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ingyeaWork\MingsWork\AR\Sales_Inv Listing\"/>
    </mc:Choice>
  </mc:AlternateContent>
  <bookViews>
    <workbookView xWindow="-108" yWindow="-108" windowWidth="19416" windowHeight="10296" tabRatio="927" activeTab="2"/>
  </bookViews>
  <sheets>
    <sheet name="Sales_by Inv No &amp; by custom WSK" sheetId="11" r:id="rId1"/>
    <sheet name="Customer Aging" sheetId="5" r:id="rId2"/>
    <sheet name="Raw Sales" sheetId="4" r:id="rId3"/>
    <sheet name="Set up" sheetId="14" r:id="rId4"/>
    <sheet name="Customer Payment Term" sheetId="9" r:id="rId5"/>
    <sheet name="Transport_by month (estimate)" sheetId="7" r:id="rId6"/>
    <sheet name="Inv No with date" sheetId="12" r:id="rId7"/>
    <sheet name="Sales_by Inv No &amp; by customer" sheetId="6" r:id="rId8"/>
    <sheet name="Sales Qty_by product" sheetId="8" r:id="rId9"/>
    <sheet name="Sales_by Inv No" sheetId="10" r:id="rId10"/>
  </sheets>
  <definedNames>
    <definedName name="_xlnm._FilterDatabase" localSheetId="2" hidden="1">'Raw Sales'!$A$1:$T$4229</definedName>
    <definedName name="_xlnm._FilterDatabase" localSheetId="3" hidden="1">'Set up'!$A$1:$D$44</definedName>
    <definedName name="_xlnm.Print_Area" localSheetId="1">'Customer Aging'!$A$1:$H$73</definedName>
    <definedName name="_xlnm.Print_Area" localSheetId="4">'Customer Payment Term'!$A$1:$K$22</definedName>
    <definedName name="_xlnm.Print_Area" localSheetId="2">'Raw Sales'!$A$410:$W$457</definedName>
    <definedName name="_xlnm.Print_Area" localSheetId="8">'Sales Qty_by product'!$A$1:$L$49</definedName>
    <definedName name="_xlnm.Print_Area" localSheetId="9">'Sales_by Inv No'!#REF!</definedName>
    <definedName name="_xlnm.Print_Area" localSheetId="0">'Sales_by Inv No &amp; by custom WSK'!$A$2:$AC$107</definedName>
    <definedName name="_xlnm.Print_Area" localSheetId="7">'Sales_by Inv No &amp; by customer'!$N$2:$Z$107</definedName>
    <definedName name="_xlnm.Print_Area" localSheetId="5">'Transport_by month (estimate)'!$A$209:$E$238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407" i="4" l="1"/>
  <c r="C5407" i="4"/>
  <c r="E5407" i="4"/>
  <c r="I5407" i="4"/>
  <c r="J5407" i="4"/>
  <c r="K5407" i="4" s="1"/>
  <c r="Q5407" i="4"/>
  <c r="Q5501" i="4" s="1"/>
  <c r="R5407" i="4"/>
  <c r="B5408" i="4"/>
  <c r="C5408" i="4"/>
  <c r="E5408" i="4"/>
  <c r="I5408" i="4"/>
  <c r="J5408" i="4"/>
  <c r="K5408" i="4"/>
  <c r="L5408" i="4" s="1"/>
  <c r="Q5408" i="4"/>
  <c r="R5408" i="4"/>
  <c r="B5409" i="4"/>
  <c r="C5409" i="4"/>
  <c r="E5409" i="4"/>
  <c r="I5409" i="4"/>
  <c r="J5409" i="4"/>
  <c r="K5409" i="4" s="1"/>
  <c r="Q5409" i="4"/>
  <c r="Q5503" i="4" s="1"/>
  <c r="R5409" i="4"/>
  <c r="B5410" i="4"/>
  <c r="C5410" i="4"/>
  <c r="E5410" i="4"/>
  <c r="I5410" i="4"/>
  <c r="J5410" i="4"/>
  <c r="K5410" i="4" s="1"/>
  <c r="Q5410" i="4"/>
  <c r="R5410" i="4"/>
  <c r="B5411" i="4"/>
  <c r="C5411" i="4"/>
  <c r="E5411" i="4"/>
  <c r="I5411" i="4"/>
  <c r="J5411" i="4"/>
  <c r="K5411" i="4" s="1"/>
  <c r="Q5411" i="4"/>
  <c r="R5411" i="4"/>
  <c r="B5412" i="4"/>
  <c r="C5412" i="4"/>
  <c r="E5412" i="4"/>
  <c r="I5412" i="4"/>
  <c r="J5412" i="4"/>
  <c r="K5412" i="4"/>
  <c r="L5412" i="4" s="1"/>
  <c r="Q5412" i="4"/>
  <c r="Q5506" i="4" s="1"/>
  <c r="R5412" i="4"/>
  <c r="B5413" i="4"/>
  <c r="C5413" i="4"/>
  <c r="E5413" i="4"/>
  <c r="I5413" i="4"/>
  <c r="J5413" i="4"/>
  <c r="K5413" i="4" s="1"/>
  <c r="Q5413" i="4"/>
  <c r="Q5507" i="4" s="1"/>
  <c r="R5413" i="4"/>
  <c r="B5414" i="4"/>
  <c r="C5414" i="4"/>
  <c r="E5414" i="4"/>
  <c r="I5414" i="4"/>
  <c r="J5414" i="4"/>
  <c r="K5414" i="4" s="1"/>
  <c r="Q5414" i="4"/>
  <c r="Q5508" i="4" s="1"/>
  <c r="R5414" i="4"/>
  <c r="B5415" i="4"/>
  <c r="C5415" i="4"/>
  <c r="E5415" i="4"/>
  <c r="I5415" i="4"/>
  <c r="J5415" i="4"/>
  <c r="K5415" i="4"/>
  <c r="M5415" i="4" s="1"/>
  <c r="L5415" i="4"/>
  <c r="Q5415" i="4"/>
  <c r="Q5509" i="4" s="1"/>
  <c r="R5415" i="4"/>
  <c r="B5416" i="4"/>
  <c r="C5416" i="4"/>
  <c r="E5416" i="4"/>
  <c r="I5416" i="4"/>
  <c r="J5416" i="4"/>
  <c r="K5416" i="4" s="1"/>
  <c r="L5416" i="4" s="1"/>
  <c r="Q5416" i="4"/>
  <c r="Q5510" i="4" s="1"/>
  <c r="R5416" i="4"/>
  <c r="B5417" i="4"/>
  <c r="C5417" i="4"/>
  <c r="E5417" i="4"/>
  <c r="I5417" i="4"/>
  <c r="J5417" i="4"/>
  <c r="K5417" i="4"/>
  <c r="L5417" i="4" s="1"/>
  <c r="Q5417" i="4"/>
  <c r="Q5511" i="4" s="1"/>
  <c r="R5417" i="4"/>
  <c r="B5418" i="4"/>
  <c r="C5418" i="4"/>
  <c r="E5418" i="4"/>
  <c r="I5418" i="4"/>
  <c r="J5418" i="4"/>
  <c r="K5418" i="4" s="1"/>
  <c r="Q5418" i="4"/>
  <c r="Q5512" i="4" s="1"/>
  <c r="R5418" i="4"/>
  <c r="B5419" i="4"/>
  <c r="C5419" i="4"/>
  <c r="E5419" i="4"/>
  <c r="I5419" i="4"/>
  <c r="J5419" i="4"/>
  <c r="K5419" i="4" s="1"/>
  <c r="Q5419" i="4"/>
  <c r="R5419" i="4"/>
  <c r="B5420" i="4"/>
  <c r="C5420" i="4"/>
  <c r="E5420" i="4"/>
  <c r="I5420" i="4"/>
  <c r="J5420" i="4"/>
  <c r="K5420" i="4"/>
  <c r="L5420" i="4"/>
  <c r="M5420" i="4"/>
  <c r="Q5420" i="4"/>
  <c r="Q5514" i="4" s="1"/>
  <c r="R5420" i="4"/>
  <c r="B5421" i="4"/>
  <c r="C5421" i="4"/>
  <c r="E5421" i="4"/>
  <c r="I5421" i="4"/>
  <c r="J5421" i="4"/>
  <c r="K5421" i="4" s="1"/>
  <c r="Q5421" i="4"/>
  <c r="R5421" i="4"/>
  <c r="B5422" i="4"/>
  <c r="C5422" i="4"/>
  <c r="E5422" i="4"/>
  <c r="I5422" i="4"/>
  <c r="J5422" i="4"/>
  <c r="K5422" i="4"/>
  <c r="M5422" i="4" s="1"/>
  <c r="L5422" i="4"/>
  <c r="Q5422" i="4"/>
  <c r="Q5516" i="4" s="1"/>
  <c r="R5422" i="4"/>
  <c r="B5423" i="4"/>
  <c r="C5423" i="4"/>
  <c r="E5423" i="4"/>
  <c r="I5423" i="4"/>
  <c r="J5423" i="4"/>
  <c r="K5423" i="4"/>
  <c r="L5423" i="4"/>
  <c r="M5423" i="4"/>
  <c r="Q5423" i="4"/>
  <c r="Q5517" i="4" s="1"/>
  <c r="R5423" i="4"/>
  <c r="B5424" i="4"/>
  <c r="C5424" i="4"/>
  <c r="E5424" i="4"/>
  <c r="I5424" i="4"/>
  <c r="J5424" i="4"/>
  <c r="K5424" i="4"/>
  <c r="L5424" i="4" s="1"/>
  <c r="Q5424" i="4"/>
  <c r="R5424" i="4"/>
  <c r="B5425" i="4"/>
  <c r="C5425" i="4"/>
  <c r="E5425" i="4"/>
  <c r="I5425" i="4"/>
  <c r="J5425" i="4"/>
  <c r="K5425" i="4" s="1"/>
  <c r="Q5425" i="4"/>
  <c r="R5425" i="4"/>
  <c r="B5426" i="4"/>
  <c r="C5426" i="4"/>
  <c r="E5426" i="4"/>
  <c r="I5426" i="4"/>
  <c r="J5426" i="4"/>
  <c r="K5426" i="4" s="1"/>
  <c r="Q5426" i="4"/>
  <c r="R5426" i="4"/>
  <c r="B5427" i="4"/>
  <c r="C5427" i="4"/>
  <c r="E5427" i="4"/>
  <c r="I5427" i="4"/>
  <c r="J5427" i="4"/>
  <c r="K5427" i="4" s="1"/>
  <c r="Q5427" i="4"/>
  <c r="R5427" i="4"/>
  <c r="B5428" i="4"/>
  <c r="C5428" i="4"/>
  <c r="E5428" i="4"/>
  <c r="I5428" i="4"/>
  <c r="J5428" i="4"/>
  <c r="K5428" i="4"/>
  <c r="L5428" i="4" s="1"/>
  <c r="Q5428" i="4"/>
  <c r="R5428" i="4"/>
  <c r="B5429" i="4"/>
  <c r="C5429" i="4"/>
  <c r="E5429" i="4"/>
  <c r="I5429" i="4"/>
  <c r="J5429" i="4"/>
  <c r="K5429" i="4" s="1"/>
  <c r="Q5429" i="4"/>
  <c r="R5429" i="4"/>
  <c r="B5430" i="4"/>
  <c r="C5430" i="4"/>
  <c r="E5430" i="4"/>
  <c r="I5430" i="4"/>
  <c r="J5430" i="4"/>
  <c r="K5430" i="4" s="1"/>
  <c r="Q5430" i="4"/>
  <c r="R5430" i="4"/>
  <c r="B5431" i="4"/>
  <c r="C5431" i="4"/>
  <c r="E5431" i="4"/>
  <c r="I5431" i="4"/>
  <c r="J5431" i="4"/>
  <c r="K5431" i="4"/>
  <c r="M5431" i="4" s="1"/>
  <c r="L5431" i="4"/>
  <c r="Q5431" i="4"/>
  <c r="R5431" i="4"/>
  <c r="B5432" i="4"/>
  <c r="C5432" i="4"/>
  <c r="E5432" i="4"/>
  <c r="I5432" i="4"/>
  <c r="J5432" i="4"/>
  <c r="K5432" i="4" s="1"/>
  <c r="L5432" i="4" s="1"/>
  <c r="Q5432" i="4"/>
  <c r="R5432" i="4"/>
  <c r="B5433" i="4"/>
  <c r="C5433" i="4"/>
  <c r="E5433" i="4"/>
  <c r="I5433" i="4"/>
  <c r="J5433" i="4"/>
  <c r="K5433" i="4"/>
  <c r="L5433" i="4" s="1"/>
  <c r="Q5433" i="4"/>
  <c r="R5433" i="4"/>
  <c r="B5434" i="4"/>
  <c r="C5434" i="4"/>
  <c r="E5434" i="4"/>
  <c r="I5434" i="4"/>
  <c r="J5434" i="4"/>
  <c r="K5434" i="4" s="1"/>
  <c r="Q5434" i="4"/>
  <c r="R5434" i="4"/>
  <c r="B5435" i="4"/>
  <c r="C5435" i="4"/>
  <c r="E5435" i="4"/>
  <c r="I5435" i="4"/>
  <c r="J5435" i="4"/>
  <c r="K5435" i="4" s="1"/>
  <c r="Q5435" i="4"/>
  <c r="R5435" i="4"/>
  <c r="B5436" i="4"/>
  <c r="C5436" i="4"/>
  <c r="E5436" i="4"/>
  <c r="I5436" i="4"/>
  <c r="J5436" i="4"/>
  <c r="K5436" i="4"/>
  <c r="L5436" i="4"/>
  <c r="M5436" i="4"/>
  <c r="Q5436" i="4"/>
  <c r="R5436" i="4"/>
  <c r="B5437" i="4"/>
  <c r="C5437" i="4"/>
  <c r="E5437" i="4"/>
  <c r="I5437" i="4"/>
  <c r="J5437" i="4"/>
  <c r="K5437" i="4" s="1"/>
  <c r="Q5437" i="4"/>
  <c r="R5437" i="4"/>
  <c r="B5438" i="4"/>
  <c r="C5438" i="4"/>
  <c r="E5438" i="4"/>
  <c r="I5438" i="4"/>
  <c r="J5438" i="4"/>
  <c r="K5438" i="4"/>
  <c r="M5438" i="4" s="1"/>
  <c r="L5438" i="4"/>
  <c r="Q5438" i="4"/>
  <c r="R5438" i="4"/>
  <c r="B5439" i="4"/>
  <c r="C5439" i="4"/>
  <c r="E5439" i="4"/>
  <c r="I5439" i="4"/>
  <c r="J5439" i="4"/>
  <c r="K5439" i="4"/>
  <c r="L5439" i="4" s="1"/>
  <c r="M5439" i="4"/>
  <c r="Q5439" i="4"/>
  <c r="R5439" i="4"/>
  <c r="B5440" i="4"/>
  <c r="C5440" i="4"/>
  <c r="E5440" i="4"/>
  <c r="I5440" i="4"/>
  <c r="J5440" i="4"/>
  <c r="K5440" i="4"/>
  <c r="L5440" i="4" s="1"/>
  <c r="Q5440" i="4"/>
  <c r="R5440" i="4"/>
  <c r="B5441" i="4"/>
  <c r="C5441" i="4"/>
  <c r="E5441" i="4"/>
  <c r="I5441" i="4"/>
  <c r="J5441" i="4"/>
  <c r="K5441" i="4" s="1"/>
  <c r="Q5441" i="4"/>
  <c r="R5441" i="4"/>
  <c r="B5442" i="4"/>
  <c r="C5442" i="4"/>
  <c r="E5442" i="4"/>
  <c r="I5442" i="4"/>
  <c r="J5442" i="4"/>
  <c r="K5442" i="4" s="1"/>
  <c r="Q5442" i="4"/>
  <c r="R5442" i="4"/>
  <c r="B5443" i="4"/>
  <c r="C5443" i="4"/>
  <c r="E5443" i="4"/>
  <c r="I5443" i="4"/>
  <c r="J5443" i="4"/>
  <c r="K5443" i="4" s="1"/>
  <c r="Q5443" i="4"/>
  <c r="R5443" i="4"/>
  <c r="B5444" i="4"/>
  <c r="C5444" i="4"/>
  <c r="E5444" i="4"/>
  <c r="I5444" i="4"/>
  <c r="J5444" i="4"/>
  <c r="K5444" i="4" s="1"/>
  <c r="Q5444" i="4"/>
  <c r="R5444" i="4"/>
  <c r="B5445" i="4"/>
  <c r="C5445" i="4"/>
  <c r="E5445" i="4"/>
  <c r="I5445" i="4"/>
  <c r="J5445" i="4"/>
  <c r="K5445" i="4" s="1"/>
  <c r="Q5445" i="4"/>
  <c r="R5445" i="4"/>
  <c r="B5446" i="4"/>
  <c r="C5446" i="4"/>
  <c r="E5446" i="4"/>
  <c r="I5446" i="4"/>
  <c r="J5446" i="4"/>
  <c r="K5446" i="4" s="1"/>
  <c r="Q5446" i="4"/>
  <c r="R5446" i="4"/>
  <c r="B5447" i="4"/>
  <c r="C5447" i="4"/>
  <c r="E5447" i="4"/>
  <c r="I5447" i="4"/>
  <c r="J5447" i="4"/>
  <c r="K5447" i="4"/>
  <c r="M5447" i="4" s="1"/>
  <c r="L5447" i="4"/>
  <c r="Q5447" i="4"/>
  <c r="R5447" i="4"/>
  <c r="B5448" i="4"/>
  <c r="C5448" i="4"/>
  <c r="E5448" i="4"/>
  <c r="I5448" i="4"/>
  <c r="J5448" i="4"/>
  <c r="K5448" i="4" s="1"/>
  <c r="L5448" i="4" s="1"/>
  <c r="Q5448" i="4"/>
  <c r="R5448" i="4"/>
  <c r="B5449" i="4"/>
  <c r="C5449" i="4"/>
  <c r="E5449" i="4"/>
  <c r="I5449" i="4"/>
  <c r="J5449" i="4"/>
  <c r="K5449" i="4"/>
  <c r="L5449" i="4" s="1"/>
  <c r="Q5449" i="4"/>
  <c r="R5449" i="4"/>
  <c r="B5450" i="4"/>
  <c r="C5450" i="4"/>
  <c r="E5450" i="4"/>
  <c r="I5450" i="4"/>
  <c r="J5450" i="4"/>
  <c r="K5450" i="4"/>
  <c r="L5450" i="4"/>
  <c r="M5450" i="4"/>
  <c r="Q5450" i="4"/>
  <c r="R5450" i="4"/>
  <c r="B5451" i="4"/>
  <c r="C5451" i="4"/>
  <c r="E5451" i="4"/>
  <c r="I5451" i="4"/>
  <c r="J5451" i="4"/>
  <c r="K5451" i="4" s="1"/>
  <c r="Q5451" i="4"/>
  <c r="R5451" i="4"/>
  <c r="B5452" i="4"/>
  <c r="C5452" i="4"/>
  <c r="E5452" i="4"/>
  <c r="I5452" i="4"/>
  <c r="J5452" i="4"/>
  <c r="K5452" i="4"/>
  <c r="M5452" i="4" s="1"/>
  <c r="L5452" i="4"/>
  <c r="Q5452" i="4"/>
  <c r="R5452" i="4"/>
  <c r="B5453" i="4"/>
  <c r="C5453" i="4"/>
  <c r="E5453" i="4"/>
  <c r="I5453" i="4"/>
  <c r="J5453" i="4"/>
  <c r="K5453" i="4" s="1"/>
  <c r="Q5453" i="4"/>
  <c r="R5453" i="4"/>
  <c r="B5454" i="4"/>
  <c r="C5454" i="4"/>
  <c r="E5454" i="4"/>
  <c r="I5454" i="4"/>
  <c r="J5454" i="4"/>
  <c r="K5454" i="4"/>
  <c r="M5454" i="4" s="1"/>
  <c r="Q5454" i="4"/>
  <c r="R5454" i="4"/>
  <c r="B5455" i="4"/>
  <c r="C5455" i="4"/>
  <c r="E5455" i="4"/>
  <c r="I5455" i="4"/>
  <c r="J5455" i="4"/>
  <c r="K5455" i="4" s="1"/>
  <c r="Q5455" i="4"/>
  <c r="R5455" i="4"/>
  <c r="B5456" i="4"/>
  <c r="C5456" i="4"/>
  <c r="E5456" i="4"/>
  <c r="I5456" i="4"/>
  <c r="J5456" i="4"/>
  <c r="K5456" i="4" s="1"/>
  <c r="L5456" i="4" s="1"/>
  <c r="Q5456" i="4"/>
  <c r="R5456" i="4"/>
  <c r="B5457" i="4"/>
  <c r="C5457" i="4"/>
  <c r="E5457" i="4"/>
  <c r="I5457" i="4"/>
  <c r="J5457" i="4"/>
  <c r="K5457" i="4"/>
  <c r="L5457" i="4" s="1"/>
  <c r="M5457" i="4"/>
  <c r="Q5457" i="4"/>
  <c r="R5457" i="4"/>
  <c r="B5458" i="4"/>
  <c r="C5458" i="4"/>
  <c r="E5458" i="4"/>
  <c r="I5458" i="4"/>
  <c r="J5458" i="4"/>
  <c r="K5458" i="4" s="1"/>
  <c r="Q5458" i="4"/>
  <c r="R5458" i="4"/>
  <c r="B5459" i="4"/>
  <c r="C5459" i="4"/>
  <c r="E5459" i="4"/>
  <c r="I5459" i="4"/>
  <c r="J5459" i="4"/>
  <c r="K5459" i="4"/>
  <c r="L5459" i="4"/>
  <c r="M5459" i="4"/>
  <c r="Q5459" i="4"/>
  <c r="R5459" i="4"/>
  <c r="B5460" i="4"/>
  <c r="C5460" i="4"/>
  <c r="E5460" i="4"/>
  <c r="I5460" i="4"/>
  <c r="J5460" i="4"/>
  <c r="K5460" i="4"/>
  <c r="L5460" i="4"/>
  <c r="M5460" i="4"/>
  <c r="Q5460" i="4"/>
  <c r="R5460" i="4"/>
  <c r="B5461" i="4"/>
  <c r="C5461" i="4"/>
  <c r="E5461" i="4"/>
  <c r="I5461" i="4"/>
  <c r="J5461" i="4"/>
  <c r="K5461" i="4" s="1"/>
  <c r="Q5461" i="4"/>
  <c r="R5461" i="4"/>
  <c r="B5462" i="4"/>
  <c r="C5462" i="4"/>
  <c r="E5462" i="4"/>
  <c r="I5462" i="4"/>
  <c r="J5462" i="4"/>
  <c r="K5462" i="4"/>
  <c r="L5462" i="4" s="1"/>
  <c r="Q5462" i="4"/>
  <c r="R5462" i="4"/>
  <c r="B5463" i="4"/>
  <c r="C5463" i="4"/>
  <c r="E5463" i="4"/>
  <c r="I5463" i="4"/>
  <c r="J5463" i="4"/>
  <c r="K5463" i="4" s="1"/>
  <c r="Q5463" i="4"/>
  <c r="R5463" i="4"/>
  <c r="B5464" i="4"/>
  <c r="C5464" i="4"/>
  <c r="E5464" i="4"/>
  <c r="I5464" i="4"/>
  <c r="J5464" i="4"/>
  <c r="K5464" i="4"/>
  <c r="L5464" i="4" s="1"/>
  <c r="Q5464" i="4"/>
  <c r="R5464" i="4"/>
  <c r="B5465" i="4"/>
  <c r="C5465" i="4"/>
  <c r="E5465" i="4"/>
  <c r="I5465" i="4"/>
  <c r="J5465" i="4"/>
  <c r="K5465" i="4" s="1"/>
  <c r="Q5465" i="4"/>
  <c r="R5465" i="4"/>
  <c r="B5466" i="4"/>
  <c r="C5466" i="4"/>
  <c r="E5466" i="4"/>
  <c r="I5466" i="4"/>
  <c r="J5466" i="4"/>
  <c r="K5466" i="4" s="1"/>
  <c r="Q5466" i="4"/>
  <c r="R5466" i="4"/>
  <c r="B5467" i="4"/>
  <c r="C5467" i="4"/>
  <c r="E5467" i="4"/>
  <c r="I5467" i="4"/>
  <c r="J5467" i="4"/>
  <c r="K5467" i="4" s="1"/>
  <c r="Q5467" i="4"/>
  <c r="R5467" i="4"/>
  <c r="B5468" i="4"/>
  <c r="C5468" i="4"/>
  <c r="E5468" i="4"/>
  <c r="I5468" i="4"/>
  <c r="J5468" i="4"/>
  <c r="K5468" i="4"/>
  <c r="M5468" i="4" s="1"/>
  <c r="L5468" i="4"/>
  <c r="Q5468" i="4"/>
  <c r="R5468" i="4"/>
  <c r="B5469" i="4"/>
  <c r="C5469" i="4"/>
  <c r="E5469" i="4"/>
  <c r="I5469" i="4"/>
  <c r="J5469" i="4"/>
  <c r="K5469" i="4" s="1"/>
  <c r="Q5469" i="4"/>
  <c r="R5469" i="4"/>
  <c r="B5470" i="4"/>
  <c r="C5470" i="4"/>
  <c r="E5470" i="4"/>
  <c r="I5470" i="4"/>
  <c r="J5470" i="4"/>
  <c r="K5470" i="4"/>
  <c r="M5470" i="4" s="1"/>
  <c r="Q5470" i="4"/>
  <c r="R5470" i="4"/>
  <c r="B5471" i="4"/>
  <c r="C5471" i="4"/>
  <c r="E5471" i="4"/>
  <c r="I5471" i="4"/>
  <c r="J5471" i="4"/>
  <c r="K5471" i="4" s="1"/>
  <c r="Q5471" i="4"/>
  <c r="R5471" i="4"/>
  <c r="B5472" i="4"/>
  <c r="C5472" i="4"/>
  <c r="E5472" i="4"/>
  <c r="I5472" i="4"/>
  <c r="J5472" i="4"/>
  <c r="K5472" i="4" s="1"/>
  <c r="L5472" i="4" s="1"/>
  <c r="Q5472" i="4"/>
  <c r="R5472" i="4"/>
  <c r="B5473" i="4"/>
  <c r="C5473" i="4"/>
  <c r="E5473" i="4"/>
  <c r="I5473" i="4"/>
  <c r="J5473" i="4"/>
  <c r="K5473" i="4"/>
  <c r="M5473" i="4" s="1"/>
  <c r="L5473" i="4"/>
  <c r="Q5473" i="4"/>
  <c r="R5473" i="4"/>
  <c r="B5474" i="4"/>
  <c r="C5474" i="4"/>
  <c r="E5474" i="4"/>
  <c r="I5474" i="4"/>
  <c r="J5474" i="4"/>
  <c r="K5474" i="4" s="1"/>
  <c r="Q5474" i="4"/>
  <c r="R5474" i="4"/>
  <c r="B5475" i="4"/>
  <c r="C5475" i="4"/>
  <c r="E5475" i="4"/>
  <c r="I5475" i="4"/>
  <c r="J5475" i="4"/>
  <c r="K5475" i="4" s="1"/>
  <c r="Q5475" i="4"/>
  <c r="R5475" i="4"/>
  <c r="B5476" i="4"/>
  <c r="C5476" i="4"/>
  <c r="E5476" i="4"/>
  <c r="I5476" i="4"/>
  <c r="J5476" i="4"/>
  <c r="K5476" i="4"/>
  <c r="M5476" i="4" s="1"/>
  <c r="L5476" i="4"/>
  <c r="Q5476" i="4"/>
  <c r="R5476" i="4"/>
  <c r="B5477" i="4"/>
  <c r="C5477" i="4"/>
  <c r="E5477" i="4"/>
  <c r="I5477" i="4"/>
  <c r="J5477" i="4"/>
  <c r="K5477" i="4" s="1"/>
  <c r="Q5477" i="4"/>
  <c r="R5477" i="4"/>
  <c r="B5478" i="4"/>
  <c r="C5478" i="4"/>
  <c r="E5478" i="4"/>
  <c r="I5478" i="4"/>
  <c r="J5478" i="4"/>
  <c r="K5478" i="4" s="1"/>
  <c r="Q5478" i="4"/>
  <c r="R5478" i="4"/>
  <c r="B5479" i="4"/>
  <c r="C5479" i="4"/>
  <c r="E5479" i="4"/>
  <c r="I5479" i="4"/>
  <c r="J5479" i="4"/>
  <c r="K5479" i="4" s="1"/>
  <c r="Q5479" i="4"/>
  <c r="R5479" i="4"/>
  <c r="B5480" i="4"/>
  <c r="C5480" i="4"/>
  <c r="E5480" i="4"/>
  <c r="I5480" i="4"/>
  <c r="J5480" i="4"/>
  <c r="K5480" i="4"/>
  <c r="L5480" i="4" s="1"/>
  <c r="Q5480" i="4"/>
  <c r="R5480" i="4"/>
  <c r="B5481" i="4"/>
  <c r="C5481" i="4"/>
  <c r="E5481" i="4"/>
  <c r="I5481" i="4"/>
  <c r="J5481" i="4"/>
  <c r="K5481" i="4" s="1"/>
  <c r="Q5481" i="4"/>
  <c r="R5481" i="4"/>
  <c r="B5482" i="4"/>
  <c r="C5482" i="4"/>
  <c r="E5482" i="4"/>
  <c r="I5482" i="4"/>
  <c r="J5482" i="4"/>
  <c r="K5482" i="4" s="1"/>
  <c r="Q5482" i="4"/>
  <c r="R5482" i="4"/>
  <c r="B5483" i="4"/>
  <c r="C5483" i="4"/>
  <c r="E5483" i="4"/>
  <c r="I5483" i="4"/>
  <c r="J5483" i="4"/>
  <c r="K5483" i="4" s="1"/>
  <c r="Q5483" i="4"/>
  <c r="R5483" i="4"/>
  <c r="B5484" i="4"/>
  <c r="C5484" i="4"/>
  <c r="E5484" i="4"/>
  <c r="I5484" i="4"/>
  <c r="J5484" i="4"/>
  <c r="K5484" i="4"/>
  <c r="M5484" i="4" s="1"/>
  <c r="L5484" i="4"/>
  <c r="Q5484" i="4"/>
  <c r="R5484" i="4"/>
  <c r="B5485" i="4"/>
  <c r="C5485" i="4"/>
  <c r="E5485" i="4"/>
  <c r="I5485" i="4"/>
  <c r="J5485" i="4"/>
  <c r="K5485" i="4" s="1"/>
  <c r="Q5485" i="4"/>
  <c r="R5485" i="4"/>
  <c r="B5486" i="4"/>
  <c r="C5486" i="4"/>
  <c r="E5486" i="4"/>
  <c r="I5486" i="4"/>
  <c r="J5486" i="4"/>
  <c r="K5486" i="4"/>
  <c r="M5486" i="4" s="1"/>
  <c r="Q5486" i="4"/>
  <c r="R5486" i="4"/>
  <c r="B5487" i="4"/>
  <c r="C5487" i="4"/>
  <c r="E5487" i="4"/>
  <c r="I5487" i="4"/>
  <c r="J5487" i="4"/>
  <c r="K5487" i="4" s="1"/>
  <c r="Q5487" i="4"/>
  <c r="R5487" i="4"/>
  <c r="B5488" i="4"/>
  <c r="C5488" i="4"/>
  <c r="E5488" i="4"/>
  <c r="I5488" i="4"/>
  <c r="J5488" i="4"/>
  <c r="K5488" i="4" s="1"/>
  <c r="L5488" i="4" s="1"/>
  <c r="Q5488" i="4"/>
  <c r="R5488" i="4"/>
  <c r="B5489" i="4"/>
  <c r="C5489" i="4"/>
  <c r="E5489" i="4"/>
  <c r="I5489" i="4"/>
  <c r="J5489" i="4"/>
  <c r="K5489" i="4"/>
  <c r="L5489" i="4" s="1"/>
  <c r="M5489" i="4"/>
  <c r="Q5489" i="4"/>
  <c r="R5489" i="4"/>
  <c r="B5490" i="4"/>
  <c r="C5490" i="4"/>
  <c r="E5490" i="4"/>
  <c r="I5490" i="4"/>
  <c r="J5490" i="4"/>
  <c r="K5490" i="4" s="1"/>
  <c r="Q5490" i="4"/>
  <c r="R5490" i="4"/>
  <c r="B5491" i="4"/>
  <c r="C5491" i="4"/>
  <c r="E5491" i="4"/>
  <c r="I5491" i="4"/>
  <c r="J5491" i="4"/>
  <c r="K5491" i="4" s="1"/>
  <c r="Q5491" i="4"/>
  <c r="R5491" i="4"/>
  <c r="B5492" i="4"/>
  <c r="C5492" i="4"/>
  <c r="E5492" i="4"/>
  <c r="I5492" i="4"/>
  <c r="J5492" i="4"/>
  <c r="K5492" i="4"/>
  <c r="L5492" i="4" s="1"/>
  <c r="M5492" i="4"/>
  <c r="Q5492" i="4"/>
  <c r="R5492" i="4"/>
  <c r="B5493" i="4"/>
  <c r="C5493" i="4"/>
  <c r="E5493" i="4"/>
  <c r="I5493" i="4"/>
  <c r="J5493" i="4"/>
  <c r="K5493" i="4" s="1"/>
  <c r="Q5493" i="4"/>
  <c r="R5493" i="4"/>
  <c r="B5494" i="4"/>
  <c r="C5494" i="4"/>
  <c r="E5494" i="4"/>
  <c r="I5494" i="4"/>
  <c r="J5494" i="4"/>
  <c r="K5494" i="4" s="1"/>
  <c r="Q5494" i="4"/>
  <c r="R5494" i="4"/>
  <c r="B5495" i="4"/>
  <c r="C5495" i="4"/>
  <c r="E5495" i="4"/>
  <c r="I5495" i="4"/>
  <c r="J5495" i="4"/>
  <c r="K5495" i="4" s="1"/>
  <c r="Q5495" i="4"/>
  <c r="R5495" i="4"/>
  <c r="B5496" i="4"/>
  <c r="C5496" i="4"/>
  <c r="E5496" i="4"/>
  <c r="I5496" i="4"/>
  <c r="J5496" i="4"/>
  <c r="K5496" i="4"/>
  <c r="L5496" i="4" s="1"/>
  <c r="Q5496" i="4"/>
  <c r="R5496" i="4"/>
  <c r="B5497" i="4"/>
  <c r="C5497" i="4"/>
  <c r="E5497" i="4"/>
  <c r="I5497" i="4"/>
  <c r="J5497" i="4"/>
  <c r="K5497" i="4" s="1"/>
  <c r="Q5497" i="4"/>
  <c r="R5497" i="4"/>
  <c r="B5498" i="4"/>
  <c r="C5498" i="4"/>
  <c r="E5498" i="4"/>
  <c r="I5498" i="4"/>
  <c r="J5498" i="4"/>
  <c r="K5498" i="4" s="1"/>
  <c r="Q5498" i="4"/>
  <c r="R5498" i="4"/>
  <c r="B5499" i="4"/>
  <c r="C5499" i="4"/>
  <c r="E5499" i="4"/>
  <c r="I5499" i="4"/>
  <c r="J5499" i="4"/>
  <c r="K5499" i="4" s="1"/>
  <c r="Q5499" i="4"/>
  <c r="R5499" i="4"/>
  <c r="B5500" i="4"/>
  <c r="C5500" i="4"/>
  <c r="E5500" i="4"/>
  <c r="I5500" i="4"/>
  <c r="J5500" i="4"/>
  <c r="K5500" i="4"/>
  <c r="M5500" i="4" s="1"/>
  <c r="L5500" i="4"/>
  <c r="R5500" i="4"/>
  <c r="B5501" i="4"/>
  <c r="C5501" i="4"/>
  <c r="E5501" i="4"/>
  <c r="I5501" i="4"/>
  <c r="J5501" i="4"/>
  <c r="K5501" i="4" s="1"/>
  <c r="R5501" i="4"/>
  <c r="B5502" i="4"/>
  <c r="C5502" i="4"/>
  <c r="E5502" i="4"/>
  <c r="I5502" i="4"/>
  <c r="J5502" i="4"/>
  <c r="K5502" i="4"/>
  <c r="L5502" i="4"/>
  <c r="M5502" i="4"/>
  <c r="Q5502" i="4"/>
  <c r="R5502" i="4"/>
  <c r="B5503" i="4"/>
  <c r="C5503" i="4"/>
  <c r="E5503" i="4"/>
  <c r="I5503" i="4"/>
  <c r="J5503" i="4"/>
  <c r="K5503" i="4" s="1"/>
  <c r="R5503" i="4"/>
  <c r="B5504" i="4"/>
  <c r="C5504" i="4"/>
  <c r="E5504" i="4"/>
  <c r="I5504" i="4"/>
  <c r="J5504" i="4"/>
  <c r="K5504" i="4"/>
  <c r="L5504" i="4" s="1"/>
  <c r="Q5504" i="4"/>
  <c r="R5504" i="4"/>
  <c r="B5505" i="4"/>
  <c r="C5505" i="4"/>
  <c r="E5505" i="4"/>
  <c r="I5505" i="4"/>
  <c r="J5505" i="4"/>
  <c r="K5505" i="4"/>
  <c r="L5505" i="4" s="1"/>
  <c r="Q5505" i="4"/>
  <c r="R5505" i="4"/>
  <c r="B5506" i="4"/>
  <c r="C5506" i="4"/>
  <c r="E5506" i="4"/>
  <c r="I5506" i="4"/>
  <c r="J5506" i="4"/>
  <c r="K5506" i="4" s="1"/>
  <c r="R5506" i="4"/>
  <c r="B5507" i="4"/>
  <c r="C5507" i="4"/>
  <c r="E5507" i="4"/>
  <c r="I5507" i="4"/>
  <c r="J5507" i="4"/>
  <c r="K5507" i="4"/>
  <c r="L5507" i="4" s="1"/>
  <c r="M5507" i="4"/>
  <c r="R5507" i="4"/>
  <c r="B5508" i="4"/>
  <c r="C5508" i="4"/>
  <c r="E5508" i="4"/>
  <c r="I5508" i="4"/>
  <c r="J5508" i="4"/>
  <c r="K5508" i="4" s="1"/>
  <c r="R5508" i="4"/>
  <c r="B5509" i="4"/>
  <c r="C5509" i="4"/>
  <c r="E5509" i="4"/>
  <c r="I5509" i="4"/>
  <c r="J5509" i="4"/>
  <c r="K5509" i="4" s="1"/>
  <c r="R5509" i="4"/>
  <c r="B5510" i="4"/>
  <c r="C5510" i="4"/>
  <c r="E5510" i="4"/>
  <c r="I5510" i="4"/>
  <c r="J5510" i="4"/>
  <c r="K5510" i="4"/>
  <c r="L5510" i="4" s="1"/>
  <c r="R5510" i="4"/>
  <c r="B5511" i="4"/>
  <c r="C5511" i="4"/>
  <c r="E5511" i="4"/>
  <c r="I5511" i="4"/>
  <c r="J5511" i="4"/>
  <c r="K5511" i="4" s="1"/>
  <c r="R5511" i="4"/>
  <c r="B5512" i="4"/>
  <c r="C5512" i="4"/>
  <c r="E5512" i="4"/>
  <c r="I5512" i="4"/>
  <c r="J5512" i="4"/>
  <c r="K5512" i="4"/>
  <c r="L5512" i="4" s="1"/>
  <c r="R5512" i="4"/>
  <c r="B5513" i="4"/>
  <c r="C5513" i="4"/>
  <c r="E5513" i="4"/>
  <c r="I5513" i="4"/>
  <c r="J5513" i="4"/>
  <c r="K5513" i="4" s="1"/>
  <c r="Q5513" i="4"/>
  <c r="R5513" i="4"/>
  <c r="B5514" i="4"/>
  <c r="C5514" i="4"/>
  <c r="E5514" i="4"/>
  <c r="I5514" i="4"/>
  <c r="J5514" i="4"/>
  <c r="K5514" i="4" s="1"/>
  <c r="R5514" i="4"/>
  <c r="B5515" i="4"/>
  <c r="C5515" i="4"/>
  <c r="E5515" i="4"/>
  <c r="I5515" i="4"/>
  <c r="J5515" i="4"/>
  <c r="K5515" i="4" s="1"/>
  <c r="Q5515" i="4"/>
  <c r="R5515" i="4"/>
  <c r="B5516" i="4"/>
  <c r="C5516" i="4"/>
  <c r="E5516" i="4"/>
  <c r="I5516" i="4"/>
  <c r="J5516" i="4"/>
  <c r="K5516" i="4" s="1"/>
  <c r="R5516" i="4"/>
  <c r="B5517" i="4"/>
  <c r="C5517" i="4"/>
  <c r="E5517" i="4"/>
  <c r="I5517" i="4"/>
  <c r="J5517" i="4"/>
  <c r="K5517" i="4" s="1"/>
  <c r="R5517" i="4"/>
  <c r="Q5406" i="4"/>
  <c r="Q5500" i="4" s="1"/>
  <c r="R5406" i="4"/>
  <c r="I5406" i="4"/>
  <c r="J5406" i="4"/>
  <c r="K5406" i="4" s="1"/>
  <c r="E5406" i="4"/>
  <c r="B5406" i="4"/>
  <c r="C5406" i="4"/>
  <c r="L5470" i="4" l="1"/>
  <c r="L5454" i="4"/>
  <c r="M5428" i="4"/>
  <c r="M5412" i="4"/>
  <c r="M5505" i="4"/>
  <c r="L5486" i="4"/>
  <c r="L5516" i="4"/>
  <c r="M5516" i="4"/>
  <c r="L5479" i="4"/>
  <c r="M5479" i="4"/>
  <c r="L5435" i="4"/>
  <c r="M5435" i="4"/>
  <c r="L5419" i="4"/>
  <c r="M5419" i="4"/>
  <c r="L5481" i="4"/>
  <c r="M5481" i="4"/>
  <c r="L5444" i="4"/>
  <c r="M5444" i="4"/>
  <c r="L5414" i="4"/>
  <c r="M5414" i="4"/>
  <c r="L5487" i="4"/>
  <c r="M5487" i="4"/>
  <c r="L5508" i="4"/>
  <c r="M5508" i="4"/>
  <c r="L5513" i="4"/>
  <c r="M5513" i="4"/>
  <c r="L5495" i="4"/>
  <c r="M5495" i="4"/>
  <c r="L5430" i="4"/>
  <c r="M5430" i="4"/>
  <c r="L5515" i="4"/>
  <c r="M5515" i="4"/>
  <c r="L5446" i="4"/>
  <c r="M5446" i="4"/>
  <c r="L5511" i="4"/>
  <c r="M5511" i="4"/>
  <c r="L5483" i="4"/>
  <c r="M5483" i="4"/>
  <c r="L5491" i="4"/>
  <c r="M5491" i="4"/>
  <c r="L5478" i="4"/>
  <c r="M5478" i="4"/>
  <c r="L5499" i="4"/>
  <c r="M5499" i="4"/>
  <c r="L5441" i="4"/>
  <c r="M5441" i="4"/>
  <c r="L5425" i="4"/>
  <c r="M5425" i="4"/>
  <c r="L5407" i="4"/>
  <c r="M5407" i="4"/>
  <c r="L5463" i="4"/>
  <c r="M5463" i="4"/>
  <c r="L5409" i="4"/>
  <c r="M5409" i="4"/>
  <c r="L5494" i="4"/>
  <c r="M5494" i="4"/>
  <c r="L5465" i="4"/>
  <c r="M5465" i="4"/>
  <c r="L5411" i="4"/>
  <c r="M5411" i="4"/>
  <c r="L5497" i="4"/>
  <c r="M5497" i="4"/>
  <c r="L5503" i="4"/>
  <c r="M5503" i="4"/>
  <c r="L5471" i="4"/>
  <c r="M5471" i="4"/>
  <c r="L5455" i="4"/>
  <c r="M5455" i="4"/>
  <c r="L5443" i="4"/>
  <c r="M5443" i="4"/>
  <c r="L5427" i="4"/>
  <c r="M5427" i="4"/>
  <c r="L5475" i="4"/>
  <c r="M5475" i="4"/>
  <c r="L5467" i="4"/>
  <c r="M5467" i="4"/>
  <c r="L5451" i="4"/>
  <c r="M5451" i="4"/>
  <c r="M5462" i="4"/>
  <c r="M5449" i="4"/>
  <c r="M5433" i="4"/>
  <c r="M5417" i="4"/>
  <c r="M5510" i="4"/>
  <c r="L5461" i="4"/>
  <c r="M5461" i="4"/>
  <c r="L5498" i="4"/>
  <c r="M5498" i="4"/>
  <c r="L5413" i="4"/>
  <c r="M5413" i="4"/>
  <c r="L5509" i="4"/>
  <c r="M5509" i="4"/>
  <c r="L5434" i="4"/>
  <c r="M5434" i="4"/>
  <c r="L5418" i="4"/>
  <c r="M5418" i="4"/>
  <c r="L5493" i="4"/>
  <c r="M5493" i="4"/>
  <c r="L5477" i="4"/>
  <c r="M5477" i="4"/>
  <c r="L5482" i="4"/>
  <c r="M5482" i="4"/>
  <c r="L5490" i="4"/>
  <c r="M5490" i="4"/>
  <c r="L5517" i="4"/>
  <c r="M5517" i="4"/>
  <c r="L5469" i="4"/>
  <c r="M5469" i="4"/>
  <c r="L5453" i="4"/>
  <c r="M5453" i="4"/>
  <c r="L5474" i="4"/>
  <c r="M5474" i="4"/>
  <c r="L5421" i="4"/>
  <c r="M5421" i="4"/>
  <c r="L5429" i="4"/>
  <c r="M5429" i="4"/>
  <c r="L5485" i="4"/>
  <c r="M5485" i="4"/>
  <c r="L5506" i="4"/>
  <c r="M5506" i="4"/>
  <c r="L5466" i="4"/>
  <c r="M5466" i="4"/>
  <c r="L5445" i="4"/>
  <c r="M5445" i="4"/>
  <c r="L5501" i="4"/>
  <c r="M5501" i="4"/>
  <c r="L5514" i="4"/>
  <c r="M5514" i="4"/>
  <c r="L5458" i="4"/>
  <c r="M5458" i="4"/>
  <c r="L5437" i="4"/>
  <c r="M5437" i="4"/>
  <c r="L5442" i="4"/>
  <c r="M5442" i="4"/>
  <c r="L5426" i="4"/>
  <c r="M5426" i="4"/>
  <c r="L5410" i="4"/>
  <c r="M5410" i="4"/>
  <c r="M5512" i="4"/>
  <c r="M5504" i="4"/>
  <c r="M5496" i="4"/>
  <c r="M5488" i="4"/>
  <c r="M5480" i="4"/>
  <c r="M5472" i="4"/>
  <c r="M5464" i="4"/>
  <c r="M5456" i="4"/>
  <c r="M5448" i="4"/>
  <c r="M5440" i="4"/>
  <c r="M5432" i="4"/>
  <c r="M5424" i="4"/>
  <c r="M5416" i="4"/>
  <c r="M5408" i="4"/>
  <c r="L5406" i="4"/>
  <c r="M5406" i="4"/>
  <c r="B5291" i="4" l="1"/>
  <c r="C5291" i="4"/>
  <c r="E5291" i="4"/>
  <c r="I5291" i="4"/>
  <c r="J5291" i="4"/>
  <c r="K5291" i="4" s="1"/>
  <c r="Q5291" i="4"/>
  <c r="R5291" i="4"/>
  <c r="B5292" i="4"/>
  <c r="C5292" i="4"/>
  <c r="E5292" i="4"/>
  <c r="I5292" i="4"/>
  <c r="J5292" i="4"/>
  <c r="K5292" i="4"/>
  <c r="L5292" i="4" s="1"/>
  <c r="Q5292" i="4"/>
  <c r="Q5386" i="4" s="1"/>
  <c r="R5292" i="4"/>
  <c r="B5293" i="4"/>
  <c r="C5293" i="4"/>
  <c r="E5293" i="4"/>
  <c r="I5293" i="4"/>
  <c r="J5293" i="4"/>
  <c r="K5293" i="4"/>
  <c r="L5293" i="4" s="1"/>
  <c r="Q5293" i="4"/>
  <c r="Q5387" i="4" s="1"/>
  <c r="R5293" i="4"/>
  <c r="B5294" i="4"/>
  <c r="C5294" i="4"/>
  <c r="E5294" i="4"/>
  <c r="I5294" i="4"/>
  <c r="J5294" i="4"/>
  <c r="K5294" i="4" s="1"/>
  <c r="Q5294" i="4"/>
  <c r="Q5388" i="4" s="1"/>
  <c r="R5294" i="4"/>
  <c r="B5295" i="4"/>
  <c r="C5295" i="4"/>
  <c r="E5295" i="4"/>
  <c r="I5295" i="4"/>
  <c r="J5295" i="4"/>
  <c r="K5295" i="4" s="1"/>
  <c r="Q5295" i="4"/>
  <c r="R5295" i="4"/>
  <c r="B5296" i="4"/>
  <c r="C5296" i="4"/>
  <c r="E5296" i="4"/>
  <c r="I5296" i="4"/>
  <c r="J5296" i="4"/>
  <c r="K5296" i="4" s="1"/>
  <c r="Q5296" i="4"/>
  <c r="R5296" i="4"/>
  <c r="B5297" i="4"/>
  <c r="C5297" i="4"/>
  <c r="E5297" i="4"/>
  <c r="I5297" i="4"/>
  <c r="J5297" i="4"/>
  <c r="K5297" i="4" s="1"/>
  <c r="Q5297" i="4"/>
  <c r="Q5391" i="4" s="1"/>
  <c r="R5297" i="4"/>
  <c r="B5298" i="4"/>
  <c r="C5298" i="4"/>
  <c r="E5298" i="4"/>
  <c r="I5298" i="4"/>
  <c r="J5298" i="4"/>
  <c r="K5298" i="4" s="1"/>
  <c r="Q5298" i="4"/>
  <c r="Q5392" i="4" s="1"/>
  <c r="R5298" i="4"/>
  <c r="B5299" i="4"/>
  <c r="C5299" i="4"/>
  <c r="E5299" i="4"/>
  <c r="I5299" i="4"/>
  <c r="J5299" i="4"/>
  <c r="K5299" i="4" s="1"/>
  <c r="Q5299" i="4"/>
  <c r="R5299" i="4"/>
  <c r="B5300" i="4"/>
  <c r="C5300" i="4"/>
  <c r="E5300" i="4"/>
  <c r="I5300" i="4"/>
  <c r="J5300" i="4"/>
  <c r="K5300" i="4" s="1"/>
  <c r="L5300" i="4" s="1"/>
  <c r="Q5300" i="4"/>
  <c r="R5300" i="4"/>
  <c r="B5301" i="4"/>
  <c r="C5301" i="4"/>
  <c r="E5301" i="4"/>
  <c r="I5301" i="4"/>
  <c r="J5301" i="4"/>
  <c r="K5301" i="4"/>
  <c r="M5301" i="4" s="1"/>
  <c r="Q5301" i="4"/>
  <c r="R5301" i="4"/>
  <c r="B5302" i="4"/>
  <c r="C5302" i="4"/>
  <c r="E5302" i="4"/>
  <c r="I5302" i="4"/>
  <c r="J5302" i="4"/>
  <c r="K5302" i="4" s="1"/>
  <c r="Q5302" i="4"/>
  <c r="Q5396" i="4" s="1"/>
  <c r="R5302" i="4"/>
  <c r="B5303" i="4"/>
  <c r="C5303" i="4"/>
  <c r="E5303" i="4"/>
  <c r="I5303" i="4"/>
  <c r="J5303" i="4"/>
  <c r="K5303" i="4"/>
  <c r="L5303" i="4" s="1"/>
  <c r="Q5303" i="4"/>
  <c r="Q5397" i="4" s="1"/>
  <c r="R5303" i="4"/>
  <c r="B5304" i="4"/>
  <c r="C5304" i="4"/>
  <c r="E5304" i="4"/>
  <c r="I5304" i="4"/>
  <c r="J5304" i="4"/>
  <c r="K5304" i="4"/>
  <c r="L5304" i="4" s="1"/>
  <c r="Q5304" i="4"/>
  <c r="Q5398" i="4" s="1"/>
  <c r="R5304" i="4"/>
  <c r="B5305" i="4"/>
  <c r="C5305" i="4"/>
  <c r="E5305" i="4"/>
  <c r="I5305" i="4"/>
  <c r="J5305" i="4"/>
  <c r="K5305" i="4" s="1"/>
  <c r="Q5305" i="4"/>
  <c r="Q5399" i="4" s="1"/>
  <c r="R5305" i="4"/>
  <c r="B5306" i="4"/>
  <c r="C5306" i="4"/>
  <c r="E5306" i="4"/>
  <c r="I5306" i="4"/>
  <c r="J5306" i="4"/>
  <c r="K5306" i="4" s="1"/>
  <c r="Q5306" i="4"/>
  <c r="Q5400" i="4" s="1"/>
  <c r="R5306" i="4"/>
  <c r="B5307" i="4"/>
  <c r="C5307" i="4"/>
  <c r="E5307" i="4"/>
  <c r="I5307" i="4"/>
  <c r="J5307" i="4"/>
  <c r="K5307" i="4" s="1"/>
  <c r="Q5307" i="4"/>
  <c r="R5307" i="4"/>
  <c r="B5308" i="4"/>
  <c r="C5308" i="4"/>
  <c r="E5308" i="4"/>
  <c r="I5308" i="4"/>
  <c r="J5308" i="4"/>
  <c r="K5308" i="4"/>
  <c r="L5308" i="4" s="1"/>
  <c r="Q5308" i="4"/>
  <c r="Q5402" i="4" s="1"/>
  <c r="R5308" i="4"/>
  <c r="B5309" i="4"/>
  <c r="C5309" i="4"/>
  <c r="E5309" i="4"/>
  <c r="I5309" i="4"/>
  <c r="J5309" i="4"/>
  <c r="K5309" i="4"/>
  <c r="M5309" i="4" s="1"/>
  <c r="Q5309" i="4"/>
  <c r="Q5403" i="4" s="1"/>
  <c r="R5309" i="4"/>
  <c r="B5310" i="4"/>
  <c r="C5310" i="4"/>
  <c r="E5310" i="4"/>
  <c r="I5310" i="4"/>
  <c r="J5310" i="4"/>
  <c r="K5310" i="4" s="1"/>
  <c r="Q5310" i="4"/>
  <c r="R5310" i="4"/>
  <c r="B5311" i="4"/>
  <c r="C5311" i="4"/>
  <c r="E5311" i="4"/>
  <c r="I5311" i="4"/>
  <c r="J5311" i="4"/>
  <c r="K5311" i="4"/>
  <c r="L5311" i="4" s="1"/>
  <c r="Q5311" i="4"/>
  <c r="Q5405" i="4" s="1"/>
  <c r="R5311" i="4"/>
  <c r="B5312" i="4"/>
  <c r="C5312" i="4"/>
  <c r="E5312" i="4"/>
  <c r="I5312" i="4"/>
  <c r="J5312" i="4"/>
  <c r="K5312" i="4" s="1"/>
  <c r="L5312" i="4" s="1"/>
  <c r="Q5312" i="4"/>
  <c r="R5312" i="4"/>
  <c r="B5313" i="4"/>
  <c r="C5313" i="4"/>
  <c r="E5313" i="4"/>
  <c r="I5313" i="4"/>
  <c r="J5313" i="4"/>
  <c r="K5313" i="4" s="1"/>
  <c r="Q5313" i="4"/>
  <c r="R5313" i="4"/>
  <c r="B5314" i="4"/>
  <c r="C5314" i="4"/>
  <c r="E5314" i="4"/>
  <c r="I5314" i="4"/>
  <c r="J5314" i="4"/>
  <c r="K5314" i="4" s="1"/>
  <c r="Q5314" i="4"/>
  <c r="R5314" i="4"/>
  <c r="B5315" i="4"/>
  <c r="C5315" i="4"/>
  <c r="E5315" i="4"/>
  <c r="I5315" i="4"/>
  <c r="J5315" i="4"/>
  <c r="K5315" i="4" s="1"/>
  <c r="Q5315" i="4"/>
  <c r="R5315" i="4"/>
  <c r="B5316" i="4"/>
  <c r="C5316" i="4"/>
  <c r="E5316" i="4"/>
  <c r="I5316" i="4"/>
  <c r="J5316" i="4"/>
  <c r="K5316" i="4"/>
  <c r="L5316" i="4" s="1"/>
  <c r="Q5316" i="4"/>
  <c r="R5316" i="4"/>
  <c r="B5317" i="4"/>
  <c r="C5317" i="4"/>
  <c r="E5317" i="4"/>
  <c r="I5317" i="4"/>
  <c r="J5317" i="4"/>
  <c r="K5317" i="4" s="1"/>
  <c r="Q5317" i="4"/>
  <c r="R5317" i="4"/>
  <c r="B5318" i="4"/>
  <c r="C5318" i="4"/>
  <c r="E5318" i="4"/>
  <c r="I5318" i="4"/>
  <c r="J5318" i="4"/>
  <c r="K5318" i="4" s="1"/>
  <c r="Q5318" i="4"/>
  <c r="R5318" i="4"/>
  <c r="B5319" i="4"/>
  <c r="C5319" i="4"/>
  <c r="E5319" i="4"/>
  <c r="I5319" i="4"/>
  <c r="J5319" i="4"/>
  <c r="K5319" i="4" s="1"/>
  <c r="Q5319" i="4"/>
  <c r="R5319" i="4"/>
  <c r="B5320" i="4"/>
  <c r="C5320" i="4"/>
  <c r="E5320" i="4"/>
  <c r="I5320" i="4"/>
  <c r="J5320" i="4"/>
  <c r="K5320" i="4" s="1"/>
  <c r="L5320" i="4" s="1"/>
  <c r="Q5320" i="4"/>
  <c r="R5320" i="4"/>
  <c r="B5321" i="4"/>
  <c r="C5321" i="4"/>
  <c r="E5321" i="4"/>
  <c r="I5321" i="4"/>
  <c r="J5321" i="4"/>
  <c r="K5321" i="4" s="1"/>
  <c r="Q5321" i="4"/>
  <c r="R5321" i="4"/>
  <c r="B5322" i="4"/>
  <c r="C5322" i="4"/>
  <c r="E5322" i="4"/>
  <c r="I5322" i="4"/>
  <c r="J5322" i="4"/>
  <c r="K5322" i="4" s="1"/>
  <c r="Q5322" i="4"/>
  <c r="R5322" i="4"/>
  <c r="B5323" i="4"/>
  <c r="C5323" i="4"/>
  <c r="E5323" i="4"/>
  <c r="I5323" i="4"/>
  <c r="J5323" i="4"/>
  <c r="K5323" i="4" s="1"/>
  <c r="Q5323" i="4"/>
  <c r="R5323" i="4"/>
  <c r="B5324" i="4"/>
  <c r="C5324" i="4"/>
  <c r="E5324" i="4"/>
  <c r="I5324" i="4"/>
  <c r="J5324" i="4"/>
  <c r="K5324" i="4" s="1"/>
  <c r="L5324" i="4" s="1"/>
  <c r="Q5324" i="4"/>
  <c r="R5324" i="4"/>
  <c r="B5325" i="4"/>
  <c r="C5325" i="4"/>
  <c r="E5325" i="4"/>
  <c r="I5325" i="4"/>
  <c r="J5325" i="4"/>
  <c r="K5325" i="4" s="1"/>
  <c r="Q5325" i="4"/>
  <c r="R5325" i="4"/>
  <c r="B5326" i="4"/>
  <c r="C5326" i="4"/>
  <c r="E5326" i="4"/>
  <c r="I5326" i="4"/>
  <c r="J5326" i="4"/>
  <c r="K5326" i="4" s="1"/>
  <c r="Q5326" i="4"/>
  <c r="R5326" i="4"/>
  <c r="B5327" i="4"/>
  <c r="C5327" i="4"/>
  <c r="E5327" i="4"/>
  <c r="I5327" i="4"/>
  <c r="J5327" i="4"/>
  <c r="K5327" i="4" s="1"/>
  <c r="Q5327" i="4"/>
  <c r="R5327" i="4"/>
  <c r="B5328" i="4"/>
  <c r="C5328" i="4"/>
  <c r="E5328" i="4"/>
  <c r="I5328" i="4"/>
  <c r="J5328" i="4"/>
  <c r="K5328" i="4" s="1"/>
  <c r="L5328" i="4" s="1"/>
  <c r="Q5328" i="4"/>
  <c r="R5328" i="4"/>
  <c r="B5329" i="4"/>
  <c r="C5329" i="4"/>
  <c r="E5329" i="4"/>
  <c r="I5329" i="4"/>
  <c r="J5329" i="4"/>
  <c r="K5329" i="4" s="1"/>
  <c r="Q5329" i="4"/>
  <c r="R5329" i="4"/>
  <c r="B5330" i="4"/>
  <c r="C5330" i="4"/>
  <c r="E5330" i="4"/>
  <c r="I5330" i="4"/>
  <c r="J5330" i="4"/>
  <c r="K5330" i="4" s="1"/>
  <c r="Q5330" i="4"/>
  <c r="R5330" i="4"/>
  <c r="B5331" i="4"/>
  <c r="C5331" i="4"/>
  <c r="E5331" i="4"/>
  <c r="I5331" i="4"/>
  <c r="J5331" i="4"/>
  <c r="K5331" i="4" s="1"/>
  <c r="Q5331" i="4"/>
  <c r="R5331" i="4"/>
  <c r="B5332" i="4"/>
  <c r="C5332" i="4"/>
  <c r="E5332" i="4"/>
  <c r="I5332" i="4"/>
  <c r="J5332" i="4"/>
  <c r="K5332" i="4" s="1"/>
  <c r="L5332" i="4" s="1"/>
  <c r="Q5332" i="4"/>
  <c r="R5332" i="4"/>
  <c r="B5333" i="4"/>
  <c r="C5333" i="4"/>
  <c r="E5333" i="4"/>
  <c r="I5333" i="4"/>
  <c r="J5333" i="4"/>
  <c r="K5333" i="4"/>
  <c r="L5333" i="4" s="1"/>
  <c r="Q5333" i="4"/>
  <c r="R5333" i="4"/>
  <c r="B5334" i="4"/>
  <c r="C5334" i="4"/>
  <c r="E5334" i="4"/>
  <c r="I5334" i="4"/>
  <c r="J5334" i="4"/>
  <c r="K5334" i="4" s="1"/>
  <c r="Q5334" i="4"/>
  <c r="R5334" i="4"/>
  <c r="B5335" i="4"/>
  <c r="C5335" i="4"/>
  <c r="E5335" i="4"/>
  <c r="I5335" i="4"/>
  <c r="J5335" i="4"/>
  <c r="K5335" i="4" s="1"/>
  <c r="Q5335" i="4"/>
  <c r="R5335" i="4"/>
  <c r="B5336" i="4"/>
  <c r="C5336" i="4"/>
  <c r="E5336" i="4"/>
  <c r="I5336" i="4"/>
  <c r="J5336" i="4"/>
  <c r="K5336" i="4"/>
  <c r="L5336" i="4" s="1"/>
  <c r="Q5336" i="4"/>
  <c r="R5336" i="4"/>
  <c r="B5337" i="4"/>
  <c r="C5337" i="4"/>
  <c r="E5337" i="4"/>
  <c r="I5337" i="4"/>
  <c r="J5337" i="4"/>
  <c r="K5337" i="4" s="1"/>
  <c r="Q5337" i="4"/>
  <c r="R5337" i="4"/>
  <c r="B5338" i="4"/>
  <c r="C5338" i="4"/>
  <c r="E5338" i="4"/>
  <c r="I5338" i="4"/>
  <c r="J5338" i="4"/>
  <c r="K5338" i="4" s="1"/>
  <c r="Q5338" i="4"/>
  <c r="R5338" i="4"/>
  <c r="B5339" i="4"/>
  <c r="C5339" i="4"/>
  <c r="E5339" i="4"/>
  <c r="I5339" i="4"/>
  <c r="J5339" i="4"/>
  <c r="K5339" i="4" s="1"/>
  <c r="Q5339" i="4"/>
  <c r="R5339" i="4"/>
  <c r="B5340" i="4"/>
  <c r="C5340" i="4"/>
  <c r="E5340" i="4"/>
  <c r="I5340" i="4"/>
  <c r="J5340" i="4"/>
  <c r="K5340" i="4" s="1"/>
  <c r="L5340" i="4" s="1"/>
  <c r="Q5340" i="4"/>
  <c r="R5340" i="4"/>
  <c r="B5341" i="4"/>
  <c r="C5341" i="4"/>
  <c r="E5341" i="4"/>
  <c r="I5341" i="4"/>
  <c r="J5341" i="4"/>
  <c r="K5341" i="4" s="1"/>
  <c r="L5341" i="4" s="1"/>
  <c r="Q5341" i="4"/>
  <c r="R5341" i="4"/>
  <c r="B5342" i="4"/>
  <c r="C5342" i="4"/>
  <c r="E5342" i="4"/>
  <c r="I5342" i="4"/>
  <c r="J5342" i="4"/>
  <c r="K5342" i="4" s="1"/>
  <c r="Q5342" i="4"/>
  <c r="R5342" i="4"/>
  <c r="B5343" i="4"/>
  <c r="C5343" i="4"/>
  <c r="E5343" i="4"/>
  <c r="I5343" i="4"/>
  <c r="J5343" i="4"/>
  <c r="K5343" i="4" s="1"/>
  <c r="L5343" i="4" s="1"/>
  <c r="Q5343" i="4"/>
  <c r="R5343" i="4"/>
  <c r="B5344" i="4"/>
  <c r="C5344" i="4"/>
  <c r="E5344" i="4"/>
  <c r="I5344" i="4"/>
  <c r="J5344" i="4"/>
  <c r="K5344" i="4" s="1"/>
  <c r="L5344" i="4" s="1"/>
  <c r="Q5344" i="4"/>
  <c r="R5344" i="4"/>
  <c r="B5345" i="4"/>
  <c r="C5345" i="4"/>
  <c r="E5345" i="4"/>
  <c r="I5345" i="4"/>
  <c r="J5345" i="4"/>
  <c r="K5345" i="4" s="1"/>
  <c r="Q5345" i="4"/>
  <c r="R5345" i="4"/>
  <c r="B5346" i="4"/>
  <c r="C5346" i="4"/>
  <c r="E5346" i="4"/>
  <c r="I5346" i="4"/>
  <c r="J5346" i="4"/>
  <c r="K5346" i="4" s="1"/>
  <c r="Q5346" i="4"/>
  <c r="R5346" i="4"/>
  <c r="B5347" i="4"/>
  <c r="C5347" i="4"/>
  <c r="E5347" i="4"/>
  <c r="I5347" i="4"/>
  <c r="J5347" i="4"/>
  <c r="K5347" i="4" s="1"/>
  <c r="Q5347" i="4"/>
  <c r="R5347" i="4"/>
  <c r="B5348" i="4"/>
  <c r="C5348" i="4"/>
  <c r="E5348" i="4"/>
  <c r="I5348" i="4"/>
  <c r="J5348" i="4"/>
  <c r="K5348" i="4" s="1"/>
  <c r="L5348" i="4" s="1"/>
  <c r="Q5348" i="4"/>
  <c r="R5348" i="4"/>
  <c r="B5349" i="4"/>
  <c r="C5349" i="4"/>
  <c r="E5349" i="4"/>
  <c r="I5349" i="4"/>
  <c r="J5349" i="4"/>
  <c r="K5349" i="4"/>
  <c r="L5349" i="4" s="1"/>
  <c r="Q5349" i="4"/>
  <c r="R5349" i="4"/>
  <c r="B5350" i="4"/>
  <c r="C5350" i="4"/>
  <c r="E5350" i="4"/>
  <c r="I5350" i="4"/>
  <c r="J5350" i="4"/>
  <c r="K5350" i="4" s="1"/>
  <c r="Q5350" i="4"/>
  <c r="R5350" i="4"/>
  <c r="B5351" i="4"/>
  <c r="C5351" i="4"/>
  <c r="E5351" i="4"/>
  <c r="I5351" i="4"/>
  <c r="J5351" i="4"/>
  <c r="K5351" i="4"/>
  <c r="L5351" i="4" s="1"/>
  <c r="M5351" i="4"/>
  <c r="Q5351" i="4"/>
  <c r="R5351" i="4"/>
  <c r="B5352" i="4"/>
  <c r="C5352" i="4"/>
  <c r="E5352" i="4"/>
  <c r="I5352" i="4"/>
  <c r="J5352" i="4"/>
  <c r="K5352" i="4" s="1"/>
  <c r="Q5352" i="4"/>
  <c r="R5352" i="4"/>
  <c r="B5353" i="4"/>
  <c r="C5353" i="4"/>
  <c r="E5353" i="4"/>
  <c r="I5353" i="4"/>
  <c r="J5353" i="4"/>
  <c r="K5353" i="4" s="1"/>
  <c r="Q5353" i="4"/>
  <c r="R5353" i="4"/>
  <c r="B5354" i="4"/>
  <c r="C5354" i="4"/>
  <c r="E5354" i="4"/>
  <c r="I5354" i="4"/>
  <c r="J5354" i="4"/>
  <c r="K5354" i="4" s="1"/>
  <c r="Q5354" i="4"/>
  <c r="R5354" i="4"/>
  <c r="B5355" i="4"/>
  <c r="C5355" i="4"/>
  <c r="E5355" i="4"/>
  <c r="I5355" i="4"/>
  <c r="J5355" i="4"/>
  <c r="K5355" i="4" s="1"/>
  <c r="Q5355" i="4"/>
  <c r="R5355" i="4"/>
  <c r="B5356" i="4"/>
  <c r="C5356" i="4"/>
  <c r="E5356" i="4"/>
  <c r="I5356" i="4"/>
  <c r="J5356" i="4"/>
  <c r="K5356" i="4" s="1"/>
  <c r="L5356" i="4" s="1"/>
  <c r="Q5356" i="4"/>
  <c r="R5356" i="4"/>
  <c r="B5357" i="4"/>
  <c r="C5357" i="4"/>
  <c r="E5357" i="4"/>
  <c r="I5357" i="4"/>
  <c r="J5357" i="4"/>
  <c r="K5357" i="4" s="1"/>
  <c r="L5357" i="4" s="1"/>
  <c r="Q5357" i="4"/>
  <c r="R5357" i="4"/>
  <c r="B5358" i="4"/>
  <c r="C5358" i="4"/>
  <c r="E5358" i="4"/>
  <c r="I5358" i="4"/>
  <c r="J5358" i="4"/>
  <c r="K5358" i="4" s="1"/>
  <c r="Q5358" i="4"/>
  <c r="R5358" i="4"/>
  <c r="B5359" i="4"/>
  <c r="C5359" i="4"/>
  <c r="E5359" i="4"/>
  <c r="I5359" i="4"/>
  <c r="J5359" i="4"/>
  <c r="K5359" i="4" s="1"/>
  <c r="Q5359" i="4"/>
  <c r="R5359" i="4"/>
  <c r="B5360" i="4"/>
  <c r="C5360" i="4"/>
  <c r="E5360" i="4"/>
  <c r="I5360" i="4"/>
  <c r="J5360" i="4"/>
  <c r="K5360" i="4" s="1"/>
  <c r="Q5360" i="4"/>
  <c r="R5360" i="4"/>
  <c r="B5361" i="4"/>
  <c r="C5361" i="4"/>
  <c r="E5361" i="4"/>
  <c r="I5361" i="4"/>
  <c r="J5361" i="4"/>
  <c r="K5361" i="4" s="1"/>
  <c r="Q5361" i="4"/>
  <c r="R5361" i="4"/>
  <c r="B5362" i="4"/>
  <c r="C5362" i="4"/>
  <c r="E5362" i="4"/>
  <c r="I5362" i="4"/>
  <c r="J5362" i="4"/>
  <c r="K5362" i="4" s="1"/>
  <c r="Q5362" i="4"/>
  <c r="R5362" i="4"/>
  <c r="B5363" i="4"/>
  <c r="C5363" i="4"/>
  <c r="E5363" i="4"/>
  <c r="I5363" i="4"/>
  <c r="J5363" i="4"/>
  <c r="K5363" i="4" s="1"/>
  <c r="Q5363" i="4"/>
  <c r="R5363" i="4"/>
  <c r="B5364" i="4"/>
  <c r="C5364" i="4"/>
  <c r="E5364" i="4"/>
  <c r="I5364" i="4"/>
  <c r="J5364" i="4"/>
  <c r="K5364" i="4" s="1"/>
  <c r="L5364" i="4" s="1"/>
  <c r="Q5364" i="4"/>
  <c r="R5364" i="4"/>
  <c r="B5365" i="4"/>
  <c r="C5365" i="4"/>
  <c r="E5365" i="4"/>
  <c r="I5365" i="4"/>
  <c r="J5365" i="4"/>
  <c r="K5365" i="4"/>
  <c r="L5365" i="4" s="1"/>
  <c r="Q5365" i="4"/>
  <c r="R5365" i="4"/>
  <c r="B5366" i="4"/>
  <c r="C5366" i="4"/>
  <c r="E5366" i="4"/>
  <c r="I5366" i="4"/>
  <c r="J5366" i="4"/>
  <c r="K5366" i="4" s="1"/>
  <c r="Q5366" i="4"/>
  <c r="R5366" i="4"/>
  <c r="B5367" i="4"/>
  <c r="C5367" i="4"/>
  <c r="E5367" i="4"/>
  <c r="I5367" i="4"/>
  <c r="J5367" i="4"/>
  <c r="K5367" i="4" s="1"/>
  <c r="Q5367" i="4"/>
  <c r="R5367" i="4"/>
  <c r="B5368" i="4"/>
  <c r="C5368" i="4"/>
  <c r="E5368" i="4"/>
  <c r="I5368" i="4"/>
  <c r="J5368" i="4"/>
  <c r="K5368" i="4" s="1"/>
  <c r="L5368" i="4" s="1"/>
  <c r="Q5368" i="4"/>
  <c r="R5368" i="4"/>
  <c r="B5369" i="4"/>
  <c r="C5369" i="4"/>
  <c r="E5369" i="4"/>
  <c r="I5369" i="4"/>
  <c r="J5369" i="4"/>
  <c r="K5369" i="4" s="1"/>
  <c r="Q5369" i="4"/>
  <c r="R5369" i="4"/>
  <c r="B5370" i="4"/>
  <c r="C5370" i="4"/>
  <c r="E5370" i="4"/>
  <c r="I5370" i="4"/>
  <c r="J5370" i="4"/>
  <c r="K5370" i="4" s="1"/>
  <c r="Q5370" i="4"/>
  <c r="R5370" i="4"/>
  <c r="B5371" i="4"/>
  <c r="C5371" i="4"/>
  <c r="E5371" i="4"/>
  <c r="I5371" i="4"/>
  <c r="J5371" i="4"/>
  <c r="K5371" i="4" s="1"/>
  <c r="Q5371" i="4"/>
  <c r="R5371" i="4"/>
  <c r="B5372" i="4"/>
  <c r="C5372" i="4"/>
  <c r="E5372" i="4"/>
  <c r="I5372" i="4"/>
  <c r="J5372" i="4"/>
  <c r="K5372" i="4"/>
  <c r="L5372" i="4" s="1"/>
  <c r="Q5372" i="4"/>
  <c r="R5372" i="4"/>
  <c r="B5373" i="4"/>
  <c r="C5373" i="4"/>
  <c r="E5373" i="4"/>
  <c r="I5373" i="4"/>
  <c r="J5373" i="4"/>
  <c r="K5373" i="4"/>
  <c r="M5373" i="4" s="1"/>
  <c r="Q5373" i="4"/>
  <c r="R5373" i="4"/>
  <c r="B5374" i="4"/>
  <c r="C5374" i="4"/>
  <c r="E5374" i="4"/>
  <c r="I5374" i="4"/>
  <c r="J5374" i="4"/>
  <c r="K5374" i="4" s="1"/>
  <c r="Q5374" i="4"/>
  <c r="R5374" i="4"/>
  <c r="B5375" i="4"/>
  <c r="C5375" i="4"/>
  <c r="E5375" i="4"/>
  <c r="I5375" i="4"/>
  <c r="J5375" i="4"/>
  <c r="K5375" i="4"/>
  <c r="L5375" i="4" s="1"/>
  <c r="Q5375" i="4"/>
  <c r="R5375" i="4"/>
  <c r="B5376" i="4"/>
  <c r="C5376" i="4"/>
  <c r="E5376" i="4"/>
  <c r="I5376" i="4"/>
  <c r="J5376" i="4"/>
  <c r="K5376" i="4"/>
  <c r="L5376" i="4" s="1"/>
  <c r="Q5376" i="4"/>
  <c r="R5376" i="4"/>
  <c r="B5377" i="4"/>
  <c r="C5377" i="4"/>
  <c r="E5377" i="4"/>
  <c r="I5377" i="4"/>
  <c r="J5377" i="4"/>
  <c r="K5377" i="4" s="1"/>
  <c r="Q5377" i="4"/>
  <c r="R5377" i="4"/>
  <c r="B5378" i="4"/>
  <c r="C5378" i="4"/>
  <c r="E5378" i="4"/>
  <c r="I5378" i="4"/>
  <c r="J5378" i="4"/>
  <c r="K5378" i="4" s="1"/>
  <c r="Q5378" i="4"/>
  <c r="R5378" i="4"/>
  <c r="B5379" i="4"/>
  <c r="C5379" i="4"/>
  <c r="E5379" i="4"/>
  <c r="I5379" i="4"/>
  <c r="J5379" i="4"/>
  <c r="K5379" i="4" s="1"/>
  <c r="Q5379" i="4"/>
  <c r="R5379" i="4"/>
  <c r="B5380" i="4"/>
  <c r="C5380" i="4"/>
  <c r="E5380" i="4"/>
  <c r="I5380" i="4"/>
  <c r="J5380" i="4"/>
  <c r="K5380" i="4" s="1"/>
  <c r="L5380" i="4" s="1"/>
  <c r="Q5380" i="4"/>
  <c r="R5380" i="4"/>
  <c r="B5381" i="4"/>
  <c r="C5381" i="4"/>
  <c r="E5381" i="4"/>
  <c r="I5381" i="4"/>
  <c r="J5381" i="4"/>
  <c r="K5381" i="4"/>
  <c r="M5381" i="4" s="1"/>
  <c r="Q5381" i="4"/>
  <c r="R5381" i="4"/>
  <c r="B5382" i="4"/>
  <c r="C5382" i="4"/>
  <c r="E5382" i="4"/>
  <c r="I5382" i="4"/>
  <c r="J5382" i="4"/>
  <c r="K5382" i="4" s="1"/>
  <c r="Q5382" i="4"/>
  <c r="R5382" i="4"/>
  <c r="B5383" i="4"/>
  <c r="C5383" i="4"/>
  <c r="E5383" i="4"/>
  <c r="I5383" i="4"/>
  <c r="J5383" i="4"/>
  <c r="K5383" i="4" s="1"/>
  <c r="L5383" i="4" s="1"/>
  <c r="Q5383" i="4"/>
  <c r="R5383" i="4"/>
  <c r="B5384" i="4"/>
  <c r="C5384" i="4"/>
  <c r="E5384" i="4"/>
  <c r="I5384" i="4"/>
  <c r="J5384" i="4"/>
  <c r="K5384" i="4" s="1"/>
  <c r="L5384" i="4" s="1"/>
  <c r="R5384" i="4"/>
  <c r="B5385" i="4"/>
  <c r="C5385" i="4"/>
  <c r="E5385" i="4"/>
  <c r="I5385" i="4"/>
  <c r="J5385" i="4"/>
  <c r="K5385" i="4" s="1"/>
  <c r="Q5385" i="4"/>
  <c r="R5385" i="4"/>
  <c r="B5386" i="4"/>
  <c r="C5386" i="4"/>
  <c r="E5386" i="4"/>
  <c r="I5386" i="4"/>
  <c r="J5386" i="4"/>
  <c r="K5386" i="4" s="1"/>
  <c r="R5386" i="4"/>
  <c r="B5387" i="4"/>
  <c r="C5387" i="4"/>
  <c r="E5387" i="4"/>
  <c r="I5387" i="4"/>
  <c r="J5387" i="4"/>
  <c r="K5387" i="4" s="1"/>
  <c r="R5387" i="4"/>
  <c r="B5388" i="4"/>
  <c r="C5388" i="4"/>
  <c r="E5388" i="4"/>
  <c r="I5388" i="4"/>
  <c r="J5388" i="4"/>
  <c r="K5388" i="4" s="1"/>
  <c r="L5388" i="4" s="1"/>
  <c r="R5388" i="4"/>
  <c r="B5389" i="4"/>
  <c r="C5389" i="4"/>
  <c r="E5389" i="4"/>
  <c r="I5389" i="4"/>
  <c r="J5389" i="4"/>
  <c r="K5389" i="4" s="1"/>
  <c r="Q5389" i="4"/>
  <c r="R5389" i="4"/>
  <c r="B5390" i="4"/>
  <c r="C5390" i="4"/>
  <c r="E5390" i="4"/>
  <c r="I5390" i="4"/>
  <c r="J5390" i="4"/>
  <c r="K5390" i="4" s="1"/>
  <c r="Q5390" i="4"/>
  <c r="R5390" i="4"/>
  <c r="B5391" i="4"/>
  <c r="C5391" i="4"/>
  <c r="E5391" i="4"/>
  <c r="I5391" i="4"/>
  <c r="J5391" i="4"/>
  <c r="K5391" i="4" s="1"/>
  <c r="R5391" i="4"/>
  <c r="B5392" i="4"/>
  <c r="C5392" i="4"/>
  <c r="E5392" i="4"/>
  <c r="I5392" i="4"/>
  <c r="J5392" i="4"/>
  <c r="K5392" i="4" s="1"/>
  <c r="R5392" i="4"/>
  <c r="B5393" i="4"/>
  <c r="C5393" i="4"/>
  <c r="E5393" i="4"/>
  <c r="I5393" i="4"/>
  <c r="J5393" i="4"/>
  <c r="K5393" i="4" s="1"/>
  <c r="Q5393" i="4"/>
  <c r="R5393" i="4"/>
  <c r="B5394" i="4"/>
  <c r="C5394" i="4"/>
  <c r="E5394" i="4"/>
  <c r="I5394" i="4"/>
  <c r="J5394" i="4"/>
  <c r="K5394" i="4" s="1"/>
  <c r="Q5394" i="4"/>
  <c r="R5394" i="4"/>
  <c r="B5395" i="4"/>
  <c r="C5395" i="4"/>
  <c r="E5395" i="4"/>
  <c r="I5395" i="4"/>
  <c r="J5395" i="4"/>
  <c r="K5395" i="4" s="1"/>
  <c r="Q5395" i="4"/>
  <c r="R5395" i="4"/>
  <c r="B5396" i="4"/>
  <c r="C5396" i="4"/>
  <c r="E5396" i="4"/>
  <c r="I5396" i="4"/>
  <c r="J5396" i="4"/>
  <c r="K5396" i="4"/>
  <c r="L5396" i="4" s="1"/>
  <c r="R5396" i="4"/>
  <c r="B5397" i="4"/>
  <c r="C5397" i="4"/>
  <c r="E5397" i="4"/>
  <c r="I5397" i="4"/>
  <c r="J5397" i="4"/>
  <c r="K5397" i="4" s="1"/>
  <c r="M5397" i="4" s="1"/>
  <c r="R5397" i="4"/>
  <c r="B5398" i="4"/>
  <c r="C5398" i="4"/>
  <c r="E5398" i="4"/>
  <c r="I5398" i="4"/>
  <c r="J5398" i="4"/>
  <c r="K5398" i="4" s="1"/>
  <c r="R5398" i="4"/>
  <c r="B5399" i="4"/>
  <c r="C5399" i="4"/>
  <c r="E5399" i="4"/>
  <c r="I5399" i="4"/>
  <c r="J5399" i="4"/>
  <c r="K5399" i="4"/>
  <c r="L5399" i="4" s="1"/>
  <c r="R5399" i="4"/>
  <c r="B5400" i="4"/>
  <c r="C5400" i="4"/>
  <c r="E5400" i="4"/>
  <c r="I5400" i="4"/>
  <c r="J5400" i="4"/>
  <c r="K5400" i="4" s="1"/>
  <c r="R5400" i="4"/>
  <c r="B5401" i="4"/>
  <c r="C5401" i="4"/>
  <c r="E5401" i="4"/>
  <c r="I5401" i="4"/>
  <c r="J5401" i="4"/>
  <c r="K5401" i="4" s="1"/>
  <c r="Q5401" i="4"/>
  <c r="R5401" i="4"/>
  <c r="B5402" i="4"/>
  <c r="C5402" i="4"/>
  <c r="E5402" i="4"/>
  <c r="I5402" i="4"/>
  <c r="J5402" i="4"/>
  <c r="K5402" i="4" s="1"/>
  <c r="R5402" i="4"/>
  <c r="B5403" i="4"/>
  <c r="C5403" i="4"/>
  <c r="E5403" i="4"/>
  <c r="I5403" i="4"/>
  <c r="J5403" i="4"/>
  <c r="K5403" i="4" s="1"/>
  <c r="R5403" i="4"/>
  <c r="B5404" i="4"/>
  <c r="C5404" i="4"/>
  <c r="E5404" i="4"/>
  <c r="I5404" i="4"/>
  <c r="J5404" i="4"/>
  <c r="K5404" i="4" s="1"/>
  <c r="L5404" i="4" s="1"/>
  <c r="Q5404" i="4"/>
  <c r="R5404" i="4"/>
  <c r="B5405" i="4"/>
  <c r="C5405" i="4"/>
  <c r="E5405" i="4"/>
  <c r="I5405" i="4"/>
  <c r="J5405" i="4"/>
  <c r="K5405" i="4" s="1"/>
  <c r="R5405" i="4"/>
  <c r="Q5290" i="4"/>
  <c r="Q5384" i="4" s="1"/>
  <c r="R5290" i="4"/>
  <c r="I5290" i="4"/>
  <c r="J5290" i="4"/>
  <c r="K5290" i="4" s="1"/>
  <c r="E5290" i="4"/>
  <c r="B5290" i="4"/>
  <c r="C5290" i="4"/>
  <c r="M5293" i="4" l="1"/>
  <c r="L5367" i="4"/>
  <c r="M5367" i="4"/>
  <c r="M5325" i="4"/>
  <c r="L5325" i="4"/>
  <c r="L5296" i="4"/>
  <c r="M5296" i="4"/>
  <c r="L5360" i="4"/>
  <c r="M5360" i="4"/>
  <c r="L5392" i="4"/>
  <c r="M5392" i="4"/>
  <c r="L5359" i="4"/>
  <c r="M5359" i="4"/>
  <c r="L5335" i="4"/>
  <c r="M5335" i="4"/>
  <c r="M5405" i="4"/>
  <c r="L5405" i="4"/>
  <c r="M5317" i="4"/>
  <c r="L5317" i="4"/>
  <c r="L5319" i="4"/>
  <c r="M5319" i="4"/>
  <c r="L5295" i="4"/>
  <c r="M5295" i="4"/>
  <c r="L5327" i="4"/>
  <c r="M5327" i="4"/>
  <c r="M5389" i="4"/>
  <c r="L5389" i="4"/>
  <c r="L5352" i="4"/>
  <c r="M5352" i="4"/>
  <c r="L5400" i="4"/>
  <c r="M5400" i="4"/>
  <c r="L5391" i="4"/>
  <c r="M5391" i="4"/>
  <c r="M5384" i="4"/>
  <c r="M5376" i="4"/>
  <c r="M5368" i="4"/>
  <c r="M5343" i="4"/>
  <c r="M5303" i="4"/>
  <c r="L5301" i="4"/>
  <c r="M5399" i="4"/>
  <c r="L5397" i="4"/>
  <c r="M5311" i="4"/>
  <c r="L5309" i="4"/>
  <c r="M5383" i="4"/>
  <c r="M5375" i="4"/>
  <c r="L5381" i="4"/>
  <c r="L5373" i="4"/>
  <c r="L5329" i="4"/>
  <c r="M5329" i="4"/>
  <c r="L5323" i="4"/>
  <c r="M5323" i="4"/>
  <c r="L5346" i="4"/>
  <c r="M5346" i="4"/>
  <c r="L5350" i="4"/>
  <c r="M5350" i="4"/>
  <c r="L5298" i="4"/>
  <c r="M5298" i="4"/>
  <c r="L5294" i="4"/>
  <c r="M5294" i="4"/>
  <c r="M5402" i="4"/>
  <c r="L5402" i="4"/>
  <c r="L5331" i="4"/>
  <c r="M5331" i="4"/>
  <c r="L5302" i="4"/>
  <c r="M5302" i="4"/>
  <c r="L5358" i="4"/>
  <c r="M5358" i="4"/>
  <c r="L5306" i="4"/>
  <c r="M5306" i="4"/>
  <c r="M5378" i="4"/>
  <c r="L5378" i="4"/>
  <c r="L5314" i="4"/>
  <c r="M5314" i="4"/>
  <c r="L5354" i="4"/>
  <c r="M5354" i="4"/>
  <c r="L5362" i="4"/>
  <c r="M5362" i="4"/>
  <c r="M5370" i="4"/>
  <c r="L5370" i="4"/>
  <c r="L5374" i="4"/>
  <c r="M5374" i="4"/>
  <c r="L5318" i="4"/>
  <c r="M5318" i="4"/>
  <c r="L5322" i="4"/>
  <c r="M5322" i="4"/>
  <c r="M5386" i="4"/>
  <c r="L5386" i="4"/>
  <c r="L5310" i="4"/>
  <c r="M5310" i="4"/>
  <c r="L5345" i="4"/>
  <c r="M5345" i="4"/>
  <c r="L5326" i="4"/>
  <c r="M5326" i="4"/>
  <c r="L5297" i="4"/>
  <c r="M5297" i="4"/>
  <c r="L5337" i="4"/>
  <c r="M5337" i="4"/>
  <c r="L5382" i="4"/>
  <c r="M5382" i="4"/>
  <c r="L5401" i="4"/>
  <c r="M5401" i="4"/>
  <c r="L5291" i="4"/>
  <c r="M5291" i="4"/>
  <c r="L5398" i="4"/>
  <c r="M5398" i="4"/>
  <c r="L5339" i="4"/>
  <c r="M5339" i="4"/>
  <c r="L5353" i="4"/>
  <c r="M5353" i="4"/>
  <c r="L5361" i="4"/>
  <c r="M5361" i="4"/>
  <c r="L5385" i="4"/>
  <c r="M5385" i="4"/>
  <c r="L5334" i="4"/>
  <c r="M5334" i="4"/>
  <c r="L5390" i="4"/>
  <c r="M5390" i="4"/>
  <c r="L5347" i="4"/>
  <c r="M5347" i="4"/>
  <c r="L5393" i="4"/>
  <c r="M5393" i="4"/>
  <c r="L5305" i="4"/>
  <c r="M5305" i="4"/>
  <c r="M5403" i="4"/>
  <c r="L5403" i="4"/>
  <c r="L5369" i="4"/>
  <c r="M5369" i="4"/>
  <c r="L5338" i="4"/>
  <c r="M5338" i="4"/>
  <c r="L5313" i="4"/>
  <c r="M5313" i="4"/>
  <c r="L5307" i="4"/>
  <c r="M5307" i="4"/>
  <c r="L5366" i="4"/>
  <c r="M5366" i="4"/>
  <c r="L5330" i="4"/>
  <c r="M5330" i="4"/>
  <c r="L5355" i="4"/>
  <c r="M5355" i="4"/>
  <c r="L5299" i="4"/>
  <c r="M5299" i="4"/>
  <c r="M5395" i="4"/>
  <c r="L5395" i="4"/>
  <c r="L5377" i="4"/>
  <c r="M5377" i="4"/>
  <c r="L5363" i="4"/>
  <c r="M5363" i="4"/>
  <c r="M5387" i="4"/>
  <c r="L5387" i="4"/>
  <c r="M5394" i="4"/>
  <c r="L5394" i="4"/>
  <c r="L5379" i="4"/>
  <c r="M5379" i="4"/>
  <c r="L5371" i="4"/>
  <c r="M5371" i="4"/>
  <c r="L5342" i="4"/>
  <c r="M5342" i="4"/>
  <c r="L5321" i="4"/>
  <c r="M5321" i="4"/>
  <c r="L5315" i="4"/>
  <c r="M5315" i="4"/>
  <c r="M5365" i="4"/>
  <c r="M5357" i="4"/>
  <c r="M5349" i="4"/>
  <c r="M5341" i="4"/>
  <c r="M5333" i="4"/>
  <c r="M5344" i="4"/>
  <c r="M5336" i="4"/>
  <c r="M5328" i="4"/>
  <c r="M5320" i="4"/>
  <c r="M5312" i="4"/>
  <c r="M5304" i="4"/>
  <c r="M5404" i="4"/>
  <c r="M5396" i="4"/>
  <c r="M5388" i="4"/>
  <c r="M5380" i="4"/>
  <c r="M5372" i="4"/>
  <c r="M5364" i="4"/>
  <c r="M5356" i="4"/>
  <c r="M5348" i="4"/>
  <c r="M5340" i="4"/>
  <c r="M5332" i="4"/>
  <c r="M5324" i="4"/>
  <c r="M5316" i="4"/>
  <c r="M5308" i="4"/>
  <c r="M5300" i="4"/>
  <c r="M5292" i="4"/>
  <c r="L5290" i="4"/>
  <c r="M5290" i="4"/>
  <c r="I5197" i="4" l="1"/>
  <c r="J5197" i="4"/>
  <c r="K5197" i="4" s="1"/>
  <c r="I5198" i="4"/>
  <c r="J5198" i="4"/>
  <c r="K5198" i="4" s="1"/>
  <c r="I5199" i="4"/>
  <c r="J5199" i="4"/>
  <c r="K5199" i="4" s="1"/>
  <c r="I5200" i="4"/>
  <c r="J5200" i="4"/>
  <c r="K5200" i="4" s="1"/>
  <c r="I5201" i="4"/>
  <c r="J5201" i="4"/>
  <c r="K5201" i="4" s="1"/>
  <c r="I5202" i="4"/>
  <c r="J5202" i="4"/>
  <c r="K5202" i="4" s="1"/>
  <c r="I5203" i="4"/>
  <c r="J5203" i="4"/>
  <c r="K5203" i="4" s="1"/>
  <c r="I5204" i="4"/>
  <c r="J5204" i="4"/>
  <c r="K5204" i="4" s="1"/>
  <c r="I5205" i="4"/>
  <c r="J5205" i="4"/>
  <c r="K5205" i="4" s="1"/>
  <c r="I5206" i="4"/>
  <c r="J5206" i="4"/>
  <c r="K5206" i="4" s="1"/>
  <c r="L5206" i="4" s="1"/>
  <c r="I5207" i="4"/>
  <c r="J5207" i="4"/>
  <c r="K5207" i="4" s="1"/>
  <c r="I5208" i="4"/>
  <c r="J5208" i="4"/>
  <c r="K5208" i="4" s="1"/>
  <c r="I5209" i="4"/>
  <c r="J5209" i="4"/>
  <c r="K5209" i="4" s="1"/>
  <c r="I5210" i="4"/>
  <c r="J5210" i="4"/>
  <c r="K5210" i="4" s="1"/>
  <c r="L5210" i="4" s="1"/>
  <c r="I5211" i="4"/>
  <c r="J5211" i="4"/>
  <c r="K5211" i="4"/>
  <c r="L5211" i="4" s="1"/>
  <c r="I5212" i="4"/>
  <c r="J5212" i="4"/>
  <c r="K5212" i="4" s="1"/>
  <c r="L5212" i="4" s="1"/>
  <c r="I5213" i="4"/>
  <c r="J5213" i="4"/>
  <c r="K5213" i="4" s="1"/>
  <c r="I5214" i="4"/>
  <c r="J5214" i="4"/>
  <c r="K5214" i="4"/>
  <c r="L5214" i="4" s="1"/>
  <c r="I5215" i="4"/>
  <c r="J5215" i="4"/>
  <c r="K5215" i="4" s="1"/>
  <c r="I5216" i="4"/>
  <c r="J5216" i="4"/>
  <c r="K5216" i="4" s="1"/>
  <c r="I5217" i="4"/>
  <c r="J5217" i="4"/>
  <c r="K5217" i="4" s="1"/>
  <c r="I5218" i="4"/>
  <c r="J5218" i="4"/>
  <c r="K5218" i="4"/>
  <c r="L5218" i="4" s="1"/>
  <c r="I5219" i="4"/>
  <c r="J5219" i="4"/>
  <c r="K5219" i="4" s="1"/>
  <c r="I5220" i="4"/>
  <c r="J5220" i="4"/>
  <c r="K5220" i="4" s="1"/>
  <c r="L5220" i="4" s="1"/>
  <c r="I5221" i="4"/>
  <c r="J5221" i="4"/>
  <c r="K5221" i="4" s="1"/>
  <c r="I5222" i="4"/>
  <c r="J5222" i="4"/>
  <c r="K5222" i="4" s="1"/>
  <c r="L5222" i="4" s="1"/>
  <c r="I5223" i="4"/>
  <c r="J5223" i="4"/>
  <c r="K5223" i="4" s="1"/>
  <c r="I5224" i="4"/>
  <c r="J5224" i="4"/>
  <c r="K5224" i="4" s="1"/>
  <c r="I5225" i="4"/>
  <c r="J5225" i="4"/>
  <c r="K5225" i="4" s="1"/>
  <c r="I5226" i="4"/>
  <c r="J5226" i="4"/>
  <c r="K5226" i="4" s="1"/>
  <c r="L5226" i="4" s="1"/>
  <c r="I5227" i="4"/>
  <c r="J5227" i="4"/>
  <c r="K5227" i="4"/>
  <c r="L5227" i="4" s="1"/>
  <c r="I5228" i="4"/>
  <c r="J5228" i="4"/>
  <c r="K5228" i="4" s="1"/>
  <c r="I5229" i="4"/>
  <c r="J5229" i="4"/>
  <c r="K5229" i="4"/>
  <c r="M5229" i="4" s="1"/>
  <c r="I5230" i="4"/>
  <c r="J5230" i="4"/>
  <c r="K5230" i="4"/>
  <c r="L5230" i="4" s="1"/>
  <c r="I5231" i="4"/>
  <c r="J5231" i="4"/>
  <c r="K5231" i="4"/>
  <c r="M5231" i="4" s="1"/>
  <c r="L5231" i="4"/>
  <c r="I5232" i="4"/>
  <c r="J5232" i="4"/>
  <c r="K5232" i="4" s="1"/>
  <c r="I5233" i="4"/>
  <c r="J5233" i="4"/>
  <c r="K5233" i="4" s="1"/>
  <c r="I5234" i="4"/>
  <c r="J5234" i="4"/>
  <c r="K5234" i="4"/>
  <c r="M5234" i="4" s="1"/>
  <c r="I5235" i="4"/>
  <c r="J5235" i="4"/>
  <c r="K5235" i="4" s="1"/>
  <c r="I5236" i="4"/>
  <c r="J5236" i="4"/>
  <c r="K5236" i="4"/>
  <c r="L5236" i="4" s="1"/>
  <c r="M5236" i="4"/>
  <c r="I5237" i="4"/>
  <c r="J5237" i="4"/>
  <c r="K5237" i="4" s="1"/>
  <c r="I5238" i="4"/>
  <c r="J5238" i="4"/>
  <c r="K5238" i="4" s="1"/>
  <c r="L5238" i="4" s="1"/>
  <c r="I5239" i="4"/>
  <c r="J5239" i="4"/>
  <c r="K5239" i="4" s="1"/>
  <c r="I5240" i="4"/>
  <c r="J5240" i="4"/>
  <c r="K5240" i="4"/>
  <c r="L5240" i="4" s="1"/>
  <c r="M5240" i="4"/>
  <c r="I5241" i="4"/>
  <c r="J5241" i="4"/>
  <c r="K5241" i="4" s="1"/>
  <c r="I5242" i="4"/>
  <c r="J5242" i="4"/>
  <c r="K5242" i="4"/>
  <c r="L5242" i="4" s="1"/>
  <c r="I5243" i="4"/>
  <c r="J5243" i="4"/>
  <c r="K5243" i="4"/>
  <c r="M5243" i="4" s="1"/>
  <c r="I5244" i="4"/>
  <c r="J5244" i="4"/>
  <c r="K5244" i="4" s="1"/>
  <c r="I5245" i="4"/>
  <c r="J5245" i="4"/>
  <c r="K5245" i="4" s="1"/>
  <c r="M5245" i="4" s="1"/>
  <c r="I5246" i="4"/>
  <c r="J5246" i="4"/>
  <c r="K5246" i="4"/>
  <c r="M5246" i="4" s="1"/>
  <c r="L5246" i="4"/>
  <c r="I5247" i="4"/>
  <c r="J5247" i="4"/>
  <c r="K5247" i="4"/>
  <c r="L5247" i="4" s="1"/>
  <c r="M5247" i="4"/>
  <c r="I5248" i="4"/>
  <c r="J5248" i="4"/>
  <c r="K5248" i="4" s="1"/>
  <c r="I5249" i="4"/>
  <c r="J5249" i="4"/>
  <c r="K5249" i="4" s="1"/>
  <c r="I5250" i="4"/>
  <c r="J5250" i="4"/>
  <c r="K5250" i="4"/>
  <c r="L5250" i="4" s="1"/>
  <c r="I5251" i="4"/>
  <c r="J5251" i="4"/>
  <c r="K5251" i="4" s="1"/>
  <c r="I5252" i="4"/>
  <c r="J5252" i="4"/>
  <c r="K5252" i="4"/>
  <c r="L5252" i="4" s="1"/>
  <c r="I5253" i="4"/>
  <c r="J5253" i="4"/>
  <c r="K5253" i="4" s="1"/>
  <c r="I5254" i="4"/>
  <c r="J5254" i="4"/>
  <c r="K5254" i="4"/>
  <c r="L5254" i="4" s="1"/>
  <c r="I5255" i="4"/>
  <c r="J5255" i="4"/>
  <c r="K5255" i="4" s="1"/>
  <c r="I5256" i="4"/>
  <c r="J5256" i="4"/>
  <c r="K5256" i="4"/>
  <c r="L5256" i="4" s="1"/>
  <c r="I5257" i="4"/>
  <c r="J5257" i="4"/>
  <c r="K5257" i="4" s="1"/>
  <c r="I5258" i="4"/>
  <c r="J5258" i="4"/>
  <c r="K5258" i="4" s="1"/>
  <c r="I5259" i="4"/>
  <c r="J5259" i="4"/>
  <c r="K5259" i="4" s="1"/>
  <c r="I5260" i="4"/>
  <c r="J5260" i="4"/>
  <c r="K5260" i="4"/>
  <c r="L5260" i="4" s="1"/>
  <c r="I5261" i="4"/>
  <c r="J5261" i="4"/>
  <c r="K5261" i="4" s="1"/>
  <c r="I5262" i="4"/>
  <c r="J5262" i="4"/>
  <c r="K5262" i="4" s="1"/>
  <c r="I5263" i="4"/>
  <c r="J5263" i="4"/>
  <c r="K5263" i="4"/>
  <c r="M5263" i="4" s="1"/>
  <c r="L5263" i="4"/>
  <c r="I5264" i="4"/>
  <c r="J5264" i="4"/>
  <c r="K5264" i="4" s="1"/>
  <c r="I5265" i="4"/>
  <c r="J5265" i="4"/>
  <c r="K5265" i="4" s="1"/>
  <c r="I5266" i="4"/>
  <c r="J5266" i="4"/>
  <c r="K5266" i="4"/>
  <c r="L5266" i="4"/>
  <c r="M5266" i="4"/>
  <c r="I5267" i="4"/>
  <c r="J5267" i="4"/>
  <c r="K5267" i="4" s="1"/>
  <c r="I5268" i="4"/>
  <c r="J5268" i="4"/>
  <c r="K5268" i="4" s="1"/>
  <c r="I5269" i="4"/>
  <c r="J5269" i="4"/>
  <c r="K5269" i="4" s="1"/>
  <c r="I5270" i="4"/>
  <c r="J5270" i="4"/>
  <c r="K5270" i="4" s="1"/>
  <c r="L5270" i="4" s="1"/>
  <c r="I5271" i="4"/>
  <c r="J5271" i="4"/>
  <c r="K5271" i="4" s="1"/>
  <c r="I5272" i="4"/>
  <c r="J5272" i="4"/>
  <c r="K5272" i="4" s="1"/>
  <c r="I5273" i="4"/>
  <c r="J5273" i="4"/>
  <c r="K5273" i="4"/>
  <c r="M5273" i="4" s="1"/>
  <c r="I5274" i="4"/>
  <c r="J5274" i="4"/>
  <c r="K5274" i="4"/>
  <c r="L5274" i="4" s="1"/>
  <c r="I5275" i="4"/>
  <c r="J5275" i="4"/>
  <c r="K5275" i="4" s="1"/>
  <c r="I5276" i="4"/>
  <c r="J5276" i="4"/>
  <c r="K5276" i="4" s="1"/>
  <c r="I5277" i="4"/>
  <c r="J5277" i="4"/>
  <c r="K5277" i="4"/>
  <c r="M5277" i="4" s="1"/>
  <c r="I5278" i="4"/>
  <c r="J5278" i="4"/>
  <c r="K5278" i="4"/>
  <c r="L5278" i="4" s="1"/>
  <c r="I5279" i="4"/>
  <c r="J5279" i="4"/>
  <c r="K5279" i="4"/>
  <c r="L5279" i="4" s="1"/>
  <c r="I5280" i="4"/>
  <c r="J5280" i="4"/>
  <c r="K5280" i="4" s="1"/>
  <c r="I5281" i="4"/>
  <c r="J5281" i="4"/>
  <c r="K5281" i="4" s="1"/>
  <c r="I5282" i="4"/>
  <c r="J5282" i="4"/>
  <c r="K5282" i="4"/>
  <c r="M5282" i="4" s="1"/>
  <c r="I5283" i="4"/>
  <c r="J5283" i="4"/>
  <c r="K5283" i="4" s="1"/>
  <c r="I5284" i="4"/>
  <c r="J5284" i="4"/>
  <c r="K5284" i="4"/>
  <c r="L5284" i="4" s="1"/>
  <c r="I5285" i="4"/>
  <c r="J5285" i="4"/>
  <c r="K5285" i="4" s="1"/>
  <c r="I5286" i="4"/>
  <c r="J5286" i="4"/>
  <c r="K5286" i="4" s="1"/>
  <c r="L5286" i="4" s="1"/>
  <c r="I5287" i="4"/>
  <c r="J5287" i="4"/>
  <c r="K5287" i="4" s="1"/>
  <c r="I5288" i="4"/>
  <c r="J5288" i="4"/>
  <c r="K5288" i="4" s="1"/>
  <c r="I5289" i="4"/>
  <c r="J5289" i="4"/>
  <c r="K5289" i="4"/>
  <c r="M5289" i="4" s="1"/>
  <c r="B5197" i="4"/>
  <c r="C5197" i="4"/>
  <c r="B5198" i="4"/>
  <c r="C5198" i="4"/>
  <c r="B5199" i="4"/>
  <c r="C5199" i="4"/>
  <c r="B5200" i="4"/>
  <c r="C5200" i="4"/>
  <c r="B5201" i="4"/>
  <c r="C5201" i="4"/>
  <c r="B5202" i="4"/>
  <c r="C5202" i="4"/>
  <c r="B5203" i="4"/>
  <c r="C5203" i="4"/>
  <c r="B5204" i="4"/>
  <c r="C5204" i="4"/>
  <c r="B5205" i="4"/>
  <c r="C5205" i="4"/>
  <c r="B5206" i="4"/>
  <c r="C5206" i="4"/>
  <c r="B5207" i="4"/>
  <c r="C5207" i="4"/>
  <c r="B5208" i="4"/>
  <c r="C5208" i="4"/>
  <c r="B5209" i="4"/>
  <c r="C5209" i="4"/>
  <c r="B5210" i="4"/>
  <c r="C5210" i="4"/>
  <c r="B5211" i="4"/>
  <c r="C5211" i="4"/>
  <c r="B5212" i="4"/>
  <c r="C5212" i="4"/>
  <c r="B5213" i="4"/>
  <c r="C5213" i="4"/>
  <c r="B5214" i="4"/>
  <c r="C5214" i="4"/>
  <c r="B5215" i="4"/>
  <c r="C5215" i="4"/>
  <c r="B5216" i="4"/>
  <c r="C5216" i="4"/>
  <c r="B5217" i="4"/>
  <c r="C5217" i="4"/>
  <c r="B5218" i="4"/>
  <c r="C5218" i="4"/>
  <c r="B5219" i="4"/>
  <c r="C5219" i="4"/>
  <c r="B5220" i="4"/>
  <c r="C5220" i="4"/>
  <c r="B5221" i="4"/>
  <c r="C5221" i="4"/>
  <c r="B5222" i="4"/>
  <c r="C5222" i="4"/>
  <c r="B5223" i="4"/>
  <c r="C5223" i="4"/>
  <c r="B5224" i="4"/>
  <c r="C5224" i="4"/>
  <c r="B5225" i="4"/>
  <c r="C5225" i="4"/>
  <c r="B5226" i="4"/>
  <c r="C5226" i="4"/>
  <c r="B5227" i="4"/>
  <c r="C5227" i="4"/>
  <c r="B5228" i="4"/>
  <c r="C5228" i="4"/>
  <c r="B5229" i="4"/>
  <c r="C5229" i="4"/>
  <c r="B5230" i="4"/>
  <c r="C5230" i="4"/>
  <c r="B5231" i="4"/>
  <c r="C5231" i="4"/>
  <c r="B5232" i="4"/>
  <c r="C5232" i="4"/>
  <c r="B5233" i="4"/>
  <c r="C5233" i="4"/>
  <c r="B5234" i="4"/>
  <c r="C5234" i="4"/>
  <c r="B5235" i="4"/>
  <c r="C5235" i="4"/>
  <c r="B5236" i="4"/>
  <c r="C5236" i="4"/>
  <c r="B5237" i="4"/>
  <c r="C5237" i="4"/>
  <c r="B5238" i="4"/>
  <c r="C5238" i="4"/>
  <c r="B5239" i="4"/>
  <c r="C5239" i="4"/>
  <c r="B5240" i="4"/>
  <c r="C5240" i="4"/>
  <c r="B5241" i="4"/>
  <c r="C5241" i="4"/>
  <c r="B5242" i="4"/>
  <c r="C5242" i="4"/>
  <c r="B5243" i="4"/>
  <c r="C5243" i="4"/>
  <c r="B5244" i="4"/>
  <c r="C5244" i="4"/>
  <c r="B5245" i="4"/>
  <c r="C5245" i="4"/>
  <c r="B5246" i="4"/>
  <c r="C5246" i="4"/>
  <c r="B5247" i="4"/>
  <c r="C5247" i="4"/>
  <c r="B5248" i="4"/>
  <c r="C5248" i="4"/>
  <c r="B5249" i="4"/>
  <c r="C5249" i="4"/>
  <c r="B5250" i="4"/>
  <c r="C5250" i="4"/>
  <c r="B5251" i="4"/>
  <c r="C5251" i="4"/>
  <c r="B5252" i="4"/>
  <c r="C5252" i="4"/>
  <c r="B5253" i="4"/>
  <c r="C5253" i="4"/>
  <c r="B5254" i="4"/>
  <c r="C5254" i="4"/>
  <c r="B5255" i="4"/>
  <c r="C5255" i="4"/>
  <c r="B5256" i="4"/>
  <c r="C5256" i="4"/>
  <c r="B5257" i="4"/>
  <c r="C5257" i="4"/>
  <c r="B5258" i="4"/>
  <c r="C5258" i="4"/>
  <c r="B5259" i="4"/>
  <c r="C5259" i="4"/>
  <c r="B5260" i="4"/>
  <c r="C5260" i="4"/>
  <c r="B5261" i="4"/>
  <c r="C5261" i="4"/>
  <c r="B5262" i="4"/>
  <c r="C5262" i="4"/>
  <c r="B5263" i="4"/>
  <c r="C5263" i="4"/>
  <c r="B5264" i="4"/>
  <c r="C5264" i="4"/>
  <c r="B5265" i="4"/>
  <c r="C5265" i="4"/>
  <c r="B5266" i="4"/>
  <c r="C5266" i="4"/>
  <c r="B5267" i="4"/>
  <c r="C5267" i="4"/>
  <c r="B5268" i="4"/>
  <c r="C5268" i="4"/>
  <c r="B5269" i="4"/>
  <c r="C5269" i="4"/>
  <c r="B5270" i="4"/>
  <c r="C5270" i="4"/>
  <c r="B5271" i="4"/>
  <c r="C5271" i="4"/>
  <c r="B5272" i="4"/>
  <c r="C5272" i="4"/>
  <c r="B5273" i="4"/>
  <c r="C5273" i="4"/>
  <c r="B5274" i="4"/>
  <c r="C5274" i="4"/>
  <c r="B5275" i="4"/>
  <c r="C5275" i="4"/>
  <c r="B5276" i="4"/>
  <c r="C5276" i="4"/>
  <c r="B5277" i="4"/>
  <c r="C5277" i="4"/>
  <c r="B5278" i="4"/>
  <c r="C5278" i="4"/>
  <c r="B5279" i="4"/>
  <c r="C5279" i="4"/>
  <c r="B5280" i="4"/>
  <c r="C5280" i="4"/>
  <c r="B5281" i="4"/>
  <c r="C5281" i="4"/>
  <c r="B5282" i="4"/>
  <c r="C5282" i="4"/>
  <c r="B5283" i="4"/>
  <c r="C5283" i="4"/>
  <c r="B5284" i="4"/>
  <c r="C5284" i="4"/>
  <c r="B5285" i="4"/>
  <c r="C5285" i="4"/>
  <c r="B5286" i="4"/>
  <c r="C5286" i="4"/>
  <c r="B5287" i="4"/>
  <c r="C5287" i="4"/>
  <c r="B5288" i="4"/>
  <c r="C5288" i="4"/>
  <c r="B5289" i="4"/>
  <c r="C5289" i="4"/>
  <c r="E5197" i="4"/>
  <c r="Q5197" i="4"/>
  <c r="R5197" i="4"/>
  <c r="E5198" i="4"/>
  <c r="Q5198" i="4"/>
  <c r="R5198" i="4"/>
  <c r="E5199" i="4"/>
  <c r="Q5199" i="4"/>
  <c r="R5199" i="4"/>
  <c r="E5200" i="4"/>
  <c r="Q5200" i="4"/>
  <c r="R5200" i="4"/>
  <c r="E5201" i="4"/>
  <c r="Q5201" i="4"/>
  <c r="R5201" i="4"/>
  <c r="E5202" i="4"/>
  <c r="Q5202" i="4"/>
  <c r="R5202" i="4"/>
  <c r="E5203" i="4"/>
  <c r="Q5203" i="4"/>
  <c r="R5203" i="4"/>
  <c r="E5204" i="4"/>
  <c r="Q5204" i="4"/>
  <c r="R5204" i="4"/>
  <c r="E5205" i="4"/>
  <c r="Q5205" i="4"/>
  <c r="R5205" i="4"/>
  <c r="E5206" i="4"/>
  <c r="Q5206" i="4"/>
  <c r="R5206" i="4"/>
  <c r="E5207" i="4"/>
  <c r="Q5207" i="4"/>
  <c r="R5207" i="4"/>
  <c r="E5208" i="4"/>
  <c r="Q5208" i="4"/>
  <c r="R5208" i="4"/>
  <c r="E5209" i="4"/>
  <c r="Q5209" i="4"/>
  <c r="R5209" i="4"/>
  <c r="E5210" i="4"/>
  <c r="Q5210" i="4"/>
  <c r="R5210" i="4"/>
  <c r="E5211" i="4"/>
  <c r="Q5211" i="4"/>
  <c r="R5211" i="4"/>
  <c r="E5212" i="4"/>
  <c r="Q5212" i="4"/>
  <c r="R5212" i="4"/>
  <c r="E5213" i="4"/>
  <c r="Q5213" i="4"/>
  <c r="R5213" i="4"/>
  <c r="E5214" i="4"/>
  <c r="Q5214" i="4"/>
  <c r="R5214" i="4"/>
  <c r="E5215" i="4"/>
  <c r="Q5215" i="4"/>
  <c r="R5215" i="4"/>
  <c r="E5216" i="4"/>
  <c r="Q5216" i="4"/>
  <c r="R5216" i="4"/>
  <c r="E5217" i="4"/>
  <c r="Q5217" i="4"/>
  <c r="R5217" i="4"/>
  <c r="E5218" i="4"/>
  <c r="Q5218" i="4"/>
  <c r="R5218" i="4"/>
  <c r="E5219" i="4"/>
  <c r="Q5219" i="4"/>
  <c r="R5219" i="4"/>
  <c r="E5220" i="4"/>
  <c r="Q5220" i="4"/>
  <c r="R5220" i="4"/>
  <c r="E5221" i="4"/>
  <c r="Q5221" i="4"/>
  <c r="R5221" i="4"/>
  <c r="E5222" i="4"/>
  <c r="Q5222" i="4"/>
  <c r="R5222" i="4"/>
  <c r="E5223" i="4"/>
  <c r="Q5223" i="4"/>
  <c r="R5223" i="4"/>
  <c r="E5224" i="4"/>
  <c r="Q5224" i="4"/>
  <c r="R5224" i="4"/>
  <c r="E5225" i="4"/>
  <c r="Q5225" i="4"/>
  <c r="R5225" i="4"/>
  <c r="E5226" i="4"/>
  <c r="Q5226" i="4"/>
  <c r="R5226" i="4"/>
  <c r="E5227" i="4"/>
  <c r="Q5227" i="4"/>
  <c r="R5227" i="4"/>
  <c r="E5228" i="4"/>
  <c r="Q5228" i="4"/>
  <c r="R5228" i="4"/>
  <c r="E5229" i="4"/>
  <c r="Q5229" i="4"/>
  <c r="R5229" i="4"/>
  <c r="E5230" i="4"/>
  <c r="Q5230" i="4"/>
  <c r="R5230" i="4"/>
  <c r="E5231" i="4"/>
  <c r="Q5231" i="4"/>
  <c r="R5231" i="4"/>
  <c r="E5232" i="4"/>
  <c r="Q5232" i="4"/>
  <c r="R5232" i="4"/>
  <c r="E5233" i="4"/>
  <c r="Q5233" i="4"/>
  <c r="R5233" i="4"/>
  <c r="E5234" i="4"/>
  <c r="Q5234" i="4"/>
  <c r="R5234" i="4"/>
  <c r="E5235" i="4"/>
  <c r="Q5235" i="4"/>
  <c r="R5235" i="4"/>
  <c r="E5236" i="4"/>
  <c r="Q5236" i="4"/>
  <c r="R5236" i="4"/>
  <c r="E5237" i="4"/>
  <c r="Q5237" i="4"/>
  <c r="R5237" i="4"/>
  <c r="E5238" i="4"/>
  <c r="Q5238" i="4"/>
  <c r="R5238" i="4"/>
  <c r="E5239" i="4"/>
  <c r="Q5239" i="4"/>
  <c r="R5239" i="4"/>
  <c r="E5240" i="4"/>
  <c r="Q5240" i="4"/>
  <c r="R5240" i="4"/>
  <c r="E5241" i="4"/>
  <c r="Q5241" i="4"/>
  <c r="R5241" i="4"/>
  <c r="E5242" i="4"/>
  <c r="Q5242" i="4"/>
  <c r="R5242" i="4"/>
  <c r="E5243" i="4"/>
  <c r="Q5243" i="4"/>
  <c r="R5243" i="4"/>
  <c r="E5244" i="4"/>
  <c r="Q5244" i="4"/>
  <c r="R5244" i="4"/>
  <c r="E5245" i="4"/>
  <c r="Q5245" i="4"/>
  <c r="R5245" i="4"/>
  <c r="E5246" i="4"/>
  <c r="Q5246" i="4"/>
  <c r="R5246" i="4"/>
  <c r="E5247" i="4"/>
  <c r="Q5247" i="4"/>
  <c r="R5247" i="4"/>
  <c r="E5248" i="4"/>
  <c r="Q5248" i="4"/>
  <c r="R5248" i="4"/>
  <c r="E5249" i="4"/>
  <c r="Q5249" i="4"/>
  <c r="R5249" i="4"/>
  <c r="E5250" i="4"/>
  <c r="Q5250" i="4"/>
  <c r="R5250" i="4"/>
  <c r="E5251" i="4"/>
  <c r="Q5251" i="4"/>
  <c r="R5251" i="4"/>
  <c r="E5252" i="4"/>
  <c r="Q5252" i="4"/>
  <c r="R5252" i="4"/>
  <c r="E5253" i="4"/>
  <c r="Q5253" i="4"/>
  <c r="R5253" i="4"/>
  <c r="E5254" i="4"/>
  <c r="Q5254" i="4"/>
  <c r="R5254" i="4"/>
  <c r="E5255" i="4"/>
  <c r="Q5255" i="4"/>
  <c r="R5255" i="4"/>
  <c r="E5256" i="4"/>
  <c r="Q5256" i="4"/>
  <c r="R5256" i="4"/>
  <c r="E5257" i="4"/>
  <c r="Q5257" i="4"/>
  <c r="R5257" i="4"/>
  <c r="E5258" i="4"/>
  <c r="Q5258" i="4"/>
  <c r="R5258" i="4"/>
  <c r="E5259" i="4"/>
  <c r="Q5259" i="4"/>
  <c r="R5259" i="4"/>
  <c r="E5260" i="4"/>
  <c r="Q5260" i="4"/>
  <c r="R5260" i="4"/>
  <c r="E5261" i="4"/>
  <c r="Q5261" i="4"/>
  <c r="R5261" i="4"/>
  <c r="E5262" i="4"/>
  <c r="Q5262" i="4"/>
  <c r="R5262" i="4"/>
  <c r="E5263" i="4"/>
  <c r="Q5263" i="4"/>
  <c r="R5263" i="4"/>
  <c r="E5264" i="4"/>
  <c r="Q5264" i="4"/>
  <c r="R5264" i="4"/>
  <c r="E5265" i="4"/>
  <c r="Q5265" i="4"/>
  <c r="R5265" i="4"/>
  <c r="E5266" i="4"/>
  <c r="Q5266" i="4"/>
  <c r="R5266" i="4"/>
  <c r="E5267" i="4"/>
  <c r="Q5267" i="4"/>
  <c r="R5267" i="4"/>
  <c r="E5268" i="4"/>
  <c r="Q5268" i="4"/>
  <c r="R5268" i="4"/>
  <c r="E5269" i="4"/>
  <c r="Q5269" i="4"/>
  <c r="R5269" i="4"/>
  <c r="E5270" i="4"/>
  <c r="Q5270" i="4"/>
  <c r="R5270" i="4"/>
  <c r="E5271" i="4"/>
  <c r="Q5271" i="4"/>
  <c r="R5271" i="4"/>
  <c r="E5272" i="4"/>
  <c r="Q5272" i="4"/>
  <c r="R5272" i="4"/>
  <c r="E5273" i="4"/>
  <c r="Q5273" i="4"/>
  <c r="R5273" i="4"/>
  <c r="E5274" i="4"/>
  <c r="Q5274" i="4"/>
  <c r="R5274" i="4"/>
  <c r="E5275" i="4"/>
  <c r="Q5275" i="4"/>
  <c r="R5275" i="4"/>
  <c r="E5276" i="4"/>
  <c r="Q5276" i="4"/>
  <c r="R5276" i="4"/>
  <c r="E5277" i="4"/>
  <c r="Q5277" i="4"/>
  <c r="R5277" i="4"/>
  <c r="E5278" i="4"/>
  <c r="Q5278" i="4"/>
  <c r="R5278" i="4"/>
  <c r="E5279" i="4"/>
  <c r="Q5279" i="4"/>
  <c r="R5279" i="4"/>
  <c r="E5280" i="4"/>
  <c r="Q5280" i="4"/>
  <c r="R5280" i="4"/>
  <c r="E5281" i="4"/>
  <c r="Q5281" i="4"/>
  <c r="R5281" i="4"/>
  <c r="E5282" i="4"/>
  <c r="Q5282" i="4"/>
  <c r="R5282" i="4"/>
  <c r="E5283" i="4"/>
  <c r="Q5283" i="4"/>
  <c r="R5283" i="4"/>
  <c r="E5284" i="4"/>
  <c r="Q5284" i="4"/>
  <c r="R5284" i="4"/>
  <c r="E5285" i="4"/>
  <c r="Q5285" i="4"/>
  <c r="R5285" i="4"/>
  <c r="E5286" i="4"/>
  <c r="Q5286" i="4"/>
  <c r="R5286" i="4"/>
  <c r="E5287" i="4"/>
  <c r="Q5287" i="4"/>
  <c r="R5287" i="4"/>
  <c r="E5288" i="4"/>
  <c r="Q5288" i="4"/>
  <c r="R5288" i="4"/>
  <c r="E5289" i="4"/>
  <c r="Q5289" i="4"/>
  <c r="R5289" i="4"/>
  <c r="L5268" i="4" l="1"/>
  <c r="M5268" i="4"/>
  <c r="M5274" i="4"/>
  <c r="L5243" i="4"/>
  <c r="L5204" i="4"/>
  <c r="M5204" i="4"/>
  <c r="M5261" i="4"/>
  <c r="L5261" i="4"/>
  <c r="L5202" i="4"/>
  <c r="M5202" i="4"/>
  <c r="M5259" i="4"/>
  <c r="L5259" i="4"/>
  <c r="L5258" i="4"/>
  <c r="M5258" i="4"/>
  <c r="L5276" i="4"/>
  <c r="M5276" i="4"/>
  <c r="L5228" i="4"/>
  <c r="M5228" i="4"/>
  <c r="L5288" i="4"/>
  <c r="M5288" i="4"/>
  <c r="M5275" i="4"/>
  <c r="L5275" i="4"/>
  <c r="L5198" i="4"/>
  <c r="M5198" i="4"/>
  <c r="M5213" i="4"/>
  <c r="L5213" i="4"/>
  <c r="L5244" i="4"/>
  <c r="M5244" i="4"/>
  <c r="L5262" i="4"/>
  <c r="M5262" i="4"/>
  <c r="L5282" i="4"/>
  <c r="L5234" i="4"/>
  <c r="M5218" i="4"/>
  <c r="L5277" i="4"/>
  <c r="L5273" i="4"/>
  <c r="L5229" i="4"/>
  <c r="M5252" i="4"/>
  <c r="M5212" i="4"/>
  <c r="M5279" i="4"/>
  <c r="M5256" i="4"/>
  <c r="M5250" i="4"/>
  <c r="L5289" i="4"/>
  <c r="M5260" i="4"/>
  <c r="M5214" i="4"/>
  <c r="M5278" i="4"/>
  <c r="L5245" i="4"/>
  <c r="M5230" i="4"/>
  <c r="M5226" i="4"/>
  <c r="L5267" i="4"/>
  <c r="M5267" i="4"/>
  <c r="L5248" i="4"/>
  <c r="M5248" i="4"/>
  <c r="M5225" i="4"/>
  <c r="L5225" i="4"/>
  <c r="L5208" i="4"/>
  <c r="M5208" i="4"/>
  <c r="M5224" i="4"/>
  <c r="L5224" i="4"/>
  <c r="M5233" i="4"/>
  <c r="L5233" i="4"/>
  <c r="L5201" i="4"/>
  <c r="M5201" i="4"/>
  <c r="L5253" i="4"/>
  <c r="M5253" i="4"/>
  <c r="L5232" i="4"/>
  <c r="M5232" i="4"/>
  <c r="L5217" i="4"/>
  <c r="M5217" i="4"/>
  <c r="L5200" i="4"/>
  <c r="M5200" i="4"/>
  <c r="L5285" i="4"/>
  <c r="M5285" i="4"/>
  <c r="L5271" i="4"/>
  <c r="M5271" i="4"/>
  <c r="M5257" i="4"/>
  <c r="L5257" i="4"/>
  <c r="M5237" i="4"/>
  <c r="L5237" i="4"/>
  <c r="L5199" i="4"/>
  <c r="M5199" i="4"/>
  <c r="M5281" i="4"/>
  <c r="L5281" i="4"/>
  <c r="M5265" i="4"/>
  <c r="L5265" i="4"/>
  <c r="L5207" i="4"/>
  <c r="M5207" i="4"/>
  <c r="L5205" i="4"/>
  <c r="M5205" i="4"/>
  <c r="L5221" i="4"/>
  <c r="M5221" i="4"/>
  <c r="L5215" i="4"/>
  <c r="M5215" i="4"/>
  <c r="L5287" i="4"/>
  <c r="M5287" i="4"/>
  <c r="M5272" i="4"/>
  <c r="L5272" i="4"/>
  <c r="L5251" i="4"/>
  <c r="M5251" i="4"/>
  <c r="L5264" i="4"/>
  <c r="M5264" i="4"/>
  <c r="L5216" i="4"/>
  <c r="M5216" i="4"/>
  <c r="L5283" i="4"/>
  <c r="M5283" i="4"/>
  <c r="L5269" i="4"/>
  <c r="M5269" i="4"/>
  <c r="M5241" i="4"/>
  <c r="L5241" i="4"/>
  <c r="L5255" i="4"/>
  <c r="M5255" i="4"/>
  <c r="L5235" i="4"/>
  <c r="M5235" i="4"/>
  <c r="L5223" i="4"/>
  <c r="M5223" i="4"/>
  <c r="L5203" i="4"/>
  <c r="M5203" i="4"/>
  <c r="L5197" i="4"/>
  <c r="M5197" i="4"/>
  <c r="L5239" i="4"/>
  <c r="M5239" i="4"/>
  <c r="L5280" i="4"/>
  <c r="M5280" i="4"/>
  <c r="M5249" i="4"/>
  <c r="L5249" i="4"/>
  <c r="L5219" i="4"/>
  <c r="M5219" i="4"/>
  <c r="M5209" i="4"/>
  <c r="L5209" i="4"/>
  <c r="M5227" i="4"/>
  <c r="M5211" i="4"/>
  <c r="M5284" i="4"/>
  <c r="M5220" i="4"/>
  <c r="M5210" i="4"/>
  <c r="M5242" i="4"/>
  <c r="M5286" i="4"/>
  <c r="M5270" i="4"/>
  <c r="M5254" i="4"/>
  <c r="M5238" i="4"/>
  <c r="M5222" i="4"/>
  <c r="M5206" i="4"/>
  <c r="R5141" i="4"/>
  <c r="R5142" i="4"/>
  <c r="I5141" i="4"/>
  <c r="J5141" i="4"/>
  <c r="K5141" i="4" s="1"/>
  <c r="I5142" i="4"/>
  <c r="J5142" i="4"/>
  <c r="K5142" i="4" s="1"/>
  <c r="E5141" i="4"/>
  <c r="E5142" i="4"/>
  <c r="B5141" i="4"/>
  <c r="C5141" i="4"/>
  <c r="B5142" i="4"/>
  <c r="C5142" i="4"/>
  <c r="B5093" i="4"/>
  <c r="C5093" i="4"/>
  <c r="E5093" i="4"/>
  <c r="I5093" i="4"/>
  <c r="J5093" i="4"/>
  <c r="K5093" i="4" s="1"/>
  <c r="R5093" i="4"/>
  <c r="B5094" i="4"/>
  <c r="C5094" i="4"/>
  <c r="E5094" i="4"/>
  <c r="I5094" i="4"/>
  <c r="J5094" i="4"/>
  <c r="K5094" i="4" s="1"/>
  <c r="L5094" i="4" s="1"/>
  <c r="R5094" i="4"/>
  <c r="B5095" i="4"/>
  <c r="C5095" i="4"/>
  <c r="E5095" i="4"/>
  <c r="I5095" i="4"/>
  <c r="J5095" i="4"/>
  <c r="K5095" i="4" s="1"/>
  <c r="L5095" i="4" s="1"/>
  <c r="R5095" i="4"/>
  <c r="B5096" i="4"/>
  <c r="C5096" i="4"/>
  <c r="E5096" i="4"/>
  <c r="I5096" i="4"/>
  <c r="J5096" i="4"/>
  <c r="K5096" i="4" s="1"/>
  <c r="L5096" i="4" s="1"/>
  <c r="R5096" i="4"/>
  <c r="B5097" i="4"/>
  <c r="C5097" i="4"/>
  <c r="E5097" i="4"/>
  <c r="I5097" i="4"/>
  <c r="J5097" i="4"/>
  <c r="K5097" i="4" s="1"/>
  <c r="L5097" i="4" s="1"/>
  <c r="R5097" i="4"/>
  <c r="B5098" i="4"/>
  <c r="C5098" i="4"/>
  <c r="E5098" i="4"/>
  <c r="I5098" i="4"/>
  <c r="J5098" i="4"/>
  <c r="K5098" i="4" s="1"/>
  <c r="L5098" i="4" s="1"/>
  <c r="R5098" i="4"/>
  <c r="B5099" i="4"/>
  <c r="C5099" i="4"/>
  <c r="E5099" i="4"/>
  <c r="I5099" i="4"/>
  <c r="J5099" i="4"/>
  <c r="K5099" i="4" s="1"/>
  <c r="R5099" i="4"/>
  <c r="B5100" i="4"/>
  <c r="C5100" i="4"/>
  <c r="E5100" i="4"/>
  <c r="I5100" i="4"/>
  <c r="J5100" i="4"/>
  <c r="K5100" i="4" s="1"/>
  <c r="R5100" i="4"/>
  <c r="B5101" i="4"/>
  <c r="C5101" i="4"/>
  <c r="E5101" i="4"/>
  <c r="I5101" i="4"/>
  <c r="J5101" i="4"/>
  <c r="K5101" i="4" s="1"/>
  <c r="R5101" i="4"/>
  <c r="B5102" i="4"/>
  <c r="C5102" i="4"/>
  <c r="E5102" i="4"/>
  <c r="I5102" i="4"/>
  <c r="J5102" i="4"/>
  <c r="K5102" i="4" s="1"/>
  <c r="L5102" i="4" s="1"/>
  <c r="R5102" i="4"/>
  <c r="B5103" i="4"/>
  <c r="C5103" i="4"/>
  <c r="E5103" i="4"/>
  <c r="I5103" i="4"/>
  <c r="J5103" i="4"/>
  <c r="K5103" i="4" s="1"/>
  <c r="L5103" i="4" s="1"/>
  <c r="R5103" i="4"/>
  <c r="B5104" i="4"/>
  <c r="C5104" i="4"/>
  <c r="E5104" i="4"/>
  <c r="I5104" i="4"/>
  <c r="J5104" i="4"/>
  <c r="K5104" i="4" s="1"/>
  <c r="L5104" i="4" s="1"/>
  <c r="R5104" i="4"/>
  <c r="B5105" i="4"/>
  <c r="C5105" i="4"/>
  <c r="E5105" i="4"/>
  <c r="I5105" i="4"/>
  <c r="J5105" i="4"/>
  <c r="K5105" i="4" s="1"/>
  <c r="L5105" i="4" s="1"/>
  <c r="R5105" i="4"/>
  <c r="B5106" i="4"/>
  <c r="C5106" i="4"/>
  <c r="E5106" i="4"/>
  <c r="I5106" i="4"/>
  <c r="J5106" i="4"/>
  <c r="K5106" i="4" s="1"/>
  <c r="R5106" i="4"/>
  <c r="B5107" i="4"/>
  <c r="C5107" i="4"/>
  <c r="E5107" i="4"/>
  <c r="I5107" i="4"/>
  <c r="J5107" i="4"/>
  <c r="K5107" i="4" s="1"/>
  <c r="R5107" i="4"/>
  <c r="B5108" i="4"/>
  <c r="C5108" i="4"/>
  <c r="E5108" i="4"/>
  <c r="I5108" i="4"/>
  <c r="J5108" i="4"/>
  <c r="K5108" i="4" s="1"/>
  <c r="L5108" i="4" s="1"/>
  <c r="R5108" i="4"/>
  <c r="B5109" i="4"/>
  <c r="C5109" i="4"/>
  <c r="E5109" i="4"/>
  <c r="I5109" i="4"/>
  <c r="J5109" i="4"/>
  <c r="K5109" i="4" s="1"/>
  <c r="R5109" i="4"/>
  <c r="B5110" i="4"/>
  <c r="C5110" i="4"/>
  <c r="E5110" i="4"/>
  <c r="I5110" i="4"/>
  <c r="J5110" i="4"/>
  <c r="K5110" i="4" s="1"/>
  <c r="L5110" i="4" s="1"/>
  <c r="R5110" i="4"/>
  <c r="B5111" i="4"/>
  <c r="C5111" i="4"/>
  <c r="E5111" i="4"/>
  <c r="I5111" i="4"/>
  <c r="J5111" i="4"/>
  <c r="K5111" i="4" s="1"/>
  <c r="L5111" i="4" s="1"/>
  <c r="R5111" i="4"/>
  <c r="B5112" i="4"/>
  <c r="C5112" i="4"/>
  <c r="E5112" i="4"/>
  <c r="I5112" i="4"/>
  <c r="J5112" i="4"/>
  <c r="K5112" i="4" s="1"/>
  <c r="L5112" i="4" s="1"/>
  <c r="R5112" i="4"/>
  <c r="B5113" i="4"/>
  <c r="C5113" i="4"/>
  <c r="E5113" i="4"/>
  <c r="I5113" i="4"/>
  <c r="J5113" i="4"/>
  <c r="K5113" i="4" s="1"/>
  <c r="L5113" i="4" s="1"/>
  <c r="R5113" i="4"/>
  <c r="B5114" i="4"/>
  <c r="C5114" i="4"/>
  <c r="E5114" i="4"/>
  <c r="I5114" i="4"/>
  <c r="J5114" i="4"/>
  <c r="K5114" i="4" s="1"/>
  <c r="R5114" i="4"/>
  <c r="B5115" i="4"/>
  <c r="C5115" i="4"/>
  <c r="E5115" i="4"/>
  <c r="I5115" i="4"/>
  <c r="J5115" i="4"/>
  <c r="K5115" i="4" s="1"/>
  <c r="L5115" i="4" s="1"/>
  <c r="R5115" i="4"/>
  <c r="B5116" i="4"/>
  <c r="C5116" i="4"/>
  <c r="E5116" i="4"/>
  <c r="I5116" i="4"/>
  <c r="J5116" i="4"/>
  <c r="K5116" i="4" s="1"/>
  <c r="R5116" i="4"/>
  <c r="B5117" i="4"/>
  <c r="C5117" i="4"/>
  <c r="E5117" i="4"/>
  <c r="I5117" i="4"/>
  <c r="J5117" i="4"/>
  <c r="K5117" i="4" s="1"/>
  <c r="R5117" i="4"/>
  <c r="B5118" i="4"/>
  <c r="C5118" i="4"/>
  <c r="E5118" i="4"/>
  <c r="I5118" i="4"/>
  <c r="J5118" i="4"/>
  <c r="K5118" i="4" s="1"/>
  <c r="L5118" i="4" s="1"/>
  <c r="R5118" i="4"/>
  <c r="B5119" i="4"/>
  <c r="C5119" i="4"/>
  <c r="E5119" i="4"/>
  <c r="I5119" i="4"/>
  <c r="J5119" i="4"/>
  <c r="K5119" i="4" s="1"/>
  <c r="L5119" i="4" s="1"/>
  <c r="R5119" i="4"/>
  <c r="B5120" i="4"/>
  <c r="C5120" i="4"/>
  <c r="E5120" i="4"/>
  <c r="I5120" i="4"/>
  <c r="J5120" i="4"/>
  <c r="K5120" i="4" s="1"/>
  <c r="L5120" i="4" s="1"/>
  <c r="R5120" i="4"/>
  <c r="B5121" i="4"/>
  <c r="C5121" i="4"/>
  <c r="E5121" i="4"/>
  <c r="I5121" i="4"/>
  <c r="J5121" i="4"/>
  <c r="K5121" i="4" s="1"/>
  <c r="M5121" i="4" s="1"/>
  <c r="R5121" i="4"/>
  <c r="B5122" i="4"/>
  <c r="C5122" i="4"/>
  <c r="E5122" i="4"/>
  <c r="I5122" i="4"/>
  <c r="J5122" i="4"/>
  <c r="K5122" i="4" s="1"/>
  <c r="R5122" i="4"/>
  <c r="B5123" i="4"/>
  <c r="C5123" i="4"/>
  <c r="E5123" i="4"/>
  <c r="I5123" i="4"/>
  <c r="J5123" i="4"/>
  <c r="K5123" i="4" s="1"/>
  <c r="L5123" i="4" s="1"/>
  <c r="R5123" i="4"/>
  <c r="B5124" i="4"/>
  <c r="C5124" i="4"/>
  <c r="E5124" i="4"/>
  <c r="I5124" i="4"/>
  <c r="J5124" i="4"/>
  <c r="K5124" i="4" s="1"/>
  <c r="R5124" i="4"/>
  <c r="B5125" i="4"/>
  <c r="C5125" i="4"/>
  <c r="E5125" i="4"/>
  <c r="I5125" i="4"/>
  <c r="J5125" i="4"/>
  <c r="K5125" i="4" s="1"/>
  <c r="R5125" i="4"/>
  <c r="B5126" i="4"/>
  <c r="C5126" i="4"/>
  <c r="E5126" i="4"/>
  <c r="I5126" i="4"/>
  <c r="J5126" i="4"/>
  <c r="K5126" i="4" s="1"/>
  <c r="L5126" i="4" s="1"/>
  <c r="R5126" i="4"/>
  <c r="B5127" i="4"/>
  <c r="C5127" i="4"/>
  <c r="E5127" i="4"/>
  <c r="I5127" i="4"/>
  <c r="J5127" i="4"/>
  <c r="K5127" i="4" s="1"/>
  <c r="L5127" i="4" s="1"/>
  <c r="R5127" i="4"/>
  <c r="B5128" i="4"/>
  <c r="C5128" i="4"/>
  <c r="E5128" i="4"/>
  <c r="I5128" i="4"/>
  <c r="J5128" i="4"/>
  <c r="K5128" i="4" s="1"/>
  <c r="R5128" i="4"/>
  <c r="B5129" i="4"/>
  <c r="C5129" i="4"/>
  <c r="E5129" i="4"/>
  <c r="I5129" i="4"/>
  <c r="J5129" i="4"/>
  <c r="K5129" i="4" s="1"/>
  <c r="R5129" i="4"/>
  <c r="B5130" i="4"/>
  <c r="C5130" i="4"/>
  <c r="E5130" i="4"/>
  <c r="I5130" i="4"/>
  <c r="J5130" i="4"/>
  <c r="K5130" i="4" s="1"/>
  <c r="L5130" i="4" s="1"/>
  <c r="R5130" i="4"/>
  <c r="B5131" i="4"/>
  <c r="C5131" i="4"/>
  <c r="E5131" i="4"/>
  <c r="I5131" i="4"/>
  <c r="J5131" i="4"/>
  <c r="K5131" i="4" s="1"/>
  <c r="L5131" i="4" s="1"/>
  <c r="R5131" i="4"/>
  <c r="B5132" i="4"/>
  <c r="C5132" i="4"/>
  <c r="E5132" i="4"/>
  <c r="I5132" i="4"/>
  <c r="J5132" i="4"/>
  <c r="K5132" i="4" s="1"/>
  <c r="L5132" i="4" s="1"/>
  <c r="R5132" i="4"/>
  <c r="B5133" i="4"/>
  <c r="C5133" i="4"/>
  <c r="E5133" i="4"/>
  <c r="I5133" i="4"/>
  <c r="J5133" i="4"/>
  <c r="K5133" i="4" s="1"/>
  <c r="R5133" i="4"/>
  <c r="B5134" i="4"/>
  <c r="C5134" i="4"/>
  <c r="E5134" i="4"/>
  <c r="I5134" i="4"/>
  <c r="J5134" i="4"/>
  <c r="K5134" i="4" s="1"/>
  <c r="L5134" i="4" s="1"/>
  <c r="R5134" i="4"/>
  <c r="B5135" i="4"/>
  <c r="C5135" i="4"/>
  <c r="E5135" i="4"/>
  <c r="I5135" i="4"/>
  <c r="J5135" i="4"/>
  <c r="K5135" i="4" s="1"/>
  <c r="L5135" i="4" s="1"/>
  <c r="R5135" i="4"/>
  <c r="B5136" i="4"/>
  <c r="C5136" i="4"/>
  <c r="E5136" i="4"/>
  <c r="I5136" i="4"/>
  <c r="J5136" i="4"/>
  <c r="K5136" i="4" s="1"/>
  <c r="L5136" i="4" s="1"/>
  <c r="R5136" i="4"/>
  <c r="B5137" i="4"/>
  <c r="C5137" i="4"/>
  <c r="E5137" i="4"/>
  <c r="I5137" i="4"/>
  <c r="J5137" i="4"/>
  <c r="K5137" i="4" s="1"/>
  <c r="L5137" i="4" s="1"/>
  <c r="R5137" i="4"/>
  <c r="B5138" i="4"/>
  <c r="C5138" i="4"/>
  <c r="E5138" i="4"/>
  <c r="I5138" i="4"/>
  <c r="J5138" i="4"/>
  <c r="K5138" i="4" s="1"/>
  <c r="L5138" i="4" s="1"/>
  <c r="R5138" i="4"/>
  <c r="B5139" i="4"/>
  <c r="C5139" i="4"/>
  <c r="E5139" i="4"/>
  <c r="I5139" i="4"/>
  <c r="J5139" i="4"/>
  <c r="K5139" i="4" s="1"/>
  <c r="L5139" i="4" s="1"/>
  <c r="R5139" i="4"/>
  <c r="B5140" i="4"/>
  <c r="C5140" i="4"/>
  <c r="E5140" i="4"/>
  <c r="I5140" i="4"/>
  <c r="J5140" i="4"/>
  <c r="K5140" i="4" s="1"/>
  <c r="L5140" i="4" s="1"/>
  <c r="R5140" i="4"/>
  <c r="B5143" i="4"/>
  <c r="C5143" i="4"/>
  <c r="E5143" i="4"/>
  <c r="I5143" i="4"/>
  <c r="J5143" i="4"/>
  <c r="K5143" i="4" s="1"/>
  <c r="L5143" i="4" s="1"/>
  <c r="R5143" i="4"/>
  <c r="B5144" i="4"/>
  <c r="C5144" i="4"/>
  <c r="E5144" i="4"/>
  <c r="I5144" i="4"/>
  <c r="J5144" i="4"/>
  <c r="K5144" i="4" s="1"/>
  <c r="L5144" i="4" s="1"/>
  <c r="R5144" i="4"/>
  <c r="B5145" i="4"/>
  <c r="C5145" i="4"/>
  <c r="E5145" i="4"/>
  <c r="I5145" i="4"/>
  <c r="J5145" i="4"/>
  <c r="K5145" i="4" s="1"/>
  <c r="L5145" i="4" s="1"/>
  <c r="R5145" i="4"/>
  <c r="B5146" i="4"/>
  <c r="C5146" i="4"/>
  <c r="E5146" i="4"/>
  <c r="I5146" i="4"/>
  <c r="J5146" i="4"/>
  <c r="K5146" i="4" s="1"/>
  <c r="L5146" i="4" s="1"/>
  <c r="R5146" i="4"/>
  <c r="B5147" i="4"/>
  <c r="C5147" i="4"/>
  <c r="E5147" i="4"/>
  <c r="I5147" i="4"/>
  <c r="J5147" i="4"/>
  <c r="K5147" i="4" s="1"/>
  <c r="R5147" i="4"/>
  <c r="B5148" i="4"/>
  <c r="C5148" i="4"/>
  <c r="E5148" i="4"/>
  <c r="I5148" i="4"/>
  <c r="J5148" i="4"/>
  <c r="K5148" i="4" s="1"/>
  <c r="R5148" i="4"/>
  <c r="B5149" i="4"/>
  <c r="C5149" i="4"/>
  <c r="E5149" i="4"/>
  <c r="I5149" i="4"/>
  <c r="J5149" i="4"/>
  <c r="K5149" i="4" s="1"/>
  <c r="R5149" i="4"/>
  <c r="B5150" i="4"/>
  <c r="C5150" i="4"/>
  <c r="E5150" i="4"/>
  <c r="I5150" i="4"/>
  <c r="J5150" i="4"/>
  <c r="K5150" i="4" s="1"/>
  <c r="R5150" i="4"/>
  <c r="B5151" i="4"/>
  <c r="C5151" i="4"/>
  <c r="E5151" i="4"/>
  <c r="I5151" i="4"/>
  <c r="J5151" i="4"/>
  <c r="K5151" i="4" s="1"/>
  <c r="L5151" i="4" s="1"/>
  <c r="R5151" i="4"/>
  <c r="B5152" i="4"/>
  <c r="C5152" i="4"/>
  <c r="E5152" i="4"/>
  <c r="I5152" i="4"/>
  <c r="J5152" i="4"/>
  <c r="K5152" i="4" s="1"/>
  <c r="L5152" i="4" s="1"/>
  <c r="R5152" i="4"/>
  <c r="B5153" i="4"/>
  <c r="C5153" i="4"/>
  <c r="E5153" i="4"/>
  <c r="I5153" i="4"/>
  <c r="J5153" i="4"/>
  <c r="K5153" i="4" s="1"/>
  <c r="L5153" i="4" s="1"/>
  <c r="R5153" i="4"/>
  <c r="B5154" i="4"/>
  <c r="C5154" i="4"/>
  <c r="E5154" i="4"/>
  <c r="I5154" i="4"/>
  <c r="J5154" i="4"/>
  <c r="K5154" i="4" s="1"/>
  <c r="L5154" i="4" s="1"/>
  <c r="R5154" i="4"/>
  <c r="B5155" i="4"/>
  <c r="C5155" i="4"/>
  <c r="E5155" i="4"/>
  <c r="I5155" i="4"/>
  <c r="J5155" i="4"/>
  <c r="K5155" i="4" s="1"/>
  <c r="L5155" i="4" s="1"/>
  <c r="R5155" i="4"/>
  <c r="B5156" i="4"/>
  <c r="C5156" i="4"/>
  <c r="E5156" i="4"/>
  <c r="I5156" i="4"/>
  <c r="J5156" i="4"/>
  <c r="K5156" i="4" s="1"/>
  <c r="R5156" i="4"/>
  <c r="B5157" i="4"/>
  <c r="C5157" i="4"/>
  <c r="E5157" i="4"/>
  <c r="I5157" i="4"/>
  <c r="J5157" i="4"/>
  <c r="K5157" i="4" s="1"/>
  <c r="R5157" i="4"/>
  <c r="B5158" i="4"/>
  <c r="C5158" i="4"/>
  <c r="E5158" i="4"/>
  <c r="I5158" i="4"/>
  <c r="J5158" i="4"/>
  <c r="K5158" i="4" s="1"/>
  <c r="L5158" i="4" s="1"/>
  <c r="R5158" i="4"/>
  <c r="B5159" i="4"/>
  <c r="C5159" i="4"/>
  <c r="E5159" i="4"/>
  <c r="I5159" i="4"/>
  <c r="J5159" i="4"/>
  <c r="K5159" i="4" s="1"/>
  <c r="L5159" i="4" s="1"/>
  <c r="R5159" i="4"/>
  <c r="B5160" i="4"/>
  <c r="C5160" i="4"/>
  <c r="E5160" i="4"/>
  <c r="I5160" i="4"/>
  <c r="J5160" i="4"/>
  <c r="K5160" i="4" s="1"/>
  <c r="L5160" i="4" s="1"/>
  <c r="R5160" i="4"/>
  <c r="B5161" i="4"/>
  <c r="C5161" i="4"/>
  <c r="E5161" i="4"/>
  <c r="I5161" i="4"/>
  <c r="J5161" i="4"/>
  <c r="K5161" i="4" s="1"/>
  <c r="L5161" i="4" s="1"/>
  <c r="R5161" i="4"/>
  <c r="B5162" i="4"/>
  <c r="C5162" i="4"/>
  <c r="E5162" i="4"/>
  <c r="I5162" i="4"/>
  <c r="J5162" i="4"/>
  <c r="K5162" i="4" s="1"/>
  <c r="L5162" i="4" s="1"/>
  <c r="R5162" i="4"/>
  <c r="B5163" i="4"/>
  <c r="C5163" i="4"/>
  <c r="E5163" i="4"/>
  <c r="I5163" i="4"/>
  <c r="J5163" i="4"/>
  <c r="K5163" i="4" s="1"/>
  <c r="L5163" i="4" s="1"/>
  <c r="R5163" i="4"/>
  <c r="B5164" i="4"/>
  <c r="C5164" i="4"/>
  <c r="E5164" i="4"/>
  <c r="I5164" i="4"/>
  <c r="J5164" i="4"/>
  <c r="K5164" i="4" s="1"/>
  <c r="R5164" i="4"/>
  <c r="B5165" i="4"/>
  <c r="C5165" i="4"/>
  <c r="E5165" i="4"/>
  <c r="I5165" i="4"/>
  <c r="J5165" i="4"/>
  <c r="K5165" i="4" s="1"/>
  <c r="R5165" i="4"/>
  <c r="B5166" i="4"/>
  <c r="C5166" i="4"/>
  <c r="E5166" i="4"/>
  <c r="I5166" i="4"/>
  <c r="J5166" i="4"/>
  <c r="K5166" i="4" s="1"/>
  <c r="R5166" i="4"/>
  <c r="B5167" i="4"/>
  <c r="C5167" i="4"/>
  <c r="E5167" i="4"/>
  <c r="I5167" i="4"/>
  <c r="J5167" i="4"/>
  <c r="K5167" i="4" s="1"/>
  <c r="L5167" i="4" s="1"/>
  <c r="R5167" i="4"/>
  <c r="B5168" i="4"/>
  <c r="C5168" i="4"/>
  <c r="E5168" i="4"/>
  <c r="I5168" i="4"/>
  <c r="J5168" i="4"/>
  <c r="K5168" i="4" s="1"/>
  <c r="L5168" i="4" s="1"/>
  <c r="R5168" i="4"/>
  <c r="B5169" i="4"/>
  <c r="C5169" i="4"/>
  <c r="E5169" i="4"/>
  <c r="I5169" i="4"/>
  <c r="J5169" i="4"/>
  <c r="K5169" i="4" s="1"/>
  <c r="R5169" i="4"/>
  <c r="B5170" i="4"/>
  <c r="C5170" i="4"/>
  <c r="E5170" i="4"/>
  <c r="I5170" i="4"/>
  <c r="J5170" i="4"/>
  <c r="K5170" i="4" s="1"/>
  <c r="R5170" i="4"/>
  <c r="B5171" i="4"/>
  <c r="C5171" i="4"/>
  <c r="E5171" i="4"/>
  <c r="I5171" i="4"/>
  <c r="J5171" i="4"/>
  <c r="K5171" i="4" s="1"/>
  <c r="R5171" i="4"/>
  <c r="B5172" i="4"/>
  <c r="C5172" i="4"/>
  <c r="E5172" i="4"/>
  <c r="I5172" i="4"/>
  <c r="J5172" i="4"/>
  <c r="K5172" i="4" s="1"/>
  <c r="R5172" i="4"/>
  <c r="B5173" i="4"/>
  <c r="C5173" i="4"/>
  <c r="E5173" i="4"/>
  <c r="I5173" i="4"/>
  <c r="J5173" i="4"/>
  <c r="K5173" i="4" s="1"/>
  <c r="R5173" i="4"/>
  <c r="B5174" i="4"/>
  <c r="C5174" i="4"/>
  <c r="E5174" i="4"/>
  <c r="I5174" i="4"/>
  <c r="J5174" i="4"/>
  <c r="K5174" i="4" s="1"/>
  <c r="R5174" i="4"/>
  <c r="B5175" i="4"/>
  <c r="C5175" i="4"/>
  <c r="E5175" i="4"/>
  <c r="I5175" i="4"/>
  <c r="J5175" i="4"/>
  <c r="K5175" i="4" s="1"/>
  <c r="L5175" i="4" s="1"/>
  <c r="R5175" i="4"/>
  <c r="B5176" i="4"/>
  <c r="C5176" i="4"/>
  <c r="E5176" i="4"/>
  <c r="I5176" i="4"/>
  <c r="J5176" i="4"/>
  <c r="K5176" i="4" s="1"/>
  <c r="L5176" i="4" s="1"/>
  <c r="R5176" i="4"/>
  <c r="B5177" i="4"/>
  <c r="C5177" i="4"/>
  <c r="E5177" i="4"/>
  <c r="I5177" i="4"/>
  <c r="J5177" i="4"/>
  <c r="K5177" i="4" s="1"/>
  <c r="R5177" i="4"/>
  <c r="B5178" i="4"/>
  <c r="C5178" i="4"/>
  <c r="E5178" i="4"/>
  <c r="I5178" i="4"/>
  <c r="J5178" i="4"/>
  <c r="K5178" i="4" s="1"/>
  <c r="R5178" i="4"/>
  <c r="B5179" i="4"/>
  <c r="C5179" i="4"/>
  <c r="E5179" i="4"/>
  <c r="I5179" i="4"/>
  <c r="J5179" i="4"/>
  <c r="K5179" i="4" s="1"/>
  <c r="L5179" i="4" s="1"/>
  <c r="R5179" i="4"/>
  <c r="B5180" i="4"/>
  <c r="C5180" i="4"/>
  <c r="E5180" i="4"/>
  <c r="I5180" i="4"/>
  <c r="J5180" i="4"/>
  <c r="K5180" i="4" s="1"/>
  <c r="R5180" i="4"/>
  <c r="B5181" i="4"/>
  <c r="C5181" i="4"/>
  <c r="E5181" i="4"/>
  <c r="I5181" i="4"/>
  <c r="J5181" i="4"/>
  <c r="K5181" i="4" s="1"/>
  <c r="R5181" i="4"/>
  <c r="B5182" i="4"/>
  <c r="C5182" i="4"/>
  <c r="E5182" i="4"/>
  <c r="I5182" i="4"/>
  <c r="J5182" i="4"/>
  <c r="K5182" i="4" s="1"/>
  <c r="R5182" i="4"/>
  <c r="B5183" i="4"/>
  <c r="C5183" i="4"/>
  <c r="E5183" i="4"/>
  <c r="I5183" i="4"/>
  <c r="J5183" i="4"/>
  <c r="K5183" i="4" s="1"/>
  <c r="L5183" i="4" s="1"/>
  <c r="R5183" i="4"/>
  <c r="B5184" i="4"/>
  <c r="C5184" i="4"/>
  <c r="E5184" i="4"/>
  <c r="I5184" i="4"/>
  <c r="J5184" i="4"/>
  <c r="K5184" i="4" s="1"/>
  <c r="L5184" i="4" s="1"/>
  <c r="R5184" i="4"/>
  <c r="B5185" i="4"/>
  <c r="C5185" i="4"/>
  <c r="E5185" i="4"/>
  <c r="I5185" i="4"/>
  <c r="J5185" i="4"/>
  <c r="K5185" i="4" s="1"/>
  <c r="R5185" i="4"/>
  <c r="B5186" i="4"/>
  <c r="C5186" i="4"/>
  <c r="E5186" i="4"/>
  <c r="I5186" i="4"/>
  <c r="J5186" i="4"/>
  <c r="K5186" i="4" s="1"/>
  <c r="R5186" i="4"/>
  <c r="B5187" i="4"/>
  <c r="C5187" i="4"/>
  <c r="E5187" i="4"/>
  <c r="I5187" i="4"/>
  <c r="J5187" i="4"/>
  <c r="K5187" i="4" s="1"/>
  <c r="M5187" i="4" s="1"/>
  <c r="R5187" i="4"/>
  <c r="B5188" i="4"/>
  <c r="C5188" i="4"/>
  <c r="E5188" i="4"/>
  <c r="I5188" i="4"/>
  <c r="J5188" i="4"/>
  <c r="K5188" i="4" s="1"/>
  <c r="L5188" i="4" s="1"/>
  <c r="R5188" i="4"/>
  <c r="B5189" i="4"/>
  <c r="C5189" i="4"/>
  <c r="E5189" i="4"/>
  <c r="I5189" i="4"/>
  <c r="J5189" i="4"/>
  <c r="K5189" i="4" s="1"/>
  <c r="R5189" i="4"/>
  <c r="B5190" i="4"/>
  <c r="C5190" i="4"/>
  <c r="E5190" i="4"/>
  <c r="I5190" i="4"/>
  <c r="J5190" i="4"/>
  <c r="K5190" i="4" s="1"/>
  <c r="M5190" i="4" s="1"/>
  <c r="R5190" i="4"/>
  <c r="B5191" i="4"/>
  <c r="C5191" i="4"/>
  <c r="E5191" i="4"/>
  <c r="I5191" i="4"/>
  <c r="J5191" i="4"/>
  <c r="K5191" i="4" s="1"/>
  <c r="L5191" i="4" s="1"/>
  <c r="R5191" i="4"/>
  <c r="B5192" i="4"/>
  <c r="C5192" i="4"/>
  <c r="E5192" i="4"/>
  <c r="I5192" i="4"/>
  <c r="J5192" i="4"/>
  <c r="K5192" i="4" s="1"/>
  <c r="L5192" i="4" s="1"/>
  <c r="R5192" i="4"/>
  <c r="B5193" i="4"/>
  <c r="C5193" i="4"/>
  <c r="E5193" i="4"/>
  <c r="I5193" i="4"/>
  <c r="J5193" i="4"/>
  <c r="K5193" i="4" s="1"/>
  <c r="R5193" i="4"/>
  <c r="B5194" i="4"/>
  <c r="C5194" i="4"/>
  <c r="E5194" i="4"/>
  <c r="I5194" i="4"/>
  <c r="J5194" i="4"/>
  <c r="K5194" i="4"/>
  <c r="M5194" i="4" s="1"/>
  <c r="R5194" i="4"/>
  <c r="B5195" i="4"/>
  <c r="C5195" i="4"/>
  <c r="E5195" i="4"/>
  <c r="I5195" i="4"/>
  <c r="J5195" i="4"/>
  <c r="K5195" i="4" s="1"/>
  <c r="R5195" i="4"/>
  <c r="B5196" i="4"/>
  <c r="C5196" i="4"/>
  <c r="E5196" i="4"/>
  <c r="I5196" i="4"/>
  <c r="J5196" i="4"/>
  <c r="K5196" i="4" s="1"/>
  <c r="R5196" i="4"/>
  <c r="R5092" i="4"/>
  <c r="I5092" i="4"/>
  <c r="J5092" i="4"/>
  <c r="K5092" i="4" s="1"/>
  <c r="E5092" i="4"/>
  <c r="B5092" i="4"/>
  <c r="C5092" i="4"/>
  <c r="L5142" i="4" l="1"/>
  <c r="M5142" i="4"/>
  <c r="L5141" i="4"/>
  <c r="M5141" i="4"/>
  <c r="M5162" i="4"/>
  <c r="L5193" i="4"/>
  <c r="M5193" i="4"/>
  <c r="M5185" i="4"/>
  <c r="L5185" i="4"/>
  <c r="L5164" i="4"/>
  <c r="M5164" i="4"/>
  <c r="L5174" i="4"/>
  <c r="M5174" i="4"/>
  <c r="M5148" i="4"/>
  <c r="L5148" i="4"/>
  <c r="M5137" i="4"/>
  <c r="M5146" i="4"/>
  <c r="L5187" i="4"/>
  <c r="M5147" i="4"/>
  <c r="L5147" i="4"/>
  <c r="M5166" i="4"/>
  <c r="L5166" i="4"/>
  <c r="M5177" i="4"/>
  <c r="L5177" i="4"/>
  <c r="L5178" i="4"/>
  <c r="M5178" i="4"/>
  <c r="L5150" i="4"/>
  <c r="M5150" i="4"/>
  <c r="M5170" i="4"/>
  <c r="L5170" i="4"/>
  <c r="L5100" i="4"/>
  <c r="M5100" i="4"/>
  <c r="L5195" i="4"/>
  <c r="M5195" i="4"/>
  <c r="L5124" i="4"/>
  <c r="M5124" i="4"/>
  <c r="M5172" i="4"/>
  <c r="L5172" i="4"/>
  <c r="M5114" i="4"/>
  <c r="L5114" i="4"/>
  <c r="M5180" i="4"/>
  <c r="L5180" i="4"/>
  <c r="L5182" i="4"/>
  <c r="M5182" i="4"/>
  <c r="L5186" i="4"/>
  <c r="M5186" i="4"/>
  <c r="L5128" i="4"/>
  <c r="M5128" i="4"/>
  <c r="L5122" i="4"/>
  <c r="M5122" i="4"/>
  <c r="M5169" i="4"/>
  <c r="L5169" i="4"/>
  <c r="M5113" i="4"/>
  <c r="M5136" i="4"/>
  <c r="L5190" i="4"/>
  <c r="M5196" i="4"/>
  <c r="L5196" i="4"/>
  <c r="L5106" i="4"/>
  <c r="M5106" i="4"/>
  <c r="L5129" i="4"/>
  <c r="M5129" i="4"/>
  <c r="M5156" i="4"/>
  <c r="L5156" i="4"/>
  <c r="M5171" i="4"/>
  <c r="L5171" i="4"/>
  <c r="L5116" i="4"/>
  <c r="M5116" i="4"/>
  <c r="L5107" i="4"/>
  <c r="M5107" i="4"/>
  <c r="M5158" i="4"/>
  <c r="M5154" i="4"/>
  <c r="M5105" i="4"/>
  <c r="M5155" i="4"/>
  <c r="M5130" i="4"/>
  <c r="L5194" i="4"/>
  <c r="M5153" i="4"/>
  <c r="M5132" i="4"/>
  <c r="M5163" i="4"/>
  <c r="M5138" i="4"/>
  <c r="M5140" i="4"/>
  <c r="M5115" i="4"/>
  <c r="M5098" i="4"/>
  <c r="M5139" i="4"/>
  <c r="M5131" i="4"/>
  <c r="M5123" i="4"/>
  <c r="M5179" i="4"/>
  <c r="M5108" i="4"/>
  <c r="M5161" i="4"/>
  <c r="M5097" i="4"/>
  <c r="M5188" i="4"/>
  <c r="L5101" i="4"/>
  <c r="M5101" i="4"/>
  <c r="L5157" i="4"/>
  <c r="M5157" i="4"/>
  <c r="L5109" i="4"/>
  <c r="M5109" i="4"/>
  <c r="L5117" i="4"/>
  <c r="M5117" i="4"/>
  <c r="M5189" i="4"/>
  <c r="L5189" i="4"/>
  <c r="L5181" i="4"/>
  <c r="M5181" i="4"/>
  <c r="M5173" i="4"/>
  <c r="L5173" i="4"/>
  <c r="M5149" i="4"/>
  <c r="L5149" i="4"/>
  <c r="L5133" i="4"/>
  <c r="M5133" i="4"/>
  <c r="L5125" i="4"/>
  <c r="M5125" i="4"/>
  <c r="L5165" i="4"/>
  <c r="M5165" i="4"/>
  <c r="L5093" i="4"/>
  <c r="M5093" i="4"/>
  <c r="L5099" i="4"/>
  <c r="M5099" i="4"/>
  <c r="L5121" i="4"/>
  <c r="M5145" i="4"/>
  <c r="M5135" i="4"/>
  <c r="M5127" i="4"/>
  <c r="M5119" i="4"/>
  <c r="M5111" i="4"/>
  <c r="M5103" i="4"/>
  <c r="M5095" i="4"/>
  <c r="M5191" i="4"/>
  <c r="M5175" i="4"/>
  <c r="M5167" i="4"/>
  <c r="M5159" i="4"/>
  <c r="M5151" i="4"/>
  <c r="M5143" i="4"/>
  <c r="M5183" i="4"/>
  <c r="M5120" i="4"/>
  <c r="M5112" i="4"/>
  <c r="M5104" i="4"/>
  <c r="M5096" i="4"/>
  <c r="M5192" i="4"/>
  <c r="M5184" i="4"/>
  <c r="M5176" i="4"/>
  <c r="M5168" i="4"/>
  <c r="M5160" i="4"/>
  <c r="M5152" i="4"/>
  <c r="M5144" i="4"/>
  <c r="M5134" i="4"/>
  <c r="M5126" i="4"/>
  <c r="M5118" i="4"/>
  <c r="M5110" i="4"/>
  <c r="M5102" i="4"/>
  <c r="M5094" i="4"/>
  <c r="L5092" i="4"/>
  <c r="M5092" i="4"/>
  <c r="B4992" i="4" l="1"/>
  <c r="C4992" i="4"/>
  <c r="E4992" i="4"/>
  <c r="I4992" i="4"/>
  <c r="J4992" i="4"/>
  <c r="K4992" i="4" s="1"/>
  <c r="R4992" i="4"/>
  <c r="B4993" i="4"/>
  <c r="C4993" i="4"/>
  <c r="E4993" i="4"/>
  <c r="I4993" i="4"/>
  <c r="J4993" i="4"/>
  <c r="K4993" i="4" s="1"/>
  <c r="L4993" i="4" s="1"/>
  <c r="R4993" i="4"/>
  <c r="B4994" i="4"/>
  <c r="C4994" i="4"/>
  <c r="E4994" i="4"/>
  <c r="I4994" i="4"/>
  <c r="J4994" i="4"/>
  <c r="K4994" i="4" s="1"/>
  <c r="R4994" i="4"/>
  <c r="B4995" i="4"/>
  <c r="C4995" i="4"/>
  <c r="E4995" i="4"/>
  <c r="I4995" i="4"/>
  <c r="J4995" i="4"/>
  <c r="K4995" i="4" s="1"/>
  <c r="R4995" i="4"/>
  <c r="B4996" i="4"/>
  <c r="C4996" i="4"/>
  <c r="E4996" i="4"/>
  <c r="I4996" i="4"/>
  <c r="J4996" i="4"/>
  <c r="K4996" i="4" s="1"/>
  <c r="L4996" i="4" s="1"/>
  <c r="R4996" i="4"/>
  <c r="B4997" i="4"/>
  <c r="C4997" i="4"/>
  <c r="E4997" i="4"/>
  <c r="I4997" i="4"/>
  <c r="J4997" i="4"/>
  <c r="K4997" i="4" s="1"/>
  <c r="R4997" i="4"/>
  <c r="B4998" i="4"/>
  <c r="C4998" i="4"/>
  <c r="E4998" i="4"/>
  <c r="I4998" i="4"/>
  <c r="J4998" i="4"/>
  <c r="K4998" i="4" s="1"/>
  <c r="L4998" i="4" s="1"/>
  <c r="R4998" i="4"/>
  <c r="B4999" i="4"/>
  <c r="C4999" i="4"/>
  <c r="E4999" i="4"/>
  <c r="I4999" i="4"/>
  <c r="J4999" i="4"/>
  <c r="K4999" i="4" s="1"/>
  <c r="R4999" i="4"/>
  <c r="B5000" i="4"/>
  <c r="C5000" i="4"/>
  <c r="E5000" i="4"/>
  <c r="I5000" i="4"/>
  <c r="J5000" i="4"/>
  <c r="K5000" i="4" s="1"/>
  <c r="L5000" i="4" s="1"/>
  <c r="R5000" i="4"/>
  <c r="B5001" i="4"/>
  <c r="C5001" i="4"/>
  <c r="E5001" i="4"/>
  <c r="I5001" i="4"/>
  <c r="J5001" i="4"/>
  <c r="K5001" i="4" s="1"/>
  <c r="L5001" i="4" s="1"/>
  <c r="R5001" i="4"/>
  <c r="B5002" i="4"/>
  <c r="C5002" i="4"/>
  <c r="E5002" i="4"/>
  <c r="I5002" i="4"/>
  <c r="J5002" i="4"/>
  <c r="K5002" i="4" s="1"/>
  <c r="R5002" i="4"/>
  <c r="B5003" i="4"/>
  <c r="C5003" i="4"/>
  <c r="E5003" i="4"/>
  <c r="I5003" i="4"/>
  <c r="J5003" i="4"/>
  <c r="K5003" i="4" s="1"/>
  <c r="R5003" i="4"/>
  <c r="B5004" i="4"/>
  <c r="C5004" i="4"/>
  <c r="E5004" i="4"/>
  <c r="I5004" i="4"/>
  <c r="J5004" i="4"/>
  <c r="K5004" i="4" s="1"/>
  <c r="R5004" i="4"/>
  <c r="B5005" i="4"/>
  <c r="C5005" i="4"/>
  <c r="E5005" i="4"/>
  <c r="I5005" i="4"/>
  <c r="J5005" i="4"/>
  <c r="K5005" i="4" s="1"/>
  <c r="L5005" i="4" s="1"/>
  <c r="R5005" i="4"/>
  <c r="B5006" i="4"/>
  <c r="C5006" i="4"/>
  <c r="E5006" i="4"/>
  <c r="I5006" i="4"/>
  <c r="J5006" i="4"/>
  <c r="K5006" i="4" s="1"/>
  <c r="L5006" i="4" s="1"/>
  <c r="R5006" i="4"/>
  <c r="B5007" i="4"/>
  <c r="C5007" i="4"/>
  <c r="E5007" i="4"/>
  <c r="I5007" i="4"/>
  <c r="J5007" i="4"/>
  <c r="K5007" i="4" s="1"/>
  <c r="R5007" i="4"/>
  <c r="B5008" i="4"/>
  <c r="C5008" i="4"/>
  <c r="E5008" i="4"/>
  <c r="I5008" i="4"/>
  <c r="J5008" i="4"/>
  <c r="K5008" i="4" s="1"/>
  <c r="L5008" i="4" s="1"/>
  <c r="R5008" i="4"/>
  <c r="B5009" i="4"/>
  <c r="C5009" i="4"/>
  <c r="E5009" i="4"/>
  <c r="I5009" i="4"/>
  <c r="J5009" i="4"/>
  <c r="K5009" i="4" s="1"/>
  <c r="L5009" i="4" s="1"/>
  <c r="R5009" i="4"/>
  <c r="B5010" i="4"/>
  <c r="C5010" i="4"/>
  <c r="E5010" i="4"/>
  <c r="I5010" i="4"/>
  <c r="J5010" i="4"/>
  <c r="K5010" i="4" s="1"/>
  <c r="R5010" i="4"/>
  <c r="B5011" i="4"/>
  <c r="C5011" i="4"/>
  <c r="E5011" i="4"/>
  <c r="I5011" i="4"/>
  <c r="J5011" i="4"/>
  <c r="K5011" i="4" s="1"/>
  <c r="L5011" i="4" s="1"/>
  <c r="R5011" i="4"/>
  <c r="B5012" i="4"/>
  <c r="C5012" i="4"/>
  <c r="E5012" i="4"/>
  <c r="I5012" i="4"/>
  <c r="J5012" i="4"/>
  <c r="K5012" i="4" s="1"/>
  <c r="R5012" i="4"/>
  <c r="B5013" i="4"/>
  <c r="C5013" i="4"/>
  <c r="E5013" i="4"/>
  <c r="I5013" i="4"/>
  <c r="J5013" i="4"/>
  <c r="K5013" i="4" s="1"/>
  <c r="L5013" i="4" s="1"/>
  <c r="R5013" i="4"/>
  <c r="B5014" i="4"/>
  <c r="C5014" i="4"/>
  <c r="E5014" i="4"/>
  <c r="I5014" i="4"/>
  <c r="J5014" i="4"/>
  <c r="K5014" i="4" s="1"/>
  <c r="L5014" i="4" s="1"/>
  <c r="R5014" i="4"/>
  <c r="B5015" i="4"/>
  <c r="C5015" i="4"/>
  <c r="E5015" i="4"/>
  <c r="I5015" i="4"/>
  <c r="J5015" i="4"/>
  <c r="K5015" i="4" s="1"/>
  <c r="R5015" i="4"/>
  <c r="B5016" i="4"/>
  <c r="C5016" i="4"/>
  <c r="E5016" i="4"/>
  <c r="I5016" i="4"/>
  <c r="J5016" i="4"/>
  <c r="K5016" i="4" s="1"/>
  <c r="L5016" i="4" s="1"/>
  <c r="R5016" i="4"/>
  <c r="B5017" i="4"/>
  <c r="C5017" i="4"/>
  <c r="E5017" i="4"/>
  <c r="I5017" i="4"/>
  <c r="J5017" i="4"/>
  <c r="K5017" i="4" s="1"/>
  <c r="L5017" i="4" s="1"/>
  <c r="R5017" i="4"/>
  <c r="B5018" i="4"/>
  <c r="C5018" i="4"/>
  <c r="E5018" i="4"/>
  <c r="I5018" i="4"/>
  <c r="J5018" i="4"/>
  <c r="K5018" i="4" s="1"/>
  <c r="R5018" i="4"/>
  <c r="B5019" i="4"/>
  <c r="C5019" i="4"/>
  <c r="E5019" i="4"/>
  <c r="I5019" i="4"/>
  <c r="J5019" i="4"/>
  <c r="K5019" i="4" s="1"/>
  <c r="R5019" i="4"/>
  <c r="B5020" i="4"/>
  <c r="C5020" i="4"/>
  <c r="E5020" i="4"/>
  <c r="I5020" i="4"/>
  <c r="J5020" i="4"/>
  <c r="K5020" i="4" s="1"/>
  <c r="R5020" i="4"/>
  <c r="B5021" i="4"/>
  <c r="C5021" i="4"/>
  <c r="E5021" i="4"/>
  <c r="I5021" i="4"/>
  <c r="J5021" i="4"/>
  <c r="K5021" i="4" s="1"/>
  <c r="R5021" i="4"/>
  <c r="B5022" i="4"/>
  <c r="C5022" i="4"/>
  <c r="E5022" i="4"/>
  <c r="I5022" i="4"/>
  <c r="J5022" i="4"/>
  <c r="K5022" i="4" s="1"/>
  <c r="L5022" i="4" s="1"/>
  <c r="R5022" i="4"/>
  <c r="B5023" i="4"/>
  <c r="C5023" i="4"/>
  <c r="E5023" i="4"/>
  <c r="I5023" i="4"/>
  <c r="J5023" i="4"/>
  <c r="K5023" i="4" s="1"/>
  <c r="L5023" i="4" s="1"/>
  <c r="R5023" i="4"/>
  <c r="B5024" i="4"/>
  <c r="C5024" i="4"/>
  <c r="E5024" i="4"/>
  <c r="I5024" i="4"/>
  <c r="J5024" i="4"/>
  <c r="K5024" i="4" s="1"/>
  <c r="R5024" i="4"/>
  <c r="B5025" i="4"/>
  <c r="C5025" i="4"/>
  <c r="E5025" i="4"/>
  <c r="I5025" i="4"/>
  <c r="J5025" i="4"/>
  <c r="K5025" i="4" s="1"/>
  <c r="L5025" i="4" s="1"/>
  <c r="R5025" i="4"/>
  <c r="B5026" i="4"/>
  <c r="C5026" i="4"/>
  <c r="E5026" i="4"/>
  <c r="I5026" i="4"/>
  <c r="J5026" i="4"/>
  <c r="K5026" i="4" s="1"/>
  <c r="R5026" i="4"/>
  <c r="B5027" i="4"/>
  <c r="C5027" i="4"/>
  <c r="E5027" i="4"/>
  <c r="I5027" i="4"/>
  <c r="J5027" i="4"/>
  <c r="K5027" i="4" s="1"/>
  <c r="L5027" i="4" s="1"/>
  <c r="R5027" i="4"/>
  <c r="B5028" i="4"/>
  <c r="C5028" i="4"/>
  <c r="E5028" i="4"/>
  <c r="I5028" i="4"/>
  <c r="J5028" i="4"/>
  <c r="K5028" i="4" s="1"/>
  <c r="L5028" i="4" s="1"/>
  <c r="R5028" i="4"/>
  <c r="B5029" i="4"/>
  <c r="C5029" i="4"/>
  <c r="E5029" i="4"/>
  <c r="I5029" i="4"/>
  <c r="J5029" i="4"/>
  <c r="K5029" i="4" s="1"/>
  <c r="L5029" i="4" s="1"/>
  <c r="R5029" i="4"/>
  <c r="B5030" i="4"/>
  <c r="C5030" i="4"/>
  <c r="E5030" i="4"/>
  <c r="I5030" i="4"/>
  <c r="J5030" i="4"/>
  <c r="K5030" i="4" s="1"/>
  <c r="L5030" i="4" s="1"/>
  <c r="R5030" i="4"/>
  <c r="B5031" i="4"/>
  <c r="C5031" i="4"/>
  <c r="E5031" i="4"/>
  <c r="I5031" i="4"/>
  <c r="J5031" i="4"/>
  <c r="K5031" i="4" s="1"/>
  <c r="L5031" i="4" s="1"/>
  <c r="R5031" i="4"/>
  <c r="B5032" i="4"/>
  <c r="C5032" i="4"/>
  <c r="E5032" i="4"/>
  <c r="I5032" i="4"/>
  <c r="J5032" i="4"/>
  <c r="K5032" i="4" s="1"/>
  <c r="R5032" i="4"/>
  <c r="B5033" i="4"/>
  <c r="C5033" i="4"/>
  <c r="E5033" i="4"/>
  <c r="I5033" i="4"/>
  <c r="J5033" i="4"/>
  <c r="K5033" i="4" s="1"/>
  <c r="L5033" i="4" s="1"/>
  <c r="R5033" i="4"/>
  <c r="B5034" i="4"/>
  <c r="C5034" i="4"/>
  <c r="E5034" i="4"/>
  <c r="I5034" i="4"/>
  <c r="J5034" i="4"/>
  <c r="K5034" i="4" s="1"/>
  <c r="L5034" i="4" s="1"/>
  <c r="R5034" i="4"/>
  <c r="B5035" i="4"/>
  <c r="C5035" i="4"/>
  <c r="E5035" i="4"/>
  <c r="I5035" i="4"/>
  <c r="J5035" i="4"/>
  <c r="K5035" i="4" s="1"/>
  <c r="L5035" i="4" s="1"/>
  <c r="R5035" i="4"/>
  <c r="B5036" i="4"/>
  <c r="C5036" i="4"/>
  <c r="E5036" i="4"/>
  <c r="I5036" i="4"/>
  <c r="J5036" i="4"/>
  <c r="K5036" i="4" s="1"/>
  <c r="R5036" i="4"/>
  <c r="B5037" i="4"/>
  <c r="C5037" i="4"/>
  <c r="E5037" i="4"/>
  <c r="I5037" i="4"/>
  <c r="J5037" i="4"/>
  <c r="K5037" i="4" s="1"/>
  <c r="R5037" i="4"/>
  <c r="B5038" i="4"/>
  <c r="C5038" i="4"/>
  <c r="E5038" i="4"/>
  <c r="I5038" i="4"/>
  <c r="J5038" i="4"/>
  <c r="K5038" i="4" s="1"/>
  <c r="L5038" i="4" s="1"/>
  <c r="R5038" i="4"/>
  <c r="B5039" i="4"/>
  <c r="C5039" i="4"/>
  <c r="E5039" i="4"/>
  <c r="I5039" i="4"/>
  <c r="J5039" i="4"/>
  <c r="K5039" i="4" s="1"/>
  <c r="L5039" i="4" s="1"/>
  <c r="R5039" i="4"/>
  <c r="B5040" i="4"/>
  <c r="C5040" i="4"/>
  <c r="E5040" i="4"/>
  <c r="I5040" i="4"/>
  <c r="J5040" i="4"/>
  <c r="K5040" i="4" s="1"/>
  <c r="R5040" i="4"/>
  <c r="B5041" i="4"/>
  <c r="C5041" i="4"/>
  <c r="E5041" i="4"/>
  <c r="I5041" i="4"/>
  <c r="J5041" i="4"/>
  <c r="K5041" i="4" s="1"/>
  <c r="L5041" i="4" s="1"/>
  <c r="R5041" i="4"/>
  <c r="B5042" i="4"/>
  <c r="C5042" i="4"/>
  <c r="E5042" i="4"/>
  <c r="I5042" i="4"/>
  <c r="J5042" i="4"/>
  <c r="K5042" i="4" s="1"/>
  <c r="R5042" i="4"/>
  <c r="B5043" i="4"/>
  <c r="C5043" i="4"/>
  <c r="E5043" i="4"/>
  <c r="I5043" i="4"/>
  <c r="J5043" i="4"/>
  <c r="K5043" i="4" s="1"/>
  <c r="R5043" i="4"/>
  <c r="B5044" i="4"/>
  <c r="C5044" i="4"/>
  <c r="E5044" i="4"/>
  <c r="I5044" i="4"/>
  <c r="J5044" i="4"/>
  <c r="K5044" i="4" s="1"/>
  <c r="R5044" i="4"/>
  <c r="B5045" i="4"/>
  <c r="C5045" i="4"/>
  <c r="E5045" i="4"/>
  <c r="I5045" i="4"/>
  <c r="J5045" i="4"/>
  <c r="K5045" i="4" s="1"/>
  <c r="M5045" i="4" s="1"/>
  <c r="R5045" i="4"/>
  <c r="B5046" i="4"/>
  <c r="C5046" i="4"/>
  <c r="E5046" i="4"/>
  <c r="I5046" i="4"/>
  <c r="J5046" i="4"/>
  <c r="K5046" i="4" s="1"/>
  <c r="L5046" i="4" s="1"/>
  <c r="R5046" i="4"/>
  <c r="B5047" i="4"/>
  <c r="C5047" i="4"/>
  <c r="E5047" i="4"/>
  <c r="I5047" i="4"/>
  <c r="J5047" i="4"/>
  <c r="K5047" i="4" s="1"/>
  <c r="L5047" i="4" s="1"/>
  <c r="R5047" i="4"/>
  <c r="B5048" i="4"/>
  <c r="C5048" i="4"/>
  <c r="E5048" i="4"/>
  <c r="I5048" i="4"/>
  <c r="J5048" i="4"/>
  <c r="K5048" i="4" s="1"/>
  <c r="R5048" i="4"/>
  <c r="B5049" i="4"/>
  <c r="C5049" i="4"/>
  <c r="E5049" i="4"/>
  <c r="I5049" i="4"/>
  <c r="J5049" i="4"/>
  <c r="K5049" i="4" s="1"/>
  <c r="L5049" i="4" s="1"/>
  <c r="R5049" i="4"/>
  <c r="B5050" i="4"/>
  <c r="C5050" i="4"/>
  <c r="E5050" i="4"/>
  <c r="I5050" i="4"/>
  <c r="J5050" i="4"/>
  <c r="K5050" i="4" s="1"/>
  <c r="R5050" i="4"/>
  <c r="B5051" i="4"/>
  <c r="C5051" i="4"/>
  <c r="E5051" i="4"/>
  <c r="I5051" i="4"/>
  <c r="J5051" i="4"/>
  <c r="K5051" i="4" s="1"/>
  <c r="R5051" i="4"/>
  <c r="B5052" i="4"/>
  <c r="C5052" i="4"/>
  <c r="E5052" i="4"/>
  <c r="I5052" i="4"/>
  <c r="J5052" i="4"/>
  <c r="K5052" i="4" s="1"/>
  <c r="R5052" i="4"/>
  <c r="B5053" i="4"/>
  <c r="C5053" i="4"/>
  <c r="E5053" i="4"/>
  <c r="I5053" i="4"/>
  <c r="J5053" i="4"/>
  <c r="K5053" i="4" s="1"/>
  <c r="L5053" i="4" s="1"/>
  <c r="R5053" i="4"/>
  <c r="B5054" i="4"/>
  <c r="C5054" i="4"/>
  <c r="E5054" i="4"/>
  <c r="I5054" i="4"/>
  <c r="J5054" i="4"/>
  <c r="K5054" i="4" s="1"/>
  <c r="L5054" i="4" s="1"/>
  <c r="R5054" i="4"/>
  <c r="B5055" i="4"/>
  <c r="C5055" i="4"/>
  <c r="E5055" i="4"/>
  <c r="I5055" i="4"/>
  <c r="J5055" i="4"/>
  <c r="K5055" i="4" s="1"/>
  <c r="L5055" i="4" s="1"/>
  <c r="R5055" i="4"/>
  <c r="B5056" i="4"/>
  <c r="C5056" i="4"/>
  <c r="E5056" i="4"/>
  <c r="I5056" i="4"/>
  <c r="J5056" i="4"/>
  <c r="K5056" i="4" s="1"/>
  <c r="R5056" i="4"/>
  <c r="B5057" i="4"/>
  <c r="C5057" i="4"/>
  <c r="E5057" i="4"/>
  <c r="I5057" i="4"/>
  <c r="J5057" i="4"/>
  <c r="K5057" i="4" s="1"/>
  <c r="L5057" i="4" s="1"/>
  <c r="R5057" i="4"/>
  <c r="B5058" i="4"/>
  <c r="C5058" i="4"/>
  <c r="E5058" i="4"/>
  <c r="I5058" i="4"/>
  <c r="J5058" i="4"/>
  <c r="K5058" i="4" s="1"/>
  <c r="L5058" i="4" s="1"/>
  <c r="R5058" i="4"/>
  <c r="B5059" i="4"/>
  <c r="C5059" i="4"/>
  <c r="E5059" i="4"/>
  <c r="I5059" i="4"/>
  <c r="J5059" i="4"/>
  <c r="K5059" i="4" s="1"/>
  <c r="R5059" i="4"/>
  <c r="B5060" i="4"/>
  <c r="C5060" i="4"/>
  <c r="E5060" i="4"/>
  <c r="I5060" i="4"/>
  <c r="J5060" i="4"/>
  <c r="K5060" i="4" s="1"/>
  <c r="L5060" i="4" s="1"/>
  <c r="R5060" i="4"/>
  <c r="B5061" i="4"/>
  <c r="C5061" i="4"/>
  <c r="E5061" i="4"/>
  <c r="I5061" i="4"/>
  <c r="J5061" i="4"/>
  <c r="K5061" i="4" s="1"/>
  <c r="R5061" i="4"/>
  <c r="B5062" i="4"/>
  <c r="C5062" i="4"/>
  <c r="E5062" i="4"/>
  <c r="I5062" i="4"/>
  <c r="J5062" i="4"/>
  <c r="K5062" i="4" s="1"/>
  <c r="L5062" i="4" s="1"/>
  <c r="R5062" i="4"/>
  <c r="B5063" i="4"/>
  <c r="C5063" i="4"/>
  <c r="E5063" i="4"/>
  <c r="I5063" i="4"/>
  <c r="J5063" i="4"/>
  <c r="K5063" i="4" s="1"/>
  <c r="L5063" i="4" s="1"/>
  <c r="R5063" i="4"/>
  <c r="B5064" i="4"/>
  <c r="C5064" i="4"/>
  <c r="E5064" i="4"/>
  <c r="I5064" i="4"/>
  <c r="J5064" i="4"/>
  <c r="K5064" i="4" s="1"/>
  <c r="R5064" i="4"/>
  <c r="B5065" i="4"/>
  <c r="C5065" i="4"/>
  <c r="E5065" i="4"/>
  <c r="I5065" i="4"/>
  <c r="J5065" i="4"/>
  <c r="K5065" i="4" s="1"/>
  <c r="L5065" i="4" s="1"/>
  <c r="R5065" i="4"/>
  <c r="B5066" i="4"/>
  <c r="C5066" i="4"/>
  <c r="E5066" i="4"/>
  <c r="I5066" i="4"/>
  <c r="J5066" i="4"/>
  <c r="K5066" i="4" s="1"/>
  <c r="R5066" i="4"/>
  <c r="B5067" i="4"/>
  <c r="C5067" i="4"/>
  <c r="E5067" i="4"/>
  <c r="I5067" i="4"/>
  <c r="J5067" i="4"/>
  <c r="K5067" i="4" s="1"/>
  <c r="R5067" i="4"/>
  <c r="B5068" i="4"/>
  <c r="C5068" i="4"/>
  <c r="E5068" i="4"/>
  <c r="I5068" i="4"/>
  <c r="J5068" i="4"/>
  <c r="K5068" i="4" s="1"/>
  <c r="L5068" i="4" s="1"/>
  <c r="R5068" i="4"/>
  <c r="B5069" i="4"/>
  <c r="C5069" i="4"/>
  <c r="E5069" i="4"/>
  <c r="I5069" i="4"/>
  <c r="J5069" i="4"/>
  <c r="K5069" i="4" s="1"/>
  <c r="R5069" i="4"/>
  <c r="B5070" i="4"/>
  <c r="C5070" i="4"/>
  <c r="E5070" i="4"/>
  <c r="I5070" i="4"/>
  <c r="J5070" i="4"/>
  <c r="K5070" i="4" s="1"/>
  <c r="L5070" i="4" s="1"/>
  <c r="R5070" i="4"/>
  <c r="B5071" i="4"/>
  <c r="C5071" i="4"/>
  <c r="E5071" i="4"/>
  <c r="I5071" i="4"/>
  <c r="J5071" i="4"/>
  <c r="K5071" i="4" s="1"/>
  <c r="L5071" i="4" s="1"/>
  <c r="R5071" i="4"/>
  <c r="B5072" i="4"/>
  <c r="C5072" i="4"/>
  <c r="E5072" i="4"/>
  <c r="I5072" i="4"/>
  <c r="J5072" i="4"/>
  <c r="K5072" i="4" s="1"/>
  <c r="R5072" i="4"/>
  <c r="B5073" i="4"/>
  <c r="C5073" i="4"/>
  <c r="E5073" i="4"/>
  <c r="I5073" i="4"/>
  <c r="J5073" i="4"/>
  <c r="K5073" i="4" s="1"/>
  <c r="L5073" i="4" s="1"/>
  <c r="R5073" i="4"/>
  <c r="B5074" i="4"/>
  <c r="C5074" i="4"/>
  <c r="E5074" i="4"/>
  <c r="I5074" i="4"/>
  <c r="J5074" i="4"/>
  <c r="K5074" i="4" s="1"/>
  <c r="R5074" i="4"/>
  <c r="B5075" i="4"/>
  <c r="C5075" i="4"/>
  <c r="E5075" i="4"/>
  <c r="I5075" i="4"/>
  <c r="J5075" i="4"/>
  <c r="K5075" i="4" s="1"/>
  <c r="R5075" i="4"/>
  <c r="B5076" i="4"/>
  <c r="C5076" i="4"/>
  <c r="E5076" i="4"/>
  <c r="I5076" i="4"/>
  <c r="J5076" i="4"/>
  <c r="K5076" i="4" s="1"/>
  <c r="R5076" i="4"/>
  <c r="B5077" i="4"/>
  <c r="C5077" i="4"/>
  <c r="E5077" i="4"/>
  <c r="I5077" i="4"/>
  <c r="J5077" i="4"/>
  <c r="K5077" i="4" s="1"/>
  <c r="R5077" i="4"/>
  <c r="B5078" i="4"/>
  <c r="C5078" i="4"/>
  <c r="E5078" i="4"/>
  <c r="I5078" i="4"/>
  <c r="J5078" i="4"/>
  <c r="K5078" i="4" s="1"/>
  <c r="L5078" i="4" s="1"/>
  <c r="R5078" i="4"/>
  <c r="B5079" i="4"/>
  <c r="C5079" i="4"/>
  <c r="E5079" i="4"/>
  <c r="I5079" i="4"/>
  <c r="J5079" i="4"/>
  <c r="K5079" i="4" s="1"/>
  <c r="L5079" i="4" s="1"/>
  <c r="R5079" i="4"/>
  <c r="B5080" i="4"/>
  <c r="C5080" i="4"/>
  <c r="E5080" i="4"/>
  <c r="I5080" i="4"/>
  <c r="J5080" i="4"/>
  <c r="K5080" i="4" s="1"/>
  <c r="R5080" i="4"/>
  <c r="B5081" i="4"/>
  <c r="C5081" i="4"/>
  <c r="E5081" i="4"/>
  <c r="I5081" i="4"/>
  <c r="J5081" i="4"/>
  <c r="K5081" i="4" s="1"/>
  <c r="L5081" i="4" s="1"/>
  <c r="R5081" i="4"/>
  <c r="B5082" i="4"/>
  <c r="C5082" i="4"/>
  <c r="E5082" i="4"/>
  <c r="I5082" i="4"/>
  <c r="J5082" i="4"/>
  <c r="K5082" i="4" s="1"/>
  <c r="L5082" i="4" s="1"/>
  <c r="R5082" i="4"/>
  <c r="B5083" i="4"/>
  <c r="C5083" i="4"/>
  <c r="E5083" i="4"/>
  <c r="I5083" i="4"/>
  <c r="J5083" i="4"/>
  <c r="K5083" i="4" s="1"/>
  <c r="R5083" i="4"/>
  <c r="B5084" i="4"/>
  <c r="C5084" i="4"/>
  <c r="E5084" i="4"/>
  <c r="I5084" i="4"/>
  <c r="J5084" i="4"/>
  <c r="K5084" i="4" s="1"/>
  <c r="R5084" i="4"/>
  <c r="B5085" i="4"/>
  <c r="C5085" i="4"/>
  <c r="E5085" i="4"/>
  <c r="I5085" i="4"/>
  <c r="J5085" i="4"/>
  <c r="K5085" i="4" s="1"/>
  <c r="R5085" i="4"/>
  <c r="B5086" i="4"/>
  <c r="C5086" i="4"/>
  <c r="E5086" i="4"/>
  <c r="I5086" i="4"/>
  <c r="J5086" i="4"/>
  <c r="K5086" i="4" s="1"/>
  <c r="L5086" i="4" s="1"/>
  <c r="R5086" i="4"/>
  <c r="B5087" i="4"/>
  <c r="C5087" i="4"/>
  <c r="E5087" i="4"/>
  <c r="I5087" i="4"/>
  <c r="J5087" i="4"/>
  <c r="K5087" i="4" s="1"/>
  <c r="L5087" i="4" s="1"/>
  <c r="R5087" i="4"/>
  <c r="B5088" i="4"/>
  <c r="C5088" i="4"/>
  <c r="E5088" i="4"/>
  <c r="I5088" i="4"/>
  <c r="J5088" i="4"/>
  <c r="K5088" i="4" s="1"/>
  <c r="R5088" i="4"/>
  <c r="B5089" i="4"/>
  <c r="C5089" i="4"/>
  <c r="E5089" i="4"/>
  <c r="I5089" i="4"/>
  <c r="J5089" i="4"/>
  <c r="K5089" i="4" s="1"/>
  <c r="L5089" i="4" s="1"/>
  <c r="R5089" i="4"/>
  <c r="B5090" i="4"/>
  <c r="C5090" i="4"/>
  <c r="E5090" i="4"/>
  <c r="I5090" i="4"/>
  <c r="J5090" i="4"/>
  <c r="K5090" i="4" s="1"/>
  <c r="R5090" i="4"/>
  <c r="B5091" i="4"/>
  <c r="C5091" i="4"/>
  <c r="E5091" i="4"/>
  <c r="I5091" i="4"/>
  <c r="J5091" i="4"/>
  <c r="K5091" i="4" s="1"/>
  <c r="R5091" i="4"/>
  <c r="R4991" i="4"/>
  <c r="J4991" i="4"/>
  <c r="K4991" i="4" s="1"/>
  <c r="L4991" i="4" s="1"/>
  <c r="I4991" i="4"/>
  <c r="I4990" i="4"/>
  <c r="E4991" i="4"/>
  <c r="B4991" i="4"/>
  <c r="C4991" i="4"/>
  <c r="L5074" i="4" l="1"/>
  <c r="M5074" i="4"/>
  <c r="L5037" i="4"/>
  <c r="M5037" i="4"/>
  <c r="L5021" i="4"/>
  <c r="M5021" i="4"/>
  <c r="L5004" i="4"/>
  <c r="M5004" i="4"/>
  <c r="L4997" i="4"/>
  <c r="M4997" i="4"/>
  <c r="L5090" i="4"/>
  <c r="M5090" i="4"/>
  <c r="L5066" i="4"/>
  <c r="M5066" i="4"/>
  <c r="L5044" i="4"/>
  <c r="M5044" i="4"/>
  <c r="L5084" i="4"/>
  <c r="M5084" i="4"/>
  <c r="M5076" i="4"/>
  <c r="L5076" i="4"/>
  <c r="M5058" i="4"/>
  <c r="M5029" i="4"/>
  <c r="M5028" i="4"/>
  <c r="M5011" i="4"/>
  <c r="M5082" i="4"/>
  <c r="M5068" i="4"/>
  <c r="M5035" i="4"/>
  <c r="M5060" i="4"/>
  <c r="M5053" i="4"/>
  <c r="M5013" i="4"/>
  <c r="L5045" i="4"/>
  <c r="M5027" i="4"/>
  <c r="L5052" i="4"/>
  <c r="M5052" i="4"/>
  <c r="M5019" i="4"/>
  <c r="L5019" i="4"/>
  <c r="M5036" i="4"/>
  <c r="L5036" i="4"/>
  <c r="L5012" i="4"/>
  <c r="M5012" i="4"/>
  <c r="L5042" i="4"/>
  <c r="M5042" i="4"/>
  <c r="L5050" i="4"/>
  <c r="M5050" i="4"/>
  <c r="L5020" i="4"/>
  <c r="M5020" i="4"/>
  <c r="M5034" i="4"/>
  <c r="M4991" i="4"/>
  <c r="M5005" i="4"/>
  <c r="M4996" i="4"/>
  <c r="L5043" i="4"/>
  <c r="M5043" i="4"/>
  <c r="L5088" i="4"/>
  <c r="M5088" i="4"/>
  <c r="L5067" i="4"/>
  <c r="M5067" i="4"/>
  <c r="L5026" i="4"/>
  <c r="M5026" i="4"/>
  <c r="M5069" i="4"/>
  <c r="L5069" i="4"/>
  <c r="L4995" i="4"/>
  <c r="M4995" i="4"/>
  <c r="L5072" i="4"/>
  <c r="M5072" i="4"/>
  <c r="L5002" i="4"/>
  <c r="M5002" i="4"/>
  <c r="L5040" i="4"/>
  <c r="M5040" i="4"/>
  <c r="L4999" i="4"/>
  <c r="M4999" i="4"/>
  <c r="L5024" i="4"/>
  <c r="M5024" i="4"/>
  <c r="L5083" i="4"/>
  <c r="M5083" i="4"/>
  <c r="L5056" i="4"/>
  <c r="M5056" i="4"/>
  <c r="L5015" i="4"/>
  <c r="M5015" i="4"/>
  <c r="L5051" i="4"/>
  <c r="M5051" i="4"/>
  <c r="L5064" i="4"/>
  <c r="M5064" i="4"/>
  <c r="L5091" i="4"/>
  <c r="M5091" i="4"/>
  <c r="L5075" i="4"/>
  <c r="M5075" i="4"/>
  <c r="L5059" i="4"/>
  <c r="M5059" i="4"/>
  <c r="L5010" i="4"/>
  <c r="M5010" i="4"/>
  <c r="M5061" i="4"/>
  <c r="L5061" i="4"/>
  <c r="L4994" i="4"/>
  <c r="M4994" i="4"/>
  <c r="M5077" i="4"/>
  <c r="L5077" i="4"/>
  <c r="L5003" i="4"/>
  <c r="M5003" i="4"/>
  <c r="L5085" i="4"/>
  <c r="M5085" i="4"/>
  <c r="L5032" i="4"/>
  <c r="M5032" i="4"/>
  <c r="L5080" i="4"/>
  <c r="M5080" i="4"/>
  <c r="L5048" i="4"/>
  <c r="M5048" i="4"/>
  <c r="L4992" i="4"/>
  <c r="M4992" i="4"/>
  <c r="L5018" i="4"/>
  <c r="M5018" i="4"/>
  <c r="L5007" i="4"/>
  <c r="M5007" i="4"/>
  <c r="M5087" i="4"/>
  <c r="M5079" i="4"/>
  <c r="M5071" i="4"/>
  <c r="M5063" i="4"/>
  <c r="M5055" i="4"/>
  <c r="M5047" i="4"/>
  <c r="M5039" i="4"/>
  <c r="M5031" i="4"/>
  <c r="M5023" i="4"/>
  <c r="M5016" i="4"/>
  <c r="M5008" i="4"/>
  <c r="M5000" i="4"/>
  <c r="M5086" i="4"/>
  <c r="M5078" i="4"/>
  <c r="M5070" i="4"/>
  <c r="M5062" i="4"/>
  <c r="M5054" i="4"/>
  <c r="M5046" i="4"/>
  <c r="M5038" i="4"/>
  <c r="M5030" i="4"/>
  <c r="M5022" i="4"/>
  <c r="M5014" i="4"/>
  <c r="M5006" i="4"/>
  <c r="M4998" i="4"/>
  <c r="M5049" i="4"/>
  <c r="M5041" i="4"/>
  <c r="M5033" i="4"/>
  <c r="M5025" i="4"/>
  <c r="M5017" i="4"/>
  <c r="M5009" i="4"/>
  <c r="M5001" i="4"/>
  <c r="M4993" i="4"/>
  <c r="M5089" i="4"/>
  <c r="M5081" i="4"/>
  <c r="M5073" i="4"/>
  <c r="M5065" i="4"/>
  <c r="M5057" i="4"/>
  <c r="B4866" i="4"/>
  <c r="C4866" i="4"/>
  <c r="E4866" i="4"/>
  <c r="I4866" i="4"/>
  <c r="J4866" i="4"/>
  <c r="K4866" i="4" s="1"/>
  <c r="R4866" i="4"/>
  <c r="B4867" i="4"/>
  <c r="C4867" i="4"/>
  <c r="E4867" i="4"/>
  <c r="I4867" i="4"/>
  <c r="J4867" i="4"/>
  <c r="K4867" i="4" s="1"/>
  <c r="L4867" i="4" s="1"/>
  <c r="R4867" i="4"/>
  <c r="B4868" i="4"/>
  <c r="C4868" i="4"/>
  <c r="E4868" i="4"/>
  <c r="I4868" i="4"/>
  <c r="J4868" i="4"/>
  <c r="K4868" i="4" s="1"/>
  <c r="R4868" i="4"/>
  <c r="B4869" i="4"/>
  <c r="C4869" i="4"/>
  <c r="E4869" i="4"/>
  <c r="I4869" i="4"/>
  <c r="J4869" i="4"/>
  <c r="K4869" i="4" s="1"/>
  <c r="L4869" i="4" s="1"/>
  <c r="R4869" i="4"/>
  <c r="B4870" i="4"/>
  <c r="C4870" i="4"/>
  <c r="E4870" i="4"/>
  <c r="I4870" i="4"/>
  <c r="J4870" i="4"/>
  <c r="K4870" i="4" s="1"/>
  <c r="R4870" i="4"/>
  <c r="B4871" i="4"/>
  <c r="C4871" i="4"/>
  <c r="E4871" i="4"/>
  <c r="I4871" i="4"/>
  <c r="J4871" i="4"/>
  <c r="K4871" i="4" s="1"/>
  <c r="L4871" i="4" s="1"/>
  <c r="R4871" i="4"/>
  <c r="B4872" i="4"/>
  <c r="C4872" i="4"/>
  <c r="E4872" i="4"/>
  <c r="I4872" i="4"/>
  <c r="J4872" i="4"/>
  <c r="K4872" i="4" s="1"/>
  <c r="R4872" i="4"/>
  <c r="B4873" i="4"/>
  <c r="C4873" i="4"/>
  <c r="E4873" i="4"/>
  <c r="I4873" i="4"/>
  <c r="J4873" i="4"/>
  <c r="K4873" i="4" s="1"/>
  <c r="M4873" i="4" s="1"/>
  <c r="R4873" i="4"/>
  <c r="B4874" i="4"/>
  <c r="C4874" i="4"/>
  <c r="E4874" i="4"/>
  <c r="I4874" i="4"/>
  <c r="J4874" i="4"/>
  <c r="K4874" i="4" s="1"/>
  <c r="R4874" i="4"/>
  <c r="B4875" i="4"/>
  <c r="C4875" i="4"/>
  <c r="E4875" i="4"/>
  <c r="I4875" i="4"/>
  <c r="J4875" i="4"/>
  <c r="K4875" i="4" s="1"/>
  <c r="L4875" i="4" s="1"/>
  <c r="R4875" i="4"/>
  <c r="B4876" i="4"/>
  <c r="C4876" i="4"/>
  <c r="E4876" i="4"/>
  <c r="I4876" i="4"/>
  <c r="J4876" i="4"/>
  <c r="K4876" i="4" s="1"/>
  <c r="R4876" i="4"/>
  <c r="B4877" i="4"/>
  <c r="C4877" i="4"/>
  <c r="E4877" i="4"/>
  <c r="I4877" i="4"/>
  <c r="J4877" i="4"/>
  <c r="K4877" i="4" s="1"/>
  <c r="L4877" i="4" s="1"/>
  <c r="R4877" i="4"/>
  <c r="B4878" i="4"/>
  <c r="C4878" i="4"/>
  <c r="E4878" i="4"/>
  <c r="I4878" i="4"/>
  <c r="J4878" i="4"/>
  <c r="K4878" i="4" s="1"/>
  <c r="R4878" i="4"/>
  <c r="B4879" i="4"/>
  <c r="C4879" i="4"/>
  <c r="E4879" i="4"/>
  <c r="I4879" i="4"/>
  <c r="J4879" i="4"/>
  <c r="K4879" i="4" s="1"/>
  <c r="L4879" i="4" s="1"/>
  <c r="R4879" i="4"/>
  <c r="B4880" i="4"/>
  <c r="C4880" i="4"/>
  <c r="E4880" i="4"/>
  <c r="I4880" i="4"/>
  <c r="J4880" i="4"/>
  <c r="K4880" i="4" s="1"/>
  <c r="R4880" i="4"/>
  <c r="B4881" i="4"/>
  <c r="C4881" i="4"/>
  <c r="E4881" i="4"/>
  <c r="I4881" i="4"/>
  <c r="J4881" i="4"/>
  <c r="K4881" i="4" s="1"/>
  <c r="R4881" i="4"/>
  <c r="B4882" i="4"/>
  <c r="C4882" i="4"/>
  <c r="E4882" i="4"/>
  <c r="I4882" i="4"/>
  <c r="J4882" i="4"/>
  <c r="K4882" i="4" s="1"/>
  <c r="R4882" i="4"/>
  <c r="B4883" i="4"/>
  <c r="C4883" i="4"/>
  <c r="E4883" i="4"/>
  <c r="I4883" i="4"/>
  <c r="J4883" i="4"/>
  <c r="K4883" i="4" s="1"/>
  <c r="L4883" i="4" s="1"/>
  <c r="R4883" i="4"/>
  <c r="B4884" i="4"/>
  <c r="C4884" i="4"/>
  <c r="E4884" i="4"/>
  <c r="I4884" i="4"/>
  <c r="J4884" i="4"/>
  <c r="K4884" i="4" s="1"/>
  <c r="R4884" i="4"/>
  <c r="B4885" i="4"/>
  <c r="C4885" i="4"/>
  <c r="E4885" i="4"/>
  <c r="I4885" i="4"/>
  <c r="J4885" i="4"/>
  <c r="K4885" i="4" s="1"/>
  <c r="L4885" i="4" s="1"/>
  <c r="R4885" i="4"/>
  <c r="B4886" i="4"/>
  <c r="C4886" i="4"/>
  <c r="E4886" i="4"/>
  <c r="I4886" i="4"/>
  <c r="J4886" i="4"/>
  <c r="K4886" i="4" s="1"/>
  <c r="R4886" i="4"/>
  <c r="B4887" i="4"/>
  <c r="C4887" i="4"/>
  <c r="E4887" i="4"/>
  <c r="I4887" i="4"/>
  <c r="J4887" i="4"/>
  <c r="K4887" i="4" s="1"/>
  <c r="L4887" i="4" s="1"/>
  <c r="R4887" i="4"/>
  <c r="B4888" i="4"/>
  <c r="C4888" i="4"/>
  <c r="E4888" i="4"/>
  <c r="I4888" i="4"/>
  <c r="J4888" i="4"/>
  <c r="K4888" i="4" s="1"/>
  <c r="R4888" i="4"/>
  <c r="B4889" i="4"/>
  <c r="C4889" i="4"/>
  <c r="E4889" i="4"/>
  <c r="I4889" i="4"/>
  <c r="J4889" i="4"/>
  <c r="K4889" i="4" s="1"/>
  <c r="R4889" i="4"/>
  <c r="B4890" i="4"/>
  <c r="C4890" i="4"/>
  <c r="E4890" i="4"/>
  <c r="I4890" i="4"/>
  <c r="J4890" i="4"/>
  <c r="K4890" i="4" s="1"/>
  <c r="R4890" i="4"/>
  <c r="B4891" i="4"/>
  <c r="C4891" i="4"/>
  <c r="E4891" i="4"/>
  <c r="I4891" i="4"/>
  <c r="J4891" i="4"/>
  <c r="K4891" i="4" s="1"/>
  <c r="L4891" i="4" s="1"/>
  <c r="R4891" i="4"/>
  <c r="B4892" i="4"/>
  <c r="C4892" i="4"/>
  <c r="E4892" i="4"/>
  <c r="I4892" i="4"/>
  <c r="J4892" i="4"/>
  <c r="K4892" i="4" s="1"/>
  <c r="R4892" i="4"/>
  <c r="B4893" i="4"/>
  <c r="C4893" i="4"/>
  <c r="E4893" i="4"/>
  <c r="I4893" i="4"/>
  <c r="J4893" i="4"/>
  <c r="K4893" i="4" s="1"/>
  <c r="L4893" i="4" s="1"/>
  <c r="R4893" i="4"/>
  <c r="B4894" i="4"/>
  <c r="C4894" i="4"/>
  <c r="E4894" i="4"/>
  <c r="I4894" i="4"/>
  <c r="J4894" i="4"/>
  <c r="K4894" i="4" s="1"/>
  <c r="L4894" i="4" s="1"/>
  <c r="R4894" i="4"/>
  <c r="B4895" i="4"/>
  <c r="C4895" i="4"/>
  <c r="E4895" i="4"/>
  <c r="I4895" i="4"/>
  <c r="J4895" i="4"/>
  <c r="K4895" i="4" s="1"/>
  <c r="L4895" i="4" s="1"/>
  <c r="R4895" i="4"/>
  <c r="B4896" i="4"/>
  <c r="C4896" i="4"/>
  <c r="E4896" i="4"/>
  <c r="I4896" i="4"/>
  <c r="J4896" i="4"/>
  <c r="K4896" i="4" s="1"/>
  <c r="R4896" i="4"/>
  <c r="B4897" i="4"/>
  <c r="C4897" i="4"/>
  <c r="E4897" i="4"/>
  <c r="I4897" i="4"/>
  <c r="J4897" i="4"/>
  <c r="K4897" i="4" s="1"/>
  <c r="R4897" i="4"/>
  <c r="B4898" i="4"/>
  <c r="C4898" i="4"/>
  <c r="E4898" i="4"/>
  <c r="I4898" i="4"/>
  <c r="J4898" i="4"/>
  <c r="K4898" i="4" s="1"/>
  <c r="R4898" i="4"/>
  <c r="B4899" i="4"/>
  <c r="C4899" i="4"/>
  <c r="E4899" i="4"/>
  <c r="I4899" i="4"/>
  <c r="J4899" i="4"/>
  <c r="K4899" i="4" s="1"/>
  <c r="L4899" i="4" s="1"/>
  <c r="R4899" i="4"/>
  <c r="B4900" i="4"/>
  <c r="C4900" i="4"/>
  <c r="E4900" i="4"/>
  <c r="I4900" i="4"/>
  <c r="J4900" i="4"/>
  <c r="K4900" i="4" s="1"/>
  <c r="R4900" i="4"/>
  <c r="B4901" i="4"/>
  <c r="C4901" i="4"/>
  <c r="E4901" i="4"/>
  <c r="I4901" i="4"/>
  <c r="J4901" i="4"/>
  <c r="K4901" i="4" s="1"/>
  <c r="L4901" i="4" s="1"/>
  <c r="R4901" i="4"/>
  <c r="B4902" i="4"/>
  <c r="C4902" i="4"/>
  <c r="E4902" i="4"/>
  <c r="I4902" i="4"/>
  <c r="J4902" i="4"/>
  <c r="K4902" i="4" s="1"/>
  <c r="R4902" i="4"/>
  <c r="B4903" i="4"/>
  <c r="C4903" i="4"/>
  <c r="E4903" i="4"/>
  <c r="I4903" i="4"/>
  <c r="J4903" i="4"/>
  <c r="K4903" i="4" s="1"/>
  <c r="L4903" i="4" s="1"/>
  <c r="R4903" i="4"/>
  <c r="B4904" i="4"/>
  <c r="C4904" i="4"/>
  <c r="E4904" i="4"/>
  <c r="I4904" i="4"/>
  <c r="J4904" i="4"/>
  <c r="K4904" i="4" s="1"/>
  <c r="R4904" i="4"/>
  <c r="B4905" i="4"/>
  <c r="C4905" i="4"/>
  <c r="E4905" i="4"/>
  <c r="I4905" i="4"/>
  <c r="J4905" i="4"/>
  <c r="K4905" i="4" s="1"/>
  <c r="M4905" i="4" s="1"/>
  <c r="R4905" i="4"/>
  <c r="B4906" i="4"/>
  <c r="C4906" i="4"/>
  <c r="E4906" i="4"/>
  <c r="I4906" i="4"/>
  <c r="J4906" i="4"/>
  <c r="K4906" i="4" s="1"/>
  <c r="R4906" i="4"/>
  <c r="B4907" i="4"/>
  <c r="C4907" i="4"/>
  <c r="E4907" i="4"/>
  <c r="I4907" i="4"/>
  <c r="J4907" i="4"/>
  <c r="K4907" i="4" s="1"/>
  <c r="L4907" i="4" s="1"/>
  <c r="R4907" i="4"/>
  <c r="B4908" i="4"/>
  <c r="C4908" i="4"/>
  <c r="E4908" i="4"/>
  <c r="I4908" i="4"/>
  <c r="J4908" i="4"/>
  <c r="K4908" i="4" s="1"/>
  <c r="R4908" i="4"/>
  <c r="B4909" i="4"/>
  <c r="C4909" i="4"/>
  <c r="E4909" i="4"/>
  <c r="I4909" i="4"/>
  <c r="J4909" i="4"/>
  <c r="K4909" i="4" s="1"/>
  <c r="L4909" i="4" s="1"/>
  <c r="R4909" i="4"/>
  <c r="B4910" i="4"/>
  <c r="C4910" i="4"/>
  <c r="E4910" i="4"/>
  <c r="I4910" i="4"/>
  <c r="J4910" i="4"/>
  <c r="K4910" i="4" s="1"/>
  <c r="R4910" i="4"/>
  <c r="B4911" i="4"/>
  <c r="C4911" i="4"/>
  <c r="E4911" i="4"/>
  <c r="I4911" i="4"/>
  <c r="J4911" i="4"/>
  <c r="K4911" i="4" s="1"/>
  <c r="L4911" i="4" s="1"/>
  <c r="R4911" i="4"/>
  <c r="B4912" i="4"/>
  <c r="C4912" i="4"/>
  <c r="E4912" i="4"/>
  <c r="I4912" i="4"/>
  <c r="J4912" i="4"/>
  <c r="K4912" i="4" s="1"/>
  <c r="R4912" i="4"/>
  <c r="B4913" i="4"/>
  <c r="C4913" i="4"/>
  <c r="E4913" i="4"/>
  <c r="I4913" i="4"/>
  <c r="J4913" i="4"/>
  <c r="K4913" i="4" s="1"/>
  <c r="R4913" i="4"/>
  <c r="B4914" i="4"/>
  <c r="C4914" i="4"/>
  <c r="E4914" i="4"/>
  <c r="I4914" i="4"/>
  <c r="J4914" i="4"/>
  <c r="K4914" i="4" s="1"/>
  <c r="R4914" i="4"/>
  <c r="B4915" i="4"/>
  <c r="C4915" i="4"/>
  <c r="E4915" i="4"/>
  <c r="I4915" i="4"/>
  <c r="J4915" i="4"/>
  <c r="K4915" i="4" s="1"/>
  <c r="L4915" i="4" s="1"/>
  <c r="R4915" i="4"/>
  <c r="B4916" i="4"/>
  <c r="C4916" i="4"/>
  <c r="E4916" i="4"/>
  <c r="I4916" i="4"/>
  <c r="J4916" i="4"/>
  <c r="K4916" i="4" s="1"/>
  <c r="R4916" i="4"/>
  <c r="B4917" i="4"/>
  <c r="C4917" i="4"/>
  <c r="E4917" i="4"/>
  <c r="I4917" i="4"/>
  <c r="J4917" i="4"/>
  <c r="K4917" i="4" s="1"/>
  <c r="L4917" i="4" s="1"/>
  <c r="R4917" i="4"/>
  <c r="B4918" i="4"/>
  <c r="C4918" i="4"/>
  <c r="E4918" i="4"/>
  <c r="I4918" i="4"/>
  <c r="J4918" i="4"/>
  <c r="K4918" i="4" s="1"/>
  <c r="R4918" i="4"/>
  <c r="B4919" i="4"/>
  <c r="C4919" i="4"/>
  <c r="E4919" i="4"/>
  <c r="I4919" i="4"/>
  <c r="J4919" i="4"/>
  <c r="K4919" i="4" s="1"/>
  <c r="L4919" i="4" s="1"/>
  <c r="R4919" i="4"/>
  <c r="B4920" i="4"/>
  <c r="C4920" i="4"/>
  <c r="E4920" i="4"/>
  <c r="I4920" i="4"/>
  <c r="J4920" i="4"/>
  <c r="K4920" i="4" s="1"/>
  <c r="R4920" i="4"/>
  <c r="B4921" i="4"/>
  <c r="C4921" i="4"/>
  <c r="E4921" i="4"/>
  <c r="I4921" i="4"/>
  <c r="J4921" i="4"/>
  <c r="K4921" i="4" s="1"/>
  <c r="R4921" i="4"/>
  <c r="B4922" i="4"/>
  <c r="C4922" i="4"/>
  <c r="E4922" i="4"/>
  <c r="I4922" i="4"/>
  <c r="J4922" i="4"/>
  <c r="K4922" i="4" s="1"/>
  <c r="R4922" i="4"/>
  <c r="B4923" i="4"/>
  <c r="C4923" i="4"/>
  <c r="E4923" i="4"/>
  <c r="I4923" i="4"/>
  <c r="J4923" i="4"/>
  <c r="K4923" i="4" s="1"/>
  <c r="L4923" i="4" s="1"/>
  <c r="R4923" i="4"/>
  <c r="B4924" i="4"/>
  <c r="C4924" i="4"/>
  <c r="E4924" i="4"/>
  <c r="I4924" i="4"/>
  <c r="J4924" i="4"/>
  <c r="K4924" i="4" s="1"/>
  <c r="R4924" i="4"/>
  <c r="B4925" i="4"/>
  <c r="C4925" i="4"/>
  <c r="E4925" i="4"/>
  <c r="I4925" i="4"/>
  <c r="J4925" i="4"/>
  <c r="K4925" i="4" s="1"/>
  <c r="L4925" i="4" s="1"/>
  <c r="R4925" i="4"/>
  <c r="B4926" i="4"/>
  <c r="C4926" i="4"/>
  <c r="E4926" i="4"/>
  <c r="I4926" i="4"/>
  <c r="J4926" i="4"/>
  <c r="K4926" i="4" s="1"/>
  <c r="L4926" i="4" s="1"/>
  <c r="R4926" i="4"/>
  <c r="B4927" i="4"/>
  <c r="C4927" i="4"/>
  <c r="E4927" i="4"/>
  <c r="I4927" i="4"/>
  <c r="J4927" i="4"/>
  <c r="K4927" i="4" s="1"/>
  <c r="L4927" i="4" s="1"/>
  <c r="R4927" i="4"/>
  <c r="B4928" i="4"/>
  <c r="C4928" i="4"/>
  <c r="E4928" i="4"/>
  <c r="I4928" i="4"/>
  <c r="J4928" i="4"/>
  <c r="K4928" i="4" s="1"/>
  <c r="R4928" i="4"/>
  <c r="B4929" i="4"/>
  <c r="C4929" i="4"/>
  <c r="E4929" i="4"/>
  <c r="I4929" i="4"/>
  <c r="J4929" i="4"/>
  <c r="K4929" i="4" s="1"/>
  <c r="R4929" i="4"/>
  <c r="B4930" i="4"/>
  <c r="C4930" i="4"/>
  <c r="E4930" i="4"/>
  <c r="I4930" i="4"/>
  <c r="J4930" i="4"/>
  <c r="K4930" i="4" s="1"/>
  <c r="R4930" i="4"/>
  <c r="B4931" i="4"/>
  <c r="C4931" i="4"/>
  <c r="E4931" i="4"/>
  <c r="I4931" i="4"/>
  <c r="J4931" i="4"/>
  <c r="K4931" i="4" s="1"/>
  <c r="L4931" i="4" s="1"/>
  <c r="R4931" i="4"/>
  <c r="B4932" i="4"/>
  <c r="C4932" i="4"/>
  <c r="E4932" i="4"/>
  <c r="I4932" i="4"/>
  <c r="J4932" i="4"/>
  <c r="K4932" i="4" s="1"/>
  <c r="R4932" i="4"/>
  <c r="B4933" i="4"/>
  <c r="C4933" i="4"/>
  <c r="E4933" i="4"/>
  <c r="I4933" i="4"/>
  <c r="J4933" i="4"/>
  <c r="K4933" i="4" s="1"/>
  <c r="L4933" i="4" s="1"/>
  <c r="R4933" i="4"/>
  <c r="B4934" i="4"/>
  <c r="C4934" i="4"/>
  <c r="E4934" i="4"/>
  <c r="I4934" i="4"/>
  <c r="J4934" i="4"/>
  <c r="K4934" i="4" s="1"/>
  <c r="R4934" i="4"/>
  <c r="B4935" i="4"/>
  <c r="C4935" i="4"/>
  <c r="E4935" i="4"/>
  <c r="I4935" i="4"/>
  <c r="J4935" i="4"/>
  <c r="K4935" i="4" s="1"/>
  <c r="L4935" i="4" s="1"/>
  <c r="R4935" i="4"/>
  <c r="B4936" i="4"/>
  <c r="C4936" i="4"/>
  <c r="E4936" i="4"/>
  <c r="I4936" i="4"/>
  <c r="J4936" i="4"/>
  <c r="K4936" i="4" s="1"/>
  <c r="R4936" i="4"/>
  <c r="B4937" i="4"/>
  <c r="C4937" i="4"/>
  <c r="E4937" i="4"/>
  <c r="I4937" i="4"/>
  <c r="J4937" i="4"/>
  <c r="K4937" i="4" s="1"/>
  <c r="M4937" i="4" s="1"/>
  <c r="R4937" i="4"/>
  <c r="B4938" i="4"/>
  <c r="C4938" i="4"/>
  <c r="E4938" i="4"/>
  <c r="I4938" i="4"/>
  <c r="J4938" i="4"/>
  <c r="K4938" i="4" s="1"/>
  <c r="R4938" i="4"/>
  <c r="B4939" i="4"/>
  <c r="C4939" i="4"/>
  <c r="E4939" i="4"/>
  <c r="I4939" i="4"/>
  <c r="J4939" i="4"/>
  <c r="K4939" i="4" s="1"/>
  <c r="L4939" i="4" s="1"/>
  <c r="R4939" i="4"/>
  <c r="B4940" i="4"/>
  <c r="C4940" i="4"/>
  <c r="E4940" i="4"/>
  <c r="I4940" i="4"/>
  <c r="J4940" i="4"/>
  <c r="K4940" i="4" s="1"/>
  <c r="R4940" i="4"/>
  <c r="B4941" i="4"/>
  <c r="C4941" i="4"/>
  <c r="E4941" i="4"/>
  <c r="I4941" i="4"/>
  <c r="J4941" i="4"/>
  <c r="K4941" i="4" s="1"/>
  <c r="L4941" i="4" s="1"/>
  <c r="R4941" i="4"/>
  <c r="B4942" i="4"/>
  <c r="C4942" i="4"/>
  <c r="E4942" i="4"/>
  <c r="I4942" i="4"/>
  <c r="J4942" i="4"/>
  <c r="K4942" i="4" s="1"/>
  <c r="R4942" i="4"/>
  <c r="B4943" i="4"/>
  <c r="C4943" i="4"/>
  <c r="E4943" i="4"/>
  <c r="I4943" i="4"/>
  <c r="J4943" i="4"/>
  <c r="K4943" i="4" s="1"/>
  <c r="L4943" i="4" s="1"/>
  <c r="R4943" i="4"/>
  <c r="B4944" i="4"/>
  <c r="C4944" i="4"/>
  <c r="E4944" i="4"/>
  <c r="I4944" i="4"/>
  <c r="J4944" i="4"/>
  <c r="K4944" i="4" s="1"/>
  <c r="R4944" i="4"/>
  <c r="B4945" i="4"/>
  <c r="C4945" i="4"/>
  <c r="E4945" i="4"/>
  <c r="I4945" i="4"/>
  <c r="J4945" i="4"/>
  <c r="K4945" i="4" s="1"/>
  <c r="R4945" i="4"/>
  <c r="B4946" i="4"/>
  <c r="C4946" i="4"/>
  <c r="E4946" i="4"/>
  <c r="I4946" i="4"/>
  <c r="J4946" i="4"/>
  <c r="K4946" i="4" s="1"/>
  <c r="R4946" i="4"/>
  <c r="B4947" i="4"/>
  <c r="C4947" i="4"/>
  <c r="E4947" i="4"/>
  <c r="I4947" i="4"/>
  <c r="J4947" i="4"/>
  <c r="K4947" i="4" s="1"/>
  <c r="L4947" i="4" s="1"/>
  <c r="R4947" i="4"/>
  <c r="B4948" i="4"/>
  <c r="C4948" i="4"/>
  <c r="E4948" i="4"/>
  <c r="I4948" i="4"/>
  <c r="J4948" i="4"/>
  <c r="K4948" i="4" s="1"/>
  <c r="R4948" i="4"/>
  <c r="B4949" i="4"/>
  <c r="C4949" i="4"/>
  <c r="E4949" i="4"/>
  <c r="I4949" i="4"/>
  <c r="J4949" i="4"/>
  <c r="K4949" i="4" s="1"/>
  <c r="L4949" i="4" s="1"/>
  <c r="R4949" i="4"/>
  <c r="B4950" i="4"/>
  <c r="C4950" i="4"/>
  <c r="E4950" i="4"/>
  <c r="I4950" i="4"/>
  <c r="J4950" i="4"/>
  <c r="K4950" i="4" s="1"/>
  <c r="R4950" i="4"/>
  <c r="B4951" i="4"/>
  <c r="C4951" i="4"/>
  <c r="E4951" i="4"/>
  <c r="I4951" i="4"/>
  <c r="J4951" i="4"/>
  <c r="K4951" i="4" s="1"/>
  <c r="L4951" i="4" s="1"/>
  <c r="R4951" i="4"/>
  <c r="B4952" i="4"/>
  <c r="C4952" i="4"/>
  <c r="E4952" i="4"/>
  <c r="I4952" i="4"/>
  <c r="J4952" i="4"/>
  <c r="K4952" i="4" s="1"/>
  <c r="R4952" i="4"/>
  <c r="B4953" i="4"/>
  <c r="C4953" i="4"/>
  <c r="E4953" i="4"/>
  <c r="I4953" i="4"/>
  <c r="J4953" i="4"/>
  <c r="K4953" i="4" s="1"/>
  <c r="R4953" i="4"/>
  <c r="B4954" i="4"/>
  <c r="C4954" i="4"/>
  <c r="E4954" i="4"/>
  <c r="I4954" i="4"/>
  <c r="J4954" i="4"/>
  <c r="K4954" i="4" s="1"/>
  <c r="R4954" i="4"/>
  <c r="B4955" i="4"/>
  <c r="C4955" i="4"/>
  <c r="E4955" i="4"/>
  <c r="I4955" i="4"/>
  <c r="J4955" i="4"/>
  <c r="K4955" i="4" s="1"/>
  <c r="L4955" i="4" s="1"/>
  <c r="R4955" i="4"/>
  <c r="B4956" i="4"/>
  <c r="C4956" i="4"/>
  <c r="E4956" i="4"/>
  <c r="I4956" i="4"/>
  <c r="J4956" i="4"/>
  <c r="K4956" i="4" s="1"/>
  <c r="R4956" i="4"/>
  <c r="B4957" i="4"/>
  <c r="C4957" i="4"/>
  <c r="E4957" i="4"/>
  <c r="I4957" i="4"/>
  <c r="J4957" i="4"/>
  <c r="K4957" i="4" s="1"/>
  <c r="L4957" i="4" s="1"/>
  <c r="R4957" i="4"/>
  <c r="B4958" i="4"/>
  <c r="C4958" i="4"/>
  <c r="E4958" i="4"/>
  <c r="I4958" i="4"/>
  <c r="J4958" i="4"/>
  <c r="K4958" i="4" s="1"/>
  <c r="L4958" i="4" s="1"/>
  <c r="R4958" i="4"/>
  <c r="B4959" i="4"/>
  <c r="C4959" i="4"/>
  <c r="E4959" i="4"/>
  <c r="I4959" i="4"/>
  <c r="J4959" i="4"/>
  <c r="K4959" i="4" s="1"/>
  <c r="L4959" i="4" s="1"/>
  <c r="R4959" i="4"/>
  <c r="B4960" i="4"/>
  <c r="C4960" i="4"/>
  <c r="E4960" i="4"/>
  <c r="I4960" i="4"/>
  <c r="J4960" i="4"/>
  <c r="K4960" i="4" s="1"/>
  <c r="R4960" i="4"/>
  <c r="B4961" i="4"/>
  <c r="C4961" i="4"/>
  <c r="E4961" i="4"/>
  <c r="I4961" i="4"/>
  <c r="J4961" i="4"/>
  <c r="K4961" i="4" s="1"/>
  <c r="R4961" i="4"/>
  <c r="B4962" i="4"/>
  <c r="C4962" i="4"/>
  <c r="E4962" i="4"/>
  <c r="I4962" i="4"/>
  <c r="J4962" i="4"/>
  <c r="K4962" i="4" s="1"/>
  <c r="R4962" i="4"/>
  <c r="B4963" i="4"/>
  <c r="C4963" i="4"/>
  <c r="E4963" i="4"/>
  <c r="I4963" i="4"/>
  <c r="J4963" i="4"/>
  <c r="K4963" i="4" s="1"/>
  <c r="L4963" i="4" s="1"/>
  <c r="R4963" i="4"/>
  <c r="B4964" i="4"/>
  <c r="C4964" i="4"/>
  <c r="E4964" i="4"/>
  <c r="I4964" i="4"/>
  <c r="J4964" i="4"/>
  <c r="K4964" i="4" s="1"/>
  <c r="R4964" i="4"/>
  <c r="B4965" i="4"/>
  <c r="C4965" i="4"/>
  <c r="E4965" i="4"/>
  <c r="I4965" i="4"/>
  <c r="J4965" i="4"/>
  <c r="K4965" i="4" s="1"/>
  <c r="L4965" i="4" s="1"/>
  <c r="R4965" i="4"/>
  <c r="B4966" i="4"/>
  <c r="C4966" i="4"/>
  <c r="E4966" i="4"/>
  <c r="I4966" i="4"/>
  <c r="J4966" i="4"/>
  <c r="K4966" i="4" s="1"/>
  <c r="R4966" i="4"/>
  <c r="B4967" i="4"/>
  <c r="C4967" i="4"/>
  <c r="E4967" i="4"/>
  <c r="I4967" i="4"/>
  <c r="J4967" i="4"/>
  <c r="K4967" i="4" s="1"/>
  <c r="L4967" i="4" s="1"/>
  <c r="R4967" i="4"/>
  <c r="B4968" i="4"/>
  <c r="C4968" i="4"/>
  <c r="E4968" i="4"/>
  <c r="I4968" i="4"/>
  <c r="J4968" i="4"/>
  <c r="K4968" i="4" s="1"/>
  <c r="R4968" i="4"/>
  <c r="B4969" i="4"/>
  <c r="C4969" i="4"/>
  <c r="E4969" i="4"/>
  <c r="I4969" i="4"/>
  <c r="J4969" i="4"/>
  <c r="K4969" i="4" s="1"/>
  <c r="R4969" i="4"/>
  <c r="B4970" i="4"/>
  <c r="C4970" i="4"/>
  <c r="E4970" i="4"/>
  <c r="I4970" i="4"/>
  <c r="J4970" i="4"/>
  <c r="K4970" i="4" s="1"/>
  <c r="R4970" i="4"/>
  <c r="B4971" i="4"/>
  <c r="C4971" i="4"/>
  <c r="E4971" i="4"/>
  <c r="I4971" i="4"/>
  <c r="J4971" i="4"/>
  <c r="K4971" i="4" s="1"/>
  <c r="L4971" i="4" s="1"/>
  <c r="R4971" i="4"/>
  <c r="B4972" i="4"/>
  <c r="C4972" i="4"/>
  <c r="E4972" i="4"/>
  <c r="I4972" i="4"/>
  <c r="J4972" i="4"/>
  <c r="K4972" i="4" s="1"/>
  <c r="R4972" i="4"/>
  <c r="B4973" i="4"/>
  <c r="C4973" i="4"/>
  <c r="E4973" i="4"/>
  <c r="I4973" i="4"/>
  <c r="J4973" i="4"/>
  <c r="K4973" i="4" s="1"/>
  <c r="L4973" i="4" s="1"/>
  <c r="R4973" i="4"/>
  <c r="B4974" i="4"/>
  <c r="C4974" i="4"/>
  <c r="E4974" i="4"/>
  <c r="I4974" i="4"/>
  <c r="J4974" i="4"/>
  <c r="K4974" i="4" s="1"/>
  <c r="R4974" i="4"/>
  <c r="B4975" i="4"/>
  <c r="C4975" i="4"/>
  <c r="E4975" i="4"/>
  <c r="I4975" i="4"/>
  <c r="J4975" i="4"/>
  <c r="K4975" i="4" s="1"/>
  <c r="L4975" i="4" s="1"/>
  <c r="R4975" i="4"/>
  <c r="B4976" i="4"/>
  <c r="C4976" i="4"/>
  <c r="E4976" i="4"/>
  <c r="I4976" i="4"/>
  <c r="J4976" i="4"/>
  <c r="K4976" i="4" s="1"/>
  <c r="R4976" i="4"/>
  <c r="B4977" i="4"/>
  <c r="C4977" i="4"/>
  <c r="E4977" i="4"/>
  <c r="I4977" i="4"/>
  <c r="J4977" i="4"/>
  <c r="K4977" i="4" s="1"/>
  <c r="R4977" i="4"/>
  <c r="B4978" i="4"/>
  <c r="C4978" i="4"/>
  <c r="E4978" i="4"/>
  <c r="I4978" i="4"/>
  <c r="J4978" i="4"/>
  <c r="K4978" i="4" s="1"/>
  <c r="R4978" i="4"/>
  <c r="B4979" i="4"/>
  <c r="C4979" i="4"/>
  <c r="E4979" i="4"/>
  <c r="I4979" i="4"/>
  <c r="J4979" i="4"/>
  <c r="K4979" i="4" s="1"/>
  <c r="L4979" i="4" s="1"/>
  <c r="R4979" i="4"/>
  <c r="B4980" i="4"/>
  <c r="C4980" i="4"/>
  <c r="E4980" i="4"/>
  <c r="I4980" i="4"/>
  <c r="J4980" i="4"/>
  <c r="K4980" i="4" s="1"/>
  <c r="R4980" i="4"/>
  <c r="B4981" i="4"/>
  <c r="C4981" i="4"/>
  <c r="E4981" i="4"/>
  <c r="I4981" i="4"/>
  <c r="J4981" i="4"/>
  <c r="K4981" i="4" s="1"/>
  <c r="L4981" i="4" s="1"/>
  <c r="R4981" i="4"/>
  <c r="B4982" i="4"/>
  <c r="C4982" i="4"/>
  <c r="E4982" i="4"/>
  <c r="I4982" i="4"/>
  <c r="J4982" i="4"/>
  <c r="K4982" i="4" s="1"/>
  <c r="R4982" i="4"/>
  <c r="B4983" i="4"/>
  <c r="C4983" i="4"/>
  <c r="E4983" i="4"/>
  <c r="I4983" i="4"/>
  <c r="J4983" i="4"/>
  <c r="K4983" i="4" s="1"/>
  <c r="L4983" i="4" s="1"/>
  <c r="R4983" i="4"/>
  <c r="B4984" i="4"/>
  <c r="C4984" i="4"/>
  <c r="E4984" i="4"/>
  <c r="I4984" i="4"/>
  <c r="J4984" i="4"/>
  <c r="K4984" i="4" s="1"/>
  <c r="R4984" i="4"/>
  <c r="B4985" i="4"/>
  <c r="C4985" i="4"/>
  <c r="E4985" i="4"/>
  <c r="I4985" i="4"/>
  <c r="J4985" i="4"/>
  <c r="K4985" i="4" s="1"/>
  <c r="R4985" i="4"/>
  <c r="B4986" i="4"/>
  <c r="C4986" i="4"/>
  <c r="E4986" i="4"/>
  <c r="I4986" i="4"/>
  <c r="J4986" i="4"/>
  <c r="K4986" i="4" s="1"/>
  <c r="R4986" i="4"/>
  <c r="B4987" i="4"/>
  <c r="C4987" i="4"/>
  <c r="E4987" i="4"/>
  <c r="I4987" i="4"/>
  <c r="J4987" i="4"/>
  <c r="K4987" i="4" s="1"/>
  <c r="L4987" i="4" s="1"/>
  <c r="R4987" i="4"/>
  <c r="B4988" i="4"/>
  <c r="C4988" i="4"/>
  <c r="E4988" i="4"/>
  <c r="I4988" i="4"/>
  <c r="J4988" i="4"/>
  <c r="K4988" i="4" s="1"/>
  <c r="R4988" i="4"/>
  <c r="B4989" i="4"/>
  <c r="C4989" i="4"/>
  <c r="E4989" i="4"/>
  <c r="I4989" i="4"/>
  <c r="J4989" i="4"/>
  <c r="K4989" i="4" s="1"/>
  <c r="R4989" i="4"/>
  <c r="B4990" i="4"/>
  <c r="C4990" i="4"/>
  <c r="E4990" i="4"/>
  <c r="J4990" i="4"/>
  <c r="K4990" i="4" s="1"/>
  <c r="L4990" i="4" s="1"/>
  <c r="R4990" i="4"/>
  <c r="R4865" i="4"/>
  <c r="I4865" i="4"/>
  <c r="J4865" i="4"/>
  <c r="K4865" i="4" s="1"/>
  <c r="E4865" i="4"/>
  <c r="B4865" i="4"/>
  <c r="C4865" i="4"/>
  <c r="M4985" i="4" l="1"/>
  <c r="L4985" i="4"/>
  <c r="M4989" i="4"/>
  <c r="L4989" i="4"/>
  <c r="M4926" i="4"/>
  <c r="M4958" i="4"/>
  <c r="M4953" i="4"/>
  <c r="L4953" i="4"/>
  <c r="L4865" i="4"/>
  <c r="M4865" i="4"/>
  <c r="L4878" i="4"/>
  <c r="M4878" i="4"/>
  <c r="L4942" i="4"/>
  <c r="M4942" i="4"/>
  <c r="M4921" i="4"/>
  <c r="L4921" i="4"/>
  <c r="L4910" i="4"/>
  <c r="M4910" i="4"/>
  <c r="M4969" i="4"/>
  <c r="L4969" i="4"/>
  <c r="L4974" i="4"/>
  <c r="M4974" i="4"/>
  <c r="M4897" i="4"/>
  <c r="L4897" i="4"/>
  <c r="M4889" i="4"/>
  <c r="L4889" i="4"/>
  <c r="M4881" i="4"/>
  <c r="L4881" i="4"/>
  <c r="M4894" i="4"/>
  <c r="L4937" i="4"/>
  <c r="L4905" i="4"/>
  <c r="L4873" i="4"/>
  <c r="L4870" i="4"/>
  <c r="M4870" i="4"/>
  <c r="L4982" i="4"/>
  <c r="M4982" i="4"/>
  <c r="L4977" i="4"/>
  <c r="M4977" i="4"/>
  <c r="L4950" i="4"/>
  <c r="M4950" i="4"/>
  <c r="L4945" i="4"/>
  <c r="M4945" i="4"/>
  <c r="L4918" i="4"/>
  <c r="M4918" i="4"/>
  <c r="L4913" i="4"/>
  <c r="M4913" i="4"/>
  <c r="L4886" i="4"/>
  <c r="M4886" i="4"/>
  <c r="L4966" i="4"/>
  <c r="M4966" i="4"/>
  <c r="L4961" i="4"/>
  <c r="M4961" i="4"/>
  <c r="L4934" i="4"/>
  <c r="M4934" i="4"/>
  <c r="L4929" i="4"/>
  <c r="M4929" i="4"/>
  <c r="L4902" i="4"/>
  <c r="M4902" i="4"/>
  <c r="M4990" i="4"/>
  <c r="L4984" i="4"/>
  <c r="M4984" i="4"/>
  <c r="M4968" i="4"/>
  <c r="L4968" i="4"/>
  <c r="M4952" i="4"/>
  <c r="L4952" i="4"/>
  <c r="L4936" i="4"/>
  <c r="M4936" i="4"/>
  <c r="L4920" i="4"/>
  <c r="M4920" i="4"/>
  <c r="L4904" i="4"/>
  <c r="M4904" i="4"/>
  <c r="L4888" i="4"/>
  <c r="M4888" i="4"/>
  <c r="L4872" i="4"/>
  <c r="M4872" i="4"/>
  <c r="L4986" i="4"/>
  <c r="M4986" i="4"/>
  <c r="M4970" i="4"/>
  <c r="L4970" i="4"/>
  <c r="L4954" i="4"/>
  <c r="M4954" i="4"/>
  <c r="L4938" i="4"/>
  <c r="M4938" i="4"/>
  <c r="L4922" i="4"/>
  <c r="M4922" i="4"/>
  <c r="L4906" i="4"/>
  <c r="M4906" i="4"/>
  <c r="L4890" i="4"/>
  <c r="M4890" i="4"/>
  <c r="L4874" i="4"/>
  <c r="M4874" i="4"/>
  <c r="M4988" i="4"/>
  <c r="L4988" i="4"/>
  <c r="L4972" i="4"/>
  <c r="M4972" i="4"/>
  <c r="L4956" i="4"/>
  <c r="M4956" i="4"/>
  <c r="L4940" i="4"/>
  <c r="M4940" i="4"/>
  <c r="L4924" i="4"/>
  <c r="M4924" i="4"/>
  <c r="L4908" i="4"/>
  <c r="M4908" i="4"/>
  <c r="L4892" i="4"/>
  <c r="M4892" i="4"/>
  <c r="L4876" i="4"/>
  <c r="M4876" i="4"/>
  <c r="L4976" i="4"/>
  <c r="M4976" i="4"/>
  <c r="L4960" i="4"/>
  <c r="M4960" i="4"/>
  <c r="M4944" i="4"/>
  <c r="L4944" i="4"/>
  <c r="M4928" i="4"/>
  <c r="L4928" i="4"/>
  <c r="L4912" i="4"/>
  <c r="M4912" i="4"/>
  <c r="L4896" i="4"/>
  <c r="M4896" i="4"/>
  <c r="L4880" i="4"/>
  <c r="M4880" i="4"/>
  <c r="L4978" i="4"/>
  <c r="M4978" i="4"/>
  <c r="L4962" i="4"/>
  <c r="M4962" i="4"/>
  <c r="L4946" i="4"/>
  <c r="M4946" i="4"/>
  <c r="L4930" i="4"/>
  <c r="M4930" i="4"/>
  <c r="L4914" i="4"/>
  <c r="M4914" i="4"/>
  <c r="L4898" i="4"/>
  <c r="M4898" i="4"/>
  <c r="L4882" i="4"/>
  <c r="M4882" i="4"/>
  <c r="L4980" i="4"/>
  <c r="M4980" i="4"/>
  <c r="L4964" i="4"/>
  <c r="M4964" i="4"/>
  <c r="L4948" i="4"/>
  <c r="M4948" i="4"/>
  <c r="L4932" i="4"/>
  <c r="M4932" i="4"/>
  <c r="L4916" i="4"/>
  <c r="M4916" i="4"/>
  <c r="L4900" i="4"/>
  <c r="M4900" i="4"/>
  <c r="L4884" i="4"/>
  <c r="M4884" i="4"/>
  <c r="L4868" i="4"/>
  <c r="M4868" i="4"/>
  <c r="L4866" i="4"/>
  <c r="M4866" i="4"/>
  <c r="M4983" i="4"/>
  <c r="M4975" i="4"/>
  <c r="M4967" i="4"/>
  <c r="M4959" i="4"/>
  <c r="M4951" i="4"/>
  <c r="M4943" i="4"/>
  <c r="M4935" i="4"/>
  <c r="M4927" i="4"/>
  <c r="M4919" i="4"/>
  <c r="M4911" i="4"/>
  <c r="M4903" i="4"/>
  <c r="M4895" i="4"/>
  <c r="M4887" i="4"/>
  <c r="M4879" i="4"/>
  <c r="M4871" i="4"/>
  <c r="M4981" i="4"/>
  <c r="M4973" i="4"/>
  <c r="M4965" i="4"/>
  <c r="M4957" i="4"/>
  <c r="M4949" i="4"/>
  <c r="M4941" i="4"/>
  <c r="M4933" i="4"/>
  <c r="M4925" i="4"/>
  <c r="M4917" i="4"/>
  <c r="M4909" i="4"/>
  <c r="M4901" i="4"/>
  <c r="M4893" i="4"/>
  <c r="M4885" i="4"/>
  <c r="M4877" i="4"/>
  <c r="M4869" i="4"/>
  <c r="M4987" i="4"/>
  <c r="M4979" i="4"/>
  <c r="M4971" i="4"/>
  <c r="M4963" i="4"/>
  <c r="M4955" i="4"/>
  <c r="M4947" i="4"/>
  <c r="M4939" i="4"/>
  <c r="M4931" i="4"/>
  <c r="M4923" i="4"/>
  <c r="M4915" i="4"/>
  <c r="M4907" i="4"/>
  <c r="M4899" i="4"/>
  <c r="M4891" i="4"/>
  <c r="M4883" i="4"/>
  <c r="M4875" i="4"/>
  <c r="M4867" i="4"/>
  <c r="B4739" i="4"/>
  <c r="C4739" i="4"/>
  <c r="E4739" i="4"/>
  <c r="I4739" i="4"/>
  <c r="J4739" i="4"/>
  <c r="K4739" i="4" s="1"/>
  <c r="R4739" i="4"/>
  <c r="B4740" i="4"/>
  <c r="C4740" i="4"/>
  <c r="E4740" i="4"/>
  <c r="I4740" i="4"/>
  <c r="J4740" i="4"/>
  <c r="K4740" i="4" s="1"/>
  <c r="R4740" i="4"/>
  <c r="B4741" i="4"/>
  <c r="C4741" i="4"/>
  <c r="E4741" i="4"/>
  <c r="I4741" i="4"/>
  <c r="J4741" i="4"/>
  <c r="K4741" i="4" s="1"/>
  <c r="R4741" i="4"/>
  <c r="B4742" i="4"/>
  <c r="C4742" i="4"/>
  <c r="E4742" i="4"/>
  <c r="I4742" i="4"/>
  <c r="J4742" i="4"/>
  <c r="K4742" i="4" s="1"/>
  <c r="R4742" i="4"/>
  <c r="B4743" i="4"/>
  <c r="C4743" i="4"/>
  <c r="E4743" i="4"/>
  <c r="I4743" i="4"/>
  <c r="J4743" i="4"/>
  <c r="K4743" i="4" s="1"/>
  <c r="R4743" i="4"/>
  <c r="B4744" i="4"/>
  <c r="C4744" i="4"/>
  <c r="E4744" i="4"/>
  <c r="I4744" i="4"/>
  <c r="J4744" i="4"/>
  <c r="K4744" i="4" s="1"/>
  <c r="R4744" i="4"/>
  <c r="B4745" i="4"/>
  <c r="C4745" i="4"/>
  <c r="E4745" i="4"/>
  <c r="I4745" i="4"/>
  <c r="J4745" i="4"/>
  <c r="K4745" i="4" s="1"/>
  <c r="R4745" i="4"/>
  <c r="B4746" i="4"/>
  <c r="C4746" i="4"/>
  <c r="E4746" i="4"/>
  <c r="I4746" i="4"/>
  <c r="J4746" i="4"/>
  <c r="K4746" i="4" s="1"/>
  <c r="R4746" i="4"/>
  <c r="B4747" i="4"/>
  <c r="C4747" i="4"/>
  <c r="E4747" i="4"/>
  <c r="I4747" i="4"/>
  <c r="J4747" i="4"/>
  <c r="K4747" i="4" s="1"/>
  <c r="R4747" i="4"/>
  <c r="B4748" i="4"/>
  <c r="C4748" i="4"/>
  <c r="E4748" i="4"/>
  <c r="I4748" i="4"/>
  <c r="J4748" i="4"/>
  <c r="K4748" i="4" s="1"/>
  <c r="R4748" i="4"/>
  <c r="B4749" i="4"/>
  <c r="C4749" i="4"/>
  <c r="E4749" i="4"/>
  <c r="I4749" i="4"/>
  <c r="J4749" i="4"/>
  <c r="K4749" i="4" s="1"/>
  <c r="R4749" i="4"/>
  <c r="B4750" i="4"/>
  <c r="C4750" i="4"/>
  <c r="E4750" i="4"/>
  <c r="I4750" i="4"/>
  <c r="J4750" i="4"/>
  <c r="K4750" i="4" s="1"/>
  <c r="R4750" i="4"/>
  <c r="B4751" i="4"/>
  <c r="C4751" i="4"/>
  <c r="E4751" i="4"/>
  <c r="I4751" i="4"/>
  <c r="J4751" i="4"/>
  <c r="K4751" i="4" s="1"/>
  <c r="R4751" i="4"/>
  <c r="B4752" i="4"/>
  <c r="C4752" i="4"/>
  <c r="E4752" i="4"/>
  <c r="I4752" i="4"/>
  <c r="J4752" i="4"/>
  <c r="K4752" i="4" s="1"/>
  <c r="R4752" i="4"/>
  <c r="B4753" i="4"/>
  <c r="C4753" i="4"/>
  <c r="E4753" i="4"/>
  <c r="I4753" i="4"/>
  <c r="J4753" i="4"/>
  <c r="K4753" i="4" s="1"/>
  <c r="R4753" i="4"/>
  <c r="B4754" i="4"/>
  <c r="C4754" i="4"/>
  <c r="E4754" i="4"/>
  <c r="I4754" i="4"/>
  <c r="J4754" i="4"/>
  <c r="K4754" i="4" s="1"/>
  <c r="R4754" i="4"/>
  <c r="B4755" i="4"/>
  <c r="C4755" i="4"/>
  <c r="E4755" i="4"/>
  <c r="I4755" i="4"/>
  <c r="J4755" i="4"/>
  <c r="K4755" i="4" s="1"/>
  <c r="R4755" i="4"/>
  <c r="B4756" i="4"/>
  <c r="C4756" i="4"/>
  <c r="E4756" i="4"/>
  <c r="I4756" i="4"/>
  <c r="J4756" i="4"/>
  <c r="K4756" i="4" s="1"/>
  <c r="R4756" i="4"/>
  <c r="B4757" i="4"/>
  <c r="C4757" i="4"/>
  <c r="E4757" i="4"/>
  <c r="I4757" i="4"/>
  <c r="J4757" i="4"/>
  <c r="K4757" i="4" s="1"/>
  <c r="R4757" i="4"/>
  <c r="B4758" i="4"/>
  <c r="C4758" i="4"/>
  <c r="E4758" i="4"/>
  <c r="I4758" i="4"/>
  <c r="J4758" i="4"/>
  <c r="K4758" i="4" s="1"/>
  <c r="R4758" i="4"/>
  <c r="B4759" i="4"/>
  <c r="C4759" i="4"/>
  <c r="E4759" i="4"/>
  <c r="I4759" i="4"/>
  <c r="J4759" i="4"/>
  <c r="K4759" i="4" s="1"/>
  <c r="R4759" i="4"/>
  <c r="B4760" i="4"/>
  <c r="C4760" i="4"/>
  <c r="E4760" i="4"/>
  <c r="I4760" i="4"/>
  <c r="J4760" i="4"/>
  <c r="K4760" i="4" s="1"/>
  <c r="R4760" i="4"/>
  <c r="B4761" i="4"/>
  <c r="C4761" i="4"/>
  <c r="E4761" i="4"/>
  <c r="I4761" i="4"/>
  <c r="J4761" i="4"/>
  <c r="K4761" i="4" s="1"/>
  <c r="R4761" i="4"/>
  <c r="B4762" i="4"/>
  <c r="C4762" i="4"/>
  <c r="E4762" i="4"/>
  <c r="I4762" i="4"/>
  <c r="J4762" i="4"/>
  <c r="K4762" i="4" s="1"/>
  <c r="R4762" i="4"/>
  <c r="B4763" i="4"/>
  <c r="C4763" i="4"/>
  <c r="E4763" i="4"/>
  <c r="I4763" i="4"/>
  <c r="J4763" i="4"/>
  <c r="K4763" i="4" s="1"/>
  <c r="R4763" i="4"/>
  <c r="B4764" i="4"/>
  <c r="C4764" i="4"/>
  <c r="E4764" i="4"/>
  <c r="I4764" i="4"/>
  <c r="J4764" i="4"/>
  <c r="K4764" i="4" s="1"/>
  <c r="R4764" i="4"/>
  <c r="B4765" i="4"/>
  <c r="C4765" i="4"/>
  <c r="E4765" i="4"/>
  <c r="I4765" i="4"/>
  <c r="J4765" i="4"/>
  <c r="K4765" i="4" s="1"/>
  <c r="R4765" i="4"/>
  <c r="B4766" i="4"/>
  <c r="C4766" i="4"/>
  <c r="E4766" i="4"/>
  <c r="I4766" i="4"/>
  <c r="J4766" i="4"/>
  <c r="K4766" i="4" s="1"/>
  <c r="R4766" i="4"/>
  <c r="B4767" i="4"/>
  <c r="C4767" i="4"/>
  <c r="E4767" i="4"/>
  <c r="I4767" i="4"/>
  <c r="J4767" i="4"/>
  <c r="K4767" i="4" s="1"/>
  <c r="R4767" i="4"/>
  <c r="B4768" i="4"/>
  <c r="C4768" i="4"/>
  <c r="E4768" i="4"/>
  <c r="I4768" i="4"/>
  <c r="J4768" i="4"/>
  <c r="K4768" i="4" s="1"/>
  <c r="R4768" i="4"/>
  <c r="B4769" i="4"/>
  <c r="C4769" i="4"/>
  <c r="E4769" i="4"/>
  <c r="I4769" i="4"/>
  <c r="J4769" i="4"/>
  <c r="K4769" i="4" s="1"/>
  <c r="R4769" i="4"/>
  <c r="B4770" i="4"/>
  <c r="C4770" i="4"/>
  <c r="E4770" i="4"/>
  <c r="I4770" i="4"/>
  <c r="J4770" i="4"/>
  <c r="K4770" i="4" s="1"/>
  <c r="R4770" i="4"/>
  <c r="B4771" i="4"/>
  <c r="C4771" i="4"/>
  <c r="E4771" i="4"/>
  <c r="I4771" i="4"/>
  <c r="J4771" i="4"/>
  <c r="K4771" i="4" s="1"/>
  <c r="R4771" i="4"/>
  <c r="B4772" i="4"/>
  <c r="C4772" i="4"/>
  <c r="E4772" i="4"/>
  <c r="I4772" i="4"/>
  <c r="J4772" i="4"/>
  <c r="K4772" i="4" s="1"/>
  <c r="R4772" i="4"/>
  <c r="B4773" i="4"/>
  <c r="C4773" i="4"/>
  <c r="E4773" i="4"/>
  <c r="I4773" i="4"/>
  <c r="J4773" i="4"/>
  <c r="K4773" i="4" s="1"/>
  <c r="R4773" i="4"/>
  <c r="B4774" i="4"/>
  <c r="C4774" i="4"/>
  <c r="E4774" i="4"/>
  <c r="I4774" i="4"/>
  <c r="J4774" i="4"/>
  <c r="K4774" i="4" s="1"/>
  <c r="R4774" i="4"/>
  <c r="B4775" i="4"/>
  <c r="C4775" i="4"/>
  <c r="E4775" i="4"/>
  <c r="I4775" i="4"/>
  <c r="J4775" i="4"/>
  <c r="K4775" i="4" s="1"/>
  <c r="R4775" i="4"/>
  <c r="B4776" i="4"/>
  <c r="C4776" i="4"/>
  <c r="E4776" i="4"/>
  <c r="I4776" i="4"/>
  <c r="J4776" i="4"/>
  <c r="K4776" i="4" s="1"/>
  <c r="R4776" i="4"/>
  <c r="B4777" i="4"/>
  <c r="C4777" i="4"/>
  <c r="E4777" i="4"/>
  <c r="I4777" i="4"/>
  <c r="J4777" i="4"/>
  <c r="K4777" i="4" s="1"/>
  <c r="R4777" i="4"/>
  <c r="B4778" i="4"/>
  <c r="C4778" i="4"/>
  <c r="E4778" i="4"/>
  <c r="I4778" i="4"/>
  <c r="J4778" i="4"/>
  <c r="K4778" i="4" s="1"/>
  <c r="R4778" i="4"/>
  <c r="B4779" i="4"/>
  <c r="C4779" i="4"/>
  <c r="E4779" i="4"/>
  <c r="I4779" i="4"/>
  <c r="J4779" i="4"/>
  <c r="K4779" i="4" s="1"/>
  <c r="R4779" i="4"/>
  <c r="B4780" i="4"/>
  <c r="C4780" i="4"/>
  <c r="E4780" i="4"/>
  <c r="I4780" i="4"/>
  <c r="J4780" i="4"/>
  <c r="K4780" i="4" s="1"/>
  <c r="R4780" i="4"/>
  <c r="B4781" i="4"/>
  <c r="C4781" i="4"/>
  <c r="E4781" i="4"/>
  <c r="I4781" i="4"/>
  <c r="J4781" i="4"/>
  <c r="K4781" i="4" s="1"/>
  <c r="R4781" i="4"/>
  <c r="B4782" i="4"/>
  <c r="C4782" i="4"/>
  <c r="E4782" i="4"/>
  <c r="I4782" i="4"/>
  <c r="J4782" i="4"/>
  <c r="K4782" i="4" s="1"/>
  <c r="R4782" i="4"/>
  <c r="B4783" i="4"/>
  <c r="C4783" i="4"/>
  <c r="E4783" i="4"/>
  <c r="I4783" i="4"/>
  <c r="J4783" i="4"/>
  <c r="K4783" i="4" s="1"/>
  <c r="R4783" i="4"/>
  <c r="B4784" i="4"/>
  <c r="C4784" i="4"/>
  <c r="E4784" i="4"/>
  <c r="I4784" i="4"/>
  <c r="J4784" i="4"/>
  <c r="K4784" i="4" s="1"/>
  <c r="R4784" i="4"/>
  <c r="B4785" i="4"/>
  <c r="C4785" i="4"/>
  <c r="E4785" i="4"/>
  <c r="I4785" i="4"/>
  <c r="J4785" i="4"/>
  <c r="K4785" i="4" s="1"/>
  <c r="R4785" i="4"/>
  <c r="B4786" i="4"/>
  <c r="C4786" i="4"/>
  <c r="E4786" i="4"/>
  <c r="I4786" i="4"/>
  <c r="J4786" i="4"/>
  <c r="K4786" i="4" s="1"/>
  <c r="R4786" i="4"/>
  <c r="B4787" i="4"/>
  <c r="C4787" i="4"/>
  <c r="E4787" i="4"/>
  <c r="I4787" i="4"/>
  <c r="J4787" i="4"/>
  <c r="K4787" i="4" s="1"/>
  <c r="R4787" i="4"/>
  <c r="B4788" i="4"/>
  <c r="C4788" i="4"/>
  <c r="E4788" i="4"/>
  <c r="I4788" i="4"/>
  <c r="J4788" i="4"/>
  <c r="K4788" i="4" s="1"/>
  <c r="R4788" i="4"/>
  <c r="B4789" i="4"/>
  <c r="C4789" i="4"/>
  <c r="E4789" i="4"/>
  <c r="I4789" i="4"/>
  <c r="J4789" i="4"/>
  <c r="K4789" i="4" s="1"/>
  <c r="R4789" i="4"/>
  <c r="B4790" i="4"/>
  <c r="C4790" i="4"/>
  <c r="E4790" i="4"/>
  <c r="I4790" i="4"/>
  <c r="J4790" i="4"/>
  <c r="K4790" i="4" s="1"/>
  <c r="R4790" i="4"/>
  <c r="B4791" i="4"/>
  <c r="C4791" i="4"/>
  <c r="E4791" i="4"/>
  <c r="I4791" i="4"/>
  <c r="J4791" i="4"/>
  <c r="K4791" i="4" s="1"/>
  <c r="R4791" i="4"/>
  <c r="B4792" i="4"/>
  <c r="C4792" i="4"/>
  <c r="E4792" i="4"/>
  <c r="I4792" i="4"/>
  <c r="J4792" i="4"/>
  <c r="K4792" i="4" s="1"/>
  <c r="R4792" i="4"/>
  <c r="B4793" i="4"/>
  <c r="C4793" i="4"/>
  <c r="E4793" i="4"/>
  <c r="I4793" i="4"/>
  <c r="J4793" i="4"/>
  <c r="K4793" i="4" s="1"/>
  <c r="R4793" i="4"/>
  <c r="B4794" i="4"/>
  <c r="C4794" i="4"/>
  <c r="E4794" i="4"/>
  <c r="I4794" i="4"/>
  <c r="J4794" i="4"/>
  <c r="K4794" i="4" s="1"/>
  <c r="R4794" i="4"/>
  <c r="B4795" i="4"/>
  <c r="C4795" i="4"/>
  <c r="E4795" i="4"/>
  <c r="I4795" i="4"/>
  <c r="J4795" i="4"/>
  <c r="K4795" i="4" s="1"/>
  <c r="R4795" i="4"/>
  <c r="B4796" i="4"/>
  <c r="C4796" i="4"/>
  <c r="E4796" i="4"/>
  <c r="I4796" i="4"/>
  <c r="J4796" i="4"/>
  <c r="K4796" i="4" s="1"/>
  <c r="R4796" i="4"/>
  <c r="B4797" i="4"/>
  <c r="C4797" i="4"/>
  <c r="E4797" i="4"/>
  <c r="I4797" i="4"/>
  <c r="J4797" i="4"/>
  <c r="K4797" i="4" s="1"/>
  <c r="R4797" i="4"/>
  <c r="B4798" i="4"/>
  <c r="C4798" i="4"/>
  <c r="E4798" i="4"/>
  <c r="I4798" i="4"/>
  <c r="J4798" i="4"/>
  <c r="K4798" i="4" s="1"/>
  <c r="R4798" i="4"/>
  <c r="B4799" i="4"/>
  <c r="C4799" i="4"/>
  <c r="E4799" i="4"/>
  <c r="I4799" i="4"/>
  <c r="J4799" i="4"/>
  <c r="K4799" i="4" s="1"/>
  <c r="R4799" i="4"/>
  <c r="B4800" i="4"/>
  <c r="C4800" i="4"/>
  <c r="E4800" i="4"/>
  <c r="I4800" i="4"/>
  <c r="J4800" i="4"/>
  <c r="K4800" i="4" s="1"/>
  <c r="R4800" i="4"/>
  <c r="B4801" i="4"/>
  <c r="C4801" i="4"/>
  <c r="E4801" i="4"/>
  <c r="I4801" i="4"/>
  <c r="J4801" i="4"/>
  <c r="K4801" i="4" s="1"/>
  <c r="R4801" i="4"/>
  <c r="B4802" i="4"/>
  <c r="C4802" i="4"/>
  <c r="E4802" i="4"/>
  <c r="I4802" i="4"/>
  <c r="J4802" i="4"/>
  <c r="K4802" i="4" s="1"/>
  <c r="R4802" i="4"/>
  <c r="B4803" i="4"/>
  <c r="C4803" i="4"/>
  <c r="E4803" i="4"/>
  <c r="I4803" i="4"/>
  <c r="J4803" i="4"/>
  <c r="K4803" i="4" s="1"/>
  <c r="R4803" i="4"/>
  <c r="B4804" i="4"/>
  <c r="C4804" i="4"/>
  <c r="E4804" i="4"/>
  <c r="I4804" i="4"/>
  <c r="J4804" i="4"/>
  <c r="K4804" i="4" s="1"/>
  <c r="R4804" i="4"/>
  <c r="B4805" i="4"/>
  <c r="C4805" i="4"/>
  <c r="E4805" i="4"/>
  <c r="I4805" i="4"/>
  <c r="J4805" i="4"/>
  <c r="K4805" i="4" s="1"/>
  <c r="R4805" i="4"/>
  <c r="B4806" i="4"/>
  <c r="C4806" i="4"/>
  <c r="E4806" i="4"/>
  <c r="I4806" i="4"/>
  <c r="J4806" i="4"/>
  <c r="K4806" i="4" s="1"/>
  <c r="R4806" i="4"/>
  <c r="B4807" i="4"/>
  <c r="C4807" i="4"/>
  <c r="E4807" i="4"/>
  <c r="I4807" i="4"/>
  <c r="J4807" i="4"/>
  <c r="K4807" i="4" s="1"/>
  <c r="R4807" i="4"/>
  <c r="B4808" i="4"/>
  <c r="C4808" i="4"/>
  <c r="E4808" i="4"/>
  <c r="I4808" i="4"/>
  <c r="J4808" i="4"/>
  <c r="K4808" i="4" s="1"/>
  <c r="R4808" i="4"/>
  <c r="B4809" i="4"/>
  <c r="C4809" i="4"/>
  <c r="E4809" i="4"/>
  <c r="I4809" i="4"/>
  <c r="J4809" i="4"/>
  <c r="K4809" i="4" s="1"/>
  <c r="R4809" i="4"/>
  <c r="B4810" i="4"/>
  <c r="C4810" i="4"/>
  <c r="E4810" i="4"/>
  <c r="I4810" i="4"/>
  <c r="J4810" i="4"/>
  <c r="K4810" i="4" s="1"/>
  <c r="R4810" i="4"/>
  <c r="B4811" i="4"/>
  <c r="C4811" i="4"/>
  <c r="E4811" i="4"/>
  <c r="I4811" i="4"/>
  <c r="J4811" i="4"/>
  <c r="K4811" i="4" s="1"/>
  <c r="R4811" i="4"/>
  <c r="B4812" i="4"/>
  <c r="C4812" i="4"/>
  <c r="E4812" i="4"/>
  <c r="I4812" i="4"/>
  <c r="J4812" i="4"/>
  <c r="K4812" i="4" s="1"/>
  <c r="R4812" i="4"/>
  <c r="B4813" i="4"/>
  <c r="C4813" i="4"/>
  <c r="E4813" i="4"/>
  <c r="I4813" i="4"/>
  <c r="J4813" i="4"/>
  <c r="K4813" i="4" s="1"/>
  <c r="R4813" i="4"/>
  <c r="B4814" i="4"/>
  <c r="C4814" i="4"/>
  <c r="E4814" i="4"/>
  <c r="I4814" i="4"/>
  <c r="J4814" i="4"/>
  <c r="K4814" i="4" s="1"/>
  <c r="R4814" i="4"/>
  <c r="B4815" i="4"/>
  <c r="C4815" i="4"/>
  <c r="E4815" i="4"/>
  <c r="I4815" i="4"/>
  <c r="J4815" i="4"/>
  <c r="K4815" i="4" s="1"/>
  <c r="R4815" i="4"/>
  <c r="B4816" i="4"/>
  <c r="C4816" i="4"/>
  <c r="E4816" i="4"/>
  <c r="I4816" i="4"/>
  <c r="J4816" i="4"/>
  <c r="K4816" i="4" s="1"/>
  <c r="R4816" i="4"/>
  <c r="B4817" i="4"/>
  <c r="C4817" i="4"/>
  <c r="E4817" i="4"/>
  <c r="I4817" i="4"/>
  <c r="J4817" i="4"/>
  <c r="K4817" i="4" s="1"/>
  <c r="R4817" i="4"/>
  <c r="B4818" i="4"/>
  <c r="C4818" i="4"/>
  <c r="E4818" i="4"/>
  <c r="I4818" i="4"/>
  <c r="J4818" i="4"/>
  <c r="K4818" i="4" s="1"/>
  <c r="R4818" i="4"/>
  <c r="B4819" i="4"/>
  <c r="C4819" i="4"/>
  <c r="E4819" i="4"/>
  <c r="I4819" i="4"/>
  <c r="J4819" i="4"/>
  <c r="K4819" i="4" s="1"/>
  <c r="R4819" i="4"/>
  <c r="B4820" i="4"/>
  <c r="C4820" i="4"/>
  <c r="E4820" i="4"/>
  <c r="I4820" i="4"/>
  <c r="J4820" i="4"/>
  <c r="K4820" i="4" s="1"/>
  <c r="R4820" i="4"/>
  <c r="B4821" i="4"/>
  <c r="C4821" i="4"/>
  <c r="E4821" i="4"/>
  <c r="I4821" i="4"/>
  <c r="J4821" i="4"/>
  <c r="K4821" i="4" s="1"/>
  <c r="R4821" i="4"/>
  <c r="B4822" i="4"/>
  <c r="C4822" i="4"/>
  <c r="E4822" i="4"/>
  <c r="I4822" i="4"/>
  <c r="J4822" i="4"/>
  <c r="K4822" i="4" s="1"/>
  <c r="R4822" i="4"/>
  <c r="B4823" i="4"/>
  <c r="C4823" i="4"/>
  <c r="E4823" i="4"/>
  <c r="I4823" i="4"/>
  <c r="J4823" i="4"/>
  <c r="K4823" i="4" s="1"/>
  <c r="R4823" i="4"/>
  <c r="B4824" i="4"/>
  <c r="C4824" i="4"/>
  <c r="E4824" i="4"/>
  <c r="I4824" i="4"/>
  <c r="J4824" i="4"/>
  <c r="K4824" i="4" s="1"/>
  <c r="R4824" i="4"/>
  <c r="B4825" i="4"/>
  <c r="C4825" i="4"/>
  <c r="E4825" i="4"/>
  <c r="I4825" i="4"/>
  <c r="J4825" i="4"/>
  <c r="K4825" i="4" s="1"/>
  <c r="R4825" i="4"/>
  <c r="B4826" i="4"/>
  <c r="C4826" i="4"/>
  <c r="E4826" i="4"/>
  <c r="I4826" i="4"/>
  <c r="J4826" i="4"/>
  <c r="K4826" i="4" s="1"/>
  <c r="R4826" i="4"/>
  <c r="B4827" i="4"/>
  <c r="C4827" i="4"/>
  <c r="E4827" i="4"/>
  <c r="I4827" i="4"/>
  <c r="J4827" i="4"/>
  <c r="K4827" i="4" s="1"/>
  <c r="R4827" i="4"/>
  <c r="B4828" i="4"/>
  <c r="C4828" i="4"/>
  <c r="E4828" i="4"/>
  <c r="I4828" i="4"/>
  <c r="J4828" i="4"/>
  <c r="K4828" i="4" s="1"/>
  <c r="R4828" i="4"/>
  <c r="B4829" i="4"/>
  <c r="C4829" i="4"/>
  <c r="E4829" i="4"/>
  <c r="I4829" i="4"/>
  <c r="J4829" i="4"/>
  <c r="K4829" i="4" s="1"/>
  <c r="R4829" i="4"/>
  <c r="B4830" i="4"/>
  <c r="C4830" i="4"/>
  <c r="E4830" i="4"/>
  <c r="I4830" i="4"/>
  <c r="J4830" i="4"/>
  <c r="K4830" i="4" s="1"/>
  <c r="R4830" i="4"/>
  <c r="B4831" i="4"/>
  <c r="C4831" i="4"/>
  <c r="E4831" i="4"/>
  <c r="I4831" i="4"/>
  <c r="J4831" i="4"/>
  <c r="K4831" i="4" s="1"/>
  <c r="R4831" i="4"/>
  <c r="B4832" i="4"/>
  <c r="C4832" i="4"/>
  <c r="E4832" i="4"/>
  <c r="I4832" i="4"/>
  <c r="J4832" i="4"/>
  <c r="K4832" i="4" s="1"/>
  <c r="R4832" i="4"/>
  <c r="B4833" i="4"/>
  <c r="C4833" i="4"/>
  <c r="E4833" i="4"/>
  <c r="I4833" i="4"/>
  <c r="J4833" i="4"/>
  <c r="K4833" i="4" s="1"/>
  <c r="R4833" i="4"/>
  <c r="B4834" i="4"/>
  <c r="C4834" i="4"/>
  <c r="E4834" i="4"/>
  <c r="I4834" i="4"/>
  <c r="J4834" i="4"/>
  <c r="K4834" i="4" s="1"/>
  <c r="R4834" i="4"/>
  <c r="B4835" i="4"/>
  <c r="C4835" i="4"/>
  <c r="E4835" i="4"/>
  <c r="I4835" i="4"/>
  <c r="J4835" i="4"/>
  <c r="K4835" i="4" s="1"/>
  <c r="R4835" i="4"/>
  <c r="B4836" i="4"/>
  <c r="C4836" i="4"/>
  <c r="E4836" i="4"/>
  <c r="I4836" i="4"/>
  <c r="J4836" i="4"/>
  <c r="K4836" i="4" s="1"/>
  <c r="R4836" i="4"/>
  <c r="B4837" i="4"/>
  <c r="C4837" i="4"/>
  <c r="E4837" i="4"/>
  <c r="I4837" i="4"/>
  <c r="J4837" i="4"/>
  <c r="K4837" i="4" s="1"/>
  <c r="R4837" i="4"/>
  <c r="B4838" i="4"/>
  <c r="C4838" i="4"/>
  <c r="E4838" i="4"/>
  <c r="I4838" i="4"/>
  <c r="J4838" i="4"/>
  <c r="K4838" i="4" s="1"/>
  <c r="R4838" i="4"/>
  <c r="B4839" i="4"/>
  <c r="C4839" i="4"/>
  <c r="E4839" i="4"/>
  <c r="I4839" i="4"/>
  <c r="J4839" i="4"/>
  <c r="K4839" i="4" s="1"/>
  <c r="R4839" i="4"/>
  <c r="B4840" i="4"/>
  <c r="C4840" i="4"/>
  <c r="E4840" i="4"/>
  <c r="I4840" i="4"/>
  <c r="J4840" i="4"/>
  <c r="K4840" i="4" s="1"/>
  <c r="R4840" i="4"/>
  <c r="B4841" i="4"/>
  <c r="C4841" i="4"/>
  <c r="E4841" i="4"/>
  <c r="I4841" i="4"/>
  <c r="J4841" i="4"/>
  <c r="K4841" i="4" s="1"/>
  <c r="R4841" i="4"/>
  <c r="B4842" i="4"/>
  <c r="C4842" i="4"/>
  <c r="E4842" i="4"/>
  <c r="I4842" i="4"/>
  <c r="J4842" i="4"/>
  <c r="K4842" i="4" s="1"/>
  <c r="R4842" i="4"/>
  <c r="B4843" i="4"/>
  <c r="C4843" i="4"/>
  <c r="E4843" i="4"/>
  <c r="I4843" i="4"/>
  <c r="J4843" i="4"/>
  <c r="K4843" i="4" s="1"/>
  <c r="R4843" i="4"/>
  <c r="B4844" i="4"/>
  <c r="C4844" i="4"/>
  <c r="E4844" i="4"/>
  <c r="I4844" i="4"/>
  <c r="J4844" i="4"/>
  <c r="K4844" i="4" s="1"/>
  <c r="R4844" i="4"/>
  <c r="B4845" i="4"/>
  <c r="C4845" i="4"/>
  <c r="E4845" i="4"/>
  <c r="I4845" i="4"/>
  <c r="J4845" i="4"/>
  <c r="K4845" i="4" s="1"/>
  <c r="R4845" i="4"/>
  <c r="B4846" i="4"/>
  <c r="C4846" i="4"/>
  <c r="E4846" i="4"/>
  <c r="I4846" i="4"/>
  <c r="J4846" i="4"/>
  <c r="K4846" i="4" s="1"/>
  <c r="R4846" i="4"/>
  <c r="B4847" i="4"/>
  <c r="C4847" i="4"/>
  <c r="E4847" i="4"/>
  <c r="I4847" i="4"/>
  <c r="J4847" i="4"/>
  <c r="K4847" i="4" s="1"/>
  <c r="R4847" i="4"/>
  <c r="B4848" i="4"/>
  <c r="C4848" i="4"/>
  <c r="E4848" i="4"/>
  <c r="I4848" i="4"/>
  <c r="J4848" i="4"/>
  <c r="K4848" i="4" s="1"/>
  <c r="R4848" i="4"/>
  <c r="B4849" i="4"/>
  <c r="C4849" i="4"/>
  <c r="E4849" i="4"/>
  <c r="I4849" i="4"/>
  <c r="J4849" i="4"/>
  <c r="K4849" i="4" s="1"/>
  <c r="R4849" i="4"/>
  <c r="B4850" i="4"/>
  <c r="C4850" i="4"/>
  <c r="E4850" i="4"/>
  <c r="I4850" i="4"/>
  <c r="J4850" i="4"/>
  <c r="K4850" i="4" s="1"/>
  <c r="R4850" i="4"/>
  <c r="B4851" i="4"/>
  <c r="C4851" i="4"/>
  <c r="E4851" i="4"/>
  <c r="I4851" i="4"/>
  <c r="J4851" i="4"/>
  <c r="K4851" i="4" s="1"/>
  <c r="R4851" i="4"/>
  <c r="B4852" i="4"/>
  <c r="C4852" i="4"/>
  <c r="E4852" i="4"/>
  <c r="I4852" i="4"/>
  <c r="J4852" i="4"/>
  <c r="K4852" i="4" s="1"/>
  <c r="R4852" i="4"/>
  <c r="B4853" i="4"/>
  <c r="C4853" i="4"/>
  <c r="E4853" i="4"/>
  <c r="I4853" i="4"/>
  <c r="J4853" i="4"/>
  <c r="K4853" i="4" s="1"/>
  <c r="R4853" i="4"/>
  <c r="B4854" i="4"/>
  <c r="C4854" i="4"/>
  <c r="E4854" i="4"/>
  <c r="I4854" i="4"/>
  <c r="J4854" i="4"/>
  <c r="K4854" i="4" s="1"/>
  <c r="R4854" i="4"/>
  <c r="B4855" i="4"/>
  <c r="C4855" i="4"/>
  <c r="E4855" i="4"/>
  <c r="I4855" i="4"/>
  <c r="J4855" i="4"/>
  <c r="K4855" i="4" s="1"/>
  <c r="R4855" i="4"/>
  <c r="B4856" i="4"/>
  <c r="C4856" i="4"/>
  <c r="E4856" i="4"/>
  <c r="I4856" i="4"/>
  <c r="J4856" i="4"/>
  <c r="K4856" i="4" s="1"/>
  <c r="R4856" i="4"/>
  <c r="B4857" i="4"/>
  <c r="C4857" i="4"/>
  <c r="E4857" i="4"/>
  <c r="I4857" i="4"/>
  <c r="J4857" i="4"/>
  <c r="K4857" i="4" s="1"/>
  <c r="R4857" i="4"/>
  <c r="B4858" i="4"/>
  <c r="C4858" i="4"/>
  <c r="E4858" i="4"/>
  <c r="I4858" i="4"/>
  <c r="J4858" i="4"/>
  <c r="K4858" i="4" s="1"/>
  <c r="R4858" i="4"/>
  <c r="B4859" i="4"/>
  <c r="C4859" i="4"/>
  <c r="E4859" i="4"/>
  <c r="I4859" i="4"/>
  <c r="J4859" i="4"/>
  <c r="K4859" i="4" s="1"/>
  <c r="R4859" i="4"/>
  <c r="B4860" i="4"/>
  <c r="C4860" i="4"/>
  <c r="E4860" i="4"/>
  <c r="I4860" i="4"/>
  <c r="J4860" i="4"/>
  <c r="K4860" i="4" s="1"/>
  <c r="R4860" i="4"/>
  <c r="B4861" i="4"/>
  <c r="C4861" i="4"/>
  <c r="E4861" i="4"/>
  <c r="I4861" i="4"/>
  <c r="J4861" i="4"/>
  <c r="K4861" i="4" s="1"/>
  <c r="R4861" i="4"/>
  <c r="B4862" i="4"/>
  <c r="C4862" i="4"/>
  <c r="E4862" i="4"/>
  <c r="I4862" i="4"/>
  <c r="J4862" i="4"/>
  <c r="K4862" i="4" s="1"/>
  <c r="R4862" i="4"/>
  <c r="B4863" i="4"/>
  <c r="C4863" i="4"/>
  <c r="E4863" i="4"/>
  <c r="I4863" i="4"/>
  <c r="J4863" i="4"/>
  <c r="K4863" i="4" s="1"/>
  <c r="R4863" i="4"/>
  <c r="B4864" i="4"/>
  <c r="C4864" i="4"/>
  <c r="E4864" i="4"/>
  <c r="I4864" i="4"/>
  <c r="J4864" i="4"/>
  <c r="K4864" i="4" s="1"/>
  <c r="R4864" i="4"/>
  <c r="R4738" i="4"/>
  <c r="I4738" i="4"/>
  <c r="J4738" i="4"/>
  <c r="K4738" i="4" s="1"/>
  <c r="E4738" i="4"/>
  <c r="B4738" i="4"/>
  <c r="C4738" i="4"/>
  <c r="M4770" i="4" l="1"/>
  <c r="L4770" i="4"/>
  <c r="M4839" i="4"/>
  <c r="L4839" i="4"/>
  <c r="M4831" i="4"/>
  <c r="L4831" i="4"/>
  <c r="M4823" i="4"/>
  <c r="L4823" i="4"/>
  <c r="M4815" i="4"/>
  <c r="L4815" i="4"/>
  <c r="M4807" i="4"/>
  <c r="L4807" i="4"/>
  <c r="M4799" i="4"/>
  <c r="L4799" i="4"/>
  <c r="M4791" i="4"/>
  <c r="L4791" i="4"/>
  <c r="M4783" i="4"/>
  <c r="L4783" i="4"/>
  <c r="M4775" i="4"/>
  <c r="L4775" i="4"/>
  <c r="M4767" i="4"/>
  <c r="L4767" i="4"/>
  <c r="M4759" i="4"/>
  <c r="L4759" i="4"/>
  <c r="M4751" i="4"/>
  <c r="L4751" i="4"/>
  <c r="M4743" i="4"/>
  <c r="L4743" i="4"/>
  <c r="M4818" i="4"/>
  <c r="L4818" i="4"/>
  <c r="M4852" i="4"/>
  <c r="L4852" i="4"/>
  <c r="M4828" i="4"/>
  <c r="L4828" i="4"/>
  <c r="M4820" i="4"/>
  <c r="L4820" i="4"/>
  <c r="M4812" i="4"/>
  <c r="L4812" i="4"/>
  <c r="M4804" i="4"/>
  <c r="L4804" i="4"/>
  <c r="M4796" i="4"/>
  <c r="L4796" i="4"/>
  <c r="M4788" i="4"/>
  <c r="L4788" i="4"/>
  <c r="M4780" i="4"/>
  <c r="L4780" i="4"/>
  <c r="M4772" i="4"/>
  <c r="L4772" i="4"/>
  <c r="M4764" i="4"/>
  <c r="L4764" i="4"/>
  <c r="M4756" i="4"/>
  <c r="L4756" i="4"/>
  <c r="M4748" i="4"/>
  <c r="L4748" i="4"/>
  <c r="M4740" i="4"/>
  <c r="L4740" i="4"/>
  <c r="M4842" i="4"/>
  <c r="L4842" i="4"/>
  <c r="M4786" i="4"/>
  <c r="L4786" i="4"/>
  <c r="M4860" i="4"/>
  <c r="L4860" i="4"/>
  <c r="M4834" i="4"/>
  <c r="L4834" i="4"/>
  <c r="M4841" i="4"/>
  <c r="L4841" i="4"/>
  <c r="M4833" i="4"/>
  <c r="L4833" i="4"/>
  <c r="M4825" i="4"/>
  <c r="L4825" i="4"/>
  <c r="M4817" i="4"/>
  <c r="L4817" i="4"/>
  <c r="M4809" i="4"/>
  <c r="L4809" i="4"/>
  <c r="M4801" i="4"/>
  <c r="L4801" i="4"/>
  <c r="M4793" i="4"/>
  <c r="L4793" i="4"/>
  <c r="M4785" i="4"/>
  <c r="L4785" i="4"/>
  <c r="M4777" i="4"/>
  <c r="L4777" i="4"/>
  <c r="M4769" i="4"/>
  <c r="L4769" i="4"/>
  <c r="M4761" i="4"/>
  <c r="L4761" i="4"/>
  <c r="M4753" i="4"/>
  <c r="L4753" i="4"/>
  <c r="M4745" i="4"/>
  <c r="L4745" i="4"/>
  <c r="M4810" i="4"/>
  <c r="L4810" i="4"/>
  <c r="M4855" i="4"/>
  <c r="L4855" i="4"/>
  <c r="M4850" i="4"/>
  <c r="L4850" i="4"/>
  <c r="M4794" i="4"/>
  <c r="L4794" i="4"/>
  <c r="M4847" i="4"/>
  <c r="L4847" i="4"/>
  <c r="M4849" i="4"/>
  <c r="L4849" i="4"/>
  <c r="M4838" i="4"/>
  <c r="L4838" i="4"/>
  <c r="M4830" i="4"/>
  <c r="L4830" i="4"/>
  <c r="M4822" i="4"/>
  <c r="L4822" i="4"/>
  <c r="M4814" i="4"/>
  <c r="L4814" i="4"/>
  <c r="M4806" i="4"/>
  <c r="L4806" i="4"/>
  <c r="M4798" i="4"/>
  <c r="L4798" i="4"/>
  <c r="M4790" i="4"/>
  <c r="L4790" i="4"/>
  <c r="M4782" i="4"/>
  <c r="L4782" i="4"/>
  <c r="M4774" i="4"/>
  <c r="L4774" i="4"/>
  <c r="M4766" i="4"/>
  <c r="L4766" i="4"/>
  <c r="M4758" i="4"/>
  <c r="L4758" i="4"/>
  <c r="M4750" i="4"/>
  <c r="L4750" i="4"/>
  <c r="M4742" i="4"/>
  <c r="L4742" i="4"/>
  <c r="M4746" i="4"/>
  <c r="L4746" i="4"/>
  <c r="M4863" i="4"/>
  <c r="L4863" i="4"/>
  <c r="M4862" i="4"/>
  <c r="L4862" i="4"/>
  <c r="M4826" i="4"/>
  <c r="L4826" i="4"/>
  <c r="M4762" i="4"/>
  <c r="L4762" i="4"/>
  <c r="M4854" i="4"/>
  <c r="L4854" i="4"/>
  <c r="M4851" i="4"/>
  <c r="L4851" i="4"/>
  <c r="M4843" i="4"/>
  <c r="L4843" i="4"/>
  <c r="M4835" i="4"/>
  <c r="L4835" i="4"/>
  <c r="M4827" i="4"/>
  <c r="L4827" i="4"/>
  <c r="M4819" i="4"/>
  <c r="L4819" i="4"/>
  <c r="M4811" i="4"/>
  <c r="L4811" i="4"/>
  <c r="M4803" i="4"/>
  <c r="L4803" i="4"/>
  <c r="M4795" i="4"/>
  <c r="L4795" i="4"/>
  <c r="M4787" i="4"/>
  <c r="L4787" i="4"/>
  <c r="M4779" i="4"/>
  <c r="L4779" i="4"/>
  <c r="M4771" i="4"/>
  <c r="L4771" i="4"/>
  <c r="M4763" i="4"/>
  <c r="L4763" i="4"/>
  <c r="M4755" i="4"/>
  <c r="L4755" i="4"/>
  <c r="M4747" i="4"/>
  <c r="L4747" i="4"/>
  <c r="M4739" i="4"/>
  <c r="L4739" i="4"/>
  <c r="M4844" i="4"/>
  <c r="L4844" i="4"/>
  <c r="M4859" i="4"/>
  <c r="L4859" i="4"/>
  <c r="M4778" i="4"/>
  <c r="L4778" i="4"/>
  <c r="M4846" i="4"/>
  <c r="L4846" i="4"/>
  <c r="M4840" i="4"/>
  <c r="L4840" i="4"/>
  <c r="M4832" i="4"/>
  <c r="L4832" i="4"/>
  <c r="M4824" i="4"/>
  <c r="L4824" i="4"/>
  <c r="M4816" i="4"/>
  <c r="L4816" i="4"/>
  <c r="M4808" i="4"/>
  <c r="L4808" i="4"/>
  <c r="M4800" i="4"/>
  <c r="L4800" i="4"/>
  <c r="M4792" i="4"/>
  <c r="L4792" i="4"/>
  <c r="M4784" i="4"/>
  <c r="L4784" i="4"/>
  <c r="M4776" i="4"/>
  <c r="L4776" i="4"/>
  <c r="M4768" i="4"/>
  <c r="L4768" i="4"/>
  <c r="M4760" i="4"/>
  <c r="L4760" i="4"/>
  <c r="M4752" i="4"/>
  <c r="L4752" i="4"/>
  <c r="M4744" i="4"/>
  <c r="L4744" i="4"/>
  <c r="M4858" i="4"/>
  <c r="L4858" i="4"/>
  <c r="M4754" i="4"/>
  <c r="L4754" i="4"/>
  <c r="M4848" i="4"/>
  <c r="L4848" i="4"/>
  <c r="M4802" i="4"/>
  <c r="L4802" i="4"/>
  <c r="M4836" i="4"/>
  <c r="L4836" i="4"/>
  <c r="M4738" i="4"/>
  <c r="L4738" i="4"/>
  <c r="M4864" i="4"/>
  <c r="L4864" i="4"/>
  <c r="M4861" i="4"/>
  <c r="L4861" i="4"/>
  <c r="M4853" i="4"/>
  <c r="L4853" i="4"/>
  <c r="M4845" i="4"/>
  <c r="L4845" i="4"/>
  <c r="M4837" i="4"/>
  <c r="L4837" i="4"/>
  <c r="M4829" i="4"/>
  <c r="L4829" i="4"/>
  <c r="M4821" i="4"/>
  <c r="L4821" i="4"/>
  <c r="M4813" i="4"/>
  <c r="L4813" i="4"/>
  <c r="M4805" i="4"/>
  <c r="L4805" i="4"/>
  <c r="M4797" i="4"/>
  <c r="L4797" i="4"/>
  <c r="M4789" i="4"/>
  <c r="L4789" i="4"/>
  <c r="M4781" i="4"/>
  <c r="L4781" i="4"/>
  <c r="M4773" i="4"/>
  <c r="L4773" i="4"/>
  <c r="M4765" i="4"/>
  <c r="L4765" i="4"/>
  <c r="M4757" i="4"/>
  <c r="L4757" i="4"/>
  <c r="M4749" i="4"/>
  <c r="L4749" i="4"/>
  <c r="M4741" i="4"/>
  <c r="L4741" i="4"/>
  <c r="M4857" i="4"/>
  <c r="L4857" i="4"/>
  <c r="M4856" i="4"/>
  <c r="L4856" i="4"/>
  <c r="E4594" i="4"/>
  <c r="I4594" i="4"/>
  <c r="J4594" i="4"/>
  <c r="K4594" i="4" s="1"/>
  <c r="R4594" i="4"/>
  <c r="E4595" i="4"/>
  <c r="I4595" i="4"/>
  <c r="J4595" i="4"/>
  <c r="K4595" i="4" s="1"/>
  <c r="R4595" i="4"/>
  <c r="E4596" i="4"/>
  <c r="I4596" i="4"/>
  <c r="J4596" i="4"/>
  <c r="K4596" i="4" s="1"/>
  <c r="R4596" i="4"/>
  <c r="E4597" i="4"/>
  <c r="I4597" i="4"/>
  <c r="J4597" i="4"/>
  <c r="K4597" i="4" s="1"/>
  <c r="R4597" i="4"/>
  <c r="E4598" i="4"/>
  <c r="I4598" i="4"/>
  <c r="J4598" i="4"/>
  <c r="K4598" i="4" s="1"/>
  <c r="R4598" i="4"/>
  <c r="E4599" i="4"/>
  <c r="I4599" i="4"/>
  <c r="J4599" i="4"/>
  <c r="K4599" i="4" s="1"/>
  <c r="R4599" i="4"/>
  <c r="E4600" i="4"/>
  <c r="I4600" i="4"/>
  <c r="J4600" i="4"/>
  <c r="K4600" i="4" s="1"/>
  <c r="R4600" i="4"/>
  <c r="E4601" i="4"/>
  <c r="I4601" i="4"/>
  <c r="J4601" i="4"/>
  <c r="K4601" i="4" s="1"/>
  <c r="R4601" i="4"/>
  <c r="E4602" i="4"/>
  <c r="I4602" i="4"/>
  <c r="J4602" i="4"/>
  <c r="K4602" i="4" s="1"/>
  <c r="R4602" i="4"/>
  <c r="E4603" i="4"/>
  <c r="I4603" i="4"/>
  <c r="J4603" i="4"/>
  <c r="K4603" i="4" s="1"/>
  <c r="R4603" i="4"/>
  <c r="E4604" i="4"/>
  <c r="I4604" i="4"/>
  <c r="J4604" i="4"/>
  <c r="K4604" i="4" s="1"/>
  <c r="R4604" i="4"/>
  <c r="E4605" i="4"/>
  <c r="I4605" i="4"/>
  <c r="J4605" i="4"/>
  <c r="K4605" i="4" s="1"/>
  <c r="R4605" i="4"/>
  <c r="E4606" i="4"/>
  <c r="I4606" i="4"/>
  <c r="J4606" i="4"/>
  <c r="K4606" i="4" s="1"/>
  <c r="R4606" i="4"/>
  <c r="E4607" i="4"/>
  <c r="I4607" i="4"/>
  <c r="J4607" i="4"/>
  <c r="K4607" i="4" s="1"/>
  <c r="R4607" i="4"/>
  <c r="E4608" i="4"/>
  <c r="I4608" i="4"/>
  <c r="J4608" i="4"/>
  <c r="K4608" i="4" s="1"/>
  <c r="R4608" i="4"/>
  <c r="E4609" i="4"/>
  <c r="I4609" i="4"/>
  <c r="J4609" i="4"/>
  <c r="K4609" i="4" s="1"/>
  <c r="R4609" i="4"/>
  <c r="E4610" i="4"/>
  <c r="I4610" i="4"/>
  <c r="J4610" i="4"/>
  <c r="K4610" i="4" s="1"/>
  <c r="R4610" i="4"/>
  <c r="E4611" i="4"/>
  <c r="I4611" i="4"/>
  <c r="J4611" i="4"/>
  <c r="K4611" i="4" s="1"/>
  <c r="R4611" i="4"/>
  <c r="E4612" i="4"/>
  <c r="I4612" i="4"/>
  <c r="J4612" i="4"/>
  <c r="K4612" i="4" s="1"/>
  <c r="R4612" i="4"/>
  <c r="E4613" i="4"/>
  <c r="I4613" i="4"/>
  <c r="J4613" i="4"/>
  <c r="K4613" i="4" s="1"/>
  <c r="R4613" i="4"/>
  <c r="E4614" i="4"/>
  <c r="I4614" i="4"/>
  <c r="J4614" i="4"/>
  <c r="K4614" i="4" s="1"/>
  <c r="R4614" i="4"/>
  <c r="E4615" i="4"/>
  <c r="I4615" i="4"/>
  <c r="J4615" i="4"/>
  <c r="K4615" i="4" s="1"/>
  <c r="R4615" i="4"/>
  <c r="E4616" i="4"/>
  <c r="I4616" i="4"/>
  <c r="J4616" i="4"/>
  <c r="K4616" i="4" s="1"/>
  <c r="R4616" i="4"/>
  <c r="E4617" i="4"/>
  <c r="I4617" i="4"/>
  <c r="J4617" i="4"/>
  <c r="K4617" i="4" s="1"/>
  <c r="R4617" i="4"/>
  <c r="E4618" i="4"/>
  <c r="I4618" i="4"/>
  <c r="J4618" i="4"/>
  <c r="K4618" i="4" s="1"/>
  <c r="R4618" i="4"/>
  <c r="E4619" i="4"/>
  <c r="I4619" i="4"/>
  <c r="J4619" i="4"/>
  <c r="K4619" i="4" s="1"/>
  <c r="R4619" i="4"/>
  <c r="E4620" i="4"/>
  <c r="I4620" i="4"/>
  <c r="J4620" i="4"/>
  <c r="K4620" i="4" s="1"/>
  <c r="R4620" i="4"/>
  <c r="E4621" i="4"/>
  <c r="I4621" i="4"/>
  <c r="J4621" i="4"/>
  <c r="K4621" i="4" s="1"/>
  <c r="R4621" i="4"/>
  <c r="E4622" i="4"/>
  <c r="I4622" i="4"/>
  <c r="J4622" i="4"/>
  <c r="K4622" i="4" s="1"/>
  <c r="R4622" i="4"/>
  <c r="E4623" i="4"/>
  <c r="I4623" i="4"/>
  <c r="J4623" i="4"/>
  <c r="K4623" i="4" s="1"/>
  <c r="R4623" i="4"/>
  <c r="E4624" i="4"/>
  <c r="I4624" i="4"/>
  <c r="J4624" i="4"/>
  <c r="K4624" i="4" s="1"/>
  <c r="R4624" i="4"/>
  <c r="E4625" i="4"/>
  <c r="I4625" i="4"/>
  <c r="J4625" i="4"/>
  <c r="K4625" i="4" s="1"/>
  <c r="R4625" i="4"/>
  <c r="E4626" i="4"/>
  <c r="I4626" i="4"/>
  <c r="J4626" i="4"/>
  <c r="K4626" i="4" s="1"/>
  <c r="R4626" i="4"/>
  <c r="E4627" i="4"/>
  <c r="I4627" i="4"/>
  <c r="J4627" i="4"/>
  <c r="K4627" i="4" s="1"/>
  <c r="R4627" i="4"/>
  <c r="E4628" i="4"/>
  <c r="I4628" i="4"/>
  <c r="J4628" i="4"/>
  <c r="K4628" i="4" s="1"/>
  <c r="R4628" i="4"/>
  <c r="E4629" i="4"/>
  <c r="I4629" i="4"/>
  <c r="J4629" i="4"/>
  <c r="K4629" i="4" s="1"/>
  <c r="R4629" i="4"/>
  <c r="E4630" i="4"/>
  <c r="I4630" i="4"/>
  <c r="J4630" i="4"/>
  <c r="K4630" i="4" s="1"/>
  <c r="R4630" i="4"/>
  <c r="E4631" i="4"/>
  <c r="I4631" i="4"/>
  <c r="J4631" i="4"/>
  <c r="K4631" i="4" s="1"/>
  <c r="R4631" i="4"/>
  <c r="E4632" i="4"/>
  <c r="I4632" i="4"/>
  <c r="J4632" i="4"/>
  <c r="K4632" i="4" s="1"/>
  <c r="R4632" i="4"/>
  <c r="E4633" i="4"/>
  <c r="I4633" i="4"/>
  <c r="J4633" i="4"/>
  <c r="K4633" i="4" s="1"/>
  <c r="R4633" i="4"/>
  <c r="E4634" i="4"/>
  <c r="I4634" i="4"/>
  <c r="J4634" i="4"/>
  <c r="K4634" i="4" s="1"/>
  <c r="R4634" i="4"/>
  <c r="E4635" i="4"/>
  <c r="I4635" i="4"/>
  <c r="J4635" i="4"/>
  <c r="K4635" i="4" s="1"/>
  <c r="R4635" i="4"/>
  <c r="E4636" i="4"/>
  <c r="I4636" i="4"/>
  <c r="J4636" i="4"/>
  <c r="K4636" i="4" s="1"/>
  <c r="R4636" i="4"/>
  <c r="E4637" i="4"/>
  <c r="I4637" i="4"/>
  <c r="J4637" i="4"/>
  <c r="K4637" i="4" s="1"/>
  <c r="R4637" i="4"/>
  <c r="E4638" i="4"/>
  <c r="I4638" i="4"/>
  <c r="J4638" i="4"/>
  <c r="K4638" i="4" s="1"/>
  <c r="R4638" i="4"/>
  <c r="E4639" i="4"/>
  <c r="I4639" i="4"/>
  <c r="J4639" i="4"/>
  <c r="K4639" i="4" s="1"/>
  <c r="R4639" i="4"/>
  <c r="E4640" i="4"/>
  <c r="I4640" i="4"/>
  <c r="J4640" i="4"/>
  <c r="K4640" i="4" s="1"/>
  <c r="R4640" i="4"/>
  <c r="E4641" i="4"/>
  <c r="I4641" i="4"/>
  <c r="J4641" i="4"/>
  <c r="K4641" i="4" s="1"/>
  <c r="R4641" i="4"/>
  <c r="E4642" i="4"/>
  <c r="I4642" i="4"/>
  <c r="J4642" i="4"/>
  <c r="K4642" i="4" s="1"/>
  <c r="R4642" i="4"/>
  <c r="E4643" i="4"/>
  <c r="I4643" i="4"/>
  <c r="J4643" i="4"/>
  <c r="K4643" i="4" s="1"/>
  <c r="R4643" i="4"/>
  <c r="E4644" i="4"/>
  <c r="I4644" i="4"/>
  <c r="J4644" i="4"/>
  <c r="K4644" i="4" s="1"/>
  <c r="R4644" i="4"/>
  <c r="E4645" i="4"/>
  <c r="I4645" i="4"/>
  <c r="J4645" i="4"/>
  <c r="K4645" i="4" s="1"/>
  <c r="R4645" i="4"/>
  <c r="E4646" i="4"/>
  <c r="I4646" i="4"/>
  <c r="J4646" i="4"/>
  <c r="K4646" i="4" s="1"/>
  <c r="R4646" i="4"/>
  <c r="E4647" i="4"/>
  <c r="I4647" i="4"/>
  <c r="J4647" i="4"/>
  <c r="K4647" i="4" s="1"/>
  <c r="R4647" i="4"/>
  <c r="E4648" i="4"/>
  <c r="I4648" i="4"/>
  <c r="J4648" i="4"/>
  <c r="K4648" i="4" s="1"/>
  <c r="R4648" i="4"/>
  <c r="E4649" i="4"/>
  <c r="I4649" i="4"/>
  <c r="J4649" i="4"/>
  <c r="K4649" i="4" s="1"/>
  <c r="R4649" i="4"/>
  <c r="E4650" i="4"/>
  <c r="I4650" i="4"/>
  <c r="J4650" i="4"/>
  <c r="K4650" i="4" s="1"/>
  <c r="R4650" i="4"/>
  <c r="E4651" i="4"/>
  <c r="I4651" i="4"/>
  <c r="J4651" i="4"/>
  <c r="K4651" i="4" s="1"/>
  <c r="R4651" i="4"/>
  <c r="E4652" i="4"/>
  <c r="I4652" i="4"/>
  <c r="J4652" i="4"/>
  <c r="K4652" i="4" s="1"/>
  <c r="R4652" i="4"/>
  <c r="E4653" i="4"/>
  <c r="I4653" i="4"/>
  <c r="J4653" i="4"/>
  <c r="K4653" i="4" s="1"/>
  <c r="R4653" i="4"/>
  <c r="E4654" i="4"/>
  <c r="I4654" i="4"/>
  <c r="J4654" i="4"/>
  <c r="K4654" i="4" s="1"/>
  <c r="R4654" i="4"/>
  <c r="E4655" i="4"/>
  <c r="I4655" i="4"/>
  <c r="J4655" i="4"/>
  <c r="K4655" i="4" s="1"/>
  <c r="R4655" i="4"/>
  <c r="E4656" i="4"/>
  <c r="I4656" i="4"/>
  <c r="J4656" i="4"/>
  <c r="K4656" i="4" s="1"/>
  <c r="R4656" i="4"/>
  <c r="E4657" i="4"/>
  <c r="I4657" i="4"/>
  <c r="J4657" i="4"/>
  <c r="K4657" i="4" s="1"/>
  <c r="R4657" i="4"/>
  <c r="E4658" i="4"/>
  <c r="I4658" i="4"/>
  <c r="J4658" i="4"/>
  <c r="K4658" i="4" s="1"/>
  <c r="R4658" i="4"/>
  <c r="E4659" i="4"/>
  <c r="I4659" i="4"/>
  <c r="J4659" i="4"/>
  <c r="K4659" i="4" s="1"/>
  <c r="R4659" i="4"/>
  <c r="E4660" i="4"/>
  <c r="I4660" i="4"/>
  <c r="J4660" i="4"/>
  <c r="K4660" i="4" s="1"/>
  <c r="R4660" i="4"/>
  <c r="E4661" i="4"/>
  <c r="I4661" i="4"/>
  <c r="J4661" i="4"/>
  <c r="K4661" i="4" s="1"/>
  <c r="R4661" i="4"/>
  <c r="E4662" i="4"/>
  <c r="I4662" i="4"/>
  <c r="J4662" i="4"/>
  <c r="K4662" i="4" s="1"/>
  <c r="R4662" i="4"/>
  <c r="E4663" i="4"/>
  <c r="I4663" i="4"/>
  <c r="J4663" i="4"/>
  <c r="K4663" i="4" s="1"/>
  <c r="R4663" i="4"/>
  <c r="E4664" i="4"/>
  <c r="I4664" i="4"/>
  <c r="J4664" i="4"/>
  <c r="K4664" i="4" s="1"/>
  <c r="R4664" i="4"/>
  <c r="E4665" i="4"/>
  <c r="I4665" i="4"/>
  <c r="J4665" i="4"/>
  <c r="K4665" i="4" s="1"/>
  <c r="R4665" i="4"/>
  <c r="E4666" i="4"/>
  <c r="I4666" i="4"/>
  <c r="J4666" i="4"/>
  <c r="K4666" i="4" s="1"/>
  <c r="R4666" i="4"/>
  <c r="E4667" i="4"/>
  <c r="I4667" i="4"/>
  <c r="J4667" i="4"/>
  <c r="K4667" i="4" s="1"/>
  <c r="R4667" i="4"/>
  <c r="E4668" i="4"/>
  <c r="I4668" i="4"/>
  <c r="J4668" i="4"/>
  <c r="K4668" i="4" s="1"/>
  <c r="R4668" i="4"/>
  <c r="E4669" i="4"/>
  <c r="I4669" i="4"/>
  <c r="J4669" i="4"/>
  <c r="K4669" i="4" s="1"/>
  <c r="R4669" i="4"/>
  <c r="E4670" i="4"/>
  <c r="I4670" i="4"/>
  <c r="J4670" i="4"/>
  <c r="K4670" i="4" s="1"/>
  <c r="R4670" i="4"/>
  <c r="E4671" i="4"/>
  <c r="I4671" i="4"/>
  <c r="J4671" i="4"/>
  <c r="K4671" i="4" s="1"/>
  <c r="R4671" i="4"/>
  <c r="E4672" i="4"/>
  <c r="I4672" i="4"/>
  <c r="J4672" i="4"/>
  <c r="K4672" i="4" s="1"/>
  <c r="R4672" i="4"/>
  <c r="E4673" i="4"/>
  <c r="I4673" i="4"/>
  <c r="J4673" i="4"/>
  <c r="K4673" i="4" s="1"/>
  <c r="R4673" i="4"/>
  <c r="E4674" i="4"/>
  <c r="I4674" i="4"/>
  <c r="J4674" i="4"/>
  <c r="K4674" i="4" s="1"/>
  <c r="R4674" i="4"/>
  <c r="E4675" i="4"/>
  <c r="I4675" i="4"/>
  <c r="J4675" i="4"/>
  <c r="K4675" i="4" s="1"/>
  <c r="R4675" i="4"/>
  <c r="E4676" i="4"/>
  <c r="I4676" i="4"/>
  <c r="J4676" i="4"/>
  <c r="K4676" i="4" s="1"/>
  <c r="R4676" i="4"/>
  <c r="E4677" i="4"/>
  <c r="I4677" i="4"/>
  <c r="J4677" i="4"/>
  <c r="K4677" i="4" s="1"/>
  <c r="R4677" i="4"/>
  <c r="E4678" i="4"/>
  <c r="I4678" i="4"/>
  <c r="J4678" i="4"/>
  <c r="K4678" i="4" s="1"/>
  <c r="R4678" i="4"/>
  <c r="E4679" i="4"/>
  <c r="I4679" i="4"/>
  <c r="J4679" i="4"/>
  <c r="K4679" i="4" s="1"/>
  <c r="R4679" i="4"/>
  <c r="E4680" i="4"/>
  <c r="I4680" i="4"/>
  <c r="J4680" i="4"/>
  <c r="K4680" i="4" s="1"/>
  <c r="R4680" i="4"/>
  <c r="E4681" i="4"/>
  <c r="I4681" i="4"/>
  <c r="J4681" i="4"/>
  <c r="K4681" i="4" s="1"/>
  <c r="R4681" i="4"/>
  <c r="E4682" i="4"/>
  <c r="I4682" i="4"/>
  <c r="J4682" i="4"/>
  <c r="K4682" i="4" s="1"/>
  <c r="R4682" i="4"/>
  <c r="E4683" i="4"/>
  <c r="I4683" i="4"/>
  <c r="J4683" i="4"/>
  <c r="K4683" i="4" s="1"/>
  <c r="R4683" i="4"/>
  <c r="E4684" i="4"/>
  <c r="I4684" i="4"/>
  <c r="J4684" i="4"/>
  <c r="K4684" i="4" s="1"/>
  <c r="R4684" i="4"/>
  <c r="E4685" i="4"/>
  <c r="I4685" i="4"/>
  <c r="J4685" i="4"/>
  <c r="K4685" i="4" s="1"/>
  <c r="R4685" i="4"/>
  <c r="E4686" i="4"/>
  <c r="I4686" i="4"/>
  <c r="J4686" i="4"/>
  <c r="K4686" i="4" s="1"/>
  <c r="R4686" i="4"/>
  <c r="E4687" i="4"/>
  <c r="I4687" i="4"/>
  <c r="J4687" i="4"/>
  <c r="K4687" i="4" s="1"/>
  <c r="R4687" i="4"/>
  <c r="E4688" i="4"/>
  <c r="I4688" i="4"/>
  <c r="J4688" i="4"/>
  <c r="K4688" i="4" s="1"/>
  <c r="R4688" i="4"/>
  <c r="E4689" i="4"/>
  <c r="I4689" i="4"/>
  <c r="J4689" i="4"/>
  <c r="K4689" i="4" s="1"/>
  <c r="R4689" i="4"/>
  <c r="E4690" i="4"/>
  <c r="I4690" i="4"/>
  <c r="J4690" i="4"/>
  <c r="K4690" i="4" s="1"/>
  <c r="R4690" i="4"/>
  <c r="E4691" i="4"/>
  <c r="I4691" i="4"/>
  <c r="J4691" i="4"/>
  <c r="K4691" i="4" s="1"/>
  <c r="R4691" i="4"/>
  <c r="E4692" i="4"/>
  <c r="I4692" i="4"/>
  <c r="J4692" i="4"/>
  <c r="K4692" i="4" s="1"/>
  <c r="R4692" i="4"/>
  <c r="E4693" i="4"/>
  <c r="I4693" i="4"/>
  <c r="J4693" i="4"/>
  <c r="K4693" i="4" s="1"/>
  <c r="R4693" i="4"/>
  <c r="E4694" i="4"/>
  <c r="I4694" i="4"/>
  <c r="J4694" i="4"/>
  <c r="K4694" i="4" s="1"/>
  <c r="R4694" i="4"/>
  <c r="E4695" i="4"/>
  <c r="I4695" i="4"/>
  <c r="J4695" i="4"/>
  <c r="K4695" i="4" s="1"/>
  <c r="R4695" i="4"/>
  <c r="E4696" i="4"/>
  <c r="I4696" i="4"/>
  <c r="J4696" i="4"/>
  <c r="K4696" i="4" s="1"/>
  <c r="R4696" i="4"/>
  <c r="E4697" i="4"/>
  <c r="I4697" i="4"/>
  <c r="J4697" i="4"/>
  <c r="K4697" i="4" s="1"/>
  <c r="R4697" i="4"/>
  <c r="E4698" i="4"/>
  <c r="I4698" i="4"/>
  <c r="J4698" i="4"/>
  <c r="K4698" i="4" s="1"/>
  <c r="R4698" i="4"/>
  <c r="E4699" i="4"/>
  <c r="I4699" i="4"/>
  <c r="J4699" i="4"/>
  <c r="K4699" i="4" s="1"/>
  <c r="R4699" i="4"/>
  <c r="E4700" i="4"/>
  <c r="I4700" i="4"/>
  <c r="J4700" i="4"/>
  <c r="K4700" i="4" s="1"/>
  <c r="R4700" i="4"/>
  <c r="E4701" i="4"/>
  <c r="I4701" i="4"/>
  <c r="J4701" i="4"/>
  <c r="K4701" i="4" s="1"/>
  <c r="R4701" i="4"/>
  <c r="E4702" i="4"/>
  <c r="I4702" i="4"/>
  <c r="J4702" i="4"/>
  <c r="K4702" i="4" s="1"/>
  <c r="R4702" i="4"/>
  <c r="E4703" i="4"/>
  <c r="I4703" i="4"/>
  <c r="J4703" i="4"/>
  <c r="K4703" i="4" s="1"/>
  <c r="R4703" i="4"/>
  <c r="E4704" i="4"/>
  <c r="I4704" i="4"/>
  <c r="J4704" i="4"/>
  <c r="K4704" i="4" s="1"/>
  <c r="R4704" i="4"/>
  <c r="E4705" i="4"/>
  <c r="I4705" i="4"/>
  <c r="J4705" i="4"/>
  <c r="K4705" i="4" s="1"/>
  <c r="R4705" i="4"/>
  <c r="E4706" i="4"/>
  <c r="I4706" i="4"/>
  <c r="J4706" i="4"/>
  <c r="K4706" i="4" s="1"/>
  <c r="R4706" i="4"/>
  <c r="E4707" i="4"/>
  <c r="I4707" i="4"/>
  <c r="J4707" i="4"/>
  <c r="K4707" i="4" s="1"/>
  <c r="R4707" i="4"/>
  <c r="E4708" i="4"/>
  <c r="I4708" i="4"/>
  <c r="J4708" i="4"/>
  <c r="K4708" i="4" s="1"/>
  <c r="R4708" i="4"/>
  <c r="E4709" i="4"/>
  <c r="I4709" i="4"/>
  <c r="J4709" i="4"/>
  <c r="K4709" i="4" s="1"/>
  <c r="R4709" i="4"/>
  <c r="E4710" i="4"/>
  <c r="I4710" i="4"/>
  <c r="J4710" i="4"/>
  <c r="K4710" i="4" s="1"/>
  <c r="R4710" i="4"/>
  <c r="E4711" i="4"/>
  <c r="I4711" i="4"/>
  <c r="J4711" i="4"/>
  <c r="K4711" i="4" s="1"/>
  <c r="R4711" i="4"/>
  <c r="E4712" i="4"/>
  <c r="I4712" i="4"/>
  <c r="J4712" i="4"/>
  <c r="K4712" i="4" s="1"/>
  <c r="R4712" i="4"/>
  <c r="E4713" i="4"/>
  <c r="I4713" i="4"/>
  <c r="J4713" i="4"/>
  <c r="K4713" i="4" s="1"/>
  <c r="R4713" i="4"/>
  <c r="E4714" i="4"/>
  <c r="I4714" i="4"/>
  <c r="J4714" i="4"/>
  <c r="K4714" i="4" s="1"/>
  <c r="R4714" i="4"/>
  <c r="E4715" i="4"/>
  <c r="I4715" i="4"/>
  <c r="J4715" i="4"/>
  <c r="K4715" i="4" s="1"/>
  <c r="R4715" i="4"/>
  <c r="E4716" i="4"/>
  <c r="I4716" i="4"/>
  <c r="J4716" i="4"/>
  <c r="K4716" i="4" s="1"/>
  <c r="R4716" i="4"/>
  <c r="E4717" i="4"/>
  <c r="I4717" i="4"/>
  <c r="J4717" i="4"/>
  <c r="K4717" i="4" s="1"/>
  <c r="R4717" i="4"/>
  <c r="E4718" i="4"/>
  <c r="I4718" i="4"/>
  <c r="J4718" i="4"/>
  <c r="K4718" i="4" s="1"/>
  <c r="R4718" i="4"/>
  <c r="E4719" i="4"/>
  <c r="I4719" i="4"/>
  <c r="J4719" i="4"/>
  <c r="K4719" i="4" s="1"/>
  <c r="R4719" i="4"/>
  <c r="E4720" i="4"/>
  <c r="I4720" i="4"/>
  <c r="J4720" i="4"/>
  <c r="K4720" i="4" s="1"/>
  <c r="R4720" i="4"/>
  <c r="E4721" i="4"/>
  <c r="I4721" i="4"/>
  <c r="J4721" i="4"/>
  <c r="K4721" i="4" s="1"/>
  <c r="R4721" i="4"/>
  <c r="E4722" i="4"/>
  <c r="I4722" i="4"/>
  <c r="J4722" i="4"/>
  <c r="K4722" i="4" s="1"/>
  <c r="R4722" i="4"/>
  <c r="E4723" i="4"/>
  <c r="I4723" i="4"/>
  <c r="J4723" i="4"/>
  <c r="K4723" i="4" s="1"/>
  <c r="R4723" i="4"/>
  <c r="E4724" i="4"/>
  <c r="I4724" i="4"/>
  <c r="J4724" i="4"/>
  <c r="K4724" i="4" s="1"/>
  <c r="R4724" i="4"/>
  <c r="E4725" i="4"/>
  <c r="I4725" i="4"/>
  <c r="J4725" i="4"/>
  <c r="K4725" i="4" s="1"/>
  <c r="R4725" i="4"/>
  <c r="E4726" i="4"/>
  <c r="I4726" i="4"/>
  <c r="J4726" i="4"/>
  <c r="K4726" i="4" s="1"/>
  <c r="R4726" i="4"/>
  <c r="E4727" i="4"/>
  <c r="I4727" i="4"/>
  <c r="J4727" i="4"/>
  <c r="K4727" i="4" s="1"/>
  <c r="R4727" i="4"/>
  <c r="E4728" i="4"/>
  <c r="I4728" i="4"/>
  <c r="J4728" i="4"/>
  <c r="K4728" i="4" s="1"/>
  <c r="R4728" i="4"/>
  <c r="E4729" i="4"/>
  <c r="I4729" i="4"/>
  <c r="J4729" i="4"/>
  <c r="K4729" i="4" s="1"/>
  <c r="R4729" i="4"/>
  <c r="E4730" i="4"/>
  <c r="I4730" i="4"/>
  <c r="J4730" i="4"/>
  <c r="K4730" i="4" s="1"/>
  <c r="R4730" i="4"/>
  <c r="E4731" i="4"/>
  <c r="I4731" i="4"/>
  <c r="J4731" i="4"/>
  <c r="K4731" i="4" s="1"/>
  <c r="R4731" i="4"/>
  <c r="E4732" i="4"/>
  <c r="I4732" i="4"/>
  <c r="J4732" i="4"/>
  <c r="K4732" i="4" s="1"/>
  <c r="R4732" i="4"/>
  <c r="E4733" i="4"/>
  <c r="I4733" i="4"/>
  <c r="J4733" i="4"/>
  <c r="K4733" i="4" s="1"/>
  <c r="R4733" i="4"/>
  <c r="E4734" i="4"/>
  <c r="I4734" i="4"/>
  <c r="J4734" i="4"/>
  <c r="K4734" i="4" s="1"/>
  <c r="R4734" i="4"/>
  <c r="E4735" i="4"/>
  <c r="I4735" i="4"/>
  <c r="J4735" i="4"/>
  <c r="K4735" i="4" s="1"/>
  <c r="R4735" i="4"/>
  <c r="E4736" i="4"/>
  <c r="I4736" i="4"/>
  <c r="J4736" i="4"/>
  <c r="K4736" i="4" s="1"/>
  <c r="R4736" i="4"/>
  <c r="E4737" i="4"/>
  <c r="I4737" i="4"/>
  <c r="J4737" i="4"/>
  <c r="K4737" i="4" s="1"/>
  <c r="R4737" i="4"/>
  <c r="R4593" i="4"/>
  <c r="I4593" i="4"/>
  <c r="J4593" i="4"/>
  <c r="K4593" i="4" s="1"/>
  <c r="E4593" i="4"/>
  <c r="B4594" i="4"/>
  <c r="C4594" i="4"/>
  <c r="B4595" i="4"/>
  <c r="C4595" i="4"/>
  <c r="B4596" i="4"/>
  <c r="C4596" i="4"/>
  <c r="B4597" i="4"/>
  <c r="C4597" i="4"/>
  <c r="B4598" i="4"/>
  <c r="C4598" i="4"/>
  <c r="B4599" i="4"/>
  <c r="C4599" i="4"/>
  <c r="B4600" i="4"/>
  <c r="C4600" i="4"/>
  <c r="B4601" i="4"/>
  <c r="C4601" i="4"/>
  <c r="B4602" i="4"/>
  <c r="C4602" i="4"/>
  <c r="B4603" i="4"/>
  <c r="C4603" i="4"/>
  <c r="B4604" i="4"/>
  <c r="C4604" i="4"/>
  <c r="B4605" i="4"/>
  <c r="C4605" i="4"/>
  <c r="B4606" i="4"/>
  <c r="C4606" i="4"/>
  <c r="B4607" i="4"/>
  <c r="C4607" i="4"/>
  <c r="B4608" i="4"/>
  <c r="C4608" i="4"/>
  <c r="B4609" i="4"/>
  <c r="C4609" i="4"/>
  <c r="B4610" i="4"/>
  <c r="C4610" i="4"/>
  <c r="B4611" i="4"/>
  <c r="C4611" i="4"/>
  <c r="B4612" i="4"/>
  <c r="C4612" i="4"/>
  <c r="B4613" i="4"/>
  <c r="C4613" i="4"/>
  <c r="B4614" i="4"/>
  <c r="C4614" i="4"/>
  <c r="B4615" i="4"/>
  <c r="C4615" i="4"/>
  <c r="B4616" i="4"/>
  <c r="C4616" i="4"/>
  <c r="B4617" i="4"/>
  <c r="C4617" i="4"/>
  <c r="B4618" i="4"/>
  <c r="C4618" i="4"/>
  <c r="B4619" i="4"/>
  <c r="C4619" i="4"/>
  <c r="B4620" i="4"/>
  <c r="C4620" i="4"/>
  <c r="B4621" i="4"/>
  <c r="C4621" i="4"/>
  <c r="B4622" i="4"/>
  <c r="C4622" i="4"/>
  <c r="B4623" i="4"/>
  <c r="C4623" i="4"/>
  <c r="B4624" i="4"/>
  <c r="C4624" i="4"/>
  <c r="B4625" i="4"/>
  <c r="C4625" i="4"/>
  <c r="B4626" i="4"/>
  <c r="C4626" i="4"/>
  <c r="B4627" i="4"/>
  <c r="C4627" i="4"/>
  <c r="B4628" i="4"/>
  <c r="C4628" i="4"/>
  <c r="B4629" i="4"/>
  <c r="C4629" i="4"/>
  <c r="B4630" i="4"/>
  <c r="C4630" i="4"/>
  <c r="B4631" i="4"/>
  <c r="C4631" i="4"/>
  <c r="B4632" i="4"/>
  <c r="C4632" i="4"/>
  <c r="B4633" i="4"/>
  <c r="C4633" i="4"/>
  <c r="B4634" i="4"/>
  <c r="C4634" i="4"/>
  <c r="B4635" i="4"/>
  <c r="C4635" i="4"/>
  <c r="B4636" i="4"/>
  <c r="C4636" i="4"/>
  <c r="B4637" i="4"/>
  <c r="C4637" i="4"/>
  <c r="B4638" i="4"/>
  <c r="C4638" i="4"/>
  <c r="B4639" i="4"/>
  <c r="C4639" i="4"/>
  <c r="B4640" i="4"/>
  <c r="C4640" i="4"/>
  <c r="B4641" i="4"/>
  <c r="C4641" i="4"/>
  <c r="B4642" i="4"/>
  <c r="C4642" i="4"/>
  <c r="B4643" i="4"/>
  <c r="C4643" i="4"/>
  <c r="B4644" i="4"/>
  <c r="C4644" i="4"/>
  <c r="B4645" i="4"/>
  <c r="C4645" i="4"/>
  <c r="B4646" i="4"/>
  <c r="C4646" i="4"/>
  <c r="B4647" i="4"/>
  <c r="C4647" i="4"/>
  <c r="B4648" i="4"/>
  <c r="C4648" i="4"/>
  <c r="B4649" i="4"/>
  <c r="C4649" i="4"/>
  <c r="B4650" i="4"/>
  <c r="C4650" i="4"/>
  <c r="B4651" i="4"/>
  <c r="C4651" i="4"/>
  <c r="B4652" i="4"/>
  <c r="C4652" i="4"/>
  <c r="B4653" i="4"/>
  <c r="C4653" i="4"/>
  <c r="B4654" i="4"/>
  <c r="C4654" i="4"/>
  <c r="B4655" i="4"/>
  <c r="C4655" i="4"/>
  <c r="B4656" i="4"/>
  <c r="C4656" i="4"/>
  <c r="B4657" i="4"/>
  <c r="C4657" i="4"/>
  <c r="B4658" i="4"/>
  <c r="C4658" i="4"/>
  <c r="B4659" i="4"/>
  <c r="C4659" i="4"/>
  <c r="B4660" i="4"/>
  <c r="C4660" i="4"/>
  <c r="B4661" i="4"/>
  <c r="C4661" i="4"/>
  <c r="B4662" i="4"/>
  <c r="C4662" i="4"/>
  <c r="B4663" i="4"/>
  <c r="C4663" i="4"/>
  <c r="B4664" i="4"/>
  <c r="C4664" i="4"/>
  <c r="B4665" i="4"/>
  <c r="C4665" i="4"/>
  <c r="B4666" i="4"/>
  <c r="C4666" i="4"/>
  <c r="B4667" i="4"/>
  <c r="C4667" i="4"/>
  <c r="B4668" i="4"/>
  <c r="C4668" i="4"/>
  <c r="B4669" i="4"/>
  <c r="C4669" i="4"/>
  <c r="B4670" i="4"/>
  <c r="C4670" i="4"/>
  <c r="B4671" i="4"/>
  <c r="C4671" i="4"/>
  <c r="B4672" i="4"/>
  <c r="C4672" i="4"/>
  <c r="B4673" i="4"/>
  <c r="C4673" i="4"/>
  <c r="B4674" i="4"/>
  <c r="C4674" i="4"/>
  <c r="B4675" i="4"/>
  <c r="C4675" i="4"/>
  <c r="B4676" i="4"/>
  <c r="C4676" i="4"/>
  <c r="B4677" i="4"/>
  <c r="C4677" i="4"/>
  <c r="B4678" i="4"/>
  <c r="C4678" i="4"/>
  <c r="B4679" i="4"/>
  <c r="C4679" i="4"/>
  <c r="B4680" i="4"/>
  <c r="C4680" i="4"/>
  <c r="B4681" i="4"/>
  <c r="C4681" i="4"/>
  <c r="B4682" i="4"/>
  <c r="C4682" i="4"/>
  <c r="B4683" i="4"/>
  <c r="C4683" i="4"/>
  <c r="B4684" i="4"/>
  <c r="C4684" i="4"/>
  <c r="B4685" i="4"/>
  <c r="C4685" i="4"/>
  <c r="B4686" i="4"/>
  <c r="C4686" i="4"/>
  <c r="B4687" i="4"/>
  <c r="C4687" i="4"/>
  <c r="B4688" i="4"/>
  <c r="C4688" i="4"/>
  <c r="B4689" i="4"/>
  <c r="C4689" i="4"/>
  <c r="B4690" i="4"/>
  <c r="C4690" i="4"/>
  <c r="B4691" i="4"/>
  <c r="C4691" i="4"/>
  <c r="B4692" i="4"/>
  <c r="C4692" i="4"/>
  <c r="B4693" i="4"/>
  <c r="C4693" i="4"/>
  <c r="B4694" i="4"/>
  <c r="C4694" i="4"/>
  <c r="B4695" i="4"/>
  <c r="C4695" i="4"/>
  <c r="B4696" i="4"/>
  <c r="C4696" i="4"/>
  <c r="B4697" i="4"/>
  <c r="C4697" i="4"/>
  <c r="B4698" i="4"/>
  <c r="C4698" i="4"/>
  <c r="B4699" i="4"/>
  <c r="C4699" i="4"/>
  <c r="B4700" i="4"/>
  <c r="C4700" i="4"/>
  <c r="B4701" i="4"/>
  <c r="C4701" i="4"/>
  <c r="B4702" i="4"/>
  <c r="C4702" i="4"/>
  <c r="B4703" i="4"/>
  <c r="C4703" i="4"/>
  <c r="B4704" i="4"/>
  <c r="C4704" i="4"/>
  <c r="B4705" i="4"/>
  <c r="C4705" i="4"/>
  <c r="B4706" i="4"/>
  <c r="C4706" i="4"/>
  <c r="B4707" i="4"/>
  <c r="C4707" i="4"/>
  <c r="B4708" i="4"/>
  <c r="C4708" i="4"/>
  <c r="B4709" i="4"/>
  <c r="C4709" i="4"/>
  <c r="B4710" i="4"/>
  <c r="C4710" i="4"/>
  <c r="B4711" i="4"/>
  <c r="C4711" i="4"/>
  <c r="B4712" i="4"/>
  <c r="C4712" i="4"/>
  <c r="B4713" i="4"/>
  <c r="C4713" i="4"/>
  <c r="B4714" i="4"/>
  <c r="C4714" i="4"/>
  <c r="B4715" i="4"/>
  <c r="C4715" i="4"/>
  <c r="B4716" i="4"/>
  <c r="C4716" i="4"/>
  <c r="B4717" i="4"/>
  <c r="C4717" i="4"/>
  <c r="B4718" i="4"/>
  <c r="C4718" i="4"/>
  <c r="B4719" i="4"/>
  <c r="C4719" i="4"/>
  <c r="B4720" i="4"/>
  <c r="C4720" i="4"/>
  <c r="B4721" i="4"/>
  <c r="C4721" i="4"/>
  <c r="B4722" i="4"/>
  <c r="C4722" i="4"/>
  <c r="B4723" i="4"/>
  <c r="C4723" i="4"/>
  <c r="B4724" i="4"/>
  <c r="C4724" i="4"/>
  <c r="B4725" i="4"/>
  <c r="C4725" i="4"/>
  <c r="B4726" i="4"/>
  <c r="C4726" i="4"/>
  <c r="B4727" i="4"/>
  <c r="C4727" i="4"/>
  <c r="B4728" i="4"/>
  <c r="C4728" i="4"/>
  <c r="B4729" i="4"/>
  <c r="C4729" i="4"/>
  <c r="B4730" i="4"/>
  <c r="C4730" i="4"/>
  <c r="B4731" i="4"/>
  <c r="C4731" i="4"/>
  <c r="B4732" i="4"/>
  <c r="C4732" i="4"/>
  <c r="B4733" i="4"/>
  <c r="C4733" i="4"/>
  <c r="B4734" i="4"/>
  <c r="C4734" i="4"/>
  <c r="B4735" i="4"/>
  <c r="C4735" i="4"/>
  <c r="B4736" i="4"/>
  <c r="C4736" i="4"/>
  <c r="B4737" i="4"/>
  <c r="C4737" i="4"/>
  <c r="B4593" i="4"/>
  <c r="C4593" i="4"/>
  <c r="M4705" i="4" l="1"/>
  <c r="L4705" i="4"/>
  <c r="M4697" i="4"/>
  <c r="L4697" i="4"/>
  <c r="M4693" i="4"/>
  <c r="L4693" i="4"/>
  <c r="M4685" i="4"/>
  <c r="L4685" i="4"/>
  <c r="M4681" i="4"/>
  <c r="L4681" i="4"/>
  <c r="M4677" i="4"/>
  <c r="L4677" i="4"/>
  <c r="M4673" i="4"/>
  <c r="L4673" i="4"/>
  <c r="M4669" i="4"/>
  <c r="L4669" i="4"/>
  <c r="M4665" i="4"/>
  <c r="L4665" i="4"/>
  <c r="M4661" i="4"/>
  <c r="L4661" i="4"/>
  <c r="M4657" i="4"/>
  <c r="L4657" i="4"/>
  <c r="M4653" i="4"/>
  <c r="L4653" i="4"/>
  <c r="M4649" i="4"/>
  <c r="L4649" i="4"/>
  <c r="M4645" i="4"/>
  <c r="L4645" i="4"/>
  <c r="M4641" i="4"/>
  <c r="L4641" i="4"/>
  <c r="M4637" i="4"/>
  <c r="L4637" i="4"/>
  <c r="M4633" i="4"/>
  <c r="L4633" i="4"/>
  <c r="M4629" i="4"/>
  <c r="L4629" i="4"/>
  <c r="M4625" i="4"/>
  <c r="L4625" i="4"/>
  <c r="M4621" i="4"/>
  <c r="L4621" i="4"/>
  <c r="M4617" i="4"/>
  <c r="L4617" i="4"/>
  <c r="M4613" i="4"/>
  <c r="L4613" i="4"/>
  <c r="M4609" i="4"/>
  <c r="L4609" i="4"/>
  <c r="M4605" i="4"/>
  <c r="L4605" i="4"/>
  <c r="M4601" i="4"/>
  <c r="L4601" i="4"/>
  <c r="M4597" i="4"/>
  <c r="L4597" i="4"/>
  <c r="M4729" i="4"/>
  <c r="L4729" i="4"/>
  <c r="M4701" i="4"/>
  <c r="L4701" i="4"/>
  <c r="M4689" i="4"/>
  <c r="L4689" i="4"/>
  <c r="M4713" i="4"/>
  <c r="L4713" i="4"/>
  <c r="M4721" i="4"/>
  <c r="L4721" i="4"/>
  <c r="M4733" i="4"/>
  <c r="L4733" i="4"/>
  <c r="M4724" i="4"/>
  <c r="L4724" i="4"/>
  <c r="M4716" i="4"/>
  <c r="L4716" i="4"/>
  <c r="M4704" i="4"/>
  <c r="L4704" i="4"/>
  <c r="M4696" i="4"/>
  <c r="L4696" i="4"/>
  <c r="M4692" i="4"/>
  <c r="L4692" i="4"/>
  <c r="M4688" i="4"/>
  <c r="L4688" i="4"/>
  <c r="M4684" i="4"/>
  <c r="L4684" i="4"/>
  <c r="M4680" i="4"/>
  <c r="L4680" i="4"/>
  <c r="M4676" i="4"/>
  <c r="L4676" i="4"/>
  <c r="M4672" i="4"/>
  <c r="L4672" i="4"/>
  <c r="M4668" i="4"/>
  <c r="L4668" i="4"/>
  <c r="M4664" i="4"/>
  <c r="L4664" i="4"/>
  <c r="M4660" i="4"/>
  <c r="L4660" i="4"/>
  <c r="M4656" i="4"/>
  <c r="L4656" i="4"/>
  <c r="M4652" i="4"/>
  <c r="L4652" i="4"/>
  <c r="M4648" i="4"/>
  <c r="L4648" i="4"/>
  <c r="M4644" i="4"/>
  <c r="L4644" i="4"/>
  <c r="M4640" i="4"/>
  <c r="L4640" i="4"/>
  <c r="M4636" i="4"/>
  <c r="L4636" i="4"/>
  <c r="M4632" i="4"/>
  <c r="L4632" i="4"/>
  <c r="M4628" i="4"/>
  <c r="L4628" i="4"/>
  <c r="M4624" i="4"/>
  <c r="L4624" i="4"/>
  <c r="M4620" i="4"/>
  <c r="L4620" i="4"/>
  <c r="M4616" i="4"/>
  <c r="L4616" i="4"/>
  <c r="M4612" i="4"/>
  <c r="L4612" i="4"/>
  <c r="M4608" i="4"/>
  <c r="L4608" i="4"/>
  <c r="M4604" i="4"/>
  <c r="L4604" i="4"/>
  <c r="M4600" i="4"/>
  <c r="L4600" i="4"/>
  <c r="M4596" i="4"/>
  <c r="L4596" i="4"/>
  <c r="M4732" i="4"/>
  <c r="L4732" i="4"/>
  <c r="M4708" i="4"/>
  <c r="L4708" i="4"/>
  <c r="M4725" i="4"/>
  <c r="L4725" i="4"/>
  <c r="M4712" i="4"/>
  <c r="L4712" i="4"/>
  <c r="M4736" i="4"/>
  <c r="L4736" i="4"/>
  <c r="M4720" i="4"/>
  <c r="L4720" i="4"/>
  <c r="M4700" i="4"/>
  <c r="L4700" i="4"/>
  <c r="M4737" i="4"/>
  <c r="L4737" i="4"/>
  <c r="M4711" i="4"/>
  <c r="L4711" i="4"/>
  <c r="M4699" i="4"/>
  <c r="L4699" i="4"/>
  <c r="M4695" i="4"/>
  <c r="L4695" i="4"/>
  <c r="M4691" i="4"/>
  <c r="L4691" i="4"/>
  <c r="M4687" i="4"/>
  <c r="L4687" i="4"/>
  <c r="M4683" i="4"/>
  <c r="L4683" i="4"/>
  <c r="M4679" i="4"/>
  <c r="L4679" i="4"/>
  <c r="M4675" i="4"/>
  <c r="L4675" i="4"/>
  <c r="M4671" i="4"/>
  <c r="L4671" i="4"/>
  <c r="M4667" i="4"/>
  <c r="L4667" i="4"/>
  <c r="M4663" i="4"/>
  <c r="L4663" i="4"/>
  <c r="M4659" i="4"/>
  <c r="L4659" i="4"/>
  <c r="M4655" i="4"/>
  <c r="L4655" i="4"/>
  <c r="M4651" i="4"/>
  <c r="L4651" i="4"/>
  <c r="M4647" i="4"/>
  <c r="L4647" i="4"/>
  <c r="M4643" i="4"/>
  <c r="L4643" i="4"/>
  <c r="M4639" i="4"/>
  <c r="L4639" i="4"/>
  <c r="M4635" i="4"/>
  <c r="L4635" i="4"/>
  <c r="M4631" i="4"/>
  <c r="L4631" i="4"/>
  <c r="M4627" i="4"/>
  <c r="L4627" i="4"/>
  <c r="M4623" i="4"/>
  <c r="L4623" i="4"/>
  <c r="M4619" i="4"/>
  <c r="L4619" i="4"/>
  <c r="M4615" i="4"/>
  <c r="L4615" i="4"/>
  <c r="M4611" i="4"/>
  <c r="L4611" i="4"/>
  <c r="M4607" i="4"/>
  <c r="L4607" i="4"/>
  <c r="M4603" i="4"/>
  <c r="L4603" i="4"/>
  <c r="M4599" i="4"/>
  <c r="L4599" i="4"/>
  <c r="M4595" i="4"/>
  <c r="L4595" i="4"/>
  <c r="M4709" i="4"/>
  <c r="L4709" i="4"/>
  <c r="M4731" i="4"/>
  <c r="L4731" i="4"/>
  <c r="M4719" i="4"/>
  <c r="L4719" i="4"/>
  <c r="M4703" i="4"/>
  <c r="L4703" i="4"/>
  <c r="M4717" i="4"/>
  <c r="L4717" i="4"/>
  <c r="M4735" i="4"/>
  <c r="L4735" i="4"/>
  <c r="M4723" i="4"/>
  <c r="L4723" i="4"/>
  <c r="M4707" i="4"/>
  <c r="L4707" i="4"/>
  <c r="M4728" i="4"/>
  <c r="L4728" i="4"/>
  <c r="M4727" i="4"/>
  <c r="L4727" i="4"/>
  <c r="M4715" i="4"/>
  <c r="L4715" i="4"/>
  <c r="M4593" i="4"/>
  <c r="L4593" i="4"/>
  <c r="M4734" i="4"/>
  <c r="L4734" i="4"/>
  <c r="M4730" i="4"/>
  <c r="L4730" i="4"/>
  <c r="M4726" i="4"/>
  <c r="L4726" i="4"/>
  <c r="M4722" i="4"/>
  <c r="L4722" i="4"/>
  <c r="M4718" i="4"/>
  <c r="L4718" i="4"/>
  <c r="M4714" i="4"/>
  <c r="L4714" i="4"/>
  <c r="M4710" i="4"/>
  <c r="L4710" i="4"/>
  <c r="M4706" i="4"/>
  <c r="L4706" i="4"/>
  <c r="M4702" i="4"/>
  <c r="L4702" i="4"/>
  <c r="M4698" i="4"/>
  <c r="L4698" i="4"/>
  <c r="M4694" i="4"/>
  <c r="L4694" i="4"/>
  <c r="M4690" i="4"/>
  <c r="L4690" i="4"/>
  <c r="M4686" i="4"/>
  <c r="L4686" i="4"/>
  <c r="M4682" i="4"/>
  <c r="L4682" i="4"/>
  <c r="M4678" i="4"/>
  <c r="L4678" i="4"/>
  <c r="M4674" i="4"/>
  <c r="L4674" i="4"/>
  <c r="M4670" i="4"/>
  <c r="L4670" i="4"/>
  <c r="M4666" i="4"/>
  <c r="L4666" i="4"/>
  <c r="M4662" i="4"/>
  <c r="L4662" i="4"/>
  <c r="M4658" i="4"/>
  <c r="L4658" i="4"/>
  <c r="M4654" i="4"/>
  <c r="L4654" i="4"/>
  <c r="M4650" i="4"/>
  <c r="L4650" i="4"/>
  <c r="M4646" i="4"/>
  <c r="L4646" i="4"/>
  <c r="M4642" i="4"/>
  <c r="L4642" i="4"/>
  <c r="M4638" i="4"/>
  <c r="L4638" i="4"/>
  <c r="M4634" i="4"/>
  <c r="L4634" i="4"/>
  <c r="M4630" i="4"/>
  <c r="L4630" i="4"/>
  <c r="M4626" i="4"/>
  <c r="L4626" i="4"/>
  <c r="M4622" i="4"/>
  <c r="L4622" i="4"/>
  <c r="M4618" i="4"/>
  <c r="L4618" i="4"/>
  <c r="M4614" i="4"/>
  <c r="L4614" i="4"/>
  <c r="M4610" i="4"/>
  <c r="L4610" i="4"/>
  <c r="M4606" i="4"/>
  <c r="L4606" i="4"/>
  <c r="M4602" i="4"/>
  <c r="L4602" i="4"/>
  <c r="M4598" i="4"/>
  <c r="L4598" i="4"/>
  <c r="M4594" i="4"/>
  <c r="L4594" i="4"/>
  <c r="B4463" i="4"/>
  <c r="C4463" i="4"/>
  <c r="E4463" i="4"/>
  <c r="I4463" i="4"/>
  <c r="J4463" i="4"/>
  <c r="K4463" i="4" s="1"/>
  <c r="R4463" i="4"/>
  <c r="B4464" i="4"/>
  <c r="C4464" i="4"/>
  <c r="E4464" i="4"/>
  <c r="I4464" i="4"/>
  <c r="J4464" i="4"/>
  <c r="K4464" i="4" s="1"/>
  <c r="R4464" i="4"/>
  <c r="B4465" i="4"/>
  <c r="C4465" i="4"/>
  <c r="E4465" i="4"/>
  <c r="I4465" i="4"/>
  <c r="J4465" i="4"/>
  <c r="K4465" i="4" s="1"/>
  <c r="R4465" i="4"/>
  <c r="B4466" i="4"/>
  <c r="C4466" i="4"/>
  <c r="E4466" i="4"/>
  <c r="I4466" i="4"/>
  <c r="J4466" i="4"/>
  <c r="K4466" i="4" s="1"/>
  <c r="R4466" i="4"/>
  <c r="B4467" i="4"/>
  <c r="C4467" i="4"/>
  <c r="E4467" i="4"/>
  <c r="I4467" i="4"/>
  <c r="J4467" i="4"/>
  <c r="K4467" i="4" s="1"/>
  <c r="R4467" i="4"/>
  <c r="B4468" i="4"/>
  <c r="C4468" i="4"/>
  <c r="E4468" i="4"/>
  <c r="I4468" i="4"/>
  <c r="J4468" i="4"/>
  <c r="K4468" i="4" s="1"/>
  <c r="R4468" i="4"/>
  <c r="B4469" i="4"/>
  <c r="C4469" i="4"/>
  <c r="E4469" i="4"/>
  <c r="I4469" i="4"/>
  <c r="J4469" i="4"/>
  <c r="K4469" i="4" s="1"/>
  <c r="R4469" i="4"/>
  <c r="B4470" i="4"/>
  <c r="C4470" i="4"/>
  <c r="E4470" i="4"/>
  <c r="I4470" i="4"/>
  <c r="J4470" i="4"/>
  <c r="K4470" i="4" s="1"/>
  <c r="R4470" i="4"/>
  <c r="B4471" i="4"/>
  <c r="C4471" i="4"/>
  <c r="E4471" i="4"/>
  <c r="I4471" i="4"/>
  <c r="J4471" i="4"/>
  <c r="K4471" i="4" s="1"/>
  <c r="R4471" i="4"/>
  <c r="B4472" i="4"/>
  <c r="C4472" i="4"/>
  <c r="E4472" i="4"/>
  <c r="I4472" i="4"/>
  <c r="J4472" i="4"/>
  <c r="K4472" i="4" s="1"/>
  <c r="R4472" i="4"/>
  <c r="B4473" i="4"/>
  <c r="C4473" i="4"/>
  <c r="E4473" i="4"/>
  <c r="I4473" i="4"/>
  <c r="J4473" i="4"/>
  <c r="K4473" i="4" s="1"/>
  <c r="R4473" i="4"/>
  <c r="B4474" i="4"/>
  <c r="C4474" i="4"/>
  <c r="E4474" i="4"/>
  <c r="I4474" i="4"/>
  <c r="J4474" i="4"/>
  <c r="K4474" i="4" s="1"/>
  <c r="R4474" i="4"/>
  <c r="B4475" i="4"/>
  <c r="C4475" i="4"/>
  <c r="E4475" i="4"/>
  <c r="I4475" i="4"/>
  <c r="J4475" i="4"/>
  <c r="K4475" i="4" s="1"/>
  <c r="R4475" i="4"/>
  <c r="B4476" i="4"/>
  <c r="C4476" i="4"/>
  <c r="E4476" i="4"/>
  <c r="I4476" i="4"/>
  <c r="J4476" i="4"/>
  <c r="K4476" i="4" s="1"/>
  <c r="R4476" i="4"/>
  <c r="B4477" i="4"/>
  <c r="C4477" i="4"/>
  <c r="E4477" i="4"/>
  <c r="I4477" i="4"/>
  <c r="J4477" i="4"/>
  <c r="K4477" i="4" s="1"/>
  <c r="R4477" i="4"/>
  <c r="B4478" i="4"/>
  <c r="C4478" i="4"/>
  <c r="E4478" i="4"/>
  <c r="I4478" i="4"/>
  <c r="J4478" i="4"/>
  <c r="K4478" i="4" s="1"/>
  <c r="R4478" i="4"/>
  <c r="B4479" i="4"/>
  <c r="C4479" i="4"/>
  <c r="E4479" i="4"/>
  <c r="I4479" i="4"/>
  <c r="J4479" i="4"/>
  <c r="K4479" i="4" s="1"/>
  <c r="R4479" i="4"/>
  <c r="B4480" i="4"/>
  <c r="C4480" i="4"/>
  <c r="E4480" i="4"/>
  <c r="I4480" i="4"/>
  <c r="J4480" i="4"/>
  <c r="K4480" i="4" s="1"/>
  <c r="R4480" i="4"/>
  <c r="B4481" i="4"/>
  <c r="C4481" i="4"/>
  <c r="E4481" i="4"/>
  <c r="I4481" i="4"/>
  <c r="J4481" i="4"/>
  <c r="K4481" i="4" s="1"/>
  <c r="R4481" i="4"/>
  <c r="B4482" i="4"/>
  <c r="C4482" i="4"/>
  <c r="E4482" i="4"/>
  <c r="I4482" i="4"/>
  <c r="J4482" i="4"/>
  <c r="K4482" i="4" s="1"/>
  <c r="R4482" i="4"/>
  <c r="B4483" i="4"/>
  <c r="C4483" i="4"/>
  <c r="E4483" i="4"/>
  <c r="I4483" i="4"/>
  <c r="J4483" i="4"/>
  <c r="K4483" i="4" s="1"/>
  <c r="R4483" i="4"/>
  <c r="B4484" i="4"/>
  <c r="C4484" i="4"/>
  <c r="E4484" i="4"/>
  <c r="I4484" i="4"/>
  <c r="J4484" i="4"/>
  <c r="K4484" i="4" s="1"/>
  <c r="R4484" i="4"/>
  <c r="B4485" i="4"/>
  <c r="C4485" i="4"/>
  <c r="E4485" i="4"/>
  <c r="I4485" i="4"/>
  <c r="J4485" i="4"/>
  <c r="K4485" i="4" s="1"/>
  <c r="R4485" i="4"/>
  <c r="B4486" i="4"/>
  <c r="C4486" i="4"/>
  <c r="E4486" i="4"/>
  <c r="I4486" i="4"/>
  <c r="J4486" i="4"/>
  <c r="K4486" i="4" s="1"/>
  <c r="R4486" i="4"/>
  <c r="B4487" i="4"/>
  <c r="C4487" i="4"/>
  <c r="E4487" i="4"/>
  <c r="I4487" i="4"/>
  <c r="J4487" i="4"/>
  <c r="K4487" i="4" s="1"/>
  <c r="R4487" i="4"/>
  <c r="B4488" i="4"/>
  <c r="C4488" i="4"/>
  <c r="E4488" i="4"/>
  <c r="I4488" i="4"/>
  <c r="J4488" i="4"/>
  <c r="K4488" i="4" s="1"/>
  <c r="R4488" i="4"/>
  <c r="B4489" i="4"/>
  <c r="C4489" i="4"/>
  <c r="E4489" i="4"/>
  <c r="I4489" i="4"/>
  <c r="J4489" i="4"/>
  <c r="K4489" i="4" s="1"/>
  <c r="R4489" i="4"/>
  <c r="B4490" i="4"/>
  <c r="C4490" i="4"/>
  <c r="E4490" i="4"/>
  <c r="I4490" i="4"/>
  <c r="J4490" i="4"/>
  <c r="K4490" i="4" s="1"/>
  <c r="R4490" i="4"/>
  <c r="B4491" i="4"/>
  <c r="C4491" i="4"/>
  <c r="E4491" i="4"/>
  <c r="I4491" i="4"/>
  <c r="J4491" i="4"/>
  <c r="K4491" i="4" s="1"/>
  <c r="R4491" i="4"/>
  <c r="B4492" i="4"/>
  <c r="C4492" i="4"/>
  <c r="E4492" i="4"/>
  <c r="I4492" i="4"/>
  <c r="J4492" i="4"/>
  <c r="K4492" i="4" s="1"/>
  <c r="R4492" i="4"/>
  <c r="B4493" i="4"/>
  <c r="C4493" i="4"/>
  <c r="E4493" i="4"/>
  <c r="I4493" i="4"/>
  <c r="J4493" i="4"/>
  <c r="K4493" i="4" s="1"/>
  <c r="R4493" i="4"/>
  <c r="B4494" i="4"/>
  <c r="C4494" i="4"/>
  <c r="E4494" i="4"/>
  <c r="I4494" i="4"/>
  <c r="J4494" i="4"/>
  <c r="K4494" i="4" s="1"/>
  <c r="R4494" i="4"/>
  <c r="B4495" i="4"/>
  <c r="C4495" i="4"/>
  <c r="E4495" i="4"/>
  <c r="I4495" i="4"/>
  <c r="J4495" i="4"/>
  <c r="K4495" i="4" s="1"/>
  <c r="R4495" i="4"/>
  <c r="B4496" i="4"/>
  <c r="C4496" i="4"/>
  <c r="E4496" i="4"/>
  <c r="I4496" i="4"/>
  <c r="J4496" i="4"/>
  <c r="K4496" i="4" s="1"/>
  <c r="R4496" i="4"/>
  <c r="B4497" i="4"/>
  <c r="C4497" i="4"/>
  <c r="E4497" i="4"/>
  <c r="I4497" i="4"/>
  <c r="J4497" i="4"/>
  <c r="K4497" i="4" s="1"/>
  <c r="R4497" i="4"/>
  <c r="B4498" i="4"/>
  <c r="C4498" i="4"/>
  <c r="E4498" i="4"/>
  <c r="I4498" i="4"/>
  <c r="J4498" i="4"/>
  <c r="K4498" i="4" s="1"/>
  <c r="R4498" i="4"/>
  <c r="B4499" i="4"/>
  <c r="C4499" i="4"/>
  <c r="E4499" i="4"/>
  <c r="I4499" i="4"/>
  <c r="J4499" i="4"/>
  <c r="K4499" i="4" s="1"/>
  <c r="R4499" i="4"/>
  <c r="B4500" i="4"/>
  <c r="C4500" i="4"/>
  <c r="E4500" i="4"/>
  <c r="I4500" i="4"/>
  <c r="J4500" i="4"/>
  <c r="K4500" i="4" s="1"/>
  <c r="R4500" i="4"/>
  <c r="B4501" i="4"/>
  <c r="C4501" i="4"/>
  <c r="E4501" i="4"/>
  <c r="I4501" i="4"/>
  <c r="J4501" i="4"/>
  <c r="K4501" i="4" s="1"/>
  <c r="R4501" i="4"/>
  <c r="B4502" i="4"/>
  <c r="C4502" i="4"/>
  <c r="E4502" i="4"/>
  <c r="I4502" i="4"/>
  <c r="J4502" i="4"/>
  <c r="K4502" i="4" s="1"/>
  <c r="R4502" i="4"/>
  <c r="B4503" i="4"/>
  <c r="C4503" i="4"/>
  <c r="E4503" i="4"/>
  <c r="I4503" i="4"/>
  <c r="J4503" i="4"/>
  <c r="K4503" i="4" s="1"/>
  <c r="R4503" i="4"/>
  <c r="B4504" i="4"/>
  <c r="C4504" i="4"/>
  <c r="E4504" i="4"/>
  <c r="I4504" i="4"/>
  <c r="J4504" i="4"/>
  <c r="K4504" i="4" s="1"/>
  <c r="R4504" i="4"/>
  <c r="B4505" i="4"/>
  <c r="C4505" i="4"/>
  <c r="E4505" i="4"/>
  <c r="I4505" i="4"/>
  <c r="J4505" i="4"/>
  <c r="K4505" i="4" s="1"/>
  <c r="R4505" i="4"/>
  <c r="B4506" i="4"/>
  <c r="C4506" i="4"/>
  <c r="E4506" i="4"/>
  <c r="I4506" i="4"/>
  <c r="J4506" i="4"/>
  <c r="K4506" i="4" s="1"/>
  <c r="R4506" i="4"/>
  <c r="B4507" i="4"/>
  <c r="C4507" i="4"/>
  <c r="E4507" i="4"/>
  <c r="I4507" i="4"/>
  <c r="J4507" i="4"/>
  <c r="K4507" i="4" s="1"/>
  <c r="R4507" i="4"/>
  <c r="B4508" i="4"/>
  <c r="C4508" i="4"/>
  <c r="E4508" i="4"/>
  <c r="I4508" i="4"/>
  <c r="J4508" i="4"/>
  <c r="K4508" i="4" s="1"/>
  <c r="R4508" i="4"/>
  <c r="B4509" i="4"/>
  <c r="C4509" i="4"/>
  <c r="E4509" i="4"/>
  <c r="I4509" i="4"/>
  <c r="J4509" i="4"/>
  <c r="K4509" i="4" s="1"/>
  <c r="R4509" i="4"/>
  <c r="B4510" i="4"/>
  <c r="C4510" i="4"/>
  <c r="E4510" i="4"/>
  <c r="I4510" i="4"/>
  <c r="J4510" i="4"/>
  <c r="K4510" i="4" s="1"/>
  <c r="R4510" i="4"/>
  <c r="B4511" i="4"/>
  <c r="C4511" i="4"/>
  <c r="E4511" i="4"/>
  <c r="I4511" i="4"/>
  <c r="J4511" i="4"/>
  <c r="K4511" i="4" s="1"/>
  <c r="R4511" i="4"/>
  <c r="B4512" i="4"/>
  <c r="C4512" i="4"/>
  <c r="E4512" i="4"/>
  <c r="I4512" i="4"/>
  <c r="J4512" i="4"/>
  <c r="K4512" i="4" s="1"/>
  <c r="R4512" i="4"/>
  <c r="B4513" i="4"/>
  <c r="C4513" i="4"/>
  <c r="E4513" i="4"/>
  <c r="I4513" i="4"/>
  <c r="J4513" i="4"/>
  <c r="K4513" i="4" s="1"/>
  <c r="R4513" i="4"/>
  <c r="B4514" i="4"/>
  <c r="C4514" i="4"/>
  <c r="E4514" i="4"/>
  <c r="I4514" i="4"/>
  <c r="J4514" i="4"/>
  <c r="K4514" i="4" s="1"/>
  <c r="R4514" i="4"/>
  <c r="B4515" i="4"/>
  <c r="C4515" i="4"/>
  <c r="E4515" i="4"/>
  <c r="I4515" i="4"/>
  <c r="J4515" i="4"/>
  <c r="K4515" i="4" s="1"/>
  <c r="R4515" i="4"/>
  <c r="B4516" i="4"/>
  <c r="C4516" i="4"/>
  <c r="E4516" i="4"/>
  <c r="I4516" i="4"/>
  <c r="J4516" i="4"/>
  <c r="K4516" i="4" s="1"/>
  <c r="R4516" i="4"/>
  <c r="B4517" i="4"/>
  <c r="C4517" i="4"/>
  <c r="E4517" i="4"/>
  <c r="I4517" i="4"/>
  <c r="J4517" i="4"/>
  <c r="K4517" i="4" s="1"/>
  <c r="R4517" i="4"/>
  <c r="B4518" i="4"/>
  <c r="C4518" i="4"/>
  <c r="E4518" i="4"/>
  <c r="I4518" i="4"/>
  <c r="J4518" i="4"/>
  <c r="K4518" i="4" s="1"/>
  <c r="R4518" i="4"/>
  <c r="B4519" i="4"/>
  <c r="C4519" i="4"/>
  <c r="E4519" i="4"/>
  <c r="I4519" i="4"/>
  <c r="J4519" i="4"/>
  <c r="K4519" i="4" s="1"/>
  <c r="R4519" i="4"/>
  <c r="B4520" i="4"/>
  <c r="C4520" i="4"/>
  <c r="E4520" i="4"/>
  <c r="I4520" i="4"/>
  <c r="J4520" i="4"/>
  <c r="K4520" i="4" s="1"/>
  <c r="R4520" i="4"/>
  <c r="B4521" i="4"/>
  <c r="C4521" i="4"/>
  <c r="E4521" i="4"/>
  <c r="I4521" i="4"/>
  <c r="J4521" i="4"/>
  <c r="K4521" i="4" s="1"/>
  <c r="R4521" i="4"/>
  <c r="B4522" i="4"/>
  <c r="C4522" i="4"/>
  <c r="E4522" i="4"/>
  <c r="I4522" i="4"/>
  <c r="J4522" i="4"/>
  <c r="K4522" i="4" s="1"/>
  <c r="R4522" i="4"/>
  <c r="B4523" i="4"/>
  <c r="C4523" i="4"/>
  <c r="E4523" i="4"/>
  <c r="I4523" i="4"/>
  <c r="J4523" i="4"/>
  <c r="K4523" i="4" s="1"/>
  <c r="R4523" i="4"/>
  <c r="B4524" i="4"/>
  <c r="C4524" i="4"/>
  <c r="E4524" i="4"/>
  <c r="I4524" i="4"/>
  <c r="J4524" i="4"/>
  <c r="K4524" i="4" s="1"/>
  <c r="R4524" i="4"/>
  <c r="B4525" i="4"/>
  <c r="C4525" i="4"/>
  <c r="E4525" i="4"/>
  <c r="I4525" i="4"/>
  <c r="J4525" i="4"/>
  <c r="K4525" i="4" s="1"/>
  <c r="R4525" i="4"/>
  <c r="B4526" i="4"/>
  <c r="C4526" i="4"/>
  <c r="E4526" i="4"/>
  <c r="I4526" i="4"/>
  <c r="J4526" i="4"/>
  <c r="K4526" i="4" s="1"/>
  <c r="R4526" i="4"/>
  <c r="B4527" i="4"/>
  <c r="C4527" i="4"/>
  <c r="E4527" i="4"/>
  <c r="I4527" i="4"/>
  <c r="J4527" i="4"/>
  <c r="K4527" i="4" s="1"/>
  <c r="R4527" i="4"/>
  <c r="B4528" i="4"/>
  <c r="C4528" i="4"/>
  <c r="E4528" i="4"/>
  <c r="I4528" i="4"/>
  <c r="J4528" i="4"/>
  <c r="K4528" i="4" s="1"/>
  <c r="R4528" i="4"/>
  <c r="B4529" i="4"/>
  <c r="C4529" i="4"/>
  <c r="E4529" i="4"/>
  <c r="I4529" i="4"/>
  <c r="J4529" i="4"/>
  <c r="K4529" i="4" s="1"/>
  <c r="R4529" i="4"/>
  <c r="B4530" i="4"/>
  <c r="C4530" i="4"/>
  <c r="E4530" i="4"/>
  <c r="I4530" i="4"/>
  <c r="J4530" i="4"/>
  <c r="K4530" i="4" s="1"/>
  <c r="R4530" i="4"/>
  <c r="B4531" i="4"/>
  <c r="C4531" i="4"/>
  <c r="E4531" i="4"/>
  <c r="I4531" i="4"/>
  <c r="J4531" i="4"/>
  <c r="K4531" i="4" s="1"/>
  <c r="R4531" i="4"/>
  <c r="B4532" i="4"/>
  <c r="C4532" i="4"/>
  <c r="E4532" i="4"/>
  <c r="I4532" i="4"/>
  <c r="J4532" i="4"/>
  <c r="K4532" i="4" s="1"/>
  <c r="R4532" i="4"/>
  <c r="B4533" i="4"/>
  <c r="C4533" i="4"/>
  <c r="E4533" i="4"/>
  <c r="I4533" i="4"/>
  <c r="J4533" i="4"/>
  <c r="K4533" i="4" s="1"/>
  <c r="R4533" i="4"/>
  <c r="B4534" i="4"/>
  <c r="C4534" i="4"/>
  <c r="E4534" i="4"/>
  <c r="I4534" i="4"/>
  <c r="J4534" i="4"/>
  <c r="K4534" i="4" s="1"/>
  <c r="R4534" i="4"/>
  <c r="B4535" i="4"/>
  <c r="C4535" i="4"/>
  <c r="E4535" i="4"/>
  <c r="I4535" i="4"/>
  <c r="J4535" i="4"/>
  <c r="K4535" i="4" s="1"/>
  <c r="R4535" i="4"/>
  <c r="B4536" i="4"/>
  <c r="C4536" i="4"/>
  <c r="E4536" i="4"/>
  <c r="I4536" i="4"/>
  <c r="J4536" i="4"/>
  <c r="K4536" i="4" s="1"/>
  <c r="R4536" i="4"/>
  <c r="B4537" i="4"/>
  <c r="C4537" i="4"/>
  <c r="E4537" i="4"/>
  <c r="I4537" i="4"/>
  <c r="J4537" i="4"/>
  <c r="K4537" i="4" s="1"/>
  <c r="R4537" i="4"/>
  <c r="B4538" i="4"/>
  <c r="C4538" i="4"/>
  <c r="E4538" i="4"/>
  <c r="I4538" i="4"/>
  <c r="J4538" i="4"/>
  <c r="K4538" i="4" s="1"/>
  <c r="R4538" i="4"/>
  <c r="B4539" i="4"/>
  <c r="C4539" i="4"/>
  <c r="E4539" i="4"/>
  <c r="I4539" i="4"/>
  <c r="J4539" i="4"/>
  <c r="K4539" i="4" s="1"/>
  <c r="R4539" i="4"/>
  <c r="B4540" i="4"/>
  <c r="C4540" i="4"/>
  <c r="E4540" i="4"/>
  <c r="I4540" i="4"/>
  <c r="J4540" i="4"/>
  <c r="K4540" i="4" s="1"/>
  <c r="R4540" i="4"/>
  <c r="B4541" i="4"/>
  <c r="C4541" i="4"/>
  <c r="E4541" i="4"/>
  <c r="I4541" i="4"/>
  <c r="J4541" i="4"/>
  <c r="K4541" i="4" s="1"/>
  <c r="R4541" i="4"/>
  <c r="B4542" i="4"/>
  <c r="C4542" i="4"/>
  <c r="E4542" i="4"/>
  <c r="I4542" i="4"/>
  <c r="J4542" i="4"/>
  <c r="K4542" i="4" s="1"/>
  <c r="R4542" i="4"/>
  <c r="B4543" i="4"/>
  <c r="C4543" i="4"/>
  <c r="E4543" i="4"/>
  <c r="I4543" i="4"/>
  <c r="J4543" i="4"/>
  <c r="K4543" i="4" s="1"/>
  <c r="R4543" i="4"/>
  <c r="B4544" i="4"/>
  <c r="C4544" i="4"/>
  <c r="E4544" i="4"/>
  <c r="I4544" i="4"/>
  <c r="J4544" i="4"/>
  <c r="K4544" i="4" s="1"/>
  <c r="R4544" i="4"/>
  <c r="B4545" i="4"/>
  <c r="C4545" i="4"/>
  <c r="E4545" i="4"/>
  <c r="I4545" i="4"/>
  <c r="J4545" i="4"/>
  <c r="K4545" i="4" s="1"/>
  <c r="R4545" i="4"/>
  <c r="B4546" i="4"/>
  <c r="C4546" i="4"/>
  <c r="E4546" i="4"/>
  <c r="I4546" i="4"/>
  <c r="J4546" i="4"/>
  <c r="K4546" i="4" s="1"/>
  <c r="R4546" i="4"/>
  <c r="B4547" i="4"/>
  <c r="C4547" i="4"/>
  <c r="E4547" i="4"/>
  <c r="I4547" i="4"/>
  <c r="J4547" i="4"/>
  <c r="K4547" i="4" s="1"/>
  <c r="R4547" i="4"/>
  <c r="B4548" i="4"/>
  <c r="C4548" i="4"/>
  <c r="E4548" i="4"/>
  <c r="I4548" i="4"/>
  <c r="J4548" i="4"/>
  <c r="K4548" i="4" s="1"/>
  <c r="R4548" i="4"/>
  <c r="B4549" i="4"/>
  <c r="C4549" i="4"/>
  <c r="E4549" i="4"/>
  <c r="I4549" i="4"/>
  <c r="J4549" i="4"/>
  <c r="K4549" i="4" s="1"/>
  <c r="R4549" i="4"/>
  <c r="B4550" i="4"/>
  <c r="C4550" i="4"/>
  <c r="E4550" i="4"/>
  <c r="I4550" i="4"/>
  <c r="J4550" i="4"/>
  <c r="K4550" i="4" s="1"/>
  <c r="R4550" i="4"/>
  <c r="B4551" i="4"/>
  <c r="C4551" i="4"/>
  <c r="E4551" i="4"/>
  <c r="I4551" i="4"/>
  <c r="J4551" i="4"/>
  <c r="K4551" i="4" s="1"/>
  <c r="R4551" i="4"/>
  <c r="B4552" i="4"/>
  <c r="C4552" i="4"/>
  <c r="E4552" i="4"/>
  <c r="I4552" i="4"/>
  <c r="J4552" i="4"/>
  <c r="K4552" i="4" s="1"/>
  <c r="R4552" i="4"/>
  <c r="B4553" i="4"/>
  <c r="C4553" i="4"/>
  <c r="E4553" i="4"/>
  <c r="I4553" i="4"/>
  <c r="J4553" i="4"/>
  <c r="K4553" i="4" s="1"/>
  <c r="R4553" i="4"/>
  <c r="B4554" i="4"/>
  <c r="C4554" i="4"/>
  <c r="E4554" i="4"/>
  <c r="I4554" i="4"/>
  <c r="J4554" i="4"/>
  <c r="K4554" i="4" s="1"/>
  <c r="R4554" i="4"/>
  <c r="B4555" i="4"/>
  <c r="C4555" i="4"/>
  <c r="E4555" i="4"/>
  <c r="I4555" i="4"/>
  <c r="J4555" i="4"/>
  <c r="K4555" i="4" s="1"/>
  <c r="R4555" i="4"/>
  <c r="B4556" i="4"/>
  <c r="C4556" i="4"/>
  <c r="E4556" i="4"/>
  <c r="I4556" i="4"/>
  <c r="J4556" i="4"/>
  <c r="K4556" i="4" s="1"/>
  <c r="R4556" i="4"/>
  <c r="B4557" i="4"/>
  <c r="C4557" i="4"/>
  <c r="E4557" i="4"/>
  <c r="I4557" i="4"/>
  <c r="J4557" i="4"/>
  <c r="K4557" i="4" s="1"/>
  <c r="R4557" i="4"/>
  <c r="B4558" i="4"/>
  <c r="C4558" i="4"/>
  <c r="E4558" i="4"/>
  <c r="I4558" i="4"/>
  <c r="J4558" i="4"/>
  <c r="K4558" i="4" s="1"/>
  <c r="R4558" i="4"/>
  <c r="B4559" i="4"/>
  <c r="C4559" i="4"/>
  <c r="E4559" i="4"/>
  <c r="I4559" i="4"/>
  <c r="J4559" i="4"/>
  <c r="K4559" i="4" s="1"/>
  <c r="R4559" i="4"/>
  <c r="B4560" i="4"/>
  <c r="C4560" i="4"/>
  <c r="E4560" i="4"/>
  <c r="I4560" i="4"/>
  <c r="J4560" i="4"/>
  <c r="K4560" i="4" s="1"/>
  <c r="R4560" i="4"/>
  <c r="B4561" i="4"/>
  <c r="C4561" i="4"/>
  <c r="E4561" i="4"/>
  <c r="I4561" i="4"/>
  <c r="J4561" i="4"/>
  <c r="K4561" i="4" s="1"/>
  <c r="R4561" i="4"/>
  <c r="B4562" i="4"/>
  <c r="C4562" i="4"/>
  <c r="E4562" i="4"/>
  <c r="I4562" i="4"/>
  <c r="J4562" i="4"/>
  <c r="K4562" i="4" s="1"/>
  <c r="R4562" i="4"/>
  <c r="B4563" i="4"/>
  <c r="C4563" i="4"/>
  <c r="E4563" i="4"/>
  <c r="I4563" i="4"/>
  <c r="J4563" i="4"/>
  <c r="K4563" i="4" s="1"/>
  <c r="R4563" i="4"/>
  <c r="B4564" i="4"/>
  <c r="C4564" i="4"/>
  <c r="E4564" i="4"/>
  <c r="I4564" i="4"/>
  <c r="J4564" i="4"/>
  <c r="K4564" i="4" s="1"/>
  <c r="R4564" i="4"/>
  <c r="B4565" i="4"/>
  <c r="C4565" i="4"/>
  <c r="E4565" i="4"/>
  <c r="I4565" i="4"/>
  <c r="J4565" i="4"/>
  <c r="K4565" i="4" s="1"/>
  <c r="R4565" i="4"/>
  <c r="B4566" i="4"/>
  <c r="C4566" i="4"/>
  <c r="E4566" i="4"/>
  <c r="I4566" i="4"/>
  <c r="J4566" i="4"/>
  <c r="K4566" i="4" s="1"/>
  <c r="R4566" i="4"/>
  <c r="B4567" i="4"/>
  <c r="C4567" i="4"/>
  <c r="E4567" i="4"/>
  <c r="I4567" i="4"/>
  <c r="J4567" i="4"/>
  <c r="K4567" i="4" s="1"/>
  <c r="R4567" i="4"/>
  <c r="B4568" i="4"/>
  <c r="C4568" i="4"/>
  <c r="E4568" i="4"/>
  <c r="I4568" i="4"/>
  <c r="J4568" i="4"/>
  <c r="K4568" i="4" s="1"/>
  <c r="R4568" i="4"/>
  <c r="B4569" i="4"/>
  <c r="C4569" i="4"/>
  <c r="E4569" i="4"/>
  <c r="I4569" i="4"/>
  <c r="J4569" i="4"/>
  <c r="K4569" i="4" s="1"/>
  <c r="R4569" i="4"/>
  <c r="B4570" i="4"/>
  <c r="C4570" i="4"/>
  <c r="E4570" i="4"/>
  <c r="I4570" i="4"/>
  <c r="J4570" i="4"/>
  <c r="K4570" i="4" s="1"/>
  <c r="R4570" i="4"/>
  <c r="B4571" i="4"/>
  <c r="C4571" i="4"/>
  <c r="E4571" i="4"/>
  <c r="I4571" i="4"/>
  <c r="J4571" i="4"/>
  <c r="K4571" i="4" s="1"/>
  <c r="R4571" i="4"/>
  <c r="B4572" i="4"/>
  <c r="C4572" i="4"/>
  <c r="E4572" i="4"/>
  <c r="I4572" i="4"/>
  <c r="J4572" i="4"/>
  <c r="K4572" i="4" s="1"/>
  <c r="R4572" i="4"/>
  <c r="B4573" i="4"/>
  <c r="C4573" i="4"/>
  <c r="E4573" i="4"/>
  <c r="I4573" i="4"/>
  <c r="J4573" i="4"/>
  <c r="K4573" i="4" s="1"/>
  <c r="R4573" i="4"/>
  <c r="B4574" i="4"/>
  <c r="C4574" i="4"/>
  <c r="E4574" i="4"/>
  <c r="I4574" i="4"/>
  <c r="J4574" i="4"/>
  <c r="K4574" i="4" s="1"/>
  <c r="R4574" i="4"/>
  <c r="B4575" i="4"/>
  <c r="C4575" i="4"/>
  <c r="E4575" i="4"/>
  <c r="I4575" i="4"/>
  <c r="J4575" i="4"/>
  <c r="K4575" i="4" s="1"/>
  <c r="R4575" i="4"/>
  <c r="B4576" i="4"/>
  <c r="C4576" i="4"/>
  <c r="E4576" i="4"/>
  <c r="I4576" i="4"/>
  <c r="J4576" i="4"/>
  <c r="K4576" i="4" s="1"/>
  <c r="R4576" i="4"/>
  <c r="B4577" i="4"/>
  <c r="C4577" i="4"/>
  <c r="E4577" i="4"/>
  <c r="I4577" i="4"/>
  <c r="J4577" i="4"/>
  <c r="K4577" i="4" s="1"/>
  <c r="R4577" i="4"/>
  <c r="B4578" i="4"/>
  <c r="C4578" i="4"/>
  <c r="E4578" i="4"/>
  <c r="I4578" i="4"/>
  <c r="J4578" i="4"/>
  <c r="K4578" i="4" s="1"/>
  <c r="R4578" i="4"/>
  <c r="B4579" i="4"/>
  <c r="C4579" i="4"/>
  <c r="E4579" i="4"/>
  <c r="I4579" i="4"/>
  <c r="J4579" i="4"/>
  <c r="K4579" i="4" s="1"/>
  <c r="R4579" i="4"/>
  <c r="B4580" i="4"/>
  <c r="C4580" i="4"/>
  <c r="E4580" i="4"/>
  <c r="I4580" i="4"/>
  <c r="J4580" i="4"/>
  <c r="K4580" i="4" s="1"/>
  <c r="R4580" i="4"/>
  <c r="B4581" i="4"/>
  <c r="C4581" i="4"/>
  <c r="E4581" i="4"/>
  <c r="I4581" i="4"/>
  <c r="J4581" i="4"/>
  <c r="K4581" i="4" s="1"/>
  <c r="R4581" i="4"/>
  <c r="B4582" i="4"/>
  <c r="C4582" i="4"/>
  <c r="E4582" i="4"/>
  <c r="I4582" i="4"/>
  <c r="J4582" i="4"/>
  <c r="K4582" i="4" s="1"/>
  <c r="R4582" i="4"/>
  <c r="B4583" i="4"/>
  <c r="C4583" i="4"/>
  <c r="E4583" i="4"/>
  <c r="I4583" i="4"/>
  <c r="J4583" i="4"/>
  <c r="K4583" i="4" s="1"/>
  <c r="R4583" i="4"/>
  <c r="B4584" i="4"/>
  <c r="C4584" i="4"/>
  <c r="E4584" i="4"/>
  <c r="I4584" i="4"/>
  <c r="J4584" i="4"/>
  <c r="K4584" i="4" s="1"/>
  <c r="R4584" i="4"/>
  <c r="B4585" i="4"/>
  <c r="C4585" i="4"/>
  <c r="E4585" i="4"/>
  <c r="I4585" i="4"/>
  <c r="J4585" i="4"/>
  <c r="K4585" i="4" s="1"/>
  <c r="R4585" i="4"/>
  <c r="B4586" i="4"/>
  <c r="C4586" i="4"/>
  <c r="E4586" i="4"/>
  <c r="I4586" i="4"/>
  <c r="J4586" i="4"/>
  <c r="K4586" i="4" s="1"/>
  <c r="R4586" i="4"/>
  <c r="B4587" i="4"/>
  <c r="C4587" i="4"/>
  <c r="E4587" i="4"/>
  <c r="I4587" i="4"/>
  <c r="J4587" i="4"/>
  <c r="K4587" i="4" s="1"/>
  <c r="R4587" i="4"/>
  <c r="B4588" i="4"/>
  <c r="C4588" i="4"/>
  <c r="E4588" i="4"/>
  <c r="I4588" i="4"/>
  <c r="J4588" i="4"/>
  <c r="K4588" i="4" s="1"/>
  <c r="R4588" i="4"/>
  <c r="B4589" i="4"/>
  <c r="C4589" i="4"/>
  <c r="E4589" i="4"/>
  <c r="I4589" i="4"/>
  <c r="J4589" i="4"/>
  <c r="K4589" i="4" s="1"/>
  <c r="R4589" i="4"/>
  <c r="B4590" i="4"/>
  <c r="C4590" i="4"/>
  <c r="E4590" i="4"/>
  <c r="I4590" i="4"/>
  <c r="J4590" i="4"/>
  <c r="K4590" i="4" s="1"/>
  <c r="R4590" i="4"/>
  <c r="B4591" i="4"/>
  <c r="C4591" i="4"/>
  <c r="E4591" i="4"/>
  <c r="I4591" i="4"/>
  <c r="J4591" i="4"/>
  <c r="K4591" i="4" s="1"/>
  <c r="R4591" i="4"/>
  <c r="B4592" i="4"/>
  <c r="C4592" i="4"/>
  <c r="E4592" i="4"/>
  <c r="I4592" i="4"/>
  <c r="J4592" i="4"/>
  <c r="K4592" i="4" s="1"/>
  <c r="R4592" i="4"/>
  <c r="R4462" i="4"/>
  <c r="I4462" i="4"/>
  <c r="J4462" i="4"/>
  <c r="K4462" i="4" s="1"/>
  <c r="E4461" i="4"/>
  <c r="E4462" i="4"/>
  <c r="B4462" i="4"/>
  <c r="C4462" i="4"/>
  <c r="M4478" i="4" l="1"/>
  <c r="L4478" i="4"/>
  <c r="M4547" i="4"/>
  <c r="L4547" i="4"/>
  <c r="M4592" i="4"/>
  <c r="L4592" i="4"/>
  <c r="M4568" i="4"/>
  <c r="L4568" i="4"/>
  <c r="M4560" i="4"/>
  <c r="L4560" i="4"/>
  <c r="M4552" i="4"/>
  <c r="L4552" i="4"/>
  <c r="M4544" i="4"/>
  <c r="L4544" i="4"/>
  <c r="M4536" i="4"/>
  <c r="L4536" i="4"/>
  <c r="M4528" i="4"/>
  <c r="L4528" i="4"/>
  <c r="M4520" i="4"/>
  <c r="L4520" i="4"/>
  <c r="M4512" i="4"/>
  <c r="L4512" i="4"/>
  <c r="M4504" i="4"/>
  <c r="L4504" i="4"/>
  <c r="M4496" i="4"/>
  <c r="L4496" i="4"/>
  <c r="M4488" i="4"/>
  <c r="L4488" i="4"/>
  <c r="M4480" i="4"/>
  <c r="L4480" i="4"/>
  <c r="M4531" i="4"/>
  <c r="L4531" i="4"/>
  <c r="M4472" i="4"/>
  <c r="L4472" i="4"/>
  <c r="M4464" i="4"/>
  <c r="L4464" i="4"/>
  <c r="M4523" i="4"/>
  <c r="L4523" i="4"/>
  <c r="M4573" i="4"/>
  <c r="L4573" i="4"/>
  <c r="M4565" i="4"/>
  <c r="L4565" i="4"/>
  <c r="M4557" i="4"/>
  <c r="L4557" i="4"/>
  <c r="M4549" i="4"/>
  <c r="L4549" i="4"/>
  <c r="M4541" i="4"/>
  <c r="L4541" i="4"/>
  <c r="M4533" i="4"/>
  <c r="L4533" i="4"/>
  <c r="M4525" i="4"/>
  <c r="L4525" i="4"/>
  <c r="M4517" i="4"/>
  <c r="L4517" i="4"/>
  <c r="M4509" i="4"/>
  <c r="L4509" i="4"/>
  <c r="M4501" i="4"/>
  <c r="L4501" i="4"/>
  <c r="M4493" i="4"/>
  <c r="L4493" i="4"/>
  <c r="M4485" i="4"/>
  <c r="L4485" i="4"/>
  <c r="M4499" i="4"/>
  <c r="L4499" i="4"/>
  <c r="M4576" i="4"/>
  <c r="L4576" i="4"/>
  <c r="M4477" i="4"/>
  <c r="L4477" i="4"/>
  <c r="M4469" i="4"/>
  <c r="L4469" i="4"/>
  <c r="M4507" i="4"/>
  <c r="L4507" i="4"/>
  <c r="M4586" i="4"/>
  <c r="L4586" i="4"/>
  <c r="M4538" i="4"/>
  <c r="L4538" i="4"/>
  <c r="M4530" i="4"/>
  <c r="L4530" i="4"/>
  <c r="M4522" i="4"/>
  <c r="L4522" i="4"/>
  <c r="M4514" i="4"/>
  <c r="L4514" i="4"/>
  <c r="M4506" i="4"/>
  <c r="L4506" i="4"/>
  <c r="M4498" i="4"/>
  <c r="L4498" i="4"/>
  <c r="M4490" i="4"/>
  <c r="L4490" i="4"/>
  <c r="M4482" i="4"/>
  <c r="L4482" i="4"/>
  <c r="M4555" i="4"/>
  <c r="L4555" i="4"/>
  <c r="M4483" i="4"/>
  <c r="L4483" i="4"/>
  <c r="M4474" i="4"/>
  <c r="L4474" i="4"/>
  <c r="M4466" i="4"/>
  <c r="L4466" i="4"/>
  <c r="M4587" i="4"/>
  <c r="L4587" i="4"/>
  <c r="M4584" i="4"/>
  <c r="L4584" i="4"/>
  <c r="M4554" i="4"/>
  <c r="L4554" i="4"/>
  <c r="M4575" i="4"/>
  <c r="L4575" i="4"/>
  <c r="M4567" i="4"/>
  <c r="L4567" i="4"/>
  <c r="M4559" i="4"/>
  <c r="L4559" i="4"/>
  <c r="M4551" i="4"/>
  <c r="L4551" i="4"/>
  <c r="M4543" i="4"/>
  <c r="L4543" i="4"/>
  <c r="M4535" i="4"/>
  <c r="L4535" i="4"/>
  <c r="M4527" i="4"/>
  <c r="L4527" i="4"/>
  <c r="M4519" i="4"/>
  <c r="L4519" i="4"/>
  <c r="M4511" i="4"/>
  <c r="L4511" i="4"/>
  <c r="M4503" i="4"/>
  <c r="L4503" i="4"/>
  <c r="M4495" i="4"/>
  <c r="L4495" i="4"/>
  <c r="M4487" i="4"/>
  <c r="L4487" i="4"/>
  <c r="M4479" i="4"/>
  <c r="L4479" i="4"/>
  <c r="M4579" i="4"/>
  <c r="L4579" i="4"/>
  <c r="M4583" i="4"/>
  <c r="L4583" i="4"/>
  <c r="M4471" i="4"/>
  <c r="L4471" i="4"/>
  <c r="M4463" i="4"/>
  <c r="L4463" i="4"/>
  <c r="M4467" i="4"/>
  <c r="L4467" i="4"/>
  <c r="M4581" i="4"/>
  <c r="L4581" i="4"/>
  <c r="M4546" i="4"/>
  <c r="L4546" i="4"/>
  <c r="M4572" i="4"/>
  <c r="L4572" i="4"/>
  <c r="M4564" i="4"/>
  <c r="L4564" i="4"/>
  <c r="M4556" i="4"/>
  <c r="L4556" i="4"/>
  <c r="M4548" i="4"/>
  <c r="L4548" i="4"/>
  <c r="M4540" i="4"/>
  <c r="L4540" i="4"/>
  <c r="M4532" i="4"/>
  <c r="L4532" i="4"/>
  <c r="M4524" i="4"/>
  <c r="L4524" i="4"/>
  <c r="M4516" i="4"/>
  <c r="L4516" i="4"/>
  <c r="M4508" i="4"/>
  <c r="L4508" i="4"/>
  <c r="M4500" i="4"/>
  <c r="L4500" i="4"/>
  <c r="M4492" i="4"/>
  <c r="L4492" i="4"/>
  <c r="M4484" i="4"/>
  <c r="L4484" i="4"/>
  <c r="M4571" i="4"/>
  <c r="L4571" i="4"/>
  <c r="M4491" i="4"/>
  <c r="L4491" i="4"/>
  <c r="M4580" i="4"/>
  <c r="L4580" i="4"/>
  <c r="M4476" i="4"/>
  <c r="L4476" i="4"/>
  <c r="M4468" i="4"/>
  <c r="L4468" i="4"/>
  <c r="M4539" i="4"/>
  <c r="L4539" i="4"/>
  <c r="M4475" i="4"/>
  <c r="L4475" i="4"/>
  <c r="M4562" i="4"/>
  <c r="L4562" i="4"/>
  <c r="M4577" i="4"/>
  <c r="L4577" i="4"/>
  <c r="M4569" i="4"/>
  <c r="L4569" i="4"/>
  <c r="M4561" i="4"/>
  <c r="L4561" i="4"/>
  <c r="M4553" i="4"/>
  <c r="L4553" i="4"/>
  <c r="M4545" i="4"/>
  <c r="L4545" i="4"/>
  <c r="M4537" i="4"/>
  <c r="L4537" i="4"/>
  <c r="M4529" i="4"/>
  <c r="L4529" i="4"/>
  <c r="M4521" i="4"/>
  <c r="L4521" i="4"/>
  <c r="M4513" i="4"/>
  <c r="L4513" i="4"/>
  <c r="M4505" i="4"/>
  <c r="L4505" i="4"/>
  <c r="M4497" i="4"/>
  <c r="L4497" i="4"/>
  <c r="M4489" i="4"/>
  <c r="L4489" i="4"/>
  <c r="M4481" i="4"/>
  <c r="L4481" i="4"/>
  <c r="M4563" i="4"/>
  <c r="L4563" i="4"/>
  <c r="M4515" i="4"/>
  <c r="L4515" i="4"/>
  <c r="M4589" i="4"/>
  <c r="L4589" i="4"/>
  <c r="M4588" i="4"/>
  <c r="L4588" i="4"/>
  <c r="M4585" i="4"/>
  <c r="L4585" i="4"/>
  <c r="M4473" i="4"/>
  <c r="L4473" i="4"/>
  <c r="M4465" i="4"/>
  <c r="L4465" i="4"/>
  <c r="M4578" i="4"/>
  <c r="L4578" i="4"/>
  <c r="M4591" i="4"/>
  <c r="L4591" i="4"/>
  <c r="M4462" i="4"/>
  <c r="L4462" i="4"/>
  <c r="M4590" i="4"/>
  <c r="L4590" i="4"/>
  <c r="M4582" i="4"/>
  <c r="L4582" i="4"/>
  <c r="M4574" i="4"/>
  <c r="L4574" i="4"/>
  <c r="M4566" i="4"/>
  <c r="L4566" i="4"/>
  <c r="M4558" i="4"/>
  <c r="L4558" i="4"/>
  <c r="M4550" i="4"/>
  <c r="L4550" i="4"/>
  <c r="M4542" i="4"/>
  <c r="L4542" i="4"/>
  <c r="M4534" i="4"/>
  <c r="L4534" i="4"/>
  <c r="M4526" i="4"/>
  <c r="L4526" i="4"/>
  <c r="M4518" i="4"/>
  <c r="L4518" i="4"/>
  <c r="M4510" i="4"/>
  <c r="L4510" i="4"/>
  <c r="M4502" i="4"/>
  <c r="L4502" i="4"/>
  <c r="M4494" i="4"/>
  <c r="L4494" i="4"/>
  <c r="M4486" i="4"/>
  <c r="L4486" i="4"/>
  <c r="M4570" i="4"/>
  <c r="L4570" i="4"/>
  <c r="M4470" i="4"/>
  <c r="L4470" i="4"/>
  <c r="R4461" i="4"/>
  <c r="J4461" i="4"/>
  <c r="K4461" i="4" s="1"/>
  <c r="I4461" i="4"/>
  <c r="C4461" i="4"/>
  <c r="B4461" i="4"/>
  <c r="R4460" i="4"/>
  <c r="J4460" i="4"/>
  <c r="K4460" i="4" s="1"/>
  <c r="I4460" i="4"/>
  <c r="E4460" i="4"/>
  <c r="C4460" i="4"/>
  <c r="B4460" i="4"/>
  <c r="R4459" i="4"/>
  <c r="J4459" i="4"/>
  <c r="K4459" i="4" s="1"/>
  <c r="I4459" i="4"/>
  <c r="E4459" i="4"/>
  <c r="C4459" i="4"/>
  <c r="B4459" i="4"/>
  <c r="R4458" i="4"/>
  <c r="J4458" i="4"/>
  <c r="K4458" i="4" s="1"/>
  <c r="I4458" i="4"/>
  <c r="E4458" i="4"/>
  <c r="C4458" i="4"/>
  <c r="B4458" i="4"/>
  <c r="R4457" i="4"/>
  <c r="J4457" i="4"/>
  <c r="K4457" i="4" s="1"/>
  <c r="I4457" i="4"/>
  <c r="E4457" i="4"/>
  <c r="C4457" i="4"/>
  <c r="B4457" i="4"/>
  <c r="R4456" i="4"/>
  <c r="J4456" i="4"/>
  <c r="K4456" i="4" s="1"/>
  <c r="I4456" i="4"/>
  <c r="E4456" i="4"/>
  <c r="C4456" i="4"/>
  <c r="B4456" i="4"/>
  <c r="R4455" i="4"/>
  <c r="J4455" i="4"/>
  <c r="K4455" i="4" s="1"/>
  <c r="I4455" i="4"/>
  <c r="E4455" i="4"/>
  <c r="C4455" i="4"/>
  <c r="B4455" i="4"/>
  <c r="R4454" i="4"/>
  <c r="J4454" i="4"/>
  <c r="K4454" i="4" s="1"/>
  <c r="I4454" i="4"/>
  <c r="E4454" i="4"/>
  <c r="C4454" i="4"/>
  <c r="B4454" i="4"/>
  <c r="R4453" i="4"/>
  <c r="J4453" i="4"/>
  <c r="K4453" i="4" s="1"/>
  <c r="I4453" i="4"/>
  <c r="E4453" i="4"/>
  <c r="C4453" i="4"/>
  <c r="B4453" i="4"/>
  <c r="R4452" i="4"/>
  <c r="J4452" i="4"/>
  <c r="K4452" i="4" s="1"/>
  <c r="I4452" i="4"/>
  <c r="E4452" i="4"/>
  <c r="C4452" i="4"/>
  <c r="B4452" i="4"/>
  <c r="R4451" i="4"/>
  <c r="J4451" i="4"/>
  <c r="K4451" i="4" s="1"/>
  <c r="I4451" i="4"/>
  <c r="E4451" i="4"/>
  <c r="C4451" i="4"/>
  <c r="B4451" i="4"/>
  <c r="R4450" i="4"/>
  <c r="J4450" i="4"/>
  <c r="K4450" i="4" s="1"/>
  <c r="I4450" i="4"/>
  <c r="E4450" i="4"/>
  <c r="C4450" i="4"/>
  <c r="B4450" i="4"/>
  <c r="R4449" i="4"/>
  <c r="J4449" i="4"/>
  <c r="K4449" i="4" s="1"/>
  <c r="I4449" i="4"/>
  <c r="E4449" i="4"/>
  <c r="C4449" i="4"/>
  <c r="B4449" i="4"/>
  <c r="R4448" i="4"/>
  <c r="J4448" i="4"/>
  <c r="K4448" i="4" s="1"/>
  <c r="I4448" i="4"/>
  <c r="E4448" i="4"/>
  <c r="C4448" i="4"/>
  <c r="B4448" i="4"/>
  <c r="R4447" i="4"/>
  <c r="J4447" i="4"/>
  <c r="K4447" i="4" s="1"/>
  <c r="I4447" i="4"/>
  <c r="E4447" i="4"/>
  <c r="C4447" i="4"/>
  <c r="B4447" i="4"/>
  <c r="R4446" i="4"/>
  <c r="J4446" i="4"/>
  <c r="K4446" i="4" s="1"/>
  <c r="I4446" i="4"/>
  <c r="E4446" i="4"/>
  <c r="C4446" i="4"/>
  <c r="B4446" i="4"/>
  <c r="R4445" i="4"/>
  <c r="J4445" i="4"/>
  <c r="K4445" i="4" s="1"/>
  <c r="I4445" i="4"/>
  <c r="E4445" i="4"/>
  <c r="C4445" i="4"/>
  <c r="B4445" i="4"/>
  <c r="R4444" i="4"/>
  <c r="J4444" i="4"/>
  <c r="K4444" i="4" s="1"/>
  <c r="I4444" i="4"/>
  <c r="E4444" i="4"/>
  <c r="C4444" i="4"/>
  <c r="B4444" i="4"/>
  <c r="R4443" i="4"/>
  <c r="J4443" i="4"/>
  <c r="K4443" i="4" s="1"/>
  <c r="I4443" i="4"/>
  <c r="E4443" i="4"/>
  <c r="C4443" i="4"/>
  <c r="B4443" i="4"/>
  <c r="R4442" i="4"/>
  <c r="J4442" i="4"/>
  <c r="K4442" i="4" s="1"/>
  <c r="I4442" i="4"/>
  <c r="E4442" i="4"/>
  <c r="C4442" i="4"/>
  <c r="B4442" i="4"/>
  <c r="R4441" i="4"/>
  <c r="J4441" i="4"/>
  <c r="K4441" i="4" s="1"/>
  <c r="I4441" i="4"/>
  <c r="E4441" i="4"/>
  <c r="C4441" i="4"/>
  <c r="B4441" i="4"/>
  <c r="R4440" i="4"/>
  <c r="J4440" i="4"/>
  <c r="K4440" i="4" s="1"/>
  <c r="I4440" i="4"/>
  <c r="E4440" i="4"/>
  <c r="C4440" i="4"/>
  <c r="B4440" i="4"/>
  <c r="R4439" i="4"/>
  <c r="J4439" i="4"/>
  <c r="K4439" i="4" s="1"/>
  <c r="I4439" i="4"/>
  <c r="E4439" i="4"/>
  <c r="C4439" i="4"/>
  <c r="B4439" i="4"/>
  <c r="R4438" i="4"/>
  <c r="J4438" i="4"/>
  <c r="K4438" i="4" s="1"/>
  <c r="I4438" i="4"/>
  <c r="E4438" i="4"/>
  <c r="C4438" i="4"/>
  <c r="B4438" i="4"/>
  <c r="R4437" i="4"/>
  <c r="J4437" i="4"/>
  <c r="K4437" i="4" s="1"/>
  <c r="I4437" i="4"/>
  <c r="E4437" i="4"/>
  <c r="C4437" i="4"/>
  <c r="B4437" i="4"/>
  <c r="R4436" i="4"/>
  <c r="J4436" i="4"/>
  <c r="K4436" i="4" s="1"/>
  <c r="I4436" i="4"/>
  <c r="E4436" i="4"/>
  <c r="C4436" i="4"/>
  <c r="B4436" i="4"/>
  <c r="R4435" i="4"/>
  <c r="J4435" i="4"/>
  <c r="K4435" i="4" s="1"/>
  <c r="I4435" i="4"/>
  <c r="E4435" i="4"/>
  <c r="C4435" i="4"/>
  <c r="B4435" i="4"/>
  <c r="R4434" i="4"/>
  <c r="J4434" i="4"/>
  <c r="K4434" i="4" s="1"/>
  <c r="I4434" i="4"/>
  <c r="E4434" i="4"/>
  <c r="C4434" i="4"/>
  <c r="B4434" i="4"/>
  <c r="R4433" i="4"/>
  <c r="J4433" i="4"/>
  <c r="K4433" i="4" s="1"/>
  <c r="I4433" i="4"/>
  <c r="E4433" i="4"/>
  <c r="C4433" i="4"/>
  <c r="B4433" i="4"/>
  <c r="R4432" i="4"/>
  <c r="J4432" i="4"/>
  <c r="K4432" i="4" s="1"/>
  <c r="I4432" i="4"/>
  <c r="E4432" i="4"/>
  <c r="C4432" i="4"/>
  <c r="B4432" i="4"/>
  <c r="R4431" i="4"/>
  <c r="J4431" i="4"/>
  <c r="K4431" i="4" s="1"/>
  <c r="I4431" i="4"/>
  <c r="E4431" i="4"/>
  <c r="C4431" i="4"/>
  <c r="B4431" i="4"/>
  <c r="R4430" i="4"/>
  <c r="J4430" i="4"/>
  <c r="K4430" i="4" s="1"/>
  <c r="I4430" i="4"/>
  <c r="E4430" i="4"/>
  <c r="C4430" i="4"/>
  <c r="B4430" i="4"/>
  <c r="R4429" i="4"/>
  <c r="J4429" i="4"/>
  <c r="K4429" i="4" s="1"/>
  <c r="I4429" i="4"/>
  <c r="E4429" i="4"/>
  <c r="C4429" i="4"/>
  <c r="B4429" i="4"/>
  <c r="R4428" i="4"/>
  <c r="J4428" i="4"/>
  <c r="K4428" i="4" s="1"/>
  <c r="I4428" i="4"/>
  <c r="E4428" i="4"/>
  <c r="C4428" i="4"/>
  <c r="B4428" i="4"/>
  <c r="R4427" i="4"/>
  <c r="J4427" i="4"/>
  <c r="K4427" i="4" s="1"/>
  <c r="I4427" i="4"/>
  <c r="E4427" i="4"/>
  <c r="C4427" i="4"/>
  <c r="B4427" i="4"/>
  <c r="R4426" i="4"/>
  <c r="J4426" i="4"/>
  <c r="K4426" i="4" s="1"/>
  <c r="I4426" i="4"/>
  <c r="E4426" i="4"/>
  <c r="C4426" i="4"/>
  <c r="B4426" i="4"/>
  <c r="R4425" i="4"/>
  <c r="J4425" i="4"/>
  <c r="K4425" i="4" s="1"/>
  <c r="I4425" i="4"/>
  <c r="E4425" i="4"/>
  <c r="C4425" i="4"/>
  <c r="B4425" i="4"/>
  <c r="R4424" i="4"/>
  <c r="J4424" i="4"/>
  <c r="K4424" i="4" s="1"/>
  <c r="I4424" i="4"/>
  <c r="E4424" i="4"/>
  <c r="C4424" i="4"/>
  <c r="B4424" i="4"/>
  <c r="R4423" i="4"/>
  <c r="J4423" i="4"/>
  <c r="K4423" i="4" s="1"/>
  <c r="I4423" i="4"/>
  <c r="E4423" i="4"/>
  <c r="C4423" i="4"/>
  <c r="B4423" i="4"/>
  <c r="R4422" i="4"/>
  <c r="J4422" i="4"/>
  <c r="K4422" i="4" s="1"/>
  <c r="I4422" i="4"/>
  <c r="E4422" i="4"/>
  <c r="C4422" i="4"/>
  <c r="B4422" i="4"/>
  <c r="R4421" i="4"/>
  <c r="J4421" i="4"/>
  <c r="K4421" i="4" s="1"/>
  <c r="I4421" i="4"/>
  <c r="E4421" i="4"/>
  <c r="C4421" i="4"/>
  <c r="B4421" i="4"/>
  <c r="R4420" i="4"/>
  <c r="J4420" i="4"/>
  <c r="K4420" i="4" s="1"/>
  <c r="I4420" i="4"/>
  <c r="E4420" i="4"/>
  <c r="C4420" i="4"/>
  <c r="B4420" i="4"/>
  <c r="R4419" i="4"/>
  <c r="J4419" i="4"/>
  <c r="K4419" i="4" s="1"/>
  <c r="I4419" i="4"/>
  <c r="E4419" i="4"/>
  <c r="C4419" i="4"/>
  <c r="B4419" i="4"/>
  <c r="R4418" i="4"/>
  <c r="J4418" i="4"/>
  <c r="K4418" i="4" s="1"/>
  <c r="I4418" i="4"/>
  <c r="E4418" i="4"/>
  <c r="C4418" i="4"/>
  <c r="B4418" i="4"/>
  <c r="R4417" i="4"/>
  <c r="J4417" i="4"/>
  <c r="K4417" i="4" s="1"/>
  <c r="I4417" i="4"/>
  <c r="E4417" i="4"/>
  <c r="C4417" i="4"/>
  <c r="B4417" i="4"/>
  <c r="R4416" i="4"/>
  <c r="J4416" i="4"/>
  <c r="K4416" i="4" s="1"/>
  <c r="I4416" i="4"/>
  <c r="E4416" i="4"/>
  <c r="C4416" i="4"/>
  <c r="B4416" i="4"/>
  <c r="R4415" i="4"/>
  <c r="J4415" i="4"/>
  <c r="K4415" i="4" s="1"/>
  <c r="I4415" i="4"/>
  <c r="E4415" i="4"/>
  <c r="C4415" i="4"/>
  <c r="B4415" i="4"/>
  <c r="R4414" i="4"/>
  <c r="J4414" i="4"/>
  <c r="K4414" i="4" s="1"/>
  <c r="I4414" i="4"/>
  <c r="E4414" i="4"/>
  <c r="C4414" i="4"/>
  <c r="B4414" i="4"/>
  <c r="R4413" i="4"/>
  <c r="J4413" i="4"/>
  <c r="K4413" i="4" s="1"/>
  <c r="I4413" i="4"/>
  <c r="E4413" i="4"/>
  <c r="C4413" i="4"/>
  <c r="B4413" i="4"/>
  <c r="R4412" i="4"/>
  <c r="J4412" i="4"/>
  <c r="K4412" i="4" s="1"/>
  <c r="I4412" i="4"/>
  <c r="E4412" i="4"/>
  <c r="C4412" i="4"/>
  <c r="B4412" i="4"/>
  <c r="R4411" i="4"/>
  <c r="J4411" i="4"/>
  <c r="K4411" i="4" s="1"/>
  <c r="I4411" i="4"/>
  <c r="E4411" i="4"/>
  <c r="C4411" i="4"/>
  <c r="B4411" i="4"/>
  <c r="R4410" i="4"/>
  <c r="J4410" i="4"/>
  <c r="K4410" i="4" s="1"/>
  <c r="I4410" i="4"/>
  <c r="E4410" i="4"/>
  <c r="C4410" i="4"/>
  <c r="B4410" i="4"/>
  <c r="R4409" i="4"/>
  <c r="J4409" i="4"/>
  <c r="K4409" i="4" s="1"/>
  <c r="I4409" i="4"/>
  <c r="E4409" i="4"/>
  <c r="C4409" i="4"/>
  <c r="B4409" i="4"/>
  <c r="R4408" i="4"/>
  <c r="J4408" i="4"/>
  <c r="K4408" i="4" s="1"/>
  <c r="I4408" i="4"/>
  <c r="E4408" i="4"/>
  <c r="C4408" i="4"/>
  <c r="B4408" i="4"/>
  <c r="R4407" i="4"/>
  <c r="J4407" i="4"/>
  <c r="K4407" i="4" s="1"/>
  <c r="I4407" i="4"/>
  <c r="E4407" i="4"/>
  <c r="C4407" i="4"/>
  <c r="B4407" i="4"/>
  <c r="R4406" i="4"/>
  <c r="J4406" i="4"/>
  <c r="K4406" i="4" s="1"/>
  <c r="I4406" i="4"/>
  <c r="E4406" i="4"/>
  <c r="C4406" i="4"/>
  <c r="B4406" i="4"/>
  <c r="R4405" i="4"/>
  <c r="J4405" i="4"/>
  <c r="K4405" i="4" s="1"/>
  <c r="I4405" i="4"/>
  <c r="E4405" i="4"/>
  <c r="C4405" i="4"/>
  <c r="B4405" i="4"/>
  <c r="R4404" i="4"/>
  <c r="J4404" i="4"/>
  <c r="K4404" i="4" s="1"/>
  <c r="I4404" i="4"/>
  <c r="E4404" i="4"/>
  <c r="C4404" i="4"/>
  <c r="B4404" i="4"/>
  <c r="R4403" i="4"/>
  <c r="J4403" i="4"/>
  <c r="K4403" i="4" s="1"/>
  <c r="I4403" i="4"/>
  <c r="E4403" i="4"/>
  <c r="C4403" i="4"/>
  <c r="B4403" i="4"/>
  <c r="R4402" i="4"/>
  <c r="J4402" i="4"/>
  <c r="K4402" i="4" s="1"/>
  <c r="I4402" i="4"/>
  <c r="E4402" i="4"/>
  <c r="C4402" i="4"/>
  <c r="B4402" i="4"/>
  <c r="R4401" i="4"/>
  <c r="J4401" i="4"/>
  <c r="K4401" i="4" s="1"/>
  <c r="I4401" i="4"/>
  <c r="E4401" i="4"/>
  <c r="C4401" i="4"/>
  <c r="B4401" i="4"/>
  <c r="R4400" i="4"/>
  <c r="J4400" i="4"/>
  <c r="K4400" i="4" s="1"/>
  <c r="I4400" i="4"/>
  <c r="E4400" i="4"/>
  <c r="C4400" i="4"/>
  <c r="B4400" i="4"/>
  <c r="R4399" i="4"/>
  <c r="J4399" i="4"/>
  <c r="K4399" i="4" s="1"/>
  <c r="I4399" i="4"/>
  <c r="E4399" i="4"/>
  <c r="C4399" i="4"/>
  <c r="B4399" i="4"/>
  <c r="R4398" i="4"/>
  <c r="J4398" i="4"/>
  <c r="K4398" i="4" s="1"/>
  <c r="I4398" i="4"/>
  <c r="E4398" i="4"/>
  <c r="C4398" i="4"/>
  <c r="B4398" i="4"/>
  <c r="R4397" i="4"/>
  <c r="J4397" i="4"/>
  <c r="K4397" i="4" s="1"/>
  <c r="I4397" i="4"/>
  <c r="E4397" i="4"/>
  <c r="C4397" i="4"/>
  <c r="B4397" i="4"/>
  <c r="R4396" i="4"/>
  <c r="J4396" i="4"/>
  <c r="K4396" i="4" s="1"/>
  <c r="I4396" i="4"/>
  <c r="E4396" i="4"/>
  <c r="C4396" i="4"/>
  <c r="B4396" i="4"/>
  <c r="R4395" i="4"/>
  <c r="J4395" i="4"/>
  <c r="K4395" i="4" s="1"/>
  <c r="I4395" i="4"/>
  <c r="E4395" i="4"/>
  <c r="C4395" i="4"/>
  <c r="B4395" i="4"/>
  <c r="R4394" i="4"/>
  <c r="J4394" i="4"/>
  <c r="K4394" i="4" s="1"/>
  <c r="I4394" i="4"/>
  <c r="E4394" i="4"/>
  <c r="C4394" i="4"/>
  <c r="B4394" i="4"/>
  <c r="R4393" i="4"/>
  <c r="J4393" i="4"/>
  <c r="K4393" i="4" s="1"/>
  <c r="I4393" i="4"/>
  <c r="E4393" i="4"/>
  <c r="C4393" i="4"/>
  <c r="B4393" i="4"/>
  <c r="R4392" i="4"/>
  <c r="J4392" i="4"/>
  <c r="K4392" i="4" s="1"/>
  <c r="I4392" i="4"/>
  <c r="E4392" i="4"/>
  <c r="C4392" i="4"/>
  <c r="B4392" i="4"/>
  <c r="R4391" i="4"/>
  <c r="J4391" i="4"/>
  <c r="K4391" i="4" s="1"/>
  <c r="I4391" i="4"/>
  <c r="E4391" i="4"/>
  <c r="C4391" i="4"/>
  <c r="B4391" i="4"/>
  <c r="R4390" i="4"/>
  <c r="J4390" i="4"/>
  <c r="K4390" i="4" s="1"/>
  <c r="I4390" i="4"/>
  <c r="E4390" i="4"/>
  <c r="C4390" i="4"/>
  <c r="B4390" i="4"/>
  <c r="R4389" i="4"/>
  <c r="J4389" i="4"/>
  <c r="K4389" i="4" s="1"/>
  <c r="I4389" i="4"/>
  <c r="E4389" i="4"/>
  <c r="C4389" i="4"/>
  <c r="B4389" i="4"/>
  <c r="R4388" i="4"/>
  <c r="J4388" i="4"/>
  <c r="K4388" i="4" s="1"/>
  <c r="I4388" i="4"/>
  <c r="E4388" i="4"/>
  <c r="C4388" i="4"/>
  <c r="B4388" i="4"/>
  <c r="R4387" i="4"/>
  <c r="J4387" i="4"/>
  <c r="K4387" i="4" s="1"/>
  <c r="I4387" i="4"/>
  <c r="E4387" i="4"/>
  <c r="C4387" i="4"/>
  <c r="B4387" i="4"/>
  <c r="R4386" i="4"/>
  <c r="J4386" i="4"/>
  <c r="K4386" i="4" s="1"/>
  <c r="I4386" i="4"/>
  <c r="E4386" i="4"/>
  <c r="C4386" i="4"/>
  <c r="B4386" i="4"/>
  <c r="R4385" i="4"/>
  <c r="J4385" i="4"/>
  <c r="K4385" i="4" s="1"/>
  <c r="I4385" i="4"/>
  <c r="E4385" i="4"/>
  <c r="C4385" i="4"/>
  <c r="B4385" i="4"/>
  <c r="R4384" i="4"/>
  <c r="J4384" i="4"/>
  <c r="K4384" i="4" s="1"/>
  <c r="I4384" i="4"/>
  <c r="E4384" i="4"/>
  <c r="C4384" i="4"/>
  <c r="B4384" i="4"/>
  <c r="R4383" i="4"/>
  <c r="J4383" i="4"/>
  <c r="K4383" i="4" s="1"/>
  <c r="I4383" i="4"/>
  <c r="E4383" i="4"/>
  <c r="C4383" i="4"/>
  <c r="B4383" i="4"/>
  <c r="R4382" i="4"/>
  <c r="J4382" i="4"/>
  <c r="K4382" i="4" s="1"/>
  <c r="I4382" i="4"/>
  <c r="E4382" i="4"/>
  <c r="C4382" i="4"/>
  <c r="B4382" i="4"/>
  <c r="R4381" i="4"/>
  <c r="J4381" i="4"/>
  <c r="K4381" i="4" s="1"/>
  <c r="I4381" i="4"/>
  <c r="E4381" i="4"/>
  <c r="C4381" i="4"/>
  <c r="B4381" i="4"/>
  <c r="R4380" i="4"/>
  <c r="J4380" i="4"/>
  <c r="K4380" i="4" s="1"/>
  <c r="I4380" i="4"/>
  <c r="E4380" i="4"/>
  <c r="C4380" i="4"/>
  <c r="B4380" i="4"/>
  <c r="R4379" i="4"/>
  <c r="J4379" i="4"/>
  <c r="K4379" i="4" s="1"/>
  <c r="I4379" i="4"/>
  <c r="E4379" i="4"/>
  <c r="C4379" i="4"/>
  <c r="B4379" i="4"/>
  <c r="R4378" i="4"/>
  <c r="J4378" i="4"/>
  <c r="K4378" i="4" s="1"/>
  <c r="I4378" i="4"/>
  <c r="E4378" i="4"/>
  <c r="C4378" i="4"/>
  <c r="B4378" i="4"/>
  <c r="R4377" i="4"/>
  <c r="J4377" i="4"/>
  <c r="K4377" i="4" s="1"/>
  <c r="I4377" i="4"/>
  <c r="E4377" i="4"/>
  <c r="C4377" i="4"/>
  <c r="B4377" i="4"/>
  <c r="R4376" i="4"/>
  <c r="J4376" i="4"/>
  <c r="K4376" i="4" s="1"/>
  <c r="I4376" i="4"/>
  <c r="E4376" i="4"/>
  <c r="C4376" i="4"/>
  <c r="B4376" i="4"/>
  <c r="R4375" i="4"/>
  <c r="J4375" i="4"/>
  <c r="K4375" i="4" s="1"/>
  <c r="I4375" i="4"/>
  <c r="E4375" i="4"/>
  <c r="C4375" i="4"/>
  <c r="B4375" i="4"/>
  <c r="R4374" i="4"/>
  <c r="J4374" i="4"/>
  <c r="K4374" i="4" s="1"/>
  <c r="I4374" i="4"/>
  <c r="E4374" i="4"/>
  <c r="C4374" i="4"/>
  <c r="B4374" i="4"/>
  <c r="R4373" i="4"/>
  <c r="J4373" i="4"/>
  <c r="K4373" i="4" s="1"/>
  <c r="I4373" i="4"/>
  <c r="E4373" i="4"/>
  <c r="C4373" i="4"/>
  <c r="B4373" i="4"/>
  <c r="R4372" i="4"/>
  <c r="J4372" i="4"/>
  <c r="K4372" i="4" s="1"/>
  <c r="I4372" i="4"/>
  <c r="E4372" i="4"/>
  <c r="C4372" i="4"/>
  <c r="B4372" i="4"/>
  <c r="R4371" i="4"/>
  <c r="J4371" i="4"/>
  <c r="K4371" i="4" s="1"/>
  <c r="I4371" i="4"/>
  <c r="E4371" i="4"/>
  <c r="C4371" i="4"/>
  <c r="B4371" i="4"/>
  <c r="R4370" i="4"/>
  <c r="J4370" i="4"/>
  <c r="K4370" i="4" s="1"/>
  <c r="I4370" i="4"/>
  <c r="E4370" i="4"/>
  <c r="C4370" i="4"/>
  <c r="B4370" i="4"/>
  <c r="R4369" i="4"/>
  <c r="J4369" i="4"/>
  <c r="K4369" i="4" s="1"/>
  <c r="I4369" i="4"/>
  <c r="E4369" i="4"/>
  <c r="C4369" i="4"/>
  <c r="B4369" i="4"/>
  <c r="R4368" i="4"/>
  <c r="J4368" i="4"/>
  <c r="K4368" i="4" s="1"/>
  <c r="I4368" i="4"/>
  <c r="E4368" i="4"/>
  <c r="C4368" i="4"/>
  <c r="B4368" i="4"/>
  <c r="R4367" i="4"/>
  <c r="J4367" i="4"/>
  <c r="K4367" i="4" s="1"/>
  <c r="I4367" i="4"/>
  <c r="E4367" i="4"/>
  <c r="C4367" i="4"/>
  <c r="B4367" i="4"/>
  <c r="R4366" i="4"/>
  <c r="J4366" i="4"/>
  <c r="K4366" i="4" s="1"/>
  <c r="I4366" i="4"/>
  <c r="E4366" i="4"/>
  <c r="C4366" i="4"/>
  <c r="B4366" i="4"/>
  <c r="R4365" i="4"/>
  <c r="J4365" i="4"/>
  <c r="K4365" i="4" s="1"/>
  <c r="I4365" i="4"/>
  <c r="E4365" i="4"/>
  <c r="C4365" i="4"/>
  <c r="B4365" i="4"/>
  <c r="R4364" i="4"/>
  <c r="J4364" i="4"/>
  <c r="K4364" i="4" s="1"/>
  <c r="I4364" i="4"/>
  <c r="E4364" i="4"/>
  <c r="C4364" i="4"/>
  <c r="B4364" i="4"/>
  <c r="R4363" i="4"/>
  <c r="J4363" i="4"/>
  <c r="K4363" i="4" s="1"/>
  <c r="I4363" i="4"/>
  <c r="E4363" i="4"/>
  <c r="C4363" i="4"/>
  <c r="B4363" i="4"/>
  <c r="R4362" i="4"/>
  <c r="J4362" i="4"/>
  <c r="K4362" i="4" s="1"/>
  <c r="I4362" i="4"/>
  <c r="E4362" i="4"/>
  <c r="C4362" i="4"/>
  <c r="B4362" i="4"/>
  <c r="R4361" i="4"/>
  <c r="J4361" i="4"/>
  <c r="K4361" i="4" s="1"/>
  <c r="I4361" i="4"/>
  <c r="E4361" i="4"/>
  <c r="C4361" i="4"/>
  <c r="B4361" i="4"/>
  <c r="R4360" i="4"/>
  <c r="J4360" i="4"/>
  <c r="K4360" i="4" s="1"/>
  <c r="I4360" i="4"/>
  <c r="E4360" i="4"/>
  <c r="C4360" i="4"/>
  <c r="B4360" i="4"/>
  <c r="R4359" i="4"/>
  <c r="J4359" i="4"/>
  <c r="K4359" i="4" s="1"/>
  <c r="I4359" i="4"/>
  <c r="E4359" i="4"/>
  <c r="C4359" i="4"/>
  <c r="B4359" i="4"/>
  <c r="R4358" i="4"/>
  <c r="J4358" i="4"/>
  <c r="K4358" i="4" s="1"/>
  <c r="I4358" i="4"/>
  <c r="E4358" i="4"/>
  <c r="C4358" i="4"/>
  <c r="B4358" i="4"/>
  <c r="R4357" i="4"/>
  <c r="J4357" i="4"/>
  <c r="K4357" i="4" s="1"/>
  <c r="I4357" i="4"/>
  <c r="E4357" i="4"/>
  <c r="C4357" i="4"/>
  <c r="B4357" i="4"/>
  <c r="R4356" i="4"/>
  <c r="J4356" i="4"/>
  <c r="K4356" i="4" s="1"/>
  <c r="I4356" i="4"/>
  <c r="E4356" i="4"/>
  <c r="C4356" i="4"/>
  <c r="B4356" i="4"/>
  <c r="R4355" i="4"/>
  <c r="J4355" i="4"/>
  <c r="K4355" i="4" s="1"/>
  <c r="I4355" i="4"/>
  <c r="E4355" i="4"/>
  <c r="C4355" i="4"/>
  <c r="B4355" i="4"/>
  <c r="R4354" i="4"/>
  <c r="J4354" i="4"/>
  <c r="K4354" i="4" s="1"/>
  <c r="I4354" i="4"/>
  <c r="E4354" i="4"/>
  <c r="C4354" i="4"/>
  <c r="B4354" i="4"/>
  <c r="R4353" i="4"/>
  <c r="J4353" i="4"/>
  <c r="K4353" i="4" s="1"/>
  <c r="I4353" i="4"/>
  <c r="E4353" i="4"/>
  <c r="C4353" i="4"/>
  <c r="B4353" i="4"/>
  <c r="R4352" i="4"/>
  <c r="J4352" i="4"/>
  <c r="K4352" i="4" s="1"/>
  <c r="I4352" i="4"/>
  <c r="E4352" i="4"/>
  <c r="C4352" i="4"/>
  <c r="B4352" i="4"/>
  <c r="R4351" i="4"/>
  <c r="J4351" i="4"/>
  <c r="K4351" i="4" s="1"/>
  <c r="I4351" i="4"/>
  <c r="E4351" i="4"/>
  <c r="C4351" i="4"/>
  <c r="B4351" i="4"/>
  <c r="R4350" i="4"/>
  <c r="J4350" i="4"/>
  <c r="K4350" i="4" s="1"/>
  <c r="I4350" i="4"/>
  <c r="E4350" i="4"/>
  <c r="C4350" i="4"/>
  <c r="B4350" i="4"/>
  <c r="R4349" i="4"/>
  <c r="J4349" i="4"/>
  <c r="K4349" i="4" s="1"/>
  <c r="I4349" i="4"/>
  <c r="E4349" i="4"/>
  <c r="C4349" i="4"/>
  <c r="B4349" i="4"/>
  <c r="R4348" i="4"/>
  <c r="J4348" i="4"/>
  <c r="K4348" i="4" s="1"/>
  <c r="I4348" i="4"/>
  <c r="E4348" i="4"/>
  <c r="C4348" i="4"/>
  <c r="B4348" i="4"/>
  <c r="R4347" i="4"/>
  <c r="J4347" i="4"/>
  <c r="K4347" i="4" s="1"/>
  <c r="I4347" i="4"/>
  <c r="E4347" i="4"/>
  <c r="C4347" i="4"/>
  <c r="B4347" i="4"/>
  <c r="R4346" i="4"/>
  <c r="J4346" i="4"/>
  <c r="K4346" i="4" s="1"/>
  <c r="I4346" i="4"/>
  <c r="E4346" i="4"/>
  <c r="C4346" i="4"/>
  <c r="B4346" i="4"/>
  <c r="R4345" i="4"/>
  <c r="J4345" i="4"/>
  <c r="K4345" i="4" s="1"/>
  <c r="I4345" i="4"/>
  <c r="E4345" i="4"/>
  <c r="C4345" i="4"/>
  <c r="B4345" i="4"/>
  <c r="R4344" i="4"/>
  <c r="J4344" i="4"/>
  <c r="K4344" i="4" s="1"/>
  <c r="I4344" i="4"/>
  <c r="E4344" i="4"/>
  <c r="C4344" i="4"/>
  <c r="B4344" i="4"/>
  <c r="M4433" i="4" l="1"/>
  <c r="L4433" i="4"/>
  <c r="M4393" i="4"/>
  <c r="L4393" i="4"/>
  <c r="M4380" i="4"/>
  <c r="L4380" i="4"/>
  <c r="M4388" i="4"/>
  <c r="L4388" i="4"/>
  <c r="M4396" i="4"/>
  <c r="L4396" i="4"/>
  <c r="M4404" i="4"/>
  <c r="L4404" i="4"/>
  <c r="M4412" i="4"/>
  <c r="L4412" i="4"/>
  <c r="M4420" i="4"/>
  <c r="L4420" i="4"/>
  <c r="M4428" i="4"/>
  <c r="L4428" i="4"/>
  <c r="M4436" i="4"/>
  <c r="L4436" i="4"/>
  <c r="M4444" i="4"/>
  <c r="L4444" i="4"/>
  <c r="M4452" i="4"/>
  <c r="L4452" i="4"/>
  <c r="M4460" i="4"/>
  <c r="L4460" i="4"/>
  <c r="M4401" i="4"/>
  <c r="L4401" i="4"/>
  <c r="M4364" i="4"/>
  <c r="L4364" i="4"/>
  <c r="M4375" i="4"/>
  <c r="L4375" i="4"/>
  <c r="M4383" i="4"/>
  <c r="L4383" i="4"/>
  <c r="M4391" i="4"/>
  <c r="L4391" i="4"/>
  <c r="M4399" i="4"/>
  <c r="L4399" i="4"/>
  <c r="M4407" i="4"/>
  <c r="L4407" i="4"/>
  <c r="M4415" i="4"/>
  <c r="L4415" i="4"/>
  <c r="M4423" i="4"/>
  <c r="L4423" i="4"/>
  <c r="M4431" i="4"/>
  <c r="L4431" i="4"/>
  <c r="M4439" i="4"/>
  <c r="L4439" i="4"/>
  <c r="M4447" i="4"/>
  <c r="L4447" i="4"/>
  <c r="M4455" i="4"/>
  <c r="L4455" i="4"/>
  <c r="M4353" i="4"/>
  <c r="L4353" i="4"/>
  <c r="M4425" i="4"/>
  <c r="L4425" i="4"/>
  <c r="M4457" i="4"/>
  <c r="L4457" i="4"/>
  <c r="M4359" i="4"/>
  <c r="L4359" i="4"/>
  <c r="M4378" i="4"/>
  <c r="L4378" i="4"/>
  <c r="M4386" i="4"/>
  <c r="L4386" i="4"/>
  <c r="M4394" i="4"/>
  <c r="L4394" i="4"/>
  <c r="M4402" i="4"/>
  <c r="L4402" i="4"/>
  <c r="M4410" i="4"/>
  <c r="L4410" i="4"/>
  <c r="M4418" i="4"/>
  <c r="L4418" i="4"/>
  <c r="M4426" i="4"/>
  <c r="L4426" i="4"/>
  <c r="M4434" i="4"/>
  <c r="L4434" i="4"/>
  <c r="M4442" i="4"/>
  <c r="L4442" i="4"/>
  <c r="M4450" i="4"/>
  <c r="L4450" i="4"/>
  <c r="M4458" i="4"/>
  <c r="L4458" i="4"/>
  <c r="M4409" i="4"/>
  <c r="L4409" i="4"/>
  <c r="M4348" i="4"/>
  <c r="L4348" i="4"/>
  <c r="M4367" i="4"/>
  <c r="L4367" i="4"/>
  <c r="M4461" i="4"/>
  <c r="L4461" i="4"/>
  <c r="M4441" i="4"/>
  <c r="L4441" i="4"/>
  <c r="M4356" i="4"/>
  <c r="L4356" i="4"/>
  <c r="M4346" i="4"/>
  <c r="L4346" i="4"/>
  <c r="M4357" i="4"/>
  <c r="L4357" i="4"/>
  <c r="M4365" i="4"/>
  <c r="L4365" i="4"/>
  <c r="M4373" i="4"/>
  <c r="L4373" i="4"/>
  <c r="M4381" i="4"/>
  <c r="L4381" i="4"/>
  <c r="M4389" i="4"/>
  <c r="L4389" i="4"/>
  <c r="M4397" i="4"/>
  <c r="L4397" i="4"/>
  <c r="M4405" i="4"/>
  <c r="L4405" i="4"/>
  <c r="M4413" i="4"/>
  <c r="L4413" i="4"/>
  <c r="M4421" i="4"/>
  <c r="L4421" i="4"/>
  <c r="M4429" i="4"/>
  <c r="L4429" i="4"/>
  <c r="M4437" i="4"/>
  <c r="L4437" i="4"/>
  <c r="M4445" i="4"/>
  <c r="L4445" i="4"/>
  <c r="M4453" i="4"/>
  <c r="L4453" i="4"/>
  <c r="M4369" i="4"/>
  <c r="L4369" i="4"/>
  <c r="M4449" i="4"/>
  <c r="L4449" i="4"/>
  <c r="M4370" i="4"/>
  <c r="L4370" i="4"/>
  <c r="M4385" i="4"/>
  <c r="L4385" i="4"/>
  <c r="M4352" i="4"/>
  <c r="L4352" i="4"/>
  <c r="M4368" i="4"/>
  <c r="L4368" i="4"/>
  <c r="M4376" i="4"/>
  <c r="L4376" i="4"/>
  <c r="M4384" i="4"/>
  <c r="L4384" i="4"/>
  <c r="M4392" i="4"/>
  <c r="L4392" i="4"/>
  <c r="M4400" i="4"/>
  <c r="L4400" i="4"/>
  <c r="M4408" i="4"/>
  <c r="L4408" i="4"/>
  <c r="M4416" i="4"/>
  <c r="L4416" i="4"/>
  <c r="M4424" i="4"/>
  <c r="L4424" i="4"/>
  <c r="M4432" i="4"/>
  <c r="L4432" i="4"/>
  <c r="M4440" i="4"/>
  <c r="L4440" i="4"/>
  <c r="M4448" i="4"/>
  <c r="L4448" i="4"/>
  <c r="M4456" i="4"/>
  <c r="L4456" i="4"/>
  <c r="M4345" i="4"/>
  <c r="L4345" i="4"/>
  <c r="M4377" i="4"/>
  <c r="L4377" i="4"/>
  <c r="M4417" i="4"/>
  <c r="L4417" i="4"/>
  <c r="M4372" i="4"/>
  <c r="L4372" i="4"/>
  <c r="M4349" i="4"/>
  <c r="L4349" i="4"/>
  <c r="M4360" i="4"/>
  <c r="L4360" i="4"/>
  <c r="M4347" i="4"/>
  <c r="L4347" i="4"/>
  <c r="M4355" i="4"/>
  <c r="L4355" i="4"/>
  <c r="M4363" i="4"/>
  <c r="L4363" i="4"/>
  <c r="M4371" i="4"/>
  <c r="L4371" i="4"/>
  <c r="M4379" i="4"/>
  <c r="L4379" i="4"/>
  <c r="M4387" i="4"/>
  <c r="L4387" i="4"/>
  <c r="M4395" i="4"/>
  <c r="L4395" i="4"/>
  <c r="M4403" i="4"/>
  <c r="L4403" i="4"/>
  <c r="M4411" i="4"/>
  <c r="L4411" i="4"/>
  <c r="M4419" i="4"/>
  <c r="L4419" i="4"/>
  <c r="M4427" i="4"/>
  <c r="L4427" i="4"/>
  <c r="M4435" i="4"/>
  <c r="L4435" i="4"/>
  <c r="M4443" i="4"/>
  <c r="L4443" i="4"/>
  <c r="M4451" i="4"/>
  <c r="L4451" i="4"/>
  <c r="M4459" i="4"/>
  <c r="L4459" i="4"/>
  <c r="M4361" i="4"/>
  <c r="L4361" i="4"/>
  <c r="M4354" i="4"/>
  <c r="L4354" i="4"/>
  <c r="M4344" i="4"/>
  <c r="L4344" i="4"/>
  <c r="M4351" i="4"/>
  <c r="L4351" i="4"/>
  <c r="M4362" i="4"/>
  <c r="L4362" i="4"/>
  <c r="M4350" i="4"/>
  <c r="L4350" i="4"/>
  <c r="M4358" i="4"/>
  <c r="L4358" i="4"/>
  <c r="M4366" i="4"/>
  <c r="L4366" i="4"/>
  <c r="M4374" i="4"/>
  <c r="L4374" i="4"/>
  <c r="M4382" i="4"/>
  <c r="L4382" i="4"/>
  <c r="M4390" i="4"/>
  <c r="L4390" i="4"/>
  <c r="M4398" i="4"/>
  <c r="L4398" i="4"/>
  <c r="M4406" i="4"/>
  <c r="L4406" i="4"/>
  <c r="M4414" i="4"/>
  <c r="L4414" i="4"/>
  <c r="M4422" i="4"/>
  <c r="L4422" i="4"/>
  <c r="M4430" i="4"/>
  <c r="L4430" i="4"/>
  <c r="M4438" i="4"/>
  <c r="L4438" i="4"/>
  <c r="M4446" i="4"/>
  <c r="L4446" i="4"/>
  <c r="M4454" i="4"/>
  <c r="L4454" i="4"/>
  <c r="B4231" i="4"/>
  <c r="C4231" i="4"/>
  <c r="E4231" i="4"/>
  <c r="I4231" i="4"/>
  <c r="J4231" i="4"/>
  <c r="K4231" i="4" s="1"/>
  <c r="R4231" i="4"/>
  <c r="B4232" i="4"/>
  <c r="C4232" i="4"/>
  <c r="E4232" i="4"/>
  <c r="I4232" i="4"/>
  <c r="J4232" i="4"/>
  <c r="K4232" i="4" s="1"/>
  <c r="R4232" i="4"/>
  <c r="B4233" i="4"/>
  <c r="C4233" i="4"/>
  <c r="E4233" i="4"/>
  <c r="I4233" i="4"/>
  <c r="J4233" i="4"/>
  <c r="K4233" i="4" s="1"/>
  <c r="R4233" i="4"/>
  <c r="B4234" i="4"/>
  <c r="C4234" i="4"/>
  <c r="E4234" i="4"/>
  <c r="I4234" i="4"/>
  <c r="J4234" i="4"/>
  <c r="K4234" i="4" s="1"/>
  <c r="R4234" i="4"/>
  <c r="B4235" i="4"/>
  <c r="C4235" i="4"/>
  <c r="E4235" i="4"/>
  <c r="I4235" i="4"/>
  <c r="J4235" i="4"/>
  <c r="K4235" i="4" s="1"/>
  <c r="R4235" i="4"/>
  <c r="B4236" i="4"/>
  <c r="C4236" i="4"/>
  <c r="E4236" i="4"/>
  <c r="I4236" i="4"/>
  <c r="J4236" i="4"/>
  <c r="K4236" i="4" s="1"/>
  <c r="R4236" i="4"/>
  <c r="B4237" i="4"/>
  <c r="C4237" i="4"/>
  <c r="E4237" i="4"/>
  <c r="I4237" i="4"/>
  <c r="J4237" i="4"/>
  <c r="K4237" i="4" s="1"/>
  <c r="R4237" i="4"/>
  <c r="B4238" i="4"/>
  <c r="C4238" i="4"/>
  <c r="E4238" i="4"/>
  <c r="I4238" i="4"/>
  <c r="J4238" i="4"/>
  <c r="K4238" i="4" s="1"/>
  <c r="R4238" i="4"/>
  <c r="B4239" i="4"/>
  <c r="C4239" i="4"/>
  <c r="E4239" i="4"/>
  <c r="I4239" i="4"/>
  <c r="J4239" i="4"/>
  <c r="K4239" i="4" s="1"/>
  <c r="R4239" i="4"/>
  <c r="B4240" i="4"/>
  <c r="C4240" i="4"/>
  <c r="E4240" i="4"/>
  <c r="I4240" i="4"/>
  <c r="J4240" i="4"/>
  <c r="K4240" i="4" s="1"/>
  <c r="R4240" i="4"/>
  <c r="B4241" i="4"/>
  <c r="C4241" i="4"/>
  <c r="E4241" i="4"/>
  <c r="I4241" i="4"/>
  <c r="J4241" i="4"/>
  <c r="K4241" i="4" s="1"/>
  <c r="R4241" i="4"/>
  <c r="B4242" i="4"/>
  <c r="C4242" i="4"/>
  <c r="E4242" i="4"/>
  <c r="I4242" i="4"/>
  <c r="J4242" i="4"/>
  <c r="K4242" i="4" s="1"/>
  <c r="R4242" i="4"/>
  <c r="B4243" i="4"/>
  <c r="C4243" i="4"/>
  <c r="E4243" i="4"/>
  <c r="I4243" i="4"/>
  <c r="J4243" i="4"/>
  <c r="K4243" i="4" s="1"/>
  <c r="R4243" i="4"/>
  <c r="B4244" i="4"/>
  <c r="C4244" i="4"/>
  <c r="E4244" i="4"/>
  <c r="I4244" i="4"/>
  <c r="J4244" i="4"/>
  <c r="K4244" i="4" s="1"/>
  <c r="R4244" i="4"/>
  <c r="B4245" i="4"/>
  <c r="C4245" i="4"/>
  <c r="E4245" i="4"/>
  <c r="I4245" i="4"/>
  <c r="J4245" i="4"/>
  <c r="K4245" i="4" s="1"/>
  <c r="R4245" i="4"/>
  <c r="B4246" i="4"/>
  <c r="C4246" i="4"/>
  <c r="E4246" i="4"/>
  <c r="I4246" i="4"/>
  <c r="J4246" i="4"/>
  <c r="K4246" i="4" s="1"/>
  <c r="R4246" i="4"/>
  <c r="B4247" i="4"/>
  <c r="C4247" i="4"/>
  <c r="E4247" i="4"/>
  <c r="I4247" i="4"/>
  <c r="J4247" i="4"/>
  <c r="K4247" i="4" s="1"/>
  <c r="R4247" i="4"/>
  <c r="B4248" i="4"/>
  <c r="C4248" i="4"/>
  <c r="E4248" i="4"/>
  <c r="I4248" i="4"/>
  <c r="J4248" i="4"/>
  <c r="K4248" i="4" s="1"/>
  <c r="R4248" i="4"/>
  <c r="B4249" i="4"/>
  <c r="C4249" i="4"/>
  <c r="E4249" i="4"/>
  <c r="I4249" i="4"/>
  <c r="J4249" i="4"/>
  <c r="K4249" i="4" s="1"/>
  <c r="R4249" i="4"/>
  <c r="B4250" i="4"/>
  <c r="C4250" i="4"/>
  <c r="E4250" i="4"/>
  <c r="I4250" i="4"/>
  <c r="J4250" i="4"/>
  <c r="K4250" i="4" s="1"/>
  <c r="R4250" i="4"/>
  <c r="B4251" i="4"/>
  <c r="C4251" i="4"/>
  <c r="E4251" i="4"/>
  <c r="I4251" i="4"/>
  <c r="J4251" i="4"/>
  <c r="K4251" i="4" s="1"/>
  <c r="R4251" i="4"/>
  <c r="B4252" i="4"/>
  <c r="C4252" i="4"/>
  <c r="E4252" i="4"/>
  <c r="I4252" i="4"/>
  <c r="J4252" i="4"/>
  <c r="K4252" i="4" s="1"/>
  <c r="R4252" i="4"/>
  <c r="B4253" i="4"/>
  <c r="C4253" i="4"/>
  <c r="E4253" i="4"/>
  <c r="I4253" i="4"/>
  <c r="J4253" i="4"/>
  <c r="K4253" i="4" s="1"/>
  <c r="R4253" i="4"/>
  <c r="B4254" i="4"/>
  <c r="C4254" i="4"/>
  <c r="E4254" i="4"/>
  <c r="I4254" i="4"/>
  <c r="J4254" i="4"/>
  <c r="K4254" i="4" s="1"/>
  <c r="R4254" i="4"/>
  <c r="B4255" i="4"/>
  <c r="C4255" i="4"/>
  <c r="E4255" i="4"/>
  <c r="I4255" i="4"/>
  <c r="J4255" i="4"/>
  <c r="K4255" i="4" s="1"/>
  <c r="R4255" i="4"/>
  <c r="B4256" i="4"/>
  <c r="C4256" i="4"/>
  <c r="E4256" i="4"/>
  <c r="I4256" i="4"/>
  <c r="J4256" i="4"/>
  <c r="K4256" i="4" s="1"/>
  <c r="R4256" i="4"/>
  <c r="B4257" i="4"/>
  <c r="C4257" i="4"/>
  <c r="E4257" i="4"/>
  <c r="I4257" i="4"/>
  <c r="J4257" i="4"/>
  <c r="K4257" i="4" s="1"/>
  <c r="R4257" i="4"/>
  <c r="B4258" i="4"/>
  <c r="C4258" i="4"/>
  <c r="E4258" i="4"/>
  <c r="I4258" i="4"/>
  <c r="J4258" i="4"/>
  <c r="K4258" i="4" s="1"/>
  <c r="R4258" i="4"/>
  <c r="B4259" i="4"/>
  <c r="C4259" i="4"/>
  <c r="E4259" i="4"/>
  <c r="I4259" i="4"/>
  <c r="J4259" i="4"/>
  <c r="K4259" i="4" s="1"/>
  <c r="R4259" i="4"/>
  <c r="B4260" i="4"/>
  <c r="C4260" i="4"/>
  <c r="E4260" i="4"/>
  <c r="I4260" i="4"/>
  <c r="J4260" i="4"/>
  <c r="K4260" i="4" s="1"/>
  <c r="R4260" i="4"/>
  <c r="B4261" i="4"/>
  <c r="C4261" i="4"/>
  <c r="E4261" i="4"/>
  <c r="I4261" i="4"/>
  <c r="J4261" i="4"/>
  <c r="K4261" i="4" s="1"/>
  <c r="R4261" i="4"/>
  <c r="B4262" i="4"/>
  <c r="C4262" i="4"/>
  <c r="E4262" i="4"/>
  <c r="I4262" i="4"/>
  <c r="J4262" i="4"/>
  <c r="K4262" i="4" s="1"/>
  <c r="R4262" i="4"/>
  <c r="B4263" i="4"/>
  <c r="C4263" i="4"/>
  <c r="E4263" i="4"/>
  <c r="I4263" i="4"/>
  <c r="J4263" i="4"/>
  <c r="K4263" i="4" s="1"/>
  <c r="R4263" i="4"/>
  <c r="B4264" i="4"/>
  <c r="C4264" i="4"/>
  <c r="E4264" i="4"/>
  <c r="I4264" i="4"/>
  <c r="J4264" i="4"/>
  <c r="K4264" i="4" s="1"/>
  <c r="R4264" i="4"/>
  <c r="B4265" i="4"/>
  <c r="C4265" i="4"/>
  <c r="E4265" i="4"/>
  <c r="I4265" i="4"/>
  <c r="J4265" i="4"/>
  <c r="K4265" i="4" s="1"/>
  <c r="R4265" i="4"/>
  <c r="B4266" i="4"/>
  <c r="C4266" i="4"/>
  <c r="E4266" i="4"/>
  <c r="I4266" i="4"/>
  <c r="J4266" i="4"/>
  <c r="K4266" i="4" s="1"/>
  <c r="R4266" i="4"/>
  <c r="B4267" i="4"/>
  <c r="C4267" i="4"/>
  <c r="E4267" i="4"/>
  <c r="I4267" i="4"/>
  <c r="J4267" i="4"/>
  <c r="K4267" i="4" s="1"/>
  <c r="R4267" i="4"/>
  <c r="B4268" i="4"/>
  <c r="C4268" i="4"/>
  <c r="E4268" i="4"/>
  <c r="I4268" i="4"/>
  <c r="J4268" i="4"/>
  <c r="K4268" i="4" s="1"/>
  <c r="R4268" i="4"/>
  <c r="B4269" i="4"/>
  <c r="C4269" i="4"/>
  <c r="E4269" i="4"/>
  <c r="I4269" i="4"/>
  <c r="J4269" i="4"/>
  <c r="K4269" i="4" s="1"/>
  <c r="R4269" i="4"/>
  <c r="B4270" i="4"/>
  <c r="C4270" i="4"/>
  <c r="E4270" i="4"/>
  <c r="I4270" i="4"/>
  <c r="J4270" i="4"/>
  <c r="K4270" i="4" s="1"/>
  <c r="R4270" i="4"/>
  <c r="B4271" i="4"/>
  <c r="C4271" i="4"/>
  <c r="E4271" i="4"/>
  <c r="I4271" i="4"/>
  <c r="J4271" i="4"/>
  <c r="K4271" i="4" s="1"/>
  <c r="R4271" i="4"/>
  <c r="B4272" i="4"/>
  <c r="C4272" i="4"/>
  <c r="E4272" i="4"/>
  <c r="I4272" i="4"/>
  <c r="J4272" i="4"/>
  <c r="K4272" i="4" s="1"/>
  <c r="R4272" i="4"/>
  <c r="B4273" i="4"/>
  <c r="C4273" i="4"/>
  <c r="E4273" i="4"/>
  <c r="I4273" i="4"/>
  <c r="J4273" i="4"/>
  <c r="K4273" i="4" s="1"/>
  <c r="R4273" i="4"/>
  <c r="B4274" i="4"/>
  <c r="C4274" i="4"/>
  <c r="E4274" i="4"/>
  <c r="I4274" i="4"/>
  <c r="J4274" i="4"/>
  <c r="K4274" i="4" s="1"/>
  <c r="R4274" i="4"/>
  <c r="B4275" i="4"/>
  <c r="C4275" i="4"/>
  <c r="E4275" i="4"/>
  <c r="I4275" i="4"/>
  <c r="J4275" i="4"/>
  <c r="K4275" i="4" s="1"/>
  <c r="R4275" i="4"/>
  <c r="B4276" i="4"/>
  <c r="C4276" i="4"/>
  <c r="E4276" i="4"/>
  <c r="I4276" i="4"/>
  <c r="J4276" i="4"/>
  <c r="K4276" i="4" s="1"/>
  <c r="R4276" i="4"/>
  <c r="B4277" i="4"/>
  <c r="C4277" i="4"/>
  <c r="E4277" i="4"/>
  <c r="I4277" i="4"/>
  <c r="J4277" i="4"/>
  <c r="K4277" i="4" s="1"/>
  <c r="R4277" i="4"/>
  <c r="B4278" i="4"/>
  <c r="C4278" i="4"/>
  <c r="E4278" i="4"/>
  <c r="I4278" i="4"/>
  <c r="J4278" i="4"/>
  <c r="K4278" i="4" s="1"/>
  <c r="R4278" i="4"/>
  <c r="B4279" i="4"/>
  <c r="C4279" i="4"/>
  <c r="E4279" i="4"/>
  <c r="I4279" i="4"/>
  <c r="J4279" i="4"/>
  <c r="K4279" i="4" s="1"/>
  <c r="R4279" i="4"/>
  <c r="B4280" i="4"/>
  <c r="C4280" i="4"/>
  <c r="E4280" i="4"/>
  <c r="I4280" i="4"/>
  <c r="J4280" i="4"/>
  <c r="K4280" i="4" s="1"/>
  <c r="R4280" i="4"/>
  <c r="B4281" i="4"/>
  <c r="C4281" i="4"/>
  <c r="E4281" i="4"/>
  <c r="I4281" i="4"/>
  <c r="J4281" i="4"/>
  <c r="K4281" i="4" s="1"/>
  <c r="R4281" i="4"/>
  <c r="B4282" i="4"/>
  <c r="C4282" i="4"/>
  <c r="E4282" i="4"/>
  <c r="I4282" i="4"/>
  <c r="J4282" i="4"/>
  <c r="K4282" i="4" s="1"/>
  <c r="R4282" i="4"/>
  <c r="B4283" i="4"/>
  <c r="C4283" i="4"/>
  <c r="E4283" i="4"/>
  <c r="I4283" i="4"/>
  <c r="J4283" i="4"/>
  <c r="K4283" i="4" s="1"/>
  <c r="R4283" i="4"/>
  <c r="B4284" i="4"/>
  <c r="C4284" i="4"/>
  <c r="E4284" i="4"/>
  <c r="I4284" i="4"/>
  <c r="J4284" i="4"/>
  <c r="K4284" i="4" s="1"/>
  <c r="R4284" i="4"/>
  <c r="B4285" i="4"/>
  <c r="C4285" i="4"/>
  <c r="E4285" i="4"/>
  <c r="I4285" i="4"/>
  <c r="J4285" i="4"/>
  <c r="K4285" i="4" s="1"/>
  <c r="R4285" i="4"/>
  <c r="B4286" i="4"/>
  <c r="C4286" i="4"/>
  <c r="E4286" i="4"/>
  <c r="I4286" i="4"/>
  <c r="J4286" i="4"/>
  <c r="K4286" i="4" s="1"/>
  <c r="R4286" i="4"/>
  <c r="B4287" i="4"/>
  <c r="C4287" i="4"/>
  <c r="E4287" i="4"/>
  <c r="I4287" i="4"/>
  <c r="J4287" i="4"/>
  <c r="K4287" i="4" s="1"/>
  <c r="R4287" i="4"/>
  <c r="B4288" i="4"/>
  <c r="C4288" i="4"/>
  <c r="E4288" i="4"/>
  <c r="I4288" i="4"/>
  <c r="J4288" i="4"/>
  <c r="K4288" i="4" s="1"/>
  <c r="R4288" i="4"/>
  <c r="B4289" i="4"/>
  <c r="C4289" i="4"/>
  <c r="E4289" i="4"/>
  <c r="I4289" i="4"/>
  <c r="J4289" i="4"/>
  <c r="K4289" i="4" s="1"/>
  <c r="R4289" i="4"/>
  <c r="B4290" i="4"/>
  <c r="C4290" i="4"/>
  <c r="E4290" i="4"/>
  <c r="I4290" i="4"/>
  <c r="J4290" i="4"/>
  <c r="K4290" i="4" s="1"/>
  <c r="R4290" i="4"/>
  <c r="B4291" i="4"/>
  <c r="C4291" i="4"/>
  <c r="E4291" i="4"/>
  <c r="I4291" i="4"/>
  <c r="J4291" i="4"/>
  <c r="K4291" i="4" s="1"/>
  <c r="R4291" i="4"/>
  <c r="B4292" i="4"/>
  <c r="C4292" i="4"/>
  <c r="E4292" i="4"/>
  <c r="I4292" i="4"/>
  <c r="J4292" i="4"/>
  <c r="K4292" i="4" s="1"/>
  <c r="R4292" i="4"/>
  <c r="B4293" i="4"/>
  <c r="C4293" i="4"/>
  <c r="E4293" i="4"/>
  <c r="I4293" i="4"/>
  <c r="J4293" i="4"/>
  <c r="K4293" i="4" s="1"/>
  <c r="R4293" i="4"/>
  <c r="B4294" i="4"/>
  <c r="C4294" i="4"/>
  <c r="E4294" i="4"/>
  <c r="I4294" i="4"/>
  <c r="J4294" i="4"/>
  <c r="K4294" i="4" s="1"/>
  <c r="R4294" i="4"/>
  <c r="B4295" i="4"/>
  <c r="C4295" i="4"/>
  <c r="E4295" i="4"/>
  <c r="I4295" i="4"/>
  <c r="J4295" i="4"/>
  <c r="K4295" i="4" s="1"/>
  <c r="R4295" i="4"/>
  <c r="B4296" i="4"/>
  <c r="C4296" i="4"/>
  <c r="E4296" i="4"/>
  <c r="I4296" i="4"/>
  <c r="J4296" i="4"/>
  <c r="K4296" i="4" s="1"/>
  <c r="R4296" i="4"/>
  <c r="B4297" i="4"/>
  <c r="C4297" i="4"/>
  <c r="E4297" i="4"/>
  <c r="I4297" i="4"/>
  <c r="J4297" i="4"/>
  <c r="K4297" i="4" s="1"/>
  <c r="R4297" i="4"/>
  <c r="B4298" i="4"/>
  <c r="C4298" i="4"/>
  <c r="E4298" i="4"/>
  <c r="I4298" i="4"/>
  <c r="J4298" i="4"/>
  <c r="K4298" i="4" s="1"/>
  <c r="R4298" i="4"/>
  <c r="B4299" i="4"/>
  <c r="C4299" i="4"/>
  <c r="E4299" i="4"/>
  <c r="I4299" i="4"/>
  <c r="J4299" i="4"/>
  <c r="K4299" i="4" s="1"/>
  <c r="R4299" i="4"/>
  <c r="B4300" i="4"/>
  <c r="C4300" i="4"/>
  <c r="E4300" i="4"/>
  <c r="I4300" i="4"/>
  <c r="J4300" i="4"/>
  <c r="K4300" i="4" s="1"/>
  <c r="R4300" i="4"/>
  <c r="B4301" i="4"/>
  <c r="C4301" i="4"/>
  <c r="E4301" i="4"/>
  <c r="I4301" i="4"/>
  <c r="J4301" i="4"/>
  <c r="K4301" i="4" s="1"/>
  <c r="R4301" i="4"/>
  <c r="B4302" i="4"/>
  <c r="C4302" i="4"/>
  <c r="E4302" i="4"/>
  <c r="I4302" i="4"/>
  <c r="J4302" i="4"/>
  <c r="K4302" i="4" s="1"/>
  <c r="R4302" i="4"/>
  <c r="B4303" i="4"/>
  <c r="C4303" i="4"/>
  <c r="E4303" i="4"/>
  <c r="I4303" i="4"/>
  <c r="J4303" i="4"/>
  <c r="K4303" i="4" s="1"/>
  <c r="R4303" i="4"/>
  <c r="B4304" i="4"/>
  <c r="C4304" i="4"/>
  <c r="E4304" i="4"/>
  <c r="I4304" i="4"/>
  <c r="J4304" i="4"/>
  <c r="K4304" i="4" s="1"/>
  <c r="R4304" i="4"/>
  <c r="B4305" i="4"/>
  <c r="C4305" i="4"/>
  <c r="E4305" i="4"/>
  <c r="I4305" i="4"/>
  <c r="J4305" i="4"/>
  <c r="K4305" i="4" s="1"/>
  <c r="R4305" i="4"/>
  <c r="B4306" i="4"/>
  <c r="C4306" i="4"/>
  <c r="E4306" i="4"/>
  <c r="I4306" i="4"/>
  <c r="J4306" i="4"/>
  <c r="K4306" i="4" s="1"/>
  <c r="R4306" i="4"/>
  <c r="B4307" i="4"/>
  <c r="C4307" i="4"/>
  <c r="E4307" i="4"/>
  <c r="I4307" i="4"/>
  <c r="J4307" i="4"/>
  <c r="K4307" i="4" s="1"/>
  <c r="R4307" i="4"/>
  <c r="B4308" i="4"/>
  <c r="C4308" i="4"/>
  <c r="E4308" i="4"/>
  <c r="I4308" i="4"/>
  <c r="J4308" i="4"/>
  <c r="K4308" i="4" s="1"/>
  <c r="R4308" i="4"/>
  <c r="B4309" i="4"/>
  <c r="C4309" i="4"/>
  <c r="E4309" i="4"/>
  <c r="I4309" i="4"/>
  <c r="J4309" i="4"/>
  <c r="K4309" i="4" s="1"/>
  <c r="R4309" i="4"/>
  <c r="B4310" i="4"/>
  <c r="C4310" i="4"/>
  <c r="E4310" i="4"/>
  <c r="I4310" i="4"/>
  <c r="J4310" i="4"/>
  <c r="K4310" i="4" s="1"/>
  <c r="R4310" i="4"/>
  <c r="B4311" i="4"/>
  <c r="C4311" i="4"/>
  <c r="E4311" i="4"/>
  <c r="I4311" i="4"/>
  <c r="J4311" i="4"/>
  <c r="K4311" i="4" s="1"/>
  <c r="R4311" i="4"/>
  <c r="B4312" i="4"/>
  <c r="C4312" i="4"/>
  <c r="E4312" i="4"/>
  <c r="I4312" i="4"/>
  <c r="J4312" i="4"/>
  <c r="K4312" i="4" s="1"/>
  <c r="R4312" i="4"/>
  <c r="B4313" i="4"/>
  <c r="C4313" i="4"/>
  <c r="E4313" i="4"/>
  <c r="I4313" i="4"/>
  <c r="J4313" i="4"/>
  <c r="K4313" i="4" s="1"/>
  <c r="R4313" i="4"/>
  <c r="B4314" i="4"/>
  <c r="C4314" i="4"/>
  <c r="E4314" i="4"/>
  <c r="I4314" i="4"/>
  <c r="J4314" i="4"/>
  <c r="K4314" i="4" s="1"/>
  <c r="R4314" i="4"/>
  <c r="B4315" i="4"/>
  <c r="C4315" i="4"/>
  <c r="E4315" i="4"/>
  <c r="I4315" i="4"/>
  <c r="J4315" i="4"/>
  <c r="K4315" i="4" s="1"/>
  <c r="R4315" i="4"/>
  <c r="B4316" i="4"/>
  <c r="C4316" i="4"/>
  <c r="E4316" i="4"/>
  <c r="I4316" i="4"/>
  <c r="J4316" i="4"/>
  <c r="K4316" i="4" s="1"/>
  <c r="R4316" i="4"/>
  <c r="B4317" i="4"/>
  <c r="C4317" i="4"/>
  <c r="E4317" i="4"/>
  <c r="I4317" i="4"/>
  <c r="J4317" i="4"/>
  <c r="K4317" i="4" s="1"/>
  <c r="R4317" i="4"/>
  <c r="B4318" i="4"/>
  <c r="C4318" i="4"/>
  <c r="E4318" i="4"/>
  <c r="I4318" i="4"/>
  <c r="J4318" i="4"/>
  <c r="K4318" i="4" s="1"/>
  <c r="R4318" i="4"/>
  <c r="B4319" i="4"/>
  <c r="C4319" i="4"/>
  <c r="E4319" i="4"/>
  <c r="I4319" i="4"/>
  <c r="J4319" i="4"/>
  <c r="K4319" i="4" s="1"/>
  <c r="R4319" i="4"/>
  <c r="B4320" i="4"/>
  <c r="C4320" i="4"/>
  <c r="E4320" i="4"/>
  <c r="I4320" i="4"/>
  <c r="J4320" i="4"/>
  <c r="K4320" i="4" s="1"/>
  <c r="R4320" i="4"/>
  <c r="B4321" i="4"/>
  <c r="C4321" i="4"/>
  <c r="E4321" i="4"/>
  <c r="I4321" i="4"/>
  <c r="J4321" i="4"/>
  <c r="K4321" i="4" s="1"/>
  <c r="R4321" i="4"/>
  <c r="B4322" i="4"/>
  <c r="C4322" i="4"/>
  <c r="E4322" i="4"/>
  <c r="I4322" i="4"/>
  <c r="J4322" i="4"/>
  <c r="K4322" i="4" s="1"/>
  <c r="R4322" i="4"/>
  <c r="B4323" i="4"/>
  <c r="C4323" i="4"/>
  <c r="E4323" i="4"/>
  <c r="I4323" i="4"/>
  <c r="J4323" i="4"/>
  <c r="K4323" i="4" s="1"/>
  <c r="R4323" i="4"/>
  <c r="B4324" i="4"/>
  <c r="C4324" i="4"/>
  <c r="E4324" i="4"/>
  <c r="I4324" i="4"/>
  <c r="J4324" i="4"/>
  <c r="K4324" i="4" s="1"/>
  <c r="R4324" i="4"/>
  <c r="B4325" i="4"/>
  <c r="C4325" i="4"/>
  <c r="E4325" i="4"/>
  <c r="I4325" i="4"/>
  <c r="J4325" i="4"/>
  <c r="K4325" i="4" s="1"/>
  <c r="R4325" i="4"/>
  <c r="B4326" i="4"/>
  <c r="C4326" i="4"/>
  <c r="E4326" i="4"/>
  <c r="I4326" i="4"/>
  <c r="J4326" i="4"/>
  <c r="K4326" i="4" s="1"/>
  <c r="R4326" i="4"/>
  <c r="B4327" i="4"/>
  <c r="C4327" i="4"/>
  <c r="E4327" i="4"/>
  <c r="I4327" i="4"/>
  <c r="J4327" i="4"/>
  <c r="K4327" i="4" s="1"/>
  <c r="R4327" i="4"/>
  <c r="B4328" i="4"/>
  <c r="C4328" i="4"/>
  <c r="E4328" i="4"/>
  <c r="I4328" i="4"/>
  <c r="J4328" i="4"/>
  <c r="K4328" i="4" s="1"/>
  <c r="R4328" i="4"/>
  <c r="B4329" i="4"/>
  <c r="C4329" i="4"/>
  <c r="E4329" i="4"/>
  <c r="I4329" i="4"/>
  <c r="J4329" i="4"/>
  <c r="K4329" i="4" s="1"/>
  <c r="R4329" i="4"/>
  <c r="B4330" i="4"/>
  <c r="C4330" i="4"/>
  <c r="E4330" i="4"/>
  <c r="I4330" i="4"/>
  <c r="J4330" i="4"/>
  <c r="K4330" i="4" s="1"/>
  <c r="R4330" i="4"/>
  <c r="B4331" i="4"/>
  <c r="C4331" i="4"/>
  <c r="E4331" i="4"/>
  <c r="I4331" i="4"/>
  <c r="J4331" i="4"/>
  <c r="K4331" i="4" s="1"/>
  <c r="R4331" i="4"/>
  <c r="B4332" i="4"/>
  <c r="C4332" i="4"/>
  <c r="E4332" i="4"/>
  <c r="I4332" i="4"/>
  <c r="J4332" i="4"/>
  <c r="K4332" i="4" s="1"/>
  <c r="R4332" i="4"/>
  <c r="B4333" i="4"/>
  <c r="C4333" i="4"/>
  <c r="E4333" i="4"/>
  <c r="I4333" i="4"/>
  <c r="J4333" i="4"/>
  <c r="K4333" i="4" s="1"/>
  <c r="R4333" i="4"/>
  <c r="B4334" i="4"/>
  <c r="C4334" i="4"/>
  <c r="E4334" i="4"/>
  <c r="I4334" i="4"/>
  <c r="J4334" i="4"/>
  <c r="K4334" i="4" s="1"/>
  <c r="R4334" i="4"/>
  <c r="B4335" i="4"/>
  <c r="C4335" i="4"/>
  <c r="E4335" i="4"/>
  <c r="I4335" i="4"/>
  <c r="J4335" i="4"/>
  <c r="K4335" i="4" s="1"/>
  <c r="R4335" i="4"/>
  <c r="B4336" i="4"/>
  <c r="C4336" i="4"/>
  <c r="E4336" i="4"/>
  <c r="I4336" i="4"/>
  <c r="J4336" i="4"/>
  <c r="K4336" i="4" s="1"/>
  <c r="R4336" i="4"/>
  <c r="B4337" i="4"/>
  <c r="C4337" i="4"/>
  <c r="E4337" i="4"/>
  <c r="I4337" i="4"/>
  <c r="J4337" i="4"/>
  <c r="K4337" i="4" s="1"/>
  <c r="R4337" i="4"/>
  <c r="B4338" i="4"/>
  <c r="C4338" i="4"/>
  <c r="E4338" i="4"/>
  <c r="I4338" i="4"/>
  <c r="J4338" i="4"/>
  <c r="K4338" i="4" s="1"/>
  <c r="R4338" i="4"/>
  <c r="B4339" i="4"/>
  <c r="C4339" i="4"/>
  <c r="E4339" i="4"/>
  <c r="I4339" i="4"/>
  <c r="J4339" i="4"/>
  <c r="K4339" i="4" s="1"/>
  <c r="R4339" i="4"/>
  <c r="B4340" i="4"/>
  <c r="C4340" i="4"/>
  <c r="E4340" i="4"/>
  <c r="I4340" i="4"/>
  <c r="J4340" i="4"/>
  <c r="K4340" i="4" s="1"/>
  <c r="R4340" i="4"/>
  <c r="B4341" i="4"/>
  <c r="C4341" i="4"/>
  <c r="E4341" i="4"/>
  <c r="I4341" i="4"/>
  <c r="J4341" i="4"/>
  <c r="K4341" i="4" s="1"/>
  <c r="R4341" i="4"/>
  <c r="B4342" i="4"/>
  <c r="C4342" i="4"/>
  <c r="E4342" i="4"/>
  <c r="I4342" i="4"/>
  <c r="J4342" i="4"/>
  <c r="K4342" i="4" s="1"/>
  <c r="R4342" i="4"/>
  <c r="B4343" i="4"/>
  <c r="C4343" i="4"/>
  <c r="E4343" i="4"/>
  <c r="I4343" i="4"/>
  <c r="J4343" i="4"/>
  <c r="K4343" i="4" s="1"/>
  <c r="R4343" i="4"/>
  <c r="R4230" i="4"/>
  <c r="I4230" i="4"/>
  <c r="J4230" i="4"/>
  <c r="K4230" i="4" s="1"/>
  <c r="E4230" i="4"/>
  <c r="B4230" i="4"/>
  <c r="C4230" i="4"/>
  <c r="M4324" i="4" l="1"/>
  <c r="L4324" i="4"/>
  <c r="M4313" i="4"/>
  <c r="L4313" i="4"/>
  <c r="M4305" i="4"/>
  <c r="L4305" i="4"/>
  <c r="M4297" i="4"/>
  <c r="L4297" i="4"/>
  <c r="M4289" i="4"/>
  <c r="L4289" i="4"/>
  <c r="M4281" i="4"/>
  <c r="L4281" i="4"/>
  <c r="M4273" i="4"/>
  <c r="L4273" i="4"/>
  <c r="M4265" i="4"/>
  <c r="L4265" i="4"/>
  <c r="M4257" i="4"/>
  <c r="L4257" i="4"/>
  <c r="M4249" i="4"/>
  <c r="L4249" i="4"/>
  <c r="M4241" i="4"/>
  <c r="L4241" i="4"/>
  <c r="M4233" i="4"/>
  <c r="L4233" i="4"/>
  <c r="M4284" i="4"/>
  <c r="L4284" i="4"/>
  <c r="M4329" i="4"/>
  <c r="L4329" i="4"/>
  <c r="M4260" i="4"/>
  <c r="L4260" i="4"/>
  <c r="M4337" i="4"/>
  <c r="L4337" i="4"/>
  <c r="M4318" i="4"/>
  <c r="L4318" i="4"/>
  <c r="M4310" i="4"/>
  <c r="L4310" i="4"/>
  <c r="M4302" i="4"/>
  <c r="L4302" i="4"/>
  <c r="M4294" i="4"/>
  <c r="L4294" i="4"/>
  <c r="M4286" i="4"/>
  <c r="L4286" i="4"/>
  <c r="M4278" i="4"/>
  <c r="L4278" i="4"/>
  <c r="M4270" i="4"/>
  <c r="L4270" i="4"/>
  <c r="M4262" i="4"/>
  <c r="L4262" i="4"/>
  <c r="M4254" i="4"/>
  <c r="L4254" i="4"/>
  <c r="M4246" i="4"/>
  <c r="L4246" i="4"/>
  <c r="M4238" i="4"/>
  <c r="L4238" i="4"/>
  <c r="M4268" i="4"/>
  <c r="L4268" i="4"/>
  <c r="M4308" i="4"/>
  <c r="L4308" i="4"/>
  <c r="M4339" i="4"/>
  <c r="L4339" i="4"/>
  <c r="M4323" i="4"/>
  <c r="L4323" i="4"/>
  <c r="M4315" i="4"/>
  <c r="L4315" i="4"/>
  <c r="M4307" i="4"/>
  <c r="L4307" i="4"/>
  <c r="M4299" i="4"/>
  <c r="L4299" i="4"/>
  <c r="M4291" i="4"/>
  <c r="L4291" i="4"/>
  <c r="M4283" i="4"/>
  <c r="L4283" i="4"/>
  <c r="M4275" i="4"/>
  <c r="L4275" i="4"/>
  <c r="M4267" i="4"/>
  <c r="L4267" i="4"/>
  <c r="M4259" i="4"/>
  <c r="L4259" i="4"/>
  <c r="M4251" i="4"/>
  <c r="L4251" i="4"/>
  <c r="M4243" i="4"/>
  <c r="L4243" i="4"/>
  <c r="M4235" i="4"/>
  <c r="L4235" i="4"/>
  <c r="M4316" i="4"/>
  <c r="L4316" i="4"/>
  <c r="M4326" i="4"/>
  <c r="L4326" i="4"/>
  <c r="M4336" i="4"/>
  <c r="L4336" i="4"/>
  <c r="M4320" i="4"/>
  <c r="L4320" i="4"/>
  <c r="M4312" i="4"/>
  <c r="L4312" i="4"/>
  <c r="M4304" i="4"/>
  <c r="L4304" i="4"/>
  <c r="M4296" i="4"/>
  <c r="L4296" i="4"/>
  <c r="M4288" i="4"/>
  <c r="L4288" i="4"/>
  <c r="M4280" i="4"/>
  <c r="L4280" i="4"/>
  <c r="M4272" i="4"/>
  <c r="L4272" i="4"/>
  <c r="M4264" i="4"/>
  <c r="L4264" i="4"/>
  <c r="M4256" i="4"/>
  <c r="L4256" i="4"/>
  <c r="M4248" i="4"/>
  <c r="L4248" i="4"/>
  <c r="M4240" i="4"/>
  <c r="L4240" i="4"/>
  <c r="M4232" i="4"/>
  <c r="L4232" i="4"/>
  <c r="M4300" i="4"/>
  <c r="L4300" i="4"/>
  <c r="M4236" i="4"/>
  <c r="L4236" i="4"/>
  <c r="M4321" i="4"/>
  <c r="L4321" i="4"/>
  <c r="M4328" i="4"/>
  <c r="L4328" i="4"/>
  <c r="M4244" i="4"/>
  <c r="L4244" i="4"/>
  <c r="M4341" i="4"/>
  <c r="L4341" i="4"/>
  <c r="M4325" i="4"/>
  <c r="L4325" i="4"/>
  <c r="M4317" i="4"/>
  <c r="L4317" i="4"/>
  <c r="M4309" i="4"/>
  <c r="L4309" i="4"/>
  <c r="M4301" i="4"/>
  <c r="L4301" i="4"/>
  <c r="M4293" i="4"/>
  <c r="L4293" i="4"/>
  <c r="M4285" i="4"/>
  <c r="L4285" i="4"/>
  <c r="M4277" i="4"/>
  <c r="L4277" i="4"/>
  <c r="M4269" i="4"/>
  <c r="L4269" i="4"/>
  <c r="M4261" i="4"/>
  <c r="L4261" i="4"/>
  <c r="M4253" i="4"/>
  <c r="L4253" i="4"/>
  <c r="M4245" i="4"/>
  <c r="L4245" i="4"/>
  <c r="M4237" i="4"/>
  <c r="L4237" i="4"/>
  <c r="M4340" i="4"/>
  <c r="L4340" i="4"/>
  <c r="M4230" i="4"/>
  <c r="L4230" i="4"/>
  <c r="M4292" i="4"/>
  <c r="L4292" i="4"/>
  <c r="M4342" i="4"/>
  <c r="L4342" i="4"/>
  <c r="M4331" i="4"/>
  <c r="L4331" i="4"/>
  <c r="M4330" i="4"/>
  <c r="L4330" i="4"/>
  <c r="M4322" i="4"/>
  <c r="L4322" i="4"/>
  <c r="M4314" i="4"/>
  <c r="L4314" i="4"/>
  <c r="M4306" i="4"/>
  <c r="L4306" i="4"/>
  <c r="M4298" i="4"/>
  <c r="L4298" i="4"/>
  <c r="M4290" i="4"/>
  <c r="L4290" i="4"/>
  <c r="M4282" i="4"/>
  <c r="L4282" i="4"/>
  <c r="M4274" i="4"/>
  <c r="L4274" i="4"/>
  <c r="M4266" i="4"/>
  <c r="L4266" i="4"/>
  <c r="M4258" i="4"/>
  <c r="L4258" i="4"/>
  <c r="M4250" i="4"/>
  <c r="L4250" i="4"/>
  <c r="M4242" i="4"/>
  <c r="L4242" i="4"/>
  <c r="M4234" i="4"/>
  <c r="L4234" i="4"/>
  <c r="M4252" i="4"/>
  <c r="L4252" i="4"/>
  <c r="M4333" i="4"/>
  <c r="L4333" i="4"/>
  <c r="M4338" i="4"/>
  <c r="L4338" i="4"/>
  <c r="M4332" i="4"/>
  <c r="L4332" i="4"/>
  <c r="M4276" i="4"/>
  <c r="L4276" i="4"/>
  <c r="M4334" i="4"/>
  <c r="L4334" i="4"/>
  <c r="M4343" i="4"/>
  <c r="L4343" i="4"/>
  <c r="M4335" i="4"/>
  <c r="L4335" i="4"/>
  <c r="M4327" i="4"/>
  <c r="L4327" i="4"/>
  <c r="M4319" i="4"/>
  <c r="L4319" i="4"/>
  <c r="M4311" i="4"/>
  <c r="L4311" i="4"/>
  <c r="M4303" i="4"/>
  <c r="L4303" i="4"/>
  <c r="M4295" i="4"/>
  <c r="L4295" i="4"/>
  <c r="M4287" i="4"/>
  <c r="L4287" i="4"/>
  <c r="M4279" i="4"/>
  <c r="L4279" i="4"/>
  <c r="M4271" i="4"/>
  <c r="L4271" i="4"/>
  <c r="M4263" i="4"/>
  <c r="L4263" i="4"/>
  <c r="M4255" i="4"/>
  <c r="L4255" i="4"/>
  <c r="M4247" i="4"/>
  <c r="L4247" i="4"/>
  <c r="M4239" i="4"/>
  <c r="L4239" i="4"/>
  <c r="M4231" i="4"/>
  <c r="L4231" i="4"/>
  <c r="O3881" i="4"/>
  <c r="O4226" i="4" l="1"/>
  <c r="P4226" i="4" s="1"/>
  <c r="O4225" i="4"/>
  <c r="P4225" i="4" s="1"/>
  <c r="O4224" i="4"/>
  <c r="P4224" i="4" s="1"/>
  <c r="O4223" i="4"/>
  <c r="P4223" i="4" s="1"/>
  <c r="O4222" i="4"/>
  <c r="P4222" i="4" s="1"/>
  <c r="O4221" i="4"/>
  <c r="P4221" i="4" s="1"/>
  <c r="O4220" i="4"/>
  <c r="P4220" i="4" s="1"/>
  <c r="O4219" i="4"/>
  <c r="P4219" i="4" s="1"/>
  <c r="O4218" i="4"/>
  <c r="P4218" i="4" s="1"/>
  <c r="O4217" i="4"/>
  <c r="P4217" i="4" s="1"/>
  <c r="O4087" i="4"/>
  <c r="P4109" i="4"/>
  <c r="P4108" i="4"/>
  <c r="P4054" i="4"/>
  <c r="P4053" i="4"/>
  <c r="O4229" i="4"/>
  <c r="P4229" i="4" s="1"/>
  <c r="O4228" i="4"/>
  <c r="P4228" i="4" s="1"/>
  <c r="O4227" i="4"/>
  <c r="P4227" i="4" s="1"/>
  <c r="O4208" i="4"/>
  <c r="P4208" i="4" s="1"/>
  <c r="O4207" i="4"/>
  <c r="P4207" i="4" s="1"/>
  <c r="O4195" i="4"/>
  <c r="P4195" i="4" s="1"/>
  <c r="O4194" i="4"/>
  <c r="P4194" i="4" s="1"/>
  <c r="P4187" i="4"/>
  <c r="P4186" i="4"/>
  <c r="P4185" i="4"/>
  <c r="P4184" i="4"/>
  <c r="P4183" i="4"/>
  <c r="P4182" i="4"/>
  <c r="P4157" i="4"/>
  <c r="O3631" i="4"/>
  <c r="O3630" i="4"/>
  <c r="O3629" i="4"/>
  <c r="P3629" i="4" s="1"/>
  <c r="O3632" i="4"/>
  <c r="O3628" i="4"/>
  <c r="P3628" i="4" s="1"/>
  <c r="O3592" i="4"/>
  <c r="P3592" i="4" s="1"/>
  <c r="O3591" i="4"/>
  <c r="P3591" i="4" s="1"/>
  <c r="O3590" i="4"/>
  <c r="P3590" i="4" s="1"/>
  <c r="O3589" i="4"/>
  <c r="P3589" i="4" s="1"/>
  <c r="O3588" i="4"/>
  <c r="P3588" i="4" s="1"/>
  <c r="O3587" i="4"/>
  <c r="P3587" i="4" s="1"/>
  <c r="O4197" i="4"/>
  <c r="P4197" i="4" s="1"/>
  <c r="O4196" i="4"/>
  <c r="P4196" i="4" s="1"/>
  <c r="O4176" i="4"/>
  <c r="P4176" i="4" s="1"/>
  <c r="O4175" i="4"/>
  <c r="P4175" i="4" s="1"/>
  <c r="O4174" i="4"/>
  <c r="P4174" i="4" s="1"/>
  <c r="O4173" i="4"/>
  <c r="P4173" i="4" s="1"/>
  <c r="O4172" i="4"/>
  <c r="P4172" i="4" s="1"/>
  <c r="O4171" i="4"/>
  <c r="P4171" i="4" s="1"/>
  <c r="O4140" i="4"/>
  <c r="P4140" i="4" s="1"/>
  <c r="O4139" i="4"/>
  <c r="P4139" i="4" s="1"/>
  <c r="O4138" i="4"/>
  <c r="P4138" i="4" s="1"/>
  <c r="O2484" i="4"/>
  <c r="O2483" i="4"/>
  <c r="O2482" i="4"/>
  <c r="O2890" i="4" l="1"/>
  <c r="O2889" i="4"/>
  <c r="O2866" i="4"/>
  <c r="O2865" i="4"/>
  <c r="O2863" i="4"/>
  <c r="O2864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K2001" i="4" s="1"/>
  <c r="I2002" i="4"/>
  <c r="J2002" i="4"/>
  <c r="K2002" i="4" s="1"/>
  <c r="I2003" i="4"/>
  <c r="J2003" i="4"/>
  <c r="K2003" i="4" s="1"/>
  <c r="I2004" i="4"/>
  <c r="J2004" i="4"/>
  <c r="K2004" i="4" s="1"/>
  <c r="I2005" i="4"/>
  <c r="J2005" i="4"/>
  <c r="K2005" i="4" s="1"/>
  <c r="I2006" i="4"/>
  <c r="J2006" i="4"/>
  <c r="K2006" i="4" s="1"/>
  <c r="I2007" i="4"/>
  <c r="J2007" i="4"/>
  <c r="K2007" i="4" s="1"/>
  <c r="I2008" i="4"/>
  <c r="J2008" i="4"/>
  <c r="K2008" i="4" s="1"/>
  <c r="I2009" i="4"/>
  <c r="J2009" i="4"/>
  <c r="K2009" i="4" s="1"/>
  <c r="I2010" i="4"/>
  <c r="J2010" i="4"/>
  <c r="K2010" i="4" s="1"/>
  <c r="I2011" i="4"/>
  <c r="J2011" i="4"/>
  <c r="K2011" i="4" s="1"/>
  <c r="I2012" i="4"/>
  <c r="J2012" i="4"/>
  <c r="K2012" i="4" s="1"/>
  <c r="I2013" i="4"/>
  <c r="J2013" i="4"/>
  <c r="K2013" i="4" s="1"/>
  <c r="I2014" i="4"/>
  <c r="J2014" i="4"/>
  <c r="K2014" i="4" s="1"/>
  <c r="I2015" i="4"/>
  <c r="J2015" i="4"/>
  <c r="K2015" i="4" s="1"/>
  <c r="I2016" i="4"/>
  <c r="J2016" i="4"/>
  <c r="K2016" i="4" s="1"/>
  <c r="I2017" i="4"/>
  <c r="J2017" i="4"/>
  <c r="K2017" i="4" s="1"/>
  <c r="I2018" i="4"/>
  <c r="J2018" i="4"/>
  <c r="K2018" i="4" s="1"/>
  <c r="I2019" i="4"/>
  <c r="J2019" i="4"/>
  <c r="K2019" i="4" s="1"/>
  <c r="I2020" i="4"/>
  <c r="J2020" i="4"/>
  <c r="K2020" i="4" s="1"/>
  <c r="I2021" i="4"/>
  <c r="J2021" i="4"/>
  <c r="K2021" i="4" s="1"/>
  <c r="I2022" i="4"/>
  <c r="J2022" i="4"/>
  <c r="K2022" i="4" s="1"/>
  <c r="I2023" i="4"/>
  <c r="J2023" i="4"/>
  <c r="K2023" i="4" s="1"/>
  <c r="I2024" i="4"/>
  <c r="J2024" i="4"/>
  <c r="K2024" i="4" s="1"/>
  <c r="I2025" i="4"/>
  <c r="J2025" i="4"/>
  <c r="K2025" i="4" s="1"/>
  <c r="I2026" i="4"/>
  <c r="J2026" i="4"/>
  <c r="K2026" i="4" s="1"/>
  <c r="I2027" i="4"/>
  <c r="J2027" i="4"/>
  <c r="K2027" i="4" s="1"/>
  <c r="I2028" i="4"/>
  <c r="J2028" i="4"/>
  <c r="K2028" i="4" s="1"/>
  <c r="I2029" i="4"/>
  <c r="J2029" i="4"/>
  <c r="K2029" i="4" s="1"/>
  <c r="I2030" i="4"/>
  <c r="J2030" i="4"/>
  <c r="K2030" i="4" s="1"/>
  <c r="I2031" i="4"/>
  <c r="J2031" i="4"/>
  <c r="K2031" i="4" s="1"/>
  <c r="I2032" i="4"/>
  <c r="J2032" i="4"/>
  <c r="K2032" i="4" s="1"/>
  <c r="I2033" i="4"/>
  <c r="J2033" i="4"/>
  <c r="K2033" i="4" s="1"/>
  <c r="I2034" i="4"/>
  <c r="J2034" i="4"/>
  <c r="K2034" i="4" s="1"/>
  <c r="I2035" i="4"/>
  <c r="J2035" i="4"/>
  <c r="K2035" i="4" s="1"/>
  <c r="I2036" i="4"/>
  <c r="J2036" i="4"/>
  <c r="K2036" i="4" s="1"/>
  <c r="I2037" i="4"/>
  <c r="J2037" i="4"/>
  <c r="K2037" i="4" s="1"/>
  <c r="I2038" i="4"/>
  <c r="J2038" i="4"/>
  <c r="K2038" i="4" s="1"/>
  <c r="I2039" i="4"/>
  <c r="J2039" i="4"/>
  <c r="K2039" i="4" s="1"/>
  <c r="I2040" i="4"/>
  <c r="J2040" i="4"/>
  <c r="K2040" i="4" s="1"/>
  <c r="I2041" i="4"/>
  <c r="J2041" i="4"/>
  <c r="K2041" i="4" s="1"/>
  <c r="I2042" i="4"/>
  <c r="J2042" i="4"/>
  <c r="K2042" i="4" s="1"/>
  <c r="I2043" i="4"/>
  <c r="J2043" i="4"/>
  <c r="K2043" i="4" s="1"/>
  <c r="I2044" i="4"/>
  <c r="J2044" i="4"/>
  <c r="K2044" i="4" s="1"/>
  <c r="I2045" i="4"/>
  <c r="J2045" i="4"/>
  <c r="K2045" i="4" s="1"/>
  <c r="I2046" i="4"/>
  <c r="J2046" i="4"/>
  <c r="K2046" i="4" s="1"/>
  <c r="I2047" i="4"/>
  <c r="J2047" i="4"/>
  <c r="K2047" i="4" s="1"/>
  <c r="I2048" i="4"/>
  <c r="J2048" i="4"/>
  <c r="K2048" i="4" s="1"/>
  <c r="I2049" i="4"/>
  <c r="J2049" i="4"/>
  <c r="K2049" i="4" s="1"/>
  <c r="I2050" i="4"/>
  <c r="J2050" i="4"/>
  <c r="K2050" i="4" s="1"/>
  <c r="I2051" i="4"/>
  <c r="J2051" i="4"/>
  <c r="K2051" i="4" s="1"/>
  <c r="I2052" i="4"/>
  <c r="J2052" i="4"/>
  <c r="K2052" i="4" s="1"/>
  <c r="I2053" i="4"/>
  <c r="J2053" i="4"/>
  <c r="K2053" i="4" s="1"/>
  <c r="I2054" i="4"/>
  <c r="J2054" i="4"/>
  <c r="K2054" i="4" s="1"/>
  <c r="I2055" i="4"/>
  <c r="J2055" i="4"/>
  <c r="K2055" i="4" s="1"/>
  <c r="I2056" i="4"/>
  <c r="J2056" i="4"/>
  <c r="K2056" i="4" s="1"/>
  <c r="I2057" i="4"/>
  <c r="J2057" i="4"/>
  <c r="K2057" i="4" s="1"/>
  <c r="I2058" i="4"/>
  <c r="J2058" i="4"/>
  <c r="K2058" i="4" s="1"/>
  <c r="I2059" i="4"/>
  <c r="J2059" i="4"/>
  <c r="K2059" i="4" s="1"/>
  <c r="I2060" i="4"/>
  <c r="J2060" i="4"/>
  <c r="K2060" i="4" s="1"/>
  <c r="I2061" i="4"/>
  <c r="J2061" i="4"/>
  <c r="K2061" i="4" s="1"/>
  <c r="I2062" i="4"/>
  <c r="J2062" i="4"/>
  <c r="K2062" i="4" s="1"/>
  <c r="I2063" i="4"/>
  <c r="J2063" i="4"/>
  <c r="K2063" i="4" s="1"/>
  <c r="I2064" i="4"/>
  <c r="J2064" i="4"/>
  <c r="K2064" i="4" s="1"/>
  <c r="I2065" i="4"/>
  <c r="J2065" i="4"/>
  <c r="K2065" i="4" s="1"/>
  <c r="I2066" i="4"/>
  <c r="J2066" i="4"/>
  <c r="K2066" i="4" s="1"/>
  <c r="I2067" i="4"/>
  <c r="J2067" i="4"/>
  <c r="K2067" i="4" s="1"/>
  <c r="I2068" i="4"/>
  <c r="J2068" i="4"/>
  <c r="K2068" i="4" s="1"/>
  <c r="I2069" i="4"/>
  <c r="J2069" i="4"/>
  <c r="K2069" i="4" s="1"/>
  <c r="I2070" i="4"/>
  <c r="J2070" i="4"/>
  <c r="K2070" i="4" s="1"/>
  <c r="I2071" i="4"/>
  <c r="J2071" i="4"/>
  <c r="K2071" i="4" s="1"/>
  <c r="I2072" i="4"/>
  <c r="J2072" i="4"/>
  <c r="K2072" i="4" s="1"/>
  <c r="I2073" i="4"/>
  <c r="J2073" i="4"/>
  <c r="K2073" i="4" s="1"/>
  <c r="I2074" i="4"/>
  <c r="J2074" i="4"/>
  <c r="K2074" i="4" s="1"/>
  <c r="I2075" i="4"/>
  <c r="J2075" i="4"/>
  <c r="K2075" i="4" s="1"/>
  <c r="I2076" i="4"/>
  <c r="J2076" i="4"/>
  <c r="K2076" i="4" s="1"/>
  <c r="I2077" i="4"/>
  <c r="J2077" i="4"/>
  <c r="K2077" i="4" s="1"/>
  <c r="I2078" i="4"/>
  <c r="J2078" i="4"/>
  <c r="K2078" i="4" s="1"/>
  <c r="I2079" i="4"/>
  <c r="J2079" i="4"/>
  <c r="K2079" i="4" s="1"/>
  <c r="I2080" i="4"/>
  <c r="J2080" i="4"/>
  <c r="K2080" i="4" s="1"/>
  <c r="I2081" i="4"/>
  <c r="J2081" i="4"/>
  <c r="K2081" i="4" s="1"/>
  <c r="I2082" i="4"/>
  <c r="J2082" i="4"/>
  <c r="K2082" i="4" s="1"/>
  <c r="I2083" i="4"/>
  <c r="J2083" i="4"/>
  <c r="K2083" i="4" s="1"/>
  <c r="I2084" i="4"/>
  <c r="J2084" i="4"/>
  <c r="K2084" i="4" s="1"/>
  <c r="I2085" i="4"/>
  <c r="J2085" i="4"/>
  <c r="K2085" i="4" s="1"/>
  <c r="I2086" i="4"/>
  <c r="J2086" i="4"/>
  <c r="K2086" i="4" s="1"/>
  <c r="I2087" i="4"/>
  <c r="J2087" i="4"/>
  <c r="K2087" i="4" s="1"/>
  <c r="I2088" i="4"/>
  <c r="J2088" i="4"/>
  <c r="K2088" i="4" s="1"/>
  <c r="I2089" i="4"/>
  <c r="J2089" i="4"/>
  <c r="K2089" i="4" s="1"/>
  <c r="I2090" i="4"/>
  <c r="J2090" i="4"/>
  <c r="K2090" i="4" s="1"/>
  <c r="I2091" i="4"/>
  <c r="J2091" i="4"/>
  <c r="K2091" i="4" s="1"/>
  <c r="I2092" i="4"/>
  <c r="J2092" i="4"/>
  <c r="K2092" i="4" s="1"/>
  <c r="I2093" i="4"/>
  <c r="J2093" i="4"/>
  <c r="K2093" i="4" s="1"/>
  <c r="I2094" i="4"/>
  <c r="J2094" i="4"/>
  <c r="K2094" i="4" s="1"/>
  <c r="I2095" i="4"/>
  <c r="J2095" i="4"/>
  <c r="K2095" i="4" s="1"/>
  <c r="I2096" i="4"/>
  <c r="J2096" i="4"/>
  <c r="K2096" i="4" s="1"/>
  <c r="I2097" i="4"/>
  <c r="J2097" i="4"/>
  <c r="K2097" i="4" s="1"/>
  <c r="I2098" i="4"/>
  <c r="J2098" i="4"/>
  <c r="K2098" i="4" s="1"/>
  <c r="I2099" i="4"/>
  <c r="J2099" i="4"/>
  <c r="K2099" i="4" s="1"/>
  <c r="I2100" i="4"/>
  <c r="J2100" i="4"/>
  <c r="K2100" i="4" s="1"/>
  <c r="I2101" i="4"/>
  <c r="J2101" i="4"/>
  <c r="K2101" i="4" s="1"/>
  <c r="I2102" i="4"/>
  <c r="J2102" i="4"/>
  <c r="K2102" i="4" s="1"/>
  <c r="I2103" i="4"/>
  <c r="J2103" i="4"/>
  <c r="K2103" i="4" s="1"/>
  <c r="I2104" i="4"/>
  <c r="J2104" i="4"/>
  <c r="K2104" i="4" s="1"/>
  <c r="I2105" i="4"/>
  <c r="J2105" i="4"/>
  <c r="K2105" i="4" s="1"/>
  <c r="I2106" i="4"/>
  <c r="J2106" i="4"/>
  <c r="K2106" i="4" s="1"/>
  <c r="I2107" i="4"/>
  <c r="J2107" i="4"/>
  <c r="K2107" i="4" s="1"/>
  <c r="I2108" i="4"/>
  <c r="J2108" i="4"/>
  <c r="K2108" i="4" s="1"/>
  <c r="I2109" i="4"/>
  <c r="J2109" i="4"/>
  <c r="K2109" i="4" s="1"/>
  <c r="I2110" i="4"/>
  <c r="J2110" i="4"/>
  <c r="K2110" i="4" s="1"/>
  <c r="I2111" i="4"/>
  <c r="J2111" i="4"/>
  <c r="K2111" i="4" s="1"/>
  <c r="I2112" i="4"/>
  <c r="J2112" i="4"/>
  <c r="K2112" i="4" s="1"/>
  <c r="I2113" i="4"/>
  <c r="J2113" i="4"/>
  <c r="K2113" i="4" s="1"/>
  <c r="I2114" i="4"/>
  <c r="J2114" i="4"/>
  <c r="K2114" i="4" s="1"/>
  <c r="I2115" i="4"/>
  <c r="J2115" i="4"/>
  <c r="K2115" i="4" s="1"/>
  <c r="I2116" i="4"/>
  <c r="J2116" i="4"/>
  <c r="K2116" i="4" s="1"/>
  <c r="I2117" i="4"/>
  <c r="J2117" i="4"/>
  <c r="K2117" i="4" s="1"/>
  <c r="I2118" i="4"/>
  <c r="J2118" i="4"/>
  <c r="K2118" i="4" s="1"/>
  <c r="I2119" i="4"/>
  <c r="J2119" i="4"/>
  <c r="K2119" i="4" s="1"/>
  <c r="I2120" i="4"/>
  <c r="J2120" i="4"/>
  <c r="K2120" i="4" s="1"/>
  <c r="I2121" i="4"/>
  <c r="J2121" i="4"/>
  <c r="K2121" i="4" s="1"/>
  <c r="I2122" i="4"/>
  <c r="J2122" i="4"/>
  <c r="K2122" i="4" s="1"/>
  <c r="I2123" i="4"/>
  <c r="J2123" i="4"/>
  <c r="K2123" i="4" s="1"/>
  <c r="I2124" i="4"/>
  <c r="J2124" i="4"/>
  <c r="K2124" i="4" s="1"/>
  <c r="I2125" i="4"/>
  <c r="J2125" i="4"/>
  <c r="K2125" i="4" s="1"/>
  <c r="I2126" i="4"/>
  <c r="J2126" i="4"/>
  <c r="K2126" i="4" s="1"/>
  <c r="I2127" i="4"/>
  <c r="J2127" i="4"/>
  <c r="K2127" i="4" s="1"/>
  <c r="I2128" i="4"/>
  <c r="J2128" i="4"/>
  <c r="K2128" i="4" s="1"/>
  <c r="I2129" i="4"/>
  <c r="J2129" i="4"/>
  <c r="K2129" i="4" s="1"/>
  <c r="I2130" i="4"/>
  <c r="J2130" i="4"/>
  <c r="K2130" i="4" s="1"/>
  <c r="I2131" i="4"/>
  <c r="J2131" i="4"/>
  <c r="K2131" i="4" s="1"/>
  <c r="I2132" i="4"/>
  <c r="J2132" i="4"/>
  <c r="K2132" i="4" s="1"/>
  <c r="I2133" i="4"/>
  <c r="J2133" i="4"/>
  <c r="K2133" i="4" s="1"/>
  <c r="I2134" i="4"/>
  <c r="J2134" i="4"/>
  <c r="K2134" i="4" s="1"/>
  <c r="I2135" i="4"/>
  <c r="J2135" i="4"/>
  <c r="K2135" i="4" s="1"/>
  <c r="I2136" i="4"/>
  <c r="J2136" i="4"/>
  <c r="K2136" i="4" s="1"/>
  <c r="I2137" i="4"/>
  <c r="J2137" i="4"/>
  <c r="K2137" i="4" s="1"/>
  <c r="I2138" i="4"/>
  <c r="J2138" i="4"/>
  <c r="K2138" i="4" s="1"/>
  <c r="I2139" i="4"/>
  <c r="J2139" i="4"/>
  <c r="K2139" i="4" s="1"/>
  <c r="I2140" i="4"/>
  <c r="J2140" i="4"/>
  <c r="K2140" i="4" s="1"/>
  <c r="I2141" i="4"/>
  <c r="J2141" i="4"/>
  <c r="K2141" i="4" s="1"/>
  <c r="I2142" i="4"/>
  <c r="J2142" i="4"/>
  <c r="K2142" i="4" s="1"/>
  <c r="I2143" i="4"/>
  <c r="J2143" i="4"/>
  <c r="K2143" i="4" s="1"/>
  <c r="I2144" i="4"/>
  <c r="J2144" i="4"/>
  <c r="K2144" i="4" s="1"/>
  <c r="I2145" i="4"/>
  <c r="J2145" i="4"/>
  <c r="K2145" i="4" s="1"/>
  <c r="I2146" i="4"/>
  <c r="J2146" i="4"/>
  <c r="K2146" i="4" s="1"/>
  <c r="I2147" i="4"/>
  <c r="J2147" i="4"/>
  <c r="K2147" i="4" s="1"/>
  <c r="I2148" i="4"/>
  <c r="J2148" i="4"/>
  <c r="K2148" i="4" s="1"/>
  <c r="I2149" i="4"/>
  <c r="J2149" i="4"/>
  <c r="K2149" i="4" s="1"/>
  <c r="I2150" i="4"/>
  <c r="J2150" i="4"/>
  <c r="K2150" i="4" s="1"/>
  <c r="I2151" i="4"/>
  <c r="J2151" i="4"/>
  <c r="K2151" i="4" s="1"/>
  <c r="I2152" i="4"/>
  <c r="J2152" i="4"/>
  <c r="K2152" i="4" s="1"/>
  <c r="I2153" i="4"/>
  <c r="J2153" i="4"/>
  <c r="K2153" i="4" s="1"/>
  <c r="I2154" i="4"/>
  <c r="J2154" i="4"/>
  <c r="K2154" i="4" s="1"/>
  <c r="I2155" i="4"/>
  <c r="J2155" i="4"/>
  <c r="K2155" i="4" s="1"/>
  <c r="I2156" i="4"/>
  <c r="J2156" i="4"/>
  <c r="K2156" i="4" s="1"/>
  <c r="I2157" i="4"/>
  <c r="J2157" i="4"/>
  <c r="K2157" i="4" s="1"/>
  <c r="I2158" i="4"/>
  <c r="J2158" i="4"/>
  <c r="K2158" i="4" s="1"/>
  <c r="I2159" i="4"/>
  <c r="J2159" i="4"/>
  <c r="K2159" i="4" s="1"/>
  <c r="I2160" i="4"/>
  <c r="J2160" i="4"/>
  <c r="K2160" i="4" s="1"/>
  <c r="I2161" i="4"/>
  <c r="J2161" i="4"/>
  <c r="K2161" i="4" s="1"/>
  <c r="I2162" i="4"/>
  <c r="J2162" i="4"/>
  <c r="K2162" i="4" s="1"/>
  <c r="I2163" i="4"/>
  <c r="J2163" i="4"/>
  <c r="K2163" i="4" s="1"/>
  <c r="I2164" i="4"/>
  <c r="J2164" i="4"/>
  <c r="K2164" i="4" s="1"/>
  <c r="I2165" i="4"/>
  <c r="J2165" i="4"/>
  <c r="K2165" i="4" s="1"/>
  <c r="I2166" i="4"/>
  <c r="J2166" i="4"/>
  <c r="K2166" i="4" s="1"/>
  <c r="I2167" i="4"/>
  <c r="J2167" i="4"/>
  <c r="K2167" i="4" s="1"/>
  <c r="I2168" i="4"/>
  <c r="J2168" i="4"/>
  <c r="K2168" i="4" s="1"/>
  <c r="I2169" i="4"/>
  <c r="J2169" i="4"/>
  <c r="K2169" i="4" s="1"/>
  <c r="I2170" i="4"/>
  <c r="J2170" i="4"/>
  <c r="K2170" i="4" s="1"/>
  <c r="I2171" i="4"/>
  <c r="J2171" i="4"/>
  <c r="K2171" i="4" s="1"/>
  <c r="I2172" i="4"/>
  <c r="J2172" i="4"/>
  <c r="K2172" i="4" s="1"/>
  <c r="I2173" i="4"/>
  <c r="J2173" i="4"/>
  <c r="K2173" i="4" s="1"/>
  <c r="I2174" i="4"/>
  <c r="J2174" i="4"/>
  <c r="K2174" i="4" s="1"/>
  <c r="I2175" i="4"/>
  <c r="J2175" i="4"/>
  <c r="K2175" i="4" s="1"/>
  <c r="I2176" i="4"/>
  <c r="J2176" i="4"/>
  <c r="K2176" i="4" s="1"/>
  <c r="I2177" i="4"/>
  <c r="J2177" i="4"/>
  <c r="K2177" i="4" s="1"/>
  <c r="I2178" i="4"/>
  <c r="J2178" i="4"/>
  <c r="K2178" i="4" s="1"/>
  <c r="I2179" i="4"/>
  <c r="J2179" i="4"/>
  <c r="K2179" i="4" s="1"/>
  <c r="I2180" i="4"/>
  <c r="J2180" i="4"/>
  <c r="K2180" i="4" s="1"/>
  <c r="I2181" i="4"/>
  <c r="J2181" i="4"/>
  <c r="K2181" i="4" s="1"/>
  <c r="I2182" i="4"/>
  <c r="J2182" i="4"/>
  <c r="K2182" i="4" s="1"/>
  <c r="I2183" i="4"/>
  <c r="J2183" i="4"/>
  <c r="K2183" i="4" s="1"/>
  <c r="I2184" i="4"/>
  <c r="J2184" i="4"/>
  <c r="K2184" i="4" s="1"/>
  <c r="I2185" i="4"/>
  <c r="J2185" i="4"/>
  <c r="K2185" i="4" s="1"/>
  <c r="I2186" i="4"/>
  <c r="J2186" i="4"/>
  <c r="K2186" i="4" s="1"/>
  <c r="I2187" i="4"/>
  <c r="J2187" i="4"/>
  <c r="K2187" i="4" s="1"/>
  <c r="I2188" i="4"/>
  <c r="J2188" i="4"/>
  <c r="K2188" i="4" s="1"/>
  <c r="I2189" i="4"/>
  <c r="J2189" i="4"/>
  <c r="K2189" i="4" s="1"/>
  <c r="I2190" i="4"/>
  <c r="J2190" i="4"/>
  <c r="K2190" i="4" s="1"/>
  <c r="I2191" i="4"/>
  <c r="J2191" i="4"/>
  <c r="K2191" i="4" s="1"/>
  <c r="I2192" i="4"/>
  <c r="J2192" i="4"/>
  <c r="K2192" i="4" s="1"/>
  <c r="I2193" i="4"/>
  <c r="J2193" i="4"/>
  <c r="K2193" i="4" s="1"/>
  <c r="I2194" i="4"/>
  <c r="J2194" i="4"/>
  <c r="K2194" i="4" s="1"/>
  <c r="I2195" i="4"/>
  <c r="J2195" i="4"/>
  <c r="K2195" i="4" s="1"/>
  <c r="I2196" i="4"/>
  <c r="J2196" i="4"/>
  <c r="K2196" i="4" s="1"/>
  <c r="I2197" i="4"/>
  <c r="J2197" i="4"/>
  <c r="K2197" i="4" s="1"/>
  <c r="I2198" i="4"/>
  <c r="J2198" i="4"/>
  <c r="K2198" i="4" s="1"/>
  <c r="I2199" i="4"/>
  <c r="J2199" i="4"/>
  <c r="K2199" i="4" s="1"/>
  <c r="I2200" i="4"/>
  <c r="J2200" i="4"/>
  <c r="K2200" i="4" s="1"/>
  <c r="I2201" i="4"/>
  <c r="J2201" i="4"/>
  <c r="K2201" i="4" s="1"/>
  <c r="I2202" i="4"/>
  <c r="J2202" i="4"/>
  <c r="K2202" i="4" s="1"/>
  <c r="I2203" i="4"/>
  <c r="J2203" i="4"/>
  <c r="K2203" i="4" s="1"/>
  <c r="I2204" i="4"/>
  <c r="J2204" i="4"/>
  <c r="K2204" i="4" s="1"/>
  <c r="I2205" i="4"/>
  <c r="J2205" i="4"/>
  <c r="K2205" i="4" s="1"/>
  <c r="I2206" i="4"/>
  <c r="J2206" i="4"/>
  <c r="K2206" i="4" s="1"/>
  <c r="I2207" i="4"/>
  <c r="J2207" i="4"/>
  <c r="K2207" i="4" s="1"/>
  <c r="I2208" i="4"/>
  <c r="J2208" i="4"/>
  <c r="K2208" i="4" s="1"/>
  <c r="I2209" i="4"/>
  <c r="J2209" i="4"/>
  <c r="K2209" i="4" s="1"/>
  <c r="I2210" i="4"/>
  <c r="J2210" i="4"/>
  <c r="K2210" i="4" s="1"/>
  <c r="I2211" i="4"/>
  <c r="J2211" i="4"/>
  <c r="K2211" i="4" s="1"/>
  <c r="I2212" i="4"/>
  <c r="J2212" i="4"/>
  <c r="K2212" i="4" s="1"/>
  <c r="I2213" i="4"/>
  <c r="J2213" i="4"/>
  <c r="K2213" i="4" s="1"/>
  <c r="I2214" i="4"/>
  <c r="J2214" i="4"/>
  <c r="K2214" i="4" s="1"/>
  <c r="I2215" i="4"/>
  <c r="J2215" i="4"/>
  <c r="K2215" i="4" s="1"/>
  <c r="I2216" i="4"/>
  <c r="J2216" i="4"/>
  <c r="K2216" i="4" s="1"/>
  <c r="I2217" i="4"/>
  <c r="J2217" i="4"/>
  <c r="K2217" i="4" s="1"/>
  <c r="I2218" i="4"/>
  <c r="J2218" i="4"/>
  <c r="K2218" i="4" s="1"/>
  <c r="I2219" i="4"/>
  <c r="J2219" i="4"/>
  <c r="K2219" i="4" s="1"/>
  <c r="I2220" i="4"/>
  <c r="J2220" i="4"/>
  <c r="K2220" i="4" s="1"/>
  <c r="I2221" i="4"/>
  <c r="J2221" i="4"/>
  <c r="K2221" i="4" s="1"/>
  <c r="I2222" i="4"/>
  <c r="J2222" i="4"/>
  <c r="K2222" i="4" s="1"/>
  <c r="I2223" i="4"/>
  <c r="J2223" i="4"/>
  <c r="K2223" i="4" s="1"/>
  <c r="I2224" i="4"/>
  <c r="J2224" i="4"/>
  <c r="K2224" i="4" s="1"/>
  <c r="I2225" i="4"/>
  <c r="J2225" i="4"/>
  <c r="K2225" i="4" s="1"/>
  <c r="I2226" i="4"/>
  <c r="J2226" i="4"/>
  <c r="K2226" i="4" s="1"/>
  <c r="I2227" i="4"/>
  <c r="J2227" i="4"/>
  <c r="K2227" i="4" s="1"/>
  <c r="I2228" i="4"/>
  <c r="J2228" i="4"/>
  <c r="K2228" i="4" s="1"/>
  <c r="I2229" i="4"/>
  <c r="J2229" i="4"/>
  <c r="K2229" i="4" s="1"/>
  <c r="I2230" i="4"/>
  <c r="J2230" i="4"/>
  <c r="K2230" i="4" s="1"/>
  <c r="I2231" i="4"/>
  <c r="J2231" i="4"/>
  <c r="K2231" i="4" s="1"/>
  <c r="I2232" i="4"/>
  <c r="J2232" i="4"/>
  <c r="K2232" i="4" s="1"/>
  <c r="I2233" i="4"/>
  <c r="J2233" i="4"/>
  <c r="K2233" i="4" s="1"/>
  <c r="I2234" i="4"/>
  <c r="J2234" i="4"/>
  <c r="K2234" i="4" s="1"/>
  <c r="I2235" i="4"/>
  <c r="J2235" i="4"/>
  <c r="K2235" i="4" s="1"/>
  <c r="I2236" i="4"/>
  <c r="J2236" i="4"/>
  <c r="K2236" i="4" s="1"/>
  <c r="I2237" i="4"/>
  <c r="J2237" i="4"/>
  <c r="K2237" i="4" s="1"/>
  <c r="I2238" i="4"/>
  <c r="J2238" i="4"/>
  <c r="K2238" i="4" s="1"/>
  <c r="I2239" i="4"/>
  <c r="J2239" i="4"/>
  <c r="K2239" i="4" s="1"/>
  <c r="I2240" i="4"/>
  <c r="J2240" i="4"/>
  <c r="K2240" i="4" s="1"/>
  <c r="I2241" i="4"/>
  <c r="J2241" i="4"/>
  <c r="K2241" i="4" s="1"/>
  <c r="I2242" i="4"/>
  <c r="J2242" i="4"/>
  <c r="K2242" i="4" s="1"/>
  <c r="I2243" i="4"/>
  <c r="J2243" i="4"/>
  <c r="K2243" i="4" s="1"/>
  <c r="I2244" i="4"/>
  <c r="J2244" i="4"/>
  <c r="K2244" i="4" s="1"/>
  <c r="I2245" i="4"/>
  <c r="J2245" i="4"/>
  <c r="K2245" i="4" s="1"/>
  <c r="I2246" i="4"/>
  <c r="J2246" i="4"/>
  <c r="K2246" i="4" s="1"/>
  <c r="I2247" i="4"/>
  <c r="J2247" i="4"/>
  <c r="K2247" i="4" s="1"/>
  <c r="I2248" i="4"/>
  <c r="J2248" i="4"/>
  <c r="K2248" i="4" s="1"/>
  <c r="I2249" i="4"/>
  <c r="J2249" i="4"/>
  <c r="K2249" i="4" s="1"/>
  <c r="I2250" i="4"/>
  <c r="J2250" i="4"/>
  <c r="K2250" i="4" s="1"/>
  <c r="I2251" i="4"/>
  <c r="J2251" i="4"/>
  <c r="K2251" i="4" s="1"/>
  <c r="I2252" i="4"/>
  <c r="J2252" i="4"/>
  <c r="K2252" i="4" s="1"/>
  <c r="I2253" i="4"/>
  <c r="J2253" i="4"/>
  <c r="K2253" i="4" s="1"/>
  <c r="I2254" i="4"/>
  <c r="J2254" i="4"/>
  <c r="K2254" i="4" s="1"/>
  <c r="I2255" i="4"/>
  <c r="J2255" i="4"/>
  <c r="K2255" i="4" s="1"/>
  <c r="I2256" i="4"/>
  <c r="J2256" i="4"/>
  <c r="K2256" i="4" s="1"/>
  <c r="I2257" i="4"/>
  <c r="J2257" i="4"/>
  <c r="K2257" i="4" s="1"/>
  <c r="I2258" i="4"/>
  <c r="J2258" i="4"/>
  <c r="K2258" i="4" s="1"/>
  <c r="I2259" i="4"/>
  <c r="J2259" i="4"/>
  <c r="K2259" i="4" s="1"/>
  <c r="I2260" i="4"/>
  <c r="J2260" i="4"/>
  <c r="K2260" i="4" s="1"/>
  <c r="I2261" i="4"/>
  <c r="J2261" i="4"/>
  <c r="K2261" i="4" s="1"/>
  <c r="I2262" i="4"/>
  <c r="J2262" i="4"/>
  <c r="K2262" i="4" s="1"/>
  <c r="I2263" i="4"/>
  <c r="J2263" i="4"/>
  <c r="K2263" i="4" s="1"/>
  <c r="I2264" i="4"/>
  <c r="J2264" i="4"/>
  <c r="K2264" i="4" s="1"/>
  <c r="I2265" i="4"/>
  <c r="J2265" i="4"/>
  <c r="K2265" i="4" s="1"/>
  <c r="I2266" i="4"/>
  <c r="J2266" i="4"/>
  <c r="K2266" i="4" s="1"/>
  <c r="I2267" i="4"/>
  <c r="J2267" i="4"/>
  <c r="K2267" i="4" s="1"/>
  <c r="I2268" i="4"/>
  <c r="J2268" i="4"/>
  <c r="K2268" i="4" s="1"/>
  <c r="I2269" i="4"/>
  <c r="J2269" i="4"/>
  <c r="K2269" i="4" s="1"/>
  <c r="I2270" i="4"/>
  <c r="J2270" i="4"/>
  <c r="K2270" i="4" s="1"/>
  <c r="I2271" i="4"/>
  <c r="J2271" i="4"/>
  <c r="K2271" i="4" s="1"/>
  <c r="I2272" i="4"/>
  <c r="J2272" i="4"/>
  <c r="K2272" i="4" s="1"/>
  <c r="I2273" i="4"/>
  <c r="J2273" i="4"/>
  <c r="K2273" i="4" s="1"/>
  <c r="I2274" i="4"/>
  <c r="J2274" i="4"/>
  <c r="K2274" i="4" s="1"/>
  <c r="I2275" i="4"/>
  <c r="J2275" i="4"/>
  <c r="K2275" i="4" s="1"/>
  <c r="I2276" i="4"/>
  <c r="J2276" i="4"/>
  <c r="K2276" i="4" s="1"/>
  <c r="I2277" i="4"/>
  <c r="J2277" i="4"/>
  <c r="K2277" i="4" s="1"/>
  <c r="I2278" i="4"/>
  <c r="J2278" i="4"/>
  <c r="K2278" i="4" s="1"/>
  <c r="I2279" i="4"/>
  <c r="J2279" i="4"/>
  <c r="K2279" i="4" s="1"/>
  <c r="I2280" i="4"/>
  <c r="J2280" i="4"/>
  <c r="K2280" i="4" s="1"/>
  <c r="I2281" i="4"/>
  <c r="J2281" i="4"/>
  <c r="K2281" i="4" s="1"/>
  <c r="I2282" i="4"/>
  <c r="J2282" i="4"/>
  <c r="K2282" i="4" s="1"/>
  <c r="I2283" i="4"/>
  <c r="J2283" i="4"/>
  <c r="K2283" i="4" s="1"/>
  <c r="I2284" i="4"/>
  <c r="J2284" i="4"/>
  <c r="K2284" i="4" s="1"/>
  <c r="I2285" i="4"/>
  <c r="J2285" i="4"/>
  <c r="K2285" i="4" s="1"/>
  <c r="I2286" i="4"/>
  <c r="J2286" i="4"/>
  <c r="K2286" i="4" s="1"/>
  <c r="I2287" i="4"/>
  <c r="J2287" i="4"/>
  <c r="K2287" i="4" s="1"/>
  <c r="I2288" i="4"/>
  <c r="J2288" i="4"/>
  <c r="K2288" i="4" s="1"/>
  <c r="I2289" i="4"/>
  <c r="J2289" i="4"/>
  <c r="K2289" i="4" s="1"/>
  <c r="I2290" i="4"/>
  <c r="J2290" i="4"/>
  <c r="K2290" i="4" s="1"/>
  <c r="I2291" i="4"/>
  <c r="J2291" i="4"/>
  <c r="K2291" i="4" s="1"/>
  <c r="I2292" i="4"/>
  <c r="J2292" i="4"/>
  <c r="K2292" i="4" s="1"/>
  <c r="I2293" i="4"/>
  <c r="J2293" i="4"/>
  <c r="K2293" i="4" s="1"/>
  <c r="I2294" i="4"/>
  <c r="J2294" i="4"/>
  <c r="K2294" i="4" s="1"/>
  <c r="I2295" i="4"/>
  <c r="J2295" i="4"/>
  <c r="K2295" i="4" s="1"/>
  <c r="I2296" i="4"/>
  <c r="J2296" i="4"/>
  <c r="K2296" i="4" s="1"/>
  <c r="I2297" i="4"/>
  <c r="J2297" i="4"/>
  <c r="K2297" i="4" s="1"/>
  <c r="I2298" i="4"/>
  <c r="J2298" i="4"/>
  <c r="K2298" i="4" s="1"/>
  <c r="I2299" i="4"/>
  <c r="J2299" i="4"/>
  <c r="K2299" i="4" s="1"/>
  <c r="I2300" i="4"/>
  <c r="J2300" i="4"/>
  <c r="K2300" i="4" s="1"/>
  <c r="I2301" i="4"/>
  <c r="J2301" i="4"/>
  <c r="K2301" i="4" s="1"/>
  <c r="I2302" i="4"/>
  <c r="J2302" i="4"/>
  <c r="K2302" i="4" s="1"/>
  <c r="I2303" i="4"/>
  <c r="J2303" i="4"/>
  <c r="K2303" i="4" s="1"/>
  <c r="I2304" i="4"/>
  <c r="J2304" i="4"/>
  <c r="K2304" i="4" s="1"/>
  <c r="I2305" i="4"/>
  <c r="J2305" i="4"/>
  <c r="K2305" i="4" s="1"/>
  <c r="I2306" i="4"/>
  <c r="J2306" i="4"/>
  <c r="K2306" i="4" s="1"/>
  <c r="I2307" i="4"/>
  <c r="J2307" i="4"/>
  <c r="K2307" i="4" s="1"/>
  <c r="I2308" i="4"/>
  <c r="J2308" i="4"/>
  <c r="K2308" i="4" s="1"/>
  <c r="I2309" i="4"/>
  <c r="J2309" i="4"/>
  <c r="K2309" i="4" s="1"/>
  <c r="I2310" i="4"/>
  <c r="J2310" i="4"/>
  <c r="K2310" i="4" s="1"/>
  <c r="I2311" i="4"/>
  <c r="J2311" i="4"/>
  <c r="K2311" i="4" s="1"/>
  <c r="I2312" i="4"/>
  <c r="J2312" i="4"/>
  <c r="K2312" i="4" s="1"/>
  <c r="I2313" i="4"/>
  <c r="J2313" i="4"/>
  <c r="K2313" i="4" s="1"/>
  <c r="I2314" i="4"/>
  <c r="J2314" i="4"/>
  <c r="K2314" i="4" s="1"/>
  <c r="I2315" i="4"/>
  <c r="J2315" i="4"/>
  <c r="K2315" i="4" s="1"/>
  <c r="I2316" i="4"/>
  <c r="J2316" i="4"/>
  <c r="K2316" i="4" s="1"/>
  <c r="I2317" i="4"/>
  <c r="J2317" i="4"/>
  <c r="K2317" i="4" s="1"/>
  <c r="I2318" i="4"/>
  <c r="J2318" i="4"/>
  <c r="K2318" i="4" s="1"/>
  <c r="I2319" i="4"/>
  <c r="J2319" i="4"/>
  <c r="K2319" i="4" s="1"/>
  <c r="I2320" i="4"/>
  <c r="J2320" i="4"/>
  <c r="K2320" i="4" s="1"/>
  <c r="I2321" i="4"/>
  <c r="J2321" i="4"/>
  <c r="K2321" i="4" s="1"/>
  <c r="I2322" i="4"/>
  <c r="J2322" i="4"/>
  <c r="K2322" i="4" s="1"/>
  <c r="I2323" i="4"/>
  <c r="J2323" i="4"/>
  <c r="K2323" i="4" s="1"/>
  <c r="I2324" i="4"/>
  <c r="J2324" i="4"/>
  <c r="K2324" i="4" s="1"/>
  <c r="I2325" i="4"/>
  <c r="J2325" i="4"/>
  <c r="K2325" i="4" s="1"/>
  <c r="I2326" i="4"/>
  <c r="J2326" i="4"/>
  <c r="K2326" i="4" s="1"/>
  <c r="I2327" i="4"/>
  <c r="J2327" i="4"/>
  <c r="K2327" i="4" s="1"/>
  <c r="I2328" i="4"/>
  <c r="J2328" i="4"/>
  <c r="K2328" i="4" s="1"/>
  <c r="I2329" i="4"/>
  <c r="J2329" i="4"/>
  <c r="K2329" i="4" s="1"/>
  <c r="I2330" i="4"/>
  <c r="J2330" i="4"/>
  <c r="K2330" i="4" s="1"/>
  <c r="I2331" i="4"/>
  <c r="J2331" i="4"/>
  <c r="K2331" i="4" s="1"/>
  <c r="I2332" i="4"/>
  <c r="J2332" i="4"/>
  <c r="K2332" i="4" s="1"/>
  <c r="I2333" i="4"/>
  <c r="J2333" i="4"/>
  <c r="K2333" i="4" s="1"/>
  <c r="I2334" i="4"/>
  <c r="J2334" i="4"/>
  <c r="K2334" i="4" s="1"/>
  <c r="I2335" i="4"/>
  <c r="J2335" i="4"/>
  <c r="K2335" i="4" s="1"/>
  <c r="I2336" i="4"/>
  <c r="J2336" i="4"/>
  <c r="K2336" i="4" s="1"/>
  <c r="I2337" i="4"/>
  <c r="J2337" i="4"/>
  <c r="K2337" i="4" s="1"/>
  <c r="I2338" i="4"/>
  <c r="J2338" i="4"/>
  <c r="K2338" i="4" s="1"/>
  <c r="I2339" i="4"/>
  <c r="J2339" i="4"/>
  <c r="K2339" i="4" s="1"/>
  <c r="I2340" i="4"/>
  <c r="J2340" i="4"/>
  <c r="K2340" i="4" s="1"/>
  <c r="I2341" i="4"/>
  <c r="J2341" i="4"/>
  <c r="K2341" i="4" s="1"/>
  <c r="I2342" i="4"/>
  <c r="J2342" i="4"/>
  <c r="K2342" i="4" s="1"/>
  <c r="I2343" i="4"/>
  <c r="J2343" i="4"/>
  <c r="K2343" i="4" s="1"/>
  <c r="I2344" i="4"/>
  <c r="J2344" i="4"/>
  <c r="K2344" i="4" s="1"/>
  <c r="I2345" i="4"/>
  <c r="J2345" i="4"/>
  <c r="K2345" i="4" s="1"/>
  <c r="I2346" i="4"/>
  <c r="J2346" i="4"/>
  <c r="K2346" i="4" s="1"/>
  <c r="I2347" i="4"/>
  <c r="J2347" i="4"/>
  <c r="K2347" i="4" s="1"/>
  <c r="I2348" i="4"/>
  <c r="J2348" i="4"/>
  <c r="K2348" i="4" s="1"/>
  <c r="I2349" i="4"/>
  <c r="J2349" i="4"/>
  <c r="K2349" i="4" s="1"/>
  <c r="I2350" i="4"/>
  <c r="J2350" i="4"/>
  <c r="K2350" i="4" s="1"/>
  <c r="I2351" i="4"/>
  <c r="J2351" i="4"/>
  <c r="K2351" i="4" s="1"/>
  <c r="I2352" i="4"/>
  <c r="J2352" i="4"/>
  <c r="K2352" i="4" s="1"/>
  <c r="I2353" i="4"/>
  <c r="J2353" i="4"/>
  <c r="K2353" i="4" s="1"/>
  <c r="I2354" i="4"/>
  <c r="J2354" i="4"/>
  <c r="K2354" i="4" s="1"/>
  <c r="I2355" i="4"/>
  <c r="J2355" i="4"/>
  <c r="K2355" i="4" s="1"/>
  <c r="I2356" i="4"/>
  <c r="J2356" i="4"/>
  <c r="K2356" i="4" s="1"/>
  <c r="I2357" i="4"/>
  <c r="J2357" i="4"/>
  <c r="K2357" i="4" s="1"/>
  <c r="I2358" i="4"/>
  <c r="J2358" i="4"/>
  <c r="K2358" i="4" s="1"/>
  <c r="I2359" i="4"/>
  <c r="J2359" i="4"/>
  <c r="K2359" i="4" s="1"/>
  <c r="I2360" i="4"/>
  <c r="J2360" i="4"/>
  <c r="K2360" i="4" s="1"/>
  <c r="I2361" i="4"/>
  <c r="J2361" i="4"/>
  <c r="K2361" i="4" s="1"/>
  <c r="I2362" i="4"/>
  <c r="J2362" i="4"/>
  <c r="K2362" i="4" s="1"/>
  <c r="I2363" i="4"/>
  <c r="J2363" i="4"/>
  <c r="K2363" i="4" s="1"/>
  <c r="I2364" i="4"/>
  <c r="J2364" i="4"/>
  <c r="K2364" i="4" s="1"/>
  <c r="I2365" i="4"/>
  <c r="J2365" i="4"/>
  <c r="K2365" i="4" s="1"/>
  <c r="I2366" i="4"/>
  <c r="J2366" i="4"/>
  <c r="K2366" i="4" s="1"/>
  <c r="I2367" i="4"/>
  <c r="J2367" i="4"/>
  <c r="K2367" i="4" s="1"/>
  <c r="I2368" i="4"/>
  <c r="J2368" i="4"/>
  <c r="K2368" i="4" s="1"/>
  <c r="I2369" i="4"/>
  <c r="J2369" i="4"/>
  <c r="K2369" i="4" s="1"/>
  <c r="I2370" i="4"/>
  <c r="J2370" i="4"/>
  <c r="K2370" i="4" s="1"/>
  <c r="I2371" i="4"/>
  <c r="J2371" i="4"/>
  <c r="K2371" i="4" s="1"/>
  <c r="I2372" i="4"/>
  <c r="J2372" i="4"/>
  <c r="K2372" i="4" s="1"/>
  <c r="I2373" i="4"/>
  <c r="J2373" i="4"/>
  <c r="K2373" i="4" s="1"/>
  <c r="I2374" i="4"/>
  <c r="J2374" i="4"/>
  <c r="K2374" i="4" s="1"/>
  <c r="I2375" i="4"/>
  <c r="J2375" i="4"/>
  <c r="K2375" i="4" s="1"/>
  <c r="I2376" i="4"/>
  <c r="J2376" i="4"/>
  <c r="K2376" i="4" s="1"/>
  <c r="I2377" i="4"/>
  <c r="J2377" i="4"/>
  <c r="K2377" i="4" s="1"/>
  <c r="I2378" i="4"/>
  <c r="J2378" i="4"/>
  <c r="K2378" i="4" s="1"/>
  <c r="I2379" i="4"/>
  <c r="J2379" i="4"/>
  <c r="K2379" i="4" s="1"/>
  <c r="I2380" i="4"/>
  <c r="J2380" i="4"/>
  <c r="K2380" i="4" s="1"/>
  <c r="I2381" i="4"/>
  <c r="J2381" i="4"/>
  <c r="K2381" i="4" s="1"/>
  <c r="I2382" i="4"/>
  <c r="J2382" i="4"/>
  <c r="K2382" i="4" s="1"/>
  <c r="I2383" i="4"/>
  <c r="J2383" i="4"/>
  <c r="K2383" i="4" s="1"/>
  <c r="I2384" i="4"/>
  <c r="J2384" i="4"/>
  <c r="K2384" i="4" s="1"/>
  <c r="I2385" i="4"/>
  <c r="J2385" i="4"/>
  <c r="K2385" i="4" s="1"/>
  <c r="I2386" i="4"/>
  <c r="J2386" i="4"/>
  <c r="K2386" i="4" s="1"/>
  <c r="I2387" i="4"/>
  <c r="J2387" i="4"/>
  <c r="K2387" i="4" s="1"/>
  <c r="I2388" i="4"/>
  <c r="J2388" i="4"/>
  <c r="K2388" i="4" s="1"/>
  <c r="I2389" i="4"/>
  <c r="J2389" i="4"/>
  <c r="K2389" i="4" s="1"/>
  <c r="I2390" i="4"/>
  <c r="J2390" i="4"/>
  <c r="K2390" i="4" s="1"/>
  <c r="I2391" i="4"/>
  <c r="J2391" i="4"/>
  <c r="K2391" i="4" s="1"/>
  <c r="I2392" i="4"/>
  <c r="J2392" i="4"/>
  <c r="K2392" i="4" s="1"/>
  <c r="I2393" i="4"/>
  <c r="J2393" i="4"/>
  <c r="K2393" i="4" s="1"/>
  <c r="I2394" i="4"/>
  <c r="J2394" i="4"/>
  <c r="K2394" i="4" s="1"/>
  <c r="I2395" i="4"/>
  <c r="J2395" i="4"/>
  <c r="K2395" i="4" s="1"/>
  <c r="I2396" i="4"/>
  <c r="J2396" i="4"/>
  <c r="K2396" i="4" s="1"/>
  <c r="I2397" i="4"/>
  <c r="J2397" i="4"/>
  <c r="K2397" i="4" s="1"/>
  <c r="I2398" i="4"/>
  <c r="J2398" i="4"/>
  <c r="K2398" i="4" s="1"/>
  <c r="I2399" i="4"/>
  <c r="J2399" i="4"/>
  <c r="K2399" i="4" s="1"/>
  <c r="I2400" i="4"/>
  <c r="J2400" i="4"/>
  <c r="K2400" i="4" s="1"/>
  <c r="I2401" i="4"/>
  <c r="J2401" i="4"/>
  <c r="K2401" i="4" s="1"/>
  <c r="I2402" i="4"/>
  <c r="J2402" i="4"/>
  <c r="K2402" i="4" s="1"/>
  <c r="I2403" i="4"/>
  <c r="J2403" i="4"/>
  <c r="K2403" i="4" s="1"/>
  <c r="I2404" i="4"/>
  <c r="J2404" i="4"/>
  <c r="K2404" i="4" s="1"/>
  <c r="I2405" i="4"/>
  <c r="J2405" i="4"/>
  <c r="K2405" i="4" s="1"/>
  <c r="I2406" i="4"/>
  <c r="J2406" i="4"/>
  <c r="K2406" i="4" s="1"/>
  <c r="I2407" i="4"/>
  <c r="J2407" i="4"/>
  <c r="K2407" i="4" s="1"/>
  <c r="I2408" i="4"/>
  <c r="J2408" i="4"/>
  <c r="K2408" i="4" s="1"/>
  <c r="I2409" i="4"/>
  <c r="J2409" i="4"/>
  <c r="K2409" i="4" s="1"/>
  <c r="I2410" i="4"/>
  <c r="J2410" i="4"/>
  <c r="K2410" i="4" s="1"/>
  <c r="I2411" i="4"/>
  <c r="J2411" i="4"/>
  <c r="K2411" i="4" s="1"/>
  <c r="I2412" i="4"/>
  <c r="J2412" i="4"/>
  <c r="K2412" i="4" s="1"/>
  <c r="I2413" i="4"/>
  <c r="J2413" i="4"/>
  <c r="K2413" i="4" s="1"/>
  <c r="I2414" i="4"/>
  <c r="J2414" i="4"/>
  <c r="K2414" i="4" s="1"/>
  <c r="I2415" i="4"/>
  <c r="J2415" i="4"/>
  <c r="K2415" i="4" s="1"/>
  <c r="I2416" i="4"/>
  <c r="J2416" i="4"/>
  <c r="K2416" i="4" s="1"/>
  <c r="I2417" i="4"/>
  <c r="J2417" i="4"/>
  <c r="K2417" i="4" s="1"/>
  <c r="I2418" i="4"/>
  <c r="J2418" i="4"/>
  <c r="K2418" i="4" s="1"/>
  <c r="I2419" i="4"/>
  <c r="J2419" i="4"/>
  <c r="K2419" i="4" s="1"/>
  <c r="I2420" i="4"/>
  <c r="J2420" i="4"/>
  <c r="K2420" i="4" s="1"/>
  <c r="I2421" i="4"/>
  <c r="J2421" i="4"/>
  <c r="K2421" i="4" s="1"/>
  <c r="I2422" i="4"/>
  <c r="J2422" i="4"/>
  <c r="K2422" i="4" s="1"/>
  <c r="I2423" i="4"/>
  <c r="J2423" i="4"/>
  <c r="K2423" i="4" s="1"/>
  <c r="I2424" i="4"/>
  <c r="J2424" i="4"/>
  <c r="K2424" i="4" s="1"/>
  <c r="I2425" i="4"/>
  <c r="J2425" i="4"/>
  <c r="K2425" i="4" s="1"/>
  <c r="I2426" i="4"/>
  <c r="J2426" i="4"/>
  <c r="K2426" i="4" s="1"/>
  <c r="I2427" i="4"/>
  <c r="J2427" i="4"/>
  <c r="K2427" i="4" s="1"/>
  <c r="I2428" i="4"/>
  <c r="J2428" i="4"/>
  <c r="K2428" i="4" s="1"/>
  <c r="I2429" i="4"/>
  <c r="J2429" i="4"/>
  <c r="K2429" i="4" s="1"/>
  <c r="I2430" i="4"/>
  <c r="J2430" i="4"/>
  <c r="K2430" i="4" s="1"/>
  <c r="I2431" i="4"/>
  <c r="J2431" i="4"/>
  <c r="K2431" i="4" s="1"/>
  <c r="I2432" i="4"/>
  <c r="J2432" i="4"/>
  <c r="K2432" i="4" s="1"/>
  <c r="I2433" i="4"/>
  <c r="J2433" i="4"/>
  <c r="K2433" i="4" s="1"/>
  <c r="I2434" i="4"/>
  <c r="J2434" i="4"/>
  <c r="K2434" i="4" s="1"/>
  <c r="I2435" i="4"/>
  <c r="J2435" i="4"/>
  <c r="K2435" i="4" s="1"/>
  <c r="I2436" i="4"/>
  <c r="J2436" i="4"/>
  <c r="K2436" i="4" s="1"/>
  <c r="I2437" i="4"/>
  <c r="J2437" i="4"/>
  <c r="K2437" i="4" s="1"/>
  <c r="I2438" i="4"/>
  <c r="J2438" i="4"/>
  <c r="K2438" i="4" s="1"/>
  <c r="I2439" i="4"/>
  <c r="J2439" i="4"/>
  <c r="K2439" i="4" s="1"/>
  <c r="I2440" i="4"/>
  <c r="J2440" i="4"/>
  <c r="K2440" i="4" s="1"/>
  <c r="I2441" i="4"/>
  <c r="J2441" i="4"/>
  <c r="K2441" i="4" s="1"/>
  <c r="I2442" i="4"/>
  <c r="J2442" i="4"/>
  <c r="K2442" i="4" s="1"/>
  <c r="I2443" i="4"/>
  <c r="J2443" i="4"/>
  <c r="K2443" i="4" s="1"/>
  <c r="I2444" i="4"/>
  <c r="J2444" i="4"/>
  <c r="K2444" i="4" s="1"/>
  <c r="I2445" i="4"/>
  <c r="J2445" i="4"/>
  <c r="K2445" i="4" s="1"/>
  <c r="I2446" i="4"/>
  <c r="J2446" i="4"/>
  <c r="K2446" i="4" s="1"/>
  <c r="I2447" i="4"/>
  <c r="J2447" i="4"/>
  <c r="K2447" i="4" s="1"/>
  <c r="I2448" i="4"/>
  <c r="J2448" i="4"/>
  <c r="K2448" i="4" s="1"/>
  <c r="I2449" i="4"/>
  <c r="J2449" i="4"/>
  <c r="K2449" i="4" s="1"/>
  <c r="I2450" i="4"/>
  <c r="J2450" i="4"/>
  <c r="K2450" i="4" s="1"/>
  <c r="I2451" i="4"/>
  <c r="J2451" i="4"/>
  <c r="K2451" i="4" s="1"/>
  <c r="I2452" i="4"/>
  <c r="J2452" i="4"/>
  <c r="K2452" i="4" s="1"/>
  <c r="I2453" i="4"/>
  <c r="J2453" i="4"/>
  <c r="K2453" i="4" s="1"/>
  <c r="I2454" i="4"/>
  <c r="J2454" i="4"/>
  <c r="K2454" i="4" s="1"/>
  <c r="I2455" i="4"/>
  <c r="J2455" i="4"/>
  <c r="K2455" i="4" s="1"/>
  <c r="I2456" i="4"/>
  <c r="J2456" i="4"/>
  <c r="K2456" i="4" s="1"/>
  <c r="I2457" i="4"/>
  <c r="J2457" i="4"/>
  <c r="K2457" i="4" s="1"/>
  <c r="I2458" i="4"/>
  <c r="J2458" i="4"/>
  <c r="K2458" i="4" s="1"/>
  <c r="I2459" i="4"/>
  <c r="J2459" i="4"/>
  <c r="K2459" i="4" s="1"/>
  <c r="I2460" i="4"/>
  <c r="J2460" i="4"/>
  <c r="K2460" i="4" s="1"/>
  <c r="I2461" i="4"/>
  <c r="J2461" i="4"/>
  <c r="K2461" i="4" s="1"/>
  <c r="I2462" i="4"/>
  <c r="J2462" i="4"/>
  <c r="K2462" i="4" s="1"/>
  <c r="I2463" i="4"/>
  <c r="J2463" i="4"/>
  <c r="K2463" i="4" s="1"/>
  <c r="I2464" i="4"/>
  <c r="J2464" i="4"/>
  <c r="K2464" i="4" s="1"/>
  <c r="I2465" i="4"/>
  <c r="J2465" i="4"/>
  <c r="K2465" i="4" s="1"/>
  <c r="I2466" i="4"/>
  <c r="J2466" i="4"/>
  <c r="K2466" i="4" s="1"/>
  <c r="I2467" i="4"/>
  <c r="J2467" i="4"/>
  <c r="K2467" i="4" s="1"/>
  <c r="I2468" i="4"/>
  <c r="J2468" i="4"/>
  <c r="K2468" i="4" s="1"/>
  <c r="I2469" i="4"/>
  <c r="J2469" i="4"/>
  <c r="K2469" i="4" s="1"/>
  <c r="I2470" i="4"/>
  <c r="J2470" i="4"/>
  <c r="K2470" i="4" s="1"/>
  <c r="I2471" i="4"/>
  <c r="J2471" i="4"/>
  <c r="K2471" i="4" s="1"/>
  <c r="I2472" i="4"/>
  <c r="J2472" i="4"/>
  <c r="K2472" i="4" s="1"/>
  <c r="I2473" i="4"/>
  <c r="J2473" i="4"/>
  <c r="K2473" i="4" s="1"/>
  <c r="I2474" i="4"/>
  <c r="J2474" i="4"/>
  <c r="K2474" i="4" s="1"/>
  <c r="I2475" i="4"/>
  <c r="J2475" i="4"/>
  <c r="K2475" i="4" s="1"/>
  <c r="I2476" i="4"/>
  <c r="J2476" i="4"/>
  <c r="K2476" i="4" s="1"/>
  <c r="I2477" i="4"/>
  <c r="J2477" i="4"/>
  <c r="K2477" i="4" s="1"/>
  <c r="I2478" i="4"/>
  <c r="J2478" i="4"/>
  <c r="K2478" i="4" s="1"/>
  <c r="I2479" i="4"/>
  <c r="J2479" i="4"/>
  <c r="K2479" i="4" s="1"/>
  <c r="I2480" i="4"/>
  <c r="J2480" i="4"/>
  <c r="K2480" i="4" s="1"/>
  <c r="I2481" i="4"/>
  <c r="J2481" i="4"/>
  <c r="K2481" i="4" s="1"/>
  <c r="I2482" i="4"/>
  <c r="J2482" i="4"/>
  <c r="K2482" i="4" s="1"/>
  <c r="I2483" i="4"/>
  <c r="J2483" i="4"/>
  <c r="K2483" i="4" s="1"/>
  <c r="I2484" i="4"/>
  <c r="J2484" i="4"/>
  <c r="K2484" i="4" s="1"/>
  <c r="I2485" i="4"/>
  <c r="J2485" i="4"/>
  <c r="K2485" i="4" s="1"/>
  <c r="I2486" i="4"/>
  <c r="J2486" i="4"/>
  <c r="K2486" i="4" s="1"/>
  <c r="I2487" i="4"/>
  <c r="J2487" i="4"/>
  <c r="K2487" i="4" s="1"/>
  <c r="I2488" i="4"/>
  <c r="J2488" i="4"/>
  <c r="K2488" i="4" s="1"/>
  <c r="I2489" i="4"/>
  <c r="J2489" i="4"/>
  <c r="K2489" i="4" s="1"/>
  <c r="I2490" i="4"/>
  <c r="J2490" i="4"/>
  <c r="K2490" i="4" s="1"/>
  <c r="I2491" i="4"/>
  <c r="J2491" i="4"/>
  <c r="K2491" i="4" s="1"/>
  <c r="I2492" i="4"/>
  <c r="J2492" i="4"/>
  <c r="K2492" i="4" s="1"/>
  <c r="I2493" i="4"/>
  <c r="J2493" i="4"/>
  <c r="K2493" i="4" s="1"/>
  <c r="I2494" i="4"/>
  <c r="J2494" i="4"/>
  <c r="K2494" i="4" s="1"/>
  <c r="I2495" i="4"/>
  <c r="J2495" i="4"/>
  <c r="K2495" i="4" s="1"/>
  <c r="I2496" i="4"/>
  <c r="J2496" i="4"/>
  <c r="K2496" i="4" s="1"/>
  <c r="I2497" i="4"/>
  <c r="J2497" i="4"/>
  <c r="K2497" i="4" s="1"/>
  <c r="I2498" i="4"/>
  <c r="J2498" i="4"/>
  <c r="K2498" i="4" s="1"/>
  <c r="I2499" i="4"/>
  <c r="J2499" i="4"/>
  <c r="K2499" i="4" s="1"/>
  <c r="I2500" i="4"/>
  <c r="J2500" i="4"/>
  <c r="K2500" i="4" s="1"/>
  <c r="I2501" i="4"/>
  <c r="J2501" i="4"/>
  <c r="K2501" i="4" s="1"/>
  <c r="I2502" i="4"/>
  <c r="J2502" i="4"/>
  <c r="K2502" i="4" s="1"/>
  <c r="I2503" i="4"/>
  <c r="J2503" i="4"/>
  <c r="K2503" i="4" s="1"/>
  <c r="I2504" i="4"/>
  <c r="J2504" i="4"/>
  <c r="K2504" i="4" s="1"/>
  <c r="I2505" i="4"/>
  <c r="J2505" i="4"/>
  <c r="K2505" i="4" s="1"/>
  <c r="I2506" i="4"/>
  <c r="J2506" i="4"/>
  <c r="K2506" i="4" s="1"/>
  <c r="I2507" i="4"/>
  <c r="J2507" i="4"/>
  <c r="K2507" i="4" s="1"/>
  <c r="I2508" i="4"/>
  <c r="J2508" i="4"/>
  <c r="K2508" i="4" s="1"/>
  <c r="I2509" i="4"/>
  <c r="J2509" i="4"/>
  <c r="K2509" i="4" s="1"/>
  <c r="I2510" i="4"/>
  <c r="J2510" i="4"/>
  <c r="K2510" i="4" s="1"/>
  <c r="I2511" i="4"/>
  <c r="J2511" i="4"/>
  <c r="K2511" i="4" s="1"/>
  <c r="I2512" i="4"/>
  <c r="J2512" i="4"/>
  <c r="K2512" i="4" s="1"/>
  <c r="I2513" i="4"/>
  <c r="J2513" i="4"/>
  <c r="K2513" i="4" s="1"/>
  <c r="I2514" i="4"/>
  <c r="J2514" i="4"/>
  <c r="K2514" i="4" s="1"/>
  <c r="I2515" i="4"/>
  <c r="J2515" i="4"/>
  <c r="K2515" i="4" s="1"/>
  <c r="I2516" i="4"/>
  <c r="J2516" i="4"/>
  <c r="K2516" i="4" s="1"/>
  <c r="I2517" i="4"/>
  <c r="J2517" i="4"/>
  <c r="K2517" i="4" s="1"/>
  <c r="I2518" i="4"/>
  <c r="J2518" i="4"/>
  <c r="K2518" i="4" s="1"/>
  <c r="I2519" i="4"/>
  <c r="J2519" i="4"/>
  <c r="K2519" i="4" s="1"/>
  <c r="I2520" i="4"/>
  <c r="J2520" i="4"/>
  <c r="K2520" i="4" s="1"/>
  <c r="I2521" i="4"/>
  <c r="J2521" i="4"/>
  <c r="K2521" i="4" s="1"/>
  <c r="I2522" i="4"/>
  <c r="J2522" i="4"/>
  <c r="K2522" i="4" s="1"/>
  <c r="I2523" i="4"/>
  <c r="J2523" i="4"/>
  <c r="K2523" i="4" s="1"/>
  <c r="I2524" i="4"/>
  <c r="J2524" i="4"/>
  <c r="K2524" i="4" s="1"/>
  <c r="I2525" i="4"/>
  <c r="J2525" i="4"/>
  <c r="K2525" i="4" s="1"/>
  <c r="I2526" i="4"/>
  <c r="J2526" i="4"/>
  <c r="K2526" i="4" s="1"/>
  <c r="I2527" i="4"/>
  <c r="J2527" i="4"/>
  <c r="K2527" i="4" s="1"/>
  <c r="I2528" i="4"/>
  <c r="J2528" i="4"/>
  <c r="K2528" i="4" s="1"/>
  <c r="I2529" i="4"/>
  <c r="J2529" i="4"/>
  <c r="K2529" i="4" s="1"/>
  <c r="I2530" i="4"/>
  <c r="J2530" i="4"/>
  <c r="K2530" i="4" s="1"/>
  <c r="I2531" i="4"/>
  <c r="J2531" i="4"/>
  <c r="K2531" i="4" s="1"/>
  <c r="I2532" i="4"/>
  <c r="J2532" i="4"/>
  <c r="K2532" i="4" s="1"/>
  <c r="I2533" i="4"/>
  <c r="J2533" i="4"/>
  <c r="K2533" i="4" s="1"/>
  <c r="I2534" i="4"/>
  <c r="J2534" i="4"/>
  <c r="K2534" i="4" s="1"/>
  <c r="I2535" i="4"/>
  <c r="J2535" i="4"/>
  <c r="K2535" i="4" s="1"/>
  <c r="I2536" i="4"/>
  <c r="J2536" i="4"/>
  <c r="K2536" i="4" s="1"/>
  <c r="I2537" i="4"/>
  <c r="J2537" i="4"/>
  <c r="K2537" i="4" s="1"/>
  <c r="I2538" i="4"/>
  <c r="J2538" i="4"/>
  <c r="K2538" i="4" s="1"/>
  <c r="I2539" i="4"/>
  <c r="J2539" i="4"/>
  <c r="K2539" i="4" s="1"/>
  <c r="I2540" i="4"/>
  <c r="J2540" i="4"/>
  <c r="K2540" i="4" s="1"/>
  <c r="I2541" i="4"/>
  <c r="J2541" i="4"/>
  <c r="K2541" i="4" s="1"/>
  <c r="I2542" i="4"/>
  <c r="J2542" i="4"/>
  <c r="K2542" i="4" s="1"/>
  <c r="I2543" i="4"/>
  <c r="J2543" i="4"/>
  <c r="K2543" i="4" s="1"/>
  <c r="I2544" i="4"/>
  <c r="J2544" i="4"/>
  <c r="K2544" i="4" s="1"/>
  <c r="I2545" i="4"/>
  <c r="J2545" i="4"/>
  <c r="K2545" i="4" s="1"/>
  <c r="I2546" i="4"/>
  <c r="J2546" i="4"/>
  <c r="K2546" i="4" s="1"/>
  <c r="I2547" i="4"/>
  <c r="J2547" i="4"/>
  <c r="K2547" i="4" s="1"/>
  <c r="I2548" i="4"/>
  <c r="J2548" i="4"/>
  <c r="K2548" i="4" s="1"/>
  <c r="I2549" i="4"/>
  <c r="J2549" i="4"/>
  <c r="K2549" i="4" s="1"/>
  <c r="I2550" i="4"/>
  <c r="J2550" i="4"/>
  <c r="K2550" i="4" s="1"/>
  <c r="I2551" i="4"/>
  <c r="J2551" i="4"/>
  <c r="K2551" i="4" s="1"/>
  <c r="I2552" i="4"/>
  <c r="J2552" i="4"/>
  <c r="K2552" i="4" s="1"/>
  <c r="I2553" i="4"/>
  <c r="J2553" i="4"/>
  <c r="K2553" i="4" s="1"/>
  <c r="I2554" i="4"/>
  <c r="J2554" i="4"/>
  <c r="K2554" i="4" s="1"/>
  <c r="I2555" i="4"/>
  <c r="J2555" i="4"/>
  <c r="K2555" i="4" s="1"/>
  <c r="I2556" i="4"/>
  <c r="J2556" i="4"/>
  <c r="K2556" i="4" s="1"/>
  <c r="I2557" i="4"/>
  <c r="J2557" i="4"/>
  <c r="K2557" i="4" s="1"/>
  <c r="I2558" i="4"/>
  <c r="J2558" i="4"/>
  <c r="K2558" i="4" s="1"/>
  <c r="I2559" i="4"/>
  <c r="J2559" i="4"/>
  <c r="K2559" i="4" s="1"/>
  <c r="I2560" i="4"/>
  <c r="J2560" i="4"/>
  <c r="K2560" i="4" s="1"/>
  <c r="I2561" i="4"/>
  <c r="J2561" i="4"/>
  <c r="K2561" i="4" s="1"/>
  <c r="I2562" i="4"/>
  <c r="J2562" i="4"/>
  <c r="K2562" i="4" s="1"/>
  <c r="I2563" i="4"/>
  <c r="J2563" i="4"/>
  <c r="K2563" i="4" s="1"/>
  <c r="I2564" i="4"/>
  <c r="J2564" i="4"/>
  <c r="K2564" i="4" s="1"/>
  <c r="I2565" i="4"/>
  <c r="J2565" i="4"/>
  <c r="K2565" i="4" s="1"/>
  <c r="I2566" i="4"/>
  <c r="J2566" i="4"/>
  <c r="K2566" i="4" s="1"/>
  <c r="I2567" i="4"/>
  <c r="J2567" i="4"/>
  <c r="K2567" i="4" s="1"/>
  <c r="I2568" i="4"/>
  <c r="J2568" i="4"/>
  <c r="K2568" i="4" s="1"/>
  <c r="I2569" i="4"/>
  <c r="J2569" i="4"/>
  <c r="K2569" i="4" s="1"/>
  <c r="I2570" i="4"/>
  <c r="J2570" i="4"/>
  <c r="K2570" i="4" s="1"/>
  <c r="I2571" i="4"/>
  <c r="J2571" i="4"/>
  <c r="K2571" i="4" s="1"/>
  <c r="I2572" i="4"/>
  <c r="J2572" i="4"/>
  <c r="K2572" i="4" s="1"/>
  <c r="I2573" i="4"/>
  <c r="J2573" i="4"/>
  <c r="K2573" i="4" s="1"/>
  <c r="I2574" i="4"/>
  <c r="J2574" i="4"/>
  <c r="K2574" i="4" s="1"/>
  <c r="I2575" i="4"/>
  <c r="J2575" i="4"/>
  <c r="K2575" i="4" s="1"/>
  <c r="I2576" i="4"/>
  <c r="J2576" i="4"/>
  <c r="K2576" i="4" s="1"/>
  <c r="I2577" i="4"/>
  <c r="J2577" i="4"/>
  <c r="K2577" i="4" s="1"/>
  <c r="I2578" i="4"/>
  <c r="J2578" i="4"/>
  <c r="K2578" i="4" s="1"/>
  <c r="I2579" i="4"/>
  <c r="J2579" i="4"/>
  <c r="K2579" i="4" s="1"/>
  <c r="I2580" i="4"/>
  <c r="J2580" i="4"/>
  <c r="K2580" i="4" s="1"/>
  <c r="I2581" i="4"/>
  <c r="J2581" i="4"/>
  <c r="K2581" i="4" s="1"/>
  <c r="I2582" i="4"/>
  <c r="J2582" i="4"/>
  <c r="K2582" i="4" s="1"/>
  <c r="I2583" i="4"/>
  <c r="J2583" i="4"/>
  <c r="K2583" i="4" s="1"/>
  <c r="I2584" i="4"/>
  <c r="J2584" i="4"/>
  <c r="K2584" i="4" s="1"/>
  <c r="I2585" i="4"/>
  <c r="J2585" i="4"/>
  <c r="K2585" i="4" s="1"/>
  <c r="I2586" i="4"/>
  <c r="J2586" i="4"/>
  <c r="K2586" i="4" s="1"/>
  <c r="I2587" i="4"/>
  <c r="J2587" i="4"/>
  <c r="K2587" i="4" s="1"/>
  <c r="I2588" i="4"/>
  <c r="J2588" i="4"/>
  <c r="K2588" i="4" s="1"/>
  <c r="I2589" i="4"/>
  <c r="J2589" i="4"/>
  <c r="K2589" i="4" s="1"/>
  <c r="I2590" i="4"/>
  <c r="J2590" i="4"/>
  <c r="K2590" i="4" s="1"/>
  <c r="I2591" i="4"/>
  <c r="J2591" i="4"/>
  <c r="K2591" i="4" s="1"/>
  <c r="I2592" i="4"/>
  <c r="J2592" i="4"/>
  <c r="K2592" i="4" s="1"/>
  <c r="I2593" i="4"/>
  <c r="J2593" i="4"/>
  <c r="K2593" i="4" s="1"/>
  <c r="I2594" i="4"/>
  <c r="J2594" i="4"/>
  <c r="K2594" i="4" s="1"/>
  <c r="I2595" i="4"/>
  <c r="J2595" i="4"/>
  <c r="K2595" i="4" s="1"/>
  <c r="I2596" i="4"/>
  <c r="J2596" i="4"/>
  <c r="K2596" i="4" s="1"/>
  <c r="I2597" i="4"/>
  <c r="J2597" i="4"/>
  <c r="K2597" i="4" s="1"/>
  <c r="I2598" i="4"/>
  <c r="J2598" i="4"/>
  <c r="K2598" i="4" s="1"/>
  <c r="I2599" i="4"/>
  <c r="J2599" i="4"/>
  <c r="K2599" i="4" s="1"/>
  <c r="I2600" i="4"/>
  <c r="J2600" i="4"/>
  <c r="K2600" i="4" s="1"/>
  <c r="I2601" i="4"/>
  <c r="J2601" i="4"/>
  <c r="K2601" i="4" s="1"/>
  <c r="I2602" i="4"/>
  <c r="J2602" i="4"/>
  <c r="K2602" i="4" s="1"/>
  <c r="I2603" i="4"/>
  <c r="J2603" i="4"/>
  <c r="K2603" i="4" s="1"/>
  <c r="I2604" i="4"/>
  <c r="J2604" i="4"/>
  <c r="K2604" i="4" s="1"/>
  <c r="I2605" i="4"/>
  <c r="J2605" i="4"/>
  <c r="K2605" i="4" s="1"/>
  <c r="I2606" i="4"/>
  <c r="J2606" i="4"/>
  <c r="K2606" i="4" s="1"/>
  <c r="I2607" i="4"/>
  <c r="J2607" i="4"/>
  <c r="K2607" i="4" s="1"/>
  <c r="I2608" i="4"/>
  <c r="J2608" i="4"/>
  <c r="K2608" i="4" s="1"/>
  <c r="I2609" i="4"/>
  <c r="J2609" i="4"/>
  <c r="K2609" i="4" s="1"/>
  <c r="I2610" i="4"/>
  <c r="J2610" i="4"/>
  <c r="K2610" i="4" s="1"/>
  <c r="I2611" i="4"/>
  <c r="J2611" i="4"/>
  <c r="K2611" i="4" s="1"/>
  <c r="I2612" i="4"/>
  <c r="J2612" i="4"/>
  <c r="K2612" i="4" s="1"/>
  <c r="I2613" i="4"/>
  <c r="J2613" i="4"/>
  <c r="K2613" i="4" s="1"/>
  <c r="I2614" i="4"/>
  <c r="J2614" i="4"/>
  <c r="K2614" i="4" s="1"/>
  <c r="I2615" i="4"/>
  <c r="J2615" i="4"/>
  <c r="K2615" i="4" s="1"/>
  <c r="I2616" i="4"/>
  <c r="J2616" i="4"/>
  <c r="K2616" i="4" s="1"/>
  <c r="I2617" i="4"/>
  <c r="J2617" i="4"/>
  <c r="K2617" i="4" s="1"/>
  <c r="I2618" i="4"/>
  <c r="J2618" i="4"/>
  <c r="K2618" i="4" s="1"/>
  <c r="I2619" i="4"/>
  <c r="J2619" i="4"/>
  <c r="K2619" i="4" s="1"/>
  <c r="I2620" i="4"/>
  <c r="J2620" i="4"/>
  <c r="K2620" i="4" s="1"/>
  <c r="I2621" i="4"/>
  <c r="J2621" i="4"/>
  <c r="K2621" i="4" s="1"/>
  <c r="I2622" i="4"/>
  <c r="J2622" i="4"/>
  <c r="K2622" i="4" s="1"/>
  <c r="I2623" i="4"/>
  <c r="J2623" i="4"/>
  <c r="K2623" i="4" s="1"/>
  <c r="I2624" i="4"/>
  <c r="J2624" i="4"/>
  <c r="K2624" i="4" s="1"/>
  <c r="I2625" i="4"/>
  <c r="J2625" i="4"/>
  <c r="K2625" i="4" s="1"/>
  <c r="I2626" i="4"/>
  <c r="J2626" i="4"/>
  <c r="K2626" i="4" s="1"/>
  <c r="I2627" i="4"/>
  <c r="J2627" i="4"/>
  <c r="K2627" i="4" s="1"/>
  <c r="I2628" i="4"/>
  <c r="J2628" i="4"/>
  <c r="K2628" i="4" s="1"/>
  <c r="I2629" i="4"/>
  <c r="J2629" i="4"/>
  <c r="K2629" i="4" s="1"/>
  <c r="I2630" i="4"/>
  <c r="J2630" i="4"/>
  <c r="K2630" i="4" s="1"/>
  <c r="I2631" i="4"/>
  <c r="J2631" i="4"/>
  <c r="K2631" i="4" s="1"/>
  <c r="I2632" i="4"/>
  <c r="J2632" i="4"/>
  <c r="K2632" i="4" s="1"/>
  <c r="I2633" i="4"/>
  <c r="J2633" i="4"/>
  <c r="K2633" i="4" s="1"/>
  <c r="I2634" i="4"/>
  <c r="J2634" i="4"/>
  <c r="K2634" i="4" s="1"/>
  <c r="I2635" i="4"/>
  <c r="J2635" i="4"/>
  <c r="K2635" i="4" s="1"/>
  <c r="I2636" i="4"/>
  <c r="J2636" i="4"/>
  <c r="K2636" i="4" s="1"/>
  <c r="I2637" i="4"/>
  <c r="J2637" i="4"/>
  <c r="K2637" i="4" s="1"/>
  <c r="I2638" i="4"/>
  <c r="J2638" i="4"/>
  <c r="K2638" i="4" s="1"/>
  <c r="I2639" i="4"/>
  <c r="J2639" i="4"/>
  <c r="K2639" i="4" s="1"/>
  <c r="I2640" i="4"/>
  <c r="J2640" i="4"/>
  <c r="K2640" i="4" s="1"/>
  <c r="I2641" i="4"/>
  <c r="J2641" i="4"/>
  <c r="K2641" i="4" s="1"/>
  <c r="I2642" i="4"/>
  <c r="J2642" i="4"/>
  <c r="K2642" i="4" s="1"/>
  <c r="I2643" i="4"/>
  <c r="J2643" i="4"/>
  <c r="K2643" i="4" s="1"/>
  <c r="I2644" i="4"/>
  <c r="J2644" i="4"/>
  <c r="K2644" i="4" s="1"/>
  <c r="I2645" i="4"/>
  <c r="J2645" i="4"/>
  <c r="K2645" i="4" s="1"/>
  <c r="I2646" i="4"/>
  <c r="J2646" i="4"/>
  <c r="K2646" i="4" s="1"/>
  <c r="I2647" i="4"/>
  <c r="J2647" i="4"/>
  <c r="K2647" i="4" s="1"/>
  <c r="I2648" i="4"/>
  <c r="J2648" i="4"/>
  <c r="K2648" i="4" s="1"/>
  <c r="I2649" i="4"/>
  <c r="J2649" i="4"/>
  <c r="K2649" i="4" s="1"/>
  <c r="I2650" i="4"/>
  <c r="J2650" i="4"/>
  <c r="K2650" i="4" s="1"/>
  <c r="I2651" i="4"/>
  <c r="J2651" i="4"/>
  <c r="K2651" i="4" s="1"/>
  <c r="I2652" i="4"/>
  <c r="J2652" i="4"/>
  <c r="K2652" i="4" s="1"/>
  <c r="I2653" i="4"/>
  <c r="J2653" i="4"/>
  <c r="K2653" i="4" s="1"/>
  <c r="I2654" i="4"/>
  <c r="J2654" i="4"/>
  <c r="K2654" i="4" s="1"/>
  <c r="I2655" i="4"/>
  <c r="J2655" i="4"/>
  <c r="K2655" i="4" s="1"/>
  <c r="I2656" i="4"/>
  <c r="J2656" i="4"/>
  <c r="K2656" i="4" s="1"/>
  <c r="I2657" i="4"/>
  <c r="J2657" i="4"/>
  <c r="K2657" i="4" s="1"/>
  <c r="I2658" i="4"/>
  <c r="J2658" i="4"/>
  <c r="K2658" i="4" s="1"/>
  <c r="I2659" i="4"/>
  <c r="J2659" i="4"/>
  <c r="K2659" i="4" s="1"/>
  <c r="I2660" i="4"/>
  <c r="J2660" i="4"/>
  <c r="K2660" i="4" s="1"/>
  <c r="I2661" i="4"/>
  <c r="J2661" i="4"/>
  <c r="K2661" i="4" s="1"/>
  <c r="I2662" i="4"/>
  <c r="J2662" i="4"/>
  <c r="K2662" i="4" s="1"/>
  <c r="I2663" i="4"/>
  <c r="J2663" i="4"/>
  <c r="K2663" i="4" s="1"/>
  <c r="I2664" i="4"/>
  <c r="J2664" i="4"/>
  <c r="K2664" i="4" s="1"/>
  <c r="I2665" i="4"/>
  <c r="J2665" i="4"/>
  <c r="K2665" i="4" s="1"/>
  <c r="I2666" i="4"/>
  <c r="J2666" i="4"/>
  <c r="K2666" i="4" s="1"/>
  <c r="I2667" i="4"/>
  <c r="J2667" i="4"/>
  <c r="K2667" i="4" s="1"/>
  <c r="I2668" i="4"/>
  <c r="J2668" i="4"/>
  <c r="K2668" i="4" s="1"/>
  <c r="I2669" i="4"/>
  <c r="J2669" i="4"/>
  <c r="K2669" i="4" s="1"/>
  <c r="I2670" i="4"/>
  <c r="J2670" i="4"/>
  <c r="K2670" i="4" s="1"/>
  <c r="I2671" i="4"/>
  <c r="J2671" i="4"/>
  <c r="K2671" i="4" s="1"/>
  <c r="I2672" i="4"/>
  <c r="J2672" i="4"/>
  <c r="K2672" i="4" s="1"/>
  <c r="I2673" i="4"/>
  <c r="J2673" i="4"/>
  <c r="K2673" i="4" s="1"/>
  <c r="I2674" i="4"/>
  <c r="J2674" i="4"/>
  <c r="K2674" i="4" s="1"/>
  <c r="I2675" i="4"/>
  <c r="J2675" i="4"/>
  <c r="K2675" i="4" s="1"/>
  <c r="I2676" i="4"/>
  <c r="J2676" i="4"/>
  <c r="K2676" i="4" s="1"/>
  <c r="I2677" i="4"/>
  <c r="J2677" i="4"/>
  <c r="K2677" i="4" s="1"/>
  <c r="I2678" i="4"/>
  <c r="J2678" i="4"/>
  <c r="K2678" i="4" s="1"/>
  <c r="I2679" i="4"/>
  <c r="J2679" i="4"/>
  <c r="K2679" i="4" s="1"/>
  <c r="I2680" i="4"/>
  <c r="J2680" i="4"/>
  <c r="K2680" i="4" s="1"/>
  <c r="I2681" i="4"/>
  <c r="J2681" i="4"/>
  <c r="K2681" i="4" s="1"/>
  <c r="I2682" i="4"/>
  <c r="J2682" i="4"/>
  <c r="K2682" i="4" s="1"/>
  <c r="I2683" i="4"/>
  <c r="J2683" i="4"/>
  <c r="K2683" i="4" s="1"/>
  <c r="I2684" i="4"/>
  <c r="J2684" i="4"/>
  <c r="K2684" i="4" s="1"/>
  <c r="I2685" i="4"/>
  <c r="J2685" i="4"/>
  <c r="K2685" i="4" s="1"/>
  <c r="I2686" i="4"/>
  <c r="J2686" i="4"/>
  <c r="K2686" i="4" s="1"/>
  <c r="I2687" i="4"/>
  <c r="J2687" i="4"/>
  <c r="K2687" i="4" s="1"/>
  <c r="I2688" i="4"/>
  <c r="J2688" i="4"/>
  <c r="K2688" i="4" s="1"/>
  <c r="I2689" i="4"/>
  <c r="J2689" i="4"/>
  <c r="K2689" i="4" s="1"/>
  <c r="I2690" i="4"/>
  <c r="J2690" i="4"/>
  <c r="K2690" i="4" s="1"/>
  <c r="I2691" i="4"/>
  <c r="J2691" i="4"/>
  <c r="K2691" i="4" s="1"/>
  <c r="I2692" i="4"/>
  <c r="J2692" i="4"/>
  <c r="K2692" i="4" s="1"/>
  <c r="I2693" i="4"/>
  <c r="J2693" i="4"/>
  <c r="K2693" i="4" s="1"/>
  <c r="I2694" i="4"/>
  <c r="J2694" i="4"/>
  <c r="K2694" i="4" s="1"/>
  <c r="I2695" i="4"/>
  <c r="J2695" i="4"/>
  <c r="K2695" i="4" s="1"/>
  <c r="I2696" i="4"/>
  <c r="J2696" i="4"/>
  <c r="K2696" i="4" s="1"/>
  <c r="I2697" i="4"/>
  <c r="J2697" i="4"/>
  <c r="K2697" i="4" s="1"/>
  <c r="I2698" i="4"/>
  <c r="J2698" i="4"/>
  <c r="K2698" i="4" s="1"/>
  <c r="I2699" i="4"/>
  <c r="J2699" i="4"/>
  <c r="K2699" i="4" s="1"/>
  <c r="I2700" i="4"/>
  <c r="J2700" i="4"/>
  <c r="K2700" i="4" s="1"/>
  <c r="I2701" i="4"/>
  <c r="J2701" i="4"/>
  <c r="K2701" i="4" s="1"/>
  <c r="I2702" i="4"/>
  <c r="J2702" i="4"/>
  <c r="K2702" i="4" s="1"/>
  <c r="I2703" i="4"/>
  <c r="J2703" i="4"/>
  <c r="K2703" i="4" s="1"/>
  <c r="I2704" i="4"/>
  <c r="J2704" i="4"/>
  <c r="K2704" i="4" s="1"/>
  <c r="I2705" i="4"/>
  <c r="J2705" i="4"/>
  <c r="K2705" i="4" s="1"/>
  <c r="I2706" i="4"/>
  <c r="J2706" i="4"/>
  <c r="K2706" i="4" s="1"/>
  <c r="I2707" i="4"/>
  <c r="J2707" i="4"/>
  <c r="K2707" i="4" s="1"/>
  <c r="I2708" i="4"/>
  <c r="J2708" i="4"/>
  <c r="K2708" i="4" s="1"/>
  <c r="I2709" i="4"/>
  <c r="J2709" i="4"/>
  <c r="K2709" i="4" s="1"/>
  <c r="I2710" i="4"/>
  <c r="J2710" i="4"/>
  <c r="K2710" i="4" s="1"/>
  <c r="I2711" i="4"/>
  <c r="J2711" i="4"/>
  <c r="K2711" i="4" s="1"/>
  <c r="I2712" i="4"/>
  <c r="J2712" i="4"/>
  <c r="K2712" i="4" s="1"/>
  <c r="I2713" i="4"/>
  <c r="J2713" i="4"/>
  <c r="K2713" i="4" s="1"/>
  <c r="I2714" i="4"/>
  <c r="J2714" i="4"/>
  <c r="K2714" i="4" s="1"/>
  <c r="I2715" i="4"/>
  <c r="J2715" i="4"/>
  <c r="K2715" i="4" s="1"/>
  <c r="I2716" i="4"/>
  <c r="J2716" i="4"/>
  <c r="K2716" i="4" s="1"/>
  <c r="I2717" i="4"/>
  <c r="J2717" i="4"/>
  <c r="K2717" i="4" s="1"/>
  <c r="I2718" i="4"/>
  <c r="J2718" i="4"/>
  <c r="K2718" i="4" s="1"/>
  <c r="I2719" i="4"/>
  <c r="J2719" i="4"/>
  <c r="K2719" i="4" s="1"/>
  <c r="I2720" i="4"/>
  <c r="J2720" i="4"/>
  <c r="K2720" i="4" s="1"/>
  <c r="I2721" i="4"/>
  <c r="J2721" i="4"/>
  <c r="K2721" i="4" s="1"/>
  <c r="I2722" i="4"/>
  <c r="J2722" i="4"/>
  <c r="K2722" i="4" s="1"/>
  <c r="I2723" i="4"/>
  <c r="J2723" i="4"/>
  <c r="K2723" i="4" s="1"/>
  <c r="I2724" i="4"/>
  <c r="J2724" i="4"/>
  <c r="K2724" i="4" s="1"/>
  <c r="I2725" i="4"/>
  <c r="J2725" i="4"/>
  <c r="K2725" i="4" s="1"/>
  <c r="I2726" i="4"/>
  <c r="J2726" i="4"/>
  <c r="K2726" i="4" s="1"/>
  <c r="I2727" i="4"/>
  <c r="J2727" i="4"/>
  <c r="K2727" i="4" s="1"/>
  <c r="I2728" i="4"/>
  <c r="J2728" i="4"/>
  <c r="K2728" i="4" s="1"/>
  <c r="I2729" i="4"/>
  <c r="J2729" i="4"/>
  <c r="K2729" i="4" s="1"/>
  <c r="I2730" i="4"/>
  <c r="J2730" i="4"/>
  <c r="K2730" i="4" s="1"/>
  <c r="I2731" i="4"/>
  <c r="J2731" i="4"/>
  <c r="K2731" i="4" s="1"/>
  <c r="I2732" i="4"/>
  <c r="J2732" i="4"/>
  <c r="K2732" i="4" s="1"/>
  <c r="I2733" i="4"/>
  <c r="J2733" i="4"/>
  <c r="K2733" i="4" s="1"/>
  <c r="I2734" i="4"/>
  <c r="J2734" i="4"/>
  <c r="K2734" i="4" s="1"/>
  <c r="I2735" i="4"/>
  <c r="J2735" i="4"/>
  <c r="K2735" i="4" s="1"/>
  <c r="I2736" i="4"/>
  <c r="J2736" i="4"/>
  <c r="K2736" i="4" s="1"/>
  <c r="I2737" i="4"/>
  <c r="J2737" i="4"/>
  <c r="K2737" i="4" s="1"/>
  <c r="I2738" i="4"/>
  <c r="J2738" i="4"/>
  <c r="K2738" i="4" s="1"/>
  <c r="I2739" i="4"/>
  <c r="J2739" i="4"/>
  <c r="K2739" i="4" s="1"/>
  <c r="I2740" i="4"/>
  <c r="J2740" i="4"/>
  <c r="K2740" i="4" s="1"/>
  <c r="I2741" i="4"/>
  <c r="J2741" i="4"/>
  <c r="K2741" i="4" s="1"/>
  <c r="I2742" i="4"/>
  <c r="J2742" i="4"/>
  <c r="K2742" i="4" s="1"/>
  <c r="I2743" i="4"/>
  <c r="J2743" i="4"/>
  <c r="K2743" i="4" s="1"/>
  <c r="I2744" i="4"/>
  <c r="J2744" i="4"/>
  <c r="K2744" i="4" s="1"/>
  <c r="I2745" i="4"/>
  <c r="J2745" i="4"/>
  <c r="K2745" i="4" s="1"/>
  <c r="I2746" i="4"/>
  <c r="J2746" i="4"/>
  <c r="K2746" i="4" s="1"/>
  <c r="I2747" i="4"/>
  <c r="J2747" i="4"/>
  <c r="K2747" i="4" s="1"/>
  <c r="I2748" i="4"/>
  <c r="J2748" i="4"/>
  <c r="K2748" i="4" s="1"/>
  <c r="I2749" i="4"/>
  <c r="J2749" i="4"/>
  <c r="K2749" i="4" s="1"/>
  <c r="I2750" i="4"/>
  <c r="J2750" i="4"/>
  <c r="K2750" i="4" s="1"/>
  <c r="I2751" i="4"/>
  <c r="J2751" i="4"/>
  <c r="K2751" i="4" s="1"/>
  <c r="I2752" i="4"/>
  <c r="J2752" i="4"/>
  <c r="K2752" i="4" s="1"/>
  <c r="I2753" i="4"/>
  <c r="J2753" i="4"/>
  <c r="K2753" i="4" s="1"/>
  <c r="I2754" i="4"/>
  <c r="J2754" i="4"/>
  <c r="K2754" i="4" s="1"/>
  <c r="I2755" i="4"/>
  <c r="J2755" i="4"/>
  <c r="K2755" i="4" s="1"/>
  <c r="I2756" i="4"/>
  <c r="J2756" i="4"/>
  <c r="K2756" i="4" s="1"/>
  <c r="I2757" i="4"/>
  <c r="J2757" i="4"/>
  <c r="K2757" i="4" s="1"/>
  <c r="I2758" i="4"/>
  <c r="J2758" i="4"/>
  <c r="K2758" i="4" s="1"/>
  <c r="I2759" i="4"/>
  <c r="J2759" i="4"/>
  <c r="K2759" i="4" s="1"/>
  <c r="I2760" i="4"/>
  <c r="J2760" i="4"/>
  <c r="K2760" i="4" s="1"/>
  <c r="I2761" i="4"/>
  <c r="J2761" i="4"/>
  <c r="K2761" i="4" s="1"/>
  <c r="I2762" i="4"/>
  <c r="J2762" i="4"/>
  <c r="K2762" i="4" s="1"/>
  <c r="I2763" i="4"/>
  <c r="J2763" i="4"/>
  <c r="K2763" i="4" s="1"/>
  <c r="I2764" i="4"/>
  <c r="J2764" i="4"/>
  <c r="K2764" i="4" s="1"/>
  <c r="I2765" i="4"/>
  <c r="J2765" i="4"/>
  <c r="K2765" i="4" s="1"/>
  <c r="I2766" i="4"/>
  <c r="J2766" i="4"/>
  <c r="K2766" i="4" s="1"/>
  <c r="I2767" i="4"/>
  <c r="J2767" i="4"/>
  <c r="K2767" i="4" s="1"/>
  <c r="I2768" i="4"/>
  <c r="J2768" i="4"/>
  <c r="K2768" i="4" s="1"/>
  <c r="I2769" i="4"/>
  <c r="J2769" i="4"/>
  <c r="K2769" i="4" s="1"/>
  <c r="I2770" i="4"/>
  <c r="J2770" i="4"/>
  <c r="K2770" i="4" s="1"/>
  <c r="I2771" i="4"/>
  <c r="J2771" i="4"/>
  <c r="K2771" i="4" s="1"/>
  <c r="I2772" i="4"/>
  <c r="J2772" i="4"/>
  <c r="K2772" i="4" s="1"/>
  <c r="I2773" i="4"/>
  <c r="J2773" i="4"/>
  <c r="K2773" i="4" s="1"/>
  <c r="I2774" i="4"/>
  <c r="J2774" i="4"/>
  <c r="K2774" i="4" s="1"/>
  <c r="I2775" i="4"/>
  <c r="J2775" i="4"/>
  <c r="K2775" i="4" s="1"/>
  <c r="I2776" i="4"/>
  <c r="J2776" i="4"/>
  <c r="K2776" i="4" s="1"/>
  <c r="I2777" i="4"/>
  <c r="J2777" i="4"/>
  <c r="K2777" i="4" s="1"/>
  <c r="I2778" i="4"/>
  <c r="J2778" i="4"/>
  <c r="K2778" i="4" s="1"/>
  <c r="I2779" i="4"/>
  <c r="J2779" i="4"/>
  <c r="K2779" i="4" s="1"/>
  <c r="I2780" i="4"/>
  <c r="J2780" i="4"/>
  <c r="K2780" i="4" s="1"/>
  <c r="I2781" i="4"/>
  <c r="J2781" i="4"/>
  <c r="K2781" i="4" s="1"/>
  <c r="I2782" i="4"/>
  <c r="J2782" i="4"/>
  <c r="K2782" i="4" s="1"/>
  <c r="I2783" i="4"/>
  <c r="J2783" i="4"/>
  <c r="K2783" i="4" s="1"/>
  <c r="I2784" i="4"/>
  <c r="J2784" i="4"/>
  <c r="K2784" i="4" s="1"/>
  <c r="I2785" i="4"/>
  <c r="J2785" i="4"/>
  <c r="K2785" i="4" s="1"/>
  <c r="I2786" i="4"/>
  <c r="J2786" i="4"/>
  <c r="K2786" i="4" s="1"/>
  <c r="I2787" i="4"/>
  <c r="J2787" i="4"/>
  <c r="K2787" i="4" s="1"/>
  <c r="I2788" i="4"/>
  <c r="J2788" i="4"/>
  <c r="K2788" i="4" s="1"/>
  <c r="I2789" i="4"/>
  <c r="J2789" i="4"/>
  <c r="K2789" i="4" s="1"/>
  <c r="I2790" i="4"/>
  <c r="J2790" i="4"/>
  <c r="K2790" i="4" s="1"/>
  <c r="I2791" i="4"/>
  <c r="J2791" i="4"/>
  <c r="K2791" i="4" s="1"/>
  <c r="I2792" i="4"/>
  <c r="J2792" i="4"/>
  <c r="K2792" i="4" s="1"/>
  <c r="I2793" i="4"/>
  <c r="J2793" i="4"/>
  <c r="K2793" i="4" s="1"/>
  <c r="I2794" i="4"/>
  <c r="J2794" i="4"/>
  <c r="K2794" i="4" s="1"/>
  <c r="I2795" i="4"/>
  <c r="J2795" i="4"/>
  <c r="K2795" i="4" s="1"/>
  <c r="I2796" i="4"/>
  <c r="J2796" i="4"/>
  <c r="K2796" i="4" s="1"/>
  <c r="I2797" i="4"/>
  <c r="J2797" i="4"/>
  <c r="K2797" i="4" s="1"/>
  <c r="I2798" i="4"/>
  <c r="J2798" i="4"/>
  <c r="K2798" i="4" s="1"/>
  <c r="I2799" i="4"/>
  <c r="J2799" i="4"/>
  <c r="K2799" i="4" s="1"/>
  <c r="I2800" i="4"/>
  <c r="J2800" i="4"/>
  <c r="K2800" i="4" s="1"/>
  <c r="I2801" i="4"/>
  <c r="J2801" i="4"/>
  <c r="K2801" i="4" s="1"/>
  <c r="I2802" i="4"/>
  <c r="J2802" i="4"/>
  <c r="K2802" i="4" s="1"/>
  <c r="I2803" i="4"/>
  <c r="J2803" i="4"/>
  <c r="K2803" i="4" s="1"/>
  <c r="I2804" i="4"/>
  <c r="J2804" i="4"/>
  <c r="K2804" i="4" s="1"/>
  <c r="I2805" i="4"/>
  <c r="J2805" i="4"/>
  <c r="K2805" i="4" s="1"/>
  <c r="I2806" i="4"/>
  <c r="J2806" i="4"/>
  <c r="K2806" i="4" s="1"/>
  <c r="I2807" i="4"/>
  <c r="J2807" i="4"/>
  <c r="K2807" i="4" s="1"/>
  <c r="I2808" i="4"/>
  <c r="J2808" i="4"/>
  <c r="K2808" i="4" s="1"/>
  <c r="I2809" i="4"/>
  <c r="J2809" i="4"/>
  <c r="K2809" i="4" s="1"/>
  <c r="I2810" i="4"/>
  <c r="J2810" i="4"/>
  <c r="K2810" i="4" s="1"/>
  <c r="I2811" i="4"/>
  <c r="J2811" i="4"/>
  <c r="K2811" i="4" s="1"/>
  <c r="I2812" i="4"/>
  <c r="J2812" i="4"/>
  <c r="K2812" i="4" s="1"/>
  <c r="I2813" i="4"/>
  <c r="J2813" i="4"/>
  <c r="K2813" i="4" s="1"/>
  <c r="I2814" i="4"/>
  <c r="J2814" i="4"/>
  <c r="K2814" i="4" s="1"/>
  <c r="I2815" i="4"/>
  <c r="J2815" i="4"/>
  <c r="K2815" i="4" s="1"/>
  <c r="I2816" i="4"/>
  <c r="J2816" i="4"/>
  <c r="K2816" i="4" s="1"/>
  <c r="I2817" i="4"/>
  <c r="J2817" i="4"/>
  <c r="K2817" i="4" s="1"/>
  <c r="I2818" i="4"/>
  <c r="J2818" i="4"/>
  <c r="K2818" i="4" s="1"/>
  <c r="I2819" i="4"/>
  <c r="J2819" i="4"/>
  <c r="K2819" i="4" s="1"/>
  <c r="I2820" i="4"/>
  <c r="J2820" i="4"/>
  <c r="K2820" i="4" s="1"/>
  <c r="I2821" i="4"/>
  <c r="J2821" i="4"/>
  <c r="K2821" i="4" s="1"/>
  <c r="I2822" i="4"/>
  <c r="J2822" i="4"/>
  <c r="K2822" i="4" s="1"/>
  <c r="I2823" i="4"/>
  <c r="J2823" i="4"/>
  <c r="K2823" i="4" s="1"/>
  <c r="I2824" i="4"/>
  <c r="J2824" i="4"/>
  <c r="K2824" i="4" s="1"/>
  <c r="I2825" i="4"/>
  <c r="J2825" i="4"/>
  <c r="K2825" i="4" s="1"/>
  <c r="I2826" i="4"/>
  <c r="J2826" i="4"/>
  <c r="K2826" i="4" s="1"/>
  <c r="I2827" i="4"/>
  <c r="J2827" i="4"/>
  <c r="K2827" i="4" s="1"/>
  <c r="I2828" i="4"/>
  <c r="J2828" i="4"/>
  <c r="K2828" i="4" s="1"/>
  <c r="I2829" i="4"/>
  <c r="J2829" i="4"/>
  <c r="K2829" i="4" s="1"/>
  <c r="I2830" i="4"/>
  <c r="J2830" i="4"/>
  <c r="K2830" i="4" s="1"/>
  <c r="I2831" i="4"/>
  <c r="J2831" i="4"/>
  <c r="K2831" i="4" s="1"/>
  <c r="I2832" i="4"/>
  <c r="J2832" i="4"/>
  <c r="K2832" i="4" s="1"/>
  <c r="I2833" i="4"/>
  <c r="J2833" i="4"/>
  <c r="K2833" i="4" s="1"/>
  <c r="I2834" i="4"/>
  <c r="J2834" i="4"/>
  <c r="K2834" i="4" s="1"/>
  <c r="I2835" i="4"/>
  <c r="J2835" i="4"/>
  <c r="K2835" i="4" s="1"/>
  <c r="I2836" i="4"/>
  <c r="J2836" i="4"/>
  <c r="K2836" i="4" s="1"/>
  <c r="I2837" i="4"/>
  <c r="J2837" i="4"/>
  <c r="K2837" i="4" s="1"/>
  <c r="I2838" i="4"/>
  <c r="J2838" i="4"/>
  <c r="K2838" i="4" s="1"/>
  <c r="I2839" i="4"/>
  <c r="J2839" i="4"/>
  <c r="K2839" i="4" s="1"/>
  <c r="I2840" i="4"/>
  <c r="J2840" i="4"/>
  <c r="K2840" i="4" s="1"/>
  <c r="I2841" i="4"/>
  <c r="J2841" i="4"/>
  <c r="K2841" i="4" s="1"/>
  <c r="I2842" i="4"/>
  <c r="J2842" i="4"/>
  <c r="K2842" i="4" s="1"/>
  <c r="I2843" i="4"/>
  <c r="J2843" i="4"/>
  <c r="K2843" i="4" s="1"/>
  <c r="I2844" i="4"/>
  <c r="J2844" i="4"/>
  <c r="K2844" i="4" s="1"/>
  <c r="I2845" i="4"/>
  <c r="J2845" i="4"/>
  <c r="K2845" i="4" s="1"/>
  <c r="I2846" i="4"/>
  <c r="J2846" i="4"/>
  <c r="K2846" i="4" s="1"/>
  <c r="I2847" i="4"/>
  <c r="J2847" i="4"/>
  <c r="K2847" i="4" s="1"/>
  <c r="I2848" i="4"/>
  <c r="J2848" i="4"/>
  <c r="K2848" i="4" s="1"/>
  <c r="I2849" i="4"/>
  <c r="J2849" i="4"/>
  <c r="K2849" i="4" s="1"/>
  <c r="I2850" i="4"/>
  <c r="J2850" i="4"/>
  <c r="K2850" i="4" s="1"/>
  <c r="I2851" i="4"/>
  <c r="J2851" i="4"/>
  <c r="K2851" i="4" s="1"/>
  <c r="I2852" i="4"/>
  <c r="J2852" i="4"/>
  <c r="K2852" i="4" s="1"/>
  <c r="I2853" i="4"/>
  <c r="J2853" i="4"/>
  <c r="K2853" i="4" s="1"/>
  <c r="I2854" i="4"/>
  <c r="J2854" i="4"/>
  <c r="K2854" i="4" s="1"/>
  <c r="I2855" i="4"/>
  <c r="J2855" i="4"/>
  <c r="K2855" i="4" s="1"/>
  <c r="I2856" i="4"/>
  <c r="J2856" i="4"/>
  <c r="K2856" i="4" s="1"/>
  <c r="I2857" i="4"/>
  <c r="J2857" i="4"/>
  <c r="K2857" i="4" s="1"/>
  <c r="I2858" i="4"/>
  <c r="J2858" i="4"/>
  <c r="K2858" i="4" s="1"/>
  <c r="I2859" i="4"/>
  <c r="J2859" i="4"/>
  <c r="K2859" i="4" s="1"/>
  <c r="I2860" i="4"/>
  <c r="J2860" i="4"/>
  <c r="K2860" i="4" s="1"/>
  <c r="I2861" i="4"/>
  <c r="J2861" i="4"/>
  <c r="K2861" i="4" s="1"/>
  <c r="I2862" i="4"/>
  <c r="J2862" i="4"/>
  <c r="K2862" i="4" s="1"/>
  <c r="I2863" i="4"/>
  <c r="J2863" i="4"/>
  <c r="K2863" i="4" s="1"/>
  <c r="I2864" i="4"/>
  <c r="J2864" i="4"/>
  <c r="K2864" i="4" s="1"/>
  <c r="I2865" i="4"/>
  <c r="J2865" i="4"/>
  <c r="K2865" i="4" s="1"/>
  <c r="I2866" i="4"/>
  <c r="J2866" i="4"/>
  <c r="K2866" i="4" s="1"/>
  <c r="I2867" i="4"/>
  <c r="J2867" i="4"/>
  <c r="K2867" i="4" s="1"/>
  <c r="I2868" i="4"/>
  <c r="J2868" i="4"/>
  <c r="K2868" i="4" s="1"/>
  <c r="I2869" i="4"/>
  <c r="J2869" i="4"/>
  <c r="K2869" i="4" s="1"/>
  <c r="I2870" i="4"/>
  <c r="J2870" i="4"/>
  <c r="K2870" i="4" s="1"/>
  <c r="I2871" i="4"/>
  <c r="J2871" i="4"/>
  <c r="K2871" i="4" s="1"/>
  <c r="I2872" i="4"/>
  <c r="J2872" i="4"/>
  <c r="K2872" i="4" s="1"/>
  <c r="I2873" i="4"/>
  <c r="J2873" i="4"/>
  <c r="K2873" i="4" s="1"/>
  <c r="I2874" i="4"/>
  <c r="J2874" i="4"/>
  <c r="K2874" i="4" s="1"/>
  <c r="I2875" i="4"/>
  <c r="J2875" i="4"/>
  <c r="K2875" i="4" s="1"/>
  <c r="I2876" i="4"/>
  <c r="J2876" i="4"/>
  <c r="K2876" i="4" s="1"/>
  <c r="I2877" i="4"/>
  <c r="J2877" i="4"/>
  <c r="K2877" i="4" s="1"/>
  <c r="I2878" i="4"/>
  <c r="J2878" i="4"/>
  <c r="K2878" i="4" s="1"/>
  <c r="I2879" i="4"/>
  <c r="J2879" i="4"/>
  <c r="K2879" i="4" s="1"/>
  <c r="I2880" i="4"/>
  <c r="J2880" i="4"/>
  <c r="K2880" i="4" s="1"/>
  <c r="I2881" i="4"/>
  <c r="J2881" i="4"/>
  <c r="K2881" i="4" s="1"/>
  <c r="I2882" i="4"/>
  <c r="J2882" i="4"/>
  <c r="K2882" i="4" s="1"/>
  <c r="I2883" i="4"/>
  <c r="J2883" i="4"/>
  <c r="K2883" i="4" s="1"/>
  <c r="I2884" i="4"/>
  <c r="J2884" i="4"/>
  <c r="K2884" i="4" s="1"/>
  <c r="I2885" i="4"/>
  <c r="J2885" i="4"/>
  <c r="K2885" i="4" s="1"/>
  <c r="I2886" i="4"/>
  <c r="J2886" i="4"/>
  <c r="K2886" i="4" s="1"/>
  <c r="I2887" i="4"/>
  <c r="J2887" i="4"/>
  <c r="K2887" i="4" s="1"/>
  <c r="I2888" i="4"/>
  <c r="J2888" i="4"/>
  <c r="K2888" i="4" s="1"/>
  <c r="I2889" i="4"/>
  <c r="J2889" i="4"/>
  <c r="K2889" i="4" s="1"/>
  <c r="I2890" i="4"/>
  <c r="J2890" i="4"/>
  <c r="K2890" i="4" s="1"/>
  <c r="I2891" i="4"/>
  <c r="J2891" i="4"/>
  <c r="K2891" i="4" s="1"/>
  <c r="I2892" i="4"/>
  <c r="J2892" i="4"/>
  <c r="K2892" i="4" s="1"/>
  <c r="I2893" i="4"/>
  <c r="J2893" i="4"/>
  <c r="K2893" i="4" s="1"/>
  <c r="I2894" i="4"/>
  <c r="J2894" i="4"/>
  <c r="K2894" i="4" s="1"/>
  <c r="I2895" i="4"/>
  <c r="J2895" i="4"/>
  <c r="K2895" i="4" s="1"/>
  <c r="I2896" i="4"/>
  <c r="J2896" i="4"/>
  <c r="K2896" i="4" s="1"/>
  <c r="I2897" i="4"/>
  <c r="J2897" i="4"/>
  <c r="K2897" i="4" s="1"/>
  <c r="I2898" i="4"/>
  <c r="J2898" i="4"/>
  <c r="K2898" i="4" s="1"/>
  <c r="I2899" i="4"/>
  <c r="J2899" i="4"/>
  <c r="K2899" i="4" s="1"/>
  <c r="I2900" i="4"/>
  <c r="J2900" i="4"/>
  <c r="K2900" i="4" s="1"/>
  <c r="I2901" i="4"/>
  <c r="J2901" i="4"/>
  <c r="K2901" i="4" s="1"/>
  <c r="I2902" i="4"/>
  <c r="J2902" i="4"/>
  <c r="K2902" i="4" s="1"/>
  <c r="I2903" i="4"/>
  <c r="J2903" i="4"/>
  <c r="K2903" i="4" s="1"/>
  <c r="I2904" i="4"/>
  <c r="J2904" i="4"/>
  <c r="K2904" i="4" s="1"/>
  <c r="I2905" i="4"/>
  <c r="J2905" i="4"/>
  <c r="K2905" i="4" s="1"/>
  <c r="I2906" i="4"/>
  <c r="J2906" i="4"/>
  <c r="K2906" i="4" s="1"/>
  <c r="I2907" i="4"/>
  <c r="J2907" i="4"/>
  <c r="K2907" i="4" s="1"/>
  <c r="I2908" i="4"/>
  <c r="J2908" i="4"/>
  <c r="K2908" i="4" s="1"/>
  <c r="I2909" i="4"/>
  <c r="J2909" i="4"/>
  <c r="K2909" i="4" s="1"/>
  <c r="I2910" i="4"/>
  <c r="J2910" i="4"/>
  <c r="K2910" i="4" s="1"/>
  <c r="I2911" i="4"/>
  <c r="J2911" i="4"/>
  <c r="K2911" i="4" s="1"/>
  <c r="I2912" i="4"/>
  <c r="J2912" i="4"/>
  <c r="K2912" i="4" s="1"/>
  <c r="I2913" i="4"/>
  <c r="J2913" i="4"/>
  <c r="K2913" i="4" s="1"/>
  <c r="I2914" i="4"/>
  <c r="J2914" i="4"/>
  <c r="K2914" i="4" s="1"/>
  <c r="I2915" i="4"/>
  <c r="J2915" i="4"/>
  <c r="K2915" i="4" s="1"/>
  <c r="I2916" i="4"/>
  <c r="J2916" i="4"/>
  <c r="K2916" i="4" s="1"/>
  <c r="I2917" i="4"/>
  <c r="J2917" i="4"/>
  <c r="K2917" i="4" s="1"/>
  <c r="I2918" i="4"/>
  <c r="J2918" i="4"/>
  <c r="K2918" i="4" s="1"/>
  <c r="I2919" i="4"/>
  <c r="J2919" i="4"/>
  <c r="K2919" i="4" s="1"/>
  <c r="I2920" i="4"/>
  <c r="J2920" i="4"/>
  <c r="K2920" i="4" s="1"/>
  <c r="I2921" i="4"/>
  <c r="J2921" i="4"/>
  <c r="K2921" i="4" s="1"/>
  <c r="I2922" i="4"/>
  <c r="J2922" i="4"/>
  <c r="K2922" i="4" s="1"/>
  <c r="I2923" i="4"/>
  <c r="J2923" i="4"/>
  <c r="K2923" i="4" s="1"/>
  <c r="I2924" i="4"/>
  <c r="J2924" i="4"/>
  <c r="K2924" i="4" s="1"/>
  <c r="I2925" i="4"/>
  <c r="J2925" i="4"/>
  <c r="K2925" i="4" s="1"/>
  <c r="I2926" i="4"/>
  <c r="J2926" i="4"/>
  <c r="K2926" i="4" s="1"/>
  <c r="I2927" i="4"/>
  <c r="J2927" i="4"/>
  <c r="K2927" i="4" s="1"/>
  <c r="I2928" i="4"/>
  <c r="J2928" i="4"/>
  <c r="K2928" i="4" s="1"/>
  <c r="I2929" i="4"/>
  <c r="J2929" i="4"/>
  <c r="K2929" i="4" s="1"/>
  <c r="I2930" i="4"/>
  <c r="J2930" i="4"/>
  <c r="K2930" i="4" s="1"/>
  <c r="I2931" i="4"/>
  <c r="J2931" i="4"/>
  <c r="K2931" i="4" s="1"/>
  <c r="I2932" i="4"/>
  <c r="J2932" i="4"/>
  <c r="K2932" i="4" s="1"/>
  <c r="I2933" i="4"/>
  <c r="J2933" i="4"/>
  <c r="K2933" i="4" s="1"/>
  <c r="I2934" i="4"/>
  <c r="J2934" i="4"/>
  <c r="K2934" i="4" s="1"/>
  <c r="I2935" i="4"/>
  <c r="J2935" i="4"/>
  <c r="K2935" i="4" s="1"/>
  <c r="I2936" i="4"/>
  <c r="J2936" i="4"/>
  <c r="K2936" i="4" s="1"/>
  <c r="I2937" i="4"/>
  <c r="J2937" i="4"/>
  <c r="K2937" i="4" s="1"/>
  <c r="I2938" i="4"/>
  <c r="J2938" i="4"/>
  <c r="K2938" i="4" s="1"/>
  <c r="I2939" i="4"/>
  <c r="J2939" i="4"/>
  <c r="K2939" i="4" s="1"/>
  <c r="I2940" i="4"/>
  <c r="J2940" i="4"/>
  <c r="K2940" i="4" s="1"/>
  <c r="I2941" i="4"/>
  <c r="J2941" i="4"/>
  <c r="K2941" i="4" s="1"/>
  <c r="I2942" i="4"/>
  <c r="J2942" i="4"/>
  <c r="K2942" i="4" s="1"/>
  <c r="I2943" i="4"/>
  <c r="J2943" i="4"/>
  <c r="K2943" i="4" s="1"/>
  <c r="I2944" i="4"/>
  <c r="J2944" i="4"/>
  <c r="K2944" i="4" s="1"/>
  <c r="I2945" i="4"/>
  <c r="J2945" i="4"/>
  <c r="K2945" i="4" s="1"/>
  <c r="I2946" i="4"/>
  <c r="J2946" i="4"/>
  <c r="K2946" i="4" s="1"/>
  <c r="I2947" i="4"/>
  <c r="J2947" i="4"/>
  <c r="K2947" i="4" s="1"/>
  <c r="I2948" i="4"/>
  <c r="J2948" i="4"/>
  <c r="K2948" i="4" s="1"/>
  <c r="I2949" i="4"/>
  <c r="J2949" i="4"/>
  <c r="K2949" i="4" s="1"/>
  <c r="I2950" i="4"/>
  <c r="J2950" i="4"/>
  <c r="K2950" i="4" s="1"/>
  <c r="I2951" i="4"/>
  <c r="J2951" i="4"/>
  <c r="K2951" i="4" s="1"/>
  <c r="I2952" i="4"/>
  <c r="J2952" i="4"/>
  <c r="K2952" i="4" s="1"/>
  <c r="I2953" i="4"/>
  <c r="J2953" i="4"/>
  <c r="K2953" i="4" s="1"/>
  <c r="I2954" i="4"/>
  <c r="J2954" i="4"/>
  <c r="K2954" i="4" s="1"/>
  <c r="I2955" i="4"/>
  <c r="J2955" i="4"/>
  <c r="K2955" i="4" s="1"/>
  <c r="I2956" i="4"/>
  <c r="J2956" i="4"/>
  <c r="K2956" i="4" s="1"/>
  <c r="I2957" i="4"/>
  <c r="J2957" i="4"/>
  <c r="K2957" i="4" s="1"/>
  <c r="I2958" i="4"/>
  <c r="J2958" i="4"/>
  <c r="K2958" i="4" s="1"/>
  <c r="I2959" i="4"/>
  <c r="J2959" i="4"/>
  <c r="K2959" i="4" s="1"/>
  <c r="I2960" i="4"/>
  <c r="J2960" i="4"/>
  <c r="K2960" i="4" s="1"/>
  <c r="I2961" i="4"/>
  <c r="J2961" i="4"/>
  <c r="K2961" i="4" s="1"/>
  <c r="I2962" i="4"/>
  <c r="J2962" i="4"/>
  <c r="K2962" i="4" s="1"/>
  <c r="I2963" i="4"/>
  <c r="J2963" i="4"/>
  <c r="K2963" i="4" s="1"/>
  <c r="I2964" i="4"/>
  <c r="J2964" i="4"/>
  <c r="K2964" i="4" s="1"/>
  <c r="I2965" i="4"/>
  <c r="J2965" i="4"/>
  <c r="K2965" i="4" s="1"/>
  <c r="I2966" i="4"/>
  <c r="J2966" i="4"/>
  <c r="K2966" i="4" s="1"/>
  <c r="I2967" i="4"/>
  <c r="J2967" i="4"/>
  <c r="K2967" i="4" s="1"/>
  <c r="I2968" i="4"/>
  <c r="J2968" i="4"/>
  <c r="K2968" i="4" s="1"/>
  <c r="I2969" i="4"/>
  <c r="J2969" i="4"/>
  <c r="K2969" i="4" s="1"/>
  <c r="I2970" i="4"/>
  <c r="J2970" i="4"/>
  <c r="K2970" i="4" s="1"/>
  <c r="I2971" i="4"/>
  <c r="J2971" i="4"/>
  <c r="K2971" i="4" s="1"/>
  <c r="I2972" i="4"/>
  <c r="J2972" i="4"/>
  <c r="K2972" i="4" s="1"/>
  <c r="I2973" i="4"/>
  <c r="J2973" i="4"/>
  <c r="K2973" i="4" s="1"/>
  <c r="I2974" i="4"/>
  <c r="J2974" i="4"/>
  <c r="K2974" i="4" s="1"/>
  <c r="I2975" i="4"/>
  <c r="J2975" i="4"/>
  <c r="K2975" i="4" s="1"/>
  <c r="I2976" i="4"/>
  <c r="J2976" i="4"/>
  <c r="K2976" i="4" s="1"/>
  <c r="I2977" i="4"/>
  <c r="J2977" i="4"/>
  <c r="K2977" i="4" s="1"/>
  <c r="I2978" i="4"/>
  <c r="J2978" i="4"/>
  <c r="K2978" i="4" s="1"/>
  <c r="I2979" i="4"/>
  <c r="J2979" i="4"/>
  <c r="K2979" i="4" s="1"/>
  <c r="I2980" i="4"/>
  <c r="J2980" i="4"/>
  <c r="K2980" i="4" s="1"/>
  <c r="I2981" i="4"/>
  <c r="J2981" i="4"/>
  <c r="K2981" i="4" s="1"/>
  <c r="I2982" i="4"/>
  <c r="J2982" i="4"/>
  <c r="K2982" i="4" s="1"/>
  <c r="I2983" i="4"/>
  <c r="J2983" i="4"/>
  <c r="K2983" i="4" s="1"/>
  <c r="I2984" i="4"/>
  <c r="J2984" i="4"/>
  <c r="K2984" i="4" s="1"/>
  <c r="I2985" i="4"/>
  <c r="J2985" i="4"/>
  <c r="K2985" i="4" s="1"/>
  <c r="I2986" i="4"/>
  <c r="J2986" i="4"/>
  <c r="K2986" i="4" s="1"/>
  <c r="I2987" i="4"/>
  <c r="J2987" i="4"/>
  <c r="K2987" i="4" s="1"/>
  <c r="I2988" i="4"/>
  <c r="J2988" i="4"/>
  <c r="K2988" i="4" s="1"/>
  <c r="I2989" i="4"/>
  <c r="J2989" i="4"/>
  <c r="K2989" i="4" s="1"/>
  <c r="I2990" i="4"/>
  <c r="J2990" i="4"/>
  <c r="K2990" i="4" s="1"/>
  <c r="I2991" i="4"/>
  <c r="J2991" i="4"/>
  <c r="K2991" i="4" s="1"/>
  <c r="I2992" i="4"/>
  <c r="J2992" i="4"/>
  <c r="K2992" i="4" s="1"/>
  <c r="I2993" i="4"/>
  <c r="J2993" i="4"/>
  <c r="K2993" i="4" s="1"/>
  <c r="I2994" i="4"/>
  <c r="J2994" i="4"/>
  <c r="K2994" i="4" s="1"/>
  <c r="I2995" i="4"/>
  <c r="J2995" i="4"/>
  <c r="K2995" i="4" s="1"/>
  <c r="I2996" i="4"/>
  <c r="J2996" i="4"/>
  <c r="K2996" i="4" s="1"/>
  <c r="I2997" i="4"/>
  <c r="J2997" i="4"/>
  <c r="K2997" i="4" s="1"/>
  <c r="I2998" i="4"/>
  <c r="J2998" i="4"/>
  <c r="K2998" i="4" s="1"/>
  <c r="I2999" i="4"/>
  <c r="J2999" i="4"/>
  <c r="K2999" i="4" s="1"/>
  <c r="I3000" i="4"/>
  <c r="J3000" i="4"/>
  <c r="K3000" i="4" s="1"/>
  <c r="I3001" i="4"/>
  <c r="J3001" i="4"/>
  <c r="K3001" i="4" s="1"/>
  <c r="I3002" i="4"/>
  <c r="J3002" i="4"/>
  <c r="K3002" i="4" s="1"/>
  <c r="I3003" i="4"/>
  <c r="J3003" i="4"/>
  <c r="K3003" i="4" s="1"/>
  <c r="I3004" i="4"/>
  <c r="J3004" i="4"/>
  <c r="K3004" i="4" s="1"/>
  <c r="I3005" i="4"/>
  <c r="J3005" i="4"/>
  <c r="K3005" i="4" s="1"/>
  <c r="I3006" i="4"/>
  <c r="J3006" i="4"/>
  <c r="K3006" i="4" s="1"/>
  <c r="I3007" i="4"/>
  <c r="J3007" i="4"/>
  <c r="K3007" i="4" s="1"/>
  <c r="I3008" i="4"/>
  <c r="J3008" i="4"/>
  <c r="K3008" i="4" s="1"/>
  <c r="I3009" i="4"/>
  <c r="J3009" i="4"/>
  <c r="K3009" i="4" s="1"/>
  <c r="I3010" i="4"/>
  <c r="J3010" i="4"/>
  <c r="K3010" i="4" s="1"/>
  <c r="I3011" i="4"/>
  <c r="J3011" i="4"/>
  <c r="K3011" i="4" s="1"/>
  <c r="I3012" i="4"/>
  <c r="J3012" i="4"/>
  <c r="K3012" i="4" s="1"/>
  <c r="I3013" i="4"/>
  <c r="J3013" i="4"/>
  <c r="K3013" i="4" s="1"/>
  <c r="I3014" i="4"/>
  <c r="J3014" i="4"/>
  <c r="K3014" i="4" s="1"/>
  <c r="I3015" i="4"/>
  <c r="J3015" i="4"/>
  <c r="K3015" i="4" s="1"/>
  <c r="I3016" i="4"/>
  <c r="J3016" i="4"/>
  <c r="K3016" i="4" s="1"/>
  <c r="I3017" i="4"/>
  <c r="J3017" i="4"/>
  <c r="K3017" i="4" s="1"/>
  <c r="I3018" i="4"/>
  <c r="J3018" i="4"/>
  <c r="K3018" i="4" s="1"/>
  <c r="I3019" i="4"/>
  <c r="J3019" i="4"/>
  <c r="K3019" i="4" s="1"/>
  <c r="I3020" i="4"/>
  <c r="J3020" i="4"/>
  <c r="K3020" i="4" s="1"/>
  <c r="I3021" i="4"/>
  <c r="J3021" i="4"/>
  <c r="K3021" i="4" s="1"/>
  <c r="I3022" i="4"/>
  <c r="J3022" i="4"/>
  <c r="K3022" i="4" s="1"/>
  <c r="I3023" i="4"/>
  <c r="J3023" i="4"/>
  <c r="K3023" i="4" s="1"/>
  <c r="I3024" i="4"/>
  <c r="J3024" i="4"/>
  <c r="K3024" i="4" s="1"/>
  <c r="I3025" i="4"/>
  <c r="J3025" i="4"/>
  <c r="K3025" i="4" s="1"/>
  <c r="I3026" i="4"/>
  <c r="J3026" i="4"/>
  <c r="K3026" i="4" s="1"/>
  <c r="I3027" i="4"/>
  <c r="J3027" i="4"/>
  <c r="K3027" i="4" s="1"/>
  <c r="I3028" i="4"/>
  <c r="J3028" i="4"/>
  <c r="K3028" i="4" s="1"/>
  <c r="I3029" i="4"/>
  <c r="J3029" i="4"/>
  <c r="K3029" i="4" s="1"/>
  <c r="I3030" i="4"/>
  <c r="J3030" i="4"/>
  <c r="K3030" i="4" s="1"/>
  <c r="I3031" i="4"/>
  <c r="J3031" i="4"/>
  <c r="K3031" i="4" s="1"/>
  <c r="I3032" i="4"/>
  <c r="J3032" i="4"/>
  <c r="K3032" i="4" s="1"/>
  <c r="I3033" i="4"/>
  <c r="J3033" i="4"/>
  <c r="K3033" i="4" s="1"/>
  <c r="I3034" i="4"/>
  <c r="J3034" i="4"/>
  <c r="K3034" i="4" s="1"/>
  <c r="I3035" i="4"/>
  <c r="J3035" i="4"/>
  <c r="K3035" i="4" s="1"/>
  <c r="I3036" i="4"/>
  <c r="J3036" i="4"/>
  <c r="K3036" i="4" s="1"/>
  <c r="I3037" i="4"/>
  <c r="J3037" i="4"/>
  <c r="K3037" i="4" s="1"/>
  <c r="I3038" i="4"/>
  <c r="J3038" i="4"/>
  <c r="K3038" i="4" s="1"/>
  <c r="I3039" i="4"/>
  <c r="J3039" i="4"/>
  <c r="K3039" i="4" s="1"/>
  <c r="I3040" i="4"/>
  <c r="J3040" i="4"/>
  <c r="K3040" i="4" s="1"/>
  <c r="I3041" i="4"/>
  <c r="J3041" i="4"/>
  <c r="K3041" i="4" s="1"/>
  <c r="I3042" i="4"/>
  <c r="J3042" i="4"/>
  <c r="K3042" i="4" s="1"/>
  <c r="I3043" i="4"/>
  <c r="J3043" i="4"/>
  <c r="K3043" i="4" s="1"/>
  <c r="I3044" i="4"/>
  <c r="J3044" i="4"/>
  <c r="K3044" i="4" s="1"/>
  <c r="I3045" i="4"/>
  <c r="J3045" i="4"/>
  <c r="K3045" i="4" s="1"/>
  <c r="I3046" i="4"/>
  <c r="J3046" i="4"/>
  <c r="K3046" i="4" s="1"/>
  <c r="I3047" i="4"/>
  <c r="J3047" i="4"/>
  <c r="K3047" i="4" s="1"/>
  <c r="I3048" i="4"/>
  <c r="J3048" i="4"/>
  <c r="K3048" i="4" s="1"/>
  <c r="I3049" i="4"/>
  <c r="J3049" i="4"/>
  <c r="K3049" i="4" s="1"/>
  <c r="I3050" i="4"/>
  <c r="J3050" i="4"/>
  <c r="K3050" i="4" s="1"/>
  <c r="I3051" i="4"/>
  <c r="J3051" i="4"/>
  <c r="K3051" i="4" s="1"/>
  <c r="I3052" i="4"/>
  <c r="J3052" i="4"/>
  <c r="K3052" i="4" s="1"/>
  <c r="I3053" i="4"/>
  <c r="J3053" i="4"/>
  <c r="K3053" i="4" s="1"/>
  <c r="I3054" i="4"/>
  <c r="J3054" i="4"/>
  <c r="K3054" i="4" s="1"/>
  <c r="I3055" i="4"/>
  <c r="J3055" i="4"/>
  <c r="K3055" i="4" s="1"/>
  <c r="I3056" i="4"/>
  <c r="J3056" i="4"/>
  <c r="K3056" i="4" s="1"/>
  <c r="I3057" i="4"/>
  <c r="J3057" i="4"/>
  <c r="K3057" i="4" s="1"/>
  <c r="I3058" i="4"/>
  <c r="J3058" i="4"/>
  <c r="K3058" i="4" s="1"/>
  <c r="I3059" i="4"/>
  <c r="J3059" i="4"/>
  <c r="K3059" i="4" s="1"/>
  <c r="I3060" i="4"/>
  <c r="J3060" i="4"/>
  <c r="K3060" i="4" s="1"/>
  <c r="I3061" i="4"/>
  <c r="J3061" i="4"/>
  <c r="K3061" i="4" s="1"/>
  <c r="I3062" i="4"/>
  <c r="J3062" i="4"/>
  <c r="K3062" i="4" s="1"/>
  <c r="I3063" i="4"/>
  <c r="J3063" i="4"/>
  <c r="K3063" i="4" s="1"/>
  <c r="I3064" i="4"/>
  <c r="J3064" i="4"/>
  <c r="K3064" i="4" s="1"/>
  <c r="I3065" i="4"/>
  <c r="J3065" i="4"/>
  <c r="K3065" i="4" s="1"/>
  <c r="I3066" i="4"/>
  <c r="J3066" i="4"/>
  <c r="K3066" i="4" s="1"/>
  <c r="I3067" i="4"/>
  <c r="J3067" i="4"/>
  <c r="K3067" i="4" s="1"/>
  <c r="I3068" i="4"/>
  <c r="J3068" i="4"/>
  <c r="K3068" i="4" s="1"/>
  <c r="I3069" i="4"/>
  <c r="J3069" i="4"/>
  <c r="K3069" i="4" s="1"/>
  <c r="I3070" i="4"/>
  <c r="J3070" i="4"/>
  <c r="K3070" i="4" s="1"/>
  <c r="I3071" i="4"/>
  <c r="J3071" i="4"/>
  <c r="K3071" i="4" s="1"/>
  <c r="I3072" i="4"/>
  <c r="J3072" i="4"/>
  <c r="K3072" i="4" s="1"/>
  <c r="I3073" i="4"/>
  <c r="J3073" i="4"/>
  <c r="K3073" i="4" s="1"/>
  <c r="I3074" i="4"/>
  <c r="J3074" i="4"/>
  <c r="K3074" i="4" s="1"/>
  <c r="I3075" i="4"/>
  <c r="J3075" i="4"/>
  <c r="K3075" i="4" s="1"/>
  <c r="I3076" i="4"/>
  <c r="J3076" i="4"/>
  <c r="K3076" i="4" s="1"/>
  <c r="I3077" i="4"/>
  <c r="J3077" i="4"/>
  <c r="K3077" i="4" s="1"/>
  <c r="I3078" i="4"/>
  <c r="J3078" i="4"/>
  <c r="K3078" i="4" s="1"/>
  <c r="I3079" i="4"/>
  <c r="J3079" i="4"/>
  <c r="K3079" i="4" s="1"/>
  <c r="I3080" i="4"/>
  <c r="J3080" i="4"/>
  <c r="K3080" i="4" s="1"/>
  <c r="I3081" i="4"/>
  <c r="J3081" i="4"/>
  <c r="K3081" i="4" s="1"/>
  <c r="I3082" i="4"/>
  <c r="J3082" i="4"/>
  <c r="K3082" i="4" s="1"/>
  <c r="I3083" i="4"/>
  <c r="J3083" i="4"/>
  <c r="K3083" i="4" s="1"/>
  <c r="I3084" i="4"/>
  <c r="J3084" i="4"/>
  <c r="K3084" i="4" s="1"/>
  <c r="I3085" i="4"/>
  <c r="J3085" i="4"/>
  <c r="K3085" i="4" s="1"/>
  <c r="I3086" i="4"/>
  <c r="J3086" i="4"/>
  <c r="K3086" i="4" s="1"/>
  <c r="I3087" i="4"/>
  <c r="J3087" i="4"/>
  <c r="K3087" i="4" s="1"/>
  <c r="I3088" i="4"/>
  <c r="J3088" i="4"/>
  <c r="K3088" i="4" s="1"/>
  <c r="I3089" i="4"/>
  <c r="J3089" i="4"/>
  <c r="K3089" i="4" s="1"/>
  <c r="I3090" i="4"/>
  <c r="J3090" i="4"/>
  <c r="K3090" i="4" s="1"/>
  <c r="I3091" i="4"/>
  <c r="J3091" i="4"/>
  <c r="K3091" i="4" s="1"/>
  <c r="I3092" i="4"/>
  <c r="J3092" i="4"/>
  <c r="K3092" i="4" s="1"/>
  <c r="I3093" i="4"/>
  <c r="J3093" i="4"/>
  <c r="K3093" i="4" s="1"/>
  <c r="I3094" i="4"/>
  <c r="J3094" i="4"/>
  <c r="K3094" i="4" s="1"/>
  <c r="I3095" i="4"/>
  <c r="J3095" i="4"/>
  <c r="K3095" i="4" s="1"/>
  <c r="I3096" i="4"/>
  <c r="J3096" i="4"/>
  <c r="K3096" i="4" s="1"/>
  <c r="I3097" i="4"/>
  <c r="J3097" i="4"/>
  <c r="K3097" i="4" s="1"/>
  <c r="I3098" i="4"/>
  <c r="J3098" i="4"/>
  <c r="K3098" i="4" s="1"/>
  <c r="I3099" i="4"/>
  <c r="J3099" i="4"/>
  <c r="K3099" i="4" s="1"/>
  <c r="I3100" i="4"/>
  <c r="J3100" i="4"/>
  <c r="K3100" i="4" s="1"/>
  <c r="I3101" i="4"/>
  <c r="J3101" i="4"/>
  <c r="K3101" i="4" s="1"/>
  <c r="I3102" i="4"/>
  <c r="J3102" i="4"/>
  <c r="K3102" i="4" s="1"/>
  <c r="I3103" i="4"/>
  <c r="J3103" i="4"/>
  <c r="K3103" i="4" s="1"/>
  <c r="I3104" i="4"/>
  <c r="J3104" i="4"/>
  <c r="K3104" i="4" s="1"/>
  <c r="I3105" i="4"/>
  <c r="J3105" i="4"/>
  <c r="K3105" i="4" s="1"/>
  <c r="I3106" i="4"/>
  <c r="J3106" i="4"/>
  <c r="K3106" i="4" s="1"/>
  <c r="I3107" i="4"/>
  <c r="J3107" i="4"/>
  <c r="K3107" i="4" s="1"/>
  <c r="I3108" i="4"/>
  <c r="J3108" i="4"/>
  <c r="K3108" i="4" s="1"/>
  <c r="I3109" i="4"/>
  <c r="J3109" i="4"/>
  <c r="K3109" i="4" s="1"/>
  <c r="I3110" i="4"/>
  <c r="J3110" i="4"/>
  <c r="K3110" i="4" s="1"/>
  <c r="I3111" i="4"/>
  <c r="J3111" i="4"/>
  <c r="K3111" i="4" s="1"/>
  <c r="I3112" i="4"/>
  <c r="J3112" i="4"/>
  <c r="K3112" i="4" s="1"/>
  <c r="I3113" i="4"/>
  <c r="J3113" i="4"/>
  <c r="K3113" i="4" s="1"/>
  <c r="I3114" i="4"/>
  <c r="J3114" i="4"/>
  <c r="K3114" i="4" s="1"/>
  <c r="I3115" i="4"/>
  <c r="J3115" i="4"/>
  <c r="K3115" i="4" s="1"/>
  <c r="I3116" i="4"/>
  <c r="J3116" i="4"/>
  <c r="K3116" i="4" s="1"/>
  <c r="I3117" i="4"/>
  <c r="J3117" i="4"/>
  <c r="K3117" i="4" s="1"/>
  <c r="I3118" i="4"/>
  <c r="J3118" i="4"/>
  <c r="K3118" i="4" s="1"/>
  <c r="I3119" i="4"/>
  <c r="J3119" i="4"/>
  <c r="K3119" i="4" s="1"/>
  <c r="I3120" i="4"/>
  <c r="J3120" i="4"/>
  <c r="K3120" i="4" s="1"/>
  <c r="I3121" i="4"/>
  <c r="J3121" i="4"/>
  <c r="K3121" i="4" s="1"/>
  <c r="I3122" i="4"/>
  <c r="J3122" i="4"/>
  <c r="K3122" i="4" s="1"/>
  <c r="I3123" i="4"/>
  <c r="J3123" i="4"/>
  <c r="K3123" i="4" s="1"/>
  <c r="I3124" i="4"/>
  <c r="J3124" i="4"/>
  <c r="K3124" i="4" s="1"/>
  <c r="I3125" i="4"/>
  <c r="J3125" i="4"/>
  <c r="K3125" i="4" s="1"/>
  <c r="I3126" i="4"/>
  <c r="J3126" i="4"/>
  <c r="K3126" i="4" s="1"/>
  <c r="I3127" i="4"/>
  <c r="J3127" i="4"/>
  <c r="K3127" i="4" s="1"/>
  <c r="I3128" i="4"/>
  <c r="J3128" i="4"/>
  <c r="K3128" i="4" s="1"/>
  <c r="I3129" i="4"/>
  <c r="J3129" i="4"/>
  <c r="K3129" i="4" s="1"/>
  <c r="I3130" i="4"/>
  <c r="J3130" i="4"/>
  <c r="K3130" i="4" s="1"/>
  <c r="I3131" i="4"/>
  <c r="J3131" i="4"/>
  <c r="K3131" i="4" s="1"/>
  <c r="I3132" i="4"/>
  <c r="J3132" i="4"/>
  <c r="K3132" i="4" s="1"/>
  <c r="I3133" i="4"/>
  <c r="J3133" i="4"/>
  <c r="K3133" i="4" s="1"/>
  <c r="I3134" i="4"/>
  <c r="J3134" i="4"/>
  <c r="K3134" i="4" s="1"/>
  <c r="I3135" i="4"/>
  <c r="J3135" i="4"/>
  <c r="K3135" i="4" s="1"/>
  <c r="I3136" i="4"/>
  <c r="J3136" i="4"/>
  <c r="K3136" i="4" s="1"/>
  <c r="I3137" i="4"/>
  <c r="J3137" i="4"/>
  <c r="K3137" i="4" s="1"/>
  <c r="I3138" i="4"/>
  <c r="J3138" i="4"/>
  <c r="K3138" i="4" s="1"/>
  <c r="I3139" i="4"/>
  <c r="J3139" i="4"/>
  <c r="K3139" i="4" s="1"/>
  <c r="I3140" i="4"/>
  <c r="J3140" i="4"/>
  <c r="K3140" i="4" s="1"/>
  <c r="I3141" i="4"/>
  <c r="J3141" i="4"/>
  <c r="K3141" i="4" s="1"/>
  <c r="I3142" i="4"/>
  <c r="J3142" i="4"/>
  <c r="K3142" i="4" s="1"/>
  <c r="I3143" i="4"/>
  <c r="J3143" i="4"/>
  <c r="K3143" i="4" s="1"/>
  <c r="I3144" i="4"/>
  <c r="J3144" i="4"/>
  <c r="K3144" i="4" s="1"/>
  <c r="I3145" i="4"/>
  <c r="J3145" i="4"/>
  <c r="K3145" i="4" s="1"/>
  <c r="I3146" i="4"/>
  <c r="J3146" i="4"/>
  <c r="K3146" i="4" s="1"/>
  <c r="I3147" i="4"/>
  <c r="J3147" i="4"/>
  <c r="K3147" i="4" s="1"/>
  <c r="I3148" i="4"/>
  <c r="J3148" i="4"/>
  <c r="K3148" i="4" s="1"/>
  <c r="I3149" i="4"/>
  <c r="J3149" i="4"/>
  <c r="K3149" i="4" s="1"/>
  <c r="I3150" i="4"/>
  <c r="J3150" i="4"/>
  <c r="K3150" i="4" s="1"/>
  <c r="I3151" i="4"/>
  <c r="J3151" i="4"/>
  <c r="K3151" i="4" s="1"/>
  <c r="I3152" i="4"/>
  <c r="J3152" i="4"/>
  <c r="K3152" i="4" s="1"/>
  <c r="I3153" i="4"/>
  <c r="J3153" i="4"/>
  <c r="K3153" i="4" s="1"/>
  <c r="I3154" i="4"/>
  <c r="J3154" i="4"/>
  <c r="K3154" i="4" s="1"/>
  <c r="I3155" i="4"/>
  <c r="J3155" i="4"/>
  <c r="K3155" i="4" s="1"/>
  <c r="I3156" i="4"/>
  <c r="J3156" i="4"/>
  <c r="K3156" i="4" s="1"/>
  <c r="I3157" i="4"/>
  <c r="J3157" i="4"/>
  <c r="K3157" i="4" s="1"/>
  <c r="I3158" i="4"/>
  <c r="J3158" i="4"/>
  <c r="K3158" i="4" s="1"/>
  <c r="I3159" i="4"/>
  <c r="J3159" i="4"/>
  <c r="K3159" i="4" s="1"/>
  <c r="I3160" i="4"/>
  <c r="J3160" i="4"/>
  <c r="K3160" i="4" s="1"/>
  <c r="I3161" i="4"/>
  <c r="J3161" i="4"/>
  <c r="K3161" i="4" s="1"/>
  <c r="I3162" i="4"/>
  <c r="J3162" i="4"/>
  <c r="K3162" i="4" s="1"/>
  <c r="I3163" i="4"/>
  <c r="J3163" i="4"/>
  <c r="K3163" i="4" s="1"/>
  <c r="I3164" i="4"/>
  <c r="J3164" i="4"/>
  <c r="K3164" i="4" s="1"/>
  <c r="I3165" i="4"/>
  <c r="J3165" i="4"/>
  <c r="K3165" i="4" s="1"/>
  <c r="I3166" i="4"/>
  <c r="J3166" i="4"/>
  <c r="K3166" i="4" s="1"/>
  <c r="I3167" i="4"/>
  <c r="J3167" i="4"/>
  <c r="K3167" i="4" s="1"/>
  <c r="I3168" i="4"/>
  <c r="J3168" i="4"/>
  <c r="K3168" i="4" s="1"/>
  <c r="I3169" i="4"/>
  <c r="J3169" i="4"/>
  <c r="K3169" i="4" s="1"/>
  <c r="I3170" i="4"/>
  <c r="J3170" i="4"/>
  <c r="K3170" i="4" s="1"/>
  <c r="I3171" i="4"/>
  <c r="J3171" i="4"/>
  <c r="K3171" i="4" s="1"/>
  <c r="I3172" i="4"/>
  <c r="J3172" i="4"/>
  <c r="K3172" i="4" s="1"/>
  <c r="I3173" i="4"/>
  <c r="J3173" i="4"/>
  <c r="K3173" i="4" s="1"/>
  <c r="I3174" i="4"/>
  <c r="J3174" i="4"/>
  <c r="K3174" i="4" s="1"/>
  <c r="I3175" i="4"/>
  <c r="J3175" i="4"/>
  <c r="K3175" i="4" s="1"/>
  <c r="I3176" i="4"/>
  <c r="J3176" i="4"/>
  <c r="K3176" i="4" s="1"/>
  <c r="I3177" i="4"/>
  <c r="J3177" i="4"/>
  <c r="K3177" i="4" s="1"/>
  <c r="I3178" i="4"/>
  <c r="J3178" i="4"/>
  <c r="K3178" i="4" s="1"/>
  <c r="I3179" i="4"/>
  <c r="J3179" i="4"/>
  <c r="K3179" i="4" s="1"/>
  <c r="I3180" i="4"/>
  <c r="J3180" i="4"/>
  <c r="K3180" i="4" s="1"/>
  <c r="I3181" i="4"/>
  <c r="J3181" i="4"/>
  <c r="K3181" i="4" s="1"/>
  <c r="I3182" i="4"/>
  <c r="J3182" i="4"/>
  <c r="K3182" i="4" s="1"/>
  <c r="I3183" i="4"/>
  <c r="J3183" i="4"/>
  <c r="K3183" i="4" s="1"/>
  <c r="I3184" i="4"/>
  <c r="J3184" i="4"/>
  <c r="K3184" i="4" s="1"/>
  <c r="I3185" i="4"/>
  <c r="J3185" i="4"/>
  <c r="K3185" i="4" s="1"/>
  <c r="I3186" i="4"/>
  <c r="J3186" i="4"/>
  <c r="K3186" i="4" s="1"/>
  <c r="I3187" i="4"/>
  <c r="J3187" i="4"/>
  <c r="K3187" i="4" s="1"/>
  <c r="I3188" i="4"/>
  <c r="J3188" i="4"/>
  <c r="K3188" i="4" s="1"/>
  <c r="I3189" i="4"/>
  <c r="J3189" i="4"/>
  <c r="K3189" i="4" s="1"/>
  <c r="I3190" i="4"/>
  <c r="J3190" i="4"/>
  <c r="K3190" i="4" s="1"/>
  <c r="I3191" i="4"/>
  <c r="J3191" i="4"/>
  <c r="K3191" i="4" s="1"/>
  <c r="I3192" i="4"/>
  <c r="J3192" i="4"/>
  <c r="K3192" i="4" s="1"/>
  <c r="I3193" i="4"/>
  <c r="J3193" i="4"/>
  <c r="K3193" i="4" s="1"/>
  <c r="I3194" i="4"/>
  <c r="J3194" i="4"/>
  <c r="K3194" i="4" s="1"/>
  <c r="I3195" i="4"/>
  <c r="J3195" i="4"/>
  <c r="K3195" i="4" s="1"/>
  <c r="I3196" i="4"/>
  <c r="J3196" i="4"/>
  <c r="K3196" i="4" s="1"/>
  <c r="I3197" i="4"/>
  <c r="J3197" i="4"/>
  <c r="K3197" i="4" s="1"/>
  <c r="I3198" i="4"/>
  <c r="J3198" i="4"/>
  <c r="K3198" i="4" s="1"/>
  <c r="I3199" i="4"/>
  <c r="J3199" i="4"/>
  <c r="K3199" i="4" s="1"/>
  <c r="I3200" i="4"/>
  <c r="J3200" i="4"/>
  <c r="K3200" i="4" s="1"/>
  <c r="I3201" i="4"/>
  <c r="J3201" i="4"/>
  <c r="K3201" i="4" s="1"/>
  <c r="I3202" i="4"/>
  <c r="J3202" i="4"/>
  <c r="K3202" i="4" s="1"/>
  <c r="I3203" i="4"/>
  <c r="J3203" i="4"/>
  <c r="K3203" i="4" s="1"/>
  <c r="I3204" i="4"/>
  <c r="J3204" i="4"/>
  <c r="K3204" i="4" s="1"/>
  <c r="I3205" i="4"/>
  <c r="J3205" i="4"/>
  <c r="K3205" i="4" s="1"/>
  <c r="I3206" i="4"/>
  <c r="J3206" i="4"/>
  <c r="K3206" i="4" s="1"/>
  <c r="I3207" i="4"/>
  <c r="J3207" i="4"/>
  <c r="K3207" i="4" s="1"/>
  <c r="I3208" i="4"/>
  <c r="J3208" i="4"/>
  <c r="K3208" i="4" s="1"/>
  <c r="I3209" i="4"/>
  <c r="J3209" i="4"/>
  <c r="K3209" i="4" s="1"/>
  <c r="I3210" i="4"/>
  <c r="J3210" i="4"/>
  <c r="K3210" i="4" s="1"/>
  <c r="I3211" i="4"/>
  <c r="J3211" i="4"/>
  <c r="K3211" i="4" s="1"/>
  <c r="I3212" i="4"/>
  <c r="J3212" i="4"/>
  <c r="K3212" i="4" s="1"/>
  <c r="I3213" i="4"/>
  <c r="J3213" i="4"/>
  <c r="K3213" i="4" s="1"/>
  <c r="I3214" i="4"/>
  <c r="J3214" i="4"/>
  <c r="K3214" i="4" s="1"/>
  <c r="I3215" i="4"/>
  <c r="J3215" i="4"/>
  <c r="K3215" i="4" s="1"/>
  <c r="I3216" i="4"/>
  <c r="J3216" i="4"/>
  <c r="K3216" i="4" s="1"/>
  <c r="I3217" i="4"/>
  <c r="J3217" i="4"/>
  <c r="K3217" i="4" s="1"/>
  <c r="I3218" i="4"/>
  <c r="J3218" i="4"/>
  <c r="K3218" i="4" s="1"/>
  <c r="I3219" i="4"/>
  <c r="J3219" i="4"/>
  <c r="K3219" i="4" s="1"/>
  <c r="I3220" i="4"/>
  <c r="J3220" i="4"/>
  <c r="K3220" i="4" s="1"/>
  <c r="I3221" i="4"/>
  <c r="J3221" i="4"/>
  <c r="K3221" i="4" s="1"/>
  <c r="I3222" i="4"/>
  <c r="J3222" i="4"/>
  <c r="K3222" i="4" s="1"/>
  <c r="I3223" i="4"/>
  <c r="J3223" i="4"/>
  <c r="K3223" i="4" s="1"/>
  <c r="I3224" i="4"/>
  <c r="J3224" i="4"/>
  <c r="K3224" i="4" s="1"/>
  <c r="I3225" i="4"/>
  <c r="J3225" i="4"/>
  <c r="K3225" i="4" s="1"/>
  <c r="I3226" i="4"/>
  <c r="J3226" i="4"/>
  <c r="K3226" i="4" s="1"/>
  <c r="I3227" i="4"/>
  <c r="J3227" i="4"/>
  <c r="K3227" i="4" s="1"/>
  <c r="I3228" i="4"/>
  <c r="J3228" i="4"/>
  <c r="K3228" i="4" s="1"/>
  <c r="I3229" i="4"/>
  <c r="J3229" i="4"/>
  <c r="K3229" i="4" s="1"/>
  <c r="I3230" i="4"/>
  <c r="J3230" i="4"/>
  <c r="K3230" i="4" s="1"/>
  <c r="I3231" i="4"/>
  <c r="J3231" i="4"/>
  <c r="K3231" i="4" s="1"/>
  <c r="I3232" i="4"/>
  <c r="J3232" i="4"/>
  <c r="K3232" i="4" s="1"/>
  <c r="I3233" i="4"/>
  <c r="J3233" i="4"/>
  <c r="K3233" i="4" s="1"/>
  <c r="I3234" i="4"/>
  <c r="J3234" i="4"/>
  <c r="K3234" i="4" s="1"/>
  <c r="I3235" i="4"/>
  <c r="J3235" i="4"/>
  <c r="K3235" i="4" s="1"/>
  <c r="I3236" i="4"/>
  <c r="J3236" i="4"/>
  <c r="K3236" i="4" s="1"/>
  <c r="I3237" i="4"/>
  <c r="J3237" i="4"/>
  <c r="K3237" i="4" s="1"/>
  <c r="I3238" i="4"/>
  <c r="J3238" i="4"/>
  <c r="K3238" i="4" s="1"/>
  <c r="I3239" i="4"/>
  <c r="J3239" i="4"/>
  <c r="K3239" i="4" s="1"/>
  <c r="I3240" i="4"/>
  <c r="J3240" i="4"/>
  <c r="K3240" i="4" s="1"/>
  <c r="I3241" i="4"/>
  <c r="J3241" i="4"/>
  <c r="K3241" i="4" s="1"/>
  <c r="I3242" i="4"/>
  <c r="J3242" i="4"/>
  <c r="K3242" i="4" s="1"/>
  <c r="I3243" i="4"/>
  <c r="J3243" i="4"/>
  <c r="K3243" i="4" s="1"/>
  <c r="I3244" i="4"/>
  <c r="J3244" i="4"/>
  <c r="K3244" i="4" s="1"/>
  <c r="I3245" i="4"/>
  <c r="J3245" i="4"/>
  <c r="K3245" i="4" s="1"/>
  <c r="I3246" i="4"/>
  <c r="J3246" i="4"/>
  <c r="K3246" i="4" s="1"/>
  <c r="I3247" i="4"/>
  <c r="J3247" i="4"/>
  <c r="K3247" i="4" s="1"/>
  <c r="I3248" i="4"/>
  <c r="J3248" i="4"/>
  <c r="K3248" i="4" s="1"/>
  <c r="I3249" i="4"/>
  <c r="J3249" i="4"/>
  <c r="K3249" i="4" s="1"/>
  <c r="I3250" i="4"/>
  <c r="J3250" i="4"/>
  <c r="K3250" i="4" s="1"/>
  <c r="I3251" i="4"/>
  <c r="J3251" i="4"/>
  <c r="K3251" i="4" s="1"/>
  <c r="I3252" i="4"/>
  <c r="J3252" i="4"/>
  <c r="K3252" i="4" s="1"/>
  <c r="I3253" i="4"/>
  <c r="J3253" i="4"/>
  <c r="K3253" i="4" s="1"/>
  <c r="I3254" i="4"/>
  <c r="J3254" i="4"/>
  <c r="K3254" i="4" s="1"/>
  <c r="I3255" i="4"/>
  <c r="J3255" i="4"/>
  <c r="K3255" i="4" s="1"/>
  <c r="I3256" i="4"/>
  <c r="J3256" i="4"/>
  <c r="K3256" i="4" s="1"/>
  <c r="I3257" i="4"/>
  <c r="J3257" i="4"/>
  <c r="K3257" i="4" s="1"/>
  <c r="I3258" i="4"/>
  <c r="J3258" i="4"/>
  <c r="K3258" i="4" s="1"/>
  <c r="I3259" i="4"/>
  <c r="J3259" i="4"/>
  <c r="K3259" i="4" s="1"/>
  <c r="I3260" i="4"/>
  <c r="J3260" i="4"/>
  <c r="K3260" i="4" s="1"/>
  <c r="I3261" i="4"/>
  <c r="J3261" i="4"/>
  <c r="K3261" i="4" s="1"/>
  <c r="I3262" i="4"/>
  <c r="J3262" i="4"/>
  <c r="K3262" i="4" s="1"/>
  <c r="I3263" i="4"/>
  <c r="J3263" i="4"/>
  <c r="K3263" i="4" s="1"/>
  <c r="I3264" i="4"/>
  <c r="J3264" i="4"/>
  <c r="K3264" i="4" s="1"/>
  <c r="I3265" i="4"/>
  <c r="J3265" i="4"/>
  <c r="K3265" i="4" s="1"/>
  <c r="I3266" i="4"/>
  <c r="J3266" i="4"/>
  <c r="K3266" i="4" s="1"/>
  <c r="I3267" i="4"/>
  <c r="J3267" i="4"/>
  <c r="K3267" i="4" s="1"/>
  <c r="I3268" i="4"/>
  <c r="J3268" i="4"/>
  <c r="K3268" i="4" s="1"/>
  <c r="I3269" i="4"/>
  <c r="J3269" i="4"/>
  <c r="K3269" i="4" s="1"/>
  <c r="I3270" i="4"/>
  <c r="J3270" i="4"/>
  <c r="K3270" i="4" s="1"/>
  <c r="I3271" i="4"/>
  <c r="J3271" i="4"/>
  <c r="K3271" i="4" s="1"/>
  <c r="I3272" i="4"/>
  <c r="J3272" i="4"/>
  <c r="K3272" i="4" s="1"/>
  <c r="I3273" i="4"/>
  <c r="J3273" i="4"/>
  <c r="K3273" i="4" s="1"/>
  <c r="I3274" i="4"/>
  <c r="J3274" i="4"/>
  <c r="K3274" i="4" s="1"/>
  <c r="I3275" i="4"/>
  <c r="J3275" i="4"/>
  <c r="K3275" i="4" s="1"/>
  <c r="I3276" i="4"/>
  <c r="J3276" i="4"/>
  <c r="K3276" i="4" s="1"/>
  <c r="I3277" i="4"/>
  <c r="J3277" i="4"/>
  <c r="K3277" i="4" s="1"/>
  <c r="I3278" i="4"/>
  <c r="J3278" i="4"/>
  <c r="K3278" i="4" s="1"/>
  <c r="I3279" i="4"/>
  <c r="J3279" i="4"/>
  <c r="K3279" i="4" s="1"/>
  <c r="I3280" i="4"/>
  <c r="J3280" i="4"/>
  <c r="K3280" i="4" s="1"/>
  <c r="I3281" i="4"/>
  <c r="J3281" i="4"/>
  <c r="K3281" i="4" s="1"/>
  <c r="I3282" i="4"/>
  <c r="J3282" i="4"/>
  <c r="K3282" i="4" s="1"/>
  <c r="I3283" i="4"/>
  <c r="J3283" i="4"/>
  <c r="K3283" i="4" s="1"/>
  <c r="I3284" i="4"/>
  <c r="J3284" i="4"/>
  <c r="K3284" i="4" s="1"/>
  <c r="I3285" i="4"/>
  <c r="J3285" i="4"/>
  <c r="K3285" i="4" s="1"/>
  <c r="I3286" i="4"/>
  <c r="J3286" i="4"/>
  <c r="K3286" i="4" s="1"/>
  <c r="I3287" i="4"/>
  <c r="J3287" i="4"/>
  <c r="K3287" i="4" s="1"/>
  <c r="I3288" i="4"/>
  <c r="J3288" i="4"/>
  <c r="K3288" i="4" s="1"/>
  <c r="I3289" i="4"/>
  <c r="J3289" i="4"/>
  <c r="K3289" i="4" s="1"/>
  <c r="I3290" i="4"/>
  <c r="J3290" i="4"/>
  <c r="K3290" i="4" s="1"/>
  <c r="I3291" i="4"/>
  <c r="J3291" i="4"/>
  <c r="K3291" i="4" s="1"/>
  <c r="I3292" i="4"/>
  <c r="J3292" i="4"/>
  <c r="K3292" i="4" s="1"/>
  <c r="I3293" i="4"/>
  <c r="J3293" i="4"/>
  <c r="K3293" i="4" s="1"/>
  <c r="I3294" i="4"/>
  <c r="J3294" i="4"/>
  <c r="K3294" i="4" s="1"/>
  <c r="I3295" i="4"/>
  <c r="J3295" i="4"/>
  <c r="K3295" i="4" s="1"/>
  <c r="I3296" i="4"/>
  <c r="J3296" i="4"/>
  <c r="K3296" i="4" s="1"/>
  <c r="I3297" i="4"/>
  <c r="J3297" i="4"/>
  <c r="K3297" i="4" s="1"/>
  <c r="I3298" i="4"/>
  <c r="J3298" i="4"/>
  <c r="K3298" i="4" s="1"/>
  <c r="I3299" i="4"/>
  <c r="J3299" i="4"/>
  <c r="K3299" i="4" s="1"/>
  <c r="I3300" i="4"/>
  <c r="J3300" i="4"/>
  <c r="K3300" i="4" s="1"/>
  <c r="I3301" i="4"/>
  <c r="J3301" i="4"/>
  <c r="K3301" i="4" s="1"/>
  <c r="I3302" i="4"/>
  <c r="J3302" i="4"/>
  <c r="K3302" i="4" s="1"/>
  <c r="I3303" i="4"/>
  <c r="J3303" i="4"/>
  <c r="K3303" i="4" s="1"/>
  <c r="I3304" i="4"/>
  <c r="J3304" i="4"/>
  <c r="K3304" i="4" s="1"/>
  <c r="I3305" i="4"/>
  <c r="J3305" i="4"/>
  <c r="K3305" i="4" s="1"/>
  <c r="I3306" i="4"/>
  <c r="J3306" i="4"/>
  <c r="K3306" i="4" s="1"/>
  <c r="I3307" i="4"/>
  <c r="J3307" i="4"/>
  <c r="K3307" i="4" s="1"/>
  <c r="I3308" i="4"/>
  <c r="J3308" i="4"/>
  <c r="K3308" i="4" s="1"/>
  <c r="I3309" i="4"/>
  <c r="J3309" i="4"/>
  <c r="K3309" i="4" s="1"/>
  <c r="I3310" i="4"/>
  <c r="J3310" i="4"/>
  <c r="K3310" i="4" s="1"/>
  <c r="I3311" i="4"/>
  <c r="J3311" i="4"/>
  <c r="K3311" i="4" s="1"/>
  <c r="I3312" i="4"/>
  <c r="J3312" i="4"/>
  <c r="K3312" i="4" s="1"/>
  <c r="I3313" i="4"/>
  <c r="J3313" i="4"/>
  <c r="K3313" i="4" s="1"/>
  <c r="I3314" i="4"/>
  <c r="J3314" i="4"/>
  <c r="K3314" i="4" s="1"/>
  <c r="I3315" i="4"/>
  <c r="J3315" i="4"/>
  <c r="K3315" i="4" s="1"/>
  <c r="I3316" i="4"/>
  <c r="J3316" i="4"/>
  <c r="K3316" i="4" s="1"/>
  <c r="I3317" i="4"/>
  <c r="J3317" i="4"/>
  <c r="K3317" i="4" s="1"/>
  <c r="I3318" i="4"/>
  <c r="J3318" i="4"/>
  <c r="K3318" i="4" s="1"/>
  <c r="I3319" i="4"/>
  <c r="J3319" i="4"/>
  <c r="K3319" i="4" s="1"/>
  <c r="I3320" i="4"/>
  <c r="J3320" i="4"/>
  <c r="K3320" i="4" s="1"/>
  <c r="I3321" i="4"/>
  <c r="J3321" i="4"/>
  <c r="K3321" i="4" s="1"/>
  <c r="I3322" i="4"/>
  <c r="J3322" i="4"/>
  <c r="K3322" i="4" s="1"/>
  <c r="I3323" i="4"/>
  <c r="J3323" i="4"/>
  <c r="K3323" i="4" s="1"/>
  <c r="I3324" i="4"/>
  <c r="J3324" i="4"/>
  <c r="K3324" i="4" s="1"/>
  <c r="I3325" i="4"/>
  <c r="J3325" i="4"/>
  <c r="K3325" i="4" s="1"/>
  <c r="I3326" i="4"/>
  <c r="J3326" i="4"/>
  <c r="K3326" i="4" s="1"/>
  <c r="I3327" i="4"/>
  <c r="J3327" i="4"/>
  <c r="K3327" i="4" s="1"/>
  <c r="I3328" i="4"/>
  <c r="J3328" i="4"/>
  <c r="K3328" i="4" s="1"/>
  <c r="I3329" i="4"/>
  <c r="J3329" i="4"/>
  <c r="K3329" i="4" s="1"/>
  <c r="I3330" i="4"/>
  <c r="J3330" i="4"/>
  <c r="K3330" i="4" s="1"/>
  <c r="I3331" i="4"/>
  <c r="J3331" i="4"/>
  <c r="K3331" i="4" s="1"/>
  <c r="I3332" i="4"/>
  <c r="J3332" i="4"/>
  <c r="K3332" i="4" s="1"/>
  <c r="I3333" i="4"/>
  <c r="J3333" i="4"/>
  <c r="K3333" i="4" s="1"/>
  <c r="I3334" i="4"/>
  <c r="J3334" i="4"/>
  <c r="K3334" i="4" s="1"/>
  <c r="I3335" i="4"/>
  <c r="J3335" i="4"/>
  <c r="K3335" i="4" s="1"/>
  <c r="I3336" i="4"/>
  <c r="J3336" i="4"/>
  <c r="K3336" i="4" s="1"/>
  <c r="I3337" i="4"/>
  <c r="J3337" i="4"/>
  <c r="K3337" i="4" s="1"/>
  <c r="I3338" i="4"/>
  <c r="J3338" i="4"/>
  <c r="K3338" i="4" s="1"/>
  <c r="I3339" i="4"/>
  <c r="J3339" i="4"/>
  <c r="K3339" i="4" s="1"/>
  <c r="I3340" i="4"/>
  <c r="J3340" i="4"/>
  <c r="K3340" i="4" s="1"/>
  <c r="I3341" i="4"/>
  <c r="J3341" i="4"/>
  <c r="K3341" i="4" s="1"/>
  <c r="I3342" i="4"/>
  <c r="J3342" i="4"/>
  <c r="K3342" i="4" s="1"/>
  <c r="I3343" i="4"/>
  <c r="J3343" i="4"/>
  <c r="K3343" i="4" s="1"/>
  <c r="I3344" i="4"/>
  <c r="J3344" i="4"/>
  <c r="K3344" i="4" s="1"/>
  <c r="I3345" i="4"/>
  <c r="J3345" i="4"/>
  <c r="K3345" i="4" s="1"/>
  <c r="I3346" i="4"/>
  <c r="J3346" i="4"/>
  <c r="K3346" i="4" s="1"/>
  <c r="I3347" i="4"/>
  <c r="J3347" i="4"/>
  <c r="K3347" i="4" s="1"/>
  <c r="I3348" i="4"/>
  <c r="J3348" i="4"/>
  <c r="K3348" i="4" s="1"/>
  <c r="I3349" i="4"/>
  <c r="J3349" i="4"/>
  <c r="K3349" i="4" s="1"/>
  <c r="I3350" i="4"/>
  <c r="J3350" i="4"/>
  <c r="K3350" i="4" s="1"/>
  <c r="I3351" i="4"/>
  <c r="J3351" i="4"/>
  <c r="K3351" i="4" s="1"/>
  <c r="I3352" i="4"/>
  <c r="J3352" i="4"/>
  <c r="K3352" i="4" s="1"/>
  <c r="I3353" i="4"/>
  <c r="J3353" i="4"/>
  <c r="K3353" i="4" s="1"/>
  <c r="I3354" i="4"/>
  <c r="J3354" i="4"/>
  <c r="K3354" i="4" s="1"/>
  <c r="I3355" i="4"/>
  <c r="J3355" i="4"/>
  <c r="K3355" i="4" s="1"/>
  <c r="I3356" i="4"/>
  <c r="J3356" i="4"/>
  <c r="K3356" i="4" s="1"/>
  <c r="I3357" i="4"/>
  <c r="J3357" i="4"/>
  <c r="K3357" i="4" s="1"/>
  <c r="I3358" i="4"/>
  <c r="J3358" i="4"/>
  <c r="K3358" i="4" s="1"/>
  <c r="I3359" i="4"/>
  <c r="J3359" i="4"/>
  <c r="K3359" i="4" s="1"/>
  <c r="I3360" i="4"/>
  <c r="J3360" i="4"/>
  <c r="K3360" i="4" s="1"/>
  <c r="I3361" i="4"/>
  <c r="J3361" i="4"/>
  <c r="K3361" i="4" s="1"/>
  <c r="I3362" i="4"/>
  <c r="J3362" i="4"/>
  <c r="K3362" i="4" s="1"/>
  <c r="I3363" i="4"/>
  <c r="J3363" i="4"/>
  <c r="K3363" i="4" s="1"/>
  <c r="I3364" i="4"/>
  <c r="J3364" i="4"/>
  <c r="K3364" i="4" s="1"/>
  <c r="I3365" i="4"/>
  <c r="J3365" i="4"/>
  <c r="K3365" i="4" s="1"/>
  <c r="I3366" i="4"/>
  <c r="J3366" i="4"/>
  <c r="K3366" i="4" s="1"/>
  <c r="I3367" i="4"/>
  <c r="J3367" i="4"/>
  <c r="K3367" i="4" s="1"/>
  <c r="I3368" i="4"/>
  <c r="J3368" i="4"/>
  <c r="K3368" i="4" s="1"/>
  <c r="I3369" i="4"/>
  <c r="J3369" i="4"/>
  <c r="K3369" i="4" s="1"/>
  <c r="I3370" i="4"/>
  <c r="J3370" i="4"/>
  <c r="K3370" i="4" s="1"/>
  <c r="I3371" i="4"/>
  <c r="J3371" i="4"/>
  <c r="K3371" i="4" s="1"/>
  <c r="I3372" i="4"/>
  <c r="J3372" i="4"/>
  <c r="K3372" i="4" s="1"/>
  <c r="I3373" i="4"/>
  <c r="J3373" i="4"/>
  <c r="K3373" i="4" s="1"/>
  <c r="I3374" i="4"/>
  <c r="J3374" i="4"/>
  <c r="K3374" i="4" s="1"/>
  <c r="I3375" i="4"/>
  <c r="J3375" i="4"/>
  <c r="K3375" i="4" s="1"/>
  <c r="I3376" i="4"/>
  <c r="J3376" i="4"/>
  <c r="K3376" i="4" s="1"/>
  <c r="I3377" i="4"/>
  <c r="J3377" i="4"/>
  <c r="K3377" i="4" s="1"/>
  <c r="I3378" i="4"/>
  <c r="J3378" i="4"/>
  <c r="K3378" i="4" s="1"/>
  <c r="I3379" i="4"/>
  <c r="J3379" i="4"/>
  <c r="K3379" i="4" s="1"/>
  <c r="I3380" i="4"/>
  <c r="J3380" i="4"/>
  <c r="K3380" i="4" s="1"/>
  <c r="I3381" i="4"/>
  <c r="J3381" i="4"/>
  <c r="K3381" i="4" s="1"/>
  <c r="I3382" i="4"/>
  <c r="J3382" i="4"/>
  <c r="K3382" i="4" s="1"/>
  <c r="I3383" i="4"/>
  <c r="J3383" i="4"/>
  <c r="K3383" i="4" s="1"/>
  <c r="I3384" i="4"/>
  <c r="J3384" i="4"/>
  <c r="K3384" i="4" s="1"/>
  <c r="I3385" i="4"/>
  <c r="J3385" i="4"/>
  <c r="K3385" i="4" s="1"/>
  <c r="I3386" i="4"/>
  <c r="J3386" i="4"/>
  <c r="K3386" i="4" s="1"/>
  <c r="I3387" i="4"/>
  <c r="J3387" i="4"/>
  <c r="K3387" i="4" s="1"/>
  <c r="I3388" i="4"/>
  <c r="J3388" i="4"/>
  <c r="K3388" i="4" s="1"/>
  <c r="I3389" i="4"/>
  <c r="J3389" i="4"/>
  <c r="K3389" i="4" s="1"/>
  <c r="I3390" i="4"/>
  <c r="J3390" i="4"/>
  <c r="K3390" i="4" s="1"/>
  <c r="I3391" i="4"/>
  <c r="J3391" i="4"/>
  <c r="K3391" i="4" s="1"/>
  <c r="I3392" i="4"/>
  <c r="J3392" i="4"/>
  <c r="K3392" i="4" s="1"/>
  <c r="I3393" i="4"/>
  <c r="J3393" i="4"/>
  <c r="K3393" i="4" s="1"/>
  <c r="I3394" i="4"/>
  <c r="J3394" i="4"/>
  <c r="K3394" i="4" s="1"/>
  <c r="I3395" i="4"/>
  <c r="J3395" i="4"/>
  <c r="K3395" i="4" s="1"/>
  <c r="I3396" i="4"/>
  <c r="J3396" i="4"/>
  <c r="K3396" i="4" s="1"/>
  <c r="I3397" i="4"/>
  <c r="J3397" i="4"/>
  <c r="K3397" i="4" s="1"/>
  <c r="I3398" i="4"/>
  <c r="J3398" i="4"/>
  <c r="K3398" i="4" s="1"/>
  <c r="I3399" i="4"/>
  <c r="J3399" i="4"/>
  <c r="K3399" i="4" s="1"/>
  <c r="I3400" i="4"/>
  <c r="J3400" i="4"/>
  <c r="K3400" i="4" s="1"/>
  <c r="I3401" i="4"/>
  <c r="J3401" i="4"/>
  <c r="K3401" i="4" s="1"/>
  <c r="I3402" i="4"/>
  <c r="J3402" i="4"/>
  <c r="K3402" i="4" s="1"/>
  <c r="I3403" i="4"/>
  <c r="J3403" i="4"/>
  <c r="K3403" i="4" s="1"/>
  <c r="I3404" i="4"/>
  <c r="J3404" i="4"/>
  <c r="K3404" i="4" s="1"/>
  <c r="I3405" i="4"/>
  <c r="J3405" i="4"/>
  <c r="K3405" i="4" s="1"/>
  <c r="I3406" i="4"/>
  <c r="J3406" i="4"/>
  <c r="K3406" i="4" s="1"/>
  <c r="I3407" i="4"/>
  <c r="J3407" i="4"/>
  <c r="K3407" i="4" s="1"/>
  <c r="I3408" i="4"/>
  <c r="J3408" i="4"/>
  <c r="K3408" i="4" s="1"/>
  <c r="I3409" i="4"/>
  <c r="J3409" i="4"/>
  <c r="K3409" i="4" s="1"/>
  <c r="I3410" i="4"/>
  <c r="J3410" i="4"/>
  <c r="K3410" i="4" s="1"/>
  <c r="I3411" i="4"/>
  <c r="J3411" i="4"/>
  <c r="K3411" i="4" s="1"/>
  <c r="I3412" i="4"/>
  <c r="J3412" i="4"/>
  <c r="K3412" i="4" s="1"/>
  <c r="I3413" i="4"/>
  <c r="J3413" i="4"/>
  <c r="K3413" i="4" s="1"/>
  <c r="I3414" i="4"/>
  <c r="J3414" i="4"/>
  <c r="K3414" i="4" s="1"/>
  <c r="I3415" i="4"/>
  <c r="J3415" i="4"/>
  <c r="K3415" i="4" s="1"/>
  <c r="I3416" i="4"/>
  <c r="J3416" i="4"/>
  <c r="K3416" i="4" s="1"/>
  <c r="I3417" i="4"/>
  <c r="J3417" i="4"/>
  <c r="K3417" i="4" s="1"/>
  <c r="I3418" i="4"/>
  <c r="J3418" i="4"/>
  <c r="K3418" i="4" s="1"/>
  <c r="I3419" i="4"/>
  <c r="J3419" i="4"/>
  <c r="K3419" i="4" s="1"/>
  <c r="I3420" i="4"/>
  <c r="J3420" i="4"/>
  <c r="K3420" i="4" s="1"/>
  <c r="I3421" i="4"/>
  <c r="J3421" i="4"/>
  <c r="K3421" i="4" s="1"/>
  <c r="I3422" i="4"/>
  <c r="J3422" i="4"/>
  <c r="K3422" i="4" s="1"/>
  <c r="I3423" i="4"/>
  <c r="J3423" i="4"/>
  <c r="K3423" i="4" s="1"/>
  <c r="I3424" i="4"/>
  <c r="J3424" i="4"/>
  <c r="K3424" i="4" s="1"/>
  <c r="I3425" i="4"/>
  <c r="J3425" i="4"/>
  <c r="K3425" i="4" s="1"/>
  <c r="I3426" i="4"/>
  <c r="J3426" i="4"/>
  <c r="K3426" i="4" s="1"/>
  <c r="I3427" i="4"/>
  <c r="J3427" i="4"/>
  <c r="K3427" i="4" s="1"/>
  <c r="I3428" i="4"/>
  <c r="J3428" i="4"/>
  <c r="K3428" i="4" s="1"/>
  <c r="I3429" i="4"/>
  <c r="J3429" i="4"/>
  <c r="K3429" i="4" s="1"/>
  <c r="I3430" i="4"/>
  <c r="J3430" i="4"/>
  <c r="K3430" i="4" s="1"/>
  <c r="I3431" i="4"/>
  <c r="J3431" i="4"/>
  <c r="K3431" i="4" s="1"/>
  <c r="I3432" i="4"/>
  <c r="J3432" i="4"/>
  <c r="K3432" i="4" s="1"/>
  <c r="I3433" i="4"/>
  <c r="J3433" i="4"/>
  <c r="K3433" i="4" s="1"/>
  <c r="I3434" i="4"/>
  <c r="J3434" i="4"/>
  <c r="K3434" i="4" s="1"/>
  <c r="I3435" i="4"/>
  <c r="J3435" i="4"/>
  <c r="K3435" i="4" s="1"/>
  <c r="I3436" i="4"/>
  <c r="J3436" i="4"/>
  <c r="K3436" i="4" s="1"/>
  <c r="I3437" i="4"/>
  <c r="J3437" i="4"/>
  <c r="K3437" i="4" s="1"/>
  <c r="I3438" i="4"/>
  <c r="J3438" i="4"/>
  <c r="K3438" i="4" s="1"/>
  <c r="I3439" i="4"/>
  <c r="J3439" i="4"/>
  <c r="K3439" i="4" s="1"/>
  <c r="I3440" i="4"/>
  <c r="J3440" i="4"/>
  <c r="K3440" i="4" s="1"/>
  <c r="I3441" i="4"/>
  <c r="J3441" i="4"/>
  <c r="K3441" i="4" s="1"/>
  <c r="I3442" i="4"/>
  <c r="J3442" i="4"/>
  <c r="K3442" i="4" s="1"/>
  <c r="I3443" i="4"/>
  <c r="J3443" i="4"/>
  <c r="K3443" i="4" s="1"/>
  <c r="I3444" i="4"/>
  <c r="J3444" i="4"/>
  <c r="K3444" i="4" s="1"/>
  <c r="I3445" i="4"/>
  <c r="J3445" i="4"/>
  <c r="K3445" i="4" s="1"/>
  <c r="I3446" i="4"/>
  <c r="J3446" i="4"/>
  <c r="K3446" i="4" s="1"/>
  <c r="I3447" i="4"/>
  <c r="J3447" i="4"/>
  <c r="K3447" i="4" s="1"/>
  <c r="I3448" i="4"/>
  <c r="J3448" i="4"/>
  <c r="K3448" i="4" s="1"/>
  <c r="I3449" i="4"/>
  <c r="J3449" i="4"/>
  <c r="K3449" i="4" s="1"/>
  <c r="I3450" i="4"/>
  <c r="J3450" i="4"/>
  <c r="K3450" i="4" s="1"/>
  <c r="I3451" i="4"/>
  <c r="J3451" i="4"/>
  <c r="K3451" i="4" s="1"/>
  <c r="I3452" i="4"/>
  <c r="J3452" i="4"/>
  <c r="K3452" i="4" s="1"/>
  <c r="I3453" i="4"/>
  <c r="J3453" i="4"/>
  <c r="K3453" i="4" s="1"/>
  <c r="I3454" i="4"/>
  <c r="J3454" i="4"/>
  <c r="K3454" i="4" s="1"/>
  <c r="I3455" i="4"/>
  <c r="J3455" i="4"/>
  <c r="K3455" i="4" s="1"/>
  <c r="I3456" i="4"/>
  <c r="J3456" i="4"/>
  <c r="K3456" i="4" s="1"/>
  <c r="I3457" i="4"/>
  <c r="J3457" i="4"/>
  <c r="K3457" i="4" s="1"/>
  <c r="I3458" i="4"/>
  <c r="J3458" i="4"/>
  <c r="K3458" i="4" s="1"/>
  <c r="I3459" i="4"/>
  <c r="J3459" i="4"/>
  <c r="K3459" i="4" s="1"/>
  <c r="I3460" i="4"/>
  <c r="J3460" i="4"/>
  <c r="K3460" i="4" s="1"/>
  <c r="I3461" i="4"/>
  <c r="J3461" i="4"/>
  <c r="K3461" i="4" s="1"/>
  <c r="I3462" i="4"/>
  <c r="J3462" i="4"/>
  <c r="K3462" i="4" s="1"/>
  <c r="I3463" i="4"/>
  <c r="J3463" i="4"/>
  <c r="K3463" i="4" s="1"/>
  <c r="I3464" i="4"/>
  <c r="J3464" i="4"/>
  <c r="K3464" i="4" s="1"/>
  <c r="I3465" i="4"/>
  <c r="J3465" i="4"/>
  <c r="K3465" i="4" s="1"/>
  <c r="I3466" i="4"/>
  <c r="J3466" i="4"/>
  <c r="K3466" i="4" s="1"/>
  <c r="I3467" i="4"/>
  <c r="J3467" i="4"/>
  <c r="K3467" i="4" s="1"/>
  <c r="I3468" i="4"/>
  <c r="J3468" i="4"/>
  <c r="K3468" i="4" s="1"/>
  <c r="I3469" i="4"/>
  <c r="J3469" i="4"/>
  <c r="K3469" i="4" s="1"/>
  <c r="I3470" i="4"/>
  <c r="J3470" i="4"/>
  <c r="K3470" i="4" s="1"/>
  <c r="I3471" i="4"/>
  <c r="J3471" i="4"/>
  <c r="K3471" i="4" s="1"/>
  <c r="I3472" i="4"/>
  <c r="J3472" i="4"/>
  <c r="K3472" i="4" s="1"/>
  <c r="I3473" i="4"/>
  <c r="J3473" i="4"/>
  <c r="K3473" i="4" s="1"/>
  <c r="I3474" i="4"/>
  <c r="J3474" i="4"/>
  <c r="K3474" i="4" s="1"/>
  <c r="I3475" i="4"/>
  <c r="J3475" i="4"/>
  <c r="K3475" i="4" s="1"/>
  <c r="I3476" i="4"/>
  <c r="J3476" i="4"/>
  <c r="K3476" i="4" s="1"/>
  <c r="I3477" i="4"/>
  <c r="J3477" i="4"/>
  <c r="K3477" i="4" s="1"/>
  <c r="I3478" i="4"/>
  <c r="J3478" i="4"/>
  <c r="K3478" i="4" s="1"/>
  <c r="I3479" i="4"/>
  <c r="J3479" i="4"/>
  <c r="K3479" i="4" s="1"/>
  <c r="I3480" i="4"/>
  <c r="J3480" i="4"/>
  <c r="K3480" i="4" s="1"/>
  <c r="I3481" i="4"/>
  <c r="J3481" i="4"/>
  <c r="K3481" i="4" s="1"/>
  <c r="I3482" i="4"/>
  <c r="J3482" i="4"/>
  <c r="K3482" i="4" s="1"/>
  <c r="I3483" i="4"/>
  <c r="J3483" i="4"/>
  <c r="K3483" i="4" s="1"/>
  <c r="I3484" i="4"/>
  <c r="J3484" i="4"/>
  <c r="K3484" i="4" s="1"/>
  <c r="I3485" i="4"/>
  <c r="J3485" i="4"/>
  <c r="K3485" i="4" s="1"/>
  <c r="I3486" i="4"/>
  <c r="J3486" i="4"/>
  <c r="K3486" i="4" s="1"/>
  <c r="I3487" i="4"/>
  <c r="J3487" i="4"/>
  <c r="K3487" i="4" s="1"/>
  <c r="I3488" i="4"/>
  <c r="J3488" i="4"/>
  <c r="K3488" i="4" s="1"/>
  <c r="I3489" i="4"/>
  <c r="J3489" i="4"/>
  <c r="K3489" i="4" s="1"/>
  <c r="I3490" i="4"/>
  <c r="J3490" i="4"/>
  <c r="K3490" i="4" s="1"/>
  <c r="I3491" i="4"/>
  <c r="J3491" i="4"/>
  <c r="K3491" i="4" s="1"/>
  <c r="I3492" i="4"/>
  <c r="J3492" i="4"/>
  <c r="K3492" i="4" s="1"/>
  <c r="I3493" i="4"/>
  <c r="J3493" i="4"/>
  <c r="K3493" i="4" s="1"/>
  <c r="I3494" i="4"/>
  <c r="J3494" i="4"/>
  <c r="K3494" i="4" s="1"/>
  <c r="I3495" i="4"/>
  <c r="J3495" i="4"/>
  <c r="K3495" i="4" s="1"/>
  <c r="I3496" i="4"/>
  <c r="J3496" i="4"/>
  <c r="K3496" i="4" s="1"/>
  <c r="I3497" i="4"/>
  <c r="J3497" i="4"/>
  <c r="K3497" i="4" s="1"/>
  <c r="I3498" i="4"/>
  <c r="J3498" i="4"/>
  <c r="K3498" i="4" s="1"/>
  <c r="I3499" i="4"/>
  <c r="J3499" i="4"/>
  <c r="K3499" i="4" s="1"/>
  <c r="I3500" i="4"/>
  <c r="J3500" i="4"/>
  <c r="K3500" i="4" s="1"/>
  <c r="I3501" i="4"/>
  <c r="J3501" i="4"/>
  <c r="K3501" i="4" s="1"/>
  <c r="I3502" i="4"/>
  <c r="J3502" i="4"/>
  <c r="K3502" i="4" s="1"/>
  <c r="I3503" i="4"/>
  <c r="J3503" i="4"/>
  <c r="K3503" i="4" s="1"/>
  <c r="I3504" i="4"/>
  <c r="J3504" i="4"/>
  <c r="K3504" i="4" s="1"/>
  <c r="I3505" i="4"/>
  <c r="J3505" i="4"/>
  <c r="K3505" i="4" s="1"/>
  <c r="I3506" i="4"/>
  <c r="J3506" i="4"/>
  <c r="K3506" i="4" s="1"/>
  <c r="I3507" i="4"/>
  <c r="J3507" i="4"/>
  <c r="K3507" i="4" s="1"/>
  <c r="I3508" i="4"/>
  <c r="J3508" i="4"/>
  <c r="K3508" i="4" s="1"/>
  <c r="I3509" i="4"/>
  <c r="J3509" i="4"/>
  <c r="K3509" i="4" s="1"/>
  <c r="I3510" i="4"/>
  <c r="J3510" i="4"/>
  <c r="K3510" i="4" s="1"/>
  <c r="I3511" i="4"/>
  <c r="J3511" i="4"/>
  <c r="K3511" i="4" s="1"/>
  <c r="I3512" i="4"/>
  <c r="J3512" i="4"/>
  <c r="K3512" i="4" s="1"/>
  <c r="I3513" i="4"/>
  <c r="J3513" i="4"/>
  <c r="K3513" i="4" s="1"/>
  <c r="I3514" i="4"/>
  <c r="J3514" i="4"/>
  <c r="K3514" i="4" s="1"/>
  <c r="I3515" i="4"/>
  <c r="J3515" i="4"/>
  <c r="K3515" i="4" s="1"/>
  <c r="I3516" i="4"/>
  <c r="J3516" i="4"/>
  <c r="K3516" i="4" s="1"/>
  <c r="I3517" i="4"/>
  <c r="J3517" i="4"/>
  <c r="K3517" i="4" s="1"/>
  <c r="I3518" i="4"/>
  <c r="J3518" i="4"/>
  <c r="K3518" i="4" s="1"/>
  <c r="I3519" i="4"/>
  <c r="J3519" i="4"/>
  <c r="K3519" i="4" s="1"/>
  <c r="I3520" i="4"/>
  <c r="J3520" i="4"/>
  <c r="K3520" i="4" s="1"/>
  <c r="I3521" i="4"/>
  <c r="J3521" i="4"/>
  <c r="K3521" i="4" s="1"/>
  <c r="I3522" i="4"/>
  <c r="J3522" i="4"/>
  <c r="K3522" i="4" s="1"/>
  <c r="I3523" i="4"/>
  <c r="J3523" i="4"/>
  <c r="K3523" i="4" s="1"/>
  <c r="I3524" i="4"/>
  <c r="J3524" i="4"/>
  <c r="K3524" i="4" s="1"/>
  <c r="I3525" i="4"/>
  <c r="J3525" i="4"/>
  <c r="K3525" i="4" s="1"/>
  <c r="I3526" i="4"/>
  <c r="J3526" i="4"/>
  <c r="K3526" i="4" s="1"/>
  <c r="I3527" i="4"/>
  <c r="J3527" i="4"/>
  <c r="K3527" i="4" s="1"/>
  <c r="I3528" i="4"/>
  <c r="J3528" i="4"/>
  <c r="K3528" i="4" s="1"/>
  <c r="I3529" i="4"/>
  <c r="J3529" i="4"/>
  <c r="K3529" i="4" s="1"/>
  <c r="I3530" i="4"/>
  <c r="J3530" i="4"/>
  <c r="K3530" i="4" s="1"/>
  <c r="I3531" i="4"/>
  <c r="J3531" i="4"/>
  <c r="K3531" i="4" s="1"/>
  <c r="I3532" i="4"/>
  <c r="J3532" i="4"/>
  <c r="K3532" i="4" s="1"/>
  <c r="I3533" i="4"/>
  <c r="J3533" i="4"/>
  <c r="K3533" i="4" s="1"/>
  <c r="I3534" i="4"/>
  <c r="J3534" i="4"/>
  <c r="K3534" i="4" s="1"/>
  <c r="I3535" i="4"/>
  <c r="J3535" i="4"/>
  <c r="K3535" i="4" s="1"/>
  <c r="I3536" i="4"/>
  <c r="J3536" i="4"/>
  <c r="K3536" i="4" s="1"/>
  <c r="I3537" i="4"/>
  <c r="J3537" i="4"/>
  <c r="K3537" i="4" s="1"/>
  <c r="I3538" i="4"/>
  <c r="J3538" i="4"/>
  <c r="K3538" i="4" s="1"/>
  <c r="I3539" i="4"/>
  <c r="J3539" i="4"/>
  <c r="K3539" i="4" s="1"/>
  <c r="I3540" i="4"/>
  <c r="J3540" i="4"/>
  <c r="K3540" i="4" s="1"/>
  <c r="I3541" i="4"/>
  <c r="J3541" i="4"/>
  <c r="K3541" i="4" s="1"/>
  <c r="I3542" i="4"/>
  <c r="J3542" i="4"/>
  <c r="K3542" i="4" s="1"/>
  <c r="I3543" i="4"/>
  <c r="J3543" i="4"/>
  <c r="K3543" i="4" s="1"/>
  <c r="I3544" i="4"/>
  <c r="J3544" i="4"/>
  <c r="K3544" i="4" s="1"/>
  <c r="I3545" i="4"/>
  <c r="J3545" i="4"/>
  <c r="K3545" i="4" s="1"/>
  <c r="I3546" i="4"/>
  <c r="J3546" i="4"/>
  <c r="K3546" i="4" s="1"/>
  <c r="I3547" i="4"/>
  <c r="J3547" i="4"/>
  <c r="K3547" i="4" s="1"/>
  <c r="I3548" i="4"/>
  <c r="J3548" i="4"/>
  <c r="K3548" i="4" s="1"/>
  <c r="I3549" i="4"/>
  <c r="J3549" i="4"/>
  <c r="K3549" i="4" s="1"/>
  <c r="I3550" i="4"/>
  <c r="J3550" i="4"/>
  <c r="K3550" i="4" s="1"/>
  <c r="I3551" i="4"/>
  <c r="J3551" i="4"/>
  <c r="K3551" i="4" s="1"/>
  <c r="I3552" i="4"/>
  <c r="J3552" i="4"/>
  <c r="K3552" i="4" s="1"/>
  <c r="I3553" i="4"/>
  <c r="J3553" i="4"/>
  <c r="K3553" i="4" s="1"/>
  <c r="I3554" i="4"/>
  <c r="J3554" i="4"/>
  <c r="K3554" i="4" s="1"/>
  <c r="I3555" i="4"/>
  <c r="J3555" i="4"/>
  <c r="K3555" i="4" s="1"/>
  <c r="I3556" i="4"/>
  <c r="J3556" i="4"/>
  <c r="K3556" i="4" s="1"/>
  <c r="I3557" i="4"/>
  <c r="J3557" i="4"/>
  <c r="K3557" i="4" s="1"/>
  <c r="I3558" i="4"/>
  <c r="J3558" i="4"/>
  <c r="K3558" i="4" s="1"/>
  <c r="I3559" i="4"/>
  <c r="J3559" i="4"/>
  <c r="K3559" i="4" s="1"/>
  <c r="I3560" i="4"/>
  <c r="J3560" i="4"/>
  <c r="K3560" i="4" s="1"/>
  <c r="I3561" i="4"/>
  <c r="J3561" i="4"/>
  <c r="K3561" i="4" s="1"/>
  <c r="I3562" i="4"/>
  <c r="J3562" i="4"/>
  <c r="K3562" i="4" s="1"/>
  <c r="I3563" i="4"/>
  <c r="J3563" i="4"/>
  <c r="K3563" i="4" s="1"/>
  <c r="I3564" i="4"/>
  <c r="J3564" i="4"/>
  <c r="K3564" i="4" s="1"/>
  <c r="I3565" i="4"/>
  <c r="J3565" i="4"/>
  <c r="K3565" i="4" s="1"/>
  <c r="I3566" i="4"/>
  <c r="J3566" i="4"/>
  <c r="K3566" i="4" s="1"/>
  <c r="I3567" i="4"/>
  <c r="J3567" i="4"/>
  <c r="K3567" i="4" s="1"/>
  <c r="I3568" i="4"/>
  <c r="J3568" i="4"/>
  <c r="K3568" i="4" s="1"/>
  <c r="I3569" i="4"/>
  <c r="J3569" i="4"/>
  <c r="K3569" i="4" s="1"/>
  <c r="I3570" i="4"/>
  <c r="J3570" i="4"/>
  <c r="K3570" i="4" s="1"/>
  <c r="I3571" i="4"/>
  <c r="J3571" i="4"/>
  <c r="K3571" i="4" s="1"/>
  <c r="I3572" i="4"/>
  <c r="J3572" i="4"/>
  <c r="K3572" i="4" s="1"/>
  <c r="I3573" i="4"/>
  <c r="J3573" i="4"/>
  <c r="K3573" i="4" s="1"/>
  <c r="I3574" i="4"/>
  <c r="J3574" i="4"/>
  <c r="K3574" i="4" s="1"/>
  <c r="I3575" i="4"/>
  <c r="J3575" i="4"/>
  <c r="K3575" i="4" s="1"/>
  <c r="I3576" i="4"/>
  <c r="J3576" i="4"/>
  <c r="K3576" i="4" s="1"/>
  <c r="I3577" i="4"/>
  <c r="J3577" i="4"/>
  <c r="K3577" i="4" s="1"/>
  <c r="I3578" i="4"/>
  <c r="J3578" i="4"/>
  <c r="K3578" i="4" s="1"/>
  <c r="I3579" i="4"/>
  <c r="J3579" i="4"/>
  <c r="K3579" i="4" s="1"/>
  <c r="I3580" i="4"/>
  <c r="J3580" i="4"/>
  <c r="K3580" i="4" s="1"/>
  <c r="I3581" i="4"/>
  <c r="J3581" i="4"/>
  <c r="K3581" i="4" s="1"/>
  <c r="I3582" i="4"/>
  <c r="J3582" i="4"/>
  <c r="K3582" i="4" s="1"/>
  <c r="I3583" i="4"/>
  <c r="J3583" i="4"/>
  <c r="K3583" i="4" s="1"/>
  <c r="I3584" i="4"/>
  <c r="J3584" i="4"/>
  <c r="K3584" i="4" s="1"/>
  <c r="I3585" i="4"/>
  <c r="J3585" i="4"/>
  <c r="K3585" i="4" s="1"/>
  <c r="I3586" i="4"/>
  <c r="J3586" i="4"/>
  <c r="K3586" i="4" s="1"/>
  <c r="I3587" i="4"/>
  <c r="J3587" i="4"/>
  <c r="K3587" i="4" s="1"/>
  <c r="I3588" i="4"/>
  <c r="J3588" i="4"/>
  <c r="K3588" i="4" s="1"/>
  <c r="I3589" i="4"/>
  <c r="J3589" i="4"/>
  <c r="K3589" i="4" s="1"/>
  <c r="I3590" i="4"/>
  <c r="J3590" i="4"/>
  <c r="K3590" i="4" s="1"/>
  <c r="I3591" i="4"/>
  <c r="J3591" i="4"/>
  <c r="K3591" i="4" s="1"/>
  <c r="I3592" i="4"/>
  <c r="J3592" i="4"/>
  <c r="K3592" i="4" s="1"/>
  <c r="I3593" i="4"/>
  <c r="J3593" i="4"/>
  <c r="K3593" i="4" s="1"/>
  <c r="I3594" i="4"/>
  <c r="J3594" i="4"/>
  <c r="K3594" i="4" s="1"/>
  <c r="I3595" i="4"/>
  <c r="J3595" i="4"/>
  <c r="K3595" i="4" s="1"/>
  <c r="I3596" i="4"/>
  <c r="J3596" i="4"/>
  <c r="K3596" i="4" s="1"/>
  <c r="I3597" i="4"/>
  <c r="J3597" i="4"/>
  <c r="K3597" i="4" s="1"/>
  <c r="I3598" i="4"/>
  <c r="J3598" i="4"/>
  <c r="K3598" i="4" s="1"/>
  <c r="I3599" i="4"/>
  <c r="J3599" i="4"/>
  <c r="K3599" i="4" s="1"/>
  <c r="I3600" i="4"/>
  <c r="J3600" i="4"/>
  <c r="K3600" i="4" s="1"/>
  <c r="I3601" i="4"/>
  <c r="J3601" i="4"/>
  <c r="K3601" i="4" s="1"/>
  <c r="I3602" i="4"/>
  <c r="J3602" i="4"/>
  <c r="K3602" i="4" s="1"/>
  <c r="I3603" i="4"/>
  <c r="J3603" i="4"/>
  <c r="K3603" i="4" s="1"/>
  <c r="I3604" i="4"/>
  <c r="J3604" i="4"/>
  <c r="K3604" i="4" s="1"/>
  <c r="I3605" i="4"/>
  <c r="J3605" i="4"/>
  <c r="K3605" i="4" s="1"/>
  <c r="I3606" i="4"/>
  <c r="J3606" i="4"/>
  <c r="K3606" i="4" s="1"/>
  <c r="I3607" i="4"/>
  <c r="J3607" i="4"/>
  <c r="K3607" i="4" s="1"/>
  <c r="I3608" i="4"/>
  <c r="J3608" i="4"/>
  <c r="K3608" i="4" s="1"/>
  <c r="I3609" i="4"/>
  <c r="J3609" i="4"/>
  <c r="K3609" i="4" s="1"/>
  <c r="I3610" i="4"/>
  <c r="J3610" i="4"/>
  <c r="K3610" i="4" s="1"/>
  <c r="I3611" i="4"/>
  <c r="J3611" i="4"/>
  <c r="K3611" i="4" s="1"/>
  <c r="I3612" i="4"/>
  <c r="J3612" i="4"/>
  <c r="K3612" i="4" s="1"/>
  <c r="I3613" i="4"/>
  <c r="J3613" i="4"/>
  <c r="K3613" i="4" s="1"/>
  <c r="I3614" i="4"/>
  <c r="J3614" i="4"/>
  <c r="K3614" i="4" s="1"/>
  <c r="I3615" i="4"/>
  <c r="J3615" i="4"/>
  <c r="K3615" i="4" s="1"/>
  <c r="I3616" i="4"/>
  <c r="J3616" i="4"/>
  <c r="K3616" i="4" s="1"/>
  <c r="I3617" i="4"/>
  <c r="J3617" i="4"/>
  <c r="K3617" i="4" s="1"/>
  <c r="I3618" i="4"/>
  <c r="J3618" i="4"/>
  <c r="K3618" i="4" s="1"/>
  <c r="I3619" i="4"/>
  <c r="J3619" i="4"/>
  <c r="K3619" i="4" s="1"/>
  <c r="I3620" i="4"/>
  <c r="J3620" i="4"/>
  <c r="K3620" i="4" s="1"/>
  <c r="I3621" i="4"/>
  <c r="J3621" i="4"/>
  <c r="K3621" i="4" s="1"/>
  <c r="I3622" i="4"/>
  <c r="J3622" i="4"/>
  <c r="K3622" i="4" s="1"/>
  <c r="I3623" i="4"/>
  <c r="J3623" i="4"/>
  <c r="K3623" i="4" s="1"/>
  <c r="I3624" i="4"/>
  <c r="J3624" i="4"/>
  <c r="K3624" i="4" s="1"/>
  <c r="I3625" i="4"/>
  <c r="J3625" i="4"/>
  <c r="K3625" i="4" s="1"/>
  <c r="I3626" i="4"/>
  <c r="J3626" i="4"/>
  <c r="K3626" i="4" s="1"/>
  <c r="I3627" i="4"/>
  <c r="J3627" i="4"/>
  <c r="K3627" i="4" s="1"/>
  <c r="I3628" i="4"/>
  <c r="J3628" i="4"/>
  <c r="K3628" i="4" s="1"/>
  <c r="I3629" i="4"/>
  <c r="J3629" i="4"/>
  <c r="K3629" i="4" s="1"/>
  <c r="I3630" i="4"/>
  <c r="J3630" i="4"/>
  <c r="K3630" i="4" s="1"/>
  <c r="I3631" i="4"/>
  <c r="J3631" i="4"/>
  <c r="K3631" i="4" s="1"/>
  <c r="I3632" i="4"/>
  <c r="J3632" i="4"/>
  <c r="K3632" i="4" s="1"/>
  <c r="I3633" i="4"/>
  <c r="J3633" i="4"/>
  <c r="K3633" i="4" s="1"/>
  <c r="I3634" i="4"/>
  <c r="J3634" i="4"/>
  <c r="K3634" i="4" s="1"/>
  <c r="I3635" i="4"/>
  <c r="J3635" i="4"/>
  <c r="K3635" i="4" s="1"/>
  <c r="I3636" i="4"/>
  <c r="J3636" i="4"/>
  <c r="K3636" i="4" s="1"/>
  <c r="I3637" i="4"/>
  <c r="J3637" i="4"/>
  <c r="K3637" i="4" s="1"/>
  <c r="I3638" i="4"/>
  <c r="J3638" i="4"/>
  <c r="K3638" i="4" s="1"/>
  <c r="I3639" i="4"/>
  <c r="J3639" i="4"/>
  <c r="K3639" i="4" s="1"/>
  <c r="I3640" i="4"/>
  <c r="J3640" i="4"/>
  <c r="K3640" i="4" s="1"/>
  <c r="I3641" i="4"/>
  <c r="J3641" i="4"/>
  <c r="K3641" i="4" s="1"/>
  <c r="I3642" i="4"/>
  <c r="J3642" i="4"/>
  <c r="K3642" i="4" s="1"/>
  <c r="I3643" i="4"/>
  <c r="J3643" i="4"/>
  <c r="K3643" i="4" s="1"/>
  <c r="I3644" i="4"/>
  <c r="J3644" i="4"/>
  <c r="K3644" i="4" s="1"/>
  <c r="I3645" i="4"/>
  <c r="J3645" i="4"/>
  <c r="K3645" i="4" s="1"/>
  <c r="I3646" i="4"/>
  <c r="J3646" i="4"/>
  <c r="K3646" i="4" s="1"/>
  <c r="I3647" i="4"/>
  <c r="J3647" i="4"/>
  <c r="K3647" i="4" s="1"/>
  <c r="I3648" i="4"/>
  <c r="J3648" i="4"/>
  <c r="K3648" i="4" s="1"/>
  <c r="I3649" i="4"/>
  <c r="J3649" i="4"/>
  <c r="K3649" i="4" s="1"/>
  <c r="I3650" i="4"/>
  <c r="J3650" i="4"/>
  <c r="K3650" i="4" s="1"/>
  <c r="I3651" i="4"/>
  <c r="J3651" i="4"/>
  <c r="K3651" i="4" s="1"/>
  <c r="I3652" i="4"/>
  <c r="J3652" i="4"/>
  <c r="K3652" i="4" s="1"/>
  <c r="I3653" i="4"/>
  <c r="J3653" i="4"/>
  <c r="K3653" i="4" s="1"/>
  <c r="I3654" i="4"/>
  <c r="J3654" i="4"/>
  <c r="K3654" i="4" s="1"/>
  <c r="I3655" i="4"/>
  <c r="J3655" i="4"/>
  <c r="K3655" i="4" s="1"/>
  <c r="I3656" i="4"/>
  <c r="J3656" i="4"/>
  <c r="K3656" i="4" s="1"/>
  <c r="I3657" i="4"/>
  <c r="J3657" i="4"/>
  <c r="K3657" i="4" s="1"/>
  <c r="I3658" i="4"/>
  <c r="J3658" i="4"/>
  <c r="K3658" i="4" s="1"/>
  <c r="I3659" i="4"/>
  <c r="J3659" i="4"/>
  <c r="K3659" i="4" s="1"/>
  <c r="I3660" i="4"/>
  <c r="J3660" i="4"/>
  <c r="K3660" i="4" s="1"/>
  <c r="I3661" i="4"/>
  <c r="J3661" i="4"/>
  <c r="K3661" i="4" s="1"/>
  <c r="I3662" i="4"/>
  <c r="J3662" i="4"/>
  <c r="K3662" i="4" s="1"/>
  <c r="I3663" i="4"/>
  <c r="J3663" i="4"/>
  <c r="K3663" i="4" s="1"/>
  <c r="I3664" i="4"/>
  <c r="J3664" i="4"/>
  <c r="K3664" i="4" s="1"/>
  <c r="I3665" i="4"/>
  <c r="J3665" i="4"/>
  <c r="K3665" i="4" s="1"/>
  <c r="I3666" i="4"/>
  <c r="J3666" i="4"/>
  <c r="K3666" i="4" s="1"/>
  <c r="I3667" i="4"/>
  <c r="J3667" i="4"/>
  <c r="K3667" i="4" s="1"/>
  <c r="I3668" i="4"/>
  <c r="J3668" i="4"/>
  <c r="K3668" i="4" s="1"/>
  <c r="I3669" i="4"/>
  <c r="J3669" i="4"/>
  <c r="K3669" i="4" s="1"/>
  <c r="I3670" i="4"/>
  <c r="J3670" i="4"/>
  <c r="K3670" i="4" s="1"/>
  <c r="I3671" i="4"/>
  <c r="J3671" i="4"/>
  <c r="K3671" i="4" s="1"/>
  <c r="I3672" i="4"/>
  <c r="J3672" i="4"/>
  <c r="K3672" i="4" s="1"/>
  <c r="I3673" i="4"/>
  <c r="J3673" i="4"/>
  <c r="K3673" i="4" s="1"/>
  <c r="I3674" i="4"/>
  <c r="J3674" i="4"/>
  <c r="K3674" i="4" s="1"/>
  <c r="I3675" i="4"/>
  <c r="J3675" i="4"/>
  <c r="K3675" i="4" s="1"/>
  <c r="I3676" i="4"/>
  <c r="J3676" i="4"/>
  <c r="K3676" i="4" s="1"/>
  <c r="I3677" i="4"/>
  <c r="J3677" i="4"/>
  <c r="K3677" i="4" s="1"/>
  <c r="I3678" i="4"/>
  <c r="J3678" i="4"/>
  <c r="K3678" i="4" s="1"/>
  <c r="I3679" i="4"/>
  <c r="J3679" i="4"/>
  <c r="K3679" i="4" s="1"/>
  <c r="I3680" i="4"/>
  <c r="J3680" i="4"/>
  <c r="K3680" i="4" s="1"/>
  <c r="I3681" i="4"/>
  <c r="J3681" i="4"/>
  <c r="K3681" i="4" s="1"/>
  <c r="I3682" i="4"/>
  <c r="J3682" i="4"/>
  <c r="K3682" i="4" s="1"/>
  <c r="I3683" i="4"/>
  <c r="J3683" i="4"/>
  <c r="K3683" i="4" s="1"/>
  <c r="I3684" i="4"/>
  <c r="J3684" i="4"/>
  <c r="K3684" i="4" s="1"/>
  <c r="I3685" i="4"/>
  <c r="J3685" i="4"/>
  <c r="K3685" i="4" s="1"/>
  <c r="I3686" i="4"/>
  <c r="J3686" i="4"/>
  <c r="K3686" i="4" s="1"/>
  <c r="I3687" i="4"/>
  <c r="J3687" i="4"/>
  <c r="K3687" i="4" s="1"/>
  <c r="I3688" i="4"/>
  <c r="J3688" i="4"/>
  <c r="K3688" i="4" s="1"/>
  <c r="I3689" i="4"/>
  <c r="J3689" i="4"/>
  <c r="K3689" i="4" s="1"/>
  <c r="I3690" i="4"/>
  <c r="J3690" i="4"/>
  <c r="K3690" i="4" s="1"/>
  <c r="I3691" i="4"/>
  <c r="J3691" i="4"/>
  <c r="K3691" i="4" s="1"/>
  <c r="I3692" i="4"/>
  <c r="J3692" i="4"/>
  <c r="K3692" i="4" s="1"/>
  <c r="I3693" i="4"/>
  <c r="J3693" i="4"/>
  <c r="K3693" i="4" s="1"/>
  <c r="I3694" i="4"/>
  <c r="J3694" i="4"/>
  <c r="K3694" i="4" s="1"/>
  <c r="I3695" i="4"/>
  <c r="J3695" i="4"/>
  <c r="K3695" i="4" s="1"/>
  <c r="I3696" i="4"/>
  <c r="J3696" i="4"/>
  <c r="K3696" i="4" s="1"/>
  <c r="I3697" i="4"/>
  <c r="J3697" i="4"/>
  <c r="K3697" i="4" s="1"/>
  <c r="I3698" i="4"/>
  <c r="J3698" i="4"/>
  <c r="K3698" i="4" s="1"/>
  <c r="I3699" i="4"/>
  <c r="J3699" i="4"/>
  <c r="K3699" i="4" s="1"/>
  <c r="I3700" i="4"/>
  <c r="J3700" i="4"/>
  <c r="K3700" i="4" s="1"/>
  <c r="I3701" i="4"/>
  <c r="J3701" i="4"/>
  <c r="K3701" i="4" s="1"/>
  <c r="I3702" i="4"/>
  <c r="J3702" i="4"/>
  <c r="K3702" i="4" s="1"/>
  <c r="I3703" i="4"/>
  <c r="J3703" i="4"/>
  <c r="K3703" i="4" s="1"/>
  <c r="I3704" i="4"/>
  <c r="J3704" i="4"/>
  <c r="K3704" i="4" s="1"/>
  <c r="I3705" i="4"/>
  <c r="J3705" i="4"/>
  <c r="K3705" i="4" s="1"/>
  <c r="I3706" i="4"/>
  <c r="J3706" i="4"/>
  <c r="K3706" i="4" s="1"/>
  <c r="I3707" i="4"/>
  <c r="J3707" i="4"/>
  <c r="K3707" i="4" s="1"/>
  <c r="I3708" i="4"/>
  <c r="J3708" i="4"/>
  <c r="K3708" i="4" s="1"/>
  <c r="I3709" i="4"/>
  <c r="J3709" i="4"/>
  <c r="K3709" i="4" s="1"/>
  <c r="I3710" i="4"/>
  <c r="J3710" i="4"/>
  <c r="K3710" i="4" s="1"/>
  <c r="I3711" i="4"/>
  <c r="J3711" i="4"/>
  <c r="K3711" i="4" s="1"/>
  <c r="I3712" i="4"/>
  <c r="J3712" i="4"/>
  <c r="K3712" i="4" s="1"/>
  <c r="I3713" i="4"/>
  <c r="J3713" i="4"/>
  <c r="K3713" i="4" s="1"/>
  <c r="I3714" i="4"/>
  <c r="J3714" i="4"/>
  <c r="K3714" i="4" s="1"/>
  <c r="I3715" i="4"/>
  <c r="J3715" i="4"/>
  <c r="K3715" i="4" s="1"/>
  <c r="I3716" i="4"/>
  <c r="J3716" i="4"/>
  <c r="K3716" i="4" s="1"/>
  <c r="I3717" i="4"/>
  <c r="J3717" i="4"/>
  <c r="K3717" i="4" s="1"/>
  <c r="I3718" i="4"/>
  <c r="J3718" i="4"/>
  <c r="K3718" i="4" s="1"/>
  <c r="I3719" i="4"/>
  <c r="J3719" i="4"/>
  <c r="K3719" i="4" s="1"/>
  <c r="I3720" i="4"/>
  <c r="J3720" i="4"/>
  <c r="K3720" i="4" s="1"/>
  <c r="I3721" i="4"/>
  <c r="J3721" i="4"/>
  <c r="K3721" i="4" s="1"/>
  <c r="I3722" i="4"/>
  <c r="J3722" i="4"/>
  <c r="K3722" i="4" s="1"/>
  <c r="I3723" i="4"/>
  <c r="J3723" i="4"/>
  <c r="K3723" i="4" s="1"/>
  <c r="I3724" i="4"/>
  <c r="J3724" i="4"/>
  <c r="K3724" i="4" s="1"/>
  <c r="I3725" i="4"/>
  <c r="J3725" i="4"/>
  <c r="K3725" i="4" s="1"/>
  <c r="I3726" i="4"/>
  <c r="J3726" i="4"/>
  <c r="K3726" i="4" s="1"/>
  <c r="I3727" i="4"/>
  <c r="J3727" i="4"/>
  <c r="K3727" i="4" s="1"/>
  <c r="I3728" i="4"/>
  <c r="J3728" i="4"/>
  <c r="K3728" i="4" s="1"/>
  <c r="I3729" i="4"/>
  <c r="J3729" i="4"/>
  <c r="K3729" i="4" s="1"/>
  <c r="I3730" i="4"/>
  <c r="J3730" i="4"/>
  <c r="K3730" i="4" s="1"/>
  <c r="I3731" i="4"/>
  <c r="J3731" i="4"/>
  <c r="K3731" i="4" s="1"/>
  <c r="I3732" i="4"/>
  <c r="J3732" i="4"/>
  <c r="K3732" i="4" s="1"/>
  <c r="I3733" i="4"/>
  <c r="J3733" i="4"/>
  <c r="K3733" i="4" s="1"/>
  <c r="I3734" i="4"/>
  <c r="J3734" i="4"/>
  <c r="K3734" i="4" s="1"/>
  <c r="I3735" i="4"/>
  <c r="J3735" i="4"/>
  <c r="K3735" i="4" s="1"/>
  <c r="I3736" i="4"/>
  <c r="J3736" i="4"/>
  <c r="K3736" i="4" s="1"/>
  <c r="I3737" i="4"/>
  <c r="J3737" i="4"/>
  <c r="K3737" i="4" s="1"/>
  <c r="I3738" i="4"/>
  <c r="J3738" i="4"/>
  <c r="K3738" i="4" s="1"/>
  <c r="I3739" i="4"/>
  <c r="J3739" i="4"/>
  <c r="K3739" i="4" s="1"/>
  <c r="I3740" i="4"/>
  <c r="J3740" i="4"/>
  <c r="K3740" i="4" s="1"/>
  <c r="I3741" i="4"/>
  <c r="J3741" i="4"/>
  <c r="K3741" i="4" s="1"/>
  <c r="I3742" i="4"/>
  <c r="J3742" i="4"/>
  <c r="K3742" i="4" s="1"/>
  <c r="I3743" i="4"/>
  <c r="J3743" i="4"/>
  <c r="K3743" i="4" s="1"/>
  <c r="I3744" i="4"/>
  <c r="J3744" i="4"/>
  <c r="K3744" i="4" s="1"/>
  <c r="I3745" i="4"/>
  <c r="J3745" i="4"/>
  <c r="K3745" i="4" s="1"/>
  <c r="I3746" i="4"/>
  <c r="J3746" i="4"/>
  <c r="K3746" i="4" s="1"/>
  <c r="I3747" i="4"/>
  <c r="J3747" i="4"/>
  <c r="K3747" i="4" s="1"/>
  <c r="I3748" i="4"/>
  <c r="J3748" i="4"/>
  <c r="K3748" i="4" s="1"/>
  <c r="I3749" i="4"/>
  <c r="J3749" i="4"/>
  <c r="K3749" i="4" s="1"/>
  <c r="I3750" i="4"/>
  <c r="J3750" i="4"/>
  <c r="K3750" i="4" s="1"/>
  <c r="I3751" i="4"/>
  <c r="J3751" i="4"/>
  <c r="K3751" i="4" s="1"/>
  <c r="I3752" i="4"/>
  <c r="J3752" i="4"/>
  <c r="K3752" i="4" s="1"/>
  <c r="I3753" i="4"/>
  <c r="J3753" i="4"/>
  <c r="K3753" i="4" s="1"/>
  <c r="I3754" i="4"/>
  <c r="J3754" i="4"/>
  <c r="K3754" i="4" s="1"/>
  <c r="I3755" i="4"/>
  <c r="J3755" i="4"/>
  <c r="K3755" i="4" s="1"/>
  <c r="I3756" i="4"/>
  <c r="J3756" i="4"/>
  <c r="K3756" i="4" s="1"/>
  <c r="I3757" i="4"/>
  <c r="J3757" i="4"/>
  <c r="K3757" i="4" s="1"/>
  <c r="I3758" i="4"/>
  <c r="J3758" i="4"/>
  <c r="K3758" i="4" s="1"/>
  <c r="I3759" i="4"/>
  <c r="J3759" i="4"/>
  <c r="K3759" i="4" s="1"/>
  <c r="I3760" i="4"/>
  <c r="J3760" i="4"/>
  <c r="K3760" i="4" s="1"/>
  <c r="I3761" i="4"/>
  <c r="J3761" i="4"/>
  <c r="K3761" i="4" s="1"/>
  <c r="I3762" i="4"/>
  <c r="J3762" i="4"/>
  <c r="K3762" i="4" s="1"/>
  <c r="I3763" i="4"/>
  <c r="J3763" i="4"/>
  <c r="K3763" i="4" s="1"/>
  <c r="I3764" i="4"/>
  <c r="J3764" i="4"/>
  <c r="K3764" i="4" s="1"/>
  <c r="I3765" i="4"/>
  <c r="J3765" i="4"/>
  <c r="K3765" i="4" s="1"/>
  <c r="I3766" i="4"/>
  <c r="J3766" i="4"/>
  <c r="K3766" i="4" s="1"/>
  <c r="I3767" i="4"/>
  <c r="J3767" i="4"/>
  <c r="K3767" i="4" s="1"/>
  <c r="I3768" i="4"/>
  <c r="J3768" i="4"/>
  <c r="K3768" i="4" s="1"/>
  <c r="I3769" i="4"/>
  <c r="J3769" i="4"/>
  <c r="K3769" i="4" s="1"/>
  <c r="I3770" i="4"/>
  <c r="J3770" i="4"/>
  <c r="K3770" i="4" s="1"/>
  <c r="I3771" i="4"/>
  <c r="J3771" i="4"/>
  <c r="K3771" i="4" s="1"/>
  <c r="I3772" i="4"/>
  <c r="J3772" i="4"/>
  <c r="K3772" i="4" s="1"/>
  <c r="I3773" i="4"/>
  <c r="J3773" i="4"/>
  <c r="K3773" i="4" s="1"/>
  <c r="I3774" i="4"/>
  <c r="J3774" i="4"/>
  <c r="K3774" i="4" s="1"/>
  <c r="I3775" i="4"/>
  <c r="J3775" i="4"/>
  <c r="K3775" i="4" s="1"/>
  <c r="I3776" i="4"/>
  <c r="J3776" i="4"/>
  <c r="K3776" i="4" s="1"/>
  <c r="I3777" i="4"/>
  <c r="J3777" i="4"/>
  <c r="K3777" i="4" s="1"/>
  <c r="I3778" i="4"/>
  <c r="J3778" i="4"/>
  <c r="K3778" i="4" s="1"/>
  <c r="I3779" i="4"/>
  <c r="J3779" i="4"/>
  <c r="K3779" i="4" s="1"/>
  <c r="I3780" i="4"/>
  <c r="J3780" i="4"/>
  <c r="K3780" i="4" s="1"/>
  <c r="I3781" i="4"/>
  <c r="J3781" i="4"/>
  <c r="K3781" i="4" s="1"/>
  <c r="I3782" i="4"/>
  <c r="J3782" i="4"/>
  <c r="K3782" i="4" s="1"/>
  <c r="I3783" i="4"/>
  <c r="J3783" i="4"/>
  <c r="K3783" i="4" s="1"/>
  <c r="I3784" i="4"/>
  <c r="J3784" i="4"/>
  <c r="K3784" i="4" s="1"/>
  <c r="I3785" i="4"/>
  <c r="J3785" i="4"/>
  <c r="K3785" i="4" s="1"/>
  <c r="I3786" i="4"/>
  <c r="J3786" i="4"/>
  <c r="K3786" i="4" s="1"/>
  <c r="I3787" i="4"/>
  <c r="J3787" i="4"/>
  <c r="K3787" i="4" s="1"/>
  <c r="I3788" i="4"/>
  <c r="J3788" i="4"/>
  <c r="K3788" i="4" s="1"/>
  <c r="I3789" i="4"/>
  <c r="J3789" i="4"/>
  <c r="K3789" i="4" s="1"/>
  <c r="I3790" i="4"/>
  <c r="J3790" i="4"/>
  <c r="K3790" i="4" s="1"/>
  <c r="I3791" i="4"/>
  <c r="J3791" i="4"/>
  <c r="K3791" i="4" s="1"/>
  <c r="I3792" i="4"/>
  <c r="J3792" i="4"/>
  <c r="K3792" i="4" s="1"/>
  <c r="I3793" i="4"/>
  <c r="J3793" i="4"/>
  <c r="K3793" i="4" s="1"/>
  <c r="I3794" i="4"/>
  <c r="J3794" i="4"/>
  <c r="K3794" i="4" s="1"/>
  <c r="I3795" i="4"/>
  <c r="J3795" i="4"/>
  <c r="K3795" i="4" s="1"/>
  <c r="I3796" i="4"/>
  <c r="J3796" i="4"/>
  <c r="K3796" i="4" s="1"/>
  <c r="I3797" i="4"/>
  <c r="J3797" i="4"/>
  <c r="K3797" i="4" s="1"/>
  <c r="I3798" i="4"/>
  <c r="J3798" i="4"/>
  <c r="K3798" i="4" s="1"/>
  <c r="I3799" i="4"/>
  <c r="J3799" i="4"/>
  <c r="K3799" i="4" s="1"/>
  <c r="I3800" i="4"/>
  <c r="J3800" i="4"/>
  <c r="K3800" i="4" s="1"/>
  <c r="I3801" i="4"/>
  <c r="J3801" i="4"/>
  <c r="K3801" i="4" s="1"/>
  <c r="I3802" i="4"/>
  <c r="J3802" i="4"/>
  <c r="K3802" i="4" s="1"/>
  <c r="I3803" i="4"/>
  <c r="J3803" i="4"/>
  <c r="K3803" i="4" s="1"/>
  <c r="I3804" i="4"/>
  <c r="J3804" i="4"/>
  <c r="K3804" i="4" s="1"/>
  <c r="I3805" i="4"/>
  <c r="J3805" i="4"/>
  <c r="K3805" i="4" s="1"/>
  <c r="I3806" i="4"/>
  <c r="J3806" i="4"/>
  <c r="K3806" i="4" s="1"/>
  <c r="I3807" i="4"/>
  <c r="J3807" i="4"/>
  <c r="K3807" i="4" s="1"/>
  <c r="I3808" i="4"/>
  <c r="J3808" i="4"/>
  <c r="K3808" i="4" s="1"/>
  <c r="I3809" i="4"/>
  <c r="J3809" i="4"/>
  <c r="K3809" i="4" s="1"/>
  <c r="I3810" i="4"/>
  <c r="J3810" i="4"/>
  <c r="K3810" i="4" s="1"/>
  <c r="I3811" i="4"/>
  <c r="J3811" i="4"/>
  <c r="K3811" i="4" s="1"/>
  <c r="I3812" i="4"/>
  <c r="J3812" i="4"/>
  <c r="K3812" i="4" s="1"/>
  <c r="I3813" i="4"/>
  <c r="J3813" i="4"/>
  <c r="K3813" i="4" s="1"/>
  <c r="I3814" i="4"/>
  <c r="J3814" i="4"/>
  <c r="K3814" i="4" s="1"/>
  <c r="I3815" i="4"/>
  <c r="J3815" i="4"/>
  <c r="K3815" i="4" s="1"/>
  <c r="I3816" i="4"/>
  <c r="J3816" i="4"/>
  <c r="K3816" i="4" s="1"/>
  <c r="I3817" i="4"/>
  <c r="J3817" i="4"/>
  <c r="K3817" i="4" s="1"/>
  <c r="I3818" i="4"/>
  <c r="J3818" i="4"/>
  <c r="K3818" i="4" s="1"/>
  <c r="I3819" i="4"/>
  <c r="J3819" i="4"/>
  <c r="K3819" i="4" s="1"/>
  <c r="I3820" i="4"/>
  <c r="J3820" i="4"/>
  <c r="K3820" i="4" s="1"/>
  <c r="I3821" i="4"/>
  <c r="J3821" i="4"/>
  <c r="K3821" i="4" s="1"/>
  <c r="I3822" i="4"/>
  <c r="J3822" i="4"/>
  <c r="K3822" i="4" s="1"/>
  <c r="I3823" i="4"/>
  <c r="J3823" i="4"/>
  <c r="K3823" i="4" s="1"/>
  <c r="I3824" i="4"/>
  <c r="J3824" i="4"/>
  <c r="K3824" i="4" s="1"/>
  <c r="I3825" i="4"/>
  <c r="J3825" i="4"/>
  <c r="K3825" i="4" s="1"/>
  <c r="I3826" i="4"/>
  <c r="J3826" i="4"/>
  <c r="K3826" i="4" s="1"/>
  <c r="I3827" i="4"/>
  <c r="J3827" i="4"/>
  <c r="K3827" i="4" s="1"/>
  <c r="I3828" i="4"/>
  <c r="J3828" i="4"/>
  <c r="K3828" i="4" s="1"/>
  <c r="I3829" i="4"/>
  <c r="J3829" i="4"/>
  <c r="K3829" i="4" s="1"/>
  <c r="I3830" i="4"/>
  <c r="J3830" i="4"/>
  <c r="K3830" i="4" s="1"/>
  <c r="I3831" i="4"/>
  <c r="J3831" i="4"/>
  <c r="K3831" i="4" s="1"/>
  <c r="I3832" i="4"/>
  <c r="J3832" i="4"/>
  <c r="K3832" i="4" s="1"/>
  <c r="I3833" i="4"/>
  <c r="J3833" i="4"/>
  <c r="K3833" i="4" s="1"/>
  <c r="I3834" i="4"/>
  <c r="J3834" i="4"/>
  <c r="K3834" i="4" s="1"/>
  <c r="I3835" i="4"/>
  <c r="J3835" i="4"/>
  <c r="K3835" i="4" s="1"/>
  <c r="I3836" i="4"/>
  <c r="J3836" i="4"/>
  <c r="K3836" i="4" s="1"/>
  <c r="I3837" i="4"/>
  <c r="J3837" i="4"/>
  <c r="K3837" i="4" s="1"/>
  <c r="I3838" i="4"/>
  <c r="J3838" i="4"/>
  <c r="K3838" i="4" s="1"/>
  <c r="I3839" i="4"/>
  <c r="J3839" i="4"/>
  <c r="K3839" i="4" s="1"/>
  <c r="I3840" i="4"/>
  <c r="J3840" i="4"/>
  <c r="K3840" i="4" s="1"/>
  <c r="I3841" i="4"/>
  <c r="J3841" i="4"/>
  <c r="K3841" i="4" s="1"/>
  <c r="I3842" i="4"/>
  <c r="J3842" i="4"/>
  <c r="K3842" i="4" s="1"/>
  <c r="I3843" i="4"/>
  <c r="J3843" i="4"/>
  <c r="K3843" i="4" s="1"/>
  <c r="I3844" i="4"/>
  <c r="J3844" i="4"/>
  <c r="K3844" i="4" s="1"/>
  <c r="I3845" i="4"/>
  <c r="J3845" i="4"/>
  <c r="K3845" i="4" s="1"/>
  <c r="I3846" i="4"/>
  <c r="J3846" i="4"/>
  <c r="K3846" i="4" s="1"/>
  <c r="I3847" i="4"/>
  <c r="J3847" i="4"/>
  <c r="K3847" i="4" s="1"/>
  <c r="I3848" i="4"/>
  <c r="J3848" i="4"/>
  <c r="K3848" i="4" s="1"/>
  <c r="I3849" i="4"/>
  <c r="J3849" i="4"/>
  <c r="K3849" i="4" s="1"/>
  <c r="I3850" i="4"/>
  <c r="J3850" i="4"/>
  <c r="K3850" i="4" s="1"/>
  <c r="I3851" i="4"/>
  <c r="J3851" i="4"/>
  <c r="K3851" i="4" s="1"/>
  <c r="I3852" i="4"/>
  <c r="J3852" i="4"/>
  <c r="K3852" i="4" s="1"/>
  <c r="I3853" i="4"/>
  <c r="J3853" i="4"/>
  <c r="K3853" i="4" s="1"/>
  <c r="I3854" i="4"/>
  <c r="J3854" i="4"/>
  <c r="K3854" i="4" s="1"/>
  <c r="I3855" i="4"/>
  <c r="J3855" i="4"/>
  <c r="K3855" i="4" s="1"/>
  <c r="I3856" i="4"/>
  <c r="J3856" i="4"/>
  <c r="K3856" i="4" s="1"/>
  <c r="I3857" i="4"/>
  <c r="J3857" i="4"/>
  <c r="K3857" i="4" s="1"/>
  <c r="I3858" i="4"/>
  <c r="J3858" i="4"/>
  <c r="K3858" i="4" s="1"/>
  <c r="I3859" i="4"/>
  <c r="J3859" i="4"/>
  <c r="K3859" i="4" s="1"/>
  <c r="I3860" i="4"/>
  <c r="J3860" i="4"/>
  <c r="K3860" i="4" s="1"/>
  <c r="I3861" i="4"/>
  <c r="J3861" i="4"/>
  <c r="K3861" i="4" s="1"/>
  <c r="I3862" i="4"/>
  <c r="J3862" i="4"/>
  <c r="K3862" i="4" s="1"/>
  <c r="I3863" i="4"/>
  <c r="J3863" i="4"/>
  <c r="K3863" i="4" s="1"/>
  <c r="I3864" i="4"/>
  <c r="J3864" i="4"/>
  <c r="K3864" i="4" s="1"/>
  <c r="I3865" i="4"/>
  <c r="J3865" i="4"/>
  <c r="K3865" i="4" s="1"/>
  <c r="I3866" i="4"/>
  <c r="J3866" i="4"/>
  <c r="K3866" i="4" s="1"/>
  <c r="I3867" i="4"/>
  <c r="J3867" i="4"/>
  <c r="K3867" i="4" s="1"/>
  <c r="I3868" i="4"/>
  <c r="J3868" i="4"/>
  <c r="K3868" i="4" s="1"/>
  <c r="I3869" i="4"/>
  <c r="J3869" i="4"/>
  <c r="K3869" i="4" s="1"/>
  <c r="I3870" i="4"/>
  <c r="J3870" i="4"/>
  <c r="K3870" i="4" s="1"/>
  <c r="I3871" i="4"/>
  <c r="J3871" i="4"/>
  <c r="K3871" i="4" s="1"/>
  <c r="I3872" i="4"/>
  <c r="J3872" i="4"/>
  <c r="K3872" i="4" s="1"/>
  <c r="I3873" i="4"/>
  <c r="J3873" i="4"/>
  <c r="K3873" i="4" s="1"/>
  <c r="I3874" i="4"/>
  <c r="J3874" i="4"/>
  <c r="K3874" i="4" s="1"/>
  <c r="I3875" i="4"/>
  <c r="J3875" i="4"/>
  <c r="K3875" i="4" s="1"/>
  <c r="I3876" i="4"/>
  <c r="J3876" i="4"/>
  <c r="K3876" i="4" s="1"/>
  <c r="I3877" i="4"/>
  <c r="J3877" i="4"/>
  <c r="K3877" i="4" s="1"/>
  <c r="I3878" i="4"/>
  <c r="J3878" i="4"/>
  <c r="K3878" i="4" s="1"/>
  <c r="I3879" i="4"/>
  <c r="J3879" i="4"/>
  <c r="K3879" i="4" s="1"/>
  <c r="I3880" i="4"/>
  <c r="J3880" i="4"/>
  <c r="K3880" i="4" s="1"/>
  <c r="I3881" i="4"/>
  <c r="J3881" i="4"/>
  <c r="K3881" i="4" s="1"/>
  <c r="I3882" i="4"/>
  <c r="J3882" i="4"/>
  <c r="K3882" i="4" s="1"/>
  <c r="I3883" i="4"/>
  <c r="J3883" i="4"/>
  <c r="K3883" i="4" s="1"/>
  <c r="I3884" i="4"/>
  <c r="J3884" i="4"/>
  <c r="K3884" i="4" s="1"/>
  <c r="I3885" i="4"/>
  <c r="J3885" i="4"/>
  <c r="K3885" i="4" s="1"/>
  <c r="I3886" i="4"/>
  <c r="J3886" i="4"/>
  <c r="K3886" i="4" s="1"/>
  <c r="I3887" i="4"/>
  <c r="J3887" i="4"/>
  <c r="K3887" i="4" s="1"/>
  <c r="I3888" i="4"/>
  <c r="J3888" i="4"/>
  <c r="K3888" i="4" s="1"/>
  <c r="I3889" i="4"/>
  <c r="J3889" i="4"/>
  <c r="K3889" i="4" s="1"/>
  <c r="I3890" i="4"/>
  <c r="J3890" i="4"/>
  <c r="K3890" i="4" s="1"/>
  <c r="I3891" i="4"/>
  <c r="J3891" i="4"/>
  <c r="K3891" i="4" s="1"/>
  <c r="I3892" i="4"/>
  <c r="J3892" i="4"/>
  <c r="K3892" i="4" s="1"/>
  <c r="I3893" i="4"/>
  <c r="J3893" i="4"/>
  <c r="K3893" i="4" s="1"/>
  <c r="I3894" i="4"/>
  <c r="J3894" i="4"/>
  <c r="K3894" i="4" s="1"/>
  <c r="I3895" i="4"/>
  <c r="J3895" i="4"/>
  <c r="K3895" i="4" s="1"/>
  <c r="I3896" i="4"/>
  <c r="J3896" i="4"/>
  <c r="K3896" i="4" s="1"/>
  <c r="I3897" i="4"/>
  <c r="J3897" i="4"/>
  <c r="K3897" i="4" s="1"/>
  <c r="I3898" i="4"/>
  <c r="J3898" i="4"/>
  <c r="K3898" i="4" s="1"/>
  <c r="I3899" i="4"/>
  <c r="J3899" i="4"/>
  <c r="K3899" i="4" s="1"/>
  <c r="I3900" i="4"/>
  <c r="J3900" i="4"/>
  <c r="K3900" i="4" s="1"/>
  <c r="I3901" i="4"/>
  <c r="J3901" i="4"/>
  <c r="K3901" i="4" s="1"/>
  <c r="I3902" i="4"/>
  <c r="J3902" i="4"/>
  <c r="K3902" i="4" s="1"/>
  <c r="I3903" i="4"/>
  <c r="J3903" i="4"/>
  <c r="K3903" i="4" s="1"/>
  <c r="I3904" i="4"/>
  <c r="J3904" i="4"/>
  <c r="K3904" i="4" s="1"/>
  <c r="I3905" i="4"/>
  <c r="J3905" i="4"/>
  <c r="K3905" i="4" s="1"/>
  <c r="I3906" i="4"/>
  <c r="J3906" i="4"/>
  <c r="K3906" i="4" s="1"/>
  <c r="I3907" i="4"/>
  <c r="J3907" i="4"/>
  <c r="K3907" i="4" s="1"/>
  <c r="I3908" i="4"/>
  <c r="J3908" i="4"/>
  <c r="K3908" i="4" s="1"/>
  <c r="I3909" i="4"/>
  <c r="J3909" i="4"/>
  <c r="K3909" i="4" s="1"/>
  <c r="I3910" i="4"/>
  <c r="J3910" i="4"/>
  <c r="K3910" i="4" s="1"/>
  <c r="I3911" i="4"/>
  <c r="J3911" i="4"/>
  <c r="K3911" i="4" s="1"/>
  <c r="I3912" i="4"/>
  <c r="J3912" i="4"/>
  <c r="K3912" i="4" s="1"/>
  <c r="I3913" i="4"/>
  <c r="J3913" i="4"/>
  <c r="K3913" i="4" s="1"/>
  <c r="I3914" i="4"/>
  <c r="J3914" i="4"/>
  <c r="K3914" i="4" s="1"/>
  <c r="I3915" i="4"/>
  <c r="J3915" i="4"/>
  <c r="K3915" i="4" s="1"/>
  <c r="I3916" i="4"/>
  <c r="J3916" i="4"/>
  <c r="K3916" i="4" s="1"/>
  <c r="I3917" i="4"/>
  <c r="J3917" i="4"/>
  <c r="K3917" i="4" s="1"/>
  <c r="I3918" i="4"/>
  <c r="J3918" i="4"/>
  <c r="K3918" i="4" s="1"/>
  <c r="I3919" i="4"/>
  <c r="J3919" i="4"/>
  <c r="K3919" i="4" s="1"/>
  <c r="I3920" i="4"/>
  <c r="J3920" i="4"/>
  <c r="K3920" i="4" s="1"/>
  <c r="I3921" i="4"/>
  <c r="J3921" i="4"/>
  <c r="K3921" i="4" s="1"/>
  <c r="I3922" i="4"/>
  <c r="J3922" i="4"/>
  <c r="K3922" i="4" s="1"/>
  <c r="I3923" i="4"/>
  <c r="J3923" i="4"/>
  <c r="K3923" i="4" s="1"/>
  <c r="I3924" i="4"/>
  <c r="J3924" i="4"/>
  <c r="K3924" i="4" s="1"/>
  <c r="I3925" i="4"/>
  <c r="J3925" i="4"/>
  <c r="K3925" i="4" s="1"/>
  <c r="I3926" i="4"/>
  <c r="J3926" i="4"/>
  <c r="K3926" i="4" s="1"/>
  <c r="I3927" i="4"/>
  <c r="J3927" i="4"/>
  <c r="K3927" i="4" s="1"/>
  <c r="I3928" i="4"/>
  <c r="J3928" i="4"/>
  <c r="K3928" i="4" s="1"/>
  <c r="I3929" i="4"/>
  <c r="J3929" i="4"/>
  <c r="K3929" i="4" s="1"/>
  <c r="I3930" i="4"/>
  <c r="J3930" i="4"/>
  <c r="K3930" i="4" s="1"/>
  <c r="I3931" i="4"/>
  <c r="J3931" i="4"/>
  <c r="K3931" i="4" s="1"/>
  <c r="I3932" i="4"/>
  <c r="J3932" i="4"/>
  <c r="K3932" i="4" s="1"/>
  <c r="I3933" i="4"/>
  <c r="J3933" i="4"/>
  <c r="K3933" i="4" s="1"/>
  <c r="I3934" i="4"/>
  <c r="J3934" i="4"/>
  <c r="K3934" i="4" s="1"/>
  <c r="I3935" i="4"/>
  <c r="J3935" i="4"/>
  <c r="K3935" i="4" s="1"/>
  <c r="I3936" i="4"/>
  <c r="J3936" i="4"/>
  <c r="K3936" i="4" s="1"/>
  <c r="I3937" i="4"/>
  <c r="J3937" i="4"/>
  <c r="K3937" i="4" s="1"/>
  <c r="I3938" i="4"/>
  <c r="J3938" i="4"/>
  <c r="K3938" i="4" s="1"/>
  <c r="I3939" i="4"/>
  <c r="J3939" i="4"/>
  <c r="K3939" i="4" s="1"/>
  <c r="I3940" i="4"/>
  <c r="J3940" i="4"/>
  <c r="K3940" i="4" s="1"/>
  <c r="I3941" i="4"/>
  <c r="J3941" i="4"/>
  <c r="K3941" i="4" s="1"/>
  <c r="I3942" i="4"/>
  <c r="J3942" i="4"/>
  <c r="K3942" i="4" s="1"/>
  <c r="I3943" i="4"/>
  <c r="J3943" i="4"/>
  <c r="K3943" i="4" s="1"/>
  <c r="I3944" i="4"/>
  <c r="J3944" i="4"/>
  <c r="K3944" i="4" s="1"/>
  <c r="I3945" i="4"/>
  <c r="J3945" i="4"/>
  <c r="K3945" i="4" s="1"/>
  <c r="I3946" i="4"/>
  <c r="J3946" i="4"/>
  <c r="K3946" i="4" s="1"/>
  <c r="I3947" i="4"/>
  <c r="J3947" i="4"/>
  <c r="K3947" i="4" s="1"/>
  <c r="I3948" i="4"/>
  <c r="J3948" i="4"/>
  <c r="K3948" i="4" s="1"/>
  <c r="I3949" i="4"/>
  <c r="J3949" i="4"/>
  <c r="K3949" i="4" s="1"/>
  <c r="I3950" i="4"/>
  <c r="J3950" i="4"/>
  <c r="K3950" i="4" s="1"/>
  <c r="I3951" i="4"/>
  <c r="J3951" i="4"/>
  <c r="K3951" i="4" s="1"/>
  <c r="I3952" i="4"/>
  <c r="J3952" i="4"/>
  <c r="K3952" i="4" s="1"/>
  <c r="I3953" i="4"/>
  <c r="J3953" i="4"/>
  <c r="K3953" i="4" s="1"/>
  <c r="I3954" i="4"/>
  <c r="J3954" i="4"/>
  <c r="K3954" i="4" s="1"/>
  <c r="I3955" i="4"/>
  <c r="J3955" i="4"/>
  <c r="K3955" i="4" s="1"/>
  <c r="I3956" i="4"/>
  <c r="J3956" i="4"/>
  <c r="K3956" i="4" s="1"/>
  <c r="I3957" i="4"/>
  <c r="J3957" i="4"/>
  <c r="K3957" i="4" s="1"/>
  <c r="I3958" i="4"/>
  <c r="J3958" i="4"/>
  <c r="K3958" i="4" s="1"/>
  <c r="I3959" i="4"/>
  <c r="J3959" i="4"/>
  <c r="K3959" i="4" s="1"/>
  <c r="I3960" i="4"/>
  <c r="J3960" i="4"/>
  <c r="K3960" i="4" s="1"/>
  <c r="I3961" i="4"/>
  <c r="J3961" i="4"/>
  <c r="K3961" i="4" s="1"/>
  <c r="I3962" i="4"/>
  <c r="J3962" i="4"/>
  <c r="K3962" i="4" s="1"/>
  <c r="I3963" i="4"/>
  <c r="J3963" i="4"/>
  <c r="K3963" i="4" s="1"/>
  <c r="I3964" i="4"/>
  <c r="J3964" i="4"/>
  <c r="K3964" i="4" s="1"/>
  <c r="I3965" i="4"/>
  <c r="J3965" i="4"/>
  <c r="K3965" i="4" s="1"/>
  <c r="I3966" i="4"/>
  <c r="J3966" i="4"/>
  <c r="K3966" i="4" s="1"/>
  <c r="I3967" i="4"/>
  <c r="J3967" i="4"/>
  <c r="K3967" i="4" s="1"/>
  <c r="I3968" i="4"/>
  <c r="J3968" i="4"/>
  <c r="K3968" i="4" s="1"/>
  <c r="I3969" i="4"/>
  <c r="J3969" i="4"/>
  <c r="K3969" i="4" s="1"/>
  <c r="I3970" i="4"/>
  <c r="J3970" i="4"/>
  <c r="K3970" i="4" s="1"/>
  <c r="I3971" i="4"/>
  <c r="J3971" i="4"/>
  <c r="K3971" i="4" s="1"/>
  <c r="I3972" i="4"/>
  <c r="J3972" i="4"/>
  <c r="K3972" i="4" s="1"/>
  <c r="I3973" i="4"/>
  <c r="J3973" i="4"/>
  <c r="K3973" i="4" s="1"/>
  <c r="I3974" i="4"/>
  <c r="J3974" i="4"/>
  <c r="K3974" i="4" s="1"/>
  <c r="I3975" i="4"/>
  <c r="J3975" i="4"/>
  <c r="K3975" i="4" s="1"/>
  <c r="I3976" i="4"/>
  <c r="J3976" i="4"/>
  <c r="K3976" i="4" s="1"/>
  <c r="I3977" i="4"/>
  <c r="J3977" i="4"/>
  <c r="K3977" i="4" s="1"/>
  <c r="I3978" i="4"/>
  <c r="J3978" i="4"/>
  <c r="K3978" i="4" s="1"/>
  <c r="I3979" i="4"/>
  <c r="J3979" i="4"/>
  <c r="K3979" i="4" s="1"/>
  <c r="I3980" i="4"/>
  <c r="J3980" i="4"/>
  <c r="K3980" i="4" s="1"/>
  <c r="I3981" i="4"/>
  <c r="J3981" i="4"/>
  <c r="K3981" i="4" s="1"/>
  <c r="I3982" i="4"/>
  <c r="J3982" i="4"/>
  <c r="K3982" i="4" s="1"/>
  <c r="I3983" i="4"/>
  <c r="J3983" i="4"/>
  <c r="K3983" i="4" s="1"/>
  <c r="I3984" i="4"/>
  <c r="J3984" i="4"/>
  <c r="K3984" i="4" s="1"/>
  <c r="I3985" i="4"/>
  <c r="J3985" i="4"/>
  <c r="K3985" i="4" s="1"/>
  <c r="I3986" i="4"/>
  <c r="J3986" i="4"/>
  <c r="K3986" i="4" s="1"/>
  <c r="I3987" i="4"/>
  <c r="J3987" i="4"/>
  <c r="K3987" i="4" s="1"/>
  <c r="I3988" i="4"/>
  <c r="J3988" i="4"/>
  <c r="K3988" i="4" s="1"/>
  <c r="I3989" i="4"/>
  <c r="J3989" i="4"/>
  <c r="K3989" i="4" s="1"/>
  <c r="I3990" i="4"/>
  <c r="J3990" i="4"/>
  <c r="K3990" i="4" s="1"/>
  <c r="I3991" i="4"/>
  <c r="J3991" i="4"/>
  <c r="K3991" i="4" s="1"/>
  <c r="I3992" i="4"/>
  <c r="J3992" i="4"/>
  <c r="K3992" i="4" s="1"/>
  <c r="I3993" i="4"/>
  <c r="J3993" i="4"/>
  <c r="K3993" i="4" s="1"/>
  <c r="I3994" i="4"/>
  <c r="J3994" i="4"/>
  <c r="K3994" i="4" s="1"/>
  <c r="I3995" i="4"/>
  <c r="J3995" i="4"/>
  <c r="K3995" i="4" s="1"/>
  <c r="I3996" i="4"/>
  <c r="J3996" i="4"/>
  <c r="K3996" i="4" s="1"/>
  <c r="I3997" i="4"/>
  <c r="J3997" i="4"/>
  <c r="K3997" i="4" s="1"/>
  <c r="I3998" i="4"/>
  <c r="J3998" i="4"/>
  <c r="K3998" i="4" s="1"/>
  <c r="I3999" i="4"/>
  <c r="J3999" i="4"/>
  <c r="K3999" i="4" s="1"/>
  <c r="I4000" i="4"/>
  <c r="J4000" i="4"/>
  <c r="K4000" i="4" s="1"/>
  <c r="I4001" i="4"/>
  <c r="J4001" i="4"/>
  <c r="K4001" i="4" s="1"/>
  <c r="I4002" i="4"/>
  <c r="J4002" i="4"/>
  <c r="K4002" i="4" s="1"/>
  <c r="I4003" i="4"/>
  <c r="J4003" i="4"/>
  <c r="K4003" i="4" s="1"/>
  <c r="I4004" i="4"/>
  <c r="J4004" i="4"/>
  <c r="K4004" i="4" s="1"/>
  <c r="I4005" i="4"/>
  <c r="J4005" i="4"/>
  <c r="K4005" i="4" s="1"/>
  <c r="I4006" i="4"/>
  <c r="J4006" i="4"/>
  <c r="K4006" i="4" s="1"/>
  <c r="I4007" i="4"/>
  <c r="J4007" i="4"/>
  <c r="K4007" i="4" s="1"/>
  <c r="I4008" i="4"/>
  <c r="J4008" i="4"/>
  <c r="K4008" i="4" s="1"/>
  <c r="I4009" i="4"/>
  <c r="J4009" i="4"/>
  <c r="K4009" i="4" s="1"/>
  <c r="I4010" i="4"/>
  <c r="J4010" i="4"/>
  <c r="K4010" i="4" s="1"/>
  <c r="I4011" i="4"/>
  <c r="J4011" i="4"/>
  <c r="K4011" i="4" s="1"/>
  <c r="I4012" i="4"/>
  <c r="J4012" i="4"/>
  <c r="K4012" i="4" s="1"/>
  <c r="I4013" i="4"/>
  <c r="J4013" i="4"/>
  <c r="K4013" i="4" s="1"/>
  <c r="I4014" i="4"/>
  <c r="J4014" i="4"/>
  <c r="K4014" i="4" s="1"/>
  <c r="I4015" i="4"/>
  <c r="J4015" i="4"/>
  <c r="K4015" i="4" s="1"/>
  <c r="I4016" i="4"/>
  <c r="J4016" i="4"/>
  <c r="K4016" i="4" s="1"/>
  <c r="I4017" i="4"/>
  <c r="J4017" i="4"/>
  <c r="K4017" i="4" s="1"/>
  <c r="I4018" i="4"/>
  <c r="J4018" i="4"/>
  <c r="K4018" i="4" s="1"/>
  <c r="I4019" i="4"/>
  <c r="J4019" i="4"/>
  <c r="K4019" i="4" s="1"/>
  <c r="I4020" i="4"/>
  <c r="J4020" i="4"/>
  <c r="K4020" i="4" s="1"/>
  <c r="I4021" i="4"/>
  <c r="J4021" i="4"/>
  <c r="K4021" i="4" s="1"/>
  <c r="I4022" i="4"/>
  <c r="J4022" i="4"/>
  <c r="K4022" i="4" s="1"/>
  <c r="I4023" i="4"/>
  <c r="J4023" i="4"/>
  <c r="K4023" i="4" s="1"/>
  <c r="I4024" i="4"/>
  <c r="J4024" i="4"/>
  <c r="K4024" i="4" s="1"/>
  <c r="I4025" i="4"/>
  <c r="J4025" i="4"/>
  <c r="K4025" i="4" s="1"/>
  <c r="I4026" i="4"/>
  <c r="J4026" i="4"/>
  <c r="K4026" i="4" s="1"/>
  <c r="I4027" i="4"/>
  <c r="J4027" i="4"/>
  <c r="K4027" i="4" s="1"/>
  <c r="I4028" i="4"/>
  <c r="J4028" i="4"/>
  <c r="K4028" i="4" s="1"/>
  <c r="I4029" i="4"/>
  <c r="J4029" i="4"/>
  <c r="K4029" i="4" s="1"/>
  <c r="I4030" i="4"/>
  <c r="J4030" i="4"/>
  <c r="K4030" i="4" s="1"/>
  <c r="I4031" i="4"/>
  <c r="J4031" i="4"/>
  <c r="K4031" i="4" s="1"/>
  <c r="I4032" i="4"/>
  <c r="J4032" i="4"/>
  <c r="K4032" i="4" s="1"/>
  <c r="I4033" i="4"/>
  <c r="J4033" i="4"/>
  <c r="K4033" i="4" s="1"/>
  <c r="I4034" i="4"/>
  <c r="J4034" i="4"/>
  <c r="K4034" i="4" s="1"/>
  <c r="I4035" i="4"/>
  <c r="J4035" i="4"/>
  <c r="K4035" i="4" s="1"/>
  <c r="I4036" i="4"/>
  <c r="J4036" i="4"/>
  <c r="K4036" i="4" s="1"/>
  <c r="I4037" i="4"/>
  <c r="J4037" i="4"/>
  <c r="K4037" i="4" s="1"/>
  <c r="I4038" i="4"/>
  <c r="J4038" i="4"/>
  <c r="K4038" i="4" s="1"/>
  <c r="I4039" i="4"/>
  <c r="J4039" i="4"/>
  <c r="K4039" i="4" s="1"/>
  <c r="I4040" i="4"/>
  <c r="J4040" i="4"/>
  <c r="K4040" i="4" s="1"/>
  <c r="I4041" i="4"/>
  <c r="J4041" i="4"/>
  <c r="K4041" i="4" s="1"/>
  <c r="I4042" i="4"/>
  <c r="J4042" i="4"/>
  <c r="K4042" i="4" s="1"/>
  <c r="I4043" i="4"/>
  <c r="J4043" i="4"/>
  <c r="K4043" i="4" s="1"/>
  <c r="I4044" i="4"/>
  <c r="J4044" i="4"/>
  <c r="K4044" i="4" s="1"/>
  <c r="I4045" i="4"/>
  <c r="J4045" i="4"/>
  <c r="K4045" i="4" s="1"/>
  <c r="I4046" i="4"/>
  <c r="J4046" i="4"/>
  <c r="K4046" i="4" s="1"/>
  <c r="I4047" i="4"/>
  <c r="J4047" i="4"/>
  <c r="K4047" i="4" s="1"/>
  <c r="I4048" i="4"/>
  <c r="J4048" i="4"/>
  <c r="K4048" i="4" s="1"/>
  <c r="I4049" i="4"/>
  <c r="J4049" i="4"/>
  <c r="K4049" i="4" s="1"/>
  <c r="I4050" i="4"/>
  <c r="J4050" i="4"/>
  <c r="K4050" i="4" s="1"/>
  <c r="I4051" i="4"/>
  <c r="J4051" i="4"/>
  <c r="K4051" i="4" s="1"/>
  <c r="I4052" i="4"/>
  <c r="J4052" i="4"/>
  <c r="K4052" i="4" s="1"/>
  <c r="I4053" i="4"/>
  <c r="J4053" i="4"/>
  <c r="K4053" i="4" s="1"/>
  <c r="I4054" i="4"/>
  <c r="J4054" i="4"/>
  <c r="K4054" i="4" s="1"/>
  <c r="I4055" i="4"/>
  <c r="J4055" i="4"/>
  <c r="K4055" i="4" s="1"/>
  <c r="I4056" i="4"/>
  <c r="J4056" i="4"/>
  <c r="K4056" i="4" s="1"/>
  <c r="I4057" i="4"/>
  <c r="J4057" i="4"/>
  <c r="K4057" i="4" s="1"/>
  <c r="I4058" i="4"/>
  <c r="J4058" i="4"/>
  <c r="K4058" i="4" s="1"/>
  <c r="I4059" i="4"/>
  <c r="J4059" i="4"/>
  <c r="K4059" i="4" s="1"/>
  <c r="I4060" i="4"/>
  <c r="J4060" i="4"/>
  <c r="K4060" i="4" s="1"/>
  <c r="I4061" i="4"/>
  <c r="J4061" i="4"/>
  <c r="K4061" i="4" s="1"/>
  <c r="I4062" i="4"/>
  <c r="J4062" i="4"/>
  <c r="K4062" i="4" s="1"/>
  <c r="I4063" i="4"/>
  <c r="J4063" i="4"/>
  <c r="K4063" i="4" s="1"/>
  <c r="I4064" i="4"/>
  <c r="J4064" i="4"/>
  <c r="K4064" i="4" s="1"/>
  <c r="I4065" i="4"/>
  <c r="J4065" i="4"/>
  <c r="K4065" i="4" s="1"/>
  <c r="I4066" i="4"/>
  <c r="J4066" i="4"/>
  <c r="K4066" i="4" s="1"/>
  <c r="I4067" i="4"/>
  <c r="J4067" i="4"/>
  <c r="K4067" i="4" s="1"/>
  <c r="I4068" i="4"/>
  <c r="J4068" i="4"/>
  <c r="K4068" i="4" s="1"/>
  <c r="I4069" i="4"/>
  <c r="J4069" i="4"/>
  <c r="K4069" i="4" s="1"/>
  <c r="I4070" i="4"/>
  <c r="J4070" i="4"/>
  <c r="K4070" i="4" s="1"/>
  <c r="I4071" i="4"/>
  <c r="J4071" i="4"/>
  <c r="K4071" i="4" s="1"/>
  <c r="I4072" i="4"/>
  <c r="J4072" i="4"/>
  <c r="K4072" i="4" s="1"/>
  <c r="I4073" i="4"/>
  <c r="J4073" i="4"/>
  <c r="K4073" i="4" s="1"/>
  <c r="I4074" i="4"/>
  <c r="J4074" i="4"/>
  <c r="K4074" i="4" s="1"/>
  <c r="I4075" i="4"/>
  <c r="J4075" i="4"/>
  <c r="K4075" i="4" s="1"/>
  <c r="I4076" i="4"/>
  <c r="J4076" i="4"/>
  <c r="K4076" i="4" s="1"/>
  <c r="I4077" i="4"/>
  <c r="J4077" i="4"/>
  <c r="K4077" i="4" s="1"/>
  <c r="I4078" i="4"/>
  <c r="J4078" i="4"/>
  <c r="K4078" i="4" s="1"/>
  <c r="I4079" i="4"/>
  <c r="J4079" i="4"/>
  <c r="K4079" i="4" s="1"/>
  <c r="I4080" i="4"/>
  <c r="J4080" i="4"/>
  <c r="K4080" i="4" s="1"/>
  <c r="I4081" i="4"/>
  <c r="J4081" i="4"/>
  <c r="K4081" i="4" s="1"/>
  <c r="I4082" i="4"/>
  <c r="J4082" i="4"/>
  <c r="K4082" i="4" s="1"/>
  <c r="I4083" i="4"/>
  <c r="J4083" i="4"/>
  <c r="K4083" i="4" s="1"/>
  <c r="I4084" i="4"/>
  <c r="J4084" i="4"/>
  <c r="K4084" i="4" s="1"/>
  <c r="I4085" i="4"/>
  <c r="J4085" i="4"/>
  <c r="K4085" i="4" s="1"/>
  <c r="I4086" i="4"/>
  <c r="J4086" i="4"/>
  <c r="K4086" i="4" s="1"/>
  <c r="I4087" i="4"/>
  <c r="J4087" i="4"/>
  <c r="K4087" i="4" s="1"/>
  <c r="I4088" i="4"/>
  <c r="J4088" i="4"/>
  <c r="K4088" i="4" s="1"/>
  <c r="I4089" i="4"/>
  <c r="J4089" i="4"/>
  <c r="K4089" i="4" s="1"/>
  <c r="I4090" i="4"/>
  <c r="J4090" i="4"/>
  <c r="K4090" i="4" s="1"/>
  <c r="I4091" i="4"/>
  <c r="J4091" i="4"/>
  <c r="K4091" i="4" s="1"/>
  <c r="I4092" i="4"/>
  <c r="J4092" i="4"/>
  <c r="K4092" i="4" s="1"/>
  <c r="I4093" i="4"/>
  <c r="J4093" i="4"/>
  <c r="K4093" i="4" s="1"/>
  <c r="I4094" i="4"/>
  <c r="J4094" i="4"/>
  <c r="K4094" i="4" s="1"/>
  <c r="I4095" i="4"/>
  <c r="J4095" i="4"/>
  <c r="K4095" i="4" s="1"/>
  <c r="I4096" i="4"/>
  <c r="J4096" i="4"/>
  <c r="K4096" i="4" s="1"/>
  <c r="I4097" i="4"/>
  <c r="J4097" i="4"/>
  <c r="K4097" i="4" s="1"/>
  <c r="I4098" i="4"/>
  <c r="J4098" i="4"/>
  <c r="K4098" i="4" s="1"/>
  <c r="I4099" i="4"/>
  <c r="J4099" i="4"/>
  <c r="K4099" i="4" s="1"/>
  <c r="I4100" i="4"/>
  <c r="J4100" i="4"/>
  <c r="K4100" i="4" s="1"/>
  <c r="I4101" i="4"/>
  <c r="J4101" i="4"/>
  <c r="K4101" i="4" s="1"/>
  <c r="I4102" i="4"/>
  <c r="J4102" i="4"/>
  <c r="K4102" i="4" s="1"/>
  <c r="I4103" i="4"/>
  <c r="J4103" i="4"/>
  <c r="K4103" i="4" s="1"/>
  <c r="I4104" i="4"/>
  <c r="J4104" i="4"/>
  <c r="K4104" i="4" s="1"/>
  <c r="I4105" i="4"/>
  <c r="J4105" i="4"/>
  <c r="K4105" i="4" s="1"/>
  <c r="I4106" i="4"/>
  <c r="J4106" i="4"/>
  <c r="K4106" i="4" s="1"/>
  <c r="I4107" i="4"/>
  <c r="J4107" i="4"/>
  <c r="K4107" i="4" s="1"/>
  <c r="I4108" i="4"/>
  <c r="J4108" i="4"/>
  <c r="K4108" i="4" s="1"/>
  <c r="I4109" i="4"/>
  <c r="J4109" i="4"/>
  <c r="K4109" i="4" s="1"/>
  <c r="I4110" i="4"/>
  <c r="J4110" i="4"/>
  <c r="K4110" i="4" s="1"/>
  <c r="I4111" i="4"/>
  <c r="J4111" i="4"/>
  <c r="K4111" i="4" s="1"/>
  <c r="I4112" i="4"/>
  <c r="J4112" i="4"/>
  <c r="K4112" i="4" s="1"/>
  <c r="I4113" i="4"/>
  <c r="J4113" i="4"/>
  <c r="K4113" i="4" s="1"/>
  <c r="I4114" i="4"/>
  <c r="J4114" i="4"/>
  <c r="K4114" i="4" s="1"/>
  <c r="I4115" i="4"/>
  <c r="J4115" i="4"/>
  <c r="K4115" i="4" s="1"/>
  <c r="I4116" i="4"/>
  <c r="J4116" i="4"/>
  <c r="K4116" i="4" s="1"/>
  <c r="I4117" i="4"/>
  <c r="J4117" i="4"/>
  <c r="K4117" i="4" s="1"/>
  <c r="I4118" i="4"/>
  <c r="J4118" i="4"/>
  <c r="K4118" i="4" s="1"/>
  <c r="I4119" i="4"/>
  <c r="J4119" i="4"/>
  <c r="K4119" i="4" s="1"/>
  <c r="I4120" i="4"/>
  <c r="J4120" i="4"/>
  <c r="K4120" i="4" s="1"/>
  <c r="I4121" i="4"/>
  <c r="J4121" i="4"/>
  <c r="K4121" i="4" s="1"/>
  <c r="I4122" i="4"/>
  <c r="J4122" i="4"/>
  <c r="K4122" i="4" s="1"/>
  <c r="I4123" i="4"/>
  <c r="J4123" i="4"/>
  <c r="K4123" i="4" s="1"/>
  <c r="I4124" i="4"/>
  <c r="J4124" i="4"/>
  <c r="K4124" i="4" s="1"/>
  <c r="I4125" i="4"/>
  <c r="J4125" i="4"/>
  <c r="K4125" i="4" s="1"/>
  <c r="I4126" i="4"/>
  <c r="J4126" i="4"/>
  <c r="K4126" i="4" s="1"/>
  <c r="I4127" i="4"/>
  <c r="J4127" i="4"/>
  <c r="K4127" i="4" s="1"/>
  <c r="I4128" i="4"/>
  <c r="J4128" i="4"/>
  <c r="K4128" i="4" s="1"/>
  <c r="I4129" i="4"/>
  <c r="J4129" i="4"/>
  <c r="K4129" i="4" s="1"/>
  <c r="I4130" i="4"/>
  <c r="J4130" i="4"/>
  <c r="K4130" i="4" s="1"/>
  <c r="I4131" i="4"/>
  <c r="J4131" i="4"/>
  <c r="K4131" i="4" s="1"/>
  <c r="I4132" i="4"/>
  <c r="J4132" i="4"/>
  <c r="K4132" i="4" s="1"/>
  <c r="I4133" i="4"/>
  <c r="J4133" i="4"/>
  <c r="K4133" i="4" s="1"/>
  <c r="I4134" i="4"/>
  <c r="J4134" i="4"/>
  <c r="K4134" i="4" s="1"/>
  <c r="I4135" i="4"/>
  <c r="J4135" i="4"/>
  <c r="K4135" i="4" s="1"/>
  <c r="I4136" i="4"/>
  <c r="J4136" i="4"/>
  <c r="K4136" i="4" s="1"/>
  <c r="I4137" i="4"/>
  <c r="J4137" i="4"/>
  <c r="K4137" i="4" s="1"/>
  <c r="I4138" i="4"/>
  <c r="J4138" i="4"/>
  <c r="K4138" i="4" s="1"/>
  <c r="I4139" i="4"/>
  <c r="J4139" i="4"/>
  <c r="K4139" i="4" s="1"/>
  <c r="I4140" i="4"/>
  <c r="J4140" i="4"/>
  <c r="K4140" i="4" s="1"/>
  <c r="I4141" i="4"/>
  <c r="J4141" i="4"/>
  <c r="K4141" i="4" s="1"/>
  <c r="I4142" i="4"/>
  <c r="J4142" i="4"/>
  <c r="K4142" i="4" s="1"/>
  <c r="I4143" i="4"/>
  <c r="J4143" i="4"/>
  <c r="K4143" i="4" s="1"/>
  <c r="I4144" i="4"/>
  <c r="J4144" i="4"/>
  <c r="K4144" i="4" s="1"/>
  <c r="I4145" i="4"/>
  <c r="J4145" i="4"/>
  <c r="K4145" i="4" s="1"/>
  <c r="I4146" i="4"/>
  <c r="J4146" i="4"/>
  <c r="K4146" i="4" s="1"/>
  <c r="I4147" i="4"/>
  <c r="J4147" i="4"/>
  <c r="K4147" i="4" s="1"/>
  <c r="I4148" i="4"/>
  <c r="J4148" i="4"/>
  <c r="K4148" i="4" s="1"/>
  <c r="I4149" i="4"/>
  <c r="J4149" i="4"/>
  <c r="K4149" i="4" s="1"/>
  <c r="I4150" i="4"/>
  <c r="J4150" i="4"/>
  <c r="K4150" i="4" s="1"/>
  <c r="I4151" i="4"/>
  <c r="J4151" i="4"/>
  <c r="K4151" i="4" s="1"/>
  <c r="I4152" i="4"/>
  <c r="J4152" i="4"/>
  <c r="K4152" i="4" s="1"/>
  <c r="I4153" i="4"/>
  <c r="J4153" i="4"/>
  <c r="K4153" i="4" s="1"/>
  <c r="I4154" i="4"/>
  <c r="J4154" i="4"/>
  <c r="K4154" i="4" s="1"/>
  <c r="I4155" i="4"/>
  <c r="J4155" i="4"/>
  <c r="K4155" i="4" s="1"/>
  <c r="I4156" i="4"/>
  <c r="J4156" i="4"/>
  <c r="K4156" i="4" s="1"/>
  <c r="I4157" i="4"/>
  <c r="J4157" i="4"/>
  <c r="K4157" i="4" s="1"/>
  <c r="I4158" i="4"/>
  <c r="J4158" i="4"/>
  <c r="K4158" i="4" s="1"/>
  <c r="I4159" i="4"/>
  <c r="J4159" i="4"/>
  <c r="K4159" i="4" s="1"/>
  <c r="I4160" i="4"/>
  <c r="J4160" i="4"/>
  <c r="K4160" i="4" s="1"/>
  <c r="I4161" i="4"/>
  <c r="J4161" i="4"/>
  <c r="K4161" i="4" s="1"/>
  <c r="I4162" i="4"/>
  <c r="J4162" i="4"/>
  <c r="K4162" i="4" s="1"/>
  <c r="I4163" i="4"/>
  <c r="J4163" i="4"/>
  <c r="K4163" i="4" s="1"/>
  <c r="I4164" i="4"/>
  <c r="J4164" i="4"/>
  <c r="K4164" i="4" s="1"/>
  <c r="I4165" i="4"/>
  <c r="J4165" i="4"/>
  <c r="K4165" i="4" s="1"/>
  <c r="I4166" i="4"/>
  <c r="J4166" i="4"/>
  <c r="K4166" i="4" s="1"/>
  <c r="I4167" i="4"/>
  <c r="J4167" i="4"/>
  <c r="K4167" i="4" s="1"/>
  <c r="I4168" i="4"/>
  <c r="J4168" i="4"/>
  <c r="K4168" i="4" s="1"/>
  <c r="I4169" i="4"/>
  <c r="J4169" i="4"/>
  <c r="K4169" i="4" s="1"/>
  <c r="I4170" i="4"/>
  <c r="J4170" i="4"/>
  <c r="K4170" i="4" s="1"/>
  <c r="I4171" i="4"/>
  <c r="J4171" i="4"/>
  <c r="K4171" i="4" s="1"/>
  <c r="I4172" i="4"/>
  <c r="J4172" i="4"/>
  <c r="K4172" i="4" s="1"/>
  <c r="I4173" i="4"/>
  <c r="J4173" i="4"/>
  <c r="K4173" i="4" s="1"/>
  <c r="I4174" i="4"/>
  <c r="J4174" i="4"/>
  <c r="K4174" i="4" s="1"/>
  <c r="I4175" i="4"/>
  <c r="J4175" i="4"/>
  <c r="K4175" i="4" s="1"/>
  <c r="I4176" i="4"/>
  <c r="J4176" i="4"/>
  <c r="K4176" i="4" s="1"/>
  <c r="I4177" i="4"/>
  <c r="J4177" i="4"/>
  <c r="K4177" i="4" s="1"/>
  <c r="I4178" i="4"/>
  <c r="J4178" i="4"/>
  <c r="K4178" i="4" s="1"/>
  <c r="I4179" i="4"/>
  <c r="J4179" i="4"/>
  <c r="K4179" i="4" s="1"/>
  <c r="I4180" i="4"/>
  <c r="J4180" i="4"/>
  <c r="K4180" i="4" s="1"/>
  <c r="I4181" i="4"/>
  <c r="J4181" i="4"/>
  <c r="K4181" i="4" s="1"/>
  <c r="I4182" i="4"/>
  <c r="J4182" i="4"/>
  <c r="K4182" i="4" s="1"/>
  <c r="I4183" i="4"/>
  <c r="J4183" i="4"/>
  <c r="K4183" i="4" s="1"/>
  <c r="I4184" i="4"/>
  <c r="J4184" i="4"/>
  <c r="K4184" i="4" s="1"/>
  <c r="I4185" i="4"/>
  <c r="J4185" i="4"/>
  <c r="K4185" i="4" s="1"/>
  <c r="I4186" i="4"/>
  <c r="J4186" i="4"/>
  <c r="K4186" i="4" s="1"/>
  <c r="I4187" i="4"/>
  <c r="J4187" i="4"/>
  <c r="K4187" i="4" s="1"/>
  <c r="I4188" i="4"/>
  <c r="J4188" i="4"/>
  <c r="K4188" i="4" s="1"/>
  <c r="I4189" i="4"/>
  <c r="J4189" i="4"/>
  <c r="K4189" i="4" s="1"/>
  <c r="I4190" i="4"/>
  <c r="J4190" i="4"/>
  <c r="K4190" i="4" s="1"/>
  <c r="I4191" i="4"/>
  <c r="J4191" i="4"/>
  <c r="K4191" i="4" s="1"/>
  <c r="I4192" i="4"/>
  <c r="J4192" i="4"/>
  <c r="K4192" i="4" s="1"/>
  <c r="I4193" i="4"/>
  <c r="J4193" i="4"/>
  <c r="K4193" i="4" s="1"/>
  <c r="I4194" i="4"/>
  <c r="J4194" i="4"/>
  <c r="K4194" i="4" s="1"/>
  <c r="I4195" i="4"/>
  <c r="J4195" i="4"/>
  <c r="K4195" i="4" s="1"/>
  <c r="I4196" i="4"/>
  <c r="J4196" i="4"/>
  <c r="K4196" i="4" s="1"/>
  <c r="I4197" i="4"/>
  <c r="J4197" i="4"/>
  <c r="K4197" i="4" s="1"/>
  <c r="I4198" i="4"/>
  <c r="J4198" i="4"/>
  <c r="K4198" i="4" s="1"/>
  <c r="I4199" i="4"/>
  <c r="J4199" i="4"/>
  <c r="K4199" i="4" s="1"/>
  <c r="I4200" i="4"/>
  <c r="J4200" i="4"/>
  <c r="K4200" i="4" s="1"/>
  <c r="I4201" i="4"/>
  <c r="J4201" i="4"/>
  <c r="K4201" i="4" s="1"/>
  <c r="I4202" i="4"/>
  <c r="J4202" i="4"/>
  <c r="K4202" i="4" s="1"/>
  <c r="I4203" i="4"/>
  <c r="J4203" i="4"/>
  <c r="K4203" i="4" s="1"/>
  <c r="I4204" i="4"/>
  <c r="J4204" i="4"/>
  <c r="K4204" i="4" s="1"/>
  <c r="I4205" i="4"/>
  <c r="J4205" i="4"/>
  <c r="K4205" i="4" s="1"/>
  <c r="I4206" i="4"/>
  <c r="J4206" i="4"/>
  <c r="K4206" i="4" s="1"/>
  <c r="I4207" i="4"/>
  <c r="J4207" i="4"/>
  <c r="K4207" i="4" s="1"/>
  <c r="I4208" i="4"/>
  <c r="J4208" i="4"/>
  <c r="K4208" i="4" s="1"/>
  <c r="I4209" i="4"/>
  <c r="J4209" i="4"/>
  <c r="K4209" i="4" s="1"/>
  <c r="I4210" i="4"/>
  <c r="J4210" i="4"/>
  <c r="K4210" i="4" s="1"/>
  <c r="I4211" i="4"/>
  <c r="J4211" i="4"/>
  <c r="K4211" i="4" s="1"/>
  <c r="I4212" i="4"/>
  <c r="J4212" i="4"/>
  <c r="K4212" i="4" s="1"/>
  <c r="I4213" i="4"/>
  <c r="J4213" i="4"/>
  <c r="K4213" i="4" s="1"/>
  <c r="I4214" i="4"/>
  <c r="J4214" i="4"/>
  <c r="K4214" i="4" s="1"/>
  <c r="I4215" i="4"/>
  <c r="J4215" i="4"/>
  <c r="K4215" i="4" s="1"/>
  <c r="I4216" i="4"/>
  <c r="J4216" i="4"/>
  <c r="K4216" i="4" s="1"/>
  <c r="I4217" i="4"/>
  <c r="J4217" i="4"/>
  <c r="K4217" i="4" s="1"/>
  <c r="I4218" i="4"/>
  <c r="J4218" i="4"/>
  <c r="K4218" i="4" s="1"/>
  <c r="I4219" i="4"/>
  <c r="J4219" i="4"/>
  <c r="K4219" i="4" s="1"/>
  <c r="I4220" i="4"/>
  <c r="J4220" i="4"/>
  <c r="K4220" i="4" s="1"/>
  <c r="I4221" i="4"/>
  <c r="J4221" i="4"/>
  <c r="K4221" i="4" s="1"/>
  <c r="I4222" i="4"/>
  <c r="J4222" i="4"/>
  <c r="K4222" i="4" s="1"/>
  <c r="I4223" i="4"/>
  <c r="J4223" i="4"/>
  <c r="K4223" i="4" s="1"/>
  <c r="I4224" i="4"/>
  <c r="J4224" i="4"/>
  <c r="K4224" i="4" s="1"/>
  <c r="I4225" i="4"/>
  <c r="J4225" i="4"/>
  <c r="K4225" i="4" s="1"/>
  <c r="I4226" i="4"/>
  <c r="J4226" i="4"/>
  <c r="K4226" i="4" s="1"/>
  <c r="I4227" i="4"/>
  <c r="J4227" i="4"/>
  <c r="K4227" i="4" s="1"/>
  <c r="I4228" i="4"/>
  <c r="J4228" i="4"/>
  <c r="K4228" i="4" s="1"/>
  <c r="I4229" i="4"/>
  <c r="J4229" i="4"/>
  <c r="K4229" i="4" s="1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C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C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B626" i="4"/>
  <c r="C626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C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C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B678" i="4"/>
  <c r="C678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C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C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B730" i="4"/>
  <c r="C730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C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C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B782" i="4"/>
  <c r="C782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C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C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B834" i="4"/>
  <c r="C834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C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C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B886" i="4"/>
  <c r="C886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C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C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B938" i="4"/>
  <c r="C938" i="4"/>
  <c r="B939" i="4"/>
  <c r="C939" i="4"/>
  <c r="B940" i="4"/>
  <c r="C940" i="4"/>
  <c r="B941" i="4"/>
  <c r="C941" i="4"/>
  <c r="B942" i="4"/>
  <c r="C942" i="4"/>
  <c r="B943" i="4"/>
  <c r="C943" i="4"/>
  <c r="B944" i="4"/>
  <c r="C944" i="4"/>
  <c r="B945" i="4"/>
  <c r="C945" i="4"/>
  <c r="B946" i="4"/>
  <c r="C946" i="4"/>
  <c r="B947" i="4"/>
  <c r="C947" i="4"/>
  <c r="B948" i="4"/>
  <c r="C948" i="4"/>
  <c r="B949" i="4"/>
  <c r="C949" i="4"/>
  <c r="B950" i="4"/>
  <c r="C950" i="4"/>
  <c r="B951" i="4"/>
  <c r="C951" i="4"/>
  <c r="B952" i="4"/>
  <c r="C952" i="4"/>
  <c r="B953" i="4"/>
  <c r="C953" i="4"/>
  <c r="B954" i="4"/>
  <c r="C954" i="4"/>
  <c r="B955" i="4"/>
  <c r="C955" i="4"/>
  <c r="B956" i="4"/>
  <c r="C956" i="4"/>
  <c r="B957" i="4"/>
  <c r="C957" i="4"/>
  <c r="B958" i="4"/>
  <c r="C958" i="4"/>
  <c r="B959" i="4"/>
  <c r="C959" i="4"/>
  <c r="B960" i="4"/>
  <c r="C960" i="4"/>
  <c r="B961" i="4"/>
  <c r="C961" i="4"/>
  <c r="B962" i="4"/>
  <c r="C962" i="4"/>
  <c r="B963" i="4"/>
  <c r="C963" i="4"/>
  <c r="B964" i="4"/>
  <c r="C964" i="4"/>
  <c r="B965" i="4"/>
  <c r="C965" i="4"/>
  <c r="B966" i="4"/>
  <c r="C966" i="4"/>
  <c r="B967" i="4"/>
  <c r="C967" i="4"/>
  <c r="B968" i="4"/>
  <c r="C968" i="4"/>
  <c r="B969" i="4"/>
  <c r="C969" i="4"/>
  <c r="B970" i="4"/>
  <c r="C970" i="4"/>
  <c r="B971" i="4"/>
  <c r="C971" i="4"/>
  <c r="B972" i="4"/>
  <c r="C972" i="4"/>
  <c r="B973" i="4"/>
  <c r="C973" i="4"/>
  <c r="B974" i="4"/>
  <c r="C974" i="4"/>
  <c r="B975" i="4"/>
  <c r="C975" i="4"/>
  <c r="B976" i="4"/>
  <c r="C976" i="4"/>
  <c r="B977" i="4"/>
  <c r="C977" i="4"/>
  <c r="B978" i="4"/>
  <c r="C978" i="4"/>
  <c r="B979" i="4"/>
  <c r="C979" i="4"/>
  <c r="B980" i="4"/>
  <c r="C980" i="4"/>
  <c r="B981" i="4"/>
  <c r="C981" i="4"/>
  <c r="B982" i="4"/>
  <c r="C982" i="4"/>
  <c r="B983" i="4"/>
  <c r="C983" i="4"/>
  <c r="B984" i="4"/>
  <c r="C984" i="4"/>
  <c r="B985" i="4"/>
  <c r="C985" i="4"/>
  <c r="B986" i="4"/>
  <c r="C986" i="4"/>
  <c r="B987" i="4"/>
  <c r="C987" i="4"/>
  <c r="B988" i="4"/>
  <c r="C988" i="4"/>
  <c r="B989" i="4"/>
  <c r="C989" i="4"/>
  <c r="B990" i="4"/>
  <c r="C990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C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C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B1042" i="4"/>
  <c r="C1042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C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C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94" i="4"/>
  <c r="C1094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C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C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146" i="4"/>
  <c r="C1146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C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C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98" i="4"/>
  <c r="C1198" i="4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C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C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250" i="4"/>
  <c r="C1250" i="4"/>
  <c r="B1251" i="4"/>
  <c r="C1251" i="4"/>
  <c r="B1252" i="4"/>
  <c r="C1252" i="4"/>
  <c r="B1253" i="4"/>
  <c r="C1253" i="4"/>
  <c r="B1254" i="4"/>
  <c r="C1254" i="4"/>
  <c r="B1255" i="4"/>
  <c r="C1255" i="4"/>
  <c r="B1256" i="4"/>
  <c r="C1256" i="4"/>
  <c r="B1257" i="4"/>
  <c r="C1257" i="4"/>
  <c r="B1258" i="4"/>
  <c r="C1258" i="4"/>
  <c r="B1259" i="4"/>
  <c r="C1259" i="4"/>
  <c r="B1260" i="4"/>
  <c r="C1260" i="4"/>
  <c r="B1261" i="4"/>
  <c r="C1261" i="4"/>
  <c r="B1262" i="4"/>
  <c r="C1262" i="4"/>
  <c r="B1263" i="4"/>
  <c r="C1263" i="4"/>
  <c r="B1264" i="4"/>
  <c r="C1264" i="4"/>
  <c r="B1265" i="4"/>
  <c r="C1265" i="4"/>
  <c r="B1266" i="4"/>
  <c r="C1266" i="4"/>
  <c r="B1267" i="4"/>
  <c r="C1267" i="4"/>
  <c r="B1268" i="4"/>
  <c r="C1268" i="4"/>
  <c r="B1269" i="4"/>
  <c r="C1269" i="4"/>
  <c r="B1270" i="4"/>
  <c r="C1270" i="4"/>
  <c r="B1271" i="4"/>
  <c r="C1271" i="4"/>
  <c r="B1272" i="4"/>
  <c r="C1272" i="4"/>
  <c r="B1273" i="4"/>
  <c r="C1273" i="4"/>
  <c r="B1274" i="4"/>
  <c r="C1274" i="4"/>
  <c r="B1275" i="4"/>
  <c r="C1275" i="4"/>
  <c r="B1276" i="4"/>
  <c r="C1276" i="4"/>
  <c r="B1277" i="4"/>
  <c r="C1277" i="4"/>
  <c r="B1278" i="4"/>
  <c r="C1278" i="4"/>
  <c r="B1279" i="4"/>
  <c r="C1279" i="4"/>
  <c r="B1280" i="4"/>
  <c r="C1280" i="4"/>
  <c r="B1281" i="4"/>
  <c r="C1281" i="4"/>
  <c r="B1282" i="4"/>
  <c r="C1282" i="4"/>
  <c r="B1283" i="4"/>
  <c r="C1283" i="4"/>
  <c r="B1284" i="4"/>
  <c r="C1284" i="4"/>
  <c r="B1285" i="4"/>
  <c r="C1285" i="4"/>
  <c r="B1286" i="4"/>
  <c r="C1286" i="4"/>
  <c r="B1287" i="4"/>
  <c r="C1287" i="4"/>
  <c r="B1288" i="4"/>
  <c r="C1288" i="4"/>
  <c r="B1289" i="4"/>
  <c r="C1289" i="4"/>
  <c r="B1290" i="4"/>
  <c r="C1290" i="4"/>
  <c r="B1291" i="4"/>
  <c r="C1291" i="4"/>
  <c r="B1292" i="4"/>
  <c r="C1292" i="4"/>
  <c r="B1293" i="4"/>
  <c r="C1293" i="4"/>
  <c r="B1294" i="4"/>
  <c r="C1294" i="4"/>
  <c r="B1295" i="4"/>
  <c r="C1295" i="4"/>
  <c r="B1296" i="4"/>
  <c r="C1296" i="4"/>
  <c r="B1297" i="4"/>
  <c r="C1297" i="4"/>
  <c r="B1298" i="4"/>
  <c r="C1298" i="4"/>
  <c r="B1299" i="4"/>
  <c r="C1299" i="4"/>
  <c r="B1300" i="4"/>
  <c r="C1300" i="4"/>
  <c r="B1301" i="4"/>
  <c r="C1301" i="4"/>
  <c r="B1302" i="4"/>
  <c r="C1302" i="4"/>
  <c r="B1303" i="4"/>
  <c r="C1303" i="4"/>
  <c r="B1304" i="4"/>
  <c r="C1304" i="4"/>
  <c r="B1305" i="4"/>
  <c r="C1305" i="4"/>
  <c r="B1306" i="4"/>
  <c r="C1306" i="4"/>
  <c r="B1307" i="4"/>
  <c r="C1307" i="4"/>
  <c r="B1308" i="4"/>
  <c r="C1308" i="4"/>
  <c r="B1309" i="4"/>
  <c r="C1309" i="4"/>
  <c r="B1310" i="4"/>
  <c r="C1310" i="4"/>
  <c r="B1311" i="4"/>
  <c r="C1311" i="4"/>
  <c r="B1312" i="4"/>
  <c r="C1312" i="4"/>
  <c r="B1313" i="4"/>
  <c r="C1313" i="4"/>
  <c r="B1314" i="4"/>
  <c r="C1314" i="4"/>
  <c r="B1315" i="4"/>
  <c r="C1315" i="4"/>
  <c r="B1316" i="4"/>
  <c r="C1316" i="4"/>
  <c r="B1317" i="4"/>
  <c r="C1317" i="4"/>
  <c r="B1318" i="4"/>
  <c r="C1318" i="4"/>
  <c r="B1319" i="4"/>
  <c r="C1319" i="4"/>
  <c r="B1320" i="4"/>
  <c r="C1320" i="4"/>
  <c r="B1321" i="4"/>
  <c r="C1321" i="4"/>
  <c r="B1322" i="4"/>
  <c r="C1322" i="4"/>
  <c r="B1323" i="4"/>
  <c r="C1323" i="4"/>
  <c r="B1324" i="4"/>
  <c r="C1324" i="4"/>
  <c r="B1325" i="4"/>
  <c r="C1325" i="4"/>
  <c r="B1326" i="4"/>
  <c r="C1326" i="4"/>
  <c r="B1327" i="4"/>
  <c r="C1327" i="4"/>
  <c r="B1328" i="4"/>
  <c r="C1328" i="4"/>
  <c r="B1329" i="4"/>
  <c r="C1329" i="4"/>
  <c r="B1330" i="4"/>
  <c r="C1330" i="4"/>
  <c r="B1331" i="4"/>
  <c r="C1331" i="4"/>
  <c r="B1332" i="4"/>
  <c r="C1332" i="4"/>
  <c r="B1333" i="4"/>
  <c r="C1333" i="4"/>
  <c r="B1334" i="4"/>
  <c r="C1334" i="4"/>
  <c r="B1335" i="4"/>
  <c r="C1335" i="4"/>
  <c r="B1336" i="4"/>
  <c r="C1336" i="4"/>
  <c r="B1337" i="4"/>
  <c r="C1337" i="4"/>
  <c r="B1338" i="4"/>
  <c r="C1338" i="4"/>
  <c r="B1339" i="4"/>
  <c r="C1339" i="4"/>
  <c r="B1340" i="4"/>
  <c r="C1340" i="4"/>
  <c r="B1341" i="4"/>
  <c r="C1341" i="4"/>
  <c r="B1342" i="4"/>
  <c r="C1342" i="4"/>
  <c r="B1343" i="4"/>
  <c r="C1343" i="4"/>
  <c r="B1344" i="4"/>
  <c r="C1344" i="4"/>
  <c r="B1345" i="4"/>
  <c r="C1345" i="4"/>
  <c r="B1346" i="4"/>
  <c r="C1346" i="4"/>
  <c r="B1347" i="4"/>
  <c r="C1347" i="4"/>
  <c r="B1348" i="4"/>
  <c r="C1348" i="4"/>
  <c r="B1349" i="4"/>
  <c r="C1349" i="4"/>
  <c r="B1350" i="4"/>
  <c r="C1350" i="4"/>
  <c r="B1351" i="4"/>
  <c r="C1351" i="4"/>
  <c r="B1352" i="4"/>
  <c r="C1352" i="4"/>
  <c r="B1353" i="4"/>
  <c r="C1353" i="4"/>
  <c r="B1354" i="4"/>
  <c r="C1354" i="4"/>
  <c r="B1355" i="4"/>
  <c r="C1355" i="4"/>
  <c r="B1356" i="4"/>
  <c r="C1356" i="4"/>
  <c r="B1357" i="4"/>
  <c r="C1357" i="4"/>
  <c r="B1358" i="4"/>
  <c r="C1358" i="4"/>
  <c r="B1359" i="4"/>
  <c r="C1359" i="4"/>
  <c r="B1360" i="4"/>
  <c r="C1360" i="4"/>
  <c r="B1361" i="4"/>
  <c r="C1361" i="4"/>
  <c r="B1362" i="4"/>
  <c r="C1362" i="4"/>
  <c r="B1363" i="4"/>
  <c r="C1363" i="4"/>
  <c r="B1364" i="4"/>
  <c r="C1364" i="4"/>
  <c r="B1365" i="4"/>
  <c r="C1365" i="4"/>
  <c r="B1366" i="4"/>
  <c r="C1366" i="4"/>
  <c r="B1367" i="4"/>
  <c r="C1367" i="4"/>
  <c r="B1368" i="4"/>
  <c r="C1368" i="4"/>
  <c r="B1369" i="4"/>
  <c r="C1369" i="4"/>
  <c r="B1370" i="4"/>
  <c r="C1370" i="4"/>
  <c r="B1371" i="4"/>
  <c r="C1371" i="4"/>
  <c r="B1372" i="4"/>
  <c r="C1372" i="4"/>
  <c r="B1373" i="4"/>
  <c r="C1373" i="4"/>
  <c r="B1374" i="4"/>
  <c r="C1374" i="4"/>
  <c r="B1375" i="4"/>
  <c r="C1375" i="4"/>
  <c r="B1376" i="4"/>
  <c r="C1376" i="4"/>
  <c r="B1377" i="4"/>
  <c r="C1377" i="4"/>
  <c r="B1378" i="4"/>
  <c r="C1378" i="4"/>
  <c r="B1379" i="4"/>
  <c r="C1379" i="4"/>
  <c r="B1380" i="4"/>
  <c r="C1380" i="4"/>
  <c r="B1381" i="4"/>
  <c r="C1381" i="4"/>
  <c r="B1382" i="4"/>
  <c r="C1382" i="4"/>
  <c r="B1383" i="4"/>
  <c r="C1383" i="4"/>
  <c r="B1384" i="4"/>
  <c r="C1384" i="4"/>
  <c r="B1385" i="4"/>
  <c r="C1385" i="4"/>
  <c r="B1386" i="4"/>
  <c r="C1386" i="4"/>
  <c r="B1387" i="4"/>
  <c r="C1387" i="4"/>
  <c r="B1388" i="4"/>
  <c r="C1388" i="4"/>
  <c r="B1389" i="4"/>
  <c r="C1389" i="4"/>
  <c r="B1390" i="4"/>
  <c r="C1390" i="4"/>
  <c r="B1391" i="4"/>
  <c r="C1391" i="4"/>
  <c r="B1392" i="4"/>
  <c r="C1392" i="4"/>
  <c r="B1393" i="4"/>
  <c r="C1393" i="4"/>
  <c r="B1394" i="4"/>
  <c r="C1394" i="4"/>
  <c r="B1395" i="4"/>
  <c r="C1395" i="4"/>
  <c r="B1396" i="4"/>
  <c r="C1396" i="4"/>
  <c r="B1397" i="4"/>
  <c r="C1397" i="4"/>
  <c r="B1398" i="4"/>
  <c r="C1398" i="4"/>
  <c r="B1399" i="4"/>
  <c r="C1399" i="4"/>
  <c r="B1400" i="4"/>
  <c r="C1400" i="4"/>
  <c r="B1401" i="4"/>
  <c r="C1401" i="4"/>
  <c r="B1402" i="4"/>
  <c r="C1402" i="4"/>
  <c r="B1403" i="4"/>
  <c r="C1403" i="4"/>
  <c r="B1404" i="4"/>
  <c r="C1404" i="4"/>
  <c r="B1405" i="4"/>
  <c r="C1405" i="4"/>
  <c r="B1406" i="4"/>
  <c r="C1406" i="4"/>
  <c r="B1407" i="4"/>
  <c r="C1407" i="4"/>
  <c r="B1408" i="4"/>
  <c r="C1408" i="4"/>
  <c r="B1409" i="4"/>
  <c r="C1409" i="4"/>
  <c r="B1410" i="4"/>
  <c r="C1410" i="4"/>
  <c r="B1411" i="4"/>
  <c r="C1411" i="4"/>
  <c r="B1412" i="4"/>
  <c r="C1412" i="4"/>
  <c r="B1413" i="4"/>
  <c r="C1413" i="4"/>
  <c r="B1414" i="4"/>
  <c r="C1414" i="4"/>
  <c r="B1415" i="4"/>
  <c r="C1415" i="4"/>
  <c r="B1416" i="4"/>
  <c r="C1416" i="4"/>
  <c r="B1417" i="4"/>
  <c r="C1417" i="4"/>
  <c r="B1418" i="4"/>
  <c r="C1418" i="4"/>
  <c r="B1419" i="4"/>
  <c r="C1419" i="4"/>
  <c r="B1420" i="4"/>
  <c r="C1420" i="4"/>
  <c r="B1421" i="4"/>
  <c r="C1421" i="4"/>
  <c r="B1422" i="4"/>
  <c r="C1422" i="4"/>
  <c r="B1423" i="4"/>
  <c r="C1423" i="4"/>
  <c r="B1424" i="4"/>
  <c r="C1424" i="4"/>
  <c r="B1425" i="4"/>
  <c r="C1425" i="4"/>
  <c r="B1426" i="4"/>
  <c r="C1426" i="4"/>
  <c r="B1427" i="4"/>
  <c r="C1427" i="4"/>
  <c r="B1428" i="4"/>
  <c r="C1428" i="4"/>
  <c r="B1429" i="4"/>
  <c r="C1429" i="4"/>
  <c r="B1430" i="4"/>
  <c r="C1430" i="4"/>
  <c r="B1431" i="4"/>
  <c r="C1431" i="4"/>
  <c r="B1432" i="4"/>
  <c r="C1432" i="4"/>
  <c r="B1433" i="4"/>
  <c r="C1433" i="4"/>
  <c r="B1434" i="4"/>
  <c r="C1434" i="4"/>
  <c r="B1435" i="4"/>
  <c r="C1435" i="4"/>
  <c r="B1436" i="4"/>
  <c r="C1436" i="4"/>
  <c r="B1437" i="4"/>
  <c r="C1437" i="4"/>
  <c r="B1438" i="4"/>
  <c r="C1438" i="4"/>
  <c r="B1439" i="4"/>
  <c r="C1439" i="4"/>
  <c r="B1440" i="4"/>
  <c r="C1440" i="4"/>
  <c r="B1441" i="4"/>
  <c r="C1441" i="4"/>
  <c r="B1442" i="4"/>
  <c r="C1442" i="4"/>
  <c r="B1443" i="4"/>
  <c r="C1443" i="4"/>
  <c r="B1444" i="4"/>
  <c r="C1444" i="4"/>
  <c r="B1445" i="4"/>
  <c r="C1445" i="4"/>
  <c r="B1446" i="4"/>
  <c r="C1446" i="4"/>
  <c r="B1447" i="4"/>
  <c r="C1447" i="4"/>
  <c r="B1448" i="4"/>
  <c r="C1448" i="4"/>
  <c r="B1449" i="4"/>
  <c r="C1449" i="4"/>
  <c r="B1450" i="4"/>
  <c r="C1450" i="4"/>
  <c r="B1451" i="4"/>
  <c r="C1451" i="4"/>
  <c r="B1452" i="4"/>
  <c r="C1452" i="4"/>
  <c r="B1453" i="4"/>
  <c r="C1453" i="4"/>
  <c r="B1454" i="4"/>
  <c r="C1454" i="4"/>
  <c r="B1455" i="4"/>
  <c r="C1455" i="4"/>
  <c r="B1456" i="4"/>
  <c r="C1456" i="4"/>
  <c r="B1457" i="4"/>
  <c r="C1457" i="4"/>
  <c r="B1458" i="4"/>
  <c r="C1458" i="4"/>
  <c r="B1459" i="4"/>
  <c r="C1459" i="4"/>
  <c r="B1460" i="4"/>
  <c r="C1460" i="4"/>
  <c r="B1461" i="4"/>
  <c r="C1461" i="4"/>
  <c r="B1462" i="4"/>
  <c r="C1462" i="4"/>
  <c r="B1463" i="4"/>
  <c r="C1463" i="4"/>
  <c r="B1464" i="4"/>
  <c r="C1464" i="4"/>
  <c r="B1465" i="4"/>
  <c r="C1465" i="4"/>
  <c r="B1466" i="4"/>
  <c r="C1466" i="4"/>
  <c r="B1467" i="4"/>
  <c r="C1467" i="4"/>
  <c r="B1468" i="4"/>
  <c r="C1468" i="4"/>
  <c r="B1469" i="4"/>
  <c r="C1469" i="4"/>
  <c r="B1470" i="4"/>
  <c r="C1470" i="4"/>
  <c r="B1471" i="4"/>
  <c r="C1471" i="4"/>
  <c r="B1472" i="4"/>
  <c r="C1472" i="4"/>
  <c r="B1473" i="4"/>
  <c r="C1473" i="4"/>
  <c r="B1474" i="4"/>
  <c r="C1474" i="4"/>
  <c r="B1475" i="4"/>
  <c r="C1475" i="4"/>
  <c r="B1476" i="4"/>
  <c r="C1476" i="4"/>
  <c r="B1477" i="4"/>
  <c r="C1477" i="4"/>
  <c r="B1478" i="4"/>
  <c r="C1478" i="4"/>
  <c r="B1479" i="4"/>
  <c r="C1479" i="4"/>
  <c r="B1480" i="4"/>
  <c r="C1480" i="4"/>
  <c r="B1481" i="4"/>
  <c r="C1481" i="4"/>
  <c r="B1482" i="4"/>
  <c r="C1482" i="4"/>
  <c r="B1483" i="4"/>
  <c r="C1483" i="4"/>
  <c r="B1484" i="4"/>
  <c r="C1484" i="4"/>
  <c r="B1485" i="4"/>
  <c r="C1485" i="4"/>
  <c r="B1486" i="4"/>
  <c r="C1486" i="4"/>
  <c r="B1487" i="4"/>
  <c r="C1487" i="4"/>
  <c r="B1488" i="4"/>
  <c r="C1488" i="4"/>
  <c r="B1489" i="4"/>
  <c r="C1489" i="4"/>
  <c r="B1490" i="4"/>
  <c r="C1490" i="4"/>
  <c r="B1491" i="4"/>
  <c r="C1491" i="4"/>
  <c r="B1492" i="4"/>
  <c r="C1492" i="4"/>
  <c r="B1493" i="4"/>
  <c r="C1493" i="4"/>
  <c r="B1494" i="4"/>
  <c r="C1494" i="4"/>
  <c r="B1495" i="4"/>
  <c r="C1495" i="4"/>
  <c r="B1496" i="4"/>
  <c r="C1496" i="4"/>
  <c r="B1497" i="4"/>
  <c r="C1497" i="4"/>
  <c r="B1498" i="4"/>
  <c r="C1498" i="4"/>
  <c r="B1499" i="4"/>
  <c r="C1499" i="4"/>
  <c r="B1500" i="4"/>
  <c r="C1500" i="4"/>
  <c r="B1501" i="4"/>
  <c r="C1501" i="4"/>
  <c r="B1502" i="4"/>
  <c r="C1502" i="4"/>
  <c r="B1503" i="4"/>
  <c r="C1503" i="4"/>
  <c r="B1504" i="4"/>
  <c r="C1504" i="4"/>
  <c r="B1505" i="4"/>
  <c r="C1505" i="4"/>
  <c r="B1506" i="4"/>
  <c r="C1506" i="4"/>
  <c r="B1507" i="4"/>
  <c r="C1507" i="4"/>
  <c r="B1508" i="4"/>
  <c r="C1508" i="4"/>
  <c r="B1509" i="4"/>
  <c r="C1509" i="4"/>
  <c r="B1510" i="4"/>
  <c r="C1510" i="4"/>
  <c r="B1511" i="4"/>
  <c r="C1511" i="4"/>
  <c r="B1512" i="4"/>
  <c r="C1512" i="4"/>
  <c r="B1513" i="4"/>
  <c r="C1513" i="4"/>
  <c r="B1514" i="4"/>
  <c r="C1514" i="4"/>
  <c r="B1515" i="4"/>
  <c r="C1515" i="4"/>
  <c r="B1516" i="4"/>
  <c r="C1516" i="4"/>
  <c r="B1517" i="4"/>
  <c r="C1517" i="4"/>
  <c r="B1518" i="4"/>
  <c r="C1518" i="4"/>
  <c r="B1519" i="4"/>
  <c r="C1519" i="4"/>
  <c r="B1520" i="4"/>
  <c r="C1520" i="4"/>
  <c r="B1521" i="4"/>
  <c r="C1521" i="4"/>
  <c r="B1522" i="4"/>
  <c r="C1522" i="4"/>
  <c r="B1523" i="4"/>
  <c r="C1523" i="4"/>
  <c r="B1524" i="4"/>
  <c r="C1524" i="4"/>
  <c r="B1525" i="4"/>
  <c r="C1525" i="4"/>
  <c r="B1526" i="4"/>
  <c r="C1526" i="4"/>
  <c r="B1527" i="4"/>
  <c r="C1527" i="4"/>
  <c r="B1528" i="4"/>
  <c r="C1528" i="4"/>
  <c r="B1529" i="4"/>
  <c r="C1529" i="4"/>
  <c r="B1530" i="4"/>
  <c r="C1530" i="4"/>
  <c r="B1531" i="4"/>
  <c r="C1531" i="4"/>
  <c r="B1532" i="4"/>
  <c r="C1532" i="4"/>
  <c r="B1533" i="4"/>
  <c r="C1533" i="4"/>
  <c r="B1534" i="4"/>
  <c r="C1534" i="4"/>
  <c r="B1535" i="4"/>
  <c r="C1535" i="4"/>
  <c r="B1536" i="4"/>
  <c r="C1536" i="4"/>
  <c r="B1537" i="4"/>
  <c r="C1537" i="4"/>
  <c r="B1538" i="4"/>
  <c r="C1538" i="4"/>
  <c r="B1539" i="4"/>
  <c r="C1539" i="4"/>
  <c r="B1540" i="4"/>
  <c r="C1540" i="4"/>
  <c r="B1541" i="4"/>
  <c r="C1541" i="4"/>
  <c r="B1542" i="4"/>
  <c r="C1542" i="4"/>
  <c r="B1543" i="4"/>
  <c r="C1543" i="4"/>
  <c r="B1544" i="4"/>
  <c r="C1544" i="4"/>
  <c r="B1545" i="4"/>
  <c r="C1545" i="4"/>
  <c r="B1546" i="4"/>
  <c r="C1546" i="4"/>
  <c r="B1547" i="4"/>
  <c r="C1547" i="4"/>
  <c r="B1548" i="4"/>
  <c r="C1548" i="4"/>
  <c r="B1549" i="4"/>
  <c r="C1549" i="4"/>
  <c r="B1550" i="4"/>
  <c r="C1550" i="4"/>
  <c r="B1551" i="4"/>
  <c r="C1551" i="4"/>
  <c r="B1552" i="4"/>
  <c r="C1552" i="4"/>
  <c r="B1553" i="4"/>
  <c r="C1553" i="4"/>
  <c r="B1554" i="4"/>
  <c r="C1554" i="4"/>
  <c r="B1555" i="4"/>
  <c r="C1555" i="4"/>
  <c r="B1556" i="4"/>
  <c r="C1556" i="4"/>
  <c r="B1557" i="4"/>
  <c r="C1557" i="4"/>
  <c r="B1558" i="4"/>
  <c r="C1558" i="4"/>
  <c r="B1559" i="4"/>
  <c r="C1559" i="4"/>
  <c r="B1560" i="4"/>
  <c r="C1560" i="4"/>
  <c r="B1561" i="4"/>
  <c r="C1561" i="4"/>
  <c r="B1562" i="4"/>
  <c r="C1562" i="4"/>
  <c r="B1563" i="4"/>
  <c r="C1563" i="4"/>
  <c r="B1564" i="4"/>
  <c r="C1564" i="4"/>
  <c r="B1565" i="4"/>
  <c r="C1565" i="4"/>
  <c r="B1566" i="4"/>
  <c r="C1566" i="4"/>
  <c r="B1567" i="4"/>
  <c r="C1567" i="4"/>
  <c r="B1568" i="4"/>
  <c r="C1568" i="4"/>
  <c r="B1569" i="4"/>
  <c r="C1569" i="4"/>
  <c r="B1570" i="4"/>
  <c r="C1570" i="4"/>
  <c r="B1571" i="4"/>
  <c r="C1571" i="4"/>
  <c r="B1572" i="4"/>
  <c r="C1572" i="4"/>
  <c r="B1573" i="4"/>
  <c r="C1573" i="4"/>
  <c r="B1574" i="4"/>
  <c r="C1574" i="4"/>
  <c r="B1575" i="4"/>
  <c r="C1575" i="4"/>
  <c r="B1576" i="4"/>
  <c r="C1576" i="4"/>
  <c r="B1577" i="4"/>
  <c r="C1577" i="4"/>
  <c r="B1578" i="4"/>
  <c r="C1578" i="4"/>
  <c r="B1579" i="4"/>
  <c r="C1579" i="4"/>
  <c r="B1580" i="4"/>
  <c r="C1580" i="4"/>
  <c r="B1581" i="4"/>
  <c r="C1581" i="4"/>
  <c r="B1582" i="4"/>
  <c r="C1582" i="4"/>
  <c r="B1583" i="4"/>
  <c r="C1583" i="4"/>
  <c r="B1584" i="4"/>
  <c r="C1584" i="4"/>
  <c r="B1585" i="4"/>
  <c r="C1585" i="4"/>
  <c r="B1586" i="4"/>
  <c r="C1586" i="4"/>
  <c r="B1587" i="4"/>
  <c r="C1587" i="4"/>
  <c r="B1588" i="4"/>
  <c r="C1588" i="4"/>
  <c r="B1589" i="4"/>
  <c r="C1589" i="4"/>
  <c r="B1590" i="4"/>
  <c r="C1590" i="4"/>
  <c r="B1591" i="4"/>
  <c r="C1591" i="4"/>
  <c r="B1592" i="4"/>
  <c r="C1592" i="4"/>
  <c r="B1593" i="4"/>
  <c r="C1593" i="4"/>
  <c r="B1594" i="4"/>
  <c r="C1594" i="4"/>
  <c r="B1595" i="4"/>
  <c r="C1595" i="4"/>
  <c r="B1596" i="4"/>
  <c r="C1596" i="4"/>
  <c r="B1597" i="4"/>
  <c r="C1597" i="4"/>
  <c r="B1598" i="4"/>
  <c r="C1598" i="4"/>
  <c r="B1599" i="4"/>
  <c r="C1599" i="4"/>
  <c r="B1600" i="4"/>
  <c r="C1600" i="4"/>
  <c r="B1601" i="4"/>
  <c r="C1601" i="4"/>
  <c r="B1602" i="4"/>
  <c r="C1602" i="4"/>
  <c r="B1603" i="4"/>
  <c r="C1603" i="4"/>
  <c r="B1604" i="4"/>
  <c r="C1604" i="4"/>
  <c r="B1605" i="4"/>
  <c r="C1605" i="4"/>
  <c r="B1606" i="4"/>
  <c r="C1606" i="4"/>
  <c r="B1607" i="4"/>
  <c r="C1607" i="4"/>
  <c r="B1608" i="4"/>
  <c r="C1608" i="4"/>
  <c r="B1609" i="4"/>
  <c r="C1609" i="4"/>
  <c r="B1610" i="4"/>
  <c r="C1610" i="4"/>
  <c r="B1611" i="4"/>
  <c r="C1611" i="4"/>
  <c r="B1612" i="4"/>
  <c r="C1612" i="4"/>
  <c r="B1613" i="4"/>
  <c r="C1613" i="4"/>
  <c r="B1614" i="4"/>
  <c r="C1614" i="4"/>
  <c r="B1615" i="4"/>
  <c r="C1615" i="4"/>
  <c r="B1616" i="4"/>
  <c r="C1616" i="4"/>
  <c r="B1617" i="4"/>
  <c r="C1617" i="4"/>
  <c r="B1618" i="4"/>
  <c r="C1618" i="4"/>
  <c r="B1619" i="4"/>
  <c r="C1619" i="4"/>
  <c r="B1620" i="4"/>
  <c r="C1620" i="4"/>
  <c r="B1621" i="4"/>
  <c r="C1621" i="4"/>
  <c r="B1622" i="4"/>
  <c r="C1622" i="4"/>
  <c r="B1623" i="4"/>
  <c r="C1623" i="4"/>
  <c r="B1624" i="4"/>
  <c r="C1624" i="4"/>
  <c r="B1625" i="4"/>
  <c r="C1625" i="4"/>
  <c r="B1626" i="4"/>
  <c r="C1626" i="4"/>
  <c r="B1627" i="4"/>
  <c r="C1627" i="4"/>
  <c r="B1628" i="4"/>
  <c r="C1628" i="4"/>
  <c r="B1629" i="4"/>
  <c r="C1629" i="4"/>
  <c r="B1630" i="4"/>
  <c r="C1630" i="4"/>
  <c r="B1631" i="4"/>
  <c r="C1631" i="4"/>
  <c r="B1632" i="4"/>
  <c r="C1632" i="4"/>
  <c r="B1633" i="4"/>
  <c r="C1633" i="4"/>
  <c r="B1634" i="4"/>
  <c r="C1634" i="4"/>
  <c r="B1635" i="4"/>
  <c r="C1635" i="4"/>
  <c r="B1636" i="4"/>
  <c r="C1636" i="4"/>
  <c r="B1637" i="4"/>
  <c r="C1637" i="4"/>
  <c r="B1638" i="4"/>
  <c r="C1638" i="4"/>
  <c r="B1639" i="4"/>
  <c r="C1639" i="4"/>
  <c r="B1640" i="4"/>
  <c r="C1640" i="4"/>
  <c r="B1641" i="4"/>
  <c r="C1641" i="4"/>
  <c r="B1642" i="4"/>
  <c r="C1642" i="4"/>
  <c r="B1643" i="4"/>
  <c r="C1643" i="4"/>
  <c r="B1644" i="4"/>
  <c r="C1644" i="4"/>
  <c r="B1645" i="4"/>
  <c r="C1645" i="4"/>
  <c r="B1646" i="4"/>
  <c r="C1646" i="4"/>
  <c r="B1647" i="4"/>
  <c r="C1647" i="4"/>
  <c r="B1648" i="4"/>
  <c r="C1648" i="4"/>
  <c r="B1649" i="4"/>
  <c r="C1649" i="4"/>
  <c r="B1650" i="4"/>
  <c r="C1650" i="4"/>
  <c r="B1651" i="4"/>
  <c r="C1651" i="4"/>
  <c r="B1652" i="4"/>
  <c r="C1652" i="4"/>
  <c r="B1653" i="4"/>
  <c r="C1653" i="4"/>
  <c r="B1654" i="4"/>
  <c r="C1654" i="4"/>
  <c r="B1655" i="4"/>
  <c r="C1655" i="4"/>
  <c r="B1656" i="4"/>
  <c r="C1656" i="4"/>
  <c r="B1657" i="4"/>
  <c r="C1657" i="4"/>
  <c r="B1658" i="4"/>
  <c r="C1658" i="4"/>
  <c r="B1659" i="4"/>
  <c r="C1659" i="4"/>
  <c r="B1660" i="4"/>
  <c r="C1660" i="4"/>
  <c r="B1661" i="4"/>
  <c r="C1661" i="4"/>
  <c r="B1662" i="4"/>
  <c r="C1662" i="4"/>
  <c r="B1663" i="4"/>
  <c r="C1663" i="4"/>
  <c r="B1664" i="4"/>
  <c r="C1664" i="4"/>
  <c r="B1665" i="4"/>
  <c r="C1665" i="4"/>
  <c r="B1666" i="4"/>
  <c r="C1666" i="4"/>
  <c r="B1667" i="4"/>
  <c r="C1667" i="4"/>
  <c r="B1668" i="4"/>
  <c r="C1668" i="4"/>
  <c r="B1669" i="4"/>
  <c r="C1669" i="4"/>
  <c r="B1670" i="4"/>
  <c r="C1670" i="4"/>
  <c r="B1671" i="4"/>
  <c r="C1671" i="4"/>
  <c r="B1672" i="4"/>
  <c r="C1672" i="4"/>
  <c r="B1673" i="4"/>
  <c r="C1673" i="4"/>
  <c r="B1674" i="4"/>
  <c r="C1674" i="4"/>
  <c r="B1675" i="4"/>
  <c r="C1675" i="4"/>
  <c r="B1676" i="4"/>
  <c r="C1676" i="4"/>
  <c r="B1677" i="4"/>
  <c r="C1677" i="4"/>
  <c r="B1678" i="4"/>
  <c r="C1678" i="4"/>
  <c r="B1679" i="4"/>
  <c r="C1679" i="4"/>
  <c r="B1680" i="4"/>
  <c r="C1680" i="4"/>
  <c r="B1681" i="4"/>
  <c r="C1681" i="4"/>
  <c r="B1682" i="4"/>
  <c r="C1682" i="4"/>
  <c r="B1683" i="4"/>
  <c r="C1683" i="4"/>
  <c r="B1684" i="4"/>
  <c r="C1684" i="4"/>
  <c r="B1685" i="4"/>
  <c r="C1685" i="4"/>
  <c r="B1686" i="4"/>
  <c r="C1686" i="4"/>
  <c r="B1687" i="4"/>
  <c r="C1687" i="4"/>
  <c r="B1688" i="4"/>
  <c r="C1688" i="4"/>
  <c r="B1689" i="4"/>
  <c r="C1689" i="4"/>
  <c r="B1690" i="4"/>
  <c r="C1690" i="4"/>
  <c r="B1691" i="4"/>
  <c r="C1691" i="4"/>
  <c r="B1692" i="4"/>
  <c r="C1692" i="4"/>
  <c r="B1693" i="4"/>
  <c r="C1693" i="4"/>
  <c r="B1694" i="4"/>
  <c r="C1694" i="4"/>
  <c r="B1695" i="4"/>
  <c r="C1695" i="4"/>
  <c r="B1696" i="4"/>
  <c r="C1696" i="4"/>
  <c r="B1697" i="4"/>
  <c r="C1697" i="4"/>
  <c r="B1698" i="4"/>
  <c r="C1698" i="4"/>
  <c r="B1699" i="4"/>
  <c r="C1699" i="4"/>
  <c r="B1700" i="4"/>
  <c r="C1700" i="4"/>
  <c r="B1701" i="4"/>
  <c r="C1701" i="4"/>
  <c r="B1702" i="4"/>
  <c r="C1702" i="4"/>
  <c r="B1703" i="4"/>
  <c r="C1703" i="4"/>
  <c r="B1704" i="4"/>
  <c r="C1704" i="4"/>
  <c r="B1705" i="4"/>
  <c r="C1705" i="4"/>
  <c r="B1706" i="4"/>
  <c r="C1706" i="4"/>
  <c r="B1707" i="4"/>
  <c r="C1707" i="4"/>
  <c r="B1708" i="4"/>
  <c r="C1708" i="4"/>
  <c r="B1709" i="4"/>
  <c r="C1709" i="4"/>
  <c r="B1710" i="4"/>
  <c r="C1710" i="4"/>
  <c r="B1711" i="4"/>
  <c r="C1711" i="4"/>
  <c r="B1712" i="4"/>
  <c r="C1712" i="4"/>
  <c r="B1713" i="4"/>
  <c r="C1713" i="4"/>
  <c r="B1714" i="4"/>
  <c r="C1714" i="4"/>
  <c r="B1715" i="4"/>
  <c r="C1715" i="4"/>
  <c r="B1716" i="4"/>
  <c r="C1716" i="4"/>
  <c r="B1717" i="4"/>
  <c r="C1717" i="4"/>
  <c r="B1718" i="4"/>
  <c r="C1718" i="4"/>
  <c r="B1719" i="4"/>
  <c r="C1719" i="4"/>
  <c r="B1720" i="4"/>
  <c r="C1720" i="4"/>
  <c r="B1721" i="4"/>
  <c r="C1721" i="4"/>
  <c r="B1722" i="4"/>
  <c r="C1722" i="4"/>
  <c r="B1723" i="4"/>
  <c r="C1723" i="4"/>
  <c r="B1724" i="4"/>
  <c r="C1724" i="4"/>
  <c r="B1725" i="4"/>
  <c r="C1725" i="4"/>
  <c r="B1726" i="4"/>
  <c r="C1726" i="4"/>
  <c r="B1727" i="4"/>
  <c r="C1727" i="4"/>
  <c r="B1728" i="4"/>
  <c r="C1728" i="4"/>
  <c r="B1729" i="4"/>
  <c r="C1729" i="4"/>
  <c r="B1730" i="4"/>
  <c r="C1730" i="4"/>
  <c r="B1731" i="4"/>
  <c r="C1731" i="4"/>
  <c r="B1732" i="4"/>
  <c r="C1732" i="4"/>
  <c r="B1733" i="4"/>
  <c r="C1733" i="4"/>
  <c r="B1734" i="4"/>
  <c r="C1734" i="4"/>
  <c r="B1735" i="4"/>
  <c r="C1735" i="4"/>
  <c r="B1736" i="4"/>
  <c r="C1736" i="4"/>
  <c r="B1737" i="4"/>
  <c r="C1737" i="4"/>
  <c r="B1738" i="4"/>
  <c r="C1738" i="4"/>
  <c r="B1739" i="4"/>
  <c r="C1739" i="4"/>
  <c r="B1740" i="4"/>
  <c r="C1740" i="4"/>
  <c r="B1741" i="4"/>
  <c r="C1741" i="4"/>
  <c r="B1742" i="4"/>
  <c r="C1742" i="4"/>
  <c r="B1743" i="4"/>
  <c r="C1743" i="4"/>
  <c r="B1744" i="4"/>
  <c r="C1744" i="4"/>
  <c r="B1745" i="4"/>
  <c r="C1745" i="4"/>
  <c r="B1746" i="4"/>
  <c r="C1746" i="4"/>
  <c r="B1747" i="4"/>
  <c r="C1747" i="4"/>
  <c r="B1748" i="4"/>
  <c r="C1748" i="4"/>
  <c r="B1749" i="4"/>
  <c r="C1749" i="4"/>
  <c r="B1750" i="4"/>
  <c r="C1750" i="4"/>
  <c r="B1751" i="4"/>
  <c r="C1751" i="4"/>
  <c r="B1752" i="4"/>
  <c r="C1752" i="4"/>
  <c r="B1753" i="4"/>
  <c r="C1753" i="4"/>
  <c r="B1754" i="4"/>
  <c r="C1754" i="4"/>
  <c r="B1755" i="4"/>
  <c r="C1755" i="4"/>
  <c r="B1756" i="4"/>
  <c r="C1756" i="4"/>
  <c r="B1757" i="4"/>
  <c r="C1757" i="4"/>
  <c r="B1758" i="4"/>
  <c r="C1758" i="4"/>
  <c r="B1759" i="4"/>
  <c r="C1759" i="4"/>
  <c r="B1760" i="4"/>
  <c r="C1760" i="4"/>
  <c r="B1761" i="4"/>
  <c r="C1761" i="4"/>
  <c r="B1762" i="4"/>
  <c r="C1762" i="4"/>
  <c r="B1763" i="4"/>
  <c r="C1763" i="4"/>
  <c r="B1764" i="4"/>
  <c r="C1764" i="4"/>
  <c r="B1765" i="4"/>
  <c r="C1765" i="4"/>
  <c r="B1766" i="4"/>
  <c r="C1766" i="4"/>
  <c r="B1767" i="4"/>
  <c r="C1767" i="4"/>
  <c r="B1768" i="4"/>
  <c r="C1768" i="4"/>
  <c r="B1769" i="4"/>
  <c r="C1769" i="4"/>
  <c r="B1770" i="4"/>
  <c r="C1770" i="4"/>
  <c r="B1771" i="4"/>
  <c r="C1771" i="4"/>
  <c r="B1772" i="4"/>
  <c r="C1772" i="4"/>
  <c r="B1773" i="4"/>
  <c r="C1773" i="4"/>
  <c r="B1774" i="4"/>
  <c r="C1774" i="4"/>
  <c r="B1775" i="4"/>
  <c r="C1775" i="4"/>
  <c r="B1776" i="4"/>
  <c r="C1776" i="4"/>
  <c r="B1777" i="4"/>
  <c r="C1777" i="4"/>
  <c r="B1778" i="4"/>
  <c r="C1778" i="4"/>
  <c r="B1779" i="4"/>
  <c r="C1779" i="4"/>
  <c r="B1780" i="4"/>
  <c r="C1780" i="4"/>
  <c r="B1781" i="4"/>
  <c r="C1781" i="4"/>
  <c r="B1782" i="4"/>
  <c r="C1782" i="4"/>
  <c r="B1783" i="4"/>
  <c r="C1783" i="4"/>
  <c r="B1784" i="4"/>
  <c r="C1784" i="4"/>
  <c r="B1785" i="4"/>
  <c r="C1785" i="4"/>
  <c r="B1786" i="4"/>
  <c r="C1786" i="4"/>
  <c r="B1787" i="4"/>
  <c r="C1787" i="4"/>
  <c r="B1788" i="4"/>
  <c r="C1788" i="4"/>
  <c r="B1789" i="4"/>
  <c r="C1789" i="4"/>
  <c r="B1790" i="4"/>
  <c r="C1790" i="4"/>
  <c r="B1791" i="4"/>
  <c r="C1791" i="4"/>
  <c r="B1792" i="4"/>
  <c r="C1792" i="4"/>
  <c r="B1793" i="4"/>
  <c r="C1793" i="4"/>
  <c r="B1794" i="4"/>
  <c r="C1794" i="4"/>
  <c r="B1795" i="4"/>
  <c r="C1795" i="4"/>
  <c r="B1796" i="4"/>
  <c r="C1796" i="4"/>
  <c r="B1797" i="4"/>
  <c r="C1797" i="4"/>
  <c r="B1798" i="4"/>
  <c r="C1798" i="4"/>
  <c r="B1799" i="4"/>
  <c r="C1799" i="4"/>
  <c r="B1800" i="4"/>
  <c r="C1800" i="4"/>
  <c r="B1801" i="4"/>
  <c r="C1801" i="4"/>
  <c r="B1802" i="4"/>
  <c r="C1802" i="4"/>
  <c r="B1803" i="4"/>
  <c r="C1803" i="4"/>
  <c r="B1804" i="4"/>
  <c r="C1804" i="4"/>
  <c r="B1805" i="4"/>
  <c r="C1805" i="4"/>
  <c r="B1806" i="4"/>
  <c r="C1806" i="4"/>
  <c r="B1807" i="4"/>
  <c r="C1807" i="4"/>
  <c r="B1808" i="4"/>
  <c r="C1808" i="4"/>
  <c r="B1809" i="4"/>
  <c r="C1809" i="4"/>
  <c r="B1810" i="4"/>
  <c r="C1810" i="4"/>
  <c r="B1811" i="4"/>
  <c r="C1811" i="4"/>
  <c r="B1812" i="4"/>
  <c r="C1812" i="4"/>
  <c r="B1813" i="4"/>
  <c r="C1813" i="4"/>
  <c r="B1814" i="4"/>
  <c r="C1814" i="4"/>
  <c r="B1815" i="4"/>
  <c r="C1815" i="4"/>
  <c r="B1816" i="4"/>
  <c r="C1816" i="4"/>
  <c r="B1817" i="4"/>
  <c r="C1817" i="4"/>
  <c r="B1818" i="4"/>
  <c r="C1818" i="4"/>
  <c r="B1819" i="4"/>
  <c r="C1819" i="4"/>
  <c r="B1820" i="4"/>
  <c r="C1820" i="4"/>
  <c r="B1821" i="4"/>
  <c r="C1821" i="4"/>
  <c r="B1822" i="4"/>
  <c r="C1822" i="4"/>
  <c r="B1823" i="4"/>
  <c r="C1823" i="4"/>
  <c r="B1824" i="4"/>
  <c r="C1824" i="4"/>
  <c r="B1825" i="4"/>
  <c r="C1825" i="4"/>
  <c r="B1826" i="4"/>
  <c r="C1826" i="4"/>
  <c r="B1827" i="4"/>
  <c r="C1827" i="4"/>
  <c r="B1828" i="4"/>
  <c r="C1828" i="4"/>
  <c r="B1829" i="4"/>
  <c r="C1829" i="4"/>
  <c r="B1830" i="4"/>
  <c r="C1830" i="4"/>
  <c r="B1831" i="4"/>
  <c r="C1831" i="4"/>
  <c r="B1832" i="4"/>
  <c r="C1832" i="4"/>
  <c r="B1833" i="4"/>
  <c r="C1833" i="4"/>
  <c r="B1834" i="4"/>
  <c r="C1834" i="4"/>
  <c r="B1835" i="4"/>
  <c r="C1835" i="4"/>
  <c r="B1836" i="4"/>
  <c r="C1836" i="4"/>
  <c r="B1837" i="4"/>
  <c r="C1837" i="4"/>
  <c r="B1838" i="4"/>
  <c r="C1838" i="4"/>
  <c r="B1839" i="4"/>
  <c r="C1839" i="4"/>
  <c r="B1840" i="4"/>
  <c r="C1840" i="4"/>
  <c r="B1841" i="4"/>
  <c r="C1841" i="4"/>
  <c r="B1842" i="4"/>
  <c r="C1842" i="4"/>
  <c r="B1843" i="4"/>
  <c r="C1843" i="4"/>
  <c r="B1844" i="4"/>
  <c r="C1844" i="4"/>
  <c r="B1845" i="4"/>
  <c r="C1845" i="4"/>
  <c r="B1846" i="4"/>
  <c r="C1846" i="4"/>
  <c r="B1847" i="4"/>
  <c r="C1847" i="4"/>
  <c r="B1848" i="4"/>
  <c r="C1848" i="4"/>
  <c r="B1849" i="4"/>
  <c r="C1849" i="4"/>
  <c r="B1850" i="4"/>
  <c r="C1850" i="4"/>
  <c r="B1851" i="4"/>
  <c r="C1851" i="4"/>
  <c r="B1852" i="4"/>
  <c r="C1852" i="4"/>
  <c r="B1853" i="4"/>
  <c r="C1853" i="4"/>
  <c r="B1854" i="4"/>
  <c r="C1854" i="4"/>
  <c r="B1855" i="4"/>
  <c r="C1855" i="4"/>
  <c r="B1856" i="4"/>
  <c r="C1856" i="4"/>
  <c r="B1857" i="4"/>
  <c r="C1857" i="4"/>
  <c r="B1858" i="4"/>
  <c r="C1858" i="4"/>
  <c r="B1859" i="4"/>
  <c r="C1859" i="4"/>
  <c r="B1860" i="4"/>
  <c r="C1860" i="4"/>
  <c r="B1861" i="4"/>
  <c r="C1861" i="4"/>
  <c r="B1862" i="4"/>
  <c r="C1862" i="4"/>
  <c r="B1863" i="4"/>
  <c r="C1863" i="4"/>
  <c r="B1864" i="4"/>
  <c r="C1864" i="4"/>
  <c r="B1865" i="4"/>
  <c r="C1865" i="4"/>
  <c r="B1866" i="4"/>
  <c r="C1866" i="4"/>
  <c r="B1867" i="4"/>
  <c r="C1867" i="4"/>
  <c r="B1868" i="4"/>
  <c r="C1868" i="4"/>
  <c r="B1869" i="4"/>
  <c r="C1869" i="4"/>
  <c r="B1870" i="4"/>
  <c r="C1870" i="4"/>
  <c r="B1871" i="4"/>
  <c r="C1871" i="4"/>
  <c r="B1872" i="4"/>
  <c r="C1872" i="4"/>
  <c r="B1873" i="4"/>
  <c r="C1873" i="4"/>
  <c r="B1874" i="4"/>
  <c r="C1874" i="4"/>
  <c r="B1875" i="4"/>
  <c r="C1875" i="4"/>
  <c r="B1876" i="4"/>
  <c r="C1876" i="4"/>
  <c r="B1877" i="4"/>
  <c r="C1877" i="4"/>
  <c r="B1878" i="4"/>
  <c r="C1878" i="4"/>
  <c r="B1879" i="4"/>
  <c r="C1879" i="4"/>
  <c r="B1880" i="4"/>
  <c r="C1880" i="4"/>
  <c r="B1881" i="4"/>
  <c r="C1881" i="4"/>
  <c r="B1882" i="4"/>
  <c r="C1882" i="4"/>
  <c r="B1883" i="4"/>
  <c r="C1883" i="4"/>
  <c r="B1884" i="4"/>
  <c r="C1884" i="4"/>
  <c r="B1885" i="4"/>
  <c r="C1885" i="4"/>
  <c r="B1886" i="4"/>
  <c r="C1886" i="4"/>
  <c r="B1887" i="4"/>
  <c r="C1887" i="4"/>
  <c r="B1888" i="4"/>
  <c r="C1888" i="4"/>
  <c r="B1889" i="4"/>
  <c r="C1889" i="4"/>
  <c r="B1890" i="4"/>
  <c r="C1890" i="4"/>
  <c r="B1891" i="4"/>
  <c r="C1891" i="4"/>
  <c r="B1892" i="4"/>
  <c r="C1892" i="4"/>
  <c r="B1893" i="4"/>
  <c r="C1893" i="4"/>
  <c r="B1894" i="4"/>
  <c r="C1894" i="4"/>
  <c r="B1895" i="4"/>
  <c r="C1895" i="4"/>
  <c r="B1896" i="4"/>
  <c r="C1896" i="4"/>
  <c r="B1897" i="4"/>
  <c r="C1897" i="4"/>
  <c r="B1898" i="4"/>
  <c r="C1898" i="4"/>
  <c r="B1899" i="4"/>
  <c r="C1899" i="4"/>
  <c r="B1900" i="4"/>
  <c r="C1900" i="4"/>
  <c r="B1901" i="4"/>
  <c r="C1901" i="4"/>
  <c r="B1902" i="4"/>
  <c r="C1902" i="4"/>
  <c r="B1903" i="4"/>
  <c r="C1903" i="4"/>
  <c r="B1904" i="4"/>
  <c r="C1904" i="4"/>
  <c r="B1905" i="4"/>
  <c r="C1905" i="4"/>
  <c r="B1906" i="4"/>
  <c r="C1906" i="4"/>
  <c r="B1907" i="4"/>
  <c r="C1907" i="4"/>
  <c r="B1908" i="4"/>
  <c r="C1908" i="4"/>
  <c r="B1909" i="4"/>
  <c r="C1909" i="4"/>
  <c r="B1910" i="4"/>
  <c r="C1910" i="4"/>
  <c r="B1911" i="4"/>
  <c r="C1911" i="4"/>
  <c r="B1912" i="4"/>
  <c r="C1912" i="4"/>
  <c r="B1913" i="4"/>
  <c r="C1913" i="4"/>
  <c r="B1914" i="4"/>
  <c r="C1914" i="4"/>
  <c r="B1915" i="4"/>
  <c r="C1915" i="4"/>
  <c r="B1916" i="4"/>
  <c r="C1916" i="4"/>
  <c r="B1917" i="4"/>
  <c r="C1917" i="4"/>
  <c r="B1918" i="4"/>
  <c r="C1918" i="4"/>
  <c r="B1919" i="4"/>
  <c r="C1919" i="4"/>
  <c r="B1920" i="4"/>
  <c r="C1920" i="4"/>
  <c r="B1921" i="4"/>
  <c r="C1921" i="4"/>
  <c r="B1922" i="4"/>
  <c r="C1922" i="4"/>
  <c r="B1923" i="4"/>
  <c r="C1923" i="4"/>
  <c r="B1924" i="4"/>
  <c r="C1924" i="4"/>
  <c r="B1925" i="4"/>
  <c r="C1925" i="4"/>
  <c r="B1926" i="4"/>
  <c r="C1926" i="4"/>
  <c r="B1927" i="4"/>
  <c r="C1927" i="4"/>
  <c r="B1928" i="4"/>
  <c r="C1928" i="4"/>
  <c r="B1929" i="4"/>
  <c r="C1929" i="4"/>
  <c r="B1930" i="4"/>
  <c r="C1930" i="4"/>
  <c r="B1931" i="4"/>
  <c r="C1931" i="4"/>
  <c r="B1932" i="4"/>
  <c r="C1932" i="4"/>
  <c r="B1933" i="4"/>
  <c r="C1933" i="4"/>
  <c r="B1934" i="4"/>
  <c r="C1934" i="4"/>
  <c r="B1935" i="4"/>
  <c r="C1935" i="4"/>
  <c r="B1936" i="4"/>
  <c r="C1936" i="4"/>
  <c r="B1937" i="4"/>
  <c r="C1937" i="4"/>
  <c r="B1938" i="4"/>
  <c r="C1938" i="4"/>
  <c r="B1939" i="4"/>
  <c r="C1939" i="4"/>
  <c r="B1940" i="4"/>
  <c r="C1940" i="4"/>
  <c r="B1941" i="4"/>
  <c r="C1941" i="4"/>
  <c r="B1942" i="4"/>
  <c r="C1942" i="4"/>
  <c r="B1943" i="4"/>
  <c r="C1943" i="4"/>
  <c r="B1944" i="4"/>
  <c r="C1944" i="4"/>
  <c r="B1945" i="4"/>
  <c r="C1945" i="4"/>
  <c r="B1946" i="4"/>
  <c r="C1946" i="4"/>
  <c r="B1947" i="4"/>
  <c r="C1947" i="4"/>
  <c r="B1948" i="4"/>
  <c r="C1948" i="4"/>
  <c r="B1949" i="4"/>
  <c r="C1949" i="4"/>
  <c r="B1950" i="4"/>
  <c r="C1950" i="4"/>
  <c r="B1951" i="4"/>
  <c r="C1951" i="4"/>
  <c r="B1952" i="4"/>
  <c r="C1952" i="4"/>
  <c r="B1953" i="4"/>
  <c r="C1953" i="4"/>
  <c r="B1954" i="4"/>
  <c r="C1954" i="4"/>
  <c r="B1955" i="4"/>
  <c r="C1955" i="4"/>
  <c r="B1956" i="4"/>
  <c r="C1956" i="4"/>
  <c r="B1957" i="4"/>
  <c r="C1957" i="4"/>
  <c r="B1958" i="4"/>
  <c r="C1958" i="4"/>
  <c r="B1959" i="4"/>
  <c r="C1959" i="4"/>
  <c r="B1960" i="4"/>
  <c r="C1960" i="4"/>
  <c r="B1961" i="4"/>
  <c r="C1961" i="4"/>
  <c r="B1962" i="4"/>
  <c r="C1962" i="4"/>
  <c r="B1963" i="4"/>
  <c r="C1963" i="4"/>
  <c r="B1964" i="4"/>
  <c r="C1964" i="4"/>
  <c r="B1965" i="4"/>
  <c r="C1965" i="4"/>
  <c r="B1966" i="4"/>
  <c r="C1966" i="4"/>
  <c r="B1967" i="4"/>
  <c r="C1967" i="4"/>
  <c r="B1968" i="4"/>
  <c r="C1968" i="4"/>
  <c r="B1969" i="4"/>
  <c r="C1969" i="4"/>
  <c r="B1970" i="4"/>
  <c r="C1970" i="4"/>
  <c r="B1971" i="4"/>
  <c r="C1971" i="4"/>
  <c r="B1972" i="4"/>
  <c r="C1972" i="4"/>
  <c r="B1973" i="4"/>
  <c r="C1973" i="4"/>
  <c r="B1974" i="4"/>
  <c r="C1974" i="4"/>
  <c r="B1975" i="4"/>
  <c r="C1975" i="4"/>
  <c r="B1976" i="4"/>
  <c r="C1976" i="4"/>
  <c r="B1977" i="4"/>
  <c r="C1977" i="4"/>
  <c r="B1978" i="4"/>
  <c r="C1978" i="4"/>
  <c r="B1979" i="4"/>
  <c r="C1979" i="4"/>
  <c r="B1980" i="4"/>
  <c r="C1980" i="4"/>
  <c r="B1981" i="4"/>
  <c r="C1981" i="4"/>
  <c r="B1982" i="4"/>
  <c r="C1982" i="4"/>
  <c r="B1983" i="4"/>
  <c r="C1983" i="4"/>
  <c r="B1984" i="4"/>
  <c r="C1984" i="4"/>
  <c r="B1985" i="4"/>
  <c r="C1985" i="4"/>
  <c r="B1986" i="4"/>
  <c r="C1986" i="4"/>
  <c r="B1987" i="4"/>
  <c r="C1987" i="4"/>
  <c r="B1988" i="4"/>
  <c r="C1988" i="4"/>
  <c r="B1989" i="4"/>
  <c r="C1989" i="4"/>
  <c r="B1990" i="4"/>
  <c r="C1990" i="4"/>
  <c r="B1991" i="4"/>
  <c r="C1991" i="4"/>
  <c r="B1992" i="4"/>
  <c r="C1992" i="4"/>
  <c r="B1993" i="4"/>
  <c r="C1993" i="4"/>
  <c r="B1994" i="4"/>
  <c r="C1994" i="4"/>
  <c r="B1995" i="4"/>
  <c r="C1995" i="4"/>
  <c r="B1996" i="4"/>
  <c r="C1996" i="4"/>
  <c r="B1997" i="4"/>
  <c r="C1997" i="4"/>
  <c r="B1998" i="4"/>
  <c r="C1998" i="4"/>
  <c r="B1999" i="4"/>
  <c r="C1999" i="4"/>
  <c r="B2000" i="4"/>
  <c r="C2000" i="4"/>
  <c r="B2001" i="4"/>
  <c r="C2001" i="4"/>
  <c r="B2002" i="4"/>
  <c r="C2002" i="4"/>
  <c r="B2003" i="4"/>
  <c r="C2003" i="4"/>
  <c r="B2004" i="4"/>
  <c r="C2004" i="4"/>
  <c r="B2005" i="4"/>
  <c r="C2005" i="4"/>
  <c r="B2006" i="4"/>
  <c r="C2006" i="4"/>
  <c r="B2007" i="4"/>
  <c r="C2007" i="4"/>
  <c r="B2008" i="4"/>
  <c r="C2008" i="4"/>
  <c r="B2009" i="4"/>
  <c r="C2009" i="4"/>
  <c r="B2010" i="4"/>
  <c r="C2010" i="4"/>
  <c r="B2011" i="4"/>
  <c r="C2011" i="4"/>
  <c r="B2012" i="4"/>
  <c r="C2012" i="4"/>
  <c r="B2013" i="4"/>
  <c r="C2013" i="4"/>
  <c r="B2014" i="4"/>
  <c r="C2014" i="4"/>
  <c r="B2015" i="4"/>
  <c r="C2015" i="4"/>
  <c r="B2016" i="4"/>
  <c r="C2016" i="4"/>
  <c r="B2017" i="4"/>
  <c r="C2017" i="4"/>
  <c r="B2018" i="4"/>
  <c r="C2018" i="4"/>
  <c r="B2019" i="4"/>
  <c r="C2019" i="4"/>
  <c r="B2020" i="4"/>
  <c r="C2020" i="4"/>
  <c r="B2021" i="4"/>
  <c r="C2021" i="4"/>
  <c r="B2022" i="4"/>
  <c r="C2022" i="4"/>
  <c r="B2023" i="4"/>
  <c r="C2023" i="4"/>
  <c r="B2024" i="4"/>
  <c r="C2024" i="4"/>
  <c r="B2025" i="4"/>
  <c r="C2025" i="4"/>
  <c r="B2026" i="4"/>
  <c r="C2026" i="4"/>
  <c r="B2027" i="4"/>
  <c r="C2027" i="4"/>
  <c r="B2028" i="4"/>
  <c r="C2028" i="4"/>
  <c r="B2029" i="4"/>
  <c r="C2029" i="4"/>
  <c r="B2030" i="4"/>
  <c r="C2030" i="4"/>
  <c r="B2031" i="4"/>
  <c r="C2031" i="4"/>
  <c r="B2032" i="4"/>
  <c r="C2032" i="4"/>
  <c r="B2033" i="4"/>
  <c r="C2033" i="4"/>
  <c r="B2034" i="4"/>
  <c r="C2034" i="4"/>
  <c r="B2035" i="4"/>
  <c r="C2035" i="4"/>
  <c r="B2036" i="4"/>
  <c r="C2036" i="4"/>
  <c r="B2037" i="4"/>
  <c r="C2037" i="4"/>
  <c r="B2038" i="4"/>
  <c r="C2038" i="4"/>
  <c r="B2039" i="4"/>
  <c r="C2039" i="4"/>
  <c r="B2040" i="4"/>
  <c r="C2040" i="4"/>
  <c r="B2041" i="4"/>
  <c r="C2041" i="4"/>
  <c r="B2042" i="4"/>
  <c r="C2042" i="4"/>
  <c r="B2043" i="4"/>
  <c r="C2043" i="4"/>
  <c r="B2044" i="4"/>
  <c r="C2044" i="4"/>
  <c r="B2045" i="4"/>
  <c r="C2045" i="4"/>
  <c r="B2046" i="4"/>
  <c r="C2046" i="4"/>
  <c r="B2047" i="4"/>
  <c r="C2047" i="4"/>
  <c r="B2048" i="4"/>
  <c r="C2048" i="4"/>
  <c r="B2049" i="4"/>
  <c r="C2049" i="4"/>
  <c r="B2050" i="4"/>
  <c r="C2050" i="4"/>
  <c r="B2051" i="4"/>
  <c r="C2051" i="4"/>
  <c r="B2052" i="4"/>
  <c r="C2052" i="4"/>
  <c r="B2053" i="4"/>
  <c r="C2053" i="4"/>
  <c r="B2054" i="4"/>
  <c r="C2054" i="4"/>
  <c r="B2055" i="4"/>
  <c r="C2055" i="4"/>
  <c r="B2056" i="4"/>
  <c r="C2056" i="4"/>
  <c r="B2057" i="4"/>
  <c r="C2057" i="4"/>
  <c r="B2058" i="4"/>
  <c r="C2058" i="4"/>
  <c r="B2059" i="4"/>
  <c r="C2059" i="4"/>
  <c r="B2060" i="4"/>
  <c r="C2060" i="4"/>
  <c r="B2061" i="4"/>
  <c r="C2061" i="4"/>
  <c r="B2062" i="4"/>
  <c r="C2062" i="4"/>
  <c r="B2063" i="4"/>
  <c r="C2063" i="4"/>
  <c r="B2064" i="4"/>
  <c r="C2064" i="4"/>
  <c r="B2065" i="4"/>
  <c r="C2065" i="4"/>
  <c r="B2066" i="4"/>
  <c r="C2066" i="4"/>
  <c r="B2067" i="4"/>
  <c r="C2067" i="4"/>
  <c r="B2068" i="4"/>
  <c r="C2068" i="4"/>
  <c r="B2069" i="4"/>
  <c r="C2069" i="4"/>
  <c r="B2070" i="4"/>
  <c r="C2070" i="4"/>
  <c r="B2071" i="4"/>
  <c r="C2071" i="4"/>
  <c r="B2072" i="4"/>
  <c r="C2072" i="4"/>
  <c r="B2073" i="4"/>
  <c r="C2073" i="4"/>
  <c r="B2074" i="4"/>
  <c r="C2074" i="4"/>
  <c r="B2075" i="4"/>
  <c r="C2075" i="4"/>
  <c r="B2076" i="4"/>
  <c r="C2076" i="4"/>
  <c r="B2077" i="4"/>
  <c r="C2077" i="4"/>
  <c r="B2078" i="4"/>
  <c r="C2078" i="4"/>
  <c r="B2079" i="4"/>
  <c r="C2079" i="4"/>
  <c r="B2080" i="4"/>
  <c r="C2080" i="4"/>
  <c r="B2081" i="4"/>
  <c r="C2081" i="4"/>
  <c r="B2082" i="4"/>
  <c r="C2082" i="4"/>
  <c r="B2083" i="4"/>
  <c r="C2083" i="4"/>
  <c r="B2084" i="4"/>
  <c r="C2084" i="4"/>
  <c r="B2085" i="4"/>
  <c r="C2085" i="4"/>
  <c r="B2086" i="4"/>
  <c r="C2086" i="4"/>
  <c r="B2087" i="4"/>
  <c r="C2087" i="4"/>
  <c r="B2088" i="4"/>
  <c r="C2088" i="4"/>
  <c r="B2089" i="4"/>
  <c r="C2089" i="4"/>
  <c r="B2090" i="4"/>
  <c r="C2090" i="4"/>
  <c r="B2091" i="4"/>
  <c r="C2091" i="4"/>
  <c r="B2092" i="4"/>
  <c r="C2092" i="4"/>
  <c r="B2093" i="4"/>
  <c r="C2093" i="4"/>
  <c r="B2094" i="4"/>
  <c r="C2094" i="4"/>
  <c r="B2095" i="4"/>
  <c r="C2095" i="4"/>
  <c r="B2096" i="4"/>
  <c r="C2096" i="4"/>
  <c r="B2097" i="4"/>
  <c r="C2097" i="4"/>
  <c r="B2098" i="4"/>
  <c r="C2098" i="4"/>
  <c r="B2099" i="4"/>
  <c r="C2099" i="4"/>
  <c r="B2100" i="4"/>
  <c r="C2100" i="4"/>
  <c r="B2101" i="4"/>
  <c r="C2101" i="4"/>
  <c r="B2102" i="4"/>
  <c r="C2102" i="4"/>
  <c r="B2103" i="4"/>
  <c r="C2103" i="4"/>
  <c r="B2104" i="4"/>
  <c r="C2104" i="4"/>
  <c r="B2105" i="4"/>
  <c r="C2105" i="4"/>
  <c r="B2106" i="4"/>
  <c r="C2106" i="4"/>
  <c r="B2107" i="4"/>
  <c r="C2107" i="4"/>
  <c r="B2108" i="4"/>
  <c r="C2108" i="4"/>
  <c r="B2109" i="4"/>
  <c r="C2109" i="4"/>
  <c r="B2110" i="4"/>
  <c r="C2110" i="4"/>
  <c r="B2111" i="4"/>
  <c r="C2111" i="4"/>
  <c r="B2112" i="4"/>
  <c r="C2112" i="4"/>
  <c r="B2113" i="4"/>
  <c r="C2113" i="4"/>
  <c r="B2114" i="4"/>
  <c r="C2114" i="4"/>
  <c r="B2115" i="4"/>
  <c r="C2115" i="4"/>
  <c r="B2116" i="4"/>
  <c r="C2116" i="4"/>
  <c r="B2117" i="4"/>
  <c r="C2117" i="4"/>
  <c r="B2118" i="4"/>
  <c r="C2118" i="4"/>
  <c r="B2119" i="4"/>
  <c r="C2119" i="4"/>
  <c r="B2120" i="4"/>
  <c r="C2120" i="4"/>
  <c r="B2121" i="4"/>
  <c r="C2121" i="4"/>
  <c r="B2122" i="4"/>
  <c r="C2122" i="4"/>
  <c r="B2123" i="4"/>
  <c r="C2123" i="4"/>
  <c r="B2124" i="4"/>
  <c r="C2124" i="4"/>
  <c r="B2125" i="4"/>
  <c r="C2125" i="4"/>
  <c r="B2126" i="4"/>
  <c r="C2126" i="4"/>
  <c r="B2127" i="4"/>
  <c r="C2127" i="4"/>
  <c r="B2128" i="4"/>
  <c r="C2128" i="4"/>
  <c r="B2129" i="4"/>
  <c r="C2129" i="4"/>
  <c r="B2130" i="4"/>
  <c r="C2130" i="4"/>
  <c r="B2131" i="4"/>
  <c r="C2131" i="4"/>
  <c r="B2132" i="4"/>
  <c r="C2132" i="4"/>
  <c r="B2133" i="4"/>
  <c r="C2133" i="4"/>
  <c r="B2134" i="4"/>
  <c r="C2134" i="4"/>
  <c r="B2135" i="4"/>
  <c r="C2135" i="4"/>
  <c r="B2136" i="4"/>
  <c r="C2136" i="4"/>
  <c r="B2137" i="4"/>
  <c r="C2137" i="4"/>
  <c r="B2138" i="4"/>
  <c r="C2138" i="4"/>
  <c r="B2139" i="4"/>
  <c r="C2139" i="4"/>
  <c r="B2140" i="4"/>
  <c r="C2140" i="4"/>
  <c r="B2141" i="4"/>
  <c r="C2141" i="4"/>
  <c r="B2142" i="4"/>
  <c r="C2142" i="4"/>
  <c r="B2143" i="4"/>
  <c r="C2143" i="4"/>
  <c r="B2144" i="4"/>
  <c r="C2144" i="4"/>
  <c r="B2145" i="4"/>
  <c r="C2145" i="4"/>
  <c r="B2146" i="4"/>
  <c r="C2146" i="4"/>
  <c r="B2147" i="4"/>
  <c r="C2147" i="4"/>
  <c r="B2148" i="4"/>
  <c r="C2148" i="4"/>
  <c r="B2149" i="4"/>
  <c r="C2149" i="4"/>
  <c r="B2150" i="4"/>
  <c r="C2150" i="4"/>
  <c r="B2151" i="4"/>
  <c r="C2151" i="4"/>
  <c r="B2152" i="4"/>
  <c r="C2152" i="4"/>
  <c r="B2153" i="4"/>
  <c r="C2153" i="4"/>
  <c r="B2154" i="4"/>
  <c r="C2154" i="4"/>
  <c r="B2155" i="4"/>
  <c r="C2155" i="4"/>
  <c r="B2156" i="4"/>
  <c r="C2156" i="4"/>
  <c r="B2157" i="4"/>
  <c r="C2157" i="4"/>
  <c r="B2158" i="4"/>
  <c r="C2158" i="4"/>
  <c r="B2159" i="4"/>
  <c r="C2159" i="4"/>
  <c r="B2160" i="4"/>
  <c r="C2160" i="4"/>
  <c r="B2161" i="4"/>
  <c r="C2161" i="4"/>
  <c r="B2162" i="4"/>
  <c r="C2162" i="4"/>
  <c r="B2163" i="4"/>
  <c r="C2163" i="4"/>
  <c r="B2164" i="4"/>
  <c r="C2164" i="4"/>
  <c r="B2165" i="4"/>
  <c r="C2165" i="4"/>
  <c r="B2166" i="4"/>
  <c r="C2166" i="4"/>
  <c r="B2167" i="4"/>
  <c r="C2167" i="4"/>
  <c r="B2168" i="4"/>
  <c r="C2168" i="4"/>
  <c r="B2169" i="4"/>
  <c r="C2169" i="4"/>
  <c r="B2170" i="4"/>
  <c r="C2170" i="4"/>
  <c r="B2171" i="4"/>
  <c r="C2171" i="4"/>
  <c r="B2172" i="4"/>
  <c r="C2172" i="4"/>
  <c r="B2173" i="4"/>
  <c r="C2173" i="4"/>
  <c r="B2174" i="4"/>
  <c r="C2174" i="4"/>
  <c r="B2175" i="4"/>
  <c r="C2175" i="4"/>
  <c r="B2176" i="4"/>
  <c r="C2176" i="4"/>
  <c r="B2177" i="4"/>
  <c r="C2177" i="4"/>
  <c r="B2178" i="4"/>
  <c r="C2178" i="4"/>
  <c r="B2179" i="4"/>
  <c r="C2179" i="4"/>
  <c r="B2180" i="4"/>
  <c r="C2180" i="4"/>
  <c r="B2181" i="4"/>
  <c r="C2181" i="4"/>
  <c r="B2182" i="4"/>
  <c r="C2182" i="4"/>
  <c r="B2183" i="4"/>
  <c r="C2183" i="4"/>
  <c r="B2184" i="4"/>
  <c r="C2184" i="4"/>
  <c r="B2185" i="4"/>
  <c r="C2185" i="4"/>
  <c r="B2186" i="4"/>
  <c r="C2186" i="4"/>
  <c r="B2187" i="4"/>
  <c r="C2187" i="4"/>
  <c r="B2188" i="4"/>
  <c r="C2188" i="4"/>
  <c r="B2189" i="4"/>
  <c r="C2189" i="4"/>
  <c r="B2190" i="4"/>
  <c r="C2190" i="4"/>
  <c r="B2191" i="4"/>
  <c r="C2191" i="4"/>
  <c r="B2192" i="4"/>
  <c r="C2192" i="4"/>
  <c r="B2193" i="4"/>
  <c r="C2193" i="4"/>
  <c r="B2194" i="4"/>
  <c r="C2194" i="4"/>
  <c r="B2195" i="4"/>
  <c r="C2195" i="4"/>
  <c r="B2196" i="4"/>
  <c r="C2196" i="4"/>
  <c r="B2197" i="4"/>
  <c r="C2197" i="4"/>
  <c r="B2198" i="4"/>
  <c r="C2198" i="4"/>
  <c r="B2199" i="4"/>
  <c r="C2199" i="4"/>
  <c r="B2200" i="4"/>
  <c r="C2200" i="4"/>
  <c r="B2201" i="4"/>
  <c r="C2201" i="4"/>
  <c r="B2202" i="4"/>
  <c r="C2202" i="4"/>
  <c r="B2203" i="4"/>
  <c r="C2203" i="4"/>
  <c r="B2204" i="4"/>
  <c r="C2204" i="4"/>
  <c r="B2205" i="4"/>
  <c r="C2205" i="4"/>
  <c r="B2206" i="4"/>
  <c r="C2206" i="4"/>
  <c r="B2207" i="4"/>
  <c r="C2207" i="4"/>
  <c r="B2208" i="4"/>
  <c r="C2208" i="4"/>
  <c r="B2209" i="4"/>
  <c r="C2209" i="4"/>
  <c r="B2210" i="4"/>
  <c r="C2210" i="4"/>
  <c r="B2211" i="4"/>
  <c r="C2211" i="4"/>
  <c r="B2212" i="4"/>
  <c r="C2212" i="4"/>
  <c r="B2213" i="4"/>
  <c r="C2213" i="4"/>
  <c r="B2214" i="4"/>
  <c r="C2214" i="4"/>
  <c r="B2215" i="4"/>
  <c r="C2215" i="4"/>
  <c r="B2216" i="4"/>
  <c r="C2216" i="4"/>
  <c r="B2217" i="4"/>
  <c r="C2217" i="4"/>
  <c r="B2218" i="4"/>
  <c r="C2218" i="4"/>
  <c r="B2219" i="4"/>
  <c r="C2219" i="4"/>
  <c r="B2220" i="4"/>
  <c r="C2220" i="4"/>
  <c r="B2221" i="4"/>
  <c r="C2221" i="4"/>
  <c r="B2222" i="4"/>
  <c r="C2222" i="4"/>
  <c r="B2223" i="4"/>
  <c r="C2223" i="4"/>
  <c r="B2224" i="4"/>
  <c r="C2224" i="4"/>
  <c r="B2225" i="4"/>
  <c r="C2225" i="4"/>
  <c r="B2226" i="4"/>
  <c r="C2226" i="4"/>
  <c r="B2227" i="4"/>
  <c r="C2227" i="4"/>
  <c r="B2228" i="4"/>
  <c r="C2228" i="4"/>
  <c r="B2229" i="4"/>
  <c r="C2229" i="4"/>
  <c r="B2230" i="4"/>
  <c r="C2230" i="4"/>
  <c r="B2231" i="4"/>
  <c r="C2231" i="4"/>
  <c r="B2232" i="4"/>
  <c r="C2232" i="4"/>
  <c r="B2233" i="4"/>
  <c r="C2233" i="4"/>
  <c r="B2234" i="4"/>
  <c r="C2234" i="4"/>
  <c r="B2235" i="4"/>
  <c r="C2235" i="4"/>
  <c r="B2236" i="4"/>
  <c r="C2236" i="4"/>
  <c r="B2237" i="4"/>
  <c r="C2237" i="4"/>
  <c r="B2238" i="4"/>
  <c r="C2238" i="4"/>
  <c r="B2239" i="4"/>
  <c r="C2239" i="4"/>
  <c r="B2240" i="4"/>
  <c r="C2240" i="4"/>
  <c r="B2241" i="4"/>
  <c r="C2241" i="4"/>
  <c r="B2242" i="4"/>
  <c r="C2242" i="4"/>
  <c r="B2243" i="4"/>
  <c r="C2243" i="4"/>
  <c r="B2244" i="4"/>
  <c r="C2244" i="4"/>
  <c r="B2245" i="4"/>
  <c r="C2245" i="4"/>
  <c r="B2246" i="4"/>
  <c r="C2246" i="4"/>
  <c r="B2247" i="4"/>
  <c r="C2247" i="4"/>
  <c r="B2248" i="4"/>
  <c r="C2248" i="4"/>
  <c r="B2249" i="4"/>
  <c r="C2249" i="4"/>
  <c r="B2250" i="4"/>
  <c r="C2250" i="4"/>
  <c r="B2251" i="4"/>
  <c r="C2251" i="4"/>
  <c r="B2252" i="4"/>
  <c r="C2252" i="4"/>
  <c r="B2253" i="4"/>
  <c r="C2253" i="4"/>
  <c r="B2254" i="4"/>
  <c r="C2254" i="4"/>
  <c r="B2255" i="4"/>
  <c r="C2255" i="4"/>
  <c r="B2256" i="4"/>
  <c r="C2256" i="4"/>
  <c r="B2257" i="4"/>
  <c r="C2257" i="4"/>
  <c r="B2258" i="4"/>
  <c r="C2258" i="4"/>
  <c r="B2259" i="4"/>
  <c r="C2259" i="4"/>
  <c r="B2260" i="4"/>
  <c r="C2260" i="4"/>
  <c r="B2261" i="4"/>
  <c r="C2261" i="4"/>
  <c r="B2262" i="4"/>
  <c r="C2262" i="4"/>
  <c r="B2263" i="4"/>
  <c r="C2263" i="4"/>
  <c r="B2264" i="4"/>
  <c r="C2264" i="4"/>
  <c r="B2265" i="4"/>
  <c r="C2265" i="4"/>
  <c r="B2266" i="4"/>
  <c r="C2266" i="4"/>
  <c r="B2267" i="4"/>
  <c r="C2267" i="4"/>
  <c r="B2268" i="4"/>
  <c r="C2268" i="4"/>
  <c r="B2269" i="4"/>
  <c r="C2269" i="4"/>
  <c r="B2270" i="4"/>
  <c r="C2270" i="4"/>
  <c r="B2271" i="4"/>
  <c r="C2271" i="4"/>
  <c r="B2272" i="4"/>
  <c r="C2272" i="4"/>
  <c r="B2273" i="4"/>
  <c r="C2273" i="4"/>
  <c r="B2274" i="4"/>
  <c r="C2274" i="4"/>
  <c r="B2275" i="4"/>
  <c r="C2275" i="4"/>
  <c r="B2276" i="4"/>
  <c r="C2276" i="4"/>
  <c r="B2277" i="4"/>
  <c r="C2277" i="4"/>
  <c r="B2278" i="4"/>
  <c r="C2278" i="4"/>
  <c r="B2279" i="4"/>
  <c r="C2279" i="4"/>
  <c r="B2280" i="4"/>
  <c r="C2280" i="4"/>
  <c r="B2281" i="4"/>
  <c r="C2281" i="4"/>
  <c r="B2282" i="4"/>
  <c r="C2282" i="4"/>
  <c r="B2283" i="4"/>
  <c r="C2283" i="4"/>
  <c r="B2284" i="4"/>
  <c r="C2284" i="4"/>
  <c r="B2285" i="4"/>
  <c r="C2285" i="4"/>
  <c r="B2286" i="4"/>
  <c r="C2286" i="4"/>
  <c r="B2287" i="4"/>
  <c r="C2287" i="4"/>
  <c r="B2288" i="4"/>
  <c r="C2288" i="4"/>
  <c r="B2289" i="4"/>
  <c r="C2289" i="4"/>
  <c r="B2290" i="4"/>
  <c r="C2290" i="4"/>
  <c r="B2291" i="4"/>
  <c r="C2291" i="4"/>
  <c r="B2292" i="4"/>
  <c r="C2292" i="4"/>
  <c r="B2293" i="4"/>
  <c r="C2293" i="4"/>
  <c r="B2294" i="4"/>
  <c r="C2294" i="4"/>
  <c r="B2295" i="4"/>
  <c r="C2295" i="4"/>
  <c r="B2296" i="4"/>
  <c r="C2296" i="4"/>
  <c r="B2297" i="4"/>
  <c r="C2297" i="4"/>
  <c r="B2298" i="4"/>
  <c r="C2298" i="4"/>
  <c r="B2299" i="4"/>
  <c r="C2299" i="4"/>
  <c r="B2300" i="4"/>
  <c r="C2300" i="4"/>
  <c r="B2301" i="4"/>
  <c r="C2301" i="4"/>
  <c r="B2302" i="4"/>
  <c r="C2302" i="4"/>
  <c r="B2303" i="4"/>
  <c r="C2303" i="4"/>
  <c r="B2304" i="4"/>
  <c r="C2304" i="4"/>
  <c r="B2305" i="4"/>
  <c r="C2305" i="4"/>
  <c r="B2306" i="4"/>
  <c r="C2306" i="4"/>
  <c r="B2307" i="4"/>
  <c r="C2307" i="4"/>
  <c r="B2308" i="4"/>
  <c r="C2308" i="4"/>
  <c r="B2309" i="4"/>
  <c r="C2309" i="4"/>
  <c r="B2310" i="4"/>
  <c r="C2310" i="4"/>
  <c r="B2311" i="4"/>
  <c r="C2311" i="4"/>
  <c r="B2312" i="4"/>
  <c r="C2312" i="4"/>
  <c r="B2313" i="4"/>
  <c r="C2313" i="4"/>
  <c r="B2314" i="4"/>
  <c r="C2314" i="4"/>
  <c r="B2315" i="4"/>
  <c r="C2315" i="4"/>
  <c r="B2316" i="4"/>
  <c r="C2316" i="4"/>
  <c r="B2317" i="4"/>
  <c r="C2317" i="4"/>
  <c r="B2318" i="4"/>
  <c r="C2318" i="4"/>
  <c r="B2319" i="4"/>
  <c r="C2319" i="4"/>
  <c r="B2320" i="4"/>
  <c r="C2320" i="4"/>
  <c r="B2321" i="4"/>
  <c r="C2321" i="4"/>
  <c r="B2322" i="4"/>
  <c r="C2322" i="4"/>
  <c r="B2323" i="4"/>
  <c r="C2323" i="4"/>
  <c r="B2324" i="4"/>
  <c r="C2324" i="4"/>
  <c r="B2325" i="4"/>
  <c r="C2325" i="4"/>
  <c r="B2326" i="4"/>
  <c r="C2326" i="4"/>
  <c r="B2327" i="4"/>
  <c r="C2327" i="4"/>
  <c r="B2328" i="4"/>
  <c r="C2328" i="4"/>
  <c r="B2329" i="4"/>
  <c r="C2329" i="4"/>
  <c r="B2330" i="4"/>
  <c r="C2330" i="4"/>
  <c r="B2331" i="4"/>
  <c r="C2331" i="4"/>
  <c r="B2332" i="4"/>
  <c r="C2332" i="4"/>
  <c r="B2333" i="4"/>
  <c r="C2333" i="4"/>
  <c r="B2334" i="4"/>
  <c r="C2334" i="4"/>
  <c r="B2335" i="4"/>
  <c r="C2335" i="4"/>
  <c r="B2336" i="4"/>
  <c r="C2336" i="4"/>
  <c r="B2337" i="4"/>
  <c r="C2337" i="4"/>
  <c r="B2338" i="4"/>
  <c r="C2338" i="4"/>
  <c r="B2339" i="4"/>
  <c r="C2339" i="4"/>
  <c r="B2340" i="4"/>
  <c r="C2340" i="4"/>
  <c r="B2341" i="4"/>
  <c r="C2341" i="4"/>
  <c r="B2342" i="4"/>
  <c r="C2342" i="4"/>
  <c r="B2343" i="4"/>
  <c r="C2343" i="4"/>
  <c r="B2344" i="4"/>
  <c r="C2344" i="4"/>
  <c r="B2345" i="4"/>
  <c r="C2345" i="4"/>
  <c r="B2346" i="4"/>
  <c r="C2346" i="4"/>
  <c r="B2347" i="4"/>
  <c r="C2347" i="4"/>
  <c r="B2348" i="4"/>
  <c r="C2348" i="4"/>
  <c r="B2349" i="4"/>
  <c r="C2349" i="4"/>
  <c r="B2350" i="4"/>
  <c r="C2350" i="4"/>
  <c r="B2351" i="4"/>
  <c r="C2351" i="4"/>
  <c r="B2352" i="4"/>
  <c r="C2352" i="4"/>
  <c r="B2353" i="4"/>
  <c r="C2353" i="4"/>
  <c r="B2354" i="4"/>
  <c r="C2354" i="4"/>
  <c r="B2355" i="4"/>
  <c r="C2355" i="4"/>
  <c r="B2356" i="4"/>
  <c r="C2356" i="4"/>
  <c r="B2357" i="4"/>
  <c r="C2357" i="4"/>
  <c r="B2358" i="4"/>
  <c r="C2358" i="4"/>
  <c r="B2359" i="4"/>
  <c r="C2359" i="4"/>
  <c r="B2360" i="4"/>
  <c r="C2360" i="4"/>
  <c r="B2361" i="4"/>
  <c r="C2361" i="4"/>
  <c r="B2362" i="4"/>
  <c r="C2362" i="4"/>
  <c r="B2363" i="4"/>
  <c r="C2363" i="4"/>
  <c r="B2364" i="4"/>
  <c r="C2364" i="4"/>
  <c r="B2365" i="4"/>
  <c r="C2365" i="4"/>
  <c r="B2366" i="4"/>
  <c r="C2366" i="4"/>
  <c r="B2367" i="4"/>
  <c r="C2367" i="4"/>
  <c r="B2368" i="4"/>
  <c r="C2368" i="4"/>
  <c r="B2369" i="4"/>
  <c r="C2369" i="4"/>
  <c r="B2370" i="4"/>
  <c r="C2370" i="4"/>
  <c r="B2371" i="4"/>
  <c r="C2371" i="4"/>
  <c r="B2372" i="4"/>
  <c r="C2372" i="4"/>
  <c r="B2373" i="4"/>
  <c r="C2373" i="4"/>
  <c r="B2374" i="4"/>
  <c r="C2374" i="4"/>
  <c r="B2375" i="4"/>
  <c r="C2375" i="4"/>
  <c r="B2376" i="4"/>
  <c r="C2376" i="4"/>
  <c r="B2377" i="4"/>
  <c r="C2377" i="4"/>
  <c r="B2378" i="4"/>
  <c r="C2378" i="4"/>
  <c r="B2379" i="4"/>
  <c r="C2379" i="4"/>
  <c r="B2380" i="4"/>
  <c r="C2380" i="4"/>
  <c r="B2381" i="4"/>
  <c r="C2381" i="4"/>
  <c r="B2382" i="4"/>
  <c r="C2382" i="4"/>
  <c r="B2383" i="4"/>
  <c r="C2383" i="4"/>
  <c r="B2384" i="4"/>
  <c r="C2384" i="4"/>
  <c r="B2385" i="4"/>
  <c r="C2385" i="4"/>
  <c r="B2386" i="4"/>
  <c r="C2386" i="4"/>
  <c r="B2387" i="4"/>
  <c r="C2387" i="4"/>
  <c r="B2388" i="4"/>
  <c r="C2388" i="4"/>
  <c r="B2389" i="4"/>
  <c r="C2389" i="4"/>
  <c r="B2390" i="4"/>
  <c r="C2390" i="4"/>
  <c r="B2391" i="4"/>
  <c r="C2391" i="4"/>
  <c r="B2392" i="4"/>
  <c r="C2392" i="4"/>
  <c r="B2393" i="4"/>
  <c r="C2393" i="4"/>
  <c r="B2394" i="4"/>
  <c r="C2394" i="4"/>
  <c r="B2395" i="4"/>
  <c r="C2395" i="4"/>
  <c r="B2396" i="4"/>
  <c r="C2396" i="4"/>
  <c r="B2397" i="4"/>
  <c r="C2397" i="4"/>
  <c r="B2398" i="4"/>
  <c r="C2398" i="4"/>
  <c r="B2399" i="4"/>
  <c r="C2399" i="4"/>
  <c r="B2400" i="4"/>
  <c r="C2400" i="4"/>
  <c r="B2401" i="4"/>
  <c r="C2401" i="4"/>
  <c r="B2402" i="4"/>
  <c r="C2402" i="4"/>
  <c r="B2403" i="4"/>
  <c r="C2403" i="4"/>
  <c r="B2404" i="4"/>
  <c r="C2404" i="4"/>
  <c r="B2405" i="4"/>
  <c r="C2405" i="4"/>
  <c r="B2406" i="4"/>
  <c r="C2406" i="4"/>
  <c r="B2407" i="4"/>
  <c r="C2407" i="4"/>
  <c r="B2408" i="4"/>
  <c r="C2408" i="4"/>
  <c r="B2409" i="4"/>
  <c r="C2409" i="4"/>
  <c r="B2410" i="4"/>
  <c r="C2410" i="4"/>
  <c r="B2411" i="4"/>
  <c r="C2411" i="4"/>
  <c r="B2412" i="4"/>
  <c r="C2412" i="4"/>
  <c r="B2413" i="4"/>
  <c r="C2413" i="4"/>
  <c r="B2414" i="4"/>
  <c r="C2414" i="4"/>
  <c r="B2415" i="4"/>
  <c r="C2415" i="4"/>
  <c r="B2416" i="4"/>
  <c r="C2416" i="4"/>
  <c r="B2417" i="4"/>
  <c r="C2417" i="4"/>
  <c r="B2418" i="4"/>
  <c r="C2418" i="4"/>
  <c r="B2419" i="4"/>
  <c r="C2419" i="4"/>
  <c r="B2420" i="4"/>
  <c r="C2420" i="4"/>
  <c r="B2421" i="4"/>
  <c r="C2421" i="4"/>
  <c r="B2422" i="4"/>
  <c r="C2422" i="4"/>
  <c r="B2423" i="4"/>
  <c r="C2423" i="4"/>
  <c r="B2424" i="4"/>
  <c r="C2424" i="4"/>
  <c r="B2425" i="4"/>
  <c r="C2425" i="4"/>
  <c r="B2426" i="4"/>
  <c r="C2426" i="4"/>
  <c r="B2427" i="4"/>
  <c r="C2427" i="4"/>
  <c r="B2428" i="4"/>
  <c r="C2428" i="4"/>
  <c r="B2429" i="4"/>
  <c r="C2429" i="4"/>
  <c r="B2430" i="4"/>
  <c r="C2430" i="4"/>
  <c r="B2431" i="4"/>
  <c r="C2431" i="4"/>
  <c r="B2432" i="4"/>
  <c r="C2432" i="4"/>
  <c r="B2433" i="4"/>
  <c r="C2433" i="4"/>
  <c r="B2434" i="4"/>
  <c r="C2434" i="4"/>
  <c r="B2435" i="4"/>
  <c r="C2435" i="4"/>
  <c r="B2436" i="4"/>
  <c r="C2436" i="4"/>
  <c r="B2437" i="4"/>
  <c r="C2437" i="4"/>
  <c r="B2438" i="4"/>
  <c r="C2438" i="4"/>
  <c r="B2439" i="4"/>
  <c r="C2439" i="4"/>
  <c r="B2440" i="4"/>
  <c r="C2440" i="4"/>
  <c r="B2441" i="4"/>
  <c r="C2441" i="4"/>
  <c r="B2442" i="4"/>
  <c r="C2442" i="4"/>
  <c r="B2443" i="4"/>
  <c r="C2443" i="4"/>
  <c r="B2444" i="4"/>
  <c r="C2444" i="4"/>
  <c r="B2445" i="4"/>
  <c r="C2445" i="4"/>
  <c r="B2446" i="4"/>
  <c r="C2446" i="4"/>
  <c r="B2447" i="4"/>
  <c r="C2447" i="4"/>
  <c r="B2448" i="4"/>
  <c r="C2448" i="4"/>
  <c r="B2449" i="4"/>
  <c r="C2449" i="4"/>
  <c r="B2450" i="4"/>
  <c r="C2450" i="4"/>
  <c r="B2451" i="4"/>
  <c r="C2451" i="4"/>
  <c r="B2452" i="4"/>
  <c r="C2452" i="4"/>
  <c r="B2453" i="4"/>
  <c r="C2453" i="4"/>
  <c r="B2454" i="4"/>
  <c r="C2454" i="4"/>
  <c r="B2455" i="4"/>
  <c r="C2455" i="4"/>
  <c r="B2456" i="4"/>
  <c r="C2456" i="4"/>
  <c r="B2457" i="4"/>
  <c r="C2457" i="4"/>
  <c r="B2458" i="4"/>
  <c r="C2458" i="4"/>
  <c r="B2459" i="4"/>
  <c r="C2459" i="4"/>
  <c r="B2460" i="4"/>
  <c r="C2460" i="4"/>
  <c r="B2461" i="4"/>
  <c r="C2461" i="4"/>
  <c r="B2462" i="4"/>
  <c r="C2462" i="4"/>
  <c r="B2463" i="4"/>
  <c r="C2463" i="4"/>
  <c r="B2464" i="4"/>
  <c r="C2464" i="4"/>
  <c r="B2465" i="4"/>
  <c r="C2465" i="4"/>
  <c r="B2466" i="4"/>
  <c r="C2466" i="4"/>
  <c r="B2467" i="4"/>
  <c r="C2467" i="4"/>
  <c r="B2468" i="4"/>
  <c r="C2468" i="4"/>
  <c r="B2469" i="4"/>
  <c r="C2469" i="4"/>
  <c r="B2470" i="4"/>
  <c r="C2470" i="4"/>
  <c r="B2471" i="4"/>
  <c r="C2471" i="4"/>
  <c r="B2472" i="4"/>
  <c r="C2472" i="4"/>
  <c r="B2473" i="4"/>
  <c r="C2473" i="4"/>
  <c r="B2474" i="4"/>
  <c r="C2474" i="4"/>
  <c r="B2475" i="4"/>
  <c r="C2475" i="4"/>
  <c r="B2476" i="4"/>
  <c r="C2476" i="4"/>
  <c r="B2477" i="4"/>
  <c r="C2477" i="4"/>
  <c r="B2478" i="4"/>
  <c r="C2478" i="4"/>
  <c r="B2479" i="4"/>
  <c r="C2479" i="4"/>
  <c r="B2480" i="4"/>
  <c r="C2480" i="4"/>
  <c r="B2481" i="4"/>
  <c r="C2481" i="4"/>
  <c r="B2482" i="4"/>
  <c r="C2482" i="4"/>
  <c r="B2483" i="4"/>
  <c r="C2483" i="4"/>
  <c r="B2484" i="4"/>
  <c r="C2484" i="4"/>
  <c r="B2485" i="4"/>
  <c r="C2485" i="4"/>
  <c r="B2486" i="4"/>
  <c r="C2486" i="4"/>
  <c r="B2487" i="4"/>
  <c r="C2487" i="4"/>
  <c r="B2488" i="4"/>
  <c r="C2488" i="4"/>
  <c r="B2489" i="4"/>
  <c r="C2489" i="4"/>
  <c r="B2490" i="4"/>
  <c r="C2490" i="4"/>
  <c r="B2491" i="4"/>
  <c r="C2491" i="4"/>
  <c r="B2492" i="4"/>
  <c r="C2492" i="4"/>
  <c r="B2493" i="4"/>
  <c r="C2493" i="4"/>
  <c r="B2494" i="4"/>
  <c r="C2494" i="4"/>
  <c r="B2495" i="4"/>
  <c r="C2495" i="4"/>
  <c r="B2496" i="4"/>
  <c r="C2496" i="4"/>
  <c r="B2497" i="4"/>
  <c r="C2497" i="4"/>
  <c r="B2498" i="4"/>
  <c r="C2498" i="4"/>
  <c r="B2499" i="4"/>
  <c r="C2499" i="4"/>
  <c r="B2500" i="4"/>
  <c r="C2500" i="4"/>
  <c r="B2501" i="4"/>
  <c r="C2501" i="4"/>
  <c r="B2502" i="4"/>
  <c r="C2502" i="4"/>
  <c r="B2503" i="4"/>
  <c r="C2503" i="4"/>
  <c r="B2504" i="4"/>
  <c r="C2504" i="4"/>
  <c r="B2505" i="4"/>
  <c r="C2505" i="4"/>
  <c r="B2506" i="4"/>
  <c r="C2506" i="4"/>
  <c r="B2507" i="4"/>
  <c r="C2507" i="4"/>
  <c r="B2508" i="4"/>
  <c r="C2508" i="4"/>
  <c r="B2509" i="4"/>
  <c r="C2509" i="4"/>
  <c r="B2510" i="4"/>
  <c r="C2510" i="4"/>
  <c r="B2511" i="4"/>
  <c r="C2511" i="4"/>
  <c r="B2512" i="4"/>
  <c r="C2512" i="4"/>
  <c r="B2513" i="4"/>
  <c r="C2513" i="4"/>
  <c r="B2514" i="4"/>
  <c r="C2514" i="4"/>
  <c r="B2515" i="4"/>
  <c r="C2515" i="4"/>
  <c r="B2516" i="4"/>
  <c r="C2516" i="4"/>
  <c r="B2517" i="4"/>
  <c r="C2517" i="4"/>
  <c r="B2518" i="4"/>
  <c r="C2518" i="4"/>
  <c r="B2519" i="4"/>
  <c r="C2519" i="4"/>
  <c r="B2520" i="4"/>
  <c r="C2520" i="4"/>
  <c r="B2521" i="4"/>
  <c r="C2521" i="4"/>
  <c r="B2522" i="4"/>
  <c r="C2522" i="4"/>
  <c r="B2523" i="4"/>
  <c r="C2523" i="4"/>
  <c r="B2524" i="4"/>
  <c r="C2524" i="4"/>
  <c r="B2525" i="4"/>
  <c r="C2525" i="4"/>
  <c r="B2526" i="4"/>
  <c r="C2526" i="4"/>
  <c r="B2527" i="4"/>
  <c r="C2527" i="4"/>
  <c r="B2528" i="4"/>
  <c r="C2528" i="4"/>
  <c r="B2529" i="4"/>
  <c r="C2529" i="4"/>
  <c r="B2530" i="4"/>
  <c r="C2530" i="4"/>
  <c r="B2531" i="4"/>
  <c r="C2531" i="4"/>
  <c r="B2532" i="4"/>
  <c r="C2532" i="4"/>
  <c r="B2533" i="4"/>
  <c r="C2533" i="4"/>
  <c r="B2534" i="4"/>
  <c r="C2534" i="4"/>
  <c r="B2535" i="4"/>
  <c r="C2535" i="4"/>
  <c r="B2536" i="4"/>
  <c r="C2536" i="4"/>
  <c r="B2537" i="4"/>
  <c r="C2537" i="4"/>
  <c r="B2538" i="4"/>
  <c r="C2538" i="4"/>
  <c r="B2539" i="4"/>
  <c r="C2539" i="4"/>
  <c r="B2540" i="4"/>
  <c r="C2540" i="4"/>
  <c r="B2541" i="4"/>
  <c r="C2541" i="4"/>
  <c r="B2542" i="4"/>
  <c r="C2542" i="4"/>
  <c r="B2543" i="4"/>
  <c r="C2543" i="4"/>
  <c r="B2544" i="4"/>
  <c r="C2544" i="4"/>
  <c r="B2545" i="4"/>
  <c r="C2545" i="4"/>
  <c r="B2546" i="4"/>
  <c r="C2546" i="4"/>
  <c r="B2547" i="4"/>
  <c r="C2547" i="4"/>
  <c r="B2548" i="4"/>
  <c r="C2548" i="4"/>
  <c r="B2549" i="4"/>
  <c r="C2549" i="4"/>
  <c r="B2550" i="4"/>
  <c r="C2550" i="4"/>
  <c r="B2551" i="4"/>
  <c r="C2551" i="4"/>
  <c r="B2552" i="4"/>
  <c r="C2552" i="4"/>
  <c r="B2553" i="4"/>
  <c r="C2553" i="4"/>
  <c r="B2554" i="4"/>
  <c r="C2554" i="4"/>
  <c r="B2555" i="4"/>
  <c r="C2555" i="4"/>
  <c r="B2556" i="4"/>
  <c r="C2556" i="4"/>
  <c r="B2557" i="4"/>
  <c r="C2557" i="4"/>
  <c r="B2558" i="4"/>
  <c r="C2558" i="4"/>
  <c r="B2559" i="4"/>
  <c r="C2559" i="4"/>
  <c r="B2560" i="4"/>
  <c r="C2560" i="4"/>
  <c r="B2561" i="4"/>
  <c r="C2561" i="4"/>
  <c r="B2562" i="4"/>
  <c r="C2562" i="4"/>
  <c r="B2563" i="4"/>
  <c r="C2563" i="4"/>
  <c r="B2564" i="4"/>
  <c r="C2564" i="4"/>
  <c r="B2565" i="4"/>
  <c r="C2565" i="4"/>
  <c r="B2566" i="4"/>
  <c r="C2566" i="4"/>
  <c r="B2567" i="4"/>
  <c r="C2567" i="4"/>
  <c r="B2568" i="4"/>
  <c r="C2568" i="4"/>
  <c r="B2569" i="4"/>
  <c r="C2569" i="4"/>
  <c r="B2570" i="4"/>
  <c r="C2570" i="4"/>
  <c r="B2571" i="4"/>
  <c r="C2571" i="4"/>
  <c r="B2572" i="4"/>
  <c r="C2572" i="4"/>
  <c r="B2573" i="4"/>
  <c r="C2573" i="4"/>
  <c r="B2574" i="4"/>
  <c r="C2574" i="4"/>
  <c r="B2575" i="4"/>
  <c r="C2575" i="4"/>
  <c r="B2576" i="4"/>
  <c r="C2576" i="4"/>
  <c r="B2577" i="4"/>
  <c r="C2577" i="4"/>
  <c r="B2578" i="4"/>
  <c r="C2578" i="4"/>
  <c r="B2579" i="4"/>
  <c r="C2579" i="4"/>
  <c r="B2580" i="4"/>
  <c r="C2580" i="4"/>
  <c r="B2581" i="4"/>
  <c r="C2581" i="4"/>
  <c r="B2582" i="4"/>
  <c r="C2582" i="4"/>
  <c r="B2583" i="4"/>
  <c r="C2583" i="4"/>
  <c r="B2584" i="4"/>
  <c r="C2584" i="4"/>
  <c r="B2585" i="4"/>
  <c r="C2585" i="4"/>
  <c r="B2586" i="4"/>
  <c r="C2586" i="4"/>
  <c r="B2587" i="4"/>
  <c r="C2587" i="4"/>
  <c r="B2588" i="4"/>
  <c r="C2588" i="4"/>
  <c r="B2589" i="4"/>
  <c r="C2589" i="4"/>
  <c r="B2590" i="4"/>
  <c r="C2590" i="4"/>
  <c r="B2591" i="4"/>
  <c r="C2591" i="4"/>
  <c r="B2592" i="4"/>
  <c r="C2592" i="4"/>
  <c r="B2593" i="4"/>
  <c r="C2593" i="4"/>
  <c r="B2594" i="4"/>
  <c r="C2594" i="4"/>
  <c r="B2595" i="4"/>
  <c r="C2595" i="4"/>
  <c r="B2596" i="4"/>
  <c r="C2596" i="4"/>
  <c r="B2597" i="4"/>
  <c r="C2597" i="4"/>
  <c r="B2598" i="4"/>
  <c r="C2598" i="4"/>
  <c r="B2599" i="4"/>
  <c r="C2599" i="4"/>
  <c r="B2600" i="4"/>
  <c r="C2600" i="4"/>
  <c r="B2601" i="4"/>
  <c r="C2601" i="4"/>
  <c r="B2602" i="4"/>
  <c r="C2602" i="4"/>
  <c r="B2603" i="4"/>
  <c r="C2603" i="4"/>
  <c r="B2604" i="4"/>
  <c r="C2604" i="4"/>
  <c r="B2605" i="4"/>
  <c r="C2605" i="4"/>
  <c r="B2606" i="4"/>
  <c r="C2606" i="4"/>
  <c r="B2607" i="4"/>
  <c r="C2607" i="4"/>
  <c r="B2608" i="4"/>
  <c r="C2608" i="4"/>
  <c r="B2609" i="4"/>
  <c r="C2609" i="4"/>
  <c r="B2610" i="4"/>
  <c r="C2610" i="4"/>
  <c r="B2611" i="4"/>
  <c r="C2611" i="4"/>
  <c r="B2612" i="4"/>
  <c r="C2612" i="4"/>
  <c r="B2613" i="4"/>
  <c r="C2613" i="4"/>
  <c r="B2614" i="4"/>
  <c r="C2614" i="4"/>
  <c r="B2615" i="4"/>
  <c r="C2615" i="4"/>
  <c r="B2616" i="4"/>
  <c r="C2616" i="4"/>
  <c r="B2617" i="4"/>
  <c r="C2617" i="4"/>
  <c r="B2618" i="4"/>
  <c r="C2618" i="4"/>
  <c r="B2619" i="4"/>
  <c r="C2619" i="4"/>
  <c r="B2620" i="4"/>
  <c r="C2620" i="4"/>
  <c r="B2621" i="4"/>
  <c r="C2621" i="4"/>
  <c r="B2622" i="4"/>
  <c r="C2622" i="4"/>
  <c r="B2623" i="4"/>
  <c r="C2623" i="4"/>
  <c r="B2624" i="4"/>
  <c r="C2624" i="4"/>
  <c r="B2625" i="4"/>
  <c r="C2625" i="4"/>
  <c r="B2626" i="4"/>
  <c r="C2626" i="4"/>
  <c r="B2627" i="4"/>
  <c r="C2627" i="4"/>
  <c r="B2628" i="4"/>
  <c r="C2628" i="4"/>
  <c r="B2629" i="4"/>
  <c r="C2629" i="4"/>
  <c r="B2630" i="4"/>
  <c r="C2630" i="4"/>
  <c r="B2631" i="4"/>
  <c r="C2631" i="4"/>
  <c r="B2632" i="4"/>
  <c r="C2632" i="4"/>
  <c r="B2633" i="4"/>
  <c r="C2633" i="4"/>
  <c r="B2634" i="4"/>
  <c r="C2634" i="4"/>
  <c r="B2635" i="4"/>
  <c r="C2635" i="4"/>
  <c r="B2636" i="4"/>
  <c r="C2636" i="4"/>
  <c r="B2637" i="4"/>
  <c r="C2637" i="4"/>
  <c r="B2638" i="4"/>
  <c r="C2638" i="4"/>
  <c r="B2639" i="4"/>
  <c r="C2639" i="4"/>
  <c r="B2640" i="4"/>
  <c r="C2640" i="4"/>
  <c r="B2641" i="4"/>
  <c r="C2641" i="4"/>
  <c r="B2642" i="4"/>
  <c r="C2642" i="4"/>
  <c r="B2643" i="4"/>
  <c r="C2643" i="4"/>
  <c r="B2644" i="4"/>
  <c r="C2644" i="4"/>
  <c r="B2645" i="4"/>
  <c r="C2645" i="4"/>
  <c r="B2646" i="4"/>
  <c r="C2646" i="4"/>
  <c r="B2647" i="4"/>
  <c r="C2647" i="4"/>
  <c r="B2648" i="4"/>
  <c r="C2648" i="4"/>
  <c r="B2649" i="4"/>
  <c r="C2649" i="4"/>
  <c r="B2650" i="4"/>
  <c r="C2650" i="4"/>
  <c r="B2651" i="4"/>
  <c r="C2651" i="4"/>
  <c r="B2652" i="4"/>
  <c r="C2652" i="4"/>
  <c r="B2653" i="4"/>
  <c r="C2653" i="4"/>
  <c r="B2654" i="4"/>
  <c r="C2654" i="4"/>
  <c r="B2655" i="4"/>
  <c r="C2655" i="4"/>
  <c r="B2656" i="4"/>
  <c r="C2656" i="4"/>
  <c r="B2657" i="4"/>
  <c r="C2657" i="4"/>
  <c r="B2658" i="4"/>
  <c r="C2658" i="4"/>
  <c r="B2659" i="4"/>
  <c r="C2659" i="4"/>
  <c r="B2660" i="4"/>
  <c r="C2660" i="4"/>
  <c r="B2661" i="4"/>
  <c r="C2661" i="4"/>
  <c r="B2662" i="4"/>
  <c r="C2662" i="4"/>
  <c r="B2663" i="4"/>
  <c r="C2663" i="4"/>
  <c r="B2664" i="4"/>
  <c r="C2664" i="4"/>
  <c r="B2665" i="4"/>
  <c r="C2665" i="4"/>
  <c r="B2666" i="4"/>
  <c r="C2666" i="4"/>
  <c r="B2667" i="4"/>
  <c r="C2667" i="4"/>
  <c r="B2668" i="4"/>
  <c r="C2668" i="4"/>
  <c r="B2669" i="4"/>
  <c r="C2669" i="4"/>
  <c r="B2670" i="4"/>
  <c r="C2670" i="4"/>
  <c r="B2671" i="4"/>
  <c r="C2671" i="4"/>
  <c r="B2672" i="4"/>
  <c r="C2672" i="4"/>
  <c r="B2673" i="4"/>
  <c r="C2673" i="4"/>
  <c r="B2674" i="4"/>
  <c r="C2674" i="4"/>
  <c r="B2675" i="4"/>
  <c r="C2675" i="4"/>
  <c r="B2676" i="4"/>
  <c r="C2676" i="4"/>
  <c r="B2677" i="4"/>
  <c r="C2677" i="4"/>
  <c r="B2678" i="4"/>
  <c r="C2678" i="4"/>
  <c r="B2679" i="4"/>
  <c r="C2679" i="4"/>
  <c r="B2680" i="4"/>
  <c r="C2680" i="4"/>
  <c r="B2681" i="4"/>
  <c r="C2681" i="4"/>
  <c r="B2682" i="4"/>
  <c r="C2682" i="4"/>
  <c r="B2683" i="4"/>
  <c r="C2683" i="4"/>
  <c r="B2684" i="4"/>
  <c r="C2684" i="4"/>
  <c r="B2685" i="4"/>
  <c r="C2685" i="4"/>
  <c r="B2686" i="4"/>
  <c r="C2686" i="4"/>
  <c r="B2687" i="4"/>
  <c r="C2687" i="4"/>
  <c r="B2688" i="4"/>
  <c r="C2688" i="4"/>
  <c r="B2689" i="4"/>
  <c r="C2689" i="4"/>
  <c r="B2690" i="4"/>
  <c r="C2690" i="4"/>
  <c r="B2691" i="4"/>
  <c r="C2691" i="4"/>
  <c r="B2692" i="4"/>
  <c r="C2692" i="4"/>
  <c r="B2693" i="4"/>
  <c r="C2693" i="4"/>
  <c r="B2694" i="4"/>
  <c r="C2694" i="4"/>
  <c r="B2695" i="4"/>
  <c r="C2695" i="4"/>
  <c r="B2696" i="4"/>
  <c r="C2696" i="4"/>
  <c r="B2697" i="4"/>
  <c r="C2697" i="4"/>
  <c r="B2698" i="4"/>
  <c r="C2698" i="4"/>
  <c r="B2699" i="4"/>
  <c r="C2699" i="4"/>
  <c r="B2700" i="4"/>
  <c r="C2700" i="4"/>
  <c r="B2701" i="4"/>
  <c r="C2701" i="4"/>
  <c r="B2702" i="4"/>
  <c r="C2702" i="4"/>
  <c r="B2703" i="4"/>
  <c r="C2703" i="4"/>
  <c r="B2704" i="4"/>
  <c r="C2704" i="4"/>
  <c r="B2705" i="4"/>
  <c r="C2705" i="4"/>
  <c r="B2706" i="4"/>
  <c r="C2706" i="4"/>
  <c r="B2707" i="4"/>
  <c r="C2707" i="4"/>
  <c r="B2708" i="4"/>
  <c r="C2708" i="4"/>
  <c r="B2709" i="4"/>
  <c r="C2709" i="4"/>
  <c r="B2710" i="4"/>
  <c r="C2710" i="4"/>
  <c r="B2711" i="4"/>
  <c r="C2711" i="4"/>
  <c r="B2712" i="4"/>
  <c r="C2712" i="4"/>
  <c r="B2713" i="4"/>
  <c r="C2713" i="4"/>
  <c r="B2714" i="4"/>
  <c r="C2714" i="4"/>
  <c r="B2715" i="4"/>
  <c r="C2715" i="4"/>
  <c r="B2716" i="4"/>
  <c r="C2716" i="4"/>
  <c r="B2717" i="4"/>
  <c r="C2717" i="4"/>
  <c r="B2718" i="4"/>
  <c r="C2718" i="4"/>
  <c r="B2719" i="4"/>
  <c r="C2719" i="4"/>
  <c r="B2720" i="4"/>
  <c r="C2720" i="4"/>
  <c r="B2721" i="4"/>
  <c r="C2721" i="4"/>
  <c r="B2722" i="4"/>
  <c r="C2722" i="4"/>
  <c r="B2723" i="4"/>
  <c r="C2723" i="4"/>
  <c r="B2724" i="4"/>
  <c r="C2724" i="4"/>
  <c r="B2725" i="4"/>
  <c r="C2725" i="4"/>
  <c r="B2726" i="4"/>
  <c r="C2726" i="4"/>
  <c r="B2727" i="4"/>
  <c r="C2727" i="4"/>
  <c r="B2728" i="4"/>
  <c r="C2728" i="4"/>
  <c r="B2729" i="4"/>
  <c r="C2729" i="4"/>
  <c r="B2730" i="4"/>
  <c r="C2730" i="4"/>
  <c r="B2731" i="4"/>
  <c r="C2731" i="4"/>
  <c r="B2732" i="4"/>
  <c r="C2732" i="4"/>
  <c r="B2733" i="4"/>
  <c r="C2733" i="4"/>
  <c r="B2734" i="4"/>
  <c r="C2734" i="4"/>
  <c r="B2735" i="4"/>
  <c r="C2735" i="4"/>
  <c r="B2736" i="4"/>
  <c r="C2736" i="4"/>
  <c r="B2737" i="4"/>
  <c r="C2737" i="4"/>
  <c r="B2738" i="4"/>
  <c r="C2738" i="4"/>
  <c r="B2739" i="4"/>
  <c r="C2739" i="4"/>
  <c r="B2740" i="4"/>
  <c r="C2740" i="4"/>
  <c r="B2741" i="4"/>
  <c r="C2741" i="4"/>
  <c r="B2742" i="4"/>
  <c r="C2742" i="4"/>
  <c r="B2743" i="4"/>
  <c r="C2743" i="4"/>
  <c r="B2744" i="4"/>
  <c r="C2744" i="4"/>
  <c r="B2745" i="4"/>
  <c r="C2745" i="4"/>
  <c r="B2746" i="4"/>
  <c r="C2746" i="4"/>
  <c r="B2747" i="4"/>
  <c r="C2747" i="4"/>
  <c r="B2748" i="4"/>
  <c r="C2748" i="4"/>
  <c r="B2749" i="4"/>
  <c r="C2749" i="4"/>
  <c r="B2750" i="4"/>
  <c r="C2750" i="4"/>
  <c r="B2751" i="4"/>
  <c r="C2751" i="4"/>
  <c r="B2752" i="4"/>
  <c r="C2752" i="4"/>
  <c r="B2753" i="4"/>
  <c r="C2753" i="4"/>
  <c r="B2754" i="4"/>
  <c r="C2754" i="4"/>
  <c r="B2755" i="4"/>
  <c r="C2755" i="4"/>
  <c r="B2756" i="4"/>
  <c r="C2756" i="4"/>
  <c r="B2757" i="4"/>
  <c r="C2757" i="4"/>
  <c r="B2758" i="4"/>
  <c r="C2758" i="4"/>
  <c r="B2759" i="4"/>
  <c r="C2759" i="4"/>
  <c r="B2760" i="4"/>
  <c r="C2760" i="4"/>
  <c r="B2761" i="4"/>
  <c r="C2761" i="4"/>
  <c r="B2762" i="4"/>
  <c r="C2762" i="4"/>
  <c r="B2763" i="4"/>
  <c r="C2763" i="4"/>
  <c r="B2764" i="4"/>
  <c r="C2764" i="4"/>
  <c r="B2765" i="4"/>
  <c r="C2765" i="4"/>
  <c r="B2766" i="4"/>
  <c r="C2766" i="4"/>
  <c r="B2767" i="4"/>
  <c r="C2767" i="4"/>
  <c r="B2768" i="4"/>
  <c r="C2768" i="4"/>
  <c r="B2769" i="4"/>
  <c r="C2769" i="4"/>
  <c r="B2770" i="4"/>
  <c r="C2770" i="4"/>
  <c r="B2771" i="4"/>
  <c r="C2771" i="4"/>
  <c r="B2772" i="4"/>
  <c r="C2772" i="4"/>
  <c r="B2773" i="4"/>
  <c r="C2773" i="4"/>
  <c r="B2774" i="4"/>
  <c r="C2774" i="4"/>
  <c r="B2775" i="4"/>
  <c r="C2775" i="4"/>
  <c r="B2776" i="4"/>
  <c r="C2776" i="4"/>
  <c r="B2777" i="4"/>
  <c r="C2777" i="4"/>
  <c r="B2778" i="4"/>
  <c r="C2778" i="4"/>
  <c r="B2779" i="4"/>
  <c r="C2779" i="4"/>
  <c r="B2780" i="4"/>
  <c r="C2780" i="4"/>
  <c r="B2781" i="4"/>
  <c r="C2781" i="4"/>
  <c r="B2782" i="4"/>
  <c r="C2782" i="4"/>
  <c r="B2783" i="4"/>
  <c r="C2783" i="4"/>
  <c r="B2784" i="4"/>
  <c r="C2784" i="4"/>
  <c r="B2785" i="4"/>
  <c r="C2785" i="4"/>
  <c r="B2786" i="4"/>
  <c r="C2786" i="4"/>
  <c r="B2787" i="4"/>
  <c r="C2787" i="4"/>
  <c r="B2788" i="4"/>
  <c r="C2788" i="4"/>
  <c r="B2789" i="4"/>
  <c r="C2789" i="4"/>
  <c r="B2790" i="4"/>
  <c r="C2790" i="4"/>
  <c r="B2791" i="4"/>
  <c r="C2791" i="4"/>
  <c r="B2792" i="4"/>
  <c r="C2792" i="4"/>
  <c r="B2793" i="4"/>
  <c r="C2793" i="4"/>
  <c r="B2794" i="4"/>
  <c r="C2794" i="4"/>
  <c r="B2795" i="4"/>
  <c r="C2795" i="4"/>
  <c r="B2796" i="4"/>
  <c r="C2796" i="4"/>
  <c r="B2797" i="4"/>
  <c r="C2797" i="4"/>
  <c r="B2798" i="4"/>
  <c r="C2798" i="4"/>
  <c r="B2799" i="4"/>
  <c r="C2799" i="4"/>
  <c r="B2800" i="4"/>
  <c r="C2800" i="4"/>
  <c r="B2801" i="4"/>
  <c r="C2801" i="4"/>
  <c r="B2802" i="4"/>
  <c r="C2802" i="4"/>
  <c r="B2803" i="4"/>
  <c r="C2803" i="4"/>
  <c r="B2804" i="4"/>
  <c r="C2804" i="4"/>
  <c r="B2805" i="4"/>
  <c r="C2805" i="4"/>
  <c r="B2806" i="4"/>
  <c r="C2806" i="4"/>
  <c r="B2807" i="4"/>
  <c r="C2807" i="4"/>
  <c r="B2808" i="4"/>
  <c r="C2808" i="4"/>
  <c r="B2809" i="4"/>
  <c r="C2809" i="4"/>
  <c r="B2810" i="4"/>
  <c r="C2810" i="4"/>
  <c r="B2811" i="4"/>
  <c r="C2811" i="4"/>
  <c r="B2812" i="4"/>
  <c r="C2812" i="4"/>
  <c r="B2813" i="4"/>
  <c r="C2813" i="4"/>
  <c r="B2814" i="4"/>
  <c r="C2814" i="4"/>
  <c r="B2815" i="4"/>
  <c r="C2815" i="4"/>
  <c r="B2816" i="4"/>
  <c r="C2816" i="4"/>
  <c r="B2817" i="4"/>
  <c r="C2817" i="4"/>
  <c r="B2818" i="4"/>
  <c r="C2818" i="4"/>
  <c r="B2819" i="4"/>
  <c r="C2819" i="4"/>
  <c r="B2820" i="4"/>
  <c r="C2820" i="4"/>
  <c r="B2821" i="4"/>
  <c r="C2821" i="4"/>
  <c r="B2822" i="4"/>
  <c r="C2822" i="4"/>
  <c r="B2823" i="4"/>
  <c r="C2823" i="4"/>
  <c r="B2824" i="4"/>
  <c r="C2824" i="4"/>
  <c r="B2825" i="4"/>
  <c r="C2825" i="4"/>
  <c r="B2826" i="4"/>
  <c r="C2826" i="4"/>
  <c r="B2827" i="4"/>
  <c r="C2827" i="4"/>
  <c r="B2828" i="4"/>
  <c r="C2828" i="4"/>
  <c r="B2829" i="4"/>
  <c r="C2829" i="4"/>
  <c r="B2830" i="4"/>
  <c r="C2830" i="4"/>
  <c r="B2831" i="4"/>
  <c r="C2831" i="4"/>
  <c r="B2832" i="4"/>
  <c r="C2832" i="4"/>
  <c r="B2833" i="4"/>
  <c r="C2833" i="4"/>
  <c r="B2834" i="4"/>
  <c r="C2834" i="4"/>
  <c r="B2835" i="4"/>
  <c r="C2835" i="4"/>
  <c r="B2836" i="4"/>
  <c r="C2836" i="4"/>
  <c r="B2837" i="4"/>
  <c r="C2837" i="4"/>
  <c r="B2838" i="4"/>
  <c r="C2838" i="4"/>
  <c r="B2839" i="4"/>
  <c r="C2839" i="4"/>
  <c r="B2840" i="4"/>
  <c r="C2840" i="4"/>
  <c r="B2841" i="4"/>
  <c r="C2841" i="4"/>
  <c r="B2842" i="4"/>
  <c r="C2842" i="4"/>
  <c r="B2843" i="4"/>
  <c r="C2843" i="4"/>
  <c r="B2844" i="4"/>
  <c r="C2844" i="4"/>
  <c r="B2845" i="4"/>
  <c r="C2845" i="4"/>
  <c r="B2846" i="4"/>
  <c r="C2846" i="4"/>
  <c r="B2847" i="4"/>
  <c r="C2847" i="4"/>
  <c r="B2848" i="4"/>
  <c r="C2848" i="4"/>
  <c r="B2849" i="4"/>
  <c r="C2849" i="4"/>
  <c r="B2850" i="4"/>
  <c r="C2850" i="4"/>
  <c r="B2851" i="4"/>
  <c r="C2851" i="4"/>
  <c r="B2852" i="4"/>
  <c r="C2852" i="4"/>
  <c r="B2853" i="4"/>
  <c r="C2853" i="4"/>
  <c r="B2854" i="4"/>
  <c r="C2854" i="4"/>
  <c r="B2855" i="4"/>
  <c r="C2855" i="4"/>
  <c r="B2856" i="4"/>
  <c r="C2856" i="4"/>
  <c r="B2857" i="4"/>
  <c r="C2857" i="4"/>
  <c r="B2858" i="4"/>
  <c r="C2858" i="4"/>
  <c r="B2859" i="4"/>
  <c r="C2859" i="4"/>
  <c r="B2860" i="4"/>
  <c r="C2860" i="4"/>
  <c r="B2861" i="4"/>
  <c r="C2861" i="4"/>
  <c r="B2862" i="4"/>
  <c r="C2862" i="4"/>
  <c r="B2863" i="4"/>
  <c r="C2863" i="4"/>
  <c r="B2864" i="4"/>
  <c r="C2864" i="4"/>
  <c r="B2865" i="4"/>
  <c r="C2865" i="4"/>
  <c r="B2866" i="4"/>
  <c r="C2866" i="4"/>
  <c r="B2867" i="4"/>
  <c r="C2867" i="4"/>
  <c r="B2868" i="4"/>
  <c r="C2868" i="4"/>
  <c r="B2869" i="4"/>
  <c r="C2869" i="4"/>
  <c r="B2870" i="4"/>
  <c r="C2870" i="4"/>
  <c r="B2871" i="4"/>
  <c r="C2871" i="4"/>
  <c r="B2872" i="4"/>
  <c r="C2872" i="4"/>
  <c r="B2873" i="4"/>
  <c r="C2873" i="4"/>
  <c r="B2874" i="4"/>
  <c r="C2874" i="4"/>
  <c r="B2875" i="4"/>
  <c r="C2875" i="4"/>
  <c r="B2876" i="4"/>
  <c r="C2876" i="4"/>
  <c r="B2877" i="4"/>
  <c r="C2877" i="4"/>
  <c r="B2878" i="4"/>
  <c r="C2878" i="4"/>
  <c r="B2879" i="4"/>
  <c r="C2879" i="4"/>
  <c r="B2880" i="4"/>
  <c r="C2880" i="4"/>
  <c r="B2881" i="4"/>
  <c r="C2881" i="4"/>
  <c r="B2882" i="4"/>
  <c r="C2882" i="4"/>
  <c r="B2883" i="4"/>
  <c r="C2883" i="4"/>
  <c r="B2884" i="4"/>
  <c r="C2884" i="4"/>
  <c r="B2885" i="4"/>
  <c r="C2885" i="4"/>
  <c r="B2886" i="4"/>
  <c r="C2886" i="4"/>
  <c r="B2887" i="4"/>
  <c r="C2887" i="4"/>
  <c r="B2888" i="4"/>
  <c r="C2888" i="4"/>
  <c r="B2889" i="4"/>
  <c r="C2889" i="4"/>
  <c r="B2890" i="4"/>
  <c r="C2890" i="4"/>
  <c r="B2891" i="4"/>
  <c r="C2891" i="4"/>
  <c r="B2892" i="4"/>
  <c r="C2892" i="4"/>
  <c r="B2893" i="4"/>
  <c r="C2893" i="4"/>
  <c r="B2894" i="4"/>
  <c r="C2894" i="4"/>
  <c r="B2895" i="4"/>
  <c r="C2895" i="4"/>
  <c r="B2896" i="4"/>
  <c r="C2896" i="4"/>
  <c r="B2897" i="4"/>
  <c r="C2897" i="4"/>
  <c r="B2898" i="4"/>
  <c r="C2898" i="4"/>
  <c r="B2899" i="4"/>
  <c r="C2899" i="4"/>
  <c r="B2900" i="4"/>
  <c r="C2900" i="4"/>
  <c r="B2901" i="4"/>
  <c r="C2901" i="4"/>
  <c r="B2902" i="4"/>
  <c r="C2902" i="4"/>
  <c r="B2903" i="4"/>
  <c r="C2903" i="4"/>
  <c r="B2904" i="4"/>
  <c r="C2904" i="4"/>
  <c r="B2905" i="4"/>
  <c r="C2905" i="4"/>
  <c r="B2906" i="4"/>
  <c r="C2906" i="4"/>
  <c r="B2907" i="4"/>
  <c r="C2907" i="4"/>
  <c r="B2908" i="4"/>
  <c r="C2908" i="4"/>
  <c r="B2909" i="4"/>
  <c r="C2909" i="4"/>
  <c r="B2910" i="4"/>
  <c r="C2910" i="4"/>
  <c r="B2911" i="4"/>
  <c r="C2911" i="4"/>
  <c r="B2912" i="4"/>
  <c r="C2912" i="4"/>
  <c r="B2913" i="4"/>
  <c r="C2913" i="4"/>
  <c r="B2914" i="4"/>
  <c r="C2914" i="4"/>
  <c r="B2915" i="4"/>
  <c r="C2915" i="4"/>
  <c r="B2916" i="4"/>
  <c r="C2916" i="4"/>
  <c r="B2917" i="4"/>
  <c r="C2917" i="4"/>
  <c r="B2918" i="4"/>
  <c r="C2918" i="4"/>
  <c r="B2919" i="4"/>
  <c r="C2919" i="4"/>
  <c r="B2920" i="4"/>
  <c r="C2920" i="4"/>
  <c r="B2921" i="4"/>
  <c r="C2921" i="4"/>
  <c r="B2922" i="4"/>
  <c r="C2922" i="4"/>
  <c r="B2923" i="4"/>
  <c r="C2923" i="4"/>
  <c r="B2924" i="4"/>
  <c r="C2924" i="4"/>
  <c r="B2925" i="4"/>
  <c r="C2925" i="4"/>
  <c r="B2926" i="4"/>
  <c r="C2926" i="4"/>
  <c r="B2927" i="4"/>
  <c r="C2927" i="4"/>
  <c r="B2928" i="4"/>
  <c r="C2928" i="4"/>
  <c r="B2929" i="4"/>
  <c r="C2929" i="4"/>
  <c r="B2930" i="4"/>
  <c r="C2930" i="4"/>
  <c r="B2931" i="4"/>
  <c r="C2931" i="4"/>
  <c r="B2932" i="4"/>
  <c r="C2932" i="4"/>
  <c r="B2933" i="4"/>
  <c r="C2933" i="4"/>
  <c r="B2934" i="4"/>
  <c r="C2934" i="4"/>
  <c r="B2935" i="4"/>
  <c r="C2935" i="4"/>
  <c r="B2936" i="4"/>
  <c r="C2936" i="4"/>
  <c r="B2937" i="4"/>
  <c r="C2937" i="4"/>
  <c r="B2938" i="4"/>
  <c r="C2938" i="4"/>
  <c r="B2939" i="4"/>
  <c r="C2939" i="4"/>
  <c r="B2940" i="4"/>
  <c r="C2940" i="4"/>
  <c r="B2941" i="4"/>
  <c r="C2941" i="4"/>
  <c r="B2942" i="4"/>
  <c r="C2942" i="4"/>
  <c r="B2943" i="4"/>
  <c r="C2943" i="4"/>
  <c r="B2944" i="4"/>
  <c r="C2944" i="4"/>
  <c r="B2945" i="4"/>
  <c r="C2945" i="4"/>
  <c r="B2946" i="4"/>
  <c r="C2946" i="4"/>
  <c r="B2947" i="4"/>
  <c r="C2947" i="4"/>
  <c r="B2948" i="4"/>
  <c r="C2948" i="4"/>
  <c r="B2949" i="4"/>
  <c r="C2949" i="4"/>
  <c r="B2950" i="4"/>
  <c r="C2950" i="4"/>
  <c r="B2951" i="4"/>
  <c r="C2951" i="4"/>
  <c r="B2952" i="4"/>
  <c r="C2952" i="4"/>
  <c r="B2953" i="4"/>
  <c r="C2953" i="4"/>
  <c r="B2954" i="4"/>
  <c r="C2954" i="4"/>
  <c r="B2955" i="4"/>
  <c r="C2955" i="4"/>
  <c r="B2956" i="4"/>
  <c r="C2956" i="4"/>
  <c r="B2957" i="4"/>
  <c r="C2957" i="4"/>
  <c r="B2958" i="4"/>
  <c r="C2958" i="4"/>
  <c r="B2959" i="4"/>
  <c r="C2959" i="4"/>
  <c r="B2960" i="4"/>
  <c r="C2960" i="4"/>
  <c r="B2961" i="4"/>
  <c r="C2961" i="4"/>
  <c r="B2962" i="4"/>
  <c r="C2962" i="4"/>
  <c r="B2963" i="4"/>
  <c r="C2963" i="4"/>
  <c r="B2964" i="4"/>
  <c r="C2964" i="4"/>
  <c r="B2965" i="4"/>
  <c r="C2965" i="4"/>
  <c r="B2966" i="4"/>
  <c r="C2966" i="4"/>
  <c r="B2967" i="4"/>
  <c r="C2967" i="4"/>
  <c r="B2968" i="4"/>
  <c r="C2968" i="4"/>
  <c r="B2969" i="4"/>
  <c r="C2969" i="4"/>
  <c r="B2970" i="4"/>
  <c r="C2970" i="4"/>
  <c r="B2971" i="4"/>
  <c r="C2971" i="4"/>
  <c r="B2972" i="4"/>
  <c r="C2972" i="4"/>
  <c r="B2973" i="4"/>
  <c r="C2973" i="4"/>
  <c r="B2974" i="4"/>
  <c r="C2974" i="4"/>
  <c r="B2975" i="4"/>
  <c r="C2975" i="4"/>
  <c r="B2976" i="4"/>
  <c r="C2976" i="4"/>
  <c r="B2977" i="4"/>
  <c r="C2977" i="4"/>
  <c r="B2978" i="4"/>
  <c r="C2978" i="4"/>
  <c r="B2979" i="4"/>
  <c r="C2979" i="4"/>
  <c r="B2980" i="4"/>
  <c r="C2980" i="4"/>
  <c r="B2981" i="4"/>
  <c r="C2981" i="4"/>
  <c r="B2982" i="4"/>
  <c r="C2982" i="4"/>
  <c r="B2983" i="4"/>
  <c r="C2983" i="4"/>
  <c r="B2984" i="4"/>
  <c r="C2984" i="4"/>
  <c r="B2985" i="4"/>
  <c r="C2985" i="4"/>
  <c r="B2986" i="4"/>
  <c r="C2986" i="4"/>
  <c r="B2987" i="4"/>
  <c r="C2987" i="4"/>
  <c r="B2988" i="4"/>
  <c r="C2988" i="4"/>
  <c r="B2989" i="4"/>
  <c r="C2989" i="4"/>
  <c r="B2990" i="4"/>
  <c r="C2990" i="4"/>
  <c r="B2991" i="4"/>
  <c r="C2991" i="4"/>
  <c r="B2992" i="4"/>
  <c r="C2992" i="4"/>
  <c r="B2993" i="4"/>
  <c r="C2993" i="4"/>
  <c r="B2994" i="4"/>
  <c r="C2994" i="4"/>
  <c r="B2995" i="4"/>
  <c r="C2995" i="4"/>
  <c r="B2996" i="4"/>
  <c r="C2996" i="4"/>
  <c r="B2997" i="4"/>
  <c r="C2997" i="4"/>
  <c r="B2998" i="4"/>
  <c r="C2998" i="4"/>
  <c r="B2999" i="4"/>
  <c r="C2999" i="4"/>
  <c r="B3000" i="4"/>
  <c r="C3000" i="4"/>
  <c r="B3001" i="4"/>
  <c r="C3001" i="4"/>
  <c r="B3002" i="4"/>
  <c r="C3002" i="4"/>
  <c r="B3003" i="4"/>
  <c r="C3003" i="4"/>
  <c r="B3004" i="4"/>
  <c r="C3004" i="4"/>
  <c r="B3005" i="4"/>
  <c r="C3005" i="4"/>
  <c r="B3006" i="4"/>
  <c r="C3006" i="4"/>
  <c r="B3007" i="4"/>
  <c r="C3007" i="4"/>
  <c r="B3008" i="4"/>
  <c r="C3008" i="4"/>
  <c r="B3009" i="4"/>
  <c r="C3009" i="4"/>
  <c r="B3010" i="4"/>
  <c r="C3010" i="4"/>
  <c r="B3011" i="4"/>
  <c r="C3011" i="4"/>
  <c r="B3012" i="4"/>
  <c r="C3012" i="4"/>
  <c r="B3013" i="4"/>
  <c r="C3013" i="4"/>
  <c r="B3014" i="4"/>
  <c r="C3014" i="4"/>
  <c r="B3015" i="4"/>
  <c r="C3015" i="4"/>
  <c r="B3016" i="4"/>
  <c r="C3016" i="4"/>
  <c r="B3017" i="4"/>
  <c r="C3017" i="4"/>
  <c r="B3018" i="4"/>
  <c r="C3018" i="4"/>
  <c r="B3019" i="4"/>
  <c r="C3019" i="4"/>
  <c r="B3020" i="4"/>
  <c r="C3020" i="4"/>
  <c r="B3021" i="4"/>
  <c r="C3021" i="4"/>
  <c r="B3022" i="4"/>
  <c r="C3022" i="4"/>
  <c r="B3023" i="4"/>
  <c r="C3023" i="4"/>
  <c r="B3024" i="4"/>
  <c r="C3024" i="4"/>
  <c r="B3025" i="4"/>
  <c r="C3025" i="4"/>
  <c r="B3026" i="4"/>
  <c r="C3026" i="4"/>
  <c r="B3027" i="4"/>
  <c r="C3027" i="4"/>
  <c r="B3028" i="4"/>
  <c r="C3028" i="4"/>
  <c r="B3029" i="4"/>
  <c r="C3029" i="4"/>
  <c r="B3030" i="4"/>
  <c r="C3030" i="4"/>
  <c r="B3031" i="4"/>
  <c r="C3031" i="4"/>
  <c r="B3032" i="4"/>
  <c r="C3032" i="4"/>
  <c r="B3033" i="4"/>
  <c r="C3033" i="4"/>
  <c r="B3034" i="4"/>
  <c r="C3034" i="4"/>
  <c r="B3035" i="4"/>
  <c r="C3035" i="4"/>
  <c r="B3036" i="4"/>
  <c r="C3036" i="4"/>
  <c r="B3037" i="4"/>
  <c r="C3037" i="4"/>
  <c r="B3038" i="4"/>
  <c r="C3038" i="4"/>
  <c r="B3039" i="4"/>
  <c r="C3039" i="4"/>
  <c r="B3040" i="4"/>
  <c r="C3040" i="4"/>
  <c r="B3041" i="4"/>
  <c r="C3041" i="4"/>
  <c r="B3042" i="4"/>
  <c r="C3042" i="4"/>
  <c r="B3043" i="4"/>
  <c r="C3043" i="4"/>
  <c r="B3044" i="4"/>
  <c r="C3044" i="4"/>
  <c r="B3045" i="4"/>
  <c r="C3045" i="4"/>
  <c r="B3046" i="4"/>
  <c r="C3046" i="4"/>
  <c r="B3047" i="4"/>
  <c r="C3047" i="4"/>
  <c r="B3048" i="4"/>
  <c r="C3048" i="4"/>
  <c r="B3049" i="4"/>
  <c r="C3049" i="4"/>
  <c r="B3050" i="4"/>
  <c r="C3050" i="4"/>
  <c r="B3051" i="4"/>
  <c r="C3051" i="4"/>
  <c r="B3052" i="4"/>
  <c r="C3052" i="4"/>
  <c r="B3053" i="4"/>
  <c r="C3053" i="4"/>
  <c r="B3054" i="4"/>
  <c r="C3054" i="4"/>
  <c r="B3055" i="4"/>
  <c r="C3055" i="4"/>
  <c r="B3056" i="4"/>
  <c r="C3056" i="4"/>
  <c r="B3057" i="4"/>
  <c r="C3057" i="4"/>
  <c r="B3058" i="4"/>
  <c r="C3058" i="4"/>
  <c r="B3059" i="4"/>
  <c r="C3059" i="4"/>
  <c r="B3060" i="4"/>
  <c r="C3060" i="4"/>
  <c r="B3061" i="4"/>
  <c r="C3061" i="4"/>
  <c r="B3062" i="4"/>
  <c r="C3062" i="4"/>
  <c r="B3063" i="4"/>
  <c r="C3063" i="4"/>
  <c r="B3064" i="4"/>
  <c r="C3064" i="4"/>
  <c r="B3065" i="4"/>
  <c r="C3065" i="4"/>
  <c r="B3066" i="4"/>
  <c r="C3066" i="4"/>
  <c r="B3067" i="4"/>
  <c r="C3067" i="4"/>
  <c r="B3068" i="4"/>
  <c r="C3068" i="4"/>
  <c r="B3069" i="4"/>
  <c r="C3069" i="4"/>
  <c r="B3070" i="4"/>
  <c r="C3070" i="4"/>
  <c r="B3071" i="4"/>
  <c r="C3071" i="4"/>
  <c r="B3072" i="4"/>
  <c r="C3072" i="4"/>
  <c r="B3073" i="4"/>
  <c r="C3073" i="4"/>
  <c r="B3074" i="4"/>
  <c r="C3074" i="4"/>
  <c r="B3075" i="4"/>
  <c r="C3075" i="4"/>
  <c r="B3076" i="4"/>
  <c r="C3076" i="4"/>
  <c r="B3077" i="4"/>
  <c r="C3077" i="4"/>
  <c r="B3078" i="4"/>
  <c r="C3078" i="4"/>
  <c r="B3079" i="4"/>
  <c r="C3079" i="4"/>
  <c r="B3080" i="4"/>
  <c r="C3080" i="4"/>
  <c r="B3081" i="4"/>
  <c r="C3081" i="4"/>
  <c r="B3082" i="4"/>
  <c r="C3082" i="4"/>
  <c r="B3083" i="4"/>
  <c r="C3083" i="4"/>
  <c r="B3084" i="4"/>
  <c r="C3084" i="4"/>
  <c r="B3085" i="4"/>
  <c r="C3085" i="4"/>
  <c r="B3086" i="4"/>
  <c r="C3086" i="4"/>
  <c r="B3087" i="4"/>
  <c r="C3087" i="4"/>
  <c r="B3088" i="4"/>
  <c r="C3088" i="4"/>
  <c r="B3089" i="4"/>
  <c r="C3089" i="4"/>
  <c r="B3090" i="4"/>
  <c r="C3090" i="4"/>
  <c r="B3091" i="4"/>
  <c r="C3091" i="4"/>
  <c r="B3092" i="4"/>
  <c r="C3092" i="4"/>
  <c r="B3093" i="4"/>
  <c r="C3093" i="4"/>
  <c r="B3094" i="4"/>
  <c r="C3094" i="4"/>
  <c r="B3095" i="4"/>
  <c r="C3095" i="4"/>
  <c r="B3096" i="4"/>
  <c r="C3096" i="4"/>
  <c r="B3097" i="4"/>
  <c r="C3097" i="4"/>
  <c r="B3098" i="4"/>
  <c r="C3098" i="4"/>
  <c r="B3099" i="4"/>
  <c r="C3099" i="4"/>
  <c r="B3100" i="4"/>
  <c r="C3100" i="4"/>
  <c r="B3101" i="4"/>
  <c r="C3101" i="4"/>
  <c r="B3102" i="4"/>
  <c r="C3102" i="4"/>
  <c r="B3103" i="4"/>
  <c r="C3103" i="4"/>
  <c r="B3104" i="4"/>
  <c r="C3104" i="4"/>
  <c r="B3105" i="4"/>
  <c r="C3105" i="4"/>
  <c r="B3106" i="4"/>
  <c r="C3106" i="4"/>
  <c r="B3107" i="4"/>
  <c r="C3107" i="4"/>
  <c r="B3108" i="4"/>
  <c r="C3108" i="4"/>
  <c r="B3109" i="4"/>
  <c r="C3109" i="4"/>
  <c r="B3110" i="4"/>
  <c r="C3110" i="4"/>
  <c r="B3111" i="4"/>
  <c r="C3111" i="4"/>
  <c r="B3112" i="4"/>
  <c r="C3112" i="4"/>
  <c r="B3113" i="4"/>
  <c r="C3113" i="4"/>
  <c r="B3114" i="4"/>
  <c r="C3114" i="4"/>
  <c r="B3115" i="4"/>
  <c r="C3115" i="4"/>
  <c r="B3116" i="4"/>
  <c r="C3116" i="4"/>
  <c r="B3117" i="4"/>
  <c r="C3117" i="4"/>
  <c r="B3118" i="4"/>
  <c r="C3118" i="4"/>
  <c r="B3119" i="4"/>
  <c r="C3119" i="4"/>
  <c r="B3120" i="4"/>
  <c r="C3120" i="4"/>
  <c r="B3121" i="4"/>
  <c r="C3121" i="4"/>
  <c r="B3122" i="4"/>
  <c r="C3122" i="4"/>
  <c r="B3123" i="4"/>
  <c r="C3123" i="4"/>
  <c r="B3124" i="4"/>
  <c r="C3124" i="4"/>
  <c r="B3125" i="4"/>
  <c r="C3125" i="4"/>
  <c r="B3126" i="4"/>
  <c r="C3126" i="4"/>
  <c r="B3127" i="4"/>
  <c r="C3127" i="4"/>
  <c r="B3128" i="4"/>
  <c r="C3128" i="4"/>
  <c r="B3129" i="4"/>
  <c r="C3129" i="4"/>
  <c r="B3130" i="4"/>
  <c r="C3130" i="4"/>
  <c r="B3131" i="4"/>
  <c r="C3131" i="4"/>
  <c r="B3132" i="4"/>
  <c r="C3132" i="4"/>
  <c r="B3133" i="4"/>
  <c r="C3133" i="4"/>
  <c r="B3134" i="4"/>
  <c r="C3134" i="4"/>
  <c r="B3135" i="4"/>
  <c r="C3135" i="4"/>
  <c r="B3136" i="4"/>
  <c r="C3136" i="4"/>
  <c r="B3137" i="4"/>
  <c r="C3137" i="4"/>
  <c r="B3138" i="4"/>
  <c r="C3138" i="4"/>
  <c r="B3139" i="4"/>
  <c r="C3139" i="4"/>
  <c r="B3140" i="4"/>
  <c r="C3140" i="4"/>
  <c r="B3141" i="4"/>
  <c r="C3141" i="4"/>
  <c r="B3142" i="4"/>
  <c r="C3142" i="4"/>
  <c r="B3143" i="4"/>
  <c r="C3143" i="4"/>
  <c r="B3144" i="4"/>
  <c r="C3144" i="4"/>
  <c r="B3145" i="4"/>
  <c r="C3145" i="4"/>
  <c r="B3146" i="4"/>
  <c r="C3146" i="4"/>
  <c r="B3147" i="4"/>
  <c r="C3147" i="4"/>
  <c r="B3148" i="4"/>
  <c r="C3148" i="4"/>
  <c r="B3149" i="4"/>
  <c r="C3149" i="4"/>
  <c r="B3150" i="4"/>
  <c r="C3150" i="4"/>
  <c r="B3151" i="4"/>
  <c r="C3151" i="4"/>
  <c r="B3152" i="4"/>
  <c r="C3152" i="4"/>
  <c r="B3153" i="4"/>
  <c r="C3153" i="4"/>
  <c r="B3154" i="4"/>
  <c r="C3154" i="4"/>
  <c r="B3155" i="4"/>
  <c r="C3155" i="4"/>
  <c r="B3156" i="4"/>
  <c r="C3156" i="4"/>
  <c r="B3157" i="4"/>
  <c r="C3157" i="4"/>
  <c r="B3158" i="4"/>
  <c r="C3158" i="4"/>
  <c r="B3159" i="4"/>
  <c r="C3159" i="4"/>
  <c r="B3160" i="4"/>
  <c r="C3160" i="4"/>
  <c r="B3161" i="4"/>
  <c r="C3161" i="4"/>
  <c r="B3162" i="4"/>
  <c r="C3162" i="4"/>
  <c r="B3163" i="4"/>
  <c r="C3163" i="4"/>
  <c r="B3164" i="4"/>
  <c r="C3164" i="4"/>
  <c r="B3165" i="4"/>
  <c r="C3165" i="4"/>
  <c r="B3166" i="4"/>
  <c r="C3166" i="4"/>
  <c r="B3167" i="4"/>
  <c r="C3167" i="4"/>
  <c r="B3168" i="4"/>
  <c r="C3168" i="4"/>
  <c r="B3169" i="4"/>
  <c r="C3169" i="4"/>
  <c r="B3170" i="4"/>
  <c r="C3170" i="4"/>
  <c r="B3171" i="4"/>
  <c r="C3171" i="4"/>
  <c r="B3172" i="4"/>
  <c r="C3172" i="4"/>
  <c r="B3173" i="4"/>
  <c r="C3173" i="4"/>
  <c r="B3174" i="4"/>
  <c r="C3174" i="4"/>
  <c r="B3175" i="4"/>
  <c r="C3175" i="4"/>
  <c r="B3176" i="4"/>
  <c r="C3176" i="4"/>
  <c r="B3177" i="4"/>
  <c r="C3177" i="4"/>
  <c r="B3178" i="4"/>
  <c r="C3178" i="4"/>
  <c r="B3179" i="4"/>
  <c r="C3179" i="4"/>
  <c r="B3180" i="4"/>
  <c r="C3180" i="4"/>
  <c r="B3181" i="4"/>
  <c r="C3181" i="4"/>
  <c r="B3182" i="4"/>
  <c r="C3182" i="4"/>
  <c r="B3183" i="4"/>
  <c r="C3183" i="4"/>
  <c r="B3184" i="4"/>
  <c r="C3184" i="4"/>
  <c r="B3185" i="4"/>
  <c r="C3185" i="4"/>
  <c r="B3186" i="4"/>
  <c r="C3186" i="4"/>
  <c r="B3187" i="4"/>
  <c r="C3187" i="4"/>
  <c r="B3188" i="4"/>
  <c r="C3188" i="4"/>
  <c r="B3189" i="4"/>
  <c r="C3189" i="4"/>
  <c r="B3190" i="4"/>
  <c r="C3190" i="4"/>
  <c r="B3191" i="4"/>
  <c r="C3191" i="4"/>
  <c r="B3192" i="4"/>
  <c r="C3192" i="4"/>
  <c r="B3193" i="4"/>
  <c r="C3193" i="4"/>
  <c r="B3194" i="4"/>
  <c r="C3194" i="4"/>
  <c r="B3195" i="4"/>
  <c r="C3195" i="4"/>
  <c r="B3196" i="4"/>
  <c r="C3196" i="4"/>
  <c r="B3197" i="4"/>
  <c r="C3197" i="4"/>
  <c r="B3198" i="4"/>
  <c r="C3198" i="4"/>
  <c r="B3199" i="4"/>
  <c r="C3199" i="4"/>
  <c r="B3200" i="4"/>
  <c r="C3200" i="4"/>
  <c r="B3201" i="4"/>
  <c r="C3201" i="4"/>
  <c r="B3202" i="4"/>
  <c r="C3202" i="4"/>
  <c r="B3203" i="4"/>
  <c r="C3203" i="4"/>
  <c r="B3204" i="4"/>
  <c r="C3204" i="4"/>
  <c r="B3205" i="4"/>
  <c r="C3205" i="4"/>
  <c r="B3206" i="4"/>
  <c r="C3206" i="4"/>
  <c r="B3207" i="4"/>
  <c r="C3207" i="4"/>
  <c r="B3208" i="4"/>
  <c r="C3208" i="4"/>
  <c r="B3209" i="4"/>
  <c r="C3209" i="4"/>
  <c r="B3210" i="4"/>
  <c r="C3210" i="4"/>
  <c r="B3211" i="4"/>
  <c r="C3211" i="4"/>
  <c r="B3212" i="4"/>
  <c r="C3212" i="4"/>
  <c r="B3213" i="4"/>
  <c r="C3213" i="4"/>
  <c r="B3214" i="4"/>
  <c r="C3214" i="4"/>
  <c r="B3215" i="4"/>
  <c r="C3215" i="4"/>
  <c r="B3216" i="4"/>
  <c r="C3216" i="4"/>
  <c r="B3217" i="4"/>
  <c r="C3217" i="4"/>
  <c r="B3218" i="4"/>
  <c r="C3218" i="4"/>
  <c r="B3219" i="4"/>
  <c r="C3219" i="4"/>
  <c r="B3220" i="4"/>
  <c r="C3220" i="4"/>
  <c r="B3221" i="4"/>
  <c r="C3221" i="4"/>
  <c r="B3222" i="4"/>
  <c r="C3222" i="4"/>
  <c r="B3223" i="4"/>
  <c r="C3223" i="4"/>
  <c r="B3224" i="4"/>
  <c r="C3224" i="4"/>
  <c r="B3225" i="4"/>
  <c r="C3225" i="4"/>
  <c r="B3226" i="4"/>
  <c r="C3226" i="4"/>
  <c r="B3227" i="4"/>
  <c r="C3227" i="4"/>
  <c r="B3228" i="4"/>
  <c r="C3228" i="4"/>
  <c r="B3229" i="4"/>
  <c r="C3229" i="4"/>
  <c r="B3230" i="4"/>
  <c r="C3230" i="4"/>
  <c r="B3231" i="4"/>
  <c r="C3231" i="4"/>
  <c r="B3232" i="4"/>
  <c r="C3232" i="4"/>
  <c r="B3233" i="4"/>
  <c r="C3233" i="4"/>
  <c r="B3234" i="4"/>
  <c r="C3234" i="4"/>
  <c r="B3235" i="4"/>
  <c r="C3235" i="4"/>
  <c r="B3236" i="4"/>
  <c r="C3236" i="4"/>
  <c r="B3237" i="4"/>
  <c r="C3237" i="4"/>
  <c r="B3238" i="4"/>
  <c r="C3238" i="4"/>
  <c r="B3239" i="4"/>
  <c r="C3239" i="4"/>
  <c r="B3240" i="4"/>
  <c r="C3240" i="4"/>
  <c r="B3241" i="4"/>
  <c r="C3241" i="4"/>
  <c r="B3242" i="4"/>
  <c r="C3242" i="4"/>
  <c r="B3243" i="4"/>
  <c r="C3243" i="4"/>
  <c r="B3244" i="4"/>
  <c r="C3244" i="4"/>
  <c r="B3245" i="4"/>
  <c r="C3245" i="4"/>
  <c r="B3246" i="4"/>
  <c r="C3246" i="4"/>
  <c r="B3247" i="4"/>
  <c r="C3247" i="4"/>
  <c r="B3248" i="4"/>
  <c r="C3248" i="4"/>
  <c r="B3249" i="4"/>
  <c r="C3249" i="4"/>
  <c r="B3250" i="4"/>
  <c r="C3250" i="4"/>
  <c r="B3251" i="4"/>
  <c r="C3251" i="4"/>
  <c r="B3252" i="4"/>
  <c r="C3252" i="4"/>
  <c r="B3253" i="4"/>
  <c r="C3253" i="4"/>
  <c r="B3254" i="4"/>
  <c r="C3254" i="4"/>
  <c r="B3255" i="4"/>
  <c r="C3255" i="4"/>
  <c r="B3256" i="4"/>
  <c r="C3256" i="4"/>
  <c r="B3257" i="4"/>
  <c r="C3257" i="4"/>
  <c r="B3258" i="4"/>
  <c r="C3258" i="4"/>
  <c r="B3259" i="4"/>
  <c r="C3259" i="4"/>
  <c r="B3260" i="4"/>
  <c r="C3260" i="4"/>
  <c r="B3261" i="4"/>
  <c r="C3261" i="4"/>
  <c r="B3262" i="4"/>
  <c r="C3262" i="4"/>
  <c r="B3263" i="4"/>
  <c r="C3263" i="4"/>
  <c r="B3264" i="4"/>
  <c r="C3264" i="4"/>
  <c r="B3265" i="4"/>
  <c r="C3265" i="4"/>
  <c r="B3266" i="4"/>
  <c r="C3266" i="4"/>
  <c r="B3267" i="4"/>
  <c r="C3267" i="4"/>
  <c r="B3268" i="4"/>
  <c r="C3268" i="4"/>
  <c r="B3269" i="4"/>
  <c r="C3269" i="4"/>
  <c r="B3270" i="4"/>
  <c r="C3270" i="4"/>
  <c r="B3271" i="4"/>
  <c r="C3271" i="4"/>
  <c r="B3272" i="4"/>
  <c r="C3272" i="4"/>
  <c r="B3273" i="4"/>
  <c r="C3273" i="4"/>
  <c r="B3274" i="4"/>
  <c r="C3274" i="4"/>
  <c r="B3275" i="4"/>
  <c r="C3275" i="4"/>
  <c r="B3276" i="4"/>
  <c r="C3276" i="4"/>
  <c r="B3277" i="4"/>
  <c r="C3277" i="4"/>
  <c r="B3278" i="4"/>
  <c r="C3278" i="4"/>
  <c r="B3279" i="4"/>
  <c r="C3279" i="4"/>
  <c r="B3280" i="4"/>
  <c r="C3280" i="4"/>
  <c r="B3281" i="4"/>
  <c r="C3281" i="4"/>
  <c r="B3282" i="4"/>
  <c r="C3282" i="4"/>
  <c r="B3283" i="4"/>
  <c r="C3283" i="4"/>
  <c r="B3284" i="4"/>
  <c r="C3284" i="4"/>
  <c r="B3285" i="4"/>
  <c r="C3285" i="4"/>
  <c r="B3286" i="4"/>
  <c r="C3286" i="4"/>
  <c r="B3287" i="4"/>
  <c r="C3287" i="4"/>
  <c r="B3288" i="4"/>
  <c r="C3288" i="4"/>
  <c r="B3289" i="4"/>
  <c r="C3289" i="4"/>
  <c r="B3290" i="4"/>
  <c r="C3290" i="4"/>
  <c r="B3291" i="4"/>
  <c r="C3291" i="4"/>
  <c r="B3292" i="4"/>
  <c r="C3292" i="4"/>
  <c r="B3293" i="4"/>
  <c r="C3293" i="4"/>
  <c r="B3294" i="4"/>
  <c r="C3294" i="4"/>
  <c r="B3295" i="4"/>
  <c r="C3295" i="4"/>
  <c r="B3296" i="4"/>
  <c r="C3296" i="4"/>
  <c r="B3297" i="4"/>
  <c r="C3297" i="4"/>
  <c r="B3298" i="4"/>
  <c r="C3298" i="4"/>
  <c r="B3299" i="4"/>
  <c r="C3299" i="4"/>
  <c r="B3300" i="4"/>
  <c r="C3300" i="4"/>
  <c r="B3301" i="4"/>
  <c r="C3301" i="4"/>
  <c r="B3302" i="4"/>
  <c r="C3302" i="4"/>
  <c r="B3303" i="4"/>
  <c r="C3303" i="4"/>
  <c r="B3304" i="4"/>
  <c r="C3304" i="4"/>
  <c r="B3305" i="4"/>
  <c r="C3305" i="4"/>
  <c r="B3306" i="4"/>
  <c r="C3306" i="4"/>
  <c r="B3307" i="4"/>
  <c r="C3307" i="4"/>
  <c r="B3308" i="4"/>
  <c r="C3308" i="4"/>
  <c r="B3309" i="4"/>
  <c r="C3309" i="4"/>
  <c r="B3310" i="4"/>
  <c r="C3310" i="4"/>
  <c r="B3311" i="4"/>
  <c r="C3311" i="4"/>
  <c r="B3312" i="4"/>
  <c r="C3312" i="4"/>
  <c r="B3313" i="4"/>
  <c r="C3313" i="4"/>
  <c r="B3314" i="4"/>
  <c r="C3314" i="4"/>
  <c r="B3315" i="4"/>
  <c r="C3315" i="4"/>
  <c r="B3316" i="4"/>
  <c r="C3316" i="4"/>
  <c r="B3317" i="4"/>
  <c r="C3317" i="4"/>
  <c r="B3318" i="4"/>
  <c r="C3318" i="4"/>
  <c r="B3319" i="4"/>
  <c r="C3319" i="4"/>
  <c r="B3320" i="4"/>
  <c r="C3320" i="4"/>
  <c r="B3321" i="4"/>
  <c r="C3321" i="4"/>
  <c r="B3322" i="4"/>
  <c r="C3322" i="4"/>
  <c r="B3323" i="4"/>
  <c r="C3323" i="4"/>
  <c r="B3324" i="4"/>
  <c r="C3324" i="4"/>
  <c r="B3325" i="4"/>
  <c r="C3325" i="4"/>
  <c r="B3326" i="4"/>
  <c r="C3326" i="4"/>
  <c r="B3327" i="4"/>
  <c r="C3327" i="4"/>
  <c r="B3328" i="4"/>
  <c r="C3328" i="4"/>
  <c r="B3329" i="4"/>
  <c r="C3329" i="4"/>
  <c r="B3330" i="4"/>
  <c r="C3330" i="4"/>
  <c r="B3331" i="4"/>
  <c r="C3331" i="4"/>
  <c r="B3332" i="4"/>
  <c r="C3332" i="4"/>
  <c r="B3333" i="4"/>
  <c r="C3333" i="4"/>
  <c r="B3334" i="4"/>
  <c r="C3334" i="4"/>
  <c r="B3335" i="4"/>
  <c r="C3335" i="4"/>
  <c r="B3336" i="4"/>
  <c r="C3336" i="4"/>
  <c r="B3337" i="4"/>
  <c r="C3337" i="4"/>
  <c r="B3338" i="4"/>
  <c r="C3338" i="4"/>
  <c r="B3339" i="4"/>
  <c r="C3339" i="4"/>
  <c r="B3340" i="4"/>
  <c r="C3340" i="4"/>
  <c r="B3341" i="4"/>
  <c r="C3341" i="4"/>
  <c r="B3342" i="4"/>
  <c r="C3342" i="4"/>
  <c r="B3343" i="4"/>
  <c r="C3343" i="4"/>
  <c r="B3344" i="4"/>
  <c r="C3344" i="4"/>
  <c r="B3345" i="4"/>
  <c r="C3345" i="4"/>
  <c r="B3346" i="4"/>
  <c r="C3346" i="4"/>
  <c r="B3347" i="4"/>
  <c r="C3347" i="4"/>
  <c r="B3348" i="4"/>
  <c r="C3348" i="4"/>
  <c r="B3349" i="4"/>
  <c r="C3349" i="4"/>
  <c r="B3350" i="4"/>
  <c r="C3350" i="4"/>
  <c r="B3351" i="4"/>
  <c r="C3351" i="4"/>
  <c r="B3352" i="4"/>
  <c r="C3352" i="4"/>
  <c r="B3353" i="4"/>
  <c r="C3353" i="4"/>
  <c r="B3354" i="4"/>
  <c r="C3354" i="4"/>
  <c r="B3355" i="4"/>
  <c r="C3355" i="4"/>
  <c r="B3356" i="4"/>
  <c r="C3356" i="4"/>
  <c r="B3357" i="4"/>
  <c r="C3357" i="4"/>
  <c r="B3358" i="4"/>
  <c r="C3358" i="4"/>
  <c r="B3359" i="4"/>
  <c r="C3359" i="4"/>
  <c r="B3360" i="4"/>
  <c r="C3360" i="4"/>
  <c r="B3361" i="4"/>
  <c r="C3361" i="4"/>
  <c r="B3362" i="4"/>
  <c r="C3362" i="4"/>
  <c r="B3363" i="4"/>
  <c r="C3363" i="4"/>
  <c r="B3364" i="4"/>
  <c r="C3364" i="4"/>
  <c r="B3365" i="4"/>
  <c r="C3365" i="4"/>
  <c r="B3366" i="4"/>
  <c r="C3366" i="4"/>
  <c r="B3367" i="4"/>
  <c r="C3367" i="4"/>
  <c r="B3368" i="4"/>
  <c r="C3368" i="4"/>
  <c r="B3369" i="4"/>
  <c r="C3369" i="4"/>
  <c r="B3370" i="4"/>
  <c r="C3370" i="4"/>
  <c r="B3371" i="4"/>
  <c r="C3371" i="4"/>
  <c r="B3372" i="4"/>
  <c r="C3372" i="4"/>
  <c r="B3373" i="4"/>
  <c r="C3373" i="4"/>
  <c r="B3374" i="4"/>
  <c r="C3374" i="4"/>
  <c r="B3375" i="4"/>
  <c r="C3375" i="4"/>
  <c r="B3376" i="4"/>
  <c r="C3376" i="4"/>
  <c r="B3377" i="4"/>
  <c r="C3377" i="4"/>
  <c r="B3378" i="4"/>
  <c r="C3378" i="4"/>
  <c r="B3379" i="4"/>
  <c r="C3379" i="4"/>
  <c r="B3380" i="4"/>
  <c r="C3380" i="4"/>
  <c r="B3381" i="4"/>
  <c r="C3381" i="4"/>
  <c r="B3382" i="4"/>
  <c r="C3382" i="4"/>
  <c r="B3383" i="4"/>
  <c r="C3383" i="4"/>
  <c r="B3384" i="4"/>
  <c r="C3384" i="4"/>
  <c r="B3385" i="4"/>
  <c r="C3385" i="4"/>
  <c r="B3386" i="4"/>
  <c r="C3386" i="4"/>
  <c r="B3387" i="4"/>
  <c r="C3387" i="4"/>
  <c r="B3388" i="4"/>
  <c r="C3388" i="4"/>
  <c r="B3389" i="4"/>
  <c r="C3389" i="4"/>
  <c r="B3390" i="4"/>
  <c r="C3390" i="4"/>
  <c r="B3391" i="4"/>
  <c r="C3391" i="4"/>
  <c r="B3392" i="4"/>
  <c r="C3392" i="4"/>
  <c r="B3393" i="4"/>
  <c r="C3393" i="4"/>
  <c r="B3394" i="4"/>
  <c r="C3394" i="4"/>
  <c r="B3395" i="4"/>
  <c r="C3395" i="4"/>
  <c r="B3396" i="4"/>
  <c r="C3396" i="4"/>
  <c r="B3397" i="4"/>
  <c r="C3397" i="4"/>
  <c r="B3398" i="4"/>
  <c r="C3398" i="4"/>
  <c r="B3399" i="4"/>
  <c r="C3399" i="4"/>
  <c r="B3400" i="4"/>
  <c r="C3400" i="4"/>
  <c r="B3401" i="4"/>
  <c r="C3401" i="4"/>
  <c r="B3402" i="4"/>
  <c r="C3402" i="4"/>
  <c r="B3403" i="4"/>
  <c r="C3403" i="4"/>
  <c r="B3404" i="4"/>
  <c r="C3404" i="4"/>
  <c r="B3405" i="4"/>
  <c r="C3405" i="4"/>
  <c r="B3406" i="4"/>
  <c r="C3406" i="4"/>
  <c r="B3407" i="4"/>
  <c r="C3407" i="4"/>
  <c r="B3408" i="4"/>
  <c r="C3408" i="4"/>
  <c r="B3409" i="4"/>
  <c r="C3409" i="4"/>
  <c r="B3410" i="4"/>
  <c r="C3410" i="4"/>
  <c r="B3411" i="4"/>
  <c r="C3411" i="4"/>
  <c r="B3412" i="4"/>
  <c r="C3412" i="4"/>
  <c r="B3413" i="4"/>
  <c r="C3413" i="4"/>
  <c r="B3414" i="4"/>
  <c r="C3414" i="4"/>
  <c r="B3415" i="4"/>
  <c r="C3415" i="4"/>
  <c r="B3416" i="4"/>
  <c r="C3416" i="4"/>
  <c r="B3417" i="4"/>
  <c r="C3417" i="4"/>
  <c r="B3418" i="4"/>
  <c r="C3418" i="4"/>
  <c r="B3419" i="4"/>
  <c r="C3419" i="4"/>
  <c r="B3420" i="4"/>
  <c r="C3420" i="4"/>
  <c r="B3421" i="4"/>
  <c r="C3421" i="4"/>
  <c r="B3422" i="4"/>
  <c r="C3422" i="4"/>
  <c r="B3423" i="4"/>
  <c r="C3423" i="4"/>
  <c r="B3424" i="4"/>
  <c r="C3424" i="4"/>
  <c r="B3425" i="4"/>
  <c r="C3425" i="4"/>
  <c r="B3426" i="4"/>
  <c r="C3426" i="4"/>
  <c r="B3427" i="4"/>
  <c r="C3427" i="4"/>
  <c r="B3428" i="4"/>
  <c r="C3428" i="4"/>
  <c r="B3429" i="4"/>
  <c r="C3429" i="4"/>
  <c r="B3430" i="4"/>
  <c r="C3430" i="4"/>
  <c r="B3431" i="4"/>
  <c r="C3431" i="4"/>
  <c r="B3432" i="4"/>
  <c r="C3432" i="4"/>
  <c r="B3433" i="4"/>
  <c r="C3433" i="4"/>
  <c r="B3434" i="4"/>
  <c r="C3434" i="4"/>
  <c r="B3435" i="4"/>
  <c r="C3435" i="4"/>
  <c r="B3436" i="4"/>
  <c r="C3436" i="4"/>
  <c r="B3437" i="4"/>
  <c r="C3437" i="4"/>
  <c r="B3438" i="4"/>
  <c r="C3438" i="4"/>
  <c r="B3439" i="4"/>
  <c r="C3439" i="4"/>
  <c r="B3440" i="4"/>
  <c r="C3440" i="4"/>
  <c r="B3441" i="4"/>
  <c r="C3441" i="4"/>
  <c r="B3442" i="4"/>
  <c r="C3442" i="4"/>
  <c r="B3443" i="4"/>
  <c r="C3443" i="4"/>
  <c r="B3444" i="4"/>
  <c r="C3444" i="4"/>
  <c r="B3445" i="4"/>
  <c r="C3445" i="4"/>
  <c r="B3446" i="4"/>
  <c r="C3446" i="4"/>
  <c r="B3447" i="4"/>
  <c r="C3447" i="4"/>
  <c r="B3448" i="4"/>
  <c r="C3448" i="4"/>
  <c r="B3449" i="4"/>
  <c r="C3449" i="4"/>
  <c r="B3450" i="4"/>
  <c r="C3450" i="4"/>
  <c r="B3451" i="4"/>
  <c r="C3451" i="4"/>
  <c r="B3452" i="4"/>
  <c r="C3452" i="4"/>
  <c r="B3453" i="4"/>
  <c r="C3453" i="4"/>
  <c r="B3454" i="4"/>
  <c r="C3454" i="4"/>
  <c r="B3455" i="4"/>
  <c r="C3455" i="4"/>
  <c r="B3456" i="4"/>
  <c r="C3456" i="4"/>
  <c r="B3457" i="4"/>
  <c r="C3457" i="4"/>
  <c r="B3458" i="4"/>
  <c r="C3458" i="4"/>
  <c r="B3459" i="4"/>
  <c r="C3459" i="4"/>
  <c r="B3460" i="4"/>
  <c r="C3460" i="4"/>
  <c r="B3461" i="4"/>
  <c r="C3461" i="4"/>
  <c r="B3462" i="4"/>
  <c r="C3462" i="4"/>
  <c r="B3463" i="4"/>
  <c r="C3463" i="4"/>
  <c r="B3464" i="4"/>
  <c r="C3464" i="4"/>
  <c r="B3465" i="4"/>
  <c r="C3465" i="4"/>
  <c r="B3466" i="4"/>
  <c r="C3466" i="4"/>
  <c r="B3467" i="4"/>
  <c r="C3467" i="4"/>
  <c r="B3468" i="4"/>
  <c r="C3468" i="4"/>
  <c r="B3469" i="4"/>
  <c r="C3469" i="4"/>
  <c r="B3470" i="4"/>
  <c r="C3470" i="4"/>
  <c r="B3471" i="4"/>
  <c r="C3471" i="4"/>
  <c r="B3472" i="4"/>
  <c r="C3472" i="4"/>
  <c r="B3473" i="4"/>
  <c r="C3473" i="4"/>
  <c r="B3474" i="4"/>
  <c r="C3474" i="4"/>
  <c r="B3475" i="4"/>
  <c r="C3475" i="4"/>
  <c r="B3476" i="4"/>
  <c r="C3476" i="4"/>
  <c r="B3477" i="4"/>
  <c r="C3477" i="4"/>
  <c r="B3478" i="4"/>
  <c r="C3478" i="4"/>
  <c r="B3479" i="4"/>
  <c r="C3479" i="4"/>
  <c r="B3480" i="4"/>
  <c r="C3480" i="4"/>
  <c r="B3481" i="4"/>
  <c r="C3481" i="4"/>
  <c r="B3482" i="4"/>
  <c r="C3482" i="4"/>
  <c r="B3483" i="4"/>
  <c r="C3483" i="4"/>
  <c r="B3484" i="4"/>
  <c r="C3484" i="4"/>
  <c r="B3485" i="4"/>
  <c r="C3485" i="4"/>
  <c r="B3486" i="4"/>
  <c r="C3486" i="4"/>
  <c r="B3487" i="4"/>
  <c r="C3487" i="4"/>
  <c r="B3488" i="4"/>
  <c r="C3488" i="4"/>
  <c r="B3489" i="4"/>
  <c r="C3489" i="4"/>
  <c r="B3490" i="4"/>
  <c r="C3490" i="4"/>
  <c r="B3491" i="4"/>
  <c r="C3491" i="4"/>
  <c r="B3492" i="4"/>
  <c r="C3492" i="4"/>
  <c r="B3493" i="4"/>
  <c r="C3493" i="4"/>
  <c r="B3494" i="4"/>
  <c r="C3494" i="4"/>
  <c r="B3495" i="4"/>
  <c r="C3495" i="4"/>
  <c r="B3496" i="4"/>
  <c r="C3496" i="4"/>
  <c r="B3497" i="4"/>
  <c r="C3497" i="4"/>
  <c r="B3498" i="4"/>
  <c r="C3498" i="4"/>
  <c r="B3499" i="4"/>
  <c r="C3499" i="4"/>
  <c r="B3500" i="4"/>
  <c r="C3500" i="4"/>
  <c r="B3501" i="4"/>
  <c r="C3501" i="4"/>
  <c r="B3502" i="4"/>
  <c r="C3502" i="4"/>
  <c r="B3503" i="4"/>
  <c r="C3503" i="4"/>
  <c r="B3504" i="4"/>
  <c r="C3504" i="4"/>
  <c r="B3505" i="4"/>
  <c r="C3505" i="4"/>
  <c r="B3506" i="4"/>
  <c r="C3506" i="4"/>
  <c r="B3507" i="4"/>
  <c r="C3507" i="4"/>
  <c r="B3508" i="4"/>
  <c r="C3508" i="4"/>
  <c r="B3509" i="4"/>
  <c r="C3509" i="4"/>
  <c r="B3510" i="4"/>
  <c r="C3510" i="4"/>
  <c r="B3511" i="4"/>
  <c r="C3511" i="4"/>
  <c r="B3512" i="4"/>
  <c r="C3512" i="4"/>
  <c r="B3513" i="4"/>
  <c r="C3513" i="4"/>
  <c r="B3514" i="4"/>
  <c r="C3514" i="4"/>
  <c r="B3515" i="4"/>
  <c r="C3515" i="4"/>
  <c r="B3516" i="4"/>
  <c r="C3516" i="4"/>
  <c r="B3517" i="4"/>
  <c r="C3517" i="4"/>
  <c r="B3518" i="4"/>
  <c r="C3518" i="4"/>
  <c r="B3519" i="4"/>
  <c r="C3519" i="4"/>
  <c r="B3520" i="4"/>
  <c r="C3520" i="4"/>
  <c r="B3521" i="4"/>
  <c r="C3521" i="4"/>
  <c r="B3522" i="4"/>
  <c r="C3522" i="4"/>
  <c r="B3523" i="4"/>
  <c r="C3523" i="4"/>
  <c r="B3524" i="4"/>
  <c r="C3524" i="4"/>
  <c r="B3525" i="4"/>
  <c r="C3525" i="4"/>
  <c r="B3526" i="4"/>
  <c r="C3526" i="4"/>
  <c r="B3527" i="4"/>
  <c r="C3527" i="4"/>
  <c r="B3528" i="4"/>
  <c r="C3528" i="4"/>
  <c r="B3529" i="4"/>
  <c r="C3529" i="4"/>
  <c r="B3530" i="4"/>
  <c r="C3530" i="4"/>
  <c r="B3531" i="4"/>
  <c r="C3531" i="4"/>
  <c r="B3532" i="4"/>
  <c r="C3532" i="4"/>
  <c r="B3533" i="4"/>
  <c r="C3533" i="4"/>
  <c r="B3534" i="4"/>
  <c r="C3534" i="4"/>
  <c r="B3535" i="4"/>
  <c r="C3535" i="4"/>
  <c r="B3536" i="4"/>
  <c r="C3536" i="4"/>
  <c r="B3537" i="4"/>
  <c r="C3537" i="4"/>
  <c r="B3538" i="4"/>
  <c r="C3538" i="4"/>
  <c r="B3539" i="4"/>
  <c r="C3539" i="4"/>
  <c r="B3540" i="4"/>
  <c r="C3540" i="4"/>
  <c r="B3541" i="4"/>
  <c r="C3541" i="4"/>
  <c r="B3542" i="4"/>
  <c r="C3542" i="4"/>
  <c r="B3543" i="4"/>
  <c r="C3543" i="4"/>
  <c r="B3544" i="4"/>
  <c r="C3544" i="4"/>
  <c r="B3545" i="4"/>
  <c r="C3545" i="4"/>
  <c r="B3546" i="4"/>
  <c r="C3546" i="4"/>
  <c r="B3547" i="4"/>
  <c r="C3547" i="4"/>
  <c r="B3548" i="4"/>
  <c r="C3548" i="4"/>
  <c r="B3549" i="4"/>
  <c r="C3549" i="4"/>
  <c r="B3550" i="4"/>
  <c r="C3550" i="4"/>
  <c r="B3551" i="4"/>
  <c r="C3551" i="4"/>
  <c r="B3552" i="4"/>
  <c r="C3552" i="4"/>
  <c r="B3553" i="4"/>
  <c r="C3553" i="4"/>
  <c r="B3554" i="4"/>
  <c r="C3554" i="4"/>
  <c r="B3555" i="4"/>
  <c r="C3555" i="4"/>
  <c r="B3556" i="4"/>
  <c r="C3556" i="4"/>
  <c r="B3557" i="4"/>
  <c r="C3557" i="4"/>
  <c r="B3558" i="4"/>
  <c r="C3558" i="4"/>
  <c r="B3559" i="4"/>
  <c r="C3559" i="4"/>
  <c r="B3560" i="4"/>
  <c r="C3560" i="4"/>
  <c r="B3561" i="4"/>
  <c r="C3561" i="4"/>
  <c r="B3562" i="4"/>
  <c r="C3562" i="4"/>
  <c r="B3563" i="4"/>
  <c r="C3563" i="4"/>
  <c r="B3564" i="4"/>
  <c r="C3564" i="4"/>
  <c r="B3565" i="4"/>
  <c r="C3565" i="4"/>
  <c r="B3566" i="4"/>
  <c r="C3566" i="4"/>
  <c r="B3567" i="4"/>
  <c r="C3567" i="4"/>
  <c r="B3568" i="4"/>
  <c r="C3568" i="4"/>
  <c r="B3569" i="4"/>
  <c r="C3569" i="4"/>
  <c r="B3570" i="4"/>
  <c r="C3570" i="4"/>
  <c r="B3571" i="4"/>
  <c r="C3571" i="4"/>
  <c r="B3572" i="4"/>
  <c r="C3572" i="4"/>
  <c r="B3573" i="4"/>
  <c r="C3573" i="4"/>
  <c r="B3574" i="4"/>
  <c r="C3574" i="4"/>
  <c r="B3575" i="4"/>
  <c r="C3575" i="4"/>
  <c r="B3576" i="4"/>
  <c r="C3576" i="4"/>
  <c r="B3577" i="4"/>
  <c r="C3577" i="4"/>
  <c r="B3578" i="4"/>
  <c r="C3578" i="4"/>
  <c r="B3579" i="4"/>
  <c r="C3579" i="4"/>
  <c r="B3580" i="4"/>
  <c r="C3580" i="4"/>
  <c r="B3581" i="4"/>
  <c r="C3581" i="4"/>
  <c r="B3582" i="4"/>
  <c r="C3582" i="4"/>
  <c r="B3583" i="4"/>
  <c r="C3583" i="4"/>
  <c r="B3584" i="4"/>
  <c r="C3584" i="4"/>
  <c r="B3585" i="4"/>
  <c r="C3585" i="4"/>
  <c r="B3586" i="4"/>
  <c r="C3586" i="4"/>
  <c r="B3587" i="4"/>
  <c r="C3587" i="4"/>
  <c r="B3588" i="4"/>
  <c r="C3588" i="4"/>
  <c r="B3589" i="4"/>
  <c r="C3589" i="4"/>
  <c r="B3590" i="4"/>
  <c r="C3590" i="4"/>
  <c r="B3591" i="4"/>
  <c r="C3591" i="4"/>
  <c r="B3592" i="4"/>
  <c r="C3592" i="4"/>
  <c r="B3593" i="4"/>
  <c r="C3593" i="4"/>
  <c r="B3594" i="4"/>
  <c r="C3594" i="4"/>
  <c r="B3595" i="4"/>
  <c r="C3595" i="4"/>
  <c r="B3596" i="4"/>
  <c r="C3596" i="4"/>
  <c r="B3597" i="4"/>
  <c r="C3597" i="4"/>
  <c r="B3598" i="4"/>
  <c r="C3598" i="4"/>
  <c r="B3599" i="4"/>
  <c r="C3599" i="4"/>
  <c r="B3600" i="4"/>
  <c r="C3600" i="4"/>
  <c r="B3601" i="4"/>
  <c r="C3601" i="4"/>
  <c r="B3602" i="4"/>
  <c r="C3602" i="4"/>
  <c r="B3603" i="4"/>
  <c r="C3603" i="4"/>
  <c r="B3604" i="4"/>
  <c r="C3604" i="4"/>
  <c r="B3605" i="4"/>
  <c r="C3605" i="4"/>
  <c r="B3606" i="4"/>
  <c r="C3606" i="4"/>
  <c r="B3607" i="4"/>
  <c r="C3607" i="4"/>
  <c r="B3608" i="4"/>
  <c r="C3608" i="4"/>
  <c r="B3609" i="4"/>
  <c r="C3609" i="4"/>
  <c r="B3610" i="4"/>
  <c r="C3610" i="4"/>
  <c r="B3611" i="4"/>
  <c r="C3611" i="4"/>
  <c r="B3612" i="4"/>
  <c r="C3612" i="4"/>
  <c r="B3613" i="4"/>
  <c r="C3613" i="4"/>
  <c r="B3614" i="4"/>
  <c r="C3614" i="4"/>
  <c r="B3615" i="4"/>
  <c r="C3615" i="4"/>
  <c r="B3616" i="4"/>
  <c r="C3616" i="4"/>
  <c r="B3617" i="4"/>
  <c r="C3617" i="4"/>
  <c r="B3618" i="4"/>
  <c r="C3618" i="4"/>
  <c r="B3619" i="4"/>
  <c r="C3619" i="4"/>
  <c r="B3620" i="4"/>
  <c r="C3620" i="4"/>
  <c r="B3621" i="4"/>
  <c r="C3621" i="4"/>
  <c r="B3622" i="4"/>
  <c r="C3622" i="4"/>
  <c r="B3623" i="4"/>
  <c r="C3623" i="4"/>
  <c r="B3624" i="4"/>
  <c r="C3624" i="4"/>
  <c r="B3625" i="4"/>
  <c r="C3625" i="4"/>
  <c r="B3626" i="4"/>
  <c r="C3626" i="4"/>
  <c r="B3627" i="4"/>
  <c r="C3627" i="4"/>
  <c r="B3628" i="4"/>
  <c r="C3628" i="4"/>
  <c r="B3629" i="4"/>
  <c r="C3629" i="4"/>
  <c r="B3630" i="4"/>
  <c r="C3630" i="4"/>
  <c r="B3631" i="4"/>
  <c r="C3631" i="4"/>
  <c r="B3632" i="4"/>
  <c r="C3632" i="4"/>
  <c r="B3633" i="4"/>
  <c r="C3633" i="4"/>
  <c r="B3634" i="4"/>
  <c r="C3634" i="4"/>
  <c r="B3635" i="4"/>
  <c r="C3635" i="4"/>
  <c r="B3636" i="4"/>
  <c r="C3636" i="4"/>
  <c r="B3637" i="4"/>
  <c r="C3637" i="4"/>
  <c r="B3638" i="4"/>
  <c r="C3638" i="4"/>
  <c r="B3639" i="4"/>
  <c r="C3639" i="4"/>
  <c r="B3640" i="4"/>
  <c r="C3640" i="4"/>
  <c r="B3641" i="4"/>
  <c r="C3641" i="4"/>
  <c r="B3642" i="4"/>
  <c r="C3642" i="4"/>
  <c r="B3643" i="4"/>
  <c r="C3643" i="4"/>
  <c r="B3644" i="4"/>
  <c r="C3644" i="4"/>
  <c r="B3645" i="4"/>
  <c r="C3645" i="4"/>
  <c r="B3646" i="4"/>
  <c r="C3646" i="4"/>
  <c r="B3647" i="4"/>
  <c r="C3647" i="4"/>
  <c r="B3648" i="4"/>
  <c r="C3648" i="4"/>
  <c r="B3649" i="4"/>
  <c r="C3649" i="4"/>
  <c r="B3650" i="4"/>
  <c r="C3650" i="4"/>
  <c r="B3651" i="4"/>
  <c r="C3651" i="4"/>
  <c r="B3652" i="4"/>
  <c r="C3652" i="4"/>
  <c r="B3653" i="4"/>
  <c r="C3653" i="4"/>
  <c r="B3654" i="4"/>
  <c r="C3654" i="4"/>
  <c r="B3655" i="4"/>
  <c r="C3655" i="4"/>
  <c r="B3656" i="4"/>
  <c r="C3656" i="4"/>
  <c r="B3657" i="4"/>
  <c r="C3657" i="4"/>
  <c r="B3658" i="4"/>
  <c r="C3658" i="4"/>
  <c r="B3659" i="4"/>
  <c r="C3659" i="4"/>
  <c r="B3660" i="4"/>
  <c r="C3660" i="4"/>
  <c r="B3661" i="4"/>
  <c r="C3661" i="4"/>
  <c r="B3662" i="4"/>
  <c r="C3662" i="4"/>
  <c r="B3663" i="4"/>
  <c r="C3663" i="4"/>
  <c r="B3664" i="4"/>
  <c r="C3664" i="4"/>
  <c r="B3665" i="4"/>
  <c r="C3665" i="4"/>
  <c r="B3666" i="4"/>
  <c r="C3666" i="4"/>
  <c r="B3667" i="4"/>
  <c r="C3667" i="4"/>
  <c r="B3668" i="4"/>
  <c r="C3668" i="4"/>
  <c r="B3669" i="4"/>
  <c r="C3669" i="4"/>
  <c r="B3670" i="4"/>
  <c r="C3670" i="4"/>
  <c r="B3671" i="4"/>
  <c r="C3671" i="4"/>
  <c r="B3672" i="4"/>
  <c r="C3672" i="4"/>
  <c r="B3673" i="4"/>
  <c r="C3673" i="4"/>
  <c r="B3674" i="4"/>
  <c r="C3674" i="4"/>
  <c r="B3675" i="4"/>
  <c r="C3675" i="4"/>
  <c r="B3676" i="4"/>
  <c r="C3676" i="4"/>
  <c r="B3677" i="4"/>
  <c r="C3677" i="4"/>
  <c r="B3678" i="4"/>
  <c r="C3678" i="4"/>
  <c r="B3679" i="4"/>
  <c r="C3679" i="4"/>
  <c r="B3680" i="4"/>
  <c r="C3680" i="4"/>
  <c r="B3681" i="4"/>
  <c r="C3681" i="4"/>
  <c r="B3682" i="4"/>
  <c r="C3682" i="4"/>
  <c r="B3683" i="4"/>
  <c r="C3683" i="4"/>
  <c r="B3684" i="4"/>
  <c r="C3684" i="4"/>
  <c r="B3685" i="4"/>
  <c r="C3685" i="4"/>
  <c r="B3686" i="4"/>
  <c r="C3686" i="4"/>
  <c r="B3687" i="4"/>
  <c r="C3687" i="4"/>
  <c r="B3688" i="4"/>
  <c r="C3688" i="4"/>
  <c r="B3689" i="4"/>
  <c r="C3689" i="4"/>
  <c r="B3690" i="4"/>
  <c r="C3690" i="4"/>
  <c r="B3691" i="4"/>
  <c r="C3691" i="4"/>
  <c r="B3692" i="4"/>
  <c r="C3692" i="4"/>
  <c r="B3693" i="4"/>
  <c r="C3693" i="4"/>
  <c r="B3694" i="4"/>
  <c r="C3694" i="4"/>
  <c r="B3695" i="4"/>
  <c r="C3695" i="4"/>
  <c r="B3696" i="4"/>
  <c r="C3696" i="4"/>
  <c r="B3697" i="4"/>
  <c r="C3697" i="4"/>
  <c r="B3698" i="4"/>
  <c r="C3698" i="4"/>
  <c r="B3699" i="4"/>
  <c r="C3699" i="4"/>
  <c r="B3700" i="4"/>
  <c r="C3700" i="4"/>
  <c r="B3701" i="4"/>
  <c r="C3701" i="4"/>
  <c r="B3702" i="4"/>
  <c r="C3702" i="4"/>
  <c r="B3703" i="4"/>
  <c r="C3703" i="4"/>
  <c r="B3704" i="4"/>
  <c r="C3704" i="4"/>
  <c r="B3705" i="4"/>
  <c r="C3705" i="4"/>
  <c r="B3706" i="4"/>
  <c r="C3706" i="4"/>
  <c r="B3707" i="4"/>
  <c r="C3707" i="4"/>
  <c r="B3708" i="4"/>
  <c r="C3708" i="4"/>
  <c r="B3709" i="4"/>
  <c r="C3709" i="4"/>
  <c r="B3710" i="4"/>
  <c r="C3710" i="4"/>
  <c r="B3711" i="4"/>
  <c r="C3711" i="4"/>
  <c r="B3712" i="4"/>
  <c r="C3712" i="4"/>
  <c r="B3713" i="4"/>
  <c r="C3713" i="4"/>
  <c r="B3714" i="4"/>
  <c r="C3714" i="4"/>
  <c r="B3715" i="4"/>
  <c r="C3715" i="4"/>
  <c r="B3716" i="4"/>
  <c r="C3716" i="4"/>
  <c r="B3717" i="4"/>
  <c r="C3717" i="4"/>
  <c r="B3718" i="4"/>
  <c r="C3718" i="4"/>
  <c r="B3719" i="4"/>
  <c r="C3719" i="4"/>
  <c r="B3720" i="4"/>
  <c r="C3720" i="4"/>
  <c r="B3721" i="4"/>
  <c r="C3721" i="4"/>
  <c r="B3722" i="4"/>
  <c r="C3722" i="4"/>
  <c r="B3723" i="4"/>
  <c r="C3723" i="4"/>
  <c r="B3724" i="4"/>
  <c r="C3724" i="4"/>
  <c r="B3725" i="4"/>
  <c r="C3725" i="4"/>
  <c r="B3726" i="4"/>
  <c r="C3726" i="4"/>
  <c r="B3727" i="4"/>
  <c r="C3727" i="4"/>
  <c r="B3728" i="4"/>
  <c r="C3728" i="4"/>
  <c r="B3729" i="4"/>
  <c r="C3729" i="4"/>
  <c r="B3730" i="4"/>
  <c r="C3730" i="4"/>
  <c r="B3731" i="4"/>
  <c r="C3731" i="4"/>
  <c r="B3732" i="4"/>
  <c r="C3732" i="4"/>
  <c r="B3733" i="4"/>
  <c r="C3733" i="4"/>
  <c r="B3734" i="4"/>
  <c r="C3734" i="4"/>
  <c r="B3735" i="4"/>
  <c r="C3735" i="4"/>
  <c r="B3736" i="4"/>
  <c r="C3736" i="4"/>
  <c r="B3737" i="4"/>
  <c r="C3737" i="4"/>
  <c r="B3738" i="4"/>
  <c r="C3738" i="4"/>
  <c r="B3739" i="4"/>
  <c r="C3739" i="4"/>
  <c r="B3740" i="4"/>
  <c r="C3740" i="4"/>
  <c r="B3741" i="4"/>
  <c r="C3741" i="4"/>
  <c r="B3742" i="4"/>
  <c r="C3742" i="4"/>
  <c r="B3743" i="4"/>
  <c r="C3743" i="4"/>
  <c r="B3744" i="4"/>
  <c r="C3744" i="4"/>
  <c r="B3745" i="4"/>
  <c r="C3745" i="4"/>
  <c r="B3746" i="4"/>
  <c r="C3746" i="4"/>
  <c r="B3747" i="4"/>
  <c r="C3747" i="4"/>
  <c r="B3748" i="4"/>
  <c r="C3748" i="4"/>
  <c r="B3749" i="4"/>
  <c r="C3749" i="4"/>
  <c r="B3750" i="4"/>
  <c r="C3750" i="4"/>
  <c r="B3751" i="4"/>
  <c r="C3751" i="4"/>
  <c r="B3752" i="4"/>
  <c r="C3752" i="4"/>
  <c r="B3753" i="4"/>
  <c r="C3753" i="4"/>
  <c r="B3754" i="4"/>
  <c r="C3754" i="4"/>
  <c r="B3755" i="4"/>
  <c r="C3755" i="4"/>
  <c r="B3756" i="4"/>
  <c r="C3756" i="4"/>
  <c r="B3757" i="4"/>
  <c r="C3757" i="4"/>
  <c r="B3758" i="4"/>
  <c r="C3758" i="4"/>
  <c r="B3759" i="4"/>
  <c r="C3759" i="4"/>
  <c r="B3760" i="4"/>
  <c r="C3760" i="4"/>
  <c r="B3761" i="4"/>
  <c r="C3761" i="4"/>
  <c r="B3762" i="4"/>
  <c r="C3762" i="4"/>
  <c r="B3763" i="4"/>
  <c r="C3763" i="4"/>
  <c r="B3764" i="4"/>
  <c r="C3764" i="4"/>
  <c r="B3765" i="4"/>
  <c r="C3765" i="4"/>
  <c r="B3766" i="4"/>
  <c r="C3766" i="4"/>
  <c r="B3767" i="4"/>
  <c r="C3767" i="4"/>
  <c r="B3768" i="4"/>
  <c r="C3768" i="4"/>
  <c r="B3769" i="4"/>
  <c r="C3769" i="4"/>
  <c r="B3770" i="4"/>
  <c r="C3770" i="4"/>
  <c r="B3771" i="4"/>
  <c r="C3771" i="4"/>
  <c r="B3772" i="4"/>
  <c r="C3772" i="4"/>
  <c r="B3773" i="4"/>
  <c r="C3773" i="4"/>
  <c r="B3774" i="4"/>
  <c r="C3774" i="4"/>
  <c r="B3775" i="4"/>
  <c r="C3775" i="4"/>
  <c r="B3776" i="4"/>
  <c r="C3776" i="4"/>
  <c r="B3777" i="4"/>
  <c r="C3777" i="4"/>
  <c r="B3778" i="4"/>
  <c r="C3778" i="4"/>
  <c r="B3779" i="4"/>
  <c r="C3779" i="4"/>
  <c r="B3780" i="4"/>
  <c r="C3780" i="4"/>
  <c r="B3781" i="4"/>
  <c r="C3781" i="4"/>
  <c r="B3782" i="4"/>
  <c r="C3782" i="4"/>
  <c r="B3783" i="4"/>
  <c r="C3783" i="4"/>
  <c r="B3784" i="4"/>
  <c r="C3784" i="4"/>
  <c r="B3785" i="4"/>
  <c r="C3785" i="4"/>
  <c r="B3786" i="4"/>
  <c r="C3786" i="4"/>
  <c r="B3787" i="4"/>
  <c r="C3787" i="4"/>
  <c r="B3788" i="4"/>
  <c r="C3788" i="4"/>
  <c r="B3789" i="4"/>
  <c r="C3789" i="4"/>
  <c r="B3790" i="4"/>
  <c r="C3790" i="4"/>
  <c r="B3791" i="4"/>
  <c r="C3791" i="4"/>
  <c r="B3792" i="4"/>
  <c r="C3792" i="4"/>
  <c r="B3793" i="4"/>
  <c r="C3793" i="4"/>
  <c r="B3794" i="4"/>
  <c r="C3794" i="4"/>
  <c r="B3795" i="4"/>
  <c r="C3795" i="4"/>
  <c r="B3796" i="4"/>
  <c r="C3796" i="4"/>
  <c r="B3797" i="4"/>
  <c r="C3797" i="4"/>
  <c r="B3798" i="4"/>
  <c r="C3798" i="4"/>
  <c r="B3799" i="4"/>
  <c r="C3799" i="4"/>
  <c r="B3800" i="4"/>
  <c r="C3800" i="4"/>
  <c r="B3801" i="4"/>
  <c r="C3801" i="4"/>
  <c r="B3802" i="4"/>
  <c r="C3802" i="4"/>
  <c r="B3803" i="4"/>
  <c r="C3803" i="4"/>
  <c r="B3804" i="4"/>
  <c r="C3804" i="4"/>
  <c r="B3805" i="4"/>
  <c r="C3805" i="4"/>
  <c r="B3806" i="4"/>
  <c r="C3806" i="4"/>
  <c r="B3807" i="4"/>
  <c r="C3807" i="4"/>
  <c r="B3808" i="4"/>
  <c r="C3808" i="4"/>
  <c r="B3809" i="4"/>
  <c r="C3809" i="4"/>
  <c r="B3810" i="4"/>
  <c r="C3810" i="4"/>
  <c r="B3811" i="4"/>
  <c r="C3811" i="4"/>
  <c r="B3812" i="4"/>
  <c r="C3812" i="4"/>
  <c r="B3813" i="4"/>
  <c r="C3813" i="4"/>
  <c r="B3814" i="4"/>
  <c r="C3814" i="4"/>
  <c r="B3815" i="4"/>
  <c r="C3815" i="4"/>
  <c r="B3816" i="4"/>
  <c r="C3816" i="4"/>
  <c r="B3817" i="4"/>
  <c r="C3817" i="4"/>
  <c r="B3818" i="4"/>
  <c r="C3818" i="4"/>
  <c r="B3819" i="4"/>
  <c r="C3819" i="4"/>
  <c r="B3820" i="4"/>
  <c r="C3820" i="4"/>
  <c r="B3821" i="4"/>
  <c r="C3821" i="4"/>
  <c r="B3822" i="4"/>
  <c r="C3822" i="4"/>
  <c r="B3823" i="4"/>
  <c r="C3823" i="4"/>
  <c r="B3824" i="4"/>
  <c r="C3824" i="4"/>
  <c r="B3825" i="4"/>
  <c r="C3825" i="4"/>
  <c r="B3826" i="4"/>
  <c r="C3826" i="4"/>
  <c r="B3827" i="4"/>
  <c r="C3827" i="4"/>
  <c r="B3828" i="4"/>
  <c r="C3828" i="4"/>
  <c r="B3829" i="4"/>
  <c r="C3829" i="4"/>
  <c r="B3830" i="4"/>
  <c r="C3830" i="4"/>
  <c r="B3831" i="4"/>
  <c r="C3831" i="4"/>
  <c r="B3832" i="4"/>
  <c r="C3832" i="4"/>
  <c r="B3833" i="4"/>
  <c r="C3833" i="4"/>
  <c r="B3834" i="4"/>
  <c r="C3834" i="4"/>
  <c r="B3835" i="4"/>
  <c r="C3835" i="4"/>
  <c r="B3836" i="4"/>
  <c r="C3836" i="4"/>
  <c r="B3837" i="4"/>
  <c r="C3837" i="4"/>
  <c r="B3838" i="4"/>
  <c r="C3838" i="4"/>
  <c r="B3839" i="4"/>
  <c r="C3839" i="4"/>
  <c r="B3840" i="4"/>
  <c r="C3840" i="4"/>
  <c r="B3841" i="4"/>
  <c r="C3841" i="4"/>
  <c r="B3842" i="4"/>
  <c r="C3842" i="4"/>
  <c r="B3843" i="4"/>
  <c r="C3843" i="4"/>
  <c r="B3844" i="4"/>
  <c r="C3844" i="4"/>
  <c r="B3845" i="4"/>
  <c r="C3845" i="4"/>
  <c r="B3846" i="4"/>
  <c r="C3846" i="4"/>
  <c r="B3847" i="4"/>
  <c r="C3847" i="4"/>
  <c r="B3848" i="4"/>
  <c r="C3848" i="4"/>
  <c r="B3849" i="4"/>
  <c r="C3849" i="4"/>
  <c r="B3850" i="4"/>
  <c r="C3850" i="4"/>
  <c r="B3851" i="4"/>
  <c r="C3851" i="4"/>
  <c r="B3852" i="4"/>
  <c r="C3852" i="4"/>
  <c r="B3853" i="4"/>
  <c r="C3853" i="4"/>
  <c r="B3854" i="4"/>
  <c r="C3854" i="4"/>
  <c r="B3855" i="4"/>
  <c r="C3855" i="4"/>
  <c r="B3856" i="4"/>
  <c r="C3856" i="4"/>
  <c r="B3857" i="4"/>
  <c r="C3857" i="4"/>
  <c r="B3858" i="4"/>
  <c r="C3858" i="4"/>
  <c r="B3859" i="4"/>
  <c r="C3859" i="4"/>
  <c r="B3860" i="4"/>
  <c r="C3860" i="4"/>
  <c r="B3861" i="4"/>
  <c r="C3861" i="4"/>
  <c r="B3862" i="4"/>
  <c r="C3862" i="4"/>
  <c r="B3863" i="4"/>
  <c r="C3863" i="4"/>
  <c r="B3864" i="4"/>
  <c r="C3864" i="4"/>
  <c r="B3865" i="4"/>
  <c r="C3865" i="4"/>
  <c r="B3866" i="4"/>
  <c r="C3866" i="4"/>
  <c r="B3867" i="4"/>
  <c r="C3867" i="4"/>
  <c r="B3868" i="4"/>
  <c r="C3868" i="4"/>
  <c r="B3869" i="4"/>
  <c r="C3869" i="4"/>
  <c r="B3870" i="4"/>
  <c r="C3870" i="4"/>
  <c r="B3871" i="4"/>
  <c r="C3871" i="4"/>
  <c r="B3872" i="4"/>
  <c r="C3872" i="4"/>
  <c r="B3873" i="4"/>
  <c r="C3873" i="4"/>
  <c r="B3874" i="4"/>
  <c r="C3874" i="4"/>
  <c r="B3875" i="4"/>
  <c r="C3875" i="4"/>
  <c r="B3876" i="4"/>
  <c r="C3876" i="4"/>
  <c r="B3877" i="4"/>
  <c r="C3877" i="4"/>
  <c r="B3878" i="4"/>
  <c r="C3878" i="4"/>
  <c r="B3879" i="4"/>
  <c r="C3879" i="4"/>
  <c r="B3880" i="4"/>
  <c r="C3880" i="4"/>
  <c r="B3881" i="4"/>
  <c r="C3881" i="4"/>
  <c r="B3882" i="4"/>
  <c r="C3882" i="4"/>
  <c r="B3883" i="4"/>
  <c r="C3883" i="4"/>
  <c r="B3884" i="4"/>
  <c r="C3884" i="4"/>
  <c r="B3885" i="4"/>
  <c r="C3885" i="4"/>
  <c r="B3886" i="4"/>
  <c r="C3886" i="4"/>
  <c r="B3887" i="4"/>
  <c r="C3887" i="4"/>
  <c r="B3888" i="4"/>
  <c r="C3888" i="4"/>
  <c r="B3889" i="4"/>
  <c r="C3889" i="4"/>
  <c r="B3890" i="4"/>
  <c r="C3890" i="4"/>
  <c r="B3891" i="4"/>
  <c r="C3891" i="4"/>
  <c r="B3892" i="4"/>
  <c r="C3892" i="4"/>
  <c r="B3893" i="4"/>
  <c r="C3893" i="4"/>
  <c r="B3894" i="4"/>
  <c r="C3894" i="4"/>
  <c r="B3895" i="4"/>
  <c r="C3895" i="4"/>
  <c r="B3896" i="4"/>
  <c r="C3896" i="4"/>
  <c r="B3897" i="4"/>
  <c r="C3897" i="4"/>
  <c r="B3898" i="4"/>
  <c r="C3898" i="4"/>
  <c r="B3899" i="4"/>
  <c r="C3899" i="4"/>
  <c r="B3900" i="4"/>
  <c r="C3900" i="4"/>
  <c r="B3901" i="4"/>
  <c r="C3901" i="4"/>
  <c r="B3902" i="4"/>
  <c r="C3902" i="4"/>
  <c r="B3903" i="4"/>
  <c r="C3903" i="4"/>
  <c r="B3904" i="4"/>
  <c r="C3904" i="4"/>
  <c r="B3905" i="4"/>
  <c r="C3905" i="4"/>
  <c r="B3906" i="4"/>
  <c r="C3906" i="4"/>
  <c r="B3907" i="4"/>
  <c r="C3907" i="4"/>
  <c r="B3908" i="4"/>
  <c r="C3908" i="4"/>
  <c r="B3909" i="4"/>
  <c r="C3909" i="4"/>
  <c r="B3910" i="4"/>
  <c r="C3910" i="4"/>
  <c r="B3911" i="4"/>
  <c r="C3911" i="4"/>
  <c r="B3912" i="4"/>
  <c r="C3912" i="4"/>
  <c r="B3913" i="4"/>
  <c r="C3913" i="4"/>
  <c r="B3914" i="4"/>
  <c r="C3914" i="4"/>
  <c r="B3915" i="4"/>
  <c r="C3915" i="4"/>
  <c r="B3916" i="4"/>
  <c r="C3916" i="4"/>
  <c r="B3917" i="4"/>
  <c r="C3917" i="4"/>
  <c r="B3918" i="4"/>
  <c r="C3918" i="4"/>
  <c r="B3919" i="4"/>
  <c r="C3919" i="4"/>
  <c r="B3920" i="4"/>
  <c r="C3920" i="4"/>
  <c r="B3921" i="4"/>
  <c r="C3921" i="4"/>
  <c r="B3922" i="4"/>
  <c r="C3922" i="4"/>
  <c r="B3923" i="4"/>
  <c r="C3923" i="4"/>
  <c r="B3924" i="4"/>
  <c r="C3924" i="4"/>
  <c r="B3925" i="4"/>
  <c r="C3925" i="4"/>
  <c r="B3926" i="4"/>
  <c r="C3926" i="4"/>
  <c r="B3927" i="4"/>
  <c r="C3927" i="4"/>
  <c r="B3928" i="4"/>
  <c r="C3928" i="4"/>
  <c r="B3929" i="4"/>
  <c r="C3929" i="4"/>
  <c r="B3930" i="4"/>
  <c r="C3930" i="4"/>
  <c r="B3931" i="4"/>
  <c r="C3931" i="4"/>
  <c r="B3932" i="4"/>
  <c r="C3932" i="4"/>
  <c r="B3933" i="4"/>
  <c r="C3933" i="4"/>
  <c r="B3934" i="4"/>
  <c r="C3934" i="4"/>
  <c r="B3935" i="4"/>
  <c r="C3935" i="4"/>
  <c r="B3936" i="4"/>
  <c r="C3936" i="4"/>
  <c r="B3937" i="4"/>
  <c r="C3937" i="4"/>
  <c r="B3938" i="4"/>
  <c r="C3938" i="4"/>
  <c r="B3939" i="4"/>
  <c r="C3939" i="4"/>
  <c r="B3940" i="4"/>
  <c r="C3940" i="4"/>
  <c r="B3941" i="4"/>
  <c r="C3941" i="4"/>
  <c r="B3942" i="4"/>
  <c r="C3942" i="4"/>
  <c r="B3943" i="4"/>
  <c r="C3943" i="4"/>
  <c r="B3944" i="4"/>
  <c r="C3944" i="4"/>
  <c r="B3945" i="4"/>
  <c r="C3945" i="4"/>
  <c r="B3946" i="4"/>
  <c r="C3946" i="4"/>
  <c r="B3947" i="4"/>
  <c r="C3947" i="4"/>
  <c r="B3948" i="4"/>
  <c r="C3948" i="4"/>
  <c r="B3949" i="4"/>
  <c r="C3949" i="4"/>
  <c r="B3950" i="4"/>
  <c r="C3950" i="4"/>
  <c r="B3951" i="4"/>
  <c r="C3951" i="4"/>
  <c r="B3952" i="4"/>
  <c r="C3952" i="4"/>
  <c r="B3953" i="4"/>
  <c r="C3953" i="4"/>
  <c r="B3954" i="4"/>
  <c r="C3954" i="4"/>
  <c r="B3955" i="4"/>
  <c r="C3955" i="4"/>
  <c r="B3956" i="4"/>
  <c r="C3956" i="4"/>
  <c r="B3957" i="4"/>
  <c r="C3957" i="4"/>
  <c r="B3958" i="4"/>
  <c r="C3958" i="4"/>
  <c r="B3959" i="4"/>
  <c r="C3959" i="4"/>
  <c r="B3960" i="4"/>
  <c r="C3960" i="4"/>
  <c r="B3961" i="4"/>
  <c r="C3961" i="4"/>
  <c r="B3962" i="4"/>
  <c r="C3962" i="4"/>
  <c r="B3963" i="4"/>
  <c r="C3963" i="4"/>
  <c r="B3964" i="4"/>
  <c r="C3964" i="4"/>
  <c r="B3965" i="4"/>
  <c r="C3965" i="4"/>
  <c r="B3966" i="4"/>
  <c r="C3966" i="4"/>
  <c r="B3967" i="4"/>
  <c r="C3967" i="4"/>
  <c r="B3968" i="4"/>
  <c r="C3968" i="4"/>
  <c r="B3969" i="4"/>
  <c r="C3969" i="4"/>
  <c r="B3970" i="4"/>
  <c r="C3970" i="4"/>
  <c r="B3971" i="4"/>
  <c r="C3971" i="4"/>
  <c r="B3972" i="4"/>
  <c r="C3972" i="4"/>
  <c r="B3973" i="4"/>
  <c r="C3973" i="4"/>
  <c r="B3974" i="4"/>
  <c r="C3974" i="4"/>
  <c r="B3975" i="4"/>
  <c r="C3975" i="4"/>
  <c r="B3976" i="4"/>
  <c r="C3976" i="4"/>
  <c r="B3977" i="4"/>
  <c r="C3977" i="4"/>
  <c r="B3978" i="4"/>
  <c r="C3978" i="4"/>
  <c r="B3979" i="4"/>
  <c r="C3979" i="4"/>
  <c r="B3980" i="4"/>
  <c r="C3980" i="4"/>
  <c r="B3981" i="4"/>
  <c r="C3981" i="4"/>
  <c r="B3982" i="4"/>
  <c r="C3982" i="4"/>
  <c r="B3983" i="4"/>
  <c r="C3983" i="4"/>
  <c r="B3984" i="4"/>
  <c r="C3984" i="4"/>
  <c r="B3985" i="4"/>
  <c r="C3985" i="4"/>
  <c r="B3986" i="4"/>
  <c r="C3986" i="4"/>
  <c r="B3987" i="4"/>
  <c r="C3987" i="4"/>
  <c r="B3988" i="4"/>
  <c r="C3988" i="4"/>
  <c r="B3989" i="4"/>
  <c r="C3989" i="4"/>
  <c r="B3990" i="4"/>
  <c r="C3990" i="4"/>
  <c r="B3991" i="4"/>
  <c r="C3991" i="4"/>
  <c r="B3992" i="4"/>
  <c r="C3992" i="4"/>
  <c r="B3993" i="4"/>
  <c r="C3993" i="4"/>
  <c r="B3994" i="4"/>
  <c r="C3994" i="4"/>
  <c r="B3995" i="4"/>
  <c r="C3995" i="4"/>
  <c r="B3996" i="4"/>
  <c r="C3996" i="4"/>
  <c r="B3997" i="4"/>
  <c r="C3997" i="4"/>
  <c r="B3998" i="4"/>
  <c r="C3998" i="4"/>
  <c r="B3999" i="4"/>
  <c r="C3999" i="4"/>
  <c r="B4000" i="4"/>
  <c r="C4000" i="4"/>
  <c r="B4001" i="4"/>
  <c r="C4001" i="4"/>
  <c r="B4002" i="4"/>
  <c r="C4002" i="4"/>
  <c r="B4003" i="4"/>
  <c r="C4003" i="4"/>
  <c r="B4004" i="4"/>
  <c r="C4004" i="4"/>
  <c r="B4005" i="4"/>
  <c r="C4005" i="4"/>
  <c r="B4006" i="4"/>
  <c r="C4006" i="4"/>
  <c r="B4007" i="4"/>
  <c r="C4007" i="4"/>
  <c r="B4008" i="4"/>
  <c r="C4008" i="4"/>
  <c r="B4009" i="4"/>
  <c r="C4009" i="4"/>
  <c r="B4010" i="4"/>
  <c r="C4010" i="4"/>
  <c r="B4011" i="4"/>
  <c r="C4011" i="4"/>
  <c r="B4012" i="4"/>
  <c r="C4012" i="4"/>
  <c r="B4013" i="4"/>
  <c r="C4013" i="4"/>
  <c r="B4014" i="4"/>
  <c r="C4014" i="4"/>
  <c r="B4015" i="4"/>
  <c r="C4015" i="4"/>
  <c r="B4016" i="4"/>
  <c r="C4016" i="4"/>
  <c r="B4017" i="4"/>
  <c r="C4017" i="4"/>
  <c r="B4018" i="4"/>
  <c r="C4018" i="4"/>
  <c r="B4019" i="4"/>
  <c r="C4019" i="4"/>
  <c r="B4020" i="4"/>
  <c r="C4020" i="4"/>
  <c r="B4021" i="4"/>
  <c r="C4021" i="4"/>
  <c r="B4022" i="4"/>
  <c r="C4022" i="4"/>
  <c r="B4023" i="4"/>
  <c r="C4023" i="4"/>
  <c r="B4024" i="4"/>
  <c r="C4024" i="4"/>
  <c r="B4025" i="4"/>
  <c r="C4025" i="4"/>
  <c r="B4026" i="4"/>
  <c r="C4026" i="4"/>
  <c r="B4027" i="4"/>
  <c r="C4027" i="4"/>
  <c r="B4028" i="4"/>
  <c r="C4028" i="4"/>
  <c r="B4029" i="4"/>
  <c r="C4029" i="4"/>
  <c r="B4030" i="4"/>
  <c r="C4030" i="4"/>
  <c r="B4031" i="4"/>
  <c r="C4031" i="4"/>
  <c r="B4032" i="4"/>
  <c r="C4032" i="4"/>
  <c r="B4033" i="4"/>
  <c r="C4033" i="4"/>
  <c r="B4034" i="4"/>
  <c r="C4034" i="4"/>
  <c r="B4035" i="4"/>
  <c r="C4035" i="4"/>
  <c r="B4036" i="4"/>
  <c r="C4036" i="4"/>
  <c r="B4037" i="4"/>
  <c r="C4037" i="4"/>
  <c r="B4038" i="4"/>
  <c r="C4038" i="4"/>
  <c r="B4039" i="4"/>
  <c r="C4039" i="4"/>
  <c r="B4040" i="4"/>
  <c r="C4040" i="4"/>
  <c r="B4041" i="4"/>
  <c r="C4041" i="4"/>
  <c r="B4042" i="4"/>
  <c r="C4042" i="4"/>
  <c r="B4043" i="4"/>
  <c r="C4043" i="4"/>
  <c r="B4044" i="4"/>
  <c r="C4044" i="4"/>
  <c r="B4045" i="4"/>
  <c r="C4045" i="4"/>
  <c r="B4046" i="4"/>
  <c r="C4046" i="4"/>
  <c r="B4047" i="4"/>
  <c r="C4047" i="4"/>
  <c r="B4048" i="4"/>
  <c r="C4048" i="4"/>
  <c r="B4049" i="4"/>
  <c r="C4049" i="4"/>
  <c r="B4050" i="4"/>
  <c r="C4050" i="4"/>
  <c r="B4051" i="4"/>
  <c r="C4051" i="4"/>
  <c r="B4052" i="4"/>
  <c r="C4052" i="4"/>
  <c r="B4053" i="4"/>
  <c r="C4053" i="4"/>
  <c r="B4054" i="4"/>
  <c r="C4054" i="4"/>
  <c r="B4055" i="4"/>
  <c r="C4055" i="4"/>
  <c r="B4056" i="4"/>
  <c r="C4056" i="4"/>
  <c r="B4057" i="4"/>
  <c r="C4057" i="4"/>
  <c r="B4058" i="4"/>
  <c r="C4058" i="4"/>
  <c r="B4059" i="4"/>
  <c r="C4059" i="4"/>
  <c r="B4060" i="4"/>
  <c r="C4060" i="4"/>
  <c r="B4061" i="4"/>
  <c r="C4061" i="4"/>
  <c r="B4062" i="4"/>
  <c r="C4062" i="4"/>
  <c r="B4063" i="4"/>
  <c r="C4063" i="4"/>
  <c r="B4064" i="4"/>
  <c r="C4064" i="4"/>
  <c r="B4065" i="4"/>
  <c r="C4065" i="4"/>
  <c r="B4066" i="4"/>
  <c r="C4066" i="4"/>
  <c r="B4067" i="4"/>
  <c r="C4067" i="4"/>
  <c r="B4068" i="4"/>
  <c r="C4068" i="4"/>
  <c r="B4069" i="4"/>
  <c r="C4069" i="4"/>
  <c r="B4070" i="4"/>
  <c r="C4070" i="4"/>
  <c r="B4071" i="4"/>
  <c r="C4071" i="4"/>
  <c r="B4072" i="4"/>
  <c r="C4072" i="4"/>
  <c r="B4073" i="4"/>
  <c r="C4073" i="4"/>
  <c r="B4074" i="4"/>
  <c r="C4074" i="4"/>
  <c r="B4075" i="4"/>
  <c r="C4075" i="4"/>
  <c r="B4076" i="4"/>
  <c r="C4076" i="4"/>
  <c r="B4077" i="4"/>
  <c r="C4077" i="4"/>
  <c r="B4078" i="4"/>
  <c r="C4078" i="4"/>
  <c r="B4079" i="4"/>
  <c r="C4079" i="4"/>
  <c r="B4080" i="4"/>
  <c r="C4080" i="4"/>
  <c r="B4081" i="4"/>
  <c r="C4081" i="4"/>
  <c r="B4082" i="4"/>
  <c r="C4082" i="4"/>
  <c r="B4083" i="4"/>
  <c r="C4083" i="4"/>
  <c r="B4084" i="4"/>
  <c r="C4084" i="4"/>
  <c r="B4085" i="4"/>
  <c r="C4085" i="4"/>
  <c r="B4086" i="4"/>
  <c r="C4086" i="4"/>
  <c r="B4087" i="4"/>
  <c r="C4087" i="4"/>
  <c r="B4088" i="4"/>
  <c r="C4088" i="4"/>
  <c r="B4089" i="4"/>
  <c r="C4089" i="4"/>
  <c r="B4090" i="4"/>
  <c r="C4090" i="4"/>
  <c r="B4091" i="4"/>
  <c r="C4091" i="4"/>
  <c r="B4092" i="4"/>
  <c r="C4092" i="4"/>
  <c r="B4093" i="4"/>
  <c r="C4093" i="4"/>
  <c r="B4094" i="4"/>
  <c r="C4094" i="4"/>
  <c r="B4095" i="4"/>
  <c r="C4095" i="4"/>
  <c r="B4096" i="4"/>
  <c r="C4096" i="4"/>
  <c r="B4097" i="4"/>
  <c r="C4097" i="4"/>
  <c r="B4098" i="4"/>
  <c r="C4098" i="4"/>
  <c r="B4099" i="4"/>
  <c r="C4099" i="4"/>
  <c r="B4100" i="4"/>
  <c r="C4100" i="4"/>
  <c r="B4101" i="4"/>
  <c r="C4101" i="4"/>
  <c r="B4102" i="4"/>
  <c r="C4102" i="4"/>
  <c r="B4103" i="4"/>
  <c r="C4103" i="4"/>
  <c r="B4104" i="4"/>
  <c r="C4104" i="4"/>
  <c r="B4105" i="4"/>
  <c r="C4105" i="4"/>
  <c r="B4106" i="4"/>
  <c r="C4106" i="4"/>
  <c r="B4107" i="4"/>
  <c r="C4107" i="4"/>
  <c r="B4108" i="4"/>
  <c r="C4108" i="4"/>
  <c r="B4109" i="4"/>
  <c r="C4109" i="4"/>
  <c r="B4110" i="4"/>
  <c r="C4110" i="4"/>
  <c r="B4111" i="4"/>
  <c r="C4111" i="4"/>
  <c r="B4112" i="4"/>
  <c r="C4112" i="4"/>
  <c r="B4113" i="4"/>
  <c r="C4113" i="4"/>
  <c r="B4114" i="4"/>
  <c r="C4114" i="4"/>
  <c r="B4115" i="4"/>
  <c r="C4115" i="4"/>
  <c r="B4116" i="4"/>
  <c r="C4116" i="4"/>
  <c r="B4117" i="4"/>
  <c r="C4117" i="4"/>
  <c r="B4118" i="4"/>
  <c r="C4118" i="4"/>
  <c r="B4119" i="4"/>
  <c r="C4119" i="4"/>
  <c r="B4120" i="4"/>
  <c r="C4120" i="4"/>
  <c r="B4121" i="4"/>
  <c r="C4121" i="4"/>
  <c r="B4122" i="4"/>
  <c r="C4122" i="4"/>
  <c r="B4123" i="4"/>
  <c r="C4123" i="4"/>
  <c r="B4124" i="4"/>
  <c r="C4124" i="4"/>
  <c r="B4125" i="4"/>
  <c r="C4125" i="4"/>
  <c r="B4126" i="4"/>
  <c r="C4126" i="4"/>
  <c r="B4127" i="4"/>
  <c r="C4127" i="4"/>
  <c r="B4128" i="4"/>
  <c r="C4128" i="4"/>
  <c r="B4129" i="4"/>
  <c r="C4129" i="4"/>
  <c r="B4130" i="4"/>
  <c r="C4130" i="4"/>
  <c r="B4131" i="4"/>
  <c r="C4131" i="4"/>
  <c r="B4132" i="4"/>
  <c r="C4132" i="4"/>
  <c r="B4133" i="4"/>
  <c r="C4133" i="4"/>
  <c r="B4134" i="4"/>
  <c r="C4134" i="4"/>
  <c r="B4135" i="4"/>
  <c r="C4135" i="4"/>
  <c r="B4136" i="4"/>
  <c r="C4136" i="4"/>
  <c r="B4137" i="4"/>
  <c r="C4137" i="4"/>
  <c r="B4138" i="4"/>
  <c r="C4138" i="4"/>
  <c r="B4139" i="4"/>
  <c r="C4139" i="4"/>
  <c r="B4140" i="4"/>
  <c r="C4140" i="4"/>
  <c r="B4141" i="4"/>
  <c r="C4141" i="4"/>
  <c r="B4142" i="4"/>
  <c r="C4142" i="4"/>
  <c r="B4143" i="4"/>
  <c r="C4143" i="4"/>
  <c r="B4144" i="4"/>
  <c r="C4144" i="4"/>
  <c r="B4145" i="4"/>
  <c r="C4145" i="4"/>
  <c r="B4146" i="4"/>
  <c r="C4146" i="4"/>
  <c r="B4147" i="4"/>
  <c r="C4147" i="4"/>
  <c r="B4148" i="4"/>
  <c r="C4148" i="4"/>
  <c r="B4149" i="4"/>
  <c r="C4149" i="4"/>
  <c r="B4150" i="4"/>
  <c r="C4150" i="4"/>
  <c r="B4151" i="4"/>
  <c r="C4151" i="4"/>
  <c r="B4152" i="4"/>
  <c r="C4152" i="4"/>
  <c r="B4153" i="4"/>
  <c r="C4153" i="4"/>
  <c r="B4154" i="4"/>
  <c r="C4154" i="4"/>
  <c r="B4155" i="4"/>
  <c r="C4155" i="4"/>
  <c r="B4156" i="4"/>
  <c r="C4156" i="4"/>
  <c r="B4157" i="4"/>
  <c r="C4157" i="4"/>
  <c r="B4158" i="4"/>
  <c r="C4158" i="4"/>
  <c r="B4159" i="4"/>
  <c r="C4159" i="4"/>
  <c r="B4160" i="4"/>
  <c r="C4160" i="4"/>
  <c r="B4161" i="4"/>
  <c r="C4161" i="4"/>
  <c r="B4162" i="4"/>
  <c r="C4162" i="4"/>
  <c r="B4163" i="4"/>
  <c r="C4163" i="4"/>
  <c r="B4164" i="4"/>
  <c r="C4164" i="4"/>
  <c r="B4165" i="4"/>
  <c r="C4165" i="4"/>
  <c r="B4166" i="4"/>
  <c r="C4166" i="4"/>
  <c r="B4167" i="4"/>
  <c r="C4167" i="4"/>
  <c r="B4168" i="4"/>
  <c r="C4168" i="4"/>
  <c r="B4169" i="4"/>
  <c r="C4169" i="4"/>
  <c r="B4170" i="4"/>
  <c r="C4170" i="4"/>
  <c r="B4171" i="4"/>
  <c r="C4171" i="4"/>
  <c r="B4172" i="4"/>
  <c r="C4172" i="4"/>
  <c r="B4173" i="4"/>
  <c r="C4173" i="4"/>
  <c r="B4174" i="4"/>
  <c r="C4174" i="4"/>
  <c r="B4175" i="4"/>
  <c r="C4175" i="4"/>
  <c r="B4176" i="4"/>
  <c r="C4176" i="4"/>
  <c r="B4177" i="4"/>
  <c r="C4177" i="4"/>
  <c r="B4178" i="4"/>
  <c r="C4178" i="4"/>
  <c r="B4179" i="4"/>
  <c r="C4179" i="4"/>
  <c r="B4180" i="4"/>
  <c r="C4180" i="4"/>
  <c r="B4181" i="4"/>
  <c r="C4181" i="4"/>
  <c r="B4182" i="4"/>
  <c r="C4182" i="4"/>
  <c r="B4183" i="4"/>
  <c r="C4183" i="4"/>
  <c r="B4184" i="4"/>
  <c r="C4184" i="4"/>
  <c r="B4185" i="4"/>
  <c r="C4185" i="4"/>
  <c r="B4186" i="4"/>
  <c r="C4186" i="4"/>
  <c r="B4187" i="4"/>
  <c r="C4187" i="4"/>
  <c r="B4188" i="4"/>
  <c r="C4188" i="4"/>
  <c r="B4189" i="4"/>
  <c r="C4189" i="4"/>
  <c r="B4190" i="4"/>
  <c r="C4190" i="4"/>
  <c r="B4191" i="4"/>
  <c r="C4191" i="4"/>
  <c r="B4192" i="4"/>
  <c r="C4192" i="4"/>
  <c r="B4193" i="4"/>
  <c r="C4193" i="4"/>
  <c r="B4194" i="4"/>
  <c r="C4194" i="4"/>
  <c r="B4195" i="4"/>
  <c r="C4195" i="4"/>
  <c r="B4196" i="4"/>
  <c r="C4196" i="4"/>
  <c r="B4197" i="4"/>
  <c r="C4197" i="4"/>
  <c r="B4198" i="4"/>
  <c r="C4198" i="4"/>
  <c r="B4199" i="4"/>
  <c r="C4199" i="4"/>
  <c r="B4200" i="4"/>
  <c r="C4200" i="4"/>
  <c r="B4201" i="4"/>
  <c r="C4201" i="4"/>
  <c r="B4202" i="4"/>
  <c r="C4202" i="4"/>
  <c r="B4203" i="4"/>
  <c r="C4203" i="4"/>
  <c r="B4204" i="4"/>
  <c r="C4204" i="4"/>
  <c r="B4205" i="4"/>
  <c r="C4205" i="4"/>
  <c r="B4206" i="4"/>
  <c r="C4206" i="4"/>
  <c r="B4207" i="4"/>
  <c r="C4207" i="4"/>
  <c r="B4208" i="4"/>
  <c r="C4208" i="4"/>
  <c r="B4209" i="4"/>
  <c r="C4209" i="4"/>
  <c r="B4210" i="4"/>
  <c r="C4210" i="4"/>
  <c r="B4211" i="4"/>
  <c r="C4211" i="4"/>
  <c r="B4212" i="4"/>
  <c r="C4212" i="4"/>
  <c r="B4213" i="4"/>
  <c r="C4213" i="4"/>
  <c r="B4214" i="4"/>
  <c r="C4214" i="4"/>
  <c r="B4215" i="4"/>
  <c r="C4215" i="4"/>
  <c r="B4216" i="4"/>
  <c r="C4216" i="4"/>
  <c r="B4217" i="4"/>
  <c r="C4217" i="4"/>
  <c r="B4218" i="4"/>
  <c r="C4218" i="4"/>
  <c r="B4219" i="4"/>
  <c r="C4219" i="4"/>
  <c r="B4220" i="4"/>
  <c r="C4220" i="4"/>
  <c r="B4221" i="4"/>
  <c r="C4221" i="4"/>
  <c r="B4222" i="4"/>
  <c r="C4222" i="4"/>
  <c r="B4223" i="4"/>
  <c r="C4223" i="4"/>
  <c r="B4224" i="4"/>
  <c r="C4224" i="4"/>
  <c r="B4225" i="4"/>
  <c r="C4225" i="4"/>
  <c r="B4226" i="4"/>
  <c r="C4226" i="4"/>
  <c r="B4227" i="4"/>
  <c r="C4227" i="4"/>
  <c r="B4228" i="4"/>
  <c r="C4228" i="4"/>
  <c r="B4229" i="4"/>
  <c r="C4229" i="4"/>
  <c r="N5529" i="4"/>
  <c r="M4227" i="4" l="1"/>
  <c r="L4227" i="4"/>
  <c r="M4219" i="4"/>
  <c r="L4219" i="4"/>
  <c r="M4211" i="4"/>
  <c r="L4211" i="4"/>
  <c r="M4203" i="4"/>
  <c r="L4203" i="4"/>
  <c r="M4195" i="4"/>
  <c r="L4195" i="4"/>
  <c r="M4187" i="4"/>
  <c r="L4187" i="4"/>
  <c r="M4179" i="4"/>
  <c r="L4179" i="4"/>
  <c r="M4171" i="4"/>
  <c r="L4171" i="4"/>
  <c r="M4163" i="4"/>
  <c r="L4163" i="4"/>
  <c r="M4155" i="4"/>
  <c r="L4155" i="4"/>
  <c r="M4147" i="4"/>
  <c r="L4147" i="4"/>
  <c r="M4139" i="4"/>
  <c r="L4139" i="4"/>
  <c r="M4131" i="4"/>
  <c r="L4131" i="4"/>
  <c r="M4123" i="4"/>
  <c r="L4123" i="4"/>
  <c r="M4115" i="4"/>
  <c r="L4115" i="4"/>
  <c r="M4107" i="4"/>
  <c r="L4107" i="4"/>
  <c r="M4099" i="4"/>
  <c r="L4099" i="4"/>
  <c r="M4091" i="4"/>
  <c r="L4091" i="4"/>
  <c r="M4083" i="4"/>
  <c r="L4083" i="4"/>
  <c r="M4075" i="4"/>
  <c r="L4075" i="4"/>
  <c r="M4067" i="4"/>
  <c r="L4067" i="4"/>
  <c r="M4059" i="4"/>
  <c r="L4059" i="4"/>
  <c r="M4051" i="4"/>
  <c r="L4051" i="4"/>
  <c r="M4043" i="4"/>
  <c r="L4043" i="4"/>
  <c r="M4035" i="4"/>
  <c r="L4035" i="4"/>
  <c r="M4027" i="4"/>
  <c r="L4027" i="4"/>
  <c r="M4019" i="4"/>
  <c r="L4019" i="4"/>
  <c r="M4011" i="4"/>
  <c r="L4011" i="4"/>
  <c r="M4003" i="4"/>
  <c r="L4003" i="4"/>
  <c r="M3995" i="4"/>
  <c r="L3995" i="4"/>
  <c r="M3987" i="4"/>
  <c r="L3987" i="4"/>
  <c r="M3979" i="4"/>
  <c r="L3979" i="4"/>
  <c r="M3971" i="4"/>
  <c r="L3971" i="4"/>
  <c r="M3963" i="4"/>
  <c r="L3963" i="4"/>
  <c r="M3955" i="4"/>
  <c r="L3955" i="4"/>
  <c r="M3947" i="4"/>
  <c r="L3947" i="4"/>
  <c r="M3939" i="4"/>
  <c r="L3939" i="4"/>
  <c r="M3931" i="4"/>
  <c r="L3931" i="4"/>
  <c r="M3923" i="4"/>
  <c r="L3923" i="4"/>
  <c r="M3915" i="4"/>
  <c r="L3915" i="4"/>
  <c r="M3907" i="4"/>
  <c r="L3907" i="4"/>
  <c r="M3899" i="4"/>
  <c r="L3899" i="4"/>
  <c r="M3891" i="4"/>
  <c r="L3891" i="4"/>
  <c r="M3883" i="4"/>
  <c r="L3883" i="4"/>
  <c r="M3875" i="4"/>
  <c r="L3875" i="4"/>
  <c r="M3867" i="4"/>
  <c r="L3867" i="4"/>
  <c r="M3859" i="4"/>
  <c r="L3859" i="4"/>
  <c r="M3851" i="4"/>
  <c r="L3851" i="4"/>
  <c r="M3843" i="4"/>
  <c r="L3843" i="4"/>
  <c r="M3835" i="4"/>
  <c r="L3835" i="4"/>
  <c r="M3827" i="4"/>
  <c r="L3827" i="4"/>
  <c r="M3819" i="4"/>
  <c r="L3819" i="4"/>
  <c r="M3811" i="4"/>
  <c r="L3811" i="4"/>
  <c r="M3803" i="4"/>
  <c r="L3803" i="4"/>
  <c r="M3795" i="4"/>
  <c r="L3795" i="4"/>
  <c r="M3787" i="4"/>
  <c r="L3787" i="4"/>
  <c r="M3779" i="4"/>
  <c r="L3779" i="4"/>
  <c r="M3771" i="4"/>
  <c r="L3771" i="4"/>
  <c r="M3763" i="4"/>
  <c r="L3763" i="4"/>
  <c r="M3755" i="4"/>
  <c r="L3755" i="4"/>
  <c r="M3747" i="4"/>
  <c r="L3747" i="4"/>
  <c r="M3739" i="4"/>
  <c r="L3739" i="4"/>
  <c r="M3731" i="4"/>
  <c r="L3731" i="4"/>
  <c r="M3723" i="4"/>
  <c r="L3723" i="4"/>
  <c r="M3715" i="4"/>
  <c r="L3715" i="4"/>
  <c r="M3707" i="4"/>
  <c r="L3707" i="4"/>
  <c r="M3699" i="4"/>
  <c r="L3699" i="4"/>
  <c r="M3691" i="4"/>
  <c r="L3691" i="4"/>
  <c r="M3683" i="4"/>
  <c r="L3683" i="4"/>
  <c r="M3675" i="4"/>
  <c r="L3675" i="4"/>
  <c r="M3667" i="4"/>
  <c r="L3667" i="4"/>
  <c r="M3659" i="4"/>
  <c r="L3659" i="4"/>
  <c r="M3651" i="4"/>
  <c r="L3651" i="4"/>
  <c r="M3643" i="4"/>
  <c r="L3643" i="4"/>
  <c r="M3635" i="4"/>
  <c r="L3635" i="4"/>
  <c r="M3627" i="4"/>
  <c r="L3627" i="4"/>
  <c r="M3619" i="4"/>
  <c r="L3619" i="4"/>
  <c r="M3611" i="4"/>
  <c r="L3611" i="4"/>
  <c r="M3603" i="4"/>
  <c r="L3603" i="4"/>
  <c r="M3595" i="4"/>
  <c r="L3595" i="4"/>
  <c r="M3587" i="4"/>
  <c r="L3587" i="4"/>
  <c r="M3579" i="4"/>
  <c r="L3579" i="4"/>
  <c r="M3571" i="4"/>
  <c r="L3571" i="4"/>
  <c r="M3563" i="4"/>
  <c r="L3563" i="4"/>
  <c r="M3555" i="4"/>
  <c r="L3555" i="4"/>
  <c r="M3547" i="4"/>
  <c r="L3547" i="4"/>
  <c r="M3539" i="4"/>
  <c r="L3539" i="4"/>
  <c r="M3531" i="4"/>
  <c r="L3531" i="4"/>
  <c r="M3523" i="4"/>
  <c r="L3523" i="4"/>
  <c r="M3515" i="4"/>
  <c r="L3515" i="4"/>
  <c r="M3507" i="4"/>
  <c r="L3507" i="4"/>
  <c r="M3499" i="4"/>
  <c r="L3499" i="4"/>
  <c r="M3491" i="4"/>
  <c r="L3491" i="4"/>
  <c r="M3483" i="4"/>
  <c r="L3483" i="4"/>
  <c r="M3475" i="4"/>
  <c r="L3475" i="4"/>
  <c r="M3467" i="4"/>
  <c r="L3467" i="4"/>
  <c r="M3459" i="4"/>
  <c r="L3459" i="4"/>
  <c r="M3451" i="4"/>
  <c r="L3451" i="4"/>
  <c r="M3443" i="4"/>
  <c r="L3443" i="4"/>
  <c r="M3435" i="4"/>
  <c r="L3435" i="4"/>
  <c r="M3427" i="4"/>
  <c r="L3427" i="4"/>
  <c r="M3419" i="4"/>
  <c r="L3419" i="4"/>
  <c r="M3411" i="4"/>
  <c r="L3411" i="4"/>
  <c r="M3403" i="4"/>
  <c r="L3403" i="4"/>
  <c r="M3395" i="4"/>
  <c r="L3395" i="4"/>
  <c r="M3387" i="4"/>
  <c r="L3387" i="4"/>
  <c r="M3379" i="4"/>
  <c r="L3379" i="4"/>
  <c r="M3371" i="4"/>
  <c r="L3371" i="4"/>
  <c r="M3363" i="4"/>
  <c r="L3363" i="4"/>
  <c r="M3355" i="4"/>
  <c r="L3355" i="4"/>
  <c r="M3347" i="4"/>
  <c r="L3347" i="4"/>
  <c r="M3339" i="4"/>
  <c r="L3339" i="4"/>
  <c r="M3331" i="4"/>
  <c r="L3331" i="4"/>
  <c r="M3323" i="4"/>
  <c r="L3323" i="4"/>
  <c r="M3315" i="4"/>
  <c r="L3315" i="4"/>
  <c r="M3307" i="4"/>
  <c r="L3307" i="4"/>
  <c r="M3299" i="4"/>
  <c r="L3299" i="4"/>
  <c r="M3291" i="4"/>
  <c r="L3291" i="4"/>
  <c r="M3283" i="4"/>
  <c r="L3283" i="4"/>
  <c r="M3275" i="4"/>
  <c r="L3275" i="4"/>
  <c r="M3267" i="4"/>
  <c r="L3267" i="4"/>
  <c r="M3259" i="4"/>
  <c r="L3259" i="4"/>
  <c r="M3251" i="4"/>
  <c r="L3251" i="4"/>
  <c r="M3243" i="4"/>
  <c r="L3243" i="4"/>
  <c r="M3235" i="4"/>
  <c r="L3235" i="4"/>
  <c r="M3227" i="4"/>
  <c r="L3227" i="4"/>
  <c r="M3219" i="4"/>
  <c r="L3219" i="4"/>
  <c r="M3211" i="4"/>
  <c r="L3211" i="4"/>
  <c r="M3203" i="4"/>
  <c r="L3203" i="4"/>
  <c r="M3195" i="4"/>
  <c r="L3195" i="4"/>
  <c r="M3187" i="4"/>
  <c r="L3187" i="4"/>
  <c r="M3179" i="4"/>
  <c r="L3179" i="4"/>
  <c r="M3171" i="4"/>
  <c r="L3171" i="4"/>
  <c r="M3163" i="4"/>
  <c r="L3163" i="4"/>
  <c r="M3155" i="4"/>
  <c r="L3155" i="4"/>
  <c r="M3147" i="4"/>
  <c r="L3147" i="4"/>
  <c r="M3139" i="4"/>
  <c r="L3139" i="4"/>
  <c r="M3131" i="4"/>
  <c r="L3131" i="4"/>
  <c r="M3123" i="4"/>
  <c r="L3123" i="4"/>
  <c r="M3115" i="4"/>
  <c r="L3115" i="4"/>
  <c r="M3107" i="4"/>
  <c r="L3107" i="4"/>
  <c r="M3099" i="4"/>
  <c r="L3099" i="4"/>
  <c r="M3091" i="4"/>
  <c r="L3091" i="4"/>
  <c r="M3083" i="4"/>
  <c r="L3083" i="4"/>
  <c r="M3075" i="4"/>
  <c r="L3075" i="4"/>
  <c r="M3067" i="4"/>
  <c r="L3067" i="4"/>
  <c r="M3059" i="4"/>
  <c r="L3059" i="4"/>
  <c r="M3051" i="4"/>
  <c r="L3051" i="4"/>
  <c r="M3043" i="4"/>
  <c r="L3043" i="4"/>
  <c r="M3035" i="4"/>
  <c r="L3035" i="4"/>
  <c r="M3027" i="4"/>
  <c r="L3027" i="4"/>
  <c r="M3019" i="4"/>
  <c r="L3019" i="4"/>
  <c r="M3011" i="4"/>
  <c r="L3011" i="4"/>
  <c r="M3003" i="4"/>
  <c r="L3003" i="4"/>
  <c r="M2995" i="4"/>
  <c r="L2995" i="4"/>
  <c r="M2987" i="4"/>
  <c r="L2987" i="4"/>
  <c r="M2979" i="4"/>
  <c r="L2979" i="4"/>
  <c r="M2971" i="4"/>
  <c r="L2971" i="4"/>
  <c r="M2963" i="4"/>
  <c r="L2963" i="4"/>
  <c r="M2955" i="4"/>
  <c r="L2955" i="4"/>
  <c r="M2947" i="4"/>
  <c r="L2947" i="4"/>
  <c r="M2939" i="4"/>
  <c r="L2939" i="4"/>
  <c r="M2931" i="4"/>
  <c r="L2931" i="4"/>
  <c r="M2923" i="4"/>
  <c r="L2923" i="4"/>
  <c r="M2915" i="4"/>
  <c r="L2915" i="4"/>
  <c r="M2907" i="4"/>
  <c r="L2907" i="4"/>
  <c r="M2899" i="4"/>
  <c r="L2899" i="4"/>
  <c r="M2891" i="4"/>
  <c r="L2891" i="4"/>
  <c r="M2883" i="4"/>
  <c r="L2883" i="4"/>
  <c r="M2875" i="4"/>
  <c r="L2875" i="4"/>
  <c r="M2867" i="4"/>
  <c r="L2867" i="4"/>
  <c r="M2859" i="4"/>
  <c r="L2859" i="4"/>
  <c r="M2851" i="4"/>
  <c r="L2851" i="4"/>
  <c r="M2843" i="4"/>
  <c r="L2843" i="4"/>
  <c r="M2835" i="4"/>
  <c r="L2835" i="4"/>
  <c r="M2827" i="4"/>
  <c r="L2827" i="4"/>
  <c r="M2819" i="4"/>
  <c r="L2819" i="4"/>
  <c r="M2811" i="4"/>
  <c r="L2811" i="4"/>
  <c r="M2803" i="4"/>
  <c r="L2803" i="4"/>
  <c r="M2795" i="4"/>
  <c r="L2795" i="4"/>
  <c r="M2787" i="4"/>
  <c r="L2787" i="4"/>
  <c r="M2779" i="4"/>
  <c r="L2779" i="4"/>
  <c r="M2771" i="4"/>
  <c r="L2771" i="4"/>
  <c r="M2763" i="4"/>
  <c r="L2763" i="4"/>
  <c r="M2755" i="4"/>
  <c r="L2755" i="4"/>
  <c r="M2747" i="4"/>
  <c r="L2747" i="4"/>
  <c r="M2739" i="4"/>
  <c r="L2739" i="4"/>
  <c r="M2731" i="4"/>
  <c r="L2731" i="4"/>
  <c r="M2723" i="4"/>
  <c r="L2723" i="4"/>
  <c r="M2715" i="4"/>
  <c r="L2715" i="4"/>
  <c r="M2707" i="4"/>
  <c r="L2707" i="4"/>
  <c r="M2699" i="4"/>
  <c r="L2699" i="4"/>
  <c r="M2691" i="4"/>
  <c r="L2691" i="4"/>
  <c r="M2683" i="4"/>
  <c r="L2683" i="4"/>
  <c r="M2675" i="4"/>
  <c r="L2675" i="4"/>
  <c r="M2667" i="4"/>
  <c r="L2667" i="4"/>
  <c r="M2659" i="4"/>
  <c r="L2659" i="4"/>
  <c r="M2651" i="4"/>
  <c r="L2651" i="4"/>
  <c r="M2643" i="4"/>
  <c r="L2643" i="4"/>
  <c r="M2635" i="4"/>
  <c r="L2635" i="4"/>
  <c r="M2627" i="4"/>
  <c r="L2627" i="4"/>
  <c r="M2619" i="4"/>
  <c r="L2619" i="4"/>
  <c r="M2611" i="4"/>
  <c r="L2611" i="4"/>
  <c r="M2603" i="4"/>
  <c r="L2603" i="4"/>
  <c r="M2595" i="4"/>
  <c r="L2595" i="4"/>
  <c r="M2587" i="4"/>
  <c r="L2587" i="4"/>
  <c r="M2579" i="4"/>
  <c r="L2579" i="4"/>
  <c r="M2571" i="4"/>
  <c r="L2571" i="4"/>
  <c r="M2563" i="4"/>
  <c r="L2563" i="4"/>
  <c r="M2555" i="4"/>
  <c r="L2555" i="4"/>
  <c r="M2547" i="4"/>
  <c r="L2547" i="4"/>
  <c r="M2539" i="4"/>
  <c r="L2539" i="4"/>
  <c r="M2531" i="4"/>
  <c r="L2531" i="4"/>
  <c r="M2523" i="4"/>
  <c r="L2523" i="4"/>
  <c r="M2515" i="4"/>
  <c r="L2515" i="4"/>
  <c r="M2507" i="4"/>
  <c r="L2507" i="4"/>
  <c r="M2499" i="4"/>
  <c r="L2499" i="4"/>
  <c r="M2491" i="4"/>
  <c r="L2491" i="4"/>
  <c r="M2483" i="4"/>
  <c r="L2483" i="4"/>
  <c r="M2475" i="4"/>
  <c r="L2475" i="4"/>
  <c r="M2467" i="4"/>
  <c r="L2467" i="4"/>
  <c r="M2459" i="4"/>
  <c r="L2459" i="4"/>
  <c r="M2451" i="4"/>
  <c r="L2451" i="4"/>
  <c r="M2443" i="4"/>
  <c r="L2443" i="4"/>
  <c r="M2435" i="4"/>
  <c r="L2435" i="4"/>
  <c r="M2427" i="4"/>
  <c r="L2427" i="4"/>
  <c r="L2419" i="4"/>
  <c r="M2419" i="4"/>
  <c r="M2411" i="4"/>
  <c r="L2411" i="4"/>
  <c r="M2403" i="4"/>
  <c r="L2403" i="4"/>
  <c r="M2395" i="4"/>
  <c r="L2395" i="4"/>
  <c r="M2387" i="4"/>
  <c r="L2387" i="4"/>
  <c r="M2379" i="4"/>
  <c r="L2379" i="4"/>
  <c r="M2371" i="4"/>
  <c r="L2371" i="4"/>
  <c r="M2363" i="4"/>
  <c r="L2363" i="4"/>
  <c r="M2355" i="4"/>
  <c r="L2355" i="4"/>
  <c r="M2347" i="4"/>
  <c r="L2347" i="4"/>
  <c r="M2339" i="4"/>
  <c r="L2339" i="4"/>
  <c r="M2331" i="4"/>
  <c r="L2331" i="4"/>
  <c r="M2323" i="4"/>
  <c r="L2323" i="4"/>
  <c r="M2315" i="4"/>
  <c r="L2315" i="4"/>
  <c r="M2307" i="4"/>
  <c r="L2307" i="4"/>
  <c r="M2299" i="4"/>
  <c r="L2299" i="4"/>
  <c r="M2291" i="4"/>
  <c r="L2291" i="4"/>
  <c r="M2283" i="4"/>
  <c r="L2283" i="4"/>
  <c r="M2275" i="4"/>
  <c r="L2275" i="4"/>
  <c r="M2267" i="4"/>
  <c r="L2267" i="4"/>
  <c r="M2259" i="4"/>
  <c r="L2259" i="4"/>
  <c r="M2251" i="4"/>
  <c r="L2251" i="4"/>
  <c r="M2243" i="4"/>
  <c r="L2243" i="4"/>
  <c r="M2235" i="4"/>
  <c r="L2235" i="4"/>
  <c r="M2227" i="4"/>
  <c r="L2227" i="4"/>
  <c r="M2219" i="4"/>
  <c r="L2219" i="4"/>
  <c r="M2211" i="4"/>
  <c r="L2211" i="4"/>
  <c r="M2203" i="4"/>
  <c r="L2203" i="4"/>
  <c r="M2195" i="4"/>
  <c r="L2195" i="4"/>
  <c r="M2187" i="4"/>
  <c r="L2187" i="4"/>
  <c r="M2179" i="4"/>
  <c r="L2179" i="4"/>
  <c r="M2171" i="4"/>
  <c r="L2171" i="4"/>
  <c r="M2163" i="4"/>
  <c r="L2163" i="4"/>
  <c r="M2155" i="4"/>
  <c r="L2155" i="4"/>
  <c r="M2147" i="4"/>
  <c r="L2147" i="4"/>
  <c r="M2139" i="4"/>
  <c r="L2139" i="4"/>
  <c r="M2131" i="4"/>
  <c r="L2131" i="4"/>
  <c r="M2123" i="4"/>
  <c r="L2123" i="4"/>
  <c r="M2115" i="4"/>
  <c r="L2115" i="4"/>
  <c r="M2107" i="4"/>
  <c r="L2107" i="4"/>
  <c r="M2099" i="4"/>
  <c r="L2099" i="4"/>
  <c r="M2091" i="4"/>
  <c r="L2091" i="4"/>
  <c r="M2083" i="4"/>
  <c r="L2083" i="4"/>
  <c r="M2075" i="4"/>
  <c r="L2075" i="4"/>
  <c r="M2067" i="4"/>
  <c r="L2067" i="4"/>
  <c r="M2059" i="4"/>
  <c r="L2059" i="4"/>
  <c r="M2051" i="4"/>
  <c r="L2051" i="4"/>
  <c r="M2043" i="4"/>
  <c r="L2043" i="4"/>
  <c r="M2035" i="4"/>
  <c r="L2035" i="4"/>
  <c r="M2027" i="4"/>
  <c r="L2027" i="4"/>
  <c r="M2019" i="4"/>
  <c r="L2019" i="4"/>
  <c r="M2011" i="4"/>
  <c r="L2011" i="4"/>
  <c r="M2003" i="4"/>
  <c r="L2003" i="4"/>
  <c r="M4226" i="4"/>
  <c r="L4226" i="4"/>
  <c r="M4218" i="4"/>
  <c r="L4218" i="4"/>
  <c r="M4210" i="4"/>
  <c r="L4210" i="4"/>
  <c r="M4202" i="4"/>
  <c r="L4202" i="4"/>
  <c r="M4194" i="4"/>
  <c r="L4194" i="4"/>
  <c r="M4186" i="4"/>
  <c r="L4186" i="4"/>
  <c r="M4178" i="4"/>
  <c r="L4178" i="4"/>
  <c r="M4170" i="4"/>
  <c r="L4170" i="4"/>
  <c r="M4162" i="4"/>
  <c r="L4162" i="4"/>
  <c r="M4154" i="4"/>
  <c r="L4154" i="4"/>
  <c r="M4146" i="4"/>
  <c r="L4146" i="4"/>
  <c r="M4138" i="4"/>
  <c r="L4138" i="4"/>
  <c r="M4130" i="4"/>
  <c r="L4130" i="4"/>
  <c r="M4122" i="4"/>
  <c r="L4122" i="4"/>
  <c r="M4114" i="4"/>
  <c r="L4114" i="4"/>
  <c r="M4106" i="4"/>
  <c r="L4106" i="4"/>
  <c r="M4098" i="4"/>
  <c r="L4098" i="4"/>
  <c r="M4090" i="4"/>
  <c r="L4090" i="4"/>
  <c r="M4082" i="4"/>
  <c r="L4082" i="4"/>
  <c r="M4074" i="4"/>
  <c r="L4074" i="4"/>
  <c r="M4066" i="4"/>
  <c r="L4066" i="4"/>
  <c r="M4058" i="4"/>
  <c r="L4058" i="4"/>
  <c r="M4050" i="4"/>
  <c r="L4050" i="4"/>
  <c r="M4042" i="4"/>
  <c r="L4042" i="4"/>
  <c r="M4034" i="4"/>
  <c r="L4034" i="4"/>
  <c r="M4225" i="4"/>
  <c r="L4225" i="4"/>
  <c r="M4217" i="4"/>
  <c r="L4217" i="4"/>
  <c r="M4209" i="4"/>
  <c r="L4209" i="4"/>
  <c r="M4201" i="4"/>
  <c r="L4201" i="4"/>
  <c r="M4193" i="4"/>
  <c r="L4193" i="4"/>
  <c r="M4185" i="4"/>
  <c r="L4185" i="4"/>
  <c r="M4177" i="4"/>
  <c r="L4177" i="4"/>
  <c r="M4169" i="4"/>
  <c r="L4169" i="4"/>
  <c r="M4161" i="4"/>
  <c r="L4161" i="4"/>
  <c r="M4153" i="4"/>
  <c r="L4153" i="4"/>
  <c r="M4145" i="4"/>
  <c r="L4145" i="4"/>
  <c r="M4137" i="4"/>
  <c r="L4137" i="4"/>
  <c r="M4129" i="4"/>
  <c r="L4129" i="4"/>
  <c r="M4121" i="4"/>
  <c r="L4121" i="4"/>
  <c r="M4113" i="4"/>
  <c r="L4113" i="4"/>
  <c r="M4105" i="4"/>
  <c r="L4105" i="4"/>
  <c r="M4097" i="4"/>
  <c r="L4097" i="4"/>
  <c r="M4089" i="4"/>
  <c r="L4089" i="4"/>
  <c r="M4081" i="4"/>
  <c r="L4081" i="4"/>
  <c r="M4073" i="4"/>
  <c r="L4073" i="4"/>
  <c r="M4065" i="4"/>
  <c r="L4065" i="4"/>
  <c r="M4057" i="4"/>
  <c r="L4057" i="4"/>
  <c r="M4049" i="4"/>
  <c r="L4049" i="4"/>
  <c r="M4041" i="4"/>
  <c r="L4041" i="4"/>
  <c r="M4033" i="4"/>
  <c r="L4033" i="4"/>
  <c r="M4224" i="4"/>
  <c r="L4224" i="4"/>
  <c r="M4216" i="4"/>
  <c r="L4216" i="4"/>
  <c r="M4208" i="4"/>
  <c r="L4208" i="4"/>
  <c r="M4200" i="4"/>
  <c r="L4200" i="4"/>
  <c r="M4192" i="4"/>
  <c r="L4192" i="4"/>
  <c r="M4184" i="4"/>
  <c r="L4184" i="4"/>
  <c r="M4176" i="4"/>
  <c r="L4176" i="4"/>
  <c r="M4168" i="4"/>
  <c r="L4168" i="4"/>
  <c r="M4160" i="4"/>
  <c r="L4160" i="4"/>
  <c r="M4152" i="4"/>
  <c r="L4152" i="4"/>
  <c r="M4144" i="4"/>
  <c r="L4144" i="4"/>
  <c r="M4136" i="4"/>
  <c r="L4136" i="4"/>
  <c r="M4128" i="4"/>
  <c r="L4128" i="4"/>
  <c r="M4120" i="4"/>
  <c r="L4120" i="4"/>
  <c r="M4112" i="4"/>
  <c r="L4112" i="4"/>
  <c r="M4104" i="4"/>
  <c r="L4104" i="4"/>
  <c r="M4096" i="4"/>
  <c r="L4096" i="4"/>
  <c r="M4088" i="4"/>
  <c r="L4088" i="4"/>
  <c r="M4080" i="4"/>
  <c r="L4080" i="4"/>
  <c r="M4072" i="4"/>
  <c r="L4072" i="4"/>
  <c r="M4064" i="4"/>
  <c r="L4064" i="4"/>
  <c r="M4056" i="4"/>
  <c r="L4056" i="4"/>
  <c r="M4048" i="4"/>
  <c r="L4048" i="4"/>
  <c r="M4040" i="4"/>
  <c r="L4040" i="4"/>
  <c r="M4032" i="4"/>
  <c r="L4032" i="4"/>
  <c r="M4223" i="4"/>
  <c r="L4223" i="4"/>
  <c r="M4215" i="4"/>
  <c r="L4215" i="4"/>
  <c r="M4207" i="4"/>
  <c r="L4207" i="4"/>
  <c r="M4199" i="4"/>
  <c r="L4199" i="4"/>
  <c r="M4191" i="4"/>
  <c r="L4191" i="4"/>
  <c r="M4183" i="4"/>
  <c r="L4183" i="4"/>
  <c r="M4175" i="4"/>
  <c r="L4175" i="4"/>
  <c r="M4167" i="4"/>
  <c r="L4167" i="4"/>
  <c r="M4159" i="4"/>
  <c r="L4159" i="4"/>
  <c r="M4151" i="4"/>
  <c r="L4151" i="4"/>
  <c r="M4143" i="4"/>
  <c r="L4143" i="4"/>
  <c r="M4135" i="4"/>
  <c r="L4135" i="4"/>
  <c r="M4127" i="4"/>
  <c r="L4127" i="4"/>
  <c r="M4119" i="4"/>
  <c r="L4119" i="4"/>
  <c r="M4111" i="4"/>
  <c r="L4111" i="4"/>
  <c r="M4103" i="4"/>
  <c r="L4103" i="4"/>
  <c r="M4095" i="4"/>
  <c r="L4095" i="4"/>
  <c r="M4087" i="4"/>
  <c r="L4087" i="4"/>
  <c r="M4079" i="4"/>
  <c r="L4079" i="4"/>
  <c r="M4071" i="4"/>
  <c r="L4071" i="4"/>
  <c r="M4063" i="4"/>
  <c r="L4063" i="4"/>
  <c r="M4055" i="4"/>
  <c r="L4055" i="4"/>
  <c r="M4047" i="4"/>
  <c r="L4047" i="4"/>
  <c r="M4039" i="4"/>
  <c r="L4039" i="4"/>
  <c r="M4031" i="4"/>
  <c r="L4031" i="4"/>
  <c r="M4023" i="4"/>
  <c r="L4023" i="4"/>
  <c r="M4222" i="4"/>
  <c r="L4222" i="4"/>
  <c r="M4214" i="4"/>
  <c r="L4214" i="4"/>
  <c r="M4206" i="4"/>
  <c r="L4206" i="4"/>
  <c r="M4198" i="4"/>
  <c r="L4198" i="4"/>
  <c r="M4190" i="4"/>
  <c r="L4190" i="4"/>
  <c r="M4182" i="4"/>
  <c r="L4182" i="4"/>
  <c r="M4174" i="4"/>
  <c r="L4174" i="4"/>
  <c r="M4166" i="4"/>
  <c r="L4166" i="4"/>
  <c r="M4158" i="4"/>
  <c r="L4158" i="4"/>
  <c r="M4150" i="4"/>
  <c r="L4150" i="4"/>
  <c r="M4142" i="4"/>
  <c r="L4142" i="4"/>
  <c r="M4134" i="4"/>
  <c r="L4134" i="4"/>
  <c r="M4126" i="4"/>
  <c r="L4126" i="4"/>
  <c r="M4118" i="4"/>
  <c r="L4118" i="4"/>
  <c r="M4110" i="4"/>
  <c r="L4110" i="4"/>
  <c r="M4102" i="4"/>
  <c r="L4102" i="4"/>
  <c r="M4094" i="4"/>
  <c r="L4094" i="4"/>
  <c r="M4086" i="4"/>
  <c r="L4086" i="4"/>
  <c r="M4078" i="4"/>
  <c r="L4078" i="4"/>
  <c r="M4070" i="4"/>
  <c r="L4070" i="4"/>
  <c r="M4062" i="4"/>
  <c r="L4062" i="4"/>
  <c r="M4054" i="4"/>
  <c r="L4054" i="4"/>
  <c r="M4046" i="4"/>
  <c r="L4046" i="4"/>
  <c r="M4038" i="4"/>
  <c r="L4038" i="4"/>
  <c r="M4030" i="4"/>
  <c r="L4030" i="4"/>
  <c r="M4022" i="4"/>
  <c r="L4022" i="4"/>
  <c r="M4229" i="4"/>
  <c r="L4229" i="4"/>
  <c r="M4221" i="4"/>
  <c r="L4221" i="4"/>
  <c r="M4213" i="4"/>
  <c r="L4213" i="4"/>
  <c r="M4205" i="4"/>
  <c r="L4205" i="4"/>
  <c r="M4197" i="4"/>
  <c r="L4197" i="4"/>
  <c r="M4189" i="4"/>
  <c r="L4189" i="4"/>
  <c r="M4181" i="4"/>
  <c r="L4181" i="4"/>
  <c r="M4173" i="4"/>
  <c r="L4173" i="4"/>
  <c r="M4165" i="4"/>
  <c r="L4165" i="4"/>
  <c r="M4157" i="4"/>
  <c r="L4157" i="4"/>
  <c r="M4149" i="4"/>
  <c r="L4149" i="4"/>
  <c r="M4141" i="4"/>
  <c r="L4141" i="4"/>
  <c r="M4133" i="4"/>
  <c r="L4133" i="4"/>
  <c r="M4125" i="4"/>
  <c r="L4125" i="4"/>
  <c r="M4117" i="4"/>
  <c r="L4117" i="4"/>
  <c r="M4109" i="4"/>
  <c r="L4109" i="4"/>
  <c r="M4101" i="4"/>
  <c r="L4101" i="4"/>
  <c r="M4093" i="4"/>
  <c r="L4093" i="4"/>
  <c r="M4085" i="4"/>
  <c r="L4085" i="4"/>
  <c r="M4077" i="4"/>
  <c r="L4077" i="4"/>
  <c r="M4069" i="4"/>
  <c r="L4069" i="4"/>
  <c r="M4061" i="4"/>
  <c r="L4061" i="4"/>
  <c r="M4053" i="4"/>
  <c r="L4053" i="4"/>
  <c r="M4045" i="4"/>
  <c r="L4045" i="4"/>
  <c r="M4037" i="4"/>
  <c r="L4037" i="4"/>
  <c r="M4029" i="4"/>
  <c r="L4029" i="4"/>
  <c r="M4021" i="4"/>
  <c r="L4021" i="4"/>
  <c r="M4228" i="4"/>
  <c r="L4228" i="4"/>
  <c r="M4220" i="4"/>
  <c r="L4220" i="4"/>
  <c r="M4212" i="4"/>
  <c r="L4212" i="4"/>
  <c r="M4204" i="4"/>
  <c r="L4204" i="4"/>
  <c r="M4196" i="4"/>
  <c r="L4196" i="4"/>
  <c r="M4188" i="4"/>
  <c r="L4188" i="4"/>
  <c r="M4180" i="4"/>
  <c r="L4180" i="4"/>
  <c r="M4172" i="4"/>
  <c r="L4172" i="4"/>
  <c r="M4164" i="4"/>
  <c r="L4164" i="4"/>
  <c r="M4156" i="4"/>
  <c r="L4156" i="4"/>
  <c r="M4148" i="4"/>
  <c r="L4148" i="4"/>
  <c r="M4140" i="4"/>
  <c r="L4140" i="4"/>
  <c r="M4132" i="4"/>
  <c r="L4132" i="4"/>
  <c r="M4124" i="4"/>
  <c r="L4124" i="4"/>
  <c r="M4116" i="4"/>
  <c r="L4116" i="4"/>
  <c r="M4108" i="4"/>
  <c r="L4108" i="4"/>
  <c r="M4100" i="4"/>
  <c r="L4100" i="4"/>
  <c r="M4092" i="4"/>
  <c r="L4092" i="4"/>
  <c r="M4084" i="4"/>
  <c r="L4084" i="4"/>
  <c r="M4076" i="4"/>
  <c r="L4076" i="4"/>
  <c r="M4068" i="4"/>
  <c r="L4068" i="4"/>
  <c r="M4060" i="4"/>
  <c r="L4060" i="4"/>
  <c r="M4052" i="4"/>
  <c r="L4052" i="4"/>
  <c r="M4044" i="4"/>
  <c r="L4044" i="4"/>
  <c r="M4036" i="4"/>
  <c r="L4036" i="4"/>
  <c r="M4028" i="4"/>
  <c r="L4028" i="4"/>
  <c r="M4020" i="4"/>
  <c r="L4020" i="4"/>
  <c r="M4026" i="4"/>
  <c r="L4026" i="4"/>
  <c r="M4018" i="4"/>
  <c r="L4018" i="4"/>
  <c r="M4010" i="4"/>
  <c r="L4010" i="4"/>
  <c r="M4002" i="4"/>
  <c r="L4002" i="4"/>
  <c r="M3994" i="4"/>
  <c r="L3994" i="4"/>
  <c r="M3986" i="4"/>
  <c r="L3986" i="4"/>
  <c r="M3978" i="4"/>
  <c r="L3978" i="4"/>
  <c r="M3970" i="4"/>
  <c r="L3970" i="4"/>
  <c r="M3962" i="4"/>
  <c r="L3962" i="4"/>
  <c r="M3954" i="4"/>
  <c r="L3954" i="4"/>
  <c r="M3946" i="4"/>
  <c r="L3946" i="4"/>
  <c r="M3938" i="4"/>
  <c r="L3938" i="4"/>
  <c r="M3930" i="4"/>
  <c r="L3930" i="4"/>
  <c r="M3922" i="4"/>
  <c r="L3922" i="4"/>
  <c r="M3914" i="4"/>
  <c r="L3914" i="4"/>
  <c r="M3906" i="4"/>
  <c r="L3906" i="4"/>
  <c r="M3898" i="4"/>
  <c r="L3898" i="4"/>
  <c r="M3890" i="4"/>
  <c r="L3890" i="4"/>
  <c r="M3882" i="4"/>
  <c r="L3882" i="4"/>
  <c r="M3874" i="4"/>
  <c r="L3874" i="4"/>
  <c r="M3866" i="4"/>
  <c r="L3866" i="4"/>
  <c r="M3858" i="4"/>
  <c r="L3858" i="4"/>
  <c r="M3850" i="4"/>
  <c r="L3850" i="4"/>
  <c r="M3842" i="4"/>
  <c r="L3842" i="4"/>
  <c r="M3834" i="4"/>
  <c r="L3834" i="4"/>
  <c r="M3826" i="4"/>
  <c r="L3826" i="4"/>
  <c r="M3818" i="4"/>
  <c r="L3818" i="4"/>
  <c r="M3810" i="4"/>
  <c r="L3810" i="4"/>
  <c r="M3802" i="4"/>
  <c r="L3802" i="4"/>
  <c r="M3794" i="4"/>
  <c r="L3794" i="4"/>
  <c r="M3786" i="4"/>
  <c r="L3786" i="4"/>
  <c r="M3778" i="4"/>
  <c r="L3778" i="4"/>
  <c r="M3770" i="4"/>
  <c r="L3770" i="4"/>
  <c r="M3762" i="4"/>
  <c r="L3762" i="4"/>
  <c r="M3754" i="4"/>
  <c r="L3754" i="4"/>
  <c r="M3746" i="4"/>
  <c r="L3746" i="4"/>
  <c r="M3738" i="4"/>
  <c r="L3738" i="4"/>
  <c r="M3730" i="4"/>
  <c r="L3730" i="4"/>
  <c r="M3722" i="4"/>
  <c r="L3722" i="4"/>
  <c r="M3714" i="4"/>
  <c r="L3714" i="4"/>
  <c r="M3706" i="4"/>
  <c r="L3706" i="4"/>
  <c r="M3698" i="4"/>
  <c r="L3698" i="4"/>
  <c r="M3690" i="4"/>
  <c r="L3690" i="4"/>
  <c r="M3682" i="4"/>
  <c r="L3682" i="4"/>
  <c r="M3674" i="4"/>
  <c r="L3674" i="4"/>
  <c r="M3666" i="4"/>
  <c r="L3666" i="4"/>
  <c r="M3658" i="4"/>
  <c r="L3658" i="4"/>
  <c r="M3650" i="4"/>
  <c r="L3650" i="4"/>
  <c r="M3642" i="4"/>
  <c r="L3642" i="4"/>
  <c r="M3634" i="4"/>
  <c r="L3634" i="4"/>
  <c r="M3626" i="4"/>
  <c r="L3626" i="4"/>
  <c r="M3618" i="4"/>
  <c r="L3618" i="4"/>
  <c r="M3610" i="4"/>
  <c r="L3610" i="4"/>
  <c r="M3602" i="4"/>
  <c r="L3602" i="4"/>
  <c r="M3594" i="4"/>
  <c r="L3594" i="4"/>
  <c r="M3586" i="4"/>
  <c r="L3586" i="4"/>
  <c r="M3578" i="4"/>
  <c r="L3578" i="4"/>
  <c r="M3570" i="4"/>
  <c r="L3570" i="4"/>
  <c r="M3562" i="4"/>
  <c r="L3562" i="4"/>
  <c r="M3554" i="4"/>
  <c r="L3554" i="4"/>
  <c r="M3546" i="4"/>
  <c r="L3546" i="4"/>
  <c r="M3538" i="4"/>
  <c r="L3538" i="4"/>
  <c r="M3530" i="4"/>
  <c r="L3530" i="4"/>
  <c r="M3522" i="4"/>
  <c r="L3522" i="4"/>
  <c r="M3514" i="4"/>
  <c r="L3514" i="4"/>
  <c r="M3506" i="4"/>
  <c r="L3506" i="4"/>
  <c r="M3498" i="4"/>
  <c r="L3498" i="4"/>
  <c r="M3490" i="4"/>
  <c r="L3490" i="4"/>
  <c r="M3482" i="4"/>
  <c r="L3482" i="4"/>
  <c r="M3474" i="4"/>
  <c r="L3474" i="4"/>
  <c r="M3466" i="4"/>
  <c r="L3466" i="4"/>
  <c r="M3458" i="4"/>
  <c r="L3458" i="4"/>
  <c r="M3450" i="4"/>
  <c r="L3450" i="4"/>
  <c r="M3442" i="4"/>
  <c r="L3442" i="4"/>
  <c r="M3434" i="4"/>
  <c r="L3434" i="4"/>
  <c r="M3426" i="4"/>
  <c r="L3426" i="4"/>
  <c r="M3418" i="4"/>
  <c r="L3418" i="4"/>
  <c r="M3410" i="4"/>
  <c r="L3410" i="4"/>
  <c r="M3402" i="4"/>
  <c r="L3402" i="4"/>
  <c r="M3394" i="4"/>
  <c r="L3394" i="4"/>
  <c r="M3386" i="4"/>
  <c r="L3386" i="4"/>
  <c r="M3378" i="4"/>
  <c r="L3378" i="4"/>
  <c r="M3370" i="4"/>
  <c r="L3370" i="4"/>
  <c r="M3362" i="4"/>
  <c r="L3362" i="4"/>
  <c r="M3354" i="4"/>
  <c r="L3354" i="4"/>
  <c r="M3346" i="4"/>
  <c r="L3346" i="4"/>
  <c r="M3338" i="4"/>
  <c r="L3338" i="4"/>
  <c r="M3330" i="4"/>
  <c r="L3330" i="4"/>
  <c r="M3322" i="4"/>
  <c r="L3322" i="4"/>
  <c r="M3314" i="4"/>
  <c r="L3314" i="4"/>
  <c r="M3306" i="4"/>
  <c r="L3306" i="4"/>
  <c r="M3298" i="4"/>
  <c r="L3298" i="4"/>
  <c r="M3290" i="4"/>
  <c r="L3290" i="4"/>
  <c r="M3282" i="4"/>
  <c r="L3282" i="4"/>
  <c r="M3274" i="4"/>
  <c r="L3274" i="4"/>
  <c r="M3266" i="4"/>
  <c r="L3266" i="4"/>
  <c r="M3258" i="4"/>
  <c r="L3258" i="4"/>
  <c r="M3250" i="4"/>
  <c r="L3250" i="4"/>
  <c r="M3242" i="4"/>
  <c r="L3242" i="4"/>
  <c r="M3234" i="4"/>
  <c r="L3234" i="4"/>
  <c r="M3226" i="4"/>
  <c r="L3226" i="4"/>
  <c r="M3218" i="4"/>
  <c r="L3218" i="4"/>
  <c r="M3210" i="4"/>
  <c r="L3210" i="4"/>
  <c r="M3202" i="4"/>
  <c r="L3202" i="4"/>
  <c r="M3194" i="4"/>
  <c r="L3194" i="4"/>
  <c r="M3186" i="4"/>
  <c r="L3186" i="4"/>
  <c r="M3178" i="4"/>
  <c r="L3178" i="4"/>
  <c r="M3170" i="4"/>
  <c r="L3170" i="4"/>
  <c r="M3162" i="4"/>
  <c r="L3162" i="4"/>
  <c r="M3154" i="4"/>
  <c r="L3154" i="4"/>
  <c r="M3146" i="4"/>
  <c r="L3146" i="4"/>
  <c r="M3138" i="4"/>
  <c r="L3138" i="4"/>
  <c r="M3130" i="4"/>
  <c r="L3130" i="4"/>
  <c r="M3122" i="4"/>
  <c r="L3122" i="4"/>
  <c r="M3114" i="4"/>
  <c r="L3114" i="4"/>
  <c r="M3106" i="4"/>
  <c r="L3106" i="4"/>
  <c r="M3098" i="4"/>
  <c r="L3098" i="4"/>
  <c r="M3090" i="4"/>
  <c r="L3090" i="4"/>
  <c r="M3082" i="4"/>
  <c r="L3082" i="4"/>
  <c r="M3074" i="4"/>
  <c r="L3074" i="4"/>
  <c r="M3066" i="4"/>
  <c r="L3066" i="4"/>
  <c r="M3058" i="4"/>
  <c r="L3058" i="4"/>
  <c r="M3050" i="4"/>
  <c r="L3050" i="4"/>
  <c r="M3042" i="4"/>
  <c r="L3042" i="4"/>
  <c r="M3034" i="4"/>
  <c r="L3034" i="4"/>
  <c r="M3026" i="4"/>
  <c r="L3026" i="4"/>
  <c r="M3018" i="4"/>
  <c r="L3018" i="4"/>
  <c r="M3010" i="4"/>
  <c r="L3010" i="4"/>
  <c r="M3002" i="4"/>
  <c r="L3002" i="4"/>
  <c r="M2994" i="4"/>
  <c r="L2994" i="4"/>
  <c r="M2986" i="4"/>
  <c r="L2986" i="4"/>
  <c r="M2978" i="4"/>
  <c r="L2978" i="4"/>
  <c r="M2970" i="4"/>
  <c r="L2970" i="4"/>
  <c r="M2962" i="4"/>
  <c r="L2962" i="4"/>
  <c r="M2954" i="4"/>
  <c r="L2954" i="4"/>
  <c r="M2946" i="4"/>
  <c r="L2946" i="4"/>
  <c r="M2938" i="4"/>
  <c r="L2938" i="4"/>
  <c r="M2930" i="4"/>
  <c r="L2930" i="4"/>
  <c r="M2922" i="4"/>
  <c r="L2922" i="4"/>
  <c r="M2914" i="4"/>
  <c r="L2914" i="4"/>
  <c r="M2906" i="4"/>
  <c r="L2906" i="4"/>
  <c r="M2898" i="4"/>
  <c r="L2898" i="4"/>
  <c r="M2890" i="4"/>
  <c r="L2890" i="4"/>
  <c r="M2882" i="4"/>
  <c r="L2882" i="4"/>
  <c r="M2874" i="4"/>
  <c r="L2874" i="4"/>
  <c r="M2866" i="4"/>
  <c r="L2866" i="4"/>
  <c r="M2858" i="4"/>
  <c r="L2858" i="4"/>
  <c r="M2850" i="4"/>
  <c r="L2850" i="4"/>
  <c r="M2842" i="4"/>
  <c r="L2842" i="4"/>
  <c r="M2834" i="4"/>
  <c r="L2834" i="4"/>
  <c r="M2826" i="4"/>
  <c r="L2826" i="4"/>
  <c r="M2818" i="4"/>
  <c r="L2818" i="4"/>
  <c r="M2810" i="4"/>
  <c r="L2810" i="4"/>
  <c r="M2802" i="4"/>
  <c r="L2802" i="4"/>
  <c r="M2794" i="4"/>
  <c r="L2794" i="4"/>
  <c r="M2786" i="4"/>
  <c r="L2786" i="4"/>
  <c r="M2778" i="4"/>
  <c r="L2778" i="4"/>
  <c r="M2770" i="4"/>
  <c r="L2770" i="4"/>
  <c r="M2762" i="4"/>
  <c r="L2762" i="4"/>
  <c r="M2754" i="4"/>
  <c r="L2754" i="4"/>
  <c r="M2746" i="4"/>
  <c r="L2746" i="4"/>
  <c r="M2738" i="4"/>
  <c r="L2738" i="4"/>
  <c r="M2730" i="4"/>
  <c r="L2730" i="4"/>
  <c r="M2722" i="4"/>
  <c r="L2722" i="4"/>
  <c r="M2714" i="4"/>
  <c r="L2714" i="4"/>
  <c r="M2706" i="4"/>
  <c r="L2706" i="4"/>
  <c r="M2698" i="4"/>
  <c r="L2698" i="4"/>
  <c r="M2690" i="4"/>
  <c r="L2690" i="4"/>
  <c r="M2682" i="4"/>
  <c r="L2682" i="4"/>
  <c r="M2674" i="4"/>
  <c r="L2674" i="4"/>
  <c r="M2666" i="4"/>
  <c r="L2666" i="4"/>
  <c r="M2658" i="4"/>
  <c r="L2658" i="4"/>
  <c r="M2650" i="4"/>
  <c r="L2650" i="4"/>
  <c r="M2642" i="4"/>
  <c r="L2642" i="4"/>
  <c r="M2634" i="4"/>
  <c r="L2634" i="4"/>
  <c r="M2626" i="4"/>
  <c r="L2626" i="4"/>
  <c r="M2618" i="4"/>
  <c r="L2618" i="4"/>
  <c r="M2610" i="4"/>
  <c r="L2610" i="4"/>
  <c r="M2602" i="4"/>
  <c r="L2602" i="4"/>
  <c r="M2594" i="4"/>
  <c r="L2594" i="4"/>
  <c r="M2586" i="4"/>
  <c r="L2586" i="4"/>
  <c r="M2578" i="4"/>
  <c r="L2578" i="4"/>
  <c r="M2570" i="4"/>
  <c r="L2570" i="4"/>
  <c r="M2562" i="4"/>
  <c r="L2562" i="4"/>
  <c r="M2554" i="4"/>
  <c r="L2554" i="4"/>
  <c r="M2546" i="4"/>
  <c r="L2546" i="4"/>
  <c r="M2538" i="4"/>
  <c r="L2538" i="4"/>
  <c r="M2530" i="4"/>
  <c r="L2530" i="4"/>
  <c r="M2522" i="4"/>
  <c r="L2522" i="4"/>
  <c r="M2514" i="4"/>
  <c r="L2514" i="4"/>
  <c r="M2506" i="4"/>
  <c r="L2506" i="4"/>
  <c r="M2498" i="4"/>
  <c r="L2498" i="4"/>
  <c r="M2490" i="4"/>
  <c r="L2490" i="4"/>
  <c r="M2482" i="4"/>
  <c r="L2482" i="4"/>
  <c r="M2474" i="4"/>
  <c r="L2474" i="4"/>
  <c r="M2466" i="4"/>
  <c r="L2466" i="4"/>
  <c r="M2458" i="4"/>
  <c r="L2458" i="4"/>
  <c r="M2450" i="4"/>
  <c r="L2450" i="4"/>
  <c r="M2442" i="4"/>
  <c r="L2442" i="4"/>
  <c r="M2434" i="4"/>
  <c r="L2434" i="4"/>
  <c r="M2426" i="4"/>
  <c r="L2426" i="4"/>
  <c r="M2418" i="4"/>
  <c r="L2418" i="4"/>
  <c r="M2410" i="4"/>
  <c r="L2410" i="4"/>
  <c r="M2402" i="4"/>
  <c r="L2402" i="4"/>
  <c r="M2394" i="4"/>
  <c r="L2394" i="4"/>
  <c r="M2386" i="4"/>
  <c r="L2386" i="4"/>
  <c r="M2378" i="4"/>
  <c r="L2378" i="4"/>
  <c r="M2370" i="4"/>
  <c r="L2370" i="4"/>
  <c r="M2362" i="4"/>
  <c r="L2362" i="4"/>
  <c r="M2354" i="4"/>
  <c r="L2354" i="4"/>
  <c r="M2346" i="4"/>
  <c r="L2346" i="4"/>
  <c r="M2338" i="4"/>
  <c r="L2338" i="4"/>
  <c r="M2330" i="4"/>
  <c r="L2330" i="4"/>
  <c r="M2322" i="4"/>
  <c r="L2322" i="4"/>
  <c r="M2314" i="4"/>
  <c r="L2314" i="4"/>
  <c r="M2306" i="4"/>
  <c r="L2306" i="4"/>
  <c r="M2298" i="4"/>
  <c r="L2298" i="4"/>
  <c r="M2290" i="4"/>
  <c r="L2290" i="4"/>
  <c r="M2282" i="4"/>
  <c r="L2282" i="4"/>
  <c r="M2274" i="4"/>
  <c r="L2274" i="4"/>
  <c r="M2266" i="4"/>
  <c r="L2266" i="4"/>
  <c r="M2258" i="4"/>
  <c r="L2258" i="4"/>
  <c r="M2250" i="4"/>
  <c r="L2250" i="4"/>
  <c r="M2242" i="4"/>
  <c r="L2242" i="4"/>
  <c r="M2234" i="4"/>
  <c r="L2234" i="4"/>
  <c r="M2226" i="4"/>
  <c r="L2226" i="4"/>
  <c r="M2218" i="4"/>
  <c r="L2218" i="4"/>
  <c r="M2210" i="4"/>
  <c r="L2210" i="4"/>
  <c r="M2202" i="4"/>
  <c r="L2202" i="4"/>
  <c r="M2194" i="4"/>
  <c r="L2194" i="4"/>
  <c r="M2186" i="4"/>
  <c r="L2186" i="4"/>
  <c r="M2178" i="4"/>
  <c r="L2178" i="4"/>
  <c r="M2170" i="4"/>
  <c r="L2170" i="4"/>
  <c r="M2162" i="4"/>
  <c r="L2162" i="4"/>
  <c r="M2154" i="4"/>
  <c r="L2154" i="4"/>
  <c r="M2146" i="4"/>
  <c r="L2146" i="4"/>
  <c r="M2138" i="4"/>
  <c r="L2138" i="4"/>
  <c r="M2130" i="4"/>
  <c r="L2130" i="4"/>
  <c r="M2122" i="4"/>
  <c r="L2122" i="4"/>
  <c r="M2114" i="4"/>
  <c r="L2114" i="4"/>
  <c r="M2106" i="4"/>
  <c r="L2106" i="4"/>
  <c r="M2098" i="4"/>
  <c r="L2098" i="4"/>
  <c r="M2090" i="4"/>
  <c r="L2090" i="4"/>
  <c r="M2082" i="4"/>
  <c r="L2082" i="4"/>
  <c r="M2074" i="4"/>
  <c r="L2074" i="4"/>
  <c r="M2066" i="4"/>
  <c r="L2066" i="4"/>
  <c r="M2058" i="4"/>
  <c r="L2058" i="4"/>
  <c r="M2050" i="4"/>
  <c r="L2050" i="4"/>
  <c r="M2042" i="4"/>
  <c r="L2042" i="4"/>
  <c r="M2034" i="4"/>
  <c r="L2034" i="4"/>
  <c r="M2026" i="4"/>
  <c r="L2026" i="4"/>
  <c r="M2018" i="4"/>
  <c r="L2018" i="4"/>
  <c r="M2010" i="4"/>
  <c r="L2010" i="4"/>
  <c r="M2002" i="4"/>
  <c r="L2002" i="4"/>
  <c r="M4025" i="4"/>
  <c r="L4025" i="4"/>
  <c r="M4017" i="4"/>
  <c r="L4017" i="4"/>
  <c r="M4009" i="4"/>
  <c r="L4009" i="4"/>
  <c r="M4001" i="4"/>
  <c r="L4001" i="4"/>
  <c r="M3993" i="4"/>
  <c r="L3993" i="4"/>
  <c r="M3985" i="4"/>
  <c r="L3985" i="4"/>
  <c r="M3977" i="4"/>
  <c r="L3977" i="4"/>
  <c r="M3969" i="4"/>
  <c r="L3969" i="4"/>
  <c r="M3961" i="4"/>
  <c r="L3961" i="4"/>
  <c r="M3953" i="4"/>
  <c r="L3953" i="4"/>
  <c r="M3945" i="4"/>
  <c r="L3945" i="4"/>
  <c r="M3937" i="4"/>
  <c r="L3937" i="4"/>
  <c r="M3929" i="4"/>
  <c r="L3929" i="4"/>
  <c r="M3921" i="4"/>
  <c r="L3921" i="4"/>
  <c r="M3913" i="4"/>
  <c r="L3913" i="4"/>
  <c r="M3905" i="4"/>
  <c r="L3905" i="4"/>
  <c r="M3897" i="4"/>
  <c r="L3897" i="4"/>
  <c r="M3889" i="4"/>
  <c r="L3889" i="4"/>
  <c r="M3881" i="4"/>
  <c r="L3881" i="4"/>
  <c r="M3873" i="4"/>
  <c r="L3873" i="4"/>
  <c r="M3865" i="4"/>
  <c r="L3865" i="4"/>
  <c r="M3857" i="4"/>
  <c r="L3857" i="4"/>
  <c r="M3849" i="4"/>
  <c r="L3849" i="4"/>
  <c r="M3841" i="4"/>
  <c r="L3841" i="4"/>
  <c r="M3833" i="4"/>
  <c r="L3833" i="4"/>
  <c r="M3825" i="4"/>
  <c r="L3825" i="4"/>
  <c r="M3817" i="4"/>
  <c r="L3817" i="4"/>
  <c r="M3809" i="4"/>
  <c r="L3809" i="4"/>
  <c r="M3801" i="4"/>
  <c r="L3801" i="4"/>
  <c r="M3793" i="4"/>
  <c r="L3793" i="4"/>
  <c r="M3785" i="4"/>
  <c r="L3785" i="4"/>
  <c r="M3777" i="4"/>
  <c r="L3777" i="4"/>
  <c r="M3769" i="4"/>
  <c r="L3769" i="4"/>
  <c r="M3761" i="4"/>
  <c r="L3761" i="4"/>
  <c r="M3753" i="4"/>
  <c r="L3753" i="4"/>
  <c r="M3745" i="4"/>
  <c r="L3745" i="4"/>
  <c r="M3737" i="4"/>
  <c r="L3737" i="4"/>
  <c r="M3729" i="4"/>
  <c r="L3729" i="4"/>
  <c r="M3721" i="4"/>
  <c r="L3721" i="4"/>
  <c r="M3713" i="4"/>
  <c r="L3713" i="4"/>
  <c r="M3705" i="4"/>
  <c r="L3705" i="4"/>
  <c r="M3697" i="4"/>
  <c r="L3697" i="4"/>
  <c r="M3689" i="4"/>
  <c r="L3689" i="4"/>
  <c r="M3681" i="4"/>
  <c r="L3681" i="4"/>
  <c r="M3673" i="4"/>
  <c r="L3673" i="4"/>
  <c r="M3665" i="4"/>
  <c r="L3665" i="4"/>
  <c r="M3657" i="4"/>
  <c r="L3657" i="4"/>
  <c r="M3649" i="4"/>
  <c r="L3649" i="4"/>
  <c r="M3641" i="4"/>
  <c r="L3641" i="4"/>
  <c r="M3633" i="4"/>
  <c r="L3633" i="4"/>
  <c r="M3625" i="4"/>
  <c r="L3625" i="4"/>
  <c r="M3617" i="4"/>
  <c r="L3617" i="4"/>
  <c r="M3609" i="4"/>
  <c r="L3609" i="4"/>
  <c r="M3601" i="4"/>
  <c r="L3601" i="4"/>
  <c r="M3593" i="4"/>
  <c r="L3593" i="4"/>
  <c r="M3585" i="4"/>
  <c r="L3585" i="4"/>
  <c r="M3577" i="4"/>
  <c r="L3577" i="4"/>
  <c r="M3569" i="4"/>
  <c r="L3569" i="4"/>
  <c r="M3561" i="4"/>
  <c r="L3561" i="4"/>
  <c r="M3553" i="4"/>
  <c r="L3553" i="4"/>
  <c r="M3545" i="4"/>
  <c r="L3545" i="4"/>
  <c r="M3537" i="4"/>
  <c r="L3537" i="4"/>
  <c r="M3529" i="4"/>
  <c r="L3529" i="4"/>
  <c r="M3521" i="4"/>
  <c r="L3521" i="4"/>
  <c r="M3513" i="4"/>
  <c r="L3513" i="4"/>
  <c r="M3505" i="4"/>
  <c r="L3505" i="4"/>
  <c r="M3497" i="4"/>
  <c r="L3497" i="4"/>
  <c r="M3489" i="4"/>
  <c r="L3489" i="4"/>
  <c r="M3481" i="4"/>
  <c r="L3481" i="4"/>
  <c r="M3473" i="4"/>
  <c r="L3473" i="4"/>
  <c r="M3465" i="4"/>
  <c r="L3465" i="4"/>
  <c r="M3457" i="4"/>
  <c r="L3457" i="4"/>
  <c r="M3449" i="4"/>
  <c r="L3449" i="4"/>
  <c r="M3441" i="4"/>
  <c r="L3441" i="4"/>
  <c r="M3433" i="4"/>
  <c r="L3433" i="4"/>
  <c r="M3425" i="4"/>
  <c r="L3425" i="4"/>
  <c r="M3417" i="4"/>
  <c r="L3417" i="4"/>
  <c r="M3409" i="4"/>
  <c r="L3409" i="4"/>
  <c r="M3401" i="4"/>
  <c r="L3401" i="4"/>
  <c r="M3393" i="4"/>
  <c r="L3393" i="4"/>
  <c r="M3385" i="4"/>
  <c r="L3385" i="4"/>
  <c r="M3377" i="4"/>
  <c r="L3377" i="4"/>
  <c r="M3369" i="4"/>
  <c r="L3369" i="4"/>
  <c r="M3361" i="4"/>
  <c r="L3361" i="4"/>
  <c r="M3353" i="4"/>
  <c r="L3353" i="4"/>
  <c r="M3345" i="4"/>
  <c r="L3345" i="4"/>
  <c r="M3337" i="4"/>
  <c r="L3337" i="4"/>
  <c r="M3329" i="4"/>
  <c r="L3329" i="4"/>
  <c r="M3321" i="4"/>
  <c r="L3321" i="4"/>
  <c r="M3313" i="4"/>
  <c r="L3313" i="4"/>
  <c r="M3305" i="4"/>
  <c r="L3305" i="4"/>
  <c r="M3297" i="4"/>
  <c r="L3297" i="4"/>
  <c r="M3289" i="4"/>
  <c r="L3289" i="4"/>
  <c r="M3281" i="4"/>
  <c r="L3281" i="4"/>
  <c r="M3273" i="4"/>
  <c r="L3273" i="4"/>
  <c r="M3265" i="4"/>
  <c r="L3265" i="4"/>
  <c r="M3257" i="4"/>
  <c r="L3257" i="4"/>
  <c r="M3249" i="4"/>
  <c r="L3249" i="4"/>
  <c r="M3241" i="4"/>
  <c r="L3241" i="4"/>
  <c r="M3233" i="4"/>
  <c r="L3233" i="4"/>
  <c r="M3225" i="4"/>
  <c r="L3225" i="4"/>
  <c r="M3217" i="4"/>
  <c r="L3217" i="4"/>
  <c r="M3209" i="4"/>
  <c r="L3209" i="4"/>
  <c r="M3201" i="4"/>
  <c r="L3201" i="4"/>
  <c r="M3193" i="4"/>
  <c r="L3193" i="4"/>
  <c r="M3185" i="4"/>
  <c r="L3185" i="4"/>
  <c r="M3177" i="4"/>
  <c r="L3177" i="4"/>
  <c r="M3169" i="4"/>
  <c r="L3169" i="4"/>
  <c r="M3161" i="4"/>
  <c r="L3161" i="4"/>
  <c r="M3153" i="4"/>
  <c r="L3153" i="4"/>
  <c r="M3145" i="4"/>
  <c r="L3145" i="4"/>
  <c r="M3137" i="4"/>
  <c r="L3137" i="4"/>
  <c r="M3129" i="4"/>
  <c r="L3129" i="4"/>
  <c r="M3121" i="4"/>
  <c r="L3121" i="4"/>
  <c r="M3113" i="4"/>
  <c r="L3113" i="4"/>
  <c r="M3105" i="4"/>
  <c r="L3105" i="4"/>
  <c r="M3097" i="4"/>
  <c r="L3097" i="4"/>
  <c r="M3089" i="4"/>
  <c r="L3089" i="4"/>
  <c r="M3081" i="4"/>
  <c r="L3081" i="4"/>
  <c r="M3073" i="4"/>
  <c r="L3073" i="4"/>
  <c r="M3065" i="4"/>
  <c r="L3065" i="4"/>
  <c r="M3057" i="4"/>
  <c r="L3057" i="4"/>
  <c r="M3049" i="4"/>
  <c r="L3049" i="4"/>
  <c r="M3041" i="4"/>
  <c r="L3041" i="4"/>
  <c r="M3033" i="4"/>
  <c r="L3033" i="4"/>
  <c r="M3025" i="4"/>
  <c r="L3025" i="4"/>
  <c r="M3017" i="4"/>
  <c r="L3017" i="4"/>
  <c r="M3009" i="4"/>
  <c r="L3009" i="4"/>
  <c r="M3001" i="4"/>
  <c r="L3001" i="4"/>
  <c r="M2993" i="4"/>
  <c r="L2993" i="4"/>
  <c r="M2985" i="4"/>
  <c r="L2985" i="4"/>
  <c r="M2977" i="4"/>
  <c r="L2977" i="4"/>
  <c r="M2969" i="4"/>
  <c r="L2969" i="4"/>
  <c r="M2961" i="4"/>
  <c r="L2961" i="4"/>
  <c r="M2953" i="4"/>
  <c r="L2953" i="4"/>
  <c r="M2945" i="4"/>
  <c r="L2945" i="4"/>
  <c r="M2937" i="4"/>
  <c r="L2937" i="4"/>
  <c r="M2929" i="4"/>
  <c r="L2929" i="4"/>
  <c r="M2921" i="4"/>
  <c r="L2921" i="4"/>
  <c r="M2913" i="4"/>
  <c r="L2913" i="4"/>
  <c r="M2905" i="4"/>
  <c r="L2905" i="4"/>
  <c r="M2897" i="4"/>
  <c r="L2897" i="4"/>
  <c r="M2889" i="4"/>
  <c r="L2889" i="4"/>
  <c r="M2881" i="4"/>
  <c r="L2881" i="4"/>
  <c r="M2873" i="4"/>
  <c r="L2873" i="4"/>
  <c r="M2865" i="4"/>
  <c r="L2865" i="4"/>
  <c r="M2857" i="4"/>
  <c r="L2857" i="4"/>
  <c r="M2849" i="4"/>
  <c r="L2849" i="4"/>
  <c r="M2841" i="4"/>
  <c r="L2841" i="4"/>
  <c r="M2833" i="4"/>
  <c r="L2833" i="4"/>
  <c r="M2825" i="4"/>
  <c r="L2825" i="4"/>
  <c r="M2817" i="4"/>
  <c r="L2817" i="4"/>
  <c r="M2809" i="4"/>
  <c r="L2809" i="4"/>
  <c r="M2801" i="4"/>
  <c r="L2801" i="4"/>
  <c r="M2793" i="4"/>
  <c r="L2793" i="4"/>
  <c r="M2785" i="4"/>
  <c r="L2785" i="4"/>
  <c r="M2777" i="4"/>
  <c r="L2777" i="4"/>
  <c r="M2769" i="4"/>
  <c r="L2769" i="4"/>
  <c r="M2761" i="4"/>
  <c r="L2761" i="4"/>
  <c r="M2753" i="4"/>
  <c r="L2753" i="4"/>
  <c r="M2745" i="4"/>
  <c r="L2745" i="4"/>
  <c r="M2737" i="4"/>
  <c r="L2737" i="4"/>
  <c r="M2729" i="4"/>
  <c r="L2729" i="4"/>
  <c r="M2721" i="4"/>
  <c r="L2721" i="4"/>
  <c r="M2713" i="4"/>
  <c r="L2713" i="4"/>
  <c r="M2705" i="4"/>
  <c r="L2705" i="4"/>
  <c r="M2697" i="4"/>
  <c r="L2697" i="4"/>
  <c r="M2689" i="4"/>
  <c r="L2689" i="4"/>
  <c r="M2681" i="4"/>
  <c r="L2681" i="4"/>
  <c r="M2673" i="4"/>
  <c r="L2673" i="4"/>
  <c r="M2665" i="4"/>
  <c r="L2665" i="4"/>
  <c r="M2657" i="4"/>
  <c r="L2657" i="4"/>
  <c r="M2649" i="4"/>
  <c r="L2649" i="4"/>
  <c r="M2641" i="4"/>
  <c r="L2641" i="4"/>
  <c r="M2633" i="4"/>
  <c r="L2633" i="4"/>
  <c r="M2625" i="4"/>
  <c r="L2625" i="4"/>
  <c r="M2617" i="4"/>
  <c r="L2617" i="4"/>
  <c r="M2609" i="4"/>
  <c r="L2609" i="4"/>
  <c r="M2601" i="4"/>
  <c r="L2601" i="4"/>
  <c r="M2593" i="4"/>
  <c r="L2593" i="4"/>
  <c r="M2585" i="4"/>
  <c r="L2585" i="4"/>
  <c r="M2577" i="4"/>
  <c r="L2577" i="4"/>
  <c r="M2569" i="4"/>
  <c r="L2569" i="4"/>
  <c r="M2561" i="4"/>
  <c r="L2561" i="4"/>
  <c r="M2553" i="4"/>
  <c r="L2553" i="4"/>
  <c r="M2545" i="4"/>
  <c r="L2545" i="4"/>
  <c r="M2537" i="4"/>
  <c r="L2537" i="4"/>
  <c r="M2529" i="4"/>
  <c r="L2529" i="4"/>
  <c r="M2521" i="4"/>
  <c r="L2521" i="4"/>
  <c r="M2513" i="4"/>
  <c r="L2513" i="4"/>
  <c r="M2505" i="4"/>
  <c r="L2505" i="4"/>
  <c r="M2497" i="4"/>
  <c r="L2497" i="4"/>
  <c r="M2489" i="4"/>
  <c r="L2489" i="4"/>
  <c r="M2481" i="4"/>
  <c r="L2481" i="4"/>
  <c r="M2473" i="4"/>
  <c r="L2473" i="4"/>
  <c r="M2465" i="4"/>
  <c r="L2465" i="4"/>
  <c r="M2457" i="4"/>
  <c r="L2457" i="4"/>
  <c r="M2449" i="4"/>
  <c r="L2449" i="4"/>
  <c r="M2441" i="4"/>
  <c r="L2441" i="4"/>
  <c r="M2433" i="4"/>
  <c r="L2433" i="4"/>
  <c r="M2425" i="4"/>
  <c r="L2425" i="4"/>
  <c r="M2417" i="4"/>
  <c r="L2417" i="4"/>
  <c r="M2409" i="4"/>
  <c r="L2409" i="4"/>
  <c r="M2401" i="4"/>
  <c r="L2401" i="4"/>
  <c r="M2393" i="4"/>
  <c r="L2393" i="4"/>
  <c r="M2385" i="4"/>
  <c r="L2385" i="4"/>
  <c r="M2377" i="4"/>
  <c r="L2377" i="4"/>
  <c r="M2369" i="4"/>
  <c r="L2369" i="4"/>
  <c r="M2361" i="4"/>
  <c r="L2361" i="4"/>
  <c r="M2353" i="4"/>
  <c r="L2353" i="4"/>
  <c r="M2345" i="4"/>
  <c r="L2345" i="4"/>
  <c r="M2337" i="4"/>
  <c r="L2337" i="4"/>
  <c r="M2329" i="4"/>
  <c r="L2329" i="4"/>
  <c r="M2321" i="4"/>
  <c r="L2321" i="4"/>
  <c r="M2313" i="4"/>
  <c r="L2313" i="4"/>
  <c r="M2305" i="4"/>
  <c r="L2305" i="4"/>
  <c r="M2297" i="4"/>
  <c r="L2297" i="4"/>
  <c r="M2289" i="4"/>
  <c r="L2289" i="4"/>
  <c r="M2281" i="4"/>
  <c r="L2281" i="4"/>
  <c r="M2273" i="4"/>
  <c r="L2273" i="4"/>
  <c r="M2265" i="4"/>
  <c r="L2265" i="4"/>
  <c r="M2257" i="4"/>
  <c r="L2257" i="4"/>
  <c r="M2249" i="4"/>
  <c r="L2249" i="4"/>
  <c r="M2241" i="4"/>
  <c r="L2241" i="4"/>
  <c r="M2233" i="4"/>
  <c r="L2233" i="4"/>
  <c r="M2225" i="4"/>
  <c r="L2225" i="4"/>
  <c r="M2217" i="4"/>
  <c r="L2217" i="4"/>
  <c r="M2209" i="4"/>
  <c r="L2209" i="4"/>
  <c r="M2201" i="4"/>
  <c r="L2201" i="4"/>
  <c r="M2193" i="4"/>
  <c r="L2193" i="4"/>
  <c r="M2185" i="4"/>
  <c r="L2185" i="4"/>
  <c r="M2177" i="4"/>
  <c r="L2177" i="4"/>
  <c r="M2169" i="4"/>
  <c r="L2169" i="4"/>
  <c r="M2161" i="4"/>
  <c r="L2161" i="4"/>
  <c r="M2153" i="4"/>
  <c r="L2153" i="4"/>
  <c r="M2145" i="4"/>
  <c r="L2145" i="4"/>
  <c r="M2137" i="4"/>
  <c r="L2137" i="4"/>
  <c r="M2129" i="4"/>
  <c r="L2129" i="4"/>
  <c r="M2121" i="4"/>
  <c r="L2121" i="4"/>
  <c r="M2113" i="4"/>
  <c r="L2113" i="4"/>
  <c r="M2105" i="4"/>
  <c r="L2105" i="4"/>
  <c r="M2097" i="4"/>
  <c r="L2097" i="4"/>
  <c r="M2089" i="4"/>
  <c r="L2089" i="4"/>
  <c r="M2081" i="4"/>
  <c r="L2081" i="4"/>
  <c r="M2073" i="4"/>
  <c r="L2073" i="4"/>
  <c r="M2065" i="4"/>
  <c r="L2065" i="4"/>
  <c r="M2057" i="4"/>
  <c r="L2057" i="4"/>
  <c r="M2049" i="4"/>
  <c r="L2049" i="4"/>
  <c r="M2041" i="4"/>
  <c r="L2041" i="4"/>
  <c r="M2033" i="4"/>
  <c r="L2033" i="4"/>
  <c r="M2025" i="4"/>
  <c r="L2025" i="4"/>
  <c r="M2017" i="4"/>
  <c r="L2017" i="4"/>
  <c r="M2009" i="4"/>
  <c r="L2009" i="4"/>
  <c r="M2001" i="4"/>
  <c r="L2001" i="4"/>
  <c r="M4024" i="4"/>
  <c r="L4024" i="4"/>
  <c r="M4016" i="4"/>
  <c r="L4016" i="4"/>
  <c r="M4008" i="4"/>
  <c r="L4008" i="4"/>
  <c r="M4000" i="4"/>
  <c r="L4000" i="4"/>
  <c r="M3992" i="4"/>
  <c r="L3992" i="4"/>
  <c r="M3984" i="4"/>
  <c r="L3984" i="4"/>
  <c r="M3976" i="4"/>
  <c r="L3976" i="4"/>
  <c r="M3968" i="4"/>
  <c r="L3968" i="4"/>
  <c r="M3960" i="4"/>
  <c r="L3960" i="4"/>
  <c r="M3952" i="4"/>
  <c r="L3952" i="4"/>
  <c r="M3944" i="4"/>
  <c r="L3944" i="4"/>
  <c r="M3936" i="4"/>
  <c r="L3936" i="4"/>
  <c r="M3928" i="4"/>
  <c r="L3928" i="4"/>
  <c r="M3920" i="4"/>
  <c r="L3920" i="4"/>
  <c r="M3912" i="4"/>
  <c r="L3912" i="4"/>
  <c r="M3904" i="4"/>
  <c r="L3904" i="4"/>
  <c r="M3896" i="4"/>
  <c r="L3896" i="4"/>
  <c r="M3888" i="4"/>
  <c r="L3888" i="4"/>
  <c r="M3880" i="4"/>
  <c r="L3880" i="4"/>
  <c r="M3872" i="4"/>
  <c r="L3872" i="4"/>
  <c r="M3864" i="4"/>
  <c r="L3864" i="4"/>
  <c r="M3856" i="4"/>
  <c r="L3856" i="4"/>
  <c r="M3848" i="4"/>
  <c r="L3848" i="4"/>
  <c r="M3840" i="4"/>
  <c r="L3840" i="4"/>
  <c r="M3832" i="4"/>
  <c r="L3832" i="4"/>
  <c r="M3824" i="4"/>
  <c r="L3824" i="4"/>
  <c r="M3816" i="4"/>
  <c r="L3816" i="4"/>
  <c r="M3808" i="4"/>
  <c r="L3808" i="4"/>
  <c r="M3800" i="4"/>
  <c r="L3800" i="4"/>
  <c r="M3792" i="4"/>
  <c r="L3792" i="4"/>
  <c r="M3784" i="4"/>
  <c r="L3784" i="4"/>
  <c r="M3776" i="4"/>
  <c r="L3776" i="4"/>
  <c r="M3768" i="4"/>
  <c r="L3768" i="4"/>
  <c r="M3760" i="4"/>
  <c r="L3760" i="4"/>
  <c r="M3752" i="4"/>
  <c r="L3752" i="4"/>
  <c r="M3744" i="4"/>
  <c r="L3744" i="4"/>
  <c r="M3736" i="4"/>
  <c r="L3736" i="4"/>
  <c r="M3728" i="4"/>
  <c r="L3728" i="4"/>
  <c r="M3720" i="4"/>
  <c r="L3720" i="4"/>
  <c r="M3712" i="4"/>
  <c r="L3712" i="4"/>
  <c r="M3704" i="4"/>
  <c r="L3704" i="4"/>
  <c r="M3696" i="4"/>
  <c r="L3696" i="4"/>
  <c r="M3688" i="4"/>
  <c r="L3688" i="4"/>
  <c r="M3680" i="4"/>
  <c r="L3680" i="4"/>
  <c r="M3672" i="4"/>
  <c r="L3672" i="4"/>
  <c r="M3664" i="4"/>
  <c r="L3664" i="4"/>
  <c r="M3656" i="4"/>
  <c r="L3656" i="4"/>
  <c r="M3648" i="4"/>
  <c r="L3648" i="4"/>
  <c r="M3640" i="4"/>
  <c r="L3640" i="4"/>
  <c r="M3632" i="4"/>
  <c r="L3632" i="4"/>
  <c r="M3624" i="4"/>
  <c r="L3624" i="4"/>
  <c r="M3616" i="4"/>
  <c r="L3616" i="4"/>
  <c r="M3608" i="4"/>
  <c r="L3608" i="4"/>
  <c r="M3600" i="4"/>
  <c r="L3600" i="4"/>
  <c r="M3592" i="4"/>
  <c r="L3592" i="4"/>
  <c r="M3584" i="4"/>
  <c r="L3584" i="4"/>
  <c r="M3576" i="4"/>
  <c r="L3576" i="4"/>
  <c r="M3568" i="4"/>
  <c r="L3568" i="4"/>
  <c r="M3560" i="4"/>
  <c r="L3560" i="4"/>
  <c r="M3552" i="4"/>
  <c r="L3552" i="4"/>
  <c r="M3544" i="4"/>
  <c r="L3544" i="4"/>
  <c r="M3536" i="4"/>
  <c r="L3536" i="4"/>
  <c r="M3528" i="4"/>
  <c r="L3528" i="4"/>
  <c r="M3520" i="4"/>
  <c r="L3520" i="4"/>
  <c r="M3512" i="4"/>
  <c r="L3512" i="4"/>
  <c r="M3504" i="4"/>
  <c r="L3504" i="4"/>
  <c r="M3496" i="4"/>
  <c r="L3496" i="4"/>
  <c r="M3488" i="4"/>
  <c r="L3488" i="4"/>
  <c r="M3480" i="4"/>
  <c r="L3480" i="4"/>
  <c r="M3472" i="4"/>
  <c r="L3472" i="4"/>
  <c r="M3464" i="4"/>
  <c r="L3464" i="4"/>
  <c r="M3456" i="4"/>
  <c r="L3456" i="4"/>
  <c r="M3448" i="4"/>
  <c r="L3448" i="4"/>
  <c r="M3440" i="4"/>
  <c r="L3440" i="4"/>
  <c r="M3432" i="4"/>
  <c r="L3432" i="4"/>
  <c r="M3424" i="4"/>
  <c r="L3424" i="4"/>
  <c r="M3416" i="4"/>
  <c r="L3416" i="4"/>
  <c r="M3408" i="4"/>
  <c r="L3408" i="4"/>
  <c r="M3400" i="4"/>
  <c r="L3400" i="4"/>
  <c r="M3392" i="4"/>
  <c r="L3392" i="4"/>
  <c r="M3384" i="4"/>
  <c r="L3384" i="4"/>
  <c r="M3376" i="4"/>
  <c r="L3376" i="4"/>
  <c r="M3368" i="4"/>
  <c r="L3368" i="4"/>
  <c r="M3360" i="4"/>
  <c r="L3360" i="4"/>
  <c r="M3352" i="4"/>
  <c r="L3352" i="4"/>
  <c r="M3344" i="4"/>
  <c r="L3344" i="4"/>
  <c r="M3336" i="4"/>
  <c r="L3336" i="4"/>
  <c r="M3328" i="4"/>
  <c r="L3328" i="4"/>
  <c r="M3320" i="4"/>
  <c r="L3320" i="4"/>
  <c r="M3312" i="4"/>
  <c r="L3312" i="4"/>
  <c r="M3304" i="4"/>
  <c r="L3304" i="4"/>
  <c r="M3296" i="4"/>
  <c r="L3296" i="4"/>
  <c r="M3288" i="4"/>
  <c r="L3288" i="4"/>
  <c r="M3280" i="4"/>
  <c r="L3280" i="4"/>
  <c r="M3272" i="4"/>
  <c r="L3272" i="4"/>
  <c r="M3264" i="4"/>
  <c r="L3264" i="4"/>
  <c r="M3256" i="4"/>
  <c r="L3256" i="4"/>
  <c r="M3248" i="4"/>
  <c r="L3248" i="4"/>
  <c r="M3240" i="4"/>
  <c r="L3240" i="4"/>
  <c r="M3232" i="4"/>
  <c r="L3232" i="4"/>
  <c r="M3224" i="4"/>
  <c r="L3224" i="4"/>
  <c r="M3216" i="4"/>
  <c r="L3216" i="4"/>
  <c r="M3208" i="4"/>
  <c r="L3208" i="4"/>
  <c r="M3200" i="4"/>
  <c r="L3200" i="4"/>
  <c r="M3192" i="4"/>
  <c r="L3192" i="4"/>
  <c r="M3184" i="4"/>
  <c r="L3184" i="4"/>
  <c r="M3176" i="4"/>
  <c r="L3176" i="4"/>
  <c r="M3168" i="4"/>
  <c r="L3168" i="4"/>
  <c r="M3160" i="4"/>
  <c r="L3160" i="4"/>
  <c r="M3152" i="4"/>
  <c r="L3152" i="4"/>
  <c r="M3144" i="4"/>
  <c r="L3144" i="4"/>
  <c r="M3136" i="4"/>
  <c r="L3136" i="4"/>
  <c r="M3128" i="4"/>
  <c r="L3128" i="4"/>
  <c r="M3120" i="4"/>
  <c r="L3120" i="4"/>
  <c r="M3112" i="4"/>
  <c r="L3112" i="4"/>
  <c r="M3104" i="4"/>
  <c r="L3104" i="4"/>
  <c r="M3096" i="4"/>
  <c r="L3096" i="4"/>
  <c r="M3088" i="4"/>
  <c r="L3088" i="4"/>
  <c r="M3080" i="4"/>
  <c r="L3080" i="4"/>
  <c r="M3072" i="4"/>
  <c r="L3072" i="4"/>
  <c r="M3064" i="4"/>
  <c r="L3064" i="4"/>
  <c r="M3056" i="4"/>
  <c r="L3056" i="4"/>
  <c r="M3048" i="4"/>
  <c r="L3048" i="4"/>
  <c r="M3040" i="4"/>
  <c r="L3040" i="4"/>
  <c r="M3032" i="4"/>
  <c r="L3032" i="4"/>
  <c r="M3024" i="4"/>
  <c r="L3024" i="4"/>
  <c r="M3016" i="4"/>
  <c r="L3016" i="4"/>
  <c r="M3008" i="4"/>
  <c r="L3008" i="4"/>
  <c r="M3000" i="4"/>
  <c r="L3000" i="4"/>
  <c r="M2992" i="4"/>
  <c r="L2992" i="4"/>
  <c r="M2984" i="4"/>
  <c r="L2984" i="4"/>
  <c r="M2976" i="4"/>
  <c r="L2976" i="4"/>
  <c r="M2968" i="4"/>
  <c r="L2968" i="4"/>
  <c r="M2960" i="4"/>
  <c r="L2960" i="4"/>
  <c r="M2952" i="4"/>
  <c r="L2952" i="4"/>
  <c r="M2944" i="4"/>
  <c r="L2944" i="4"/>
  <c r="M2936" i="4"/>
  <c r="L2936" i="4"/>
  <c r="M2928" i="4"/>
  <c r="L2928" i="4"/>
  <c r="M2920" i="4"/>
  <c r="L2920" i="4"/>
  <c r="M2912" i="4"/>
  <c r="L2912" i="4"/>
  <c r="M2904" i="4"/>
  <c r="L2904" i="4"/>
  <c r="M2896" i="4"/>
  <c r="L2896" i="4"/>
  <c r="M2888" i="4"/>
  <c r="L2888" i="4"/>
  <c r="M2880" i="4"/>
  <c r="L2880" i="4"/>
  <c r="M2872" i="4"/>
  <c r="L2872" i="4"/>
  <c r="M2864" i="4"/>
  <c r="L2864" i="4"/>
  <c r="M2856" i="4"/>
  <c r="L2856" i="4"/>
  <c r="M2848" i="4"/>
  <c r="L2848" i="4"/>
  <c r="M2840" i="4"/>
  <c r="L2840" i="4"/>
  <c r="M2832" i="4"/>
  <c r="L2832" i="4"/>
  <c r="M2824" i="4"/>
  <c r="L2824" i="4"/>
  <c r="M2816" i="4"/>
  <c r="L2816" i="4"/>
  <c r="M2808" i="4"/>
  <c r="L2808" i="4"/>
  <c r="M2800" i="4"/>
  <c r="L2800" i="4"/>
  <c r="M2792" i="4"/>
  <c r="L2792" i="4"/>
  <c r="M2784" i="4"/>
  <c r="L2784" i="4"/>
  <c r="M2776" i="4"/>
  <c r="L2776" i="4"/>
  <c r="M2768" i="4"/>
  <c r="L2768" i="4"/>
  <c r="M2760" i="4"/>
  <c r="L2760" i="4"/>
  <c r="M2752" i="4"/>
  <c r="L2752" i="4"/>
  <c r="M2744" i="4"/>
  <c r="L2744" i="4"/>
  <c r="M2736" i="4"/>
  <c r="L2736" i="4"/>
  <c r="M2728" i="4"/>
  <c r="L2728" i="4"/>
  <c r="M2720" i="4"/>
  <c r="L2720" i="4"/>
  <c r="M2712" i="4"/>
  <c r="L2712" i="4"/>
  <c r="M2704" i="4"/>
  <c r="L2704" i="4"/>
  <c r="M2696" i="4"/>
  <c r="L2696" i="4"/>
  <c r="M2688" i="4"/>
  <c r="L2688" i="4"/>
  <c r="M2680" i="4"/>
  <c r="L2680" i="4"/>
  <c r="M2672" i="4"/>
  <c r="L2672" i="4"/>
  <c r="M2664" i="4"/>
  <c r="L2664" i="4"/>
  <c r="M2656" i="4"/>
  <c r="L2656" i="4"/>
  <c r="M2648" i="4"/>
  <c r="L2648" i="4"/>
  <c r="M2640" i="4"/>
  <c r="L2640" i="4"/>
  <c r="M2632" i="4"/>
  <c r="L2632" i="4"/>
  <c r="M2624" i="4"/>
  <c r="L2624" i="4"/>
  <c r="M2616" i="4"/>
  <c r="L2616" i="4"/>
  <c r="M2608" i="4"/>
  <c r="L2608" i="4"/>
  <c r="M2600" i="4"/>
  <c r="L2600" i="4"/>
  <c r="M2592" i="4"/>
  <c r="L2592" i="4"/>
  <c r="M2584" i="4"/>
  <c r="L2584" i="4"/>
  <c r="M2576" i="4"/>
  <c r="L2576" i="4"/>
  <c r="M2568" i="4"/>
  <c r="L2568" i="4"/>
  <c r="M2560" i="4"/>
  <c r="L2560" i="4"/>
  <c r="M2552" i="4"/>
  <c r="L2552" i="4"/>
  <c r="M2544" i="4"/>
  <c r="L2544" i="4"/>
  <c r="M2536" i="4"/>
  <c r="L2536" i="4"/>
  <c r="M2528" i="4"/>
  <c r="L2528" i="4"/>
  <c r="M2520" i="4"/>
  <c r="L2520" i="4"/>
  <c r="M2512" i="4"/>
  <c r="L2512" i="4"/>
  <c r="M2504" i="4"/>
  <c r="L2504" i="4"/>
  <c r="M2496" i="4"/>
  <c r="L2496" i="4"/>
  <c r="M2488" i="4"/>
  <c r="L2488" i="4"/>
  <c r="M2480" i="4"/>
  <c r="L2480" i="4"/>
  <c r="M2472" i="4"/>
  <c r="L2472" i="4"/>
  <c r="M2464" i="4"/>
  <c r="L2464" i="4"/>
  <c r="M2456" i="4"/>
  <c r="L2456" i="4"/>
  <c r="M2448" i="4"/>
  <c r="L2448" i="4"/>
  <c r="M2440" i="4"/>
  <c r="L2440" i="4"/>
  <c r="M2432" i="4"/>
  <c r="L2432" i="4"/>
  <c r="M2424" i="4"/>
  <c r="L2424" i="4"/>
  <c r="M2416" i="4"/>
  <c r="L2416" i="4"/>
  <c r="M2408" i="4"/>
  <c r="L2408" i="4"/>
  <c r="M2400" i="4"/>
  <c r="L2400" i="4"/>
  <c r="M2392" i="4"/>
  <c r="L2392" i="4"/>
  <c r="M2384" i="4"/>
  <c r="L2384" i="4"/>
  <c r="M2376" i="4"/>
  <c r="L2376" i="4"/>
  <c r="M2368" i="4"/>
  <c r="L2368" i="4"/>
  <c r="M2360" i="4"/>
  <c r="L2360" i="4"/>
  <c r="M2352" i="4"/>
  <c r="L2352" i="4"/>
  <c r="M2344" i="4"/>
  <c r="L2344" i="4"/>
  <c r="M2336" i="4"/>
  <c r="L2336" i="4"/>
  <c r="M2328" i="4"/>
  <c r="L2328" i="4"/>
  <c r="M2320" i="4"/>
  <c r="L2320" i="4"/>
  <c r="M2312" i="4"/>
  <c r="L2312" i="4"/>
  <c r="M2304" i="4"/>
  <c r="L2304" i="4"/>
  <c r="M2296" i="4"/>
  <c r="L2296" i="4"/>
  <c r="M2288" i="4"/>
  <c r="L2288" i="4"/>
  <c r="M2280" i="4"/>
  <c r="L2280" i="4"/>
  <c r="M2272" i="4"/>
  <c r="L2272" i="4"/>
  <c r="M2264" i="4"/>
  <c r="L2264" i="4"/>
  <c r="M2256" i="4"/>
  <c r="L2256" i="4"/>
  <c r="M2248" i="4"/>
  <c r="L2248" i="4"/>
  <c r="M2240" i="4"/>
  <c r="L2240" i="4"/>
  <c r="M2232" i="4"/>
  <c r="L2232" i="4"/>
  <c r="M2224" i="4"/>
  <c r="L2224" i="4"/>
  <c r="M2216" i="4"/>
  <c r="L2216" i="4"/>
  <c r="M2208" i="4"/>
  <c r="L2208" i="4"/>
  <c r="M2200" i="4"/>
  <c r="L2200" i="4"/>
  <c r="M2192" i="4"/>
  <c r="L2192" i="4"/>
  <c r="M2184" i="4"/>
  <c r="L2184" i="4"/>
  <c r="M2176" i="4"/>
  <c r="L2176" i="4"/>
  <c r="M2168" i="4"/>
  <c r="L2168" i="4"/>
  <c r="M2160" i="4"/>
  <c r="L2160" i="4"/>
  <c r="M2152" i="4"/>
  <c r="L2152" i="4"/>
  <c r="M2144" i="4"/>
  <c r="L2144" i="4"/>
  <c r="M2136" i="4"/>
  <c r="L2136" i="4"/>
  <c r="M2128" i="4"/>
  <c r="L2128" i="4"/>
  <c r="M2120" i="4"/>
  <c r="L2120" i="4"/>
  <c r="M2112" i="4"/>
  <c r="L2112" i="4"/>
  <c r="M2104" i="4"/>
  <c r="L2104" i="4"/>
  <c r="M2096" i="4"/>
  <c r="L2096" i="4"/>
  <c r="M2088" i="4"/>
  <c r="L2088" i="4"/>
  <c r="M2080" i="4"/>
  <c r="L2080" i="4"/>
  <c r="M2072" i="4"/>
  <c r="L2072" i="4"/>
  <c r="M2064" i="4"/>
  <c r="L2064" i="4"/>
  <c r="M2056" i="4"/>
  <c r="L2056" i="4"/>
  <c r="M2048" i="4"/>
  <c r="L2048" i="4"/>
  <c r="M2040" i="4"/>
  <c r="L2040" i="4"/>
  <c r="M2032" i="4"/>
  <c r="L2032" i="4"/>
  <c r="M2024" i="4"/>
  <c r="L2024" i="4"/>
  <c r="M2016" i="4"/>
  <c r="L2016" i="4"/>
  <c r="M2008" i="4"/>
  <c r="L2008" i="4"/>
  <c r="M4015" i="4"/>
  <c r="L4015" i="4"/>
  <c r="M4007" i="4"/>
  <c r="L4007" i="4"/>
  <c r="M3999" i="4"/>
  <c r="L3999" i="4"/>
  <c r="M3991" i="4"/>
  <c r="L3991" i="4"/>
  <c r="M3983" i="4"/>
  <c r="L3983" i="4"/>
  <c r="M3975" i="4"/>
  <c r="L3975" i="4"/>
  <c r="M3967" i="4"/>
  <c r="L3967" i="4"/>
  <c r="M3959" i="4"/>
  <c r="L3959" i="4"/>
  <c r="M3951" i="4"/>
  <c r="L3951" i="4"/>
  <c r="M3943" i="4"/>
  <c r="L3943" i="4"/>
  <c r="M3935" i="4"/>
  <c r="L3935" i="4"/>
  <c r="M3927" i="4"/>
  <c r="L3927" i="4"/>
  <c r="M3919" i="4"/>
  <c r="L3919" i="4"/>
  <c r="M3911" i="4"/>
  <c r="L3911" i="4"/>
  <c r="M3903" i="4"/>
  <c r="L3903" i="4"/>
  <c r="M3895" i="4"/>
  <c r="L3895" i="4"/>
  <c r="M3887" i="4"/>
  <c r="L3887" i="4"/>
  <c r="M3879" i="4"/>
  <c r="L3879" i="4"/>
  <c r="M3871" i="4"/>
  <c r="L3871" i="4"/>
  <c r="M3863" i="4"/>
  <c r="L3863" i="4"/>
  <c r="M3855" i="4"/>
  <c r="L3855" i="4"/>
  <c r="M3847" i="4"/>
  <c r="L3847" i="4"/>
  <c r="M3839" i="4"/>
  <c r="L3839" i="4"/>
  <c r="M3831" i="4"/>
  <c r="L3831" i="4"/>
  <c r="M3823" i="4"/>
  <c r="L3823" i="4"/>
  <c r="M3815" i="4"/>
  <c r="L3815" i="4"/>
  <c r="M3807" i="4"/>
  <c r="L3807" i="4"/>
  <c r="M3799" i="4"/>
  <c r="L3799" i="4"/>
  <c r="M3791" i="4"/>
  <c r="L3791" i="4"/>
  <c r="M3783" i="4"/>
  <c r="L3783" i="4"/>
  <c r="M3775" i="4"/>
  <c r="L3775" i="4"/>
  <c r="M3767" i="4"/>
  <c r="L3767" i="4"/>
  <c r="M3759" i="4"/>
  <c r="L3759" i="4"/>
  <c r="M3751" i="4"/>
  <c r="L3751" i="4"/>
  <c r="M3743" i="4"/>
  <c r="L3743" i="4"/>
  <c r="M3735" i="4"/>
  <c r="L3735" i="4"/>
  <c r="M3727" i="4"/>
  <c r="L3727" i="4"/>
  <c r="M3719" i="4"/>
  <c r="L3719" i="4"/>
  <c r="M3711" i="4"/>
  <c r="L3711" i="4"/>
  <c r="M3703" i="4"/>
  <c r="L3703" i="4"/>
  <c r="M3695" i="4"/>
  <c r="L3695" i="4"/>
  <c r="M3687" i="4"/>
  <c r="L3687" i="4"/>
  <c r="M3679" i="4"/>
  <c r="L3679" i="4"/>
  <c r="M3671" i="4"/>
  <c r="L3671" i="4"/>
  <c r="M3663" i="4"/>
  <c r="L3663" i="4"/>
  <c r="M3655" i="4"/>
  <c r="L3655" i="4"/>
  <c r="M3647" i="4"/>
  <c r="L3647" i="4"/>
  <c r="M3639" i="4"/>
  <c r="L3639" i="4"/>
  <c r="M3631" i="4"/>
  <c r="L3631" i="4"/>
  <c r="M3623" i="4"/>
  <c r="L3623" i="4"/>
  <c r="M3615" i="4"/>
  <c r="L3615" i="4"/>
  <c r="M3607" i="4"/>
  <c r="L3607" i="4"/>
  <c r="M3599" i="4"/>
  <c r="L3599" i="4"/>
  <c r="M3591" i="4"/>
  <c r="L3591" i="4"/>
  <c r="M3583" i="4"/>
  <c r="L3583" i="4"/>
  <c r="M3575" i="4"/>
  <c r="L3575" i="4"/>
  <c r="M3567" i="4"/>
  <c r="L3567" i="4"/>
  <c r="M3559" i="4"/>
  <c r="L3559" i="4"/>
  <c r="M3551" i="4"/>
  <c r="L3551" i="4"/>
  <c r="M3543" i="4"/>
  <c r="L3543" i="4"/>
  <c r="M3535" i="4"/>
  <c r="L3535" i="4"/>
  <c r="M3527" i="4"/>
  <c r="L3527" i="4"/>
  <c r="M3519" i="4"/>
  <c r="L3519" i="4"/>
  <c r="M3511" i="4"/>
  <c r="L3511" i="4"/>
  <c r="M3503" i="4"/>
  <c r="L3503" i="4"/>
  <c r="M3495" i="4"/>
  <c r="L3495" i="4"/>
  <c r="M3487" i="4"/>
  <c r="L3487" i="4"/>
  <c r="M3479" i="4"/>
  <c r="L3479" i="4"/>
  <c r="M3471" i="4"/>
  <c r="L3471" i="4"/>
  <c r="M3463" i="4"/>
  <c r="L3463" i="4"/>
  <c r="M3455" i="4"/>
  <c r="L3455" i="4"/>
  <c r="M3447" i="4"/>
  <c r="L3447" i="4"/>
  <c r="M3439" i="4"/>
  <c r="L3439" i="4"/>
  <c r="M3431" i="4"/>
  <c r="L3431" i="4"/>
  <c r="M3423" i="4"/>
  <c r="L3423" i="4"/>
  <c r="M3415" i="4"/>
  <c r="L3415" i="4"/>
  <c r="M3407" i="4"/>
  <c r="L3407" i="4"/>
  <c r="M3399" i="4"/>
  <c r="L3399" i="4"/>
  <c r="M3391" i="4"/>
  <c r="L3391" i="4"/>
  <c r="M3383" i="4"/>
  <c r="L3383" i="4"/>
  <c r="M3375" i="4"/>
  <c r="L3375" i="4"/>
  <c r="M3367" i="4"/>
  <c r="L3367" i="4"/>
  <c r="M3359" i="4"/>
  <c r="L3359" i="4"/>
  <c r="M3351" i="4"/>
  <c r="L3351" i="4"/>
  <c r="M3343" i="4"/>
  <c r="L3343" i="4"/>
  <c r="M3335" i="4"/>
  <c r="L3335" i="4"/>
  <c r="M3327" i="4"/>
  <c r="L3327" i="4"/>
  <c r="M3319" i="4"/>
  <c r="L3319" i="4"/>
  <c r="M3311" i="4"/>
  <c r="L3311" i="4"/>
  <c r="M3303" i="4"/>
  <c r="L3303" i="4"/>
  <c r="M3295" i="4"/>
  <c r="L3295" i="4"/>
  <c r="M3287" i="4"/>
  <c r="L3287" i="4"/>
  <c r="M3279" i="4"/>
  <c r="L3279" i="4"/>
  <c r="M3271" i="4"/>
  <c r="L3271" i="4"/>
  <c r="M3263" i="4"/>
  <c r="L3263" i="4"/>
  <c r="M3255" i="4"/>
  <c r="L3255" i="4"/>
  <c r="M3247" i="4"/>
  <c r="L3247" i="4"/>
  <c r="M3239" i="4"/>
  <c r="L3239" i="4"/>
  <c r="M3231" i="4"/>
  <c r="L3231" i="4"/>
  <c r="M3223" i="4"/>
  <c r="L3223" i="4"/>
  <c r="M3215" i="4"/>
  <c r="L3215" i="4"/>
  <c r="M3207" i="4"/>
  <c r="L3207" i="4"/>
  <c r="M3199" i="4"/>
  <c r="L3199" i="4"/>
  <c r="M3191" i="4"/>
  <c r="L3191" i="4"/>
  <c r="M3183" i="4"/>
  <c r="L3183" i="4"/>
  <c r="M3175" i="4"/>
  <c r="L3175" i="4"/>
  <c r="M3167" i="4"/>
  <c r="L3167" i="4"/>
  <c r="M3159" i="4"/>
  <c r="L3159" i="4"/>
  <c r="M3151" i="4"/>
  <c r="L3151" i="4"/>
  <c r="M3143" i="4"/>
  <c r="L3143" i="4"/>
  <c r="M3135" i="4"/>
  <c r="L3135" i="4"/>
  <c r="M3127" i="4"/>
  <c r="L3127" i="4"/>
  <c r="M3119" i="4"/>
  <c r="L3119" i="4"/>
  <c r="M3111" i="4"/>
  <c r="L3111" i="4"/>
  <c r="M3103" i="4"/>
  <c r="L3103" i="4"/>
  <c r="M3095" i="4"/>
  <c r="L3095" i="4"/>
  <c r="M3087" i="4"/>
  <c r="L3087" i="4"/>
  <c r="M3079" i="4"/>
  <c r="L3079" i="4"/>
  <c r="M3071" i="4"/>
  <c r="L3071" i="4"/>
  <c r="M3063" i="4"/>
  <c r="L3063" i="4"/>
  <c r="M3055" i="4"/>
  <c r="L3055" i="4"/>
  <c r="M3047" i="4"/>
  <c r="L3047" i="4"/>
  <c r="M3039" i="4"/>
  <c r="L3039" i="4"/>
  <c r="M3031" i="4"/>
  <c r="L3031" i="4"/>
  <c r="M3023" i="4"/>
  <c r="L3023" i="4"/>
  <c r="M3015" i="4"/>
  <c r="L3015" i="4"/>
  <c r="M3007" i="4"/>
  <c r="L3007" i="4"/>
  <c r="M2999" i="4"/>
  <c r="L2999" i="4"/>
  <c r="M2991" i="4"/>
  <c r="L2991" i="4"/>
  <c r="M2983" i="4"/>
  <c r="L2983" i="4"/>
  <c r="M2975" i="4"/>
  <c r="L2975" i="4"/>
  <c r="M2967" i="4"/>
  <c r="L2967" i="4"/>
  <c r="M2959" i="4"/>
  <c r="L2959" i="4"/>
  <c r="M2951" i="4"/>
  <c r="L2951" i="4"/>
  <c r="M2943" i="4"/>
  <c r="L2943" i="4"/>
  <c r="M2935" i="4"/>
  <c r="L2935" i="4"/>
  <c r="M2927" i="4"/>
  <c r="L2927" i="4"/>
  <c r="M2919" i="4"/>
  <c r="L2919" i="4"/>
  <c r="M2911" i="4"/>
  <c r="L2911" i="4"/>
  <c r="M2903" i="4"/>
  <c r="L2903" i="4"/>
  <c r="M2895" i="4"/>
  <c r="L2895" i="4"/>
  <c r="M2887" i="4"/>
  <c r="L2887" i="4"/>
  <c r="M2879" i="4"/>
  <c r="L2879" i="4"/>
  <c r="M2871" i="4"/>
  <c r="L2871" i="4"/>
  <c r="M2863" i="4"/>
  <c r="L2863" i="4"/>
  <c r="M2855" i="4"/>
  <c r="L2855" i="4"/>
  <c r="M2847" i="4"/>
  <c r="L2847" i="4"/>
  <c r="M2839" i="4"/>
  <c r="L2839" i="4"/>
  <c r="M2831" i="4"/>
  <c r="L2831" i="4"/>
  <c r="M2823" i="4"/>
  <c r="L2823" i="4"/>
  <c r="M2815" i="4"/>
  <c r="L2815" i="4"/>
  <c r="M2807" i="4"/>
  <c r="L2807" i="4"/>
  <c r="M2799" i="4"/>
  <c r="L2799" i="4"/>
  <c r="M2791" i="4"/>
  <c r="L2791" i="4"/>
  <c r="M2783" i="4"/>
  <c r="L2783" i="4"/>
  <c r="M2775" i="4"/>
  <c r="L2775" i="4"/>
  <c r="M2767" i="4"/>
  <c r="L2767" i="4"/>
  <c r="M2759" i="4"/>
  <c r="L2759" i="4"/>
  <c r="M2751" i="4"/>
  <c r="L2751" i="4"/>
  <c r="M2743" i="4"/>
  <c r="L2743" i="4"/>
  <c r="M2735" i="4"/>
  <c r="L2735" i="4"/>
  <c r="M2727" i="4"/>
  <c r="L2727" i="4"/>
  <c r="M2719" i="4"/>
  <c r="L2719" i="4"/>
  <c r="M2711" i="4"/>
  <c r="L2711" i="4"/>
  <c r="M2703" i="4"/>
  <c r="L2703" i="4"/>
  <c r="M2695" i="4"/>
  <c r="L2695" i="4"/>
  <c r="M2687" i="4"/>
  <c r="L2687" i="4"/>
  <c r="M2679" i="4"/>
  <c r="L2679" i="4"/>
  <c r="M2671" i="4"/>
  <c r="L2671" i="4"/>
  <c r="M2663" i="4"/>
  <c r="L2663" i="4"/>
  <c r="M2655" i="4"/>
  <c r="L2655" i="4"/>
  <c r="M2647" i="4"/>
  <c r="L2647" i="4"/>
  <c r="M2639" i="4"/>
  <c r="L2639" i="4"/>
  <c r="M2631" i="4"/>
  <c r="L2631" i="4"/>
  <c r="M2623" i="4"/>
  <c r="L2623" i="4"/>
  <c r="M2615" i="4"/>
  <c r="L2615" i="4"/>
  <c r="M2607" i="4"/>
  <c r="L2607" i="4"/>
  <c r="M2599" i="4"/>
  <c r="L2599" i="4"/>
  <c r="M2591" i="4"/>
  <c r="L2591" i="4"/>
  <c r="M2583" i="4"/>
  <c r="L2583" i="4"/>
  <c r="M2575" i="4"/>
  <c r="L2575" i="4"/>
  <c r="M2567" i="4"/>
  <c r="L2567" i="4"/>
  <c r="M2559" i="4"/>
  <c r="L2559" i="4"/>
  <c r="M2551" i="4"/>
  <c r="L2551" i="4"/>
  <c r="M2543" i="4"/>
  <c r="L2543" i="4"/>
  <c r="M2535" i="4"/>
  <c r="L2535" i="4"/>
  <c r="M2527" i="4"/>
  <c r="L2527" i="4"/>
  <c r="M2519" i="4"/>
  <c r="L2519" i="4"/>
  <c r="M2511" i="4"/>
  <c r="L2511" i="4"/>
  <c r="M2503" i="4"/>
  <c r="L2503" i="4"/>
  <c r="M2495" i="4"/>
  <c r="L2495" i="4"/>
  <c r="M2487" i="4"/>
  <c r="L2487" i="4"/>
  <c r="M2479" i="4"/>
  <c r="L2479" i="4"/>
  <c r="M2471" i="4"/>
  <c r="L2471" i="4"/>
  <c r="M2463" i="4"/>
  <c r="L2463" i="4"/>
  <c r="M2455" i="4"/>
  <c r="L2455" i="4"/>
  <c r="M2447" i="4"/>
  <c r="L2447" i="4"/>
  <c r="M2439" i="4"/>
  <c r="L2439" i="4"/>
  <c r="M2431" i="4"/>
  <c r="L2431" i="4"/>
  <c r="M2423" i="4"/>
  <c r="L2423" i="4"/>
  <c r="M2415" i="4"/>
  <c r="L2415" i="4"/>
  <c r="M2407" i="4"/>
  <c r="L2407" i="4"/>
  <c r="M2399" i="4"/>
  <c r="L2399" i="4"/>
  <c r="M2391" i="4"/>
  <c r="L2391" i="4"/>
  <c r="M2383" i="4"/>
  <c r="L2383" i="4"/>
  <c r="M2375" i="4"/>
  <c r="L2375" i="4"/>
  <c r="M2367" i="4"/>
  <c r="L2367" i="4"/>
  <c r="M2359" i="4"/>
  <c r="L2359" i="4"/>
  <c r="M2351" i="4"/>
  <c r="L2351" i="4"/>
  <c r="M2343" i="4"/>
  <c r="L2343" i="4"/>
  <c r="M2335" i="4"/>
  <c r="L2335" i="4"/>
  <c r="M2327" i="4"/>
  <c r="L2327" i="4"/>
  <c r="M2319" i="4"/>
  <c r="L2319" i="4"/>
  <c r="M2311" i="4"/>
  <c r="L2311" i="4"/>
  <c r="M2303" i="4"/>
  <c r="L2303" i="4"/>
  <c r="M2295" i="4"/>
  <c r="L2295" i="4"/>
  <c r="M2287" i="4"/>
  <c r="L2287" i="4"/>
  <c r="M2279" i="4"/>
  <c r="L2279" i="4"/>
  <c r="M2271" i="4"/>
  <c r="L2271" i="4"/>
  <c r="M2263" i="4"/>
  <c r="L2263" i="4"/>
  <c r="M2255" i="4"/>
  <c r="L2255" i="4"/>
  <c r="M2247" i="4"/>
  <c r="L2247" i="4"/>
  <c r="M2239" i="4"/>
  <c r="L2239" i="4"/>
  <c r="M2231" i="4"/>
  <c r="L2231" i="4"/>
  <c r="M2223" i="4"/>
  <c r="L2223" i="4"/>
  <c r="M2215" i="4"/>
  <c r="L2215" i="4"/>
  <c r="M2207" i="4"/>
  <c r="L2207" i="4"/>
  <c r="M2199" i="4"/>
  <c r="L2199" i="4"/>
  <c r="M2191" i="4"/>
  <c r="L2191" i="4"/>
  <c r="M2183" i="4"/>
  <c r="L2183" i="4"/>
  <c r="M2175" i="4"/>
  <c r="L2175" i="4"/>
  <c r="M2167" i="4"/>
  <c r="L2167" i="4"/>
  <c r="M2159" i="4"/>
  <c r="L2159" i="4"/>
  <c r="M2151" i="4"/>
  <c r="L2151" i="4"/>
  <c r="M2143" i="4"/>
  <c r="L2143" i="4"/>
  <c r="M2135" i="4"/>
  <c r="L2135" i="4"/>
  <c r="M2127" i="4"/>
  <c r="L2127" i="4"/>
  <c r="M2119" i="4"/>
  <c r="L2119" i="4"/>
  <c r="M2111" i="4"/>
  <c r="L2111" i="4"/>
  <c r="M2103" i="4"/>
  <c r="L2103" i="4"/>
  <c r="M2095" i="4"/>
  <c r="L2095" i="4"/>
  <c r="M2087" i="4"/>
  <c r="L2087" i="4"/>
  <c r="M2079" i="4"/>
  <c r="L2079" i="4"/>
  <c r="M2071" i="4"/>
  <c r="L2071" i="4"/>
  <c r="M2063" i="4"/>
  <c r="L2063" i="4"/>
  <c r="M2055" i="4"/>
  <c r="L2055" i="4"/>
  <c r="M2047" i="4"/>
  <c r="L2047" i="4"/>
  <c r="M2039" i="4"/>
  <c r="L2039" i="4"/>
  <c r="M2031" i="4"/>
  <c r="L2031" i="4"/>
  <c r="M2023" i="4"/>
  <c r="L2023" i="4"/>
  <c r="M2015" i="4"/>
  <c r="L2015" i="4"/>
  <c r="M2007" i="4"/>
  <c r="L2007" i="4"/>
  <c r="M4014" i="4"/>
  <c r="L4014" i="4"/>
  <c r="M4006" i="4"/>
  <c r="L4006" i="4"/>
  <c r="M3998" i="4"/>
  <c r="L3998" i="4"/>
  <c r="M3990" i="4"/>
  <c r="L3990" i="4"/>
  <c r="M3982" i="4"/>
  <c r="L3982" i="4"/>
  <c r="M3974" i="4"/>
  <c r="L3974" i="4"/>
  <c r="M3966" i="4"/>
  <c r="L3966" i="4"/>
  <c r="M3958" i="4"/>
  <c r="L3958" i="4"/>
  <c r="M3950" i="4"/>
  <c r="L3950" i="4"/>
  <c r="M3942" i="4"/>
  <c r="L3942" i="4"/>
  <c r="M3934" i="4"/>
  <c r="L3934" i="4"/>
  <c r="M3926" i="4"/>
  <c r="L3926" i="4"/>
  <c r="M3918" i="4"/>
  <c r="L3918" i="4"/>
  <c r="M3910" i="4"/>
  <c r="L3910" i="4"/>
  <c r="M3902" i="4"/>
  <c r="L3902" i="4"/>
  <c r="M3894" i="4"/>
  <c r="L3894" i="4"/>
  <c r="M3886" i="4"/>
  <c r="L3886" i="4"/>
  <c r="M3878" i="4"/>
  <c r="L3878" i="4"/>
  <c r="M3870" i="4"/>
  <c r="L3870" i="4"/>
  <c r="M3862" i="4"/>
  <c r="L3862" i="4"/>
  <c r="M3854" i="4"/>
  <c r="L3854" i="4"/>
  <c r="M3846" i="4"/>
  <c r="L3846" i="4"/>
  <c r="M3838" i="4"/>
  <c r="L3838" i="4"/>
  <c r="M3830" i="4"/>
  <c r="L3830" i="4"/>
  <c r="M3822" i="4"/>
  <c r="L3822" i="4"/>
  <c r="M3814" i="4"/>
  <c r="L3814" i="4"/>
  <c r="M3806" i="4"/>
  <c r="L3806" i="4"/>
  <c r="M3798" i="4"/>
  <c r="L3798" i="4"/>
  <c r="M3790" i="4"/>
  <c r="L3790" i="4"/>
  <c r="M3782" i="4"/>
  <c r="L3782" i="4"/>
  <c r="M3774" i="4"/>
  <c r="L3774" i="4"/>
  <c r="M3766" i="4"/>
  <c r="L3766" i="4"/>
  <c r="M3758" i="4"/>
  <c r="L3758" i="4"/>
  <c r="M3750" i="4"/>
  <c r="L3750" i="4"/>
  <c r="M3742" i="4"/>
  <c r="L3742" i="4"/>
  <c r="M3734" i="4"/>
  <c r="L3734" i="4"/>
  <c r="M3726" i="4"/>
  <c r="L3726" i="4"/>
  <c r="M3718" i="4"/>
  <c r="L3718" i="4"/>
  <c r="M3710" i="4"/>
  <c r="L3710" i="4"/>
  <c r="M3702" i="4"/>
  <c r="L3702" i="4"/>
  <c r="M3694" i="4"/>
  <c r="L3694" i="4"/>
  <c r="M3686" i="4"/>
  <c r="L3686" i="4"/>
  <c r="M3678" i="4"/>
  <c r="L3678" i="4"/>
  <c r="M3670" i="4"/>
  <c r="L3670" i="4"/>
  <c r="M3662" i="4"/>
  <c r="L3662" i="4"/>
  <c r="M3654" i="4"/>
  <c r="L3654" i="4"/>
  <c r="M3646" i="4"/>
  <c r="L3646" i="4"/>
  <c r="M3638" i="4"/>
  <c r="L3638" i="4"/>
  <c r="M3630" i="4"/>
  <c r="L3630" i="4"/>
  <c r="M3622" i="4"/>
  <c r="L3622" i="4"/>
  <c r="M3614" i="4"/>
  <c r="L3614" i="4"/>
  <c r="M3606" i="4"/>
  <c r="L3606" i="4"/>
  <c r="M3598" i="4"/>
  <c r="L3598" i="4"/>
  <c r="M3590" i="4"/>
  <c r="L3590" i="4"/>
  <c r="M3582" i="4"/>
  <c r="L3582" i="4"/>
  <c r="M3574" i="4"/>
  <c r="L3574" i="4"/>
  <c r="M3566" i="4"/>
  <c r="L3566" i="4"/>
  <c r="M3558" i="4"/>
  <c r="L3558" i="4"/>
  <c r="M3550" i="4"/>
  <c r="L3550" i="4"/>
  <c r="M3542" i="4"/>
  <c r="L3542" i="4"/>
  <c r="M3534" i="4"/>
  <c r="L3534" i="4"/>
  <c r="M3526" i="4"/>
  <c r="L3526" i="4"/>
  <c r="M3518" i="4"/>
  <c r="L3518" i="4"/>
  <c r="M3510" i="4"/>
  <c r="L3510" i="4"/>
  <c r="M3502" i="4"/>
  <c r="L3502" i="4"/>
  <c r="M3494" i="4"/>
  <c r="L3494" i="4"/>
  <c r="M3486" i="4"/>
  <c r="L3486" i="4"/>
  <c r="M3478" i="4"/>
  <c r="L3478" i="4"/>
  <c r="M3470" i="4"/>
  <c r="L3470" i="4"/>
  <c r="M3462" i="4"/>
  <c r="L3462" i="4"/>
  <c r="M3454" i="4"/>
  <c r="L3454" i="4"/>
  <c r="M3446" i="4"/>
  <c r="L3446" i="4"/>
  <c r="M3438" i="4"/>
  <c r="L3438" i="4"/>
  <c r="M3430" i="4"/>
  <c r="L3430" i="4"/>
  <c r="M3422" i="4"/>
  <c r="L3422" i="4"/>
  <c r="M3414" i="4"/>
  <c r="L3414" i="4"/>
  <c r="M3406" i="4"/>
  <c r="L3406" i="4"/>
  <c r="M3398" i="4"/>
  <c r="L3398" i="4"/>
  <c r="M3390" i="4"/>
  <c r="L3390" i="4"/>
  <c r="M3382" i="4"/>
  <c r="L3382" i="4"/>
  <c r="M3374" i="4"/>
  <c r="L3374" i="4"/>
  <c r="M3366" i="4"/>
  <c r="L3366" i="4"/>
  <c r="M3358" i="4"/>
  <c r="L3358" i="4"/>
  <c r="M3350" i="4"/>
  <c r="L3350" i="4"/>
  <c r="M3342" i="4"/>
  <c r="L3342" i="4"/>
  <c r="M3334" i="4"/>
  <c r="L3334" i="4"/>
  <c r="M3326" i="4"/>
  <c r="L3326" i="4"/>
  <c r="M3318" i="4"/>
  <c r="L3318" i="4"/>
  <c r="M3310" i="4"/>
  <c r="L3310" i="4"/>
  <c r="M3302" i="4"/>
  <c r="L3302" i="4"/>
  <c r="M3294" i="4"/>
  <c r="L3294" i="4"/>
  <c r="M3286" i="4"/>
  <c r="L3286" i="4"/>
  <c r="M3278" i="4"/>
  <c r="L3278" i="4"/>
  <c r="M3270" i="4"/>
  <c r="L3270" i="4"/>
  <c r="M3262" i="4"/>
  <c r="L3262" i="4"/>
  <c r="M3254" i="4"/>
  <c r="L3254" i="4"/>
  <c r="M3246" i="4"/>
  <c r="L3246" i="4"/>
  <c r="M3238" i="4"/>
  <c r="L3238" i="4"/>
  <c r="M3230" i="4"/>
  <c r="L3230" i="4"/>
  <c r="M3222" i="4"/>
  <c r="L3222" i="4"/>
  <c r="M3214" i="4"/>
  <c r="L3214" i="4"/>
  <c r="M3206" i="4"/>
  <c r="L3206" i="4"/>
  <c r="M3198" i="4"/>
  <c r="L3198" i="4"/>
  <c r="M3190" i="4"/>
  <c r="L3190" i="4"/>
  <c r="M3182" i="4"/>
  <c r="L3182" i="4"/>
  <c r="M3174" i="4"/>
  <c r="L3174" i="4"/>
  <c r="M3166" i="4"/>
  <c r="L3166" i="4"/>
  <c r="M3158" i="4"/>
  <c r="L3158" i="4"/>
  <c r="M3150" i="4"/>
  <c r="L3150" i="4"/>
  <c r="M3142" i="4"/>
  <c r="L3142" i="4"/>
  <c r="M3134" i="4"/>
  <c r="L3134" i="4"/>
  <c r="M3126" i="4"/>
  <c r="L3126" i="4"/>
  <c r="M3118" i="4"/>
  <c r="L3118" i="4"/>
  <c r="M3110" i="4"/>
  <c r="L3110" i="4"/>
  <c r="M3102" i="4"/>
  <c r="L3102" i="4"/>
  <c r="M3094" i="4"/>
  <c r="L3094" i="4"/>
  <c r="M3086" i="4"/>
  <c r="L3086" i="4"/>
  <c r="M3078" i="4"/>
  <c r="L3078" i="4"/>
  <c r="M3070" i="4"/>
  <c r="L3070" i="4"/>
  <c r="M3062" i="4"/>
  <c r="L3062" i="4"/>
  <c r="M3054" i="4"/>
  <c r="L3054" i="4"/>
  <c r="M3046" i="4"/>
  <c r="L3046" i="4"/>
  <c r="M3038" i="4"/>
  <c r="L3038" i="4"/>
  <c r="M3030" i="4"/>
  <c r="L3030" i="4"/>
  <c r="M3022" i="4"/>
  <c r="L3022" i="4"/>
  <c r="M3014" i="4"/>
  <c r="L3014" i="4"/>
  <c r="M3006" i="4"/>
  <c r="L3006" i="4"/>
  <c r="M2998" i="4"/>
  <c r="L2998" i="4"/>
  <c r="M2990" i="4"/>
  <c r="L2990" i="4"/>
  <c r="M2982" i="4"/>
  <c r="L2982" i="4"/>
  <c r="M2974" i="4"/>
  <c r="L2974" i="4"/>
  <c r="M2966" i="4"/>
  <c r="L2966" i="4"/>
  <c r="M2958" i="4"/>
  <c r="L2958" i="4"/>
  <c r="M2950" i="4"/>
  <c r="L2950" i="4"/>
  <c r="M2942" i="4"/>
  <c r="L2942" i="4"/>
  <c r="M2934" i="4"/>
  <c r="L2934" i="4"/>
  <c r="M2926" i="4"/>
  <c r="L2926" i="4"/>
  <c r="M2918" i="4"/>
  <c r="L2918" i="4"/>
  <c r="M2910" i="4"/>
  <c r="L2910" i="4"/>
  <c r="M2902" i="4"/>
  <c r="L2902" i="4"/>
  <c r="M2894" i="4"/>
  <c r="L2894" i="4"/>
  <c r="M2886" i="4"/>
  <c r="L2886" i="4"/>
  <c r="M2878" i="4"/>
  <c r="L2878" i="4"/>
  <c r="M2870" i="4"/>
  <c r="L2870" i="4"/>
  <c r="M2862" i="4"/>
  <c r="L2862" i="4"/>
  <c r="M2854" i="4"/>
  <c r="L2854" i="4"/>
  <c r="M2846" i="4"/>
  <c r="L2846" i="4"/>
  <c r="M2838" i="4"/>
  <c r="L2838" i="4"/>
  <c r="M2830" i="4"/>
  <c r="L2830" i="4"/>
  <c r="M2822" i="4"/>
  <c r="L2822" i="4"/>
  <c r="M2814" i="4"/>
  <c r="L2814" i="4"/>
  <c r="M2806" i="4"/>
  <c r="L2806" i="4"/>
  <c r="M2798" i="4"/>
  <c r="L2798" i="4"/>
  <c r="M2790" i="4"/>
  <c r="L2790" i="4"/>
  <c r="M2782" i="4"/>
  <c r="L2782" i="4"/>
  <c r="M2774" i="4"/>
  <c r="L2774" i="4"/>
  <c r="M2766" i="4"/>
  <c r="L2766" i="4"/>
  <c r="M2758" i="4"/>
  <c r="L2758" i="4"/>
  <c r="M2750" i="4"/>
  <c r="L2750" i="4"/>
  <c r="M2742" i="4"/>
  <c r="L2742" i="4"/>
  <c r="M2734" i="4"/>
  <c r="L2734" i="4"/>
  <c r="M2726" i="4"/>
  <c r="L2726" i="4"/>
  <c r="M2718" i="4"/>
  <c r="L2718" i="4"/>
  <c r="M2710" i="4"/>
  <c r="L2710" i="4"/>
  <c r="M2702" i="4"/>
  <c r="L2702" i="4"/>
  <c r="M2694" i="4"/>
  <c r="L2694" i="4"/>
  <c r="M2686" i="4"/>
  <c r="L2686" i="4"/>
  <c r="M2678" i="4"/>
  <c r="L2678" i="4"/>
  <c r="M2670" i="4"/>
  <c r="L2670" i="4"/>
  <c r="M2662" i="4"/>
  <c r="L2662" i="4"/>
  <c r="M2654" i="4"/>
  <c r="L2654" i="4"/>
  <c r="M2646" i="4"/>
  <c r="L2646" i="4"/>
  <c r="M2638" i="4"/>
  <c r="L2638" i="4"/>
  <c r="M2630" i="4"/>
  <c r="L2630" i="4"/>
  <c r="M2622" i="4"/>
  <c r="L2622" i="4"/>
  <c r="M2614" i="4"/>
  <c r="L2614" i="4"/>
  <c r="M2606" i="4"/>
  <c r="L2606" i="4"/>
  <c r="M2598" i="4"/>
  <c r="L2598" i="4"/>
  <c r="M2590" i="4"/>
  <c r="L2590" i="4"/>
  <c r="M2582" i="4"/>
  <c r="L2582" i="4"/>
  <c r="M2574" i="4"/>
  <c r="L2574" i="4"/>
  <c r="M2566" i="4"/>
  <c r="L2566" i="4"/>
  <c r="M2558" i="4"/>
  <c r="L2558" i="4"/>
  <c r="M2550" i="4"/>
  <c r="L2550" i="4"/>
  <c r="M2542" i="4"/>
  <c r="L2542" i="4"/>
  <c r="M2534" i="4"/>
  <c r="L2534" i="4"/>
  <c r="M2526" i="4"/>
  <c r="L2526" i="4"/>
  <c r="M2518" i="4"/>
  <c r="L2518" i="4"/>
  <c r="M2510" i="4"/>
  <c r="L2510" i="4"/>
  <c r="M2502" i="4"/>
  <c r="L2502" i="4"/>
  <c r="M2494" i="4"/>
  <c r="L2494" i="4"/>
  <c r="M2486" i="4"/>
  <c r="L2486" i="4"/>
  <c r="M2478" i="4"/>
  <c r="L2478" i="4"/>
  <c r="M2470" i="4"/>
  <c r="L2470" i="4"/>
  <c r="M2462" i="4"/>
  <c r="L2462" i="4"/>
  <c r="M2454" i="4"/>
  <c r="L2454" i="4"/>
  <c r="M2446" i="4"/>
  <c r="L2446" i="4"/>
  <c r="M2438" i="4"/>
  <c r="L2438" i="4"/>
  <c r="M2430" i="4"/>
  <c r="L2430" i="4"/>
  <c r="M2422" i="4"/>
  <c r="L2422" i="4"/>
  <c r="M2414" i="4"/>
  <c r="L2414" i="4"/>
  <c r="M2406" i="4"/>
  <c r="L2406" i="4"/>
  <c r="M2398" i="4"/>
  <c r="L2398" i="4"/>
  <c r="M2390" i="4"/>
  <c r="L2390" i="4"/>
  <c r="M2382" i="4"/>
  <c r="L2382" i="4"/>
  <c r="M2374" i="4"/>
  <c r="L2374" i="4"/>
  <c r="M2366" i="4"/>
  <c r="L2366" i="4"/>
  <c r="M2358" i="4"/>
  <c r="L2358" i="4"/>
  <c r="M2350" i="4"/>
  <c r="L2350" i="4"/>
  <c r="M2342" i="4"/>
  <c r="L2342" i="4"/>
  <c r="M2334" i="4"/>
  <c r="L2334" i="4"/>
  <c r="M2326" i="4"/>
  <c r="L2326" i="4"/>
  <c r="M2318" i="4"/>
  <c r="L2318" i="4"/>
  <c r="M2310" i="4"/>
  <c r="L2310" i="4"/>
  <c r="M2302" i="4"/>
  <c r="L2302" i="4"/>
  <c r="M2294" i="4"/>
  <c r="L2294" i="4"/>
  <c r="M2286" i="4"/>
  <c r="L2286" i="4"/>
  <c r="M2278" i="4"/>
  <c r="L2278" i="4"/>
  <c r="M2270" i="4"/>
  <c r="L2270" i="4"/>
  <c r="M2262" i="4"/>
  <c r="L2262" i="4"/>
  <c r="M2254" i="4"/>
  <c r="L2254" i="4"/>
  <c r="M2246" i="4"/>
  <c r="L2246" i="4"/>
  <c r="M2238" i="4"/>
  <c r="L2238" i="4"/>
  <c r="M2230" i="4"/>
  <c r="L2230" i="4"/>
  <c r="M2222" i="4"/>
  <c r="L2222" i="4"/>
  <c r="M2214" i="4"/>
  <c r="L2214" i="4"/>
  <c r="M2206" i="4"/>
  <c r="L2206" i="4"/>
  <c r="M2198" i="4"/>
  <c r="L2198" i="4"/>
  <c r="M2190" i="4"/>
  <c r="L2190" i="4"/>
  <c r="M2182" i="4"/>
  <c r="L2182" i="4"/>
  <c r="M2174" i="4"/>
  <c r="L2174" i="4"/>
  <c r="M2166" i="4"/>
  <c r="L2166" i="4"/>
  <c r="M2158" i="4"/>
  <c r="L2158" i="4"/>
  <c r="M2150" i="4"/>
  <c r="L2150" i="4"/>
  <c r="M2142" i="4"/>
  <c r="L2142" i="4"/>
  <c r="M2134" i="4"/>
  <c r="L2134" i="4"/>
  <c r="M2126" i="4"/>
  <c r="L2126" i="4"/>
  <c r="M2118" i="4"/>
  <c r="L2118" i="4"/>
  <c r="M2110" i="4"/>
  <c r="L2110" i="4"/>
  <c r="M2102" i="4"/>
  <c r="L2102" i="4"/>
  <c r="M2094" i="4"/>
  <c r="L2094" i="4"/>
  <c r="M2086" i="4"/>
  <c r="L2086" i="4"/>
  <c r="M2078" i="4"/>
  <c r="L2078" i="4"/>
  <c r="M2070" i="4"/>
  <c r="L2070" i="4"/>
  <c r="M2062" i="4"/>
  <c r="L2062" i="4"/>
  <c r="M2054" i="4"/>
  <c r="L2054" i="4"/>
  <c r="M2046" i="4"/>
  <c r="L2046" i="4"/>
  <c r="M2038" i="4"/>
  <c r="L2038" i="4"/>
  <c r="M2030" i="4"/>
  <c r="L2030" i="4"/>
  <c r="M2022" i="4"/>
  <c r="L2022" i="4"/>
  <c r="M2014" i="4"/>
  <c r="L2014" i="4"/>
  <c r="M2006" i="4"/>
  <c r="L2006" i="4"/>
  <c r="M4013" i="4"/>
  <c r="L4013" i="4"/>
  <c r="M4005" i="4"/>
  <c r="L4005" i="4"/>
  <c r="M3997" i="4"/>
  <c r="L3997" i="4"/>
  <c r="M3989" i="4"/>
  <c r="L3989" i="4"/>
  <c r="M3981" i="4"/>
  <c r="L3981" i="4"/>
  <c r="M3973" i="4"/>
  <c r="L3973" i="4"/>
  <c r="M3965" i="4"/>
  <c r="L3965" i="4"/>
  <c r="M3957" i="4"/>
  <c r="L3957" i="4"/>
  <c r="M3949" i="4"/>
  <c r="L3949" i="4"/>
  <c r="M3941" i="4"/>
  <c r="L3941" i="4"/>
  <c r="M3933" i="4"/>
  <c r="L3933" i="4"/>
  <c r="M3925" i="4"/>
  <c r="L3925" i="4"/>
  <c r="M3917" i="4"/>
  <c r="L3917" i="4"/>
  <c r="M3909" i="4"/>
  <c r="L3909" i="4"/>
  <c r="M3901" i="4"/>
  <c r="L3901" i="4"/>
  <c r="M3893" i="4"/>
  <c r="L3893" i="4"/>
  <c r="M3885" i="4"/>
  <c r="L3885" i="4"/>
  <c r="M3877" i="4"/>
  <c r="L3877" i="4"/>
  <c r="M3869" i="4"/>
  <c r="L3869" i="4"/>
  <c r="M3861" i="4"/>
  <c r="L3861" i="4"/>
  <c r="M3853" i="4"/>
  <c r="L3853" i="4"/>
  <c r="M3845" i="4"/>
  <c r="L3845" i="4"/>
  <c r="M3837" i="4"/>
  <c r="L3837" i="4"/>
  <c r="M3829" i="4"/>
  <c r="L3829" i="4"/>
  <c r="M3821" i="4"/>
  <c r="L3821" i="4"/>
  <c r="M3813" i="4"/>
  <c r="L3813" i="4"/>
  <c r="M3805" i="4"/>
  <c r="L3805" i="4"/>
  <c r="M3797" i="4"/>
  <c r="L3797" i="4"/>
  <c r="M3789" i="4"/>
  <c r="L3789" i="4"/>
  <c r="M3781" i="4"/>
  <c r="L3781" i="4"/>
  <c r="M3773" i="4"/>
  <c r="L3773" i="4"/>
  <c r="M3765" i="4"/>
  <c r="L3765" i="4"/>
  <c r="M3757" i="4"/>
  <c r="L3757" i="4"/>
  <c r="M3749" i="4"/>
  <c r="L3749" i="4"/>
  <c r="M3741" i="4"/>
  <c r="L3741" i="4"/>
  <c r="M3733" i="4"/>
  <c r="L3733" i="4"/>
  <c r="M3725" i="4"/>
  <c r="L3725" i="4"/>
  <c r="M3717" i="4"/>
  <c r="L3717" i="4"/>
  <c r="M3709" i="4"/>
  <c r="L3709" i="4"/>
  <c r="M3701" i="4"/>
  <c r="L3701" i="4"/>
  <c r="M3693" i="4"/>
  <c r="L3693" i="4"/>
  <c r="M3685" i="4"/>
  <c r="L3685" i="4"/>
  <c r="M3677" i="4"/>
  <c r="L3677" i="4"/>
  <c r="M3669" i="4"/>
  <c r="L3669" i="4"/>
  <c r="M3661" i="4"/>
  <c r="L3661" i="4"/>
  <c r="M3653" i="4"/>
  <c r="L3653" i="4"/>
  <c r="M3645" i="4"/>
  <c r="L3645" i="4"/>
  <c r="M3637" i="4"/>
  <c r="L3637" i="4"/>
  <c r="M3629" i="4"/>
  <c r="L3629" i="4"/>
  <c r="M3621" i="4"/>
  <c r="L3621" i="4"/>
  <c r="M3613" i="4"/>
  <c r="L3613" i="4"/>
  <c r="M3605" i="4"/>
  <c r="L3605" i="4"/>
  <c r="M3597" i="4"/>
  <c r="L3597" i="4"/>
  <c r="M3589" i="4"/>
  <c r="L3589" i="4"/>
  <c r="M3581" i="4"/>
  <c r="L3581" i="4"/>
  <c r="M3573" i="4"/>
  <c r="L3573" i="4"/>
  <c r="L3565" i="4"/>
  <c r="M3565" i="4"/>
  <c r="M3557" i="4"/>
  <c r="L3557" i="4"/>
  <c r="M3549" i="4"/>
  <c r="L3549" i="4"/>
  <c r="M3541" i="4"/>
  <c r="L3541" i="4"/>
  <c r="M3533" i="4"/>
  <c r="L3533" i="4"/>
  <c r="M3525" i="4"/>
  <c r="L3525" i="4"/>
  <c r="M3517" i="4"/>
  <c r="L3517" i="4"/>
  <c r="M3509" i="4"/>
  <c r="L3509" i="4"/>
  <c r="M3501" i="4"/>
  <c r="L3501" i="4"/>
  <c r="M3493" i="4"/>
  <c r="L3493" i="4"/>
  <c r="M3485" i="4"/>
  <c r="L3485" i="4"/>
  <c r="M3477" i="4"/>
  <c r="L3477" i="4"/>
  <c r="M3469" i="4"/>
  <c r="L3469" i="4"/>
  <c r="M3461" i="4"/>
  <c r="L3461" i="4"/>
  <c r="M3453" i="4"/>
  <c r="L3453" i="4"/>
  <c r="M3445" i="4"/>
  <c r="L3445" i="4"/>
  <c r="M3437" i="4"/>
  <c r="L3437" i="4"/>
  <c r="M3429" i="4"/>
  <c r="L3429" i="4"/>
  <c r="M3421" i="4"/>
  <c r="L3421" i="4"/>
  <c r="M3413" i="4"/>
  <c r="L3413" i="4"/>
  <c r="M3405" i="4"/>
  <c r="L3405" i="4"/>
  <c r="M3397" i="4"/>
  <c r="L3397" i="4"/>
  <c r="M3389" i="4"/>
  <c r="L3389" i="4"/>
  <c r="M3381" i="4"/>
  <c r="L3381" i="4"/>
  <c r="M3373" i="4"/>
  <c r="L3373" i="4"/>
  <c r="M3365" i="4"/>
  <c r="L3365" i="4"/>
  <c r="M3357" i="4"/>
  <c r="L3357" i="4"/>
  <c r="M3349" i="4"/>
  <c r="L3349" i="4"/>
  <c r="M3341" i="4"/>
  <c r="L3341" i="4"/>
  <c r="M3333" i="4"/>
  <c r="L3333" i="4"/>
  <c r="M3325" i="4"/>
  <c r="L3325" i="4"/>
  <c r="M3317" i="4"/>
  <c r="L3317" i="4"/>
  <c r="M3309" i="4"/>
  <c r="L3309" i="4"/>
  <c r="M3301" i="4"/>
  <c r="L3301" i="4"/>
  <c r="M3293" i="4"/>
  <c r="L3293" i="4"/>
  <c r="M3285" i="4"/>
  <c r="L3285" i="4"/>
  <c r="M3277" i="4"/>
  <c r="L3277" i="4"/>
  <c r="M3269" i="4"/>
  <c r="L3269" i="4"/>
  <c r="M3261" i="4"/>
  <c r="L3261" i="4"/>
  <c r="M3253" i="4"/>
  <c r="L3253" i="4"/>
  <c r="M3245" i="4"/>
  <c r="L3245" i="4"/>
  <c r="M3237" i="4"/>
  <c r="L3237" i="4"/>
  <c r="M3229" i="4"/>
  <c r="L3229" i="4"/>
  <c r="M3221" i="4"/>
  <c r="L3221" i="4"/>
  <c r="M3213" i="4"/>
  <c r="L3213" i="4"/>
  <c r="M3205" i="4"/>
  <c r="L3205" i="4"/>
  <c r="M3197" i="4"/>
  <c r="L3197" i="4"/>
  <c r="M3189" i="4"/>
  <c r="L3189" i="4"/>
  <c r="M3181" i="4"/>
  <c r="L3181" i="4"/>
  <c r="M3173" i="4"/>
  <c r="L3173" i="4"/>
  <c r="M3165" i="4"/>
  <c r="L3165" i="4"/>
  <c r="M3157" i="4"/>
  <c r="L3157" i="4"/>
  <c r="M3149" i="4"/>
  <c r="L3149" i="4"/>
  <c r="M3141" i="4"/>
  <c r="L3141" i="4"/>
  <c r="M3133" i="4"/>
  <c r="L3133" i="4"/>
  <c r="M3125" i="4"/>
  <c r="L3125" i="4"/>
  <c r="M3117" i="4"/>
  <c r="L3117" i="4"/>
  <c r="M3109" i="4"/>
  <c r="L3109" i="4"/>
  <c r="M3101" i="4"/>
  <c r="L3101" i="4"/>
  <c r="M3093" i="4"/>
  <c r="L3093" i="4"/>
  <c r="M3085" i="4"/>
  <c r="L3085" i="4"/>
  <c r="M3077" i="4"/>
  <c r="L3077" i="4"/>
  <c r="M3069" i="4"/>
  <c r="L3069" i="4"/>
  <c r="M3061" i="4"/>
  <c r="L3061" i="4"/>
  <c r="M3053" i="4"/>
  <c r="L3053" i="4"/>
  <c r="M3045" i="4"/>
  <c r="L3045" i="4"/>
  <c r="M3037" i="4"/>
  <c r="L3037" i="4"/>
  <c r="M3029" i="4"/>
  <c r="L3029" i="4"/>
  <c r="M3021" i="4"/>
  <c r="L3021" i="4"/>
  <c r="M3013" i="4"/>
  <c r="L3013" i="4"/>
  <c r="M3005" i="4"/>
  <c r="L3005" i="4"/>
  <c r="M2997" i="4"/>
  <c r="L2997" i="4"/>
  <c r="M2989" i="4"/>
  <c r="L2989" i="4"/>
  <c r="M2981" i="4"/>
  <c r="L2981" i="4"/>
  <c r="M2973" i="4"/>
  <c r="L2973" i="4"/>
  <c r="M2965" i="4"/>
  <c r="L2965" i="4"/>
  <c r="M2957" i="4"/>
  <c r="L2957" i="4"/>
  <c r="M2949" i="4"/>
  <c r="L2949" i="4"/>
  <c r="M2941" i="4"/>
  <c r="L2941" i="4"/>
  <c r="M2933" i="4"/>
  <c r="L2933" i="4"/>
  <c r="M2925" i="4"/>
  <c r="L2925" i="4"/>
  <c r="M2917" i="4"/>
  <c r="L2917" i="4"/>
  <c r="M2909" i="4"/>
  <c r="L2909" i="4"/>
  <c r="M2901" i="4"/>
  <c r="L2901" i="4"/>
  <c r="M2893" i="4"/>
  <c r="L2893" i="4"/>
  <c r="M2885" i="4"/>
  <c r="L2885" i="4"/>
  <c r="M2877" i="4"/>
  <c r="L2877" i="4"/>
  <c r="M2869" i="4"/>
  <c r="L2869" i="4"/>
  <c r="M2861" i="4"/>
  <c r="L2861" i="4"/>
  <c r="M2853" i="4"/>
  <c r="L2853" i="4"/>
  <c r="M2845" i="4"/>
  <c r="L2845" i="4"/>
  <c r="M2837" i="4"/>
  <c r="L2837" i="4"/>
  <c r="M2829" i="4"/>
  <c r="L2829" i="4"/>
  <c r="M2821" i="4"/>
  <c r="L2821" i="4"/>
  <c r="M2813" i="4"/>
  <c r="L2813" i="4"/>
  <c r="M2805" i="4"/>
  <c r="L2805" i="4"/>
  <c r="M2797" i="4"/>
  <c r="L2797" i="4"/>
  <c r="M2789" i="4"/>
  <c r="L2789" i="4"/>
  <c r="M2781" i="4"/>
  <c r="L2781" i="4"/>
  <c r="M2773" i="4"/>
  <c r="L2773" i="4"/>
  <c r="M2765" i="4"/>
  <c r="L2765" i="4"/>
  <c r="M2757" i="4"/>
  <c r="L2757" i="4"/>
  <c r="M2749" i="4"/>
  <c r="L2749" i="4"/>
  <c r="M2741" i="4"/>
  <c r="L2741" i="4"/>
  <c r="M2733" i="4"/>
  <c r="L2733" i="4"/>
  <c r="M2725" i="4"/>
  <c r="L2725" i="4"/>
  <c r="M2717" i="4"/>
  <c r="L2717" i="4"/>
  <c r="M2709" i="4"/>
  <c r="L2709" i="4"/>
  <c r="M2701" i="4"/>
  <c r="L2701" i="4"/>
  <c r="M2693" i="4"/>
  <c r="L2693" i="4"/>
  <c r="M2685" i="4"/>
  <c r="L2685" i="4"/>
  <c r="M2677" i="4"/>
  <c r="L2677" i="4"/>
  <c r="M2669" i="4"/>
  <c r="L2669" i="4"/>
  <c r="M2661" i="4"/>
  <c r="L2661" i="4"/>
  <c r="M2653" i="4"/>
  <c r="L2653" i="4"/>
  <c r="M2645" i="4"/>
  <c r="L2645" i="4"/>
  <c r="M2637" i="4"/>
  <c r="L2637" i="4"/>
  <c r="M2629" i="4"/>
  <c r="L2629" i="4"/>
  <c r="M2621" i="4"/>
  <c r="L2621" i="4"/>
  <c r="M2613" i="4"/>
  <c r="L2613" i="4"/>
  <c r="M2605" i="4"/>
  <c r="L2605" i="4"/>
  <c r="M2597" i="4"/>
  <c r="L2597" i="4"/>
  <c r="M2589" i="4"/>
  <c r="L2589" i="4"/>
  <c r="M2581" i="4"/>
  <c r="L2581" i="4"/>
  <c r="M2573" i="4"/>
  <c r="L2573" i="4"/>
  <c r="M2565" i="4"/>
  <c r="L2565" i="4"/>
  <c r="M2557" i="4"/>
  <c r="L2557" i="4"/>
  <c r="M2549" i="4"/>
  <c r="L2549" i="4"/>
  <c r="M2541" i="4"/>
  <c r="L2541" i="4"/>
  <c r="M2533" i="4"/>
  <c r="L2533" i="4"/>
  <c r="M2525" i="4"/>
  <c r="L2525" i="4"/>
  <c r="M2517" i="4"/>
  <c r="L2517" i="4"/>
  <c r="M2509" i="4"/>
  <c r="L2509" i="4"/>
  <c r="M2501" i="4"/>
  <c r="L2501" i="4"/>
  <c r="M2493" i="4"/>
  <c r="L2493" i="4"/>
  <c r="M2485" i="4"/>
  <c r="L2485" i="4"/>
  <c r="M2477" i="4"/>
  <c r="L2477" i="4"/>
  <c r="M2469" i="4"/>
  <c r="L2469" i="4"/>
  <c r="M2461" i="4"/>
  <c r="L2461" i="4"/>
  <c r="M2453" i="4"/>
  <c r="L2453" i="4"/>
  <c r="M2445" i="4"/>
  <c r="L2445" i="4"/>
  <c r="M2437" i="4"/>
  <c r="L2437" i="4"/>
  <c r="M2429" i="4"/>
  <c r="L2429" i="4"/>
  <c r="M2421" i="4"/>
  <c r="L2421" i="4"/>
  <c r="M2413" i="4"/>
  <c r="L2413" i="4"/>
  <c r="M2405" i="4"/>
  <c r="L2405" i="4"/>
  <c r="M2397" i="4"/>
  <c r="L2397" i="4"/>
  <c r="M2389" i="4"/>
  <c r="L2389" i="4"/>
  <c r="M2381" i="4"/>
  <c r="L2381" i="4"/>
  <c r="M2373" i="4"/>
  <c r="L2373" i="4"/>
  <c r="M2365" i="4"/>
  <c r="L2365" i="4"/>
  <c r="M2357" i="4"/>
  <c r="L2357" i="4"/>
  <c r="M2349" i="4"/>
  <c r="L2349" i="4"/>
  <c r="M2341" i="4"/>
  <c r="L2341" i="4"/>
  <c r="M2333" i="4"/>
  <c r="L2333" i="4"/>
  <c r="M2325" i="4"/>
  <c r="L2325" i="4"/>
  <c r="M2317" i="4"/>
  <c r="L2317" i="4"/>
  <c r="M2309" i="4"/>
  <c r="L2309" i="4"/>
  <c r="M2301" i="4"/>
  <c r="L2301" i="4"/>
  <c r="M2293" i="4"/>
  <c r="L2293" i="4"/>
  <c r="M2285" i="4"/>
  <c r="L2285" i="4"/>
  <c r="M2277" i="4"/>
  <c r="L2277" i="4"/>
  <c r="M2269" i="4"/>
  <c r="L2269" i="4"/>
  <c r="M2261" i="4"/>
  <c r="L2261" i="4"/>
  <c r="M2253" i="4"/>
  <c r="L2253" i="4"/>
  <c r="M2245" i="4"/>
  <c r="L2245" i="4"/>
  <c r="M2237" i="4"/>
  <c r="L2237" i="4"/>
  <c r="M2229" i="4"/>
  <c r="L2229" i="4"/>
  <c r="M2221" i="4"/>
  <c r="L2221" i="4"/>
  <c r="M2213" i="4"/>
  <c r="L2213" i="4"/>
  <c r="M2205" i="4"/>
  <c r="L2205" i="4"/>
  <c r="M2197" i="4"/>
  <c r="L2197" i="4"/>
  <c r="M2189" i="4"/>
  <c r="L2189" i="4"/>
  <c r="M2181" i="4"/>
  <c r="L2181" i="4"/>
  <c r="M2173" i="4"/>
  <c r="L2173" i="4"/>
  <c r="M2165" i="4"/>
  <c r="L2165" i="4"/>
  <c r="M2157" i="4"/>
  <c r="L2157" i="4"/>
  <c r="M2149" i="4"/>
  <c r="L2149" i="4"/>
  <c r="M2141" i="4"/>
  <c r="L2141" i="4"/>
  <c r="M2133" i="4"/>
  <c r="L2133" i="4"/>
  <c r="M2125" i="4"/>
  <c r="L2125" i="4"/>
  <c r="M2117" i="4"/>
  <c r="L2117" i="4"/>
  <c r="M2109" i="4"/>
  <c r="L2109" i="4"/>
  <c r="M2101" i="4"/>
  <c r="L2101" i="4"/>
  <c r="M2093" i="4"/>
  <c r="L2093" i="4"/>
  <c r="M2085" i="4"/>
  <c r="L2085" i="4"/>
  <c r="M2077" i="4"/>
  <c r="L2077" i="4"/>
  <c r="M2069" i="4"/>
  <c r="L2069" i="4"/>
  <c r="M2061" i="4"/>
  <c r="L2061" i="4"/>
  <c r="M2053" i="4"/>
  <c r="L2053" i="4"/>
  <c r="M2045" i="4"/>
  <c r="L2045" i="4"/>
  <c r="M2037" i="4"/>
  <c r="L2037" i="4"/>
  <c r="M2029" i="4"/>
  <c r="L2029" i="4"/>
  <c r="M2021" i="4"/>
  <c r="L2021" i="4"/>
  <c r="M2013" i="4"/>
  <c r="L2013" i="4"/>
  <c r="M2005" i="4"/>
  <c r="L2005" i="4"/>
  <c r="M4012" i="4"/>
  <c r="L4012" i="4"/>
  <c r="M4004" i="4"/>
  <c r="L4004" i="4"/>
  <c r="M3996" i="4"/>
  <c r="L3996" i="4"/>
  <c r="M3988" i="4"/>
  <c r="L3988" i="4"/>
  <c r="M3980" i="4"/>
  <c r="L3980" i="4"/>
  <c r="M3972" i="4"/>
  <c r="L3972" i="4"/>
  <c r="M3964" i="4"/>
  <c r="L3964" i="4"/>
  <c r="M3956" i="4"/>
  <c r="L3956" i="4"/>
  <c r="M3948" i="4"/>
  <c r="L3948" i="4"/>
  <c r="M3940" i="4"/>
  <c r="L3940" i="4"/>
  <c r="M3932" i="4"/>
  <c r="L3932" i="4"/>
  <c r="M3924" i="4"/>
  <c r="L3924" i="4"/>
  <c r="M3916" i="4"/>
  <c r="L3916" i="4"/>
  <c r="M3908" i="4"/>
  <c r="L3908" i="4"/>
  <c r="M3900" i="4"/>
  <c r="L3900" i="4"/>
  <c r="M3892" i="4"/>
  <c r="L3892" i="4"/>
  <c r="M3884" i="4"/>
  <c r="L3884" i="4"/>
  <c r="M3876" i="4"/>
  <c r="L3876" i="4"/>
  <c r="M3868" i="4"/>
  <c r="L3868" i="4"/>
  <c r="M3860" i="4"/>
  <c r="L3860" i="4"/>
  <c r="M3852" i="4"/>
  <c r="L3852" i="4"/>
  <c r="M3844" i="4"/>
  <c r="L3844" i="4"/>
  <c r="M3836" i="4"/>
  <c r="L3836" i="4"/>
  <c r="M3828" i="4"/>
  <c r="L3828" i="4"/>
  <c r="M3820" i="4"/>
  <c r="L3820" i="4"/>
  <c r="M3812" i="4"/>
  <c r="L3812" i="4"/>
  <c r="M3804" i="4"/>
  <c r="L3804" i="4"/>
  <c r="M3796" i="4"/>
  <c r="L3796" i="4"/>
  <c r="M3788" i="4"/>
  <c r="L3788" i="4"/>
  <c r="M3780" i="4"/>
  <c r="L3780" i="4"/>
  <c r="M3772" i="4"/>
  <c r="L3772" i="4"/>
  <c r="M3764" i="4"/>
  <c r="L3764" i="4"/>
  <c r="M3756" i="4"/>
  <c r="L3756" i="4"/>
  <c r="M3748" i="4"/>
  <c r="L3748" i="4"/>
  <c r="M3740" i="4"/>
  <c r="L3740" i="4"/>
  <c r="M3732" i="4"/>
  <c r="L3732" i="4"/>
  <c r="M3724" i="4"/>
  <c r="L3724" i="4"/>
  <c r="M3716" i="4"/>
  <c r="L3716" i="4"/>
  <c r="M3708" i="4"/>
  <c r="L3708" i="4"/>
  <c r="M3700" i="4"/>
  <c r="L3700" i="4"/>
  <c r="M3692" i="4"/>
  <c r="L3692" i="4"/>
  <c r="M3684" i="4"/>
  <c r="L3684" i="4"/>
  <c r="M3676" i="4"/>
  <c r="L3676" i="4"/>
  <c r="M3668" i="4"/>
  <c r="L3668" i="4"/>
  <c r="M3660" i="4"/>
  <c r="L3660" i="4"/>
  <c r="M3652" i="4"/>
  <c r="L3652" i="4"/>
  <c r="M3644" i="4"/>
  <c r="L3644" i="4"/>
  <c r="M3636" i="4"/>
  <c r="L3636" i="4"/>
  <c r="M3628" i="4"/>
  <c r="L3628" i="4"/>
  <c r="M3620" i="4"/>
  <c r="L3620" i="4"/>
  <c r="M3612" i="4"/>
  <c r="L3612" i="4"/>
  <c r="M3604" i="4"/>
  <c r="L3604" i="4"/>
  <c r="M3596" i="4"/>
  <c r="L3596" i="4"/>
  <c r="M3588" i="4"/>
  <c r="L3588" i="4"/>
  <c r="M3580" i="4"/>
  <c r="L3580" i="4"/>
  <c r="M3572" i="4"/>
  <c r="L3572" i="4"/>
  <c r="M3564" i="4"/>
  <c r="L3564" i="4"/>
  <c r="M3556" i="4"/>
  <c r="L3556" i="4"/>
  <c r="M3548" i="4"/>
  <c r="L3548" i="4"/>
  <c r="M3540" i="4"/>
  <c r="L3540" i="4"/>
  <c r="M3532" i="4"/>
  <c r="L3532" i="4"/>
  <c r="M3524" i="4"/>
  <c r="L3524" i="4"/>
  <c r="M3516" i="4"/>
  <c r="L3516" i="4"/>
  <c r="M3508" i="4"/>
  <c r="L3508" i="4"/>
  <c r="M3500" i="4"/>
  <c r="L3500" i="4"/>
  <c r="M3492" i="4"/>
  <c r="L3492" i="4"/>
  <c r="M3484" i="4"/>
  <c r="L3484" i="4"/>
  <c r="M3476" i="4"/>
  <c r="L3476" i="4"/>
  <c r="M3468" i="4"/>
  <c r="L3468" i="4"/>
  <c r="M3460" i="4"/>
  <c r="L3460" i="4"/>
  <c r="M3452" i="4"/>
  <c r="L3452" i="4"/>
  <c r="M3444" i="4"/>
  <c r="L3444" i="4"/>
  <c r="M3436" i="4"/>
  <c r="L3436" i="4"/>
  <c r="M3428" i="4"/>
  <c r="L3428" i="4"/>
  <c r="M3420" i="4"/>
  <c r="L3420" i="4"/>
  <c r="M3412" i="4"/>
  <c r="L3412" i="4"/>
  <c r="M3404" i="4"/>
  <c r="L3404" i="4"/>
  <c r="M3396" i="4"/>
  <c r="L3396" i="4"/>
  <c r="M3388" i="4"/>
  <c r="L3388" i="4"/>
  <c r="M3380" i="4"/>
  <c r="L3380" i="4"/>
  <c r="M3372" i="4"/>
  <c r="L3372" i="4"/>
  <c r="M3364" i="4"/>
  <c r="L3364" i="4"/>
  <c r="M3356" i="4"/>
  <c r="L3356" i="4"/>
  <c r="M3348" i="4"/>
  <c r="L3348" i="4"/>
  <c r="M3340" i="4"/>
  <c r="L3340" i="4"/>
  <c r="M3332" i="4"/>
  <c r="L3332" i="4"/>
  <c r="M3324" i="4"/>
  <c r="L3324" i="4"/>
  <c r="M3316" i="4"/>
  <c r="L3316" i="4"/>
  <c r="M3308" i="4"/>
  <c r="L3308" i="4"/>
  <c r="M3300" i="4"/>
  <c r="L3300" i="4"/>
  <c r="M3292" i="4"/>
  <c r="L3292" i="4"/>
  <c r="M3284" i="4"/>
  <c r="L3284" i="4"/>
  <c r="M3276" i="4"/>
  <c r="L3276" i="4"/>
  <c r="M3268" i="4"/>
  <c r="L3268" i="4"/>
  <c r="M3260" i="4"/>
  <c r="L3260" i="4"/>
  <c r="M3252" i="4"/>
  <c r="L3252" i="4"/>
  <c r="M3244" i="4"/>
  <c r="L3244" i="4"/>
  <c r="M3236" i="4"/>
  <c r="L3236" i="4"/>
  <c r="M3228" i="4"/>
  <c r="L3228" i="4"/>
  <c r="M3220" i="4"/>
  <c r="L3220" i="4"/>
  <c r="M3212" i="4"/>
  <c r="L3212" i="4"/>
  <c r="M3204" i="4"/>
  <c r="L3204" i="4"/>
  <c r="M3196" i="4"/>
  <c r="L3196" i="4"/>
  <c r="M3188" i="4"/>
  <c r="L3188" i="4"/>
  <c r="M3180" i="4"/>
  <c r="L3180" i="4"/>
  <c r="M3172" i="4"/>
  <c r="L3172" i="4"/>
  <c r="M3164" i="4"/>
  <c r="L3164" i="4"/>
  <c r="M3156" i="4"/>
  <c r="L3156" i="4"/>
  <c r="M3148" i="4"/>
  <c r="L3148" i="4"/>
  <c r="M3140" i="4"/>
  <c r="L3140" i="4"/>
  <c r="M3132" i="4"/>
  <c r="L3132" i="4"/>
  <c r="M3124" i="4"/>
  <c r="L3124" i="4"/>
  <c r="M3116" i="4"/>
  <c r="L3116" i="4"/>
  <c r="M3108" i="4"/>
  <c r="L3108" i="4"/>
  <c r="M3100" i="4"/>
  <c r="L3100" i="4"/>
  <c r="M3092" i="4"/>
  <c r="L3092" i="4"/>
  <c r="M3084" i="4"/>
  <c r="L3084" i="4"/>
  <c r="M3076" i="4"/>
  <c r="L3076" i="4"/>
  <c r="M3068" i="4"/>
  <c r="L3068" i="4"/>
  <c r="M3060" i="4"/>
  <c r="L3060" i="4"/>
  <c r="M3052" i="4"/>
  <c r="L3052" i="4"/>
  <c r="M3044" i="4"/>
  <c r="L3044" i="4"/>
  <c r="M3036" i="4"/>
  <c r="L3036" i="4"/>
  <c r="M3028" i="4"/>
  <c r="L3028" i="4"/>
  <c r="M3020" i="4"/>
  <c r="L3020" i="4"/>
  <c r="M3012" i="4"/>
  <c r="L3012" i="4"/>
  <c r="M3004" i="4"/>
  <c r="L3004" i="4"/>
  <c r="M2996" i="4"/>
  <c r="L2996" i="4"/>
  <c r="M2988" i="4"/>
  <c r="L2988" i="4"/>
  <c r="M2980" i="4"/>
  <c r="L2980" i="4"/>
  <c r="M2972" i="4"/>
  <c r="L2972" i="4"/>
  <c r="M2964" i="4"/>
  <c r="L2964" i="4"/>
  <c r="M2956" i="4"/>
  <c r="L2956" i="4"/>
  <c r="M2948" i="4"/>
  <c r="L2948" i="4"/>
  <c r="M2940" i="4"/>
  <c r="L2940" i="4"/>
  <c r="M2932" i="4"/>
  <c r="L2932" i="4"/>
  <c r="M2924" i="4"/>
  <c r="L2924" i="4"/>
  <c r="M2916" i="4"/>
  <c r="L2916" i="4"/>
  <c r="M2908" i="4"/>
  <c r="L2908" i="4"/>
  <c r="M2900" i="4"/>
  <c r="L2900" i="4"/>
  <c r="M2892" i="4"/>
  <c r="L2892" i="4"/>
  <c r="M2884" i="4"/>
  <c r="L2884" i="4"/>
  <c r="M2876" i="4"/>
  <c r="L2876" i="4"/>
  <c r="M2868" i="4"/>
  <c r="L2868" i="4"/>
  <c r="M2860" i="4"/>
  <c r="L2860" i="4"/>
  <c r="M2852" i="4"/>
  <c r="L2852" i="4"/>
  <c r="M2844" i="4"/>
  <c r="L2844" i="4"/>
  <c r="M2836" i="4"/>
  <c r="L2836" i="4"/>
  <c r="M2828" i="4"/>
  <c r="L2828" i="4"/>
  <c r="M2820" i="4"/>
  <c r="L2820" i="4"/>
  <c r="M2812" i="4"/>
  <c r="L2812" i="4"/>
  <c r="M2804" i="4"/>
  <c r="L2804" i="4"/>
  <c r="M2796" i="4"/>
  <c r="L2796" i="4"/>
  <c r="M2788" i="4"/>
  <c r="L2788" i="4"/>
  <c r="M2780" i="4"/>
  <c r="L2780" i="4"/>
  <c r="M2772" i="4"/>
  <c r="L2772" i="4"/>
  <c r="M2764" i="4"/>
  <c r="L2764" i="4"/>
  <c r="M2756" i="4"/>
  <c r="L2756" i="4"/>
  <c r="M2748" i="4"/>
  <c r="L2748" i="4"/>
  <c r="M2740" i="4"/>
  <c r="L2740" i="4"/>
  <c r="M2732" i="4"/>
  <c r="L2732" i="4"/>
  <c r="M2724" i="4"/>
  <c r="L2724" i="4"/>
  <c r="M2716" i="4"/>
  <c r="L2716" i="4"/>
  <c r="M2708" i="4"/>
  <c r="L2708" i="4"/>
  <c r="M2700" i="4"/>
  <c r="L2700" i="4"/>
  <c r="M2692" i="4"/>
  <c r="L2692" i="4"/>
  <c r="M2684" i="4"/>
  <c r="L2684" i="4"/>
  <c r="M2676" i="4"/>
  <c r="L2676" i="4"/>
  <c r="M2668" i="4"/>
  <c r="L2668" i="4"/>
  <c r="M2660" i="4"/>
  <c r="L2660" i="4"/>
  <c r="M2652" i="4"/>
  <c r="L2652" i="4"/>
  <c r="M2644" i="4"/>
  <c r="L2644" i="4"/>
  <c r="M2636" i="4"/>
  <c r="L2636" i="4"/>
  <c r="M2628" i="4"/>
  <c r="L2628" i="4"/>
  <c r="M2620" i="4"/>
  <c r="L2620" i="4"/>
  <c r="M2612" i="4"/>
  <c r="L2612" i="4"/>
  <c r="M2604" i="4"/>
  <c r="L2604" i="4"/>
  <c r="M2596" i="4"/>
  <c r="L2596" i="4"/>
  <c r="M2588" i="4"/>
  <c r="L2588" i="4"/>
  <c r="M2580" i="4"/>
  <c r="L2580" i="4"/>
  <c r="M2572" i="4"/>
  <c r="L2572" i="4"/>
  <c r="M2564" i="4"/>
  <c r="L2564" i="4"/>
  <c r="M2556" i="4"/>
  <c r="L2556" i="4"/>
  <c r="M2548" i="4"/>
  <c r="L2548" i="4"/>
  <c r="M2540" i="4"/>
  <c r="L2540" i="4"/>
  <c r="M2532" i="4"/>
  <c r="L2532" i="4"/>
  <c r="M2524" i="4"/>
  <c r="L2524" i="4"/>
  <c r="M2516" i="4"/>
  <c r="L2516" i="4"/>
  <c r="M2508" i="4"/>
  <c r="L2508" i="4"/>
  <c r="M2500" i="4"/>
  <c r="L2500" i="4"/>
  <c r="M2492" i="4"/>
  <c r="L2492" i="4"/>
  <c r="M2484" i="4"/>
  <c r="L2484" i="4"/>
  <c r="M2476" i="4"/>
  <c r="L2476" i="4"/>
  <c r="M2468" i="4"/>
  <c r="L2468" i="4"/>
  <c r="M2460" i="4"/>
  <c r="L2460" i="4"/>
  <c r="M2452" i="4"/>
  <c r="L2452" i="4"/>
  <c r="M2444" i="4"/>
  <c r="L2444" i="4"/>
  <c r="M2436" i="4"/>
  <c r="L2436" i="4"/>
  <c r="M2428" i="4"/>
  <c r="L2428" i="4"/>
  <c r="M2420" i="4"/>
  <c r="L2420" i="4"/>
  <c r="L2412" i="4"/>
  <c r="M2412" i="4"/>
  <c r="M2404" i="4"/>
  <c r="L2404" i="4"/>
  <c r="M2396" i="4"/>
  <c r="L2396" i="4"/>
  <c r="M2388" i="4"/>
  <c r="L2388" i="4"/>
  <c r="M2380" i="4"/>
  <c r="L2380" i="4"/>
  <c r="M2372" i="4"/>
  <c r="L2372" i="4"/>
  <c r="M2364" i="4"/>
  <c r="L2364" i="4"/>
  <c r="M2356" i="4"/>
  <c r="L2356" i="4"/>
  <c r="M2348" i="4"/>
  <c r="L2348" i="4"/>
  <c r="M2340" i="4"/>
  <c r="L2340" i="4"/>
  <c r="M2332" i="4"/>
  <c r="L2332" i="4"/>
  <c r="M2324" i="4"/>
  <c r="L2324" i="4"/>
  <c r="M2316" i="4"/>
  <c r="L2316" i="4"/>
  <c r="M2308" i="4"/>
  <c r="L2308" i="4"/>
  <c r="M2300" i="4"/>
  <c r="L2300" i="4"/>
  <c r="M2292" i="4"/>
  <c r="L2292" i="4"/>
  <c r="M2284" i="4"/>
  <c r="L2284" i="4"/>
  <c r="M2276" i="4"/>
  <c r="L2276" i="4"/>
  <c r="M2268" i="4"/>
  <c r="L2268" i="4"/>
  <c r="M2260" i="4"/>
  <c r="L2260" i="4"/>
  <c r="M2252" i="4"/>
  <c r="L2252" i="4"/>
  <c r="M2244" i="4"/>
  <c r="L2244" i="4"/>
  <c r="M2236" i="4"/>
  <c r="L2236" i="4"/>
  <c r="M2228" i="4"/>
  <c r="L2228" i="4"/>
  <c r="M2220" i="4"/>
  <c r="L2220" i="4"/>
  <c r="M2212" i="4"/>
  <c r="L2212" i="4"/>
  <c r="M2204" i="4"/>
  <c r="L2204" i="4"/>
  <c r="M2196" i="4"/>
  <c r="L2196" i="4"/>
  <c r="M2188" i="4"/>
  <c r="L2188" i="4"/>
  <c r="M2180" i="4"/>
  <c r="L2180" i="4"/>
  <c r="M2172" i="4"/>
  <c r="L2172" i="4"/>
  <c r="M2164" i="4"/>
  <c r="L2164" i="4"/>
  <c r="M2156" i="4"/>
  <c r="L2156" i="4"/>
  <c r="M2148" i="4"/>
  <c r="L2148" i="4"/>
  <c r="M2140" i="4"/>
  <c r="L2140" i="4"/>
  <c r="M2132" i="4"/>
  <c r="L2132" i="4"/>
  <c r="M2124" i="4"/>
  <c r="L2124" i="4"/>
  <c r="M2116" i="4"/>
  <c r="L2116" i="4"/>
  <c r="M2108" i="4"/>
  <c r="L2108" i="4"/>
  <c r="M2100" i="4"/>
  <c r="L2100" i="4"/>
  <c r="M2092" i="4"/>
  <c r="L2092" i="4"/>
  <c r="M2084" i="4"/>
  <c r="L2084" i="4"/>
  <c r="M2076" i="4"/>
  <c r="L2076" i="4"/>
  <c r="M2068" i="4"/>
  <c r="L2068" i="4"/>
  <c r="M2060" i="4"/>
  <c r="L2060" i="4"/>
  <c r="M2052" i="4"/>
  <c r="L2052" i="4"/>
  <c r="M2044" i="4"/>
  <c r="L2044" i="4"/>
  <c r="M2036" i="4"/>
  <c r="L2036" i="4"/>
  <c r="M2028" i="4"/>
  <c r="L2028" i="4"/>
  <c r="M2020" i="4"/>
  <c r="L2020" i="4"/>
  <c r="M2012" i="4"/>
  <c r="L2012" i="4"/>
  <c r="M2004" i="4"/>
  <c r="L2004" i="4"/>
  <c r="O3712" i="4"/>
  <c r="O3741" i="4"/>
  <c r="O3740" i="4"/>
  <c r="O3755" i="4"/>
  <c r="O3792" i="4"/>
  <c r="O3794" i="4"/>
  <c r="O3803" i="4"/>
  <c r="O3802" i="4"/>
  <c r="O3797" i="4"/>
  <c r="O3796" i="4"/>
  <c r="O3795" i="4"/>
  <c r="O3793" i="4"/>
  <c r="O3791" i="4"/>
  <c r="O3775" i="4"/>
  <c r="O3774" i="4"/>
  <c r="O3773" i="4"/>
  <c r="O3759" i="4"/>
  <c r="O3758" i="4"/>
  <c r="O3757" i="4"/>
  <c r="O3756" i="4"/>
  <c r="O3754" i="4"/>
  <c r="O3753" i="4"/>
  <c r="O3744" i="4"/>
  <c r="O3743" i="4"/>
  <c r="O3742" i="4"/>
  <c r="O3739" i="4"/>
  <c r="O3715" i="4"/>
  <c r="O3714" i="4"/>
  <c r="O3713" i="4"/>
  <c r="O3711" i="4"/>
  <c r="O3710" i="4"/>
  <c r="O3709" i="4"/>
  <c r="O3708" i="4"/>
  <c r="O3707" i="4"/>
  <c r="O3706" i="4"/>
  <c r="O3705" i="4"/>
  <c r="O3704" i="4"/>
  <c r="O3693" i="4"/>
  <c r="O3692" i="4"/>
  <c r="O3691" i="4"/>
  <c r="O3673" i="4"/>
  <c r="O3672" i="4"/>
  <c r="O3670" i="4"/>
  <c r="O3668" i="4"/>
  <c r="O3661" i="4"/>
  <c r="O3660" i="4"/>
  <c r="O3659" i="4"/>
  <c r="O3658" i="4"/>
  <c r="O3657" i="4"/>
  <c r="O3656" i="4"/>
  <c r="O3655" i="4"/>
  <c r="O3654" i="4"/>
  <c r="O3652" i="4"/>
  <c r="O3650" i="4"/>
  <c r="O3649" i="4"/>
  <c r="O3648" i="4"/>
  <c r="O3653" i="4"/>
  <c r="O3669" i="4"/>
  <c r="O3671" i="4"/>
  <c r="O3694" i="4"/>
  <c r="O4125" i="4" l="1"/>
  <c r="O4124" i="4"/>
  <c r="O4123" i="4"/>
  <c r="O4122" i="4"/>
  <c r="O4121" i="4"/>
  <c r="O4120" i="4"/>
  <c r="O4071" i="4"/>
  <c r="O4070" i="4"/>
  <c r="O4069" i="4"/>
  <c r="O4068" i="4"/>
  <c r="P4068" i="4" s="1"/>
  <c r="O4067" i="4"/>
  <c r="O4055" i="4"/>
  <c r="O4077" i="4"/>
  <c r="O4076" i="4"/>
  <c r="O4075" i="4"/>
  <c r="O4074" i="4"/>
  <c r="O4073" i="4"/>
  <c r="O4072" i="4"/>
  <c r="O3958" i="4"/>
  <c r="O3957" i="4"/>
  <c r="O3956" i="4"/>
  <c r="O3955" i="4"/>
  <c r="O4000" i="4"/>
  <c r="O3999" i="4"/>
  <c r="O3998" i="4"/>
  <c r="O3997" i="4"/>
  <c r="O3996" i="4"/>
  <c r="O3763" i="4"/>
  <c r="O3762" i="4"/>
  <c r="O3761" i="4"/>
  <c r="O3760" i="4"/>
  <c r="P3760" i="4" s="1"/>
  <c r="O4037" i="4"/>
  <c r="O4036" i="4"/>
  <c r="O4035" i="4"/>
  <c r="O4034" i="4"/>
  <c r="O4033" i="4"/>
  <c r="O4032" i="4"/>
  <c r="O4031" i="4"/>
  <c r="O4030" i="4"/>
  <c r="O4029" i="4"/>
  <c r="O4028" i="4"/>
  <c r="O4027" i="4"/>
  <c r="O3613" i="4"/>
  <c r="O3647" i="4"/>
  <c r="O3646" i="4"/>
  <c r="O3627" i="4"/>
  <c r="O3626" i="4"/>
  <c r="O3625" i="4"/>
  <c r="O3624" i="4"/>
  <c r="O3623" i="4"/>
  <c r="O3617" i="4"/>
  <c r="O3616" i="4"/>
  <c r="O3615" i="4"/>
  <c r="O3614" i="4"/>
  <c r="O3612" i="4"/>
  <c r="O3611" i="4"/>
  <c r="O3610" i="4"/>
  <c r="O3609" i="4"/>
  <c r="O3608" i="4"/>
  <c r="O3607" i="4"/>
  <c r="O3598" i="4"/>
  <c r="O3597" i="4"/>
  <c r="O3596" i="4"/>
  <c r="O3595" i="4"/>
  <c r="P3671" i="4"/>
  <c r="O2828" i="4"/>
  <c r="O2831" i="4"/>
  <c r="O2830" i="4"/>
  <c r="O2829" i="4"/>
  <c r="O2816" i="4"/>
  <c r="O2815" i="4"/>
  <c r="O2795" i="4"/>
  <c r="O2794" i="4"/>
  <c r="O2781" i="4"/>
  <c r="R2" i="4"/>
  <c r="E2" i="4"/>
  <c r="J2" i="4"/>
  <c r="I2" i="4"/>
  <c r="P4125" i="4" l="1"/>
  <c r="P4124" i="4"/>
  <c r="P4123" i="4"/>
  <c r="P4122" i="4"/>
  <c r="P4121" i="4"/>
  <c r="P4120" i="4"/>
  <c r="P4119" i="4"/>
  <c r="P4118" i="4"/>
  <c r="P4117" i="4"/>
  <c r="P4116" i="4"/>
  <c r="P4115" i="4"/>
  <c r="P4114" i="4"/>
  <c r="P4113" i="4"/>
  <c r="P4112" i="4"/>
  <c r="P4111" i="4"/>
  <c r="P4110" i="4"/>
  <c r="P4107" i="4"/>
  <c r="P4106" i="4"/>
  <c r="P4105" i="4"/>
  <c r="P4104" i="4"/>
  <c r="P4103" i="4"/>
  <c r="P4102" i="4"/>
  <c r="P4101" i="4"/>
  <c r="P4100" i="4"/>
  <c r="P4099" i="4"/>
  <c r="P4098" i="4"/>
  <c r="P4097" i="4"/>
  <c r="P4096" i="4"/>
  <c r="P4095" i="4"/>
  <c r="P4094" i="4"/>
  <c r="P4093" i="4"/>
  <c r="P4092" i="4"/>
  <c r="P4091" i="4"/>
  <c r="P4090" i="4"/>
  <c r="P4089" i="4"/>
  <c r="P4088" i="4"/>
  <c r="P4087" i="4"/>
  <c r="P4086" i="4"/>
  <c r="P4085" i="4"/>
  <c r="P4084" i="4"/>
  <c r="P4083" i="4"/>
  <c r="P4082" i="4"/>
  <c r="P4081" i="4"/>
  <c r="P4080" i="4"/>
  <c r="P4079" i="4"/>
  <c r="P4078" i="4"/>
  <c r="P4077" i="4"/>
  <c r="P4076" i="4"/>
  <c r="P4075" i="4"/>
  <c r="P4074" i="4"/>
  <c r="P4073" i="4"/>
  <c r="P4072" i="4"/>
  <c r="P4071" i="4"/>
  <c r="P4070" i="4"/>
  <c r="P4069" i="4"/>
  <c r="P4067" i="4"/>
  <c r="P4066" i="4"/>
  <c r="P4065" i="4"/>
  <c r="P4064" i="4"/>
  <c r="P4063" i="4"/>
  <c r="P4062" i="4"/>
  <c r="P4061" i="4"/>
  <c r="P4060" i="4"/>
  <c r="P4059" i="4"/>
  <c r="P4058" i="4"/>
  <c r="P4057" i="4"/>
  <c r="P4056" i="4"/>
  <c r="P4055" i="4"/>
  <c r="P4052" i="4"/>
  <c r="P4051" i="4"/>
  <c r="P4050" i="4"/>
  <c r="P4049" i="4"/>
  <c r="P4048" i="4"/>
  <c r="P4047" i="4"/>
  <c r="P4046" i="4"/>
  <c r="P4045" i="4"/>
  <c r="P4044" i="4"/>
  <c r="P4043" i="4"/>
  <c r="P4042" i="4"/>
  <c r="P4041" i="4"/>
  <c r="P4040" i="4"/>
  <c r="P4039" i="4"/>
  <c r="P4038" i="4"/>
  <c r="P4037" i="4"/>
  <c r="P4036" i="4"/>
  <c r="P4035" i="4"/>
  <c r="P4034" i="4"/>
  <c r="P4033" i="4"/>
  <c r="P4032" i="4"/>
  <c r="P4031" i="4"/>
  <c r="P4030" i="4"/>
  <c r="P4029" i="4"/>
  <c r="P4028" i="4"/>
  <c r="P4027" i="4"/>
  <c r="P4026" i="4"/>
  <c r="P4025" i="4"/>
  <c r="P4024" i="4"/>
  <c r="P4023" i="4"/>
  <c r="P4022" i="4"/>
  <c r="O3863" i="4" l="1"/>
  <c r="O3862" i="4"/>
  <c r="O3861" i="4"/>
  <c r="O3910" i="4"/>
  <c r="O3498" i="4" l="1"/>
  <c r="P3498" i="4" s="1"/>
  <c r="O3469" i="4"/>
  <c r="O3468" i="4"/>
  <c r="O3467" i="4"/>
  <c r="O3466" i="4"/>
  <c r="O3465" i="4"/>
  <c r="O3464" i="4"/>
  <c r="O3463" i="4"/>
  <c r="O3913" i="4"/>
  <c r="O3912" i="4"/>
  <c r="O3911" i="4"/>
  <c r="O3778" i="4"/>
  <c r="O3777" i="4"/>
  <c r="O3776" i="4"/>
  <c r="O3969" i="4"/>
  <c r="O3968" i="4"/>
  <c r="O3967" i="4"/>
  <c r="O3966" i="4"/>
  <c r="O3965" i="4"/>
  <c r="O3964" i="4"/>
  <c r="O3963" i="4"/>
  <c r="O3962" i="4"/>
  <c r="O3938" i="4"/>
  <c r="O3937" i="4"/>
  <c r="O3936" i="4"/>
  <c r="O3935" i="4"/>
  <c r="O3916" i="4"/>
  <c r="O3915" i="4"/>
  <c r="O3914" i="4"/>
  <c r="O3900" i="4"/>
  <c r="O3899" i="4"/>
  <c r="O3876" i="4"/>
  <c r="O3875" i="4"/>
  <c r="O3874" i="4"/>
  <c r="O3873" i="4"/>
  <c r="O3872" i="4"/>
  <c r="O3995" i="4"/>
  <c r="O3994" i="4"/>
  <c r="O3993" i="4"/>
  <c r="O3928" i="4"/>
  <c r="O3927" i="4"/>
  <c r="O3908" i="4"/>
  <c r="O3907" i="4"/>
  <c r="O3594" i="4"/>
  <c r="O3593" i="4"/>
  <c r="O3586" i="4"/>
  <c r="O3585" i="4"/>
  <c r="O3583" i="4"/>
  <c r="O3582" i="4"/>
  <c r="O3581" i="4"/>
  <c r="O3580" i="4"/>
  <c r="O3578" i="4"/>
  <c r="O3577" i="4"/>
  <c r="O3565" i="4"/>
  <c r="O3564" i="4"/>
  <c r="O3561" i="4"/>
  <c r="O3545" i="4"/>
  <c r="O3544" i="4"/>
  <c r="O3531" i="4"/>
  <c r="O3530" i="4"/>
  <c r="O3529" i="4"/>
  <c r="O3527" i="4"/>
  <c r="O3508" i="4"/>
  <c r="O3507" i="4"/>
  <c r="O3506" i="4"/>
  <c r="O3505" i="4"/>
  <c r="O3504" i="4"/>
  <c r="O3503" i="4"/>
  <c r="O3497" i="4"/>
  <c r="O3496" i="4"/>
  <c r="O3495" i="4"/>
  <c r="O3493" i="4"/>
  <c r="O3480" i="4"/>
  <c r="O3479" i="4"/>
  <c r="O3478" i="4"/>
  <c r="O3477" i="4"/>
  <c r="O3474" i="4"/>
  <c r="O3457" i="4"/>
  <c r="O3456" i="4"/>
  <c r="O3455" i="4"/>
  <c r="O3454" i="4"/>
  <c r="O3452" i="4"/>
  <c r="O3444" i="4"/>
  <c r="O3443" i="4"/>
  <c r="O3442" i="4"/>
  <c r="O3441" i="4"/>
  <c r="O3440" i="4"/>
  <c r="O3584" i="4"/>
  <c r="O3579" i="4"/>
  <c r="O3566" i="4"/>
  <c r="O3563" i="4"/>
  <c r="O3562" i="4"/>
  <c r="O3543" i="4"/>
  <c r="O3532" i="4"/>
  <c r="O3528" i="4"/>
  <c r="O3494" i="4"/>
  <c r="O3453" i="4"/>
  <c r="O2780" i="4"/>
  <c r="O2779" i="4"/>
  <c r="O2778" i="4"/>
  <c r="O2758" i="4"/>
  <c r="O2757" i="4"/>
  <c r="O2756" i="4"/>
  <c r="O2728" i="4"/>
  <c r="O2727" i="4"/>
  <c r="P4021" i="4" l="1"/>
  <c r="P4020" i="4"/>
  <c r="P4019" i="4"/>
  <c r="P4018" i="4"/>
  <c r="P4017" i="4"/>
  <c r="P4016" i="4"/>
  <c r="P4015" i="4"/>
  <c r="P4014" i="4"/>
  <c r="P4013" i="4"/>
  <c r="P4012" i="4"/>
  <c r="P4011" i="4"/>
  <c r="P4010" i="4"/>
  <c r="P4009" i="4"/>
  <c r="P4008" i="4"/>
  <c r="P4007" i="4"/>
  <c r="P4006" i="4"/>
  <c r="P4005" i="4"/>
  <c r="P4004" i="4"/>
  <c r="P4003" i="4"/>
  <c r="P4002" i="4"/>
  <c r="P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P3954" i="4"/>
  <c r="P3953" i="4"/>
  <c r="P3952" i="4"/>
  <c r="P3951" i="4"/>
  <c r="P3950" i="4"/>
  <c r="P3949" i="4"/>
  <c r="P3948" i="4"/>
  <c r="P3947" i="4"/>
  <c r="P3946" i="4"/>
  <c r="P3945" i="4"/>
  <c r="P3944" i="4"/>
  <c r="P3943" i="4"/>
  <c r="P3942" i="4"/>
  <c r="P3941" i="4"/>
  <c r="P3940" i="4"/>
  <c r="P3939" i="4"/>
  <c r="P3938" i="4"/>
  <c r="P3937" i="4"/>
  <c r="P3936" i="4"/>
  <c r="P3935" i="4"/>
  <c r="P3934" i="4"/>
  <c r="P3933" i="4"/>
  <c r="P3932" i="4"/>
  <c r="P3931" i="4"/>
  <c r="P3930" i="4"/>
  <c r="P3929" i="4"/>
  <c r="P3928" i="4"/>
  <c r="P3927" i="4"/>
  <c r="P3926" i="4"/>
  <c r="P3925" i="4"/>
  <c r="P3924" i="4"/>
  <c r="P3923" i="4"/>
  <c r="P3922" i="4"/>
  <c r="P3921" i="4"/>
  <c r="P3920" i="4"/>
  <c r="P3919" i="4"/>
  <c r="P3918" i="4"/>
  <c r="P3917" i="4"/>
  <c r="P3916" i="4"/>
  <c r="P3915" i="4"/>
  <c r="P3914" i="4"/>
  <c r="P3913" i="4"/>
  <c r="P3912" i="4"/>
  <c r="P3911" i="4"/>
  <c r="P3910" i="4"/>
  <c r="P3469" i="4" l="1"/>
  <c r="P3468" i="4"/>
  <c r="P3467" i="4"/>
  <c r="P3466" i="4"/>
  <c r="P3465" i="4"/>
  <c r="P3464" i="4"/>
  <c r="P3463" i="4"/>
  <c r="P3462" i="4"/>
  <c r="P3461" i="4"/>
  <c r="P3460" i="4"/>
  <c r="P3459" i="4"/>
  <c r="P3458" i="4"/>
  <c r="P3452" i="4"/>
  <c r="P3451" i="4"/>
  <c r="P3446" i="4"/>
  <c r="P3445" i="4"/>
  <c r="O3439" i="4"/>
  <c r="P3439" i="4" s="1"/>
  <c r="O3434" i="4"/>
  <c r="O3433" i="4"/>
  <c r="P3561" i="4"/>
  <c r="P3545" i="4"/>
  <c r="P3544" i="4"/>
  <c r="P3543" i="4"/>
  <c r="P3532" i="4"/>
  <c r="P3531" i="4"/>
  <c r="P3530" i="4"/>
  <c r="P3529" i="4"/>
  <c r="P3528" i="4"/>
  <c r="P3527" i="4"/>
  <c r="P3508" i="4"/>
  <c r="P3507" i="4"/>
  <c r="P3506" i="4"/>
  <c r="P3505" i="4"/>
  <c r="P3494" i="4"/>
  <c r="P3493" i="4"/>
  <c r="P3480" i="4"/>
  <c r="P3479" i="4"/>
  <c r="P3478" i="4"/>
  <c r="P3504" i="4"/>
  <c r="P3503" i="4"/>
  <c r="P3497" i="4"/>
  <c r="P3496" i="4"/>
  <c r="P3495" i="4"/>
  <c r="P3477" i="4"/>
  <c r="P3474" i="4"/>
  <c r="P3457" i="4"/>
  <c r="P3456" i="4"/>
  <c r="P3455" i="4"/>
  <c r="P3454" i="4"/>
  <c r="P3453" i="4"/>
  <c r="P3444" i="4"/>
  <c r="P3443" i="4"/>
  <c r="P3442" i="4"/>
  <c r="P3441" i="4"/>
  <c r="P3440" i="4"/>
  <c r="O3405" i="4"/>
  <c r="O3404" i="4"/>
  <c r="O3432" i="4"/>
  <c r="O3431" i="4"/>
  <c r="O3430" i="4"/>
  <c r="O3408" i="4"/>
  <c r="O3407" i="4"/>
  <c r="O3406" i="4"/>
  <c r="O3403" i="4"/>
  <c r="O3400" i="4"/>
  <c r="O3399" i="4"/>
  <c r="O3398" i="4"/>
  <c r="O3850" i="4"/>
  <c r="O3849" i="4"/>
  <c r="O3848" i="4"/>
  <c r="O3847" i="4"/>
  <c r="O3846" i="4"/>
  <c r="O3845" i="4"/>
  <c r="O3381" i="4"/>
  <c r="O3380" i="4"/>
  <c r="O3379" i="4"/>
  <c r="O3378" i="4"/>
  <c r="O3377" i="4"/>
  <c r="O3376" i="4"/>
  <c r="O3375" i="4"/>
  <c r="O3374" i="4"/>
  <c r="O3909" i="4"/>
  <c r="O3690" i="4"/>
  <c r="O3689" i="4"/>
  <c r="O3688" i="4"/>
  <c r="O3687" i="4"/>
  <c r="O3651" i="4"/>
  <c r="O3857" i="4" l="1"/>
  <c r="P3857" i="4" s="1"/>
  <c r="O3856" i="4"/>
  <c r="P3856" i="4" s="1"/>
  <c r="O3844" i="4"/>
  <c r="P3844" i="4" s="1"/>
  <c r="O3843" i="4"/>
  <c r="P3843" i="4" s="1"/>
  <c r="O3842" i="4"/>
  <c r="P3842" i="4" s="1"/>
  <c r="O3841" i="4"/>
  <c r="P3841" i="4" s="1"/>
  <c r="O3840" i="4"/>
  <c r="P3840" i="4" s="1"/>
  <c r="O3839" i="4"/>
  <c r="P3839" i="4" s="1"/>
  <c r="O3870" i="4"/>
  <c r="P3870" i="4" s="1"/>
  <c r="O3869" i="4"/>
  <c r="P3869" i="4" s="1"/>
  <c r="O3868" i="4"/>
  <c r="P3868" i="4" s="1"/>
  <c r="O3867" i="4"/>
  <c r="P3867" i="4" s="1"/>
  <c r="O3860" i="4"/>
  <c r="P3860" i="4" s="1"/>
  <c r="O3859" i="4"/>
  <c r="P3859" i="4" s="1"/>
  <c r="O3858" i="4"/>
  <c r="P3858" i="4" s="1"/>
  <c r="O3830" i="4"/>
  <c r="O3829" i="4"/>
  <c r="O3828" i="4"/>
  <c r="O3827" i="4"/>
  <c r="O3787" i="4"/>
  <c r="O3790" i="4"/>
  <c r="O3789" i="4"/>
  <c r="O3788" i="4"/>
  <c r="O3832" i="4"/>
  <c r="O3831" i="4"/>
  <c r="P3831" i="4" s="1"/>
  <c r="O3767" i="4"/>
  <c r="O3766" i="4"/>
  <c r="O3765" i="4"/>
  <c r="O3764" i="4"/>
  <c r="O2664" i="4"/>
  <c r="O2695" i="4"/>
  <c r="O2721" i="4"/>
  <c r="O2726" i="4"/>
  <c r="O2725" i="4"/>
  <c r="O2724" i="4"/>
  <c r="O2723" i="4"/>
  <c r="O2722" i="4"/>
  <c r="O2696" i="4"/>
  <c r="O2666" i="4"/>
  <c r="O2665" i="4"/>
  <c r="O2663" i="4"/>
  <c r="O2662" i="4"/>
  <c r="O2661" i="4"/>
  <c r="P3832" i="4"/>
  <c r="P3833" i="4"/>
  <c r="P3834" i="4"/>
  <c r="P3835" i="4"/>
  <c r="P3836" i="4"/>
  <c r="P3837" i="4"/>
  <c r="P3838" i="4"/>
  <c r="P3845" i="4"/>
  <c r="P3846" i="4"/>
  <c r="P3847" i="4"/>
  <c r="P3848" i="4"/>
  <c r="P3849" i="4"/>
  <c r="P3850" i="4"/>
  <c r="P3851" i="4"/>
  <c r="P3852" i="4"/>
  <c r="P3853" i="4"/>
  <c r="P3854" i="4"/>
  <c r="P3855" i="4"/>
  <c r="P3861" i="4"/>
  <c r="P3862" i="4"/>
  <c r="P3863" i="4"/>
  <c r="P3864" i="4"/>
  <c r="P3865" i="4"/>
  <c r="P3866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O3076" i="4" l="1"/>
  <c r="O2395" i="4"/>
  <c r="O3322" i="4"/>
  <c r="O3321" i="4"/>
  <c r="O3320" i="4"/>
  <c r="O3319" i="4"/>
  <c r="O3318" i="4"/>
  <c r="O3317" i="4"/>
  <c r="O3316" i="4"/>
  <c r="O3315" i="4"/>
  <c r="O3314" i="4"/>
  <c r="O3278" i="4"/>
  <c r="O3277" i="4"/>
  <c r="O3276" i="4"/>
  <c r="O3275" i="4"/>
  <c r="O3274" i="4"/>
  <c r="O3273" i="4"/>
  <c r="O3272" i="4"/>
  <c r="O3271" i="4"/>
  <c r="O3769" i="4"/>
  <c r="P3769" i="4" s="1"/>
  <c r="O3768" i="4"/>
  <c r="P3768" i="4" s="1"/>
  <c r="O3641" i="4"/>
  <c r="O3640" i="4"/>
  <c r="O3639" i="4"/>
  <c r="O3801" i="4"/>
  <c r="P3801" i="4" s="1"/>
  <c r="O3800" i="4"/>
  <c r="P3800" i="4" s="1"/>
  <c r="O3799" i="4"/>
  <c r="P3799" i="4" s="1"/>
  <c r="O3798" i="4"/>
  <c r="P3798" i="4" s="1"/>
  <c r="O3786" i="4"/>
  <c r="P3786" i="4" s="1"/>
  <c r="O3772" i="4"/>
  <c r="P3772" i="4" s="1"/>
  <c r="O3771" i="4"/>
  <c r="P3771" i="4" s="1"/>
  <c r="O3723" i="4"/>
  <c r="P3723" i="4" s="1"/>
  <c r="O3722" i="4"/>
  <c r="P3722" i="4" s="1"/>
  <c r="O3721" i="4"/>
  <c r="P3721" i="4" s="1"/>
  <c r="O3752" i="4"/>
  <c r="P3752" i="4" s="1"/>
  <c r="O3293" i="4"/>
  <c r="O3292" i="4"/>
  <c r="O3291" i="4"/>
  <c r="O3290" i="4"/>
  <c r="O3289" i="4"/>
  <c r="O3288" i="4"/>
  <c r="O3287" i="4"/>
  <c r="O3286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07" i="4"/>
  <c r="P3806" i="4"/>
  <c r="P3805" i="4"/>
  <c r="P3804" i="4"/>
  <c r="P3803" i="4"/>
  <c r="P3802" i="4"/>
  <c r="P3797" i="4"/>
  <c r="P3796" i="4"/>
  <c r="P3795" i="4"/>
  <c r="P3794" i="4"/>
  <c r="P3793" i="4"/>
  <c r="P3792" i="4"/>
  <c r="P3791" i="4"/>
  <c r="P3790" i="4"/>
  <c r="P3789" i="4"/>
  <c r="P3788" i="4"/>
  <c r="P3787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0" i="4"/>
  <c r="P3767" i="4"/>
  <c r="P3766" i="4"/>
  <c r="P3765" i="4"/>
  <c r="P3764" i="4"/>
  <c r="P3763" i="4"/>
  <c r="P3762" i="4"/>
  <c r="P3761" i="4"/>
  <c r="P3759" i="4"/>
  <c r="P3758" i="4"/>
  <c r="P3757" i="4"/>
  <c r="P3756" i="4"/>
  <c r="P3755" i="4"/>
  <c r="P3754" i="4"/>
  <c r="P3753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O3812" i="4"/>
  <c r="P3812" i="4" s="1"/>
  <c r="O3811" i="4"/>
  <c r="P3811" i="4" s="1"/>
  <c r="O3810" i="4"/>
  <c r="P3810" i="4" s="1"/>
  <c r="O3809" i="4"/>
  <c r="P3809" i="4" s="1"/>
  <c r="O3808" i="4"/>
  <c r="P3808" i="4" s="1"/>
  <c r="O3738" i="4"/>
  <c r="P3738" i="4" s="1"/>
  <c r="O3737" i="4"/>
  <c r="P3737" i="4" s="1"/>
  <c r="O3736" i="4"/>
  <c r="P3736" i="4" s="1"/>
  <c r="O3735" i="4"/>
  <c r="P3735" i="4" s="1"/>
  <c r="O3734" i="4"/>
  <c r="P3734" i="4" s="1"/>
  <c r="O3733" i="4"/>
  <c r="P3733" i="4" s="1"/>
  <c r="O3732" i="4"/>
  <c r="P3732" i="4" s="1"/>
  <c r="O3731" i="4"/>
  <c r="P3731" i="4" s="1"/>
  <c r="O3730" i="4"/>
  <c r="P3730" i="4" s="1"/>
  <c r="O3729" i="4"/>
  <c r="P3729" i="4" s="1"/>
  <c r="O3728" i="4"/>
  <c r="P3728" i="4" s="1"/>
  <c r="O3727" i="4"/>
  <c r="P3727" i="4" s="1"/>
  <c r="O3726" i="4"/>
  <c r="P3726" i="4" s="1"/>
  <c r="O3725" i="4"/>
  <c r="P3725" i="4" s="1"/>
  <c r="O3724" i="4"/>
  <c r="P3724" i="4" s="1"/>
  <c r="O2637" i="4"/>
  <c r="O2636" i="4"/>
  <c r="O2635" i="4"/>
  <c r="O2634" i="4"/>
  <c r="O2595" i="4"/>
  <c r="O2594" i="4"/>
  <c r="O2593" i="4"/>
  <c r="O2592" i="4"/>
  <c r="O3308" i="4"/>
  <c r="O3325" i="4"/>
  <c r="O3324" i="4"/>
  <c r="O3328" i="4"/>
  <c r="O3344" i="4"/>
  <c r="O3359" i="4"/>
  <c r="O3358" i="4"/>
  <c r="O3397" i="4"/>
  <c r="O3396" i="4"/>
  <c r="O3395" i="4"/>
  <c r="O3394" i="4"/>
  <c r="O3363" i="4"/>
  <c r="O3362" i="4"/>
  <c r="O3361" i="4"/>
  <c r="O3360" i="4"/>
  <c r="O3357" i="4"/>
  <c r="O3348" i="4"/>
  <c r="O3347" i="4"/>
  <c r="O3346" i="4"/>
  <c r="O3345" i="4"/>
  <c r="O3343" i="4"/>
  <c r="O3327" i="4"/>
  <c r="O3326" i="4"/>
  <c r="O3323" i="4"/>
  <c r="O3311" i="4"/>
  <c r="O3310" i="4"/>
  <c r="O3309" i="4"/>
  <c r="O3307" i="4"/>
  <c r="O3306" i="4"/>
  <c r="O3285" i="4"/>
  <c r="O3284" i="4"/>
  <c r="O3283" i="4"/>
  <c r="O3282" i="4"/>
  <c r="O3686" i="4"/>
  <c r="O3685" i="4"/>
  <c r="O3684" i="4"/>
  <c r="O3720" i="4"/>
  <c r="O3719" i="4"/>
  <c r="O3683" i="4"/>
  <c r="O3682" i="4"/>
  <c r="O3679" i="4"/>
  <c r="O3678" i="4"/>
  <c r="O3677" i="4"/>
  <c r="O3676" i="4"/>
  <c r="O3675" i="4"/>
  <c r="O3674" i="4"/>
  <c r="O3217" i="4"/>
  <c r="O3216" i="4"/>
  <c r="O3215" i="4"/>
  <c r="O3214" i="4"/>
  <c r="O3213" i="4"/>
  <c r="O3212" i="4"/>
  <c r="O3211" i="4"/>
  <c r="O3210" i="4"/>
  <c r="O3261" i="4"/>
  <c r="O3281" i="4"/>
  <c r="O3280" i="4"/>
  <c r="O3270" i="4"/>
  <c r="O3269" i="4"/>
  <c r="O3267" i="4"/>
  <c r="O3268" i="4"/>
  <c r="O3263" i="4"/>
  <c r="O3262" i="4"/>
  <c r="O3249" i="4"/>
  <c r="O3260" i="4"/>
  <c r="O3256" i="4"/>
  <c r="O3253" i="4"/>
  <c r="O3252" i="4"/>
  <c r="O3251" i="4"/>
  <c r="O3250" i="4"/>
  <c r="O3248" i="4"/>
  <c r="O3236" i="4"/>
  <c r="O3556" i="4"/>
  <c r="O3553" i="4"/>
  <c r="P3553" i="4" s="1"/>
  <c r="O3552" i="4"/>
  <c r="P3552" i="4" s="1"/>
  <c r="O3551" i="4"/>
  <c r="P3551" i="4" s="1"/>
  <c r="O3484" i="4"/>
  <c r="P3484" i="4" s="1"/>
  <c r="P3690" i="4"/>
  <c r="P3393" i="4"/>
  <c r="O2549" i="4"/>
  <c r="O2563" i="4"/>
  <c r="O2562" i="4"/>
  <c r="O2561" i="4"/>
  <c r="O2560" i="4"/>
  <c r="O2550" i="4"/>
  <c r="P3720" i="4" l="1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O2534" i="4" l="1"/>
  <c r="O2533" i="4"/>
  <c r="O2532" i="4"/>
  <c r="O2504" i="4"/>
  <c r="O2503" i="4"/>
  <c r="O2502" i="4"/>
  <c r="O2501" i="4"/>
  <c r="O3557" i="4"/>
  <c r="P3557" i="4" s="1"/>
  <c r="O3060" i="4"/>
  <c r="O3059" i="4"/>
  <c r="O3038" i="4"/>
  <c r="O3037" i="4"/>
  <c r="O2449" i="4"/>
  <c r="O2448" i="4"/>
  <c r="O2447" i="4"/>
  <c r="O2446" i="4"/>
  <c r="O3391" i="4"/>
  <c r="O3642" i="4"/>
  <c r="P3642" i="4" s="1"/>
  <c r="O3645" i="4"/>
  <c r="P3645" i="4" s="1"/>
  <c r="O3644" i="4"/>
  <c r="P3644" i="4" s="1"/>
  <c r="O3643" i="4"/>
  <c r="P3643" i="4" s="1"/>
  <c r="O3606" i="4"/>
  <c r="P3606" i="4" s="1"/>
  <c r="O3605" i="4"/>
  <c r="P3605" i="4" s="1"/>
  <c r="O3604" i="4"/>
  <c r="P3604" i="4" s="1"/>
  <c r="O3603" i="4"/>
  <c r="P3603" i="4" s="1"/>
  <c r="O3390" i="4"/>
  <c r="O3389" i="4"/>
  <c r="O3388" i="4"/>
  <c r="O3549" i="4"/>
  <c r="P3549" i="4" s="1"/>
  <c r="O3548" i="4"/>
  <c r="P3548" i="4" s="1"/>
  <c r="O3547" i="4"/>
  <c r="P3547" i="4" s="1"/>
  <c r="O3546" i="4"/>
  <c r="P3546" i="4" s="1"/>
  <c r="O3555" i="4"/>
  <c r="P3555" i="4" s="1"/>
  <c r="O3185" i="4"/>
  <c r="O3184" i="4"/>
  <c r="O3183" i="4"/>
  <c r="O3172" i="4"/>
  <c r="O3171" i="4"/>
  <c r="O3170" i="4"/>
  <c r="O3120" i="4"/>
  <c r="O3119" i="4"/>
  <c r="O3118" i="4"/>
  <c r="O3117" i="4"/>
  <c r="O3116" i="4"/>
  <c r="O3115" i="4"/>
  <c r="O3114" i="4"/>
  <c r="O3190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03" i="4"/>
  <c r="O3202" i="4"/>
  <c r="O3201" i="4"/>
  <c r="O3200" i="4"/>
  <c r="O3199" i="4"/>
  <c r="O3198" i="4"/>
  <c r="O3180" i="4"/>
  <c r="O3189" i="4"/>
  <c r="O3188" i="4"/>
  <c r="O3187" i="4"/>
  <c r="O3186" i="4"/>
  <c r="O3182" i="4"/>
  <c r="O3181" i="4"/>
  <c r="O3157" i="4"/>
  <c r="O3179" i="4"/>
  <c r="O3161" i="4"/>
  <c r="O3160" i="4"/>
  <c r="O3159" i="4"/>
  <c r="O3158" i="4"/>
  <c r="O3132" i="4"/>
  <c r="O3156" i="4"/>
  <c r="O3154" i="4"/>
  <c r="O3153" i="4"/>
  <c r="O3152" i="4"/>
  <c r="O3151" i="4"/>
  <c r="O3146" i="4"/>
  <c r="O3136" i="4"/>
  <c r="O3135" i="4"/>
  <c r="O3134" i="4"/>
  <c r="O3133" i="4"/>
  <c r="O3072" i="4"/>
  <c r="O3131" i="4"/>
  <c r="O3101" i="4"/>
  <c r="O3100" i="4"/>
  <c r="O3087" i="4"/>
  <c r="O3075" i="4"/>
  <c r="O3074" i="4"/>
  <c r="O3073" i="4"/>
  <c r="O3081" i="4"/>
  <c r="O3012" i="4"/>
  <c r="O3011" i="4"/>
  <c r="O3010" i="4"/>
  <c r="O3009" i="4"/>
  <c r="O3008" i="4"/>
  <c r="O3007" i="4"/>
  <c r="O3006" i="4"/>
  <c r="P3650" i="4"/>
  <c r="P3649" i="4"/>
  <c r="P3648" i="4"/>
  <c r="P3647" i="4"/>
  <c r="P3646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2" i="4"/>
  <c r="P3601" i="4"/>
  <c r="P3600" i="4"/>
  <c r="P3599" i="4"/>
  <c r="P3598" i="4"/>
  <c r="P3597" i="4"/>
  <c r="P3596" i="4"/>
  <c r="P3595" i="4"/>
  <c r="P3594" i="4"/>
  <c r="P3593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0" i="4"/>
  <c r="P3559" i="4"/>
  <c r="P3558" i="4"/>
  <c r="P3556" i="4"/>
  <c r="O2980" i="4"/>
  <c r="O2979" i="4"/>
  <c r="O2978" i="4"/>
  <c r="O2977" i="4"/>
  <c r="O3099" i="4"/>
  <c r="O3098" i="4"/>
  <c r="O3097" i="4"/>
  <c r="O3096" i="4"/>
  <c r="O3095" i="4"/>
  <c r="O3094" i="4"/>
  <c r="O3093" i="4"/>
  <c r="O3538" i="4"/>
  <c r="P3538" i="4" s="1"/>
  <c r="O3537" i="4"/>
  <c r="P3537" i="4" s="1"/>
  <c r="O3536" i="4"/>
  <c r="P3536" i="4" s="1"/>
  <c r="O3535" i="4"/>
  <c r="P3535" i="4" s="1"/>
  <c r="O3534" i="4"/>
  <c r="P3534" i="4" s="1"/>
  <c r="O3476" i="4"/>
  <c r="P3476" i="4" s="1"/>
  <c r="O3475" i="4"/>
  <c r="P3475" i="4" s="1"/>
  <c r="O3542" i="4"/>
  <c r="P3542" i="4" s="1"/>
  <c r="O3541" i="4"/>
  <c r="P3541" i="4" s="1"/>
  <c r="O3540" i="4"/>
  <c r="P3540" i="4" s="1"/>
  <c r="O3539" i="4"/>
  <c r="P3539" i="4" s="1"/>
  <c r="O3514" i="4"/>
  <c r="P3514" i="4" s="1"/>
  <c r="O3513" i="4"/>
  <c r="P3513" i="4" s="1"/>
  <c r="O3490" i="4"/>
  <c r="P3490" i="4" s="1"/>
  <c r="O3489" i="4"/>
  <c r="P3489" i="4" s="1"/>
  <c r="O3550" i="4"/>
  <c r="P3550" i="4" s="1"/>
  <c r="O3483" i="4"/>
  <c r="P3483" i="4" s="1"/>
  <c r="O3482" i="4"/>
  <c r="P3482" i="4" s="1"/>
  <c r="O3481" i="4"/>
  <c r="P3481" i="4" s="1"/>
  <c r="O3413" i="4"/>
  <c r="O3526" i="4"/>
  <c r="P3526" i="4" s="1"/>
  <c r="O3525" i="4"/>
  <c r="P3525" i="4" s="1"/>
  <c r="O3524" i="4"/>
  <c r="P3524" i="4" s="1"/>
  <c r="O3523" i="4"/>
  <c r="P3523" i="4" s="1"/>
  <c r="O3488" i="4"/>
  <c r="P3488" i="4" s="1"/>
  <c r="O3487" i="4"/>
  <c r="P3487" i="4" s="1"/>
  <c r="O3486" i="4"/>
  <c r="P3486" i="4" s="1"/>
  <c r="O3485" i="4"/>
  <c r="P3485" i="4" s="1"/>
  <c r="O3502" i="4"/>
  <c r="P3502" i="4" s="1"/>
  <c r="O3501" i="4"/>
  <c r="P3501" i="4" s="1"/>
  <c r="O3500" i="4"/>
  <c r="P3500" i="4" s="1"/>
  <c r="O3499" i="4"/>
  <c r="P3499" i="4" s="1"/>
  <c r="O3473" i="4"/>
  <c r="P3473" i="4" s="1"/>
  <c r="O3472" i="4"/>
  <c r="P3472" i="4" s="1"/>
  <c r="O3471" i="4"/>
  <c r="P3471" i="4" s="1"/>
  <c r="O3470" i="4"/>
  <c r="P3470" i="4" s="1"/>
  <c r="O3450" i="4"/>
  <c r="P3450" i="4" s="1"/>
  <c r="O3449" i="4"/>
  <c r="P3449" i="4" s="1"/>
  <c r="O3448" i="4"/>
  <c r="P3448" i="4" s="1"/>
  <c r="O3447" i="4"/>
  <c r="P3447" i="4" s="1"/>
  <c r="O3437" i="4"/>
  <c r="O3436" i="4"/>
  <c r="O3435" i="4"/>
  <c r="O2455" i="4"/>
  <c r="O2454" i="4"/>
  <c r="O2453" i="4"/>
  <c r="O2452" i="4"/>
  <c r="O2451" i="4"/>
  <c r="O2400" i="4"/>
  <c r="O2399" i="4"/>
  <c r="O2398" i="4"/>
  <c r="O2397" i="4"/>
  <c r="O3071" i="4"/>
  <c r="O3070" i="4"/>
  <c r="O3069" i="4"/>
  <c r="O3036" i="4"/>
  <c r="O3035" i="4"/>
  <c r="O3034" i="4"/>
  <c r="O3033" i="4"/>
  <c r="O3032" i="4"/>
  <c r="O3031" i="4"/>
  <c r="O3030" i="4"/>
  <c r="O2994" i="4"/>
  <c r="O2993" i="4"/>
  <c r="O2992" i="4"/>
  <c r="O2991" i="4"/>
  <c r="O2990" i="4"/>
  <c r="O3053" i="4"/>
  <c r="O3052" i="4"/>
  <c r="O3051" i="4"/>
  <c r="O3050" i="4"/>
  <c r="O3049" i="4"/>
  <c r="O3048" i="4"/>
  <c r="O3047" i="4"/>
  <c r="O3046" i="4"/>
  <c r="O3003" i="4"/>
  <c r="O3002" i="4"/>
  <c r="O3247" i="4"/>
  <c r="O3246" i="4"/>
  <c r="O3245" i="4"/>
  <c r="O3418" i="4" l="1"/>
  <c r="P3418" i="4" s="1"/>
  <c r="O3417" i="4"/>
  <c r="P3417" i="4" s="1"/>
  <c r="O3416" i="4"/>
  <c r="P3416" i="4" s="1"/>
  <c r="O3415" i="4"/>
  <c r="P3415" i="4" s="1"/>
  <c r="O3414" i="4"/>
  <c r="P3414" i="4" s="1"/>
  <c r="P3413" i="4"/>
  <c r="O3412" i="4"/>
  <c r="P3412" i="4" s="1"/>
  <c r="O3411" i="4"/>
  <c r="P3411" i="4" s="1"/>
  <c r="O3410" i="4"/>
  <c r="P3410" i="4" s="1"/>
  <c r="O3409" i="4"/>
  <c r="P3409" i="4" s="1"/>
  <c r="O3356" i="4"/>
  <c r="P3356" i="4" s="1"/>
  <c r="O3355" i="4"/>
  <c r="P3355" i="4" s="1"/>
  <c r="O3354" i="4"/>
  <c r="P3354" i="4" s="1"/>
  <c r="O3353" i="4"/>
  <c r="P3353" i="4" s="1"/>
  <c r="O3352" i="4"/>
  <c r="P3352" i="4" s="1"/>
  <c r="O3351" i="4"/>
  <c r="P3351" i="4" s="1"/>
  <c r="O2776" i="4"/>
  <c r="O2775" i="4"/>
  <c r="O2774" i="4"/>
  <c r="O2773" i="4"/>
  <c r="O2772" i="4"/>
  <c r="O2771" i="4"/>
  <c r="O3429" i="4"/>
  <c r="P3429" i="4" s="1"/>
  <c r="O3428" i="4"/>
  <c r="P3428" i="4" s="1"/>
  <c r="O3387" i="4"/>
  <c r="P3387" i="4" s="1"/>
  <c r="O3386" i="4"/>
  <c r="P3386" i="4" s="1"/>
  <c r="O3385" i="4"/>
  <c r="P3385" i="4" s="1"/>
  <c r="O3384" i="4"/>
  <c r="P3384" i="4" s="1"/>
  <c r="O2362" i="4"/>
  <c r="O3300" i="4"/>
  <c r="O3299" i="4"/>
  <c r="O3367" i="4"/>
  <c r="P3367" i="4" s="1"/>
  <c r="O3366" i="4"/>
  <c r="P3366" i="4" s="1"/>
  <c r="O3365" i="4"/>
  <c r="P3365" i="4" s="1"/>
  <c r="O3364" i="4"/>
  <c r="P3364" i="4" s="1"/>
  <c r="O2361" i="4"/>
  <c r="O2360" i="4"/>
  <c r="O2359" i="4"/>
  <c r="O2358" i="4"/>
  <c r="O3342" i="4"/>
  <c r="P3342" i="4" s="1"/>
  <c r="O3341" i="4"/>
  <c r="P3341" i="4" s="1"/>
  <c r="O3340" i="4"/>
  <c r="P3340" i="4" s="1"/>
  <c r="O2357" i="4"/>
  <c r="O3350" i="4"/>
  <c r="P3350" i="4" s="1"/>
  <c r="O3105" i="4"/>
  <c r="O3104" i="4"/>
  <c r="O3103" i="4"/>
  <c r="O3102" i="4"/>
  <c r="O3349" i="4"/>
  <c r="P3349" i="4" s="1"/>
  <c r="O2989" i="4"/>
  <c r="O2953" i="4"/>
  <c r="O2988" i="4"/>
  <c r="O2957" i="4"/>
  <c r="O2956" i="4"/>
  <c r="O2955" i="4"/>
  <c r="O2954" i="4"/>
  <c r="O2952" i="4"/>
  <c r="O2951" i="4"/>
  <c r="O2950" i="4"/>
  <c r="O2949" i="4"/>
  <c r="O2948" i="4"/>
  <c r="O2947" i="4"/>
  <c r="O2931" i="4"/>
  <c r="O2930" i="4"/>
  <c r="O2929" i="4"/>
  <c r="O2928" i="4"/>
  <c r="O2927" i="4"/>
  <c r="O2926" i="4"/>
  <c r="O2909" i="4"/>
  <c r="O2908" i="4"/>
  <c r="O2907" i="4"/>
  <c r="O2906" i="4"/>
  <c r="O2905" i="4"/>
  <c r="O2881" i="4"/>
  <c r="O2880" i="4"/>
  <c r="O2879" i="4"/>
  <c r="O2878" i="4"/>
  <c r="O2877" i="4"/>
  <c r="O2876" i="4"/>
  <c r="O2875" i="4"/>
  <c r="O2874" i="4"/>
  <c r="O2873" i="4"/>
  <c r="O2862" i="4"/>
  <c r="O2861" i="4"/>
  <c r="O2860" i="4"/>
  <c r="O2859" i="4"/>
  <c r="O2858" i="4"/>
  <c r="O2983" i="4"/>
  <c r="O2982" i="4"/>
  <c r="O2981" i="4"/>
  <c r="O2976" i="4"/>
  <c r="O2975" i="4"/>
  <c r="O2974" i="4"/>
  <c r="O2973" i="4"/>
  <c r="O2916" i="4"/>
  <c r="O2915" i="4"/>
  <c r="O2914" i="4"/>
  <c r="O2913" i="4"/>
  <c r="O2912" i="4"/>
  <c r="O2911" i="4"/>
  <c r="O2910" i="4"/>
  <c r="P3438" i="4"/>
  <c r="P3437" i="4"/>
  <c r="P3436" i="4"/>
  <c r="P3435" i="4"/>
  <c r="P3434" i="4"/>
  <c r="P3433" i="4"/>
  <c r="P3432" i="4"/>
  <c r="P3431" i="4"/>
  <c r="P3430" i="4"/>
  <c r="P3427" i="4"/>
  <c r="P3426" i="4"/>
  <c r="P3425" i="4"/>
  <c r="P3424" i="4"/>
  <c r="P3423" i="4"/>
  <c r="P3422" i="4"/>
  <c r="P3421" i="4"/>
  <c r="P3420" i="4"/>
  <c r="P3419" i="4"/>
  <c r="P3408" i="4"/>
  <c r="P3407" i="4"/>
  <c r="P3406" i="4"/>
  <c r="P3405" i="4"/>
  <c r="P3404" i="4"/>
  <c r="P3403" i="4"/>
  <c r="P3402" i="4"/>
  <c r="P3401" i="4"/>
  <c r="P3400" i="4"/>
  <c r="P3399" i="4"/>
  <c r="P3398" i="4"/>
  <c r="P3397" i="4"/>
  <c r="P3396" i="4"/>
  <c r="P3395" i="4"/>
  <c r="P3394" i="4"/>
  <c r="P3392" i="4"/>
  <c r="P3391" i="4"/>
  <c r="P3390" i="4"/>
  <c r="P3389" i="4"/>
  <c r="P3388" i="4"/>
  <c r="P3383" i="4"/>
  <c r="P3382" i="4"/>
  <c r="P3381" i="4"/>
  <c r="P3380" i="4"/>
  <c r="P3379" i="4"/>
  <c r="P3378" i="4"/>
  <c r="P3377" i="4"/>
  <c r="P3376" i="4"/>
  <c r="P3375" i="4"/>
  <c r="P3374" i="4"/>
  <c r="P3373" i="4"/>
  <c r="P3372" i="4"/>
  <c r="P3371" i="4"/>
  <c r="P3370" i="4"/>
  <c r="P3369" i="4"/>
  <c r="P3368" i="4"/>
  <c r="P3363" i="4"/>
  <c r="P3362" i="4"/>
  <c r="P3361" i="4"/>
  <c r="P3360" i="4"/>
  <c r="P3359" i="4"/>
  <c r="P3358" i="4"/>
  <c r="P3357" i="4"/>
  <c r="P3348" i="4"/>
  <c r="P3347" i="4"/>
  <c r="P3346" i="4"/>
  <c r="P3345" i="4"/>
  <c r="P3344" i="4"/>
  <c r="P3343" i="4"/>
  <c r="P3339" i="4"/>
  <c r="P3338" i="4"/>
  <c r="P3337" i="4"/>
  <c r="P3336" i="4"/>
  <c r="O2857" i="4" l="1"/>
  <c r="O2839" i="4"/>
  <c r="O2838" i="4"/>
  <c r="O2837" i="4"/>
  <c r="O2836" i="4"/>
  <c r="O2835" i="4"/>
  <c r="O2834" i="4"/>
  <c r="O2827" i="4"/>
  <c r="O2760" i="4"/>
  <c r="O2785" i="4"/>
  <c r="O2826" i="4"/>
  <c r="O2825" i="4"/>
  <c r="O2824" i="4"/>
  <c r="O2823" i="4"/>
  <c r="O2822" i="4"/>
  <c r="O2793" i="4"/>
  <c r="O2792" i="4"/>
  <c r="O2791" i="4"/>
  <c r="O2790" i="4"/>
  <c r="O2789" i="4"/>
  <c r="O2788" i="4"/>
  <c r="O2763" i="4"/>
  <c r="O2762" i="4"/>
  <c r="O2761" i="4"/>
  <c r="O2872" i="4"/>
  <c r="O2871" i="4"/>
  <c r="O2870" i="4"/>
  <c r="O2869" i="4"/>
  <c r="O2868" i="4"/>
  <c r="O2867" i="4"/>
  <c r="O3312" i="4"/>
  <c r="K2000" i="4"/>
  <c r="K1999" i="4"/>
  <c r="K1998" i="4"/>
  <c r="K1997" i="4"/>
  <c r="K1996" i="4"/>
  <c r="K1995" i="4"/>
  <c r="K1994" i="4"/>
  <c r="K1993" i="4"/>
  <c r="K1992" i="4"/>
  <c r="M1992" i="4" s="1"/>
  <c r="K1991" i="4"/>
  <c r="M1991" i="4" s="1"/>
  <c r="K1990" i="4"/>
  <c r="M1990" i="4" s="1"/>
  <c r="K1989" i="4"/>
  <c r="K1988" i="4"/>
  <c r="M1988" i="4" s="1"/>
  <c r="K1987" i="4"/>
  <c r="M1987" i="4" s="1"/>
  <c r="K1986" i="4"/>
  <c r="K1985" i="4"/>
  <c r="K1984" i="4"/>
  <c r="M1984" i="4" s="1"/>
  <c r="K1983" i="4"/>
  <c r="M1983" i="4" s="1"/>
  <c r="K1982" i="4"/>
  <c r="M1982" i="4" s="1"/>
  <c r="K1981" i="4"/>
  <c r="M1981" i="4" s="1"/>
  <c r="K1980" i="4"/>
  <c r="M1980" i="4" s="1"/>
  <c r="K1979" i="4"/>
  <c r="M1979" i="4" s="1"/>
  <c r="K1978" i="4"/>
  <c r="K1977" i="4"/>
  <c r="K1976" i="4"/>
  <c r="M1976" i="4" s="1"/>
  <c r="K1975" i="4"/>
  <c r="M1975" i="4" s="1"/>
  <c r="K1974" i="4"/>
  <c r="M1974" i="4" s="1"/>
  <c r="K1973" i="4"/>
  <c r="M1973" i="4" s="1"/>
  <c r="K1972" i="4"/>
  <c r="M1972" i="4" s="1"/>
  <c r="K1971" i="4"/>
  <c r="M1971" i="4" s="1"/>
  <c r="K1970" i="4"/>
  <c r="M1970" i="4" s="1"/>
  <c r="K1969" i="4"/>
  <c r="K1968" i="4"/>
  <c r="M1968" i="4" s="1"/>
  <c r="K1967" i="4"/>
  <c r="M1967" i="4" s="1"/>
  <c r="K1966" i="4"/>
  <c r="M1966" i="4" s="1"/>
  <c r="K1965" i="4"/>
  <c r="K1964" i="4"/>
  <c r="M1964" i="4" s="1"/>
  <c r="K1963" i="4"/>
  <c r="M1963" i="4" s="1"/>
  <c r="K1962" i="4"/>
  <c r="M1962" i="4" s="1"/>
  <c r="K1961" i="4"/>
  <c r="K1960" i="4"/>
  <c r="M1960" i="4" s="1"/>
  <c r="K1959" i="4"/>
  <c r="M1959" i="4" s="1"/>
  <c r="K1958" i="4"/>
  <c r="M1958" i="4" s="1"/>
  <c r="K1957" i="4"/>
  <c r="M1957" i="4" s="1"/>
  <c r="K1956" i="4"/>
  <c r="M1956" i="4" s="1"/>
  <c r="K1955" i="4"/>
  <c r="M1955" i="4" s="1"/>
  <c r="K1954" i="4"/>
  <c r="M1954" i="4" s="1"/>
  <c r="K1953" i="4"/>
  <c r="M1953" i="4" s="1"/>
  <c r="K1952" i="4"/>
  <c r="M1952" i="4" s="1"/>
  <c r="K1951" i="4"/>
  <c r="M1951" i="4" s="1"/>
  <c r="K1950" i="4"/>
  <c r="M1950" i="4" s="1"/>
  <c r="K1949" i="4"/>
  <c r="K1948" i="4"/>
  <c r="M1948" i="4" s="1"/>
  <c r="K1947" i="4"/>
  <c r="M1947" i="4" s="1"/>
  <c r="K1946" i="4"/>
  <c r="M1946" i="4" s="1"/>
  <c r="K1945" i="4"/>
  <c r="K1944" i="4"/>
  <c r="M1944" i="4" s="1"/>
  <c r="K1943" i="4"/>
  <c r="M1943" i="4" s="1"/>
  <c r="K1942" i="4"/>
  <c r="M1942" i="4" s="1"/>
  <c r="K1941" i="4"/>
  <c r="K1940" i="4"/>
  <c r="M1940" i="4" s="1"/>
  <c r="K1939" i="4"/>
  <c r="M1939" i="4" s="1"/>
  <c r="K1938" i="4"/>
  <c r="M1938" i="4" s="1"/>
  <c r="K1937" i="4"/>
  <c r="M1937" i="4" s="1"/>
  <c r="K1936" i="4"/>
  <c r="M1936" i="4" s="1"/>
  <c r="K1935" i="4"/>
  <c r="M1935" i="4" s="1"/>
  <c r="K1934" i="4"/>
  <c r="M1934" i="4" s="1"/>
  <c r="K1933" i="4"/>
  <c r="K1932" i="4"/>
  <c r="M1932" i="4" s="1"/>
  <c r="K1931" i="4"/>
  <c r="M1931" i="4" s="1"/>
  <c r="K1930" i="4"/>
  <c r="M1930" i="4" s="1"/>
  <c r="K1929" i="4"/>
  <c r="K1928" i="4"/>
  <c r="M1928" i="4" s="1"/>
  <c r="K1927" i="4"/>
  <c r="M1927" i="4" s="1"/>
  <c r="K1926" i="4"/>
  <c r="M1926" i="4" s="1"/>
  <c r="K1925" i="4"/>
  <c r="K1924" i="4"/>
  <c r="M1924" i="4" s="1"/>
  <c r="K1923" i="4"/>
  <c r="M1923" i="4" s="1"/>
  <c r="K1922" i="4"/>
  <c r="K1921" i="4"/>
  <c r="K1920" i="4"/>
  <c r="M1920" i="4" s="1"/>
  <c r="K1919" i="4"/>
  <c r="M1919" i="4" s="1"/>
  <c r="K1918" i="4"/>
  <c r="M1918" i="4" s="1"/>
  <c r="K1917" i="4"/>
  <c r="M1917" i="4" s="1"/>
  <c r="K1916" i="4"/>
  <c r="M1916" i="4" s="1"/>
  <c r="K1915" i="4"/>
  <c r="M1915" i="4" s="1"/>
  <c r="K1914" i="4"/>
  <c r="K1913" i="4"/>
  <c r="K1912" i="4"/>
  <c r="M1912" i="4" s="1"/>
  <c r="K1911" i="4"/>
  <c r="M1911" i="4" s="1"/>
  <c r="K1910" i="4"/>
  <c r="M1910" i="4" s="1"/>
  <c r="K1909" i="4"/>
  <c r="M1909" i="4" s="1"/>
  <c r="K1908" i="4"/>
  <c r="M1908" i="4" s="1"/>
  <c r="K1907" i="4"/>
  <c r="M1907" i="4" s="1"/>
  <c r="K1906" i="4"/>
  <c r="M1906" i="4" s="1"/>
  <c r="K1905" i="4"/>
  <c r="K1904" i="4"/>
  <c r="M1904" i="4" s="1"/>
  <c r="K1903" i="4"/>
  <c r="M1903" i="4" s="1"/>
  <c r="K1902" i="4"/>
  <c r="M1902" i="4" s="1"/>
  <c r="K1901" i="4"/>
  <c r="M1901" i="4" s="1"/>
  <c r="K1900" i="4"/>
  <c r="M1900" i="4" s="1"/>
  <c r="K1899" i="4"/>
  <c r="M1899" i="4" s="1"/>
  <c r="K1898" i="4"/>
  <c r="M1898" i="4" s="1"/>
  <c r="K1897" i="4"/>
  <c r="K1896" i="4"/>
  <c r="M1896" i="4" s="1"/>
  <c r="K1895" i="4"/>
  <c r="M1895" i="4" s="1"/>
  <c r="K1894" i="4"/>
  <c r="M1894" i="4" s="1"/>
  <c r="K1893" i="4"/>
  <c r="K1892" i="4"/>
  <c r="M1892" i="4" s="1"/>
  <c r="K1891" i="4"/>
  <c r="M1891" i="4" s="1"/>
  <c r="K1890" i="4"/>
  <c r="M1890" i="4" s="1"/>
  <c r="K1889" i="4"/>
  <c r="M1889" i="4" s="1"/>
  <c r="K1888" i="4"/>
  <c r="M1888" i="4" s="1"/>
  <c r="K1887" i="4"/>
  <c r="M1887" i="4" s="1"/>
  <c r="K1886" i="4"/>
  <c r="K1885" i="4"/>
  <c r="K1884" i="4"/>
  <c r="M1884" i="4" s="1"/>
  <c r="K1883" i="4"/>
  <c r="M1883" i="4" s="1"/>
  <c r="K1882" i="4"/>
  <c r="M1882" i="4" s="1"/>
  <c r="K1881" i="4"/>
  <c r="K1880" i="4"/>
  <c r="M1880" i="4" s="1"/>
  <c r="K1879" i="4"/>
  <c r="M1879" i="4" s="1"/>
  <c r="K1878" i="4"/>
  <c r="K1877" i="4"/>
  <c r="K1876" i="4"/>
  <c r="M1876" i="4" s="1"/>
  <c r="K1875" i="4"/>
  <c r="M1875" i="4" s="1"/>
  <c r="K1874" i="4"/>
  <c r="M1874" i="4" s="1"/>
  <c r="K1873" i="4"/>
  <c r="K1872" i="4"/>
  <c r="M1872" i="4" s="1"/>
  <c r="K1871" i="4"/>
  <c r="M1871" i="4" s="1"/>
  <c r="K1870" i="4"/>
  <c r="M1870" i="4" s="1"/>
  <c r="K1869" i="4"/>
  <c r="K1868" i="4"/>
  <c r="M1868" i="4" s="1"/>
  <c r="K1867" i="4"/>
  <c r="M1867" i="4" s="1"/>
  <c r="K1866" i="4"/>
  <c r="M1866" i="4" s="1"/>
  <c r="K1865" i="4"/>
  <c r="K1864" i="4"/>
  <c r="M1864" i="4" s="1"/>
  <c r="K1863" i="4"/>
  <c r="M1863" i="4" s="1"/>
  <c r="K1862" i="4"/>
  <c r="M1862" i="4" s="1"/>
  <c r="K1861" i="4"/>
  <c r="K1860" i="4"/>
  <c r="M1860" i="4" s="1"/>
  <c r="K1859" i="4"/>
  <c r="M1859" i="4" s="1"/>
  <c r="K1858" i="4"/>
  <c r="K1857" i="4"/>
  <c r="K1856" i="4"/>
  <c r="M1856" i="4" s="1"/>
  <c r="K1855" i="4"/>
  <c r="M1855" i="4" s="1"/>
  <c r="K1854" i="4"/>
  <c r="M1854" i="4" s="1"/>
  <c r="K1853" i="4"/>
  <c r="M1853" i="4" s="1"/>
  <c r="K1852" i="4"/>
  <c r="M1852" i="4" s="1"/>
  <c r="K1851" i="4"/>
  <c r="M1851" i="4" s="1"/>
  <c r="K1850" i="4"/>
  <c r="K1849" i="4"/>
  <c r="K1848" i="4"/>
  <c r="M1848" i="4" s="1"/>
  <c r="K1847" i="4"/>
  <c r="M1847" i="4" s="1"/>
  <c r="K1846" i="4"/>
  <c r="M1846" i="4" s="1"/>
  <c r="K1845" i="4"/>
  <c r="M1845" i="4" s="1"/>
  <c r="K1844" i="4"/>
  <c r="M1844" i="4" s="1"/>
  <c r="K1843" i="4"/>
  <c r="M1843" i="4" s="1"/>
  <c r="K1842" i="4"/>
  <c r="M1842" i="4" s="1"/>
  <c r="K1841" i="4"/>
  <c r="K1840" i="4"/>
  <c r="M1840" i="4" s="1"/>
  <c r="K1839" i="4"/>
  <c r="M1839" i="4" s="1"/>
  <c r="K1838" i="4"/>
  <c r="M1838" i="4" s="1"/>
  <c r="K1837" i="4"/>
  <c r="K1836" i="4"/>
  <c r="M1836" i="4" s="1"/>
  <c r="K1835" i="4"/>
  <c r="M1835" i="4" s="1"/>
  <c r="K1834" i="4"/>
  <c r="M1834" i="4" s="1"/>
  <c r="K1833" i="4"/>
  <c r="K1832" i="4"/>
  <c r="M1832" i="4" s="1"/>
  <c r="K1831" i="4"/>
  <c r="M1831" i="4" s="1"/>
  <c r="K1830" i="4"/>
  <c r="M1830" i="4" s="1"/>
  <c r="K1829" i="4"/>
  <c r="K1828" i="4"/>
  <c r="M1828" i="4" s="1"/>
  <c r="K1827" i="4"/>
  <c r="M1827" i="4" s="1"/>
  <c r="K1826" i="4"/>
  <c r="M1826" i="4" s="1"/>
  <c r="K1825" i="4"/>
  <c r="M1825" i="4" s="1"/>
  <c r="K1824" i="4"/>
  <c r="M1824" i="4" s="1"/>
  <c r="K1823" i="4"/>
  <c r="M1823" i="4" s="1"/>
  <c r="K1822" i="4"/>
  <c r="K1821" i="4"/>
  <c r="K1820" i="4"/>
  <c r="M1820" i="4" s="1"/>
  <c r="K1819" i="4"/>
  <c r="M1819" i="4" s="1"/>
  <c r="K1818" i="4"/>
  <c r="M1818" i="4" s="1"/>
  <c r="K1817" i="4"/>
  <c r="K1816" i="4"/>
  <c r="M1816" i="4" s="1"/>
  <c r="K1815" i="4"/>
  <c r="M1815" i="4" s="1"/>
  <c r="K1814" i="4"/>
  <c r="K1813" i="4"/>
  <c r="K1812" i="4"/>
  <c r="M1812" i="4" s="1"/>
  <c r="K1811" i="4"/>
  <c r="M1811" i="4" s="1"/>
  <c r="K1810" i="4"/>
  <c r="M1810" i="4" s="1"/>
  <c r="K1809" i="4"/>
  <c r="K1808" i="4"/>
  <c r="M1808" i="4" s="1"/>
  <c r="K1807" i="4"/>
  <c r="M1807" i="4" s="1"/>
  <c r="K1806" i="4"/>
  <c r="M1806" i="4" s="1"/>
  <c r="K1805" i="4"/>
  <c r="K1804" i="4"/>
  <c r="M1804" i="4" s="1"/>
  <c r="K1803" i="4"/>
  <c r="M1803" i="4" s="1"/>
  <c r="K1802" i="4"/>
  <c r="M1802" i="4" s="1"/>
  <c r="K1801" i="4"/>
  <c r="K1800" i="4"/>
  <c r="M1800" i="4" s="1"/>
  <c r="K1799" i="4"/>
  <c r="M1799" i="4" s="1"/>
  <c r="K1798" i="4"/>
  <c r="M1798" i="4" s="1"/>
  <c r="K1797" i="4"/>
  <c r="K1796" i="4"/>
  <c r="M1796" i="4" s="1"/>
  <c r="K1795" i="4"/>
  <c r="M1795" i="4" s="1"/>
  <c r="K1794" i="4"/>
  <c r="K1793" i="4"/>
  <c r="K1792" i="4"/>
  <c r="M1792" i="4" s="1"/>
  <c r="K1791" i="4"/>
  <c r="M1791" i="4" s="1"/>
  <c r="K1790" i="4"/>
  <c r="M1790" i="4" s="1"/>
  <c r="K1789" i="4"/>
  <c r="M1789" i="4" s="1"/>
  <c r="K1788" i="4"/>
  <c r="M1788" i="4" s="1"/>
  <c r="K1787" i="4"/>
  <c r="M1787" i="4" s="1"/>
  <c r="K1786" i="4"/>
  <c r="K1785" i="4"/>
  <c r="K1784" i="4"/>
  <c r="M1784" i="4" s="1"/>
  <c r="K1783" i="4"/>
  <c r="K1782" i="4"/>
  <c r="K1781" i="4"/>
  <c r="K1780" i="4"/>
  <c r="K1779" i="4"/>
  <c r="K1778" i="4"/>
  <c r="M1778" i="4" s="1"/>
  <c r="K1777" i="4"/>
  <c r="L1777" i="4" s="1"/>
  <c r="K1776" i="4"/>
  <c r="K1775" i="4"/>
  <c r="M1775" i="4" s="1"/>
  <c r="K1774" i="4"/>
  <c r="K1773" i="4"/>
  <c r="K1772" i="4"/>
  <c r="K1771" i="4"/>
  <c r="K1770" i="4"/>
  <c r="M1770" i="4" s="1"/>
  <c r="K1769" i="4"/>
  <c r="L1769" i="4" s="1"/>
  <c r="K1768" i="4"/>
  <c r="K1767" i="4"/>
  <c r="M1767" i="4" s="1"/>
  <c r="K1766" i="4"/>
  <c r="K1765" i="4"/>
  <c r="L1765" i="4" s="1"/>
  <c r="K1764" i="4"/>
  <c r="K1763" i="4"/>
  <c r="M1763" i="4" s="1"/>
  <c r="K1762" i="4"/>
  <c r="M1762" i="4" s="1"/>
  <c r="K1761" i="4"/>
  <c r="L1761" i="4" s="1"/>
  <c r="K1760" i="4"/>
  <c r="K1759" i="4"/>
  <c r="M1759" i="4" s="1"/>
  <c r="K1758" i="4"/>
  <c r="K1757" i="4"/>
  <c r="L1757" i="4" s="1"/>
  <c r="K1756" i="4"/>
  <c r="K1755" i="4"/>
  <c r="M1755" i="4" s="1"/>
  <c r="K1754" i="4"/>
  <c r="M1754" i="4" s="1"/>
  <c r="K1753" i="4"/>
  <c r="L1753" i="4" s="1"/>
  <c r="K1752" i="4"/>
  <c r="K1751" i="4"/>
  <c r="K1750" i="4"/>
  <c r="K1749" i="4"/>
  <c r="M1749" i="4" s="1"/>
  <c r="K1748" i="4"/>
  <c r="K1747" i="4"/>
  <c r="K1746" i="4"/>
  <c r="M1746" i="4" s="1"/>
  <c r="K1745" i="4"/>
  <c r="M1745" i="4" s="1"/>
  <c r="K1744" i="4"/>
  <c r="L1744" i="4" s="1"/>
  <c r="K1743" i="4"/>
  <c r="M1743" i="4" s="1"/>
  <c r="K1742" i="4"/>
  <c r="K1741" i="4"/>
  <c r="M1741" i="4" s="1"/>
  <c r="K1740" i="4"/>
  <c r="K1739" i="4"/>
  <c r="K1738" i="4"/>
  <c r="K1737" i="4"/>
  <c r="M1737" i="4" s="1"/>
  <c r="K1736" i="4"/>
  <c r="K1735" i="4"/>
  <c r="K1734" i="4"/>
  <c r="K1733" i="4"/>
  <c r="M1733" i="4" s="1"/>
  <c r="K1732" i="4"/>
  <c r="K1731" i="4"/>
  <c r="K1730" i="4"/>
  <c r="M1730" i="4" s="1"/>
  <c r="K1729" i="4"/>
  <c r="M1729" i="4" s="1"/>
  <c r="K1728" i="4"/>
  <c r="L1728" i="4" s="1"/>
  <c r="K1727" i="4"/>
  <c r="M1727" i="4" s="1"/>
  <c r="K1726" i="4"/>
  <c r="K1725" i="4"/>
  <c r="L1725" i="4" s="1"/>
  <c r="K1724" i="4"/>
  <c r="K1723" i="4"/>
  <c r="K1722" i="4"/>
  <c r="K1721" i="4"/>
  <c r="M1721" i="4" s="1"/>
  <c r="K1720" i="4"/>
  <c r="K1719" i="4"/>
  <c r="K1718" i="4"/>
  <c r="K1717" i="4"/>
  <c r="M1717" i="4" s="1"/>
  <c r="K1716" i="4"/>
  <c r="K1715" i="4"/>
  <c r="K1714" i="4"/>
  <c r="M1714" i="4" s="1"/>
  <c r="K1713" i="4"/>
  <c r="M1713" i="4" s="1"/>
  <c r="K1712" i="4"/>
  <c r="L1712" i="4" s="1"/>
  <c r="K1711" i="4"/>
  <c r="M1711" i="4" s="1"/>
  <c r="K1710" i="4"/>
  <c r="K1709" i="4"/>
  <c r="M1709" i="4" s="1"/>
  <c r="K1708" i="4"/>
  <c r="K1707" i="4"/>
  <c r="K1706" i="4"/>
  <c r="K1705" i="4"/>
  <c r="M1705" i="4" s="1"/>
  <c r="K1704" i="4"/>
  <c r="K1703" i="4"/>
  <c r="K1702" i="4"/>
  <c r="K1701" i="4"/>
  <c r="M1701" i="4" s="1"/>
  <c r="K1700" i="4"/>
  <c r="K1699" i="4"/>
  <c r="K1698" i="4"/>
  <c r="M1698" i="4" s="1"/>
  <c r="K1697" i="4"/>
  <c r="M1697" i="4" s="1"/>
  <c r="K1696" i="4"/>
  <c r="L1696" i="4" s="1"/>
  <c r="K1695" i="4"/>
  <c r="K1694" i="4"/>
  <c r="K1693" i="4"/>
  <c r="K1692" i="4"/>
  <c r="M1692" i="4" s="1"/>
  <c r="K1691" i="4"/>
  <c r="M1691" i="4" s="1"/>
  <c r="K1690" i="4"/>
  <c r="K1689" i="4"/>
  <c r="K1688" i="4"/>
  <c r="M1688" i="4" s="1"/>
  <c r="K1687" i="4"/>
  <c r="K1686" i="4"/>
  <c r="K1685" i="4"/>
  <c r="K1684" i="4"/>
  <c r="M1684" i="4" s="1"/>
  <c r="K1683" i="4"/>
  <c r="M1683" i="4" s="1"/>
  <c r="K1682" i="4"/>
  <c r="K1681" i="4"/>
  <c r="K1680" i="4"/>
  <c r="M1680" i="4" s="1"/>
  <c r="K1679" i="4"/>
  <c r="K1678" i="4"/>
  <c r="K1677" i="4"/>
  <c r="K1676" i="4"/>
  <c r="M1676" i="4" s="1"/>
  <c r="K1675" i="4"/>
  <c r="M1675" i="4" s="1"/>
  <c r="K1674" i="4"/>
  <c r="K1673" i="4"/>
  <c r="K1672" i="4"/>
  <c r="M1672" i="4" s="1"/>
  <c r="K1671" i="4"/>
  <c r="K1670" i="4"/>
  <c r="K1669" i="4"/>
  <c r="K1668" i="4"/>
  <c r="M1668" i="4" s="1"/>
  <c r="K1667" i="4"/>
  <c r="M1667" i="4" s="1"/>
  <c r="K1666" i="4"/>
  <c r="K1665" i="4"/>
  <c r="K1664" i="4"/>
  <c r="M1664" i="4" s="1"/>
  <c r="K1663" i="4"/>
  <c r="K1662" i="4"/>
  <c r="K1661" i="4"/>
  <c r="K1660" i="4"/>
  <c r="M1660" i="4" s="1"/>
  <c r="K1659" i="4"/>
  <c r="M1659" i="4" s="1"/>
  <c r="K1658" i="4"/>
  <c r="K1657" i="4"/>
  <c r="K1656" i="4"/>
  <c r="M1656" i="4" s="1"/>
  <c r="K1655" i="4"/>
  <c r="K1654" i="4"/>
  <c r="K1653" i="4"/>
  <c r="K1652" i="4"/>
  <c r="M1652" i="4" s="1"/>
  <c r="K1651" i="4"/>
  <c r="K1650" i="4"/>
  <c r="M1650" i="4" s="1"/>
  <c r="K1649" i="4"/>
  <c r="K1648" i="4"/>
  <c r="M1648" i="4" s="1"/>
  <c r="K1647" i="4"/>
  <c r="K1646" i="4"/>
  <c r="K1645" i="4"/>
  <c r="K1644" i="4"/>
  <c r="M1644" i="4" s="1"/>
  <c r="K1643" i="4"/>
  <c r="K1642" i="4"/>
  <c r="M1642" i="4" s="1"/>
  <c r="K1641" i="4"/>
  <c r="K1640" i="4"/>
  <c r="M1640" i="4" s="1"/>
  <c r="K1639" i="4"/>
  <c r="K1638" i="4"/>
  <c r="K1637" i="4"/>
  <c r="K1636" i="4"/>
  <c r="M1636" i="4" s="1"/>
  <c r="K1635" i="4"/>
  <c r="K1634" i="4"/>
  <c r="M1634" i="4" s="1"/>
  <c r="K1633" i="4"/>
  <c r="K1632" i="4"/>
  <c r="M1632" i="4" s="1"/>
  <c r="K1631" i="4"/>
  <c r="K1630" i="4"/>
  <c r="K1629" i="4"/>
  <c r="K1628" i="4"/>
  <c r="M1628" i="4" s="1"/>
  <c r="K1627" i="4"/>
  <c r="K1626" i="4"/>
  <c r="M1626" i="4" s="1"/>
  <c r="K1625" i="4"/>
  <c r="K1624" i="4"/>
  <c r="M1624" i="4" s="1"/>
  <c r="K1623" i="4"/>
  <c r="K1622" i="4"/>
  <c r="K1621" i="4"/>
  <c r="K1620" i="4"/>
  <c r="M1620" i="4" s="1"/>
  <c r="K1619" i="4"/>
  <c r="K1618" i="4"/>
  <c r="M1618" i="4" s="1"/>
  <c r="K1617" i="4"/>
  <c r="K1616" i="4"/>
  <c r="M1616" i="4" s="1"/>
  <c r="K1615" i="4"/>
  <c r="K1614" i="4"/>
  <c r="K1613" i="4"/>
  <c r="K1612" i="4"/>
  <c r="M1612" i="4" s="1"/>
  <c r="K1611" i="4"/>
  <c r="K1610" i="4"/>
  <c r="M1610" i="4" s="1"/>
  <c r="K1609" i="4"/>
  <c r="K1608" i="4"/>
  <c r="M1608" i="4" s="1"/>
  <c r="K1607" i="4"/>
  <c r="K1606" i="4"/>
  <c r="K1605" i="4"/>
  <c r="K1604" i="4"/>
  <c r="M1604" i="4" s="1"/>
  <c r="K1603" i="4"/>
  <c r="K1602" i="4"/>
  <c r="M1602" i="4" s="1"/>
  <c r="K1601" i="4"/>
  <c r="K1600" i="4"/>
  <c r="M1600" i="4" s="1"/>
  <c r="K1599" i="4"/>
  <c r="K1598" i="4"/>
  <c r="K1597" i="4"/>
  <c r="K1596" i="4"/>
  <c r="M1596" i="4" s="1"/>
  <c r="K1595" i="4"/>
  <c r="K1594" i="4"/>
  <c r="K1593" i="4"/>
  <c r="K1592" i="4"/>
  <c r="M1592" i="4" s="1"/>
  <c r="K1591" i="4"/>
  <c r="K1590" i="4"/>
  <c r="K1589" i="4"/>
  <c r="K1588" i="4"/>
  <c r="M1588" i="4" s="1"/>
  <c r="K1587" i="4"/>
  <c r="K1586" i="4"/>
  <c r="M1586" i="4" s="1"/>
  <c r="K1585" i="4"/>
  <c r="K1584" i="4"/>
  <c r="K1583" i="4"/>
  <c r="K1582" i="4"/>
  <c r="K1581" i="4"/>
  <c r="K1580" i="4"/>
  <c r="K1579" i="4"/>
  <c r="K1578" i="4"/>
  <c r="M1578" i="4" s="1"/>
  <c r="K1577" i="4"/>
  <c r="K1576" i="4"/>
  <c r="K1575" i="4"/>
  <c r="K1574" i="4"/>
  <c r="K1573" i="4"/>
  <c r="K1572" i="4"/>
  <c r="K1571" i="4"/>
  <c r="K1570" i="4"/>
  <c r="M1570" i="4" s="1"/>
  <c r="K1569" i="4"/>
  <c r="K1568" i="4"/>
  <c r="K1567" i="4"/>
  <c r="K1566" i="4"/>
  <c r="K1565" i="4"/>
  <c r="K1564" i="4"/>
  <c r="K1563" i="4"/>
  <c r="K1562" i="4"/>
  <c r="M1562" i="4" s="1"/>
  <c r="K1561" i="4"/>
  <c r="K1560" i="4"/>
  <c r="K1559" i="4"/>
  <c r="K1558" i="4"/>
  <c r="K1557" i="4"/>
  <c r="K1556" i="4"/>
  <c r="K1555" i="4"/>
  <c r="K1554" i="4"/>
  <c r="M1554" i="4" s="1"/>
  <c r="K1553" i="4"/>
  <c r="K1552" i="4"/>
  <c r="K1551" i="4"/>
  <c r="K1550" i="4"/>
  <c r="K1549" i="4"/>
  <c r="K1548" i="4"/>
  <c r="K1547" i="4"/>
  <c r="K1546" i="4"/>
  <c r="M1546" i="4" s="1"/>
  <c r="K1545" i="4"/>
  <c r="K1544" i="4"/>
  <c r="K1543" i="4"/>
  <c r="K1542" i="4"/>
  <c r="K1541" i="4"/>
  <c r="K1540" i="4"/>
  <c r="K1539" i="4"/>
  <c r="K1538" i="4"/>
  <c r="M1538" i="4" s="1"/>
  <c r="K1537" i="4"/>
  <c r="K1536" i="4"/>
  <c r="K1535" i="4"/>
  <c r="K1534" i="4"/>
  <c r="K1533" i="4"/>
  <c r="K1532" i="4"/>
  <c r="K1531" i="4"/>
  <c r="K1530" i="4"/>
  <c r="M1530" i="4" s="1"/>
  <c r="K1529" i="4"/>
  <c r="K1528" i="4"/>
  <c r="K1527" i="4"/>
  <c r="M1527" i="4" s="1"/>
  <c r="K1526" i="4"/>
  <c r="K1525" i="4"/>
  <c r="K1524" i="4"/>
  <c r="K1523" i="4"/>
  <c r="K1522" i="4"/>
  <c r="K1521" i="4"/>
  <c r="K1520" i="4"/>
  <c r="K1519" i="4"/>
  <c r="M1519" i="4" s="1"/>
  <c r="K1518" i="4"/>
  <c r="K1517" i="4"/>
  <c r="K1516" i="4"/>
  <c r="K1515" i="4"/>
  <c r="K1514" i="4"/>
  <c r="M1514" i="4" s="1"/>
  <c r="K1513" i="4"/>
  <c r="K1512" i="4"/>
  <c r="K1511" i="4"/>
  <c r="M1511" i="4" s="1"/>
  <c r="K1510" i="4"/>
  <c r="K1509" i="4"/>
  <c r="K1508" i="4"/>
  <c r="K1507" i="4"/>
  <c r="K1506" i="4"/>
  <c r="M1506" i="4" s="1"/>
  <c r="K1505" i="4"/>
  <c r="K1504" i="4"/>
  <c r="K1503" i="4"/>
  <c r="M1503" i="4" s="1"/>
  <c r="K1502" i="4"/>
  <c r="K1501" i="4"/>
  <c r="K1500" i="4"/>
  <c r="K1499" i="4"/>
  <c r="K1498" i="4"/>
  <c r="M1498" i="4" s="1"/>
  <c r="K1497" i="4"/>
  <c r="K1496" i="4"/>
  <c r="K1495" i="4"/>
  <c r="M1495" i="4" s="1"/>
  <c r="K1494" i="4"/>
  <c r="K1493" i="4"/>
  <c r="K1492" i="4"/>
  <c r="K1491" i="4"/>
  <c r="K1490" i="4"/>
  <c r="M1490" i="4" s="1"/>
  <c r="K1489" i="4"/>
  <c r="K1488" i="4"/>
  <c r="K1487" i="4"/>
  <c r="M1487" i="4" s="1"/>
  <c r="K1486" i="4"/>
  <c r="K1485" i="4"/>
  <c r="K1484" i="4"/>
  <c r="K1483" i="4"/>
  <c r="K1482" i="4"/>
  <c r="M1482" i="4" s="1"/>
  <c r="K1481" i="4"/>
  <c r="K1480" i="4"/>
  <c r="K1479" i="4"/>
  <c r="M1479" i="4" s="1"/>
  <c r="K1478" i="4"/>
  <c r="K1477" i="4"/>
  <c r="K1476" i="4"/>
  <c r="K1475" i="4"/>
  <c r="K1474" i="4"/>
  <c r="M1474" i="4" s="1"/>
  <c r="K1473" i="4"/>
  <c r="K1472" i="4"/>
  <c r="K1471" i="4"/>
  <c r="M1471" i="4" s="1"/>
  <c r="K1470" i="4"/>
  <c r="K1469" i="4"/>
  <c r="K1468" i="4"/>
  <c r="K1467" i="4"/>
  <c r="M1467" i="4" s="1"/>
  <c r="K1466" i="4"/>
  <c r="K1465" i="4"/>
  <c r="L1465" i="4" s="1"/>
  <c r="K1464" i="4"/>
  <c r="K1463" i="4"/>
  <c r="K1462" i="4"/>
  <c r="K1461" i="4"/>
  <c r="L1461" i="4" s="1"/>
  <c r="K1460" i="4"/>
  <c r="K1459" i="4"/>
  <c r="M1459" i="4" s="1"/>
  <c r="K1458" i="4"/>
  <c r="M1458" i="4" s="1"/>
  <c r="K1457" i="4"/>
  <c r="K1456" i="4"/>
  <c r="K1455" i="4"/>
  <c r="M1455" i="4" s="1"/>
  <c r="K1454" i="4"/>
  <c r="K1453" i="4"/>
  <c r="L1453" i="4" s="1"/>
  <c r="K1452" i="4"/>
  <c r="K1451" i="4"/>
  <c r="M1451" i="4" s="1"/>
  <c r="K1450" i="4"/>
  <c r="L1450" i="4" s="1"/>
  <c r="K1449" i="4"/>
  <c r="L1449" i="4" s="1"/>
  <c r="K1448" i="4"/>
  <c r="K1447" i="4"/>
  <c r="M1447" i="4" s="1"/>
  <c r="K1446" i="4"/>
  <c r="K1445" i="4"/>
  <c r="L1445" i="4" s="1"/>
  <c r="K1444" i="4"/>
  <c r="K1443" i="4"/>
  <c r="M1443" i="4" s="1"/>
  <c r="K1442" i="4"/>
  <c r="K1441" i="4"/>
  <c r="K1440" i="4"/>
  <c r="K1439" i="4"/>
  <c r="M1439" i="4" s="1"/>
  <c r="K1438" i="4"/>
  <c r="M1438" i="4" s="1"/>
  <c r="K1437" i="4"/>
  <c r="L1437" i="4" s="1"/>
  <c r="K1436" i="4"/>
  <c r="K1435" i="4"/>
  <c r="M1435" i="4" s="1"/>
  <c r="K1434" i="4"/>
  <c r="M1434" i="4" s="1"/>
  <c r="K1433" i="4"/>
  <c r="L1433" i="4" s="1"/>
  <c r="K1432" i="4"/>
  <c r="K1431" i="4"/>
  <c r="M1431" i="4" s="1"/>
  <c r="K1430" i="4"/>
  <c r="L1430" i="4" s="1"/>
  <c r="K1429" i="4"/>
  <c r="L1429" i="4" s="1"/>
  <c r="K1428" i="4"/>
  <c r="K1427" i="4"/>
  <c r="M1427" i="4" s="1"/>
  <c r="K1426" i="4"/>
  <c r="K1425" i="4"/>
  <c r="L1425" i="4" s="1"/>
  <c r="K1424" i="4"/>
  <c r="K1423" i="4"/>
  <c r="M1423" i="4" s="1"/>
  <c r="K1422" i="4"/>
  <c r="K1421" i="4"/>
  <c r="L1421" i="4" s="1"/>
  <c r="K1420" i="4"/>
  <c r="K1419" i="4"/>
  <c r="M1419" i="4" s="1"/>
  <c r="K1418" i="4"/>
  <c r="K1417" i="4"/>
  <c r="L1417" i="4" s="1"/>
  <c r="K1416" i="4"/>
  <c r="K1415" i="4"/>
  <c r="K1414" i="4"/>
  <c r="M1414" i="4" s="1"/>
  <c r="K1413" i="4"/>
  <c r="L1413" i="4" s="1"/>
  <c r="K1412" i="4"/>
  <c r="K1411" i="4"/>
  <c r="M1411" i="4" s="1"/>
  <c r="K1410" i="4"/>
  <c r="L1410" i="4" s="1"/>
  <c r="K1409" i="4"/>
  <c r="L1409" i="4" s="1"/>
  <c r="K1408" i="4"/>
  <c r="K1407" i="4"/>
  <c r="M1407" i="4" s="1"/>
  <c r="K1406" i="4"/>
  <c r="K1405" i="4"/>
  <c r="L1405" i="4" s="1"/>
  <c r="K1404" i="4"/>
  <c r="K1403" i="4"/>
  <c r="M1403" i="4" s="1"/>
  <c r="K1402" i="4"/>
  <c r="K1401" i="4"/>
  <c r="L1401" i="4" s="1"/>
  <c r="K1400" i="4"/>
  <c r="K1399" i="4"/>
  <c r="K1398" i="4"/>
  <c r="K1397" i="4"/>
  <c r="L1397" i="4" s="1"/>
  <c r="K1396" i="4"/>
  <c r="K1395" i="4"/>
  <c r="M1395" i="4" s="1"/>
  <c r="K1394" i="4"/>
  <c r="M1394" i="4" s="1"/>
  <c r="K1393" i="4"/>
  <c r="L1393" i="4" s="1"/>
  <c r="K1392" i="4"/>
  <c r="K1391" i="4"/>
  <c r="M1391" i="4" s="1"/>
  <c r="K1390" i="4"/>
  <c r="L1390" i="4" s="1"/>
  <c r="K1389" i="4"/>
  <c r="L1389" i="4" s="1"/>
  <c r="K1388" i="4"/>
  <c r="K1387" i="4"/>
  <c r="M1387" i="4" s="1"/>
  <c r="K1386" i="4"/>
  <c r="K1385" i="4"/>
  <c r="L1385" i="4" s="1"/>
  <c r="K1384" i="4"/>
  <c r="K1383" i="4"/>
  <c r="M1383" i="4" s="1"/>
  <c r="K1382" i="4"/>
  <c r="K1381" i="4"/>
  <c r="L1381" i="4" s="1"/>
  <c r="K1380" i="4"/>
  <c r="K1379" i="4"/>
  <c r="M1379" i="4" s="1"/>
  <c r="K1378" i="4"/>
  <c r="K1377" i="4"/>
  <c r="K1376" i="4"/>
  <c r="K1375" i="4"/>
  <c r="M1375" i="4" s="1"/>
  <c r="K1374" i="4"/>
  <c r="M1374" i="4" s="1"/>
  <c r="K1373" i="4"/>
  <c r="L1373" i="4" s="1"/>
  <c r="K1372" i="4"/>
  <c r="K1371" i="4"/>
  <c r="M1371" i="4" s="1"/>
  <c r="K1370" i="4"/>
  <c r="M1370" i="4" s="1"/>
  <c r="K1369" i="4"/>
  <c r="L1369" i="4" s="1"/>
  <c r="K1368" i="4"/>
  <c r="K1367" i="4"/>
  <c r="M1367" i="4" s="1"/>
  <c r="K1366" i="4"/>
  <c r="K1365" i="4"/>
  <c r="L1365" i="4" s="1"/>
  <c r="K1364" i="4"/>
  <c r="K1363" i="4"/>
  <c r="M1363" i="4" s="1"/>
  <c r="K1362" i="4"/>
  <c r="K1361" i="4"/>
  <c r="L1361" i="4" s="1"/>
  <c r="K1360" i="4"/>
  <c r="K1359" i="4"/>
  <c r="M1359" i="4" s="1"/>
  <c r="K1358" i="4"/>
  <c r="K1357" i="4"/>
  <c r="L1357" i="4" s="1"/>
  <c r="K1356" i="4"/>
  <c r="K1355" i="4"/>
  <c r="M1355" i="4" s="1"/>
  <c r="K1354" i="4"/>
  <c r="K1353" i="4"/>
  <c r="L1353" i="4" s="1"/>
  <c r="K1352" i="4"/>
  <c r="K1351" i="4"/>
  <c r="K1350" i="4"/>
  <c r="M1350" i="4" s="1"/>
  <c r="K1349" i="4"/>
  <c r="L1349" i="4" s="1"/>
  <c r="K1348" i="4"/>
  <c r="K1347" i="4"/>
  <c r="M1347" i="4" s="1"/>
  <c r="K1346" i="4"/>
  <c r="L1346" i="4" s="1"/>
  <c r="K1345" i="4"/>
  <c r="L1345" i="4" s="1"/>
  <c r="K1344" i="4"/>
  <c r="K1343" i="4"/>
  <c r="M1343" i="4" s="1"/>
  <c r="K1342" i="4"/>
  <c r="K1341" i="4"/>
  <c r="L1341" i="4" s="1"/>
  <c r="K1340" i="4"/>
  <c r="K1339" i="4"/>
  <c r="K1338" i="4"/>
  <c r="M1338" i="4" s="1"/>
  <c r="K1337" i="4"/>
  <c r="M1337" i="4" s="1"/>
  <c r="K1336" i="4"/>
  <c r="L1336" i="4" s="1"/>
  <c r="K1335" i="4"/>
  <c r="M1335" i="4" s="1"/>
  <c r="K1334" i="4"/>
  <c r="K1333" i="4"/>
  <c r="L1333" i="4" s="1"/>
  <c r="K1332" i="4"/>
  <c r="K1331" i="4"/>
  <c r="K1330" i="4"/>
  <c r="L1330" i="4" s="1"/>
  <c r="K1329" i="4"/>
  <c r="M1329" i="4" s="1"/>
  <c r="K1328" i="4"/>
  <c r="K1327" i="4"/>
  <c r="K1326" i="4"/>
  <c r="M1326" i="4" s="1"/>
  <c r="K1325" i="4"/>
  <c r="M1325" i="4" s="1"/>
  <c r="K1324" i="4"/>
  <c r="K1323" i="4"/>
  <c r="K1322" i="4"/>
  <c r="M1322" i="4" s="1"/>
  <c r="K1321" i="4"/>
  <c r="K1320" i="4"/>
  <c r="L1320" i="4" s="1"/>
  <c r="K1319" i="4"/>
  <c r="M1319" i="4" s="1"/>
  <c r="K1318" i="4"/>
  <c r="K1317" i="4"/>
  <c r="K1316" i="4"/>
  <c r="K1315" i="4"/>
  <c r="K1314" i="4"/>
  <c r="L1314" i="4" s="1"/>
  <c r="K1313" i="4"/>
  <c r="M1313" i="4" s="1"/>
  <c r="K1312" i="4"/>
  <c r="K1311" i="4"/>
  <c r="K1310" i="4"/>
  <c r="M1310" i="4" s="1"/>
  <c r="K1309" i="4"/>
  <c r="M1309" i="4" s="1"/>
  <c r="K1308" i="4"/>
  <c r="K1307" i="4"/>
  <c r="K1306" i="4"/>
  <c r="M1306" i="4" s="1"/>
  <c r="K1305" i="4"/>
  <c r="M1305" i="4" s="1"/>
  <c r="K1304" i="4"/>
  <c r="L1304" i="4" s="1"/>
  <c r="K1303" i="4"/>
  <c r="M1303" i="4" s="1"/>
  <c r="K1302" i="4"/>
  <c r="K1301" i="4"/>
  <c r="L1301" i="4" s="1"/>
  <c r="K1300" i="4"/>
  <c r="K1299" i="4"/>
  <c r="K1298" i="4"/>
  <c r="L1298" i="4" s="1"/>
  <c r="K1297" i="4"/>
  <c r="M1297" i="4" s="1"/>
  <c r="K1296" i="4"/>
  <c r="K1295" i="4"/>
  <c r="K1294" i="4"/>
  <c r="M1294" i="4" s="1"/>
  <c r="K1293" i="4"/>
  <c r="M1293" i="4" s="1"/>
  <c r="K1292" i="4"/>
  <c r="K1291" i="4"/>
  <c r="K1290" i="4"/>
  <c r="M1290" i="4" s="1"/>
  <c r="K1289" i="4"/>
  <c r="K1288" i="4"/>
  <c r="L1288" i="4" s="1"/>
  <c r="K1287" i="4"/>
  <c r="M1287" i="4" s="1"/>
  <c r="K1286" i="4"/>
  <c r="K1285" i="4"/>
  <c r="K1284" i="4"/>
  <c r="K1283" i="4"/>
  <c r="K1282" i="4"/>
  <c r="L1282" i="4" s="1"/>
  <c r="K1281" i="4"/>
  <c r="M1281" i="4" s="1"/>
  <c r="K1280" i="4"/>
  <c r="K1279" i="4"/>
  <c r="K1278" i="4"/>
  <c r="M1278" i="4" s="1"/>
  <c r="K1277" i="4"/>
  <c r="M1277" i="4" s="1"/>
  <c r="K1276" i="4"/>
  <c r="K1275" i="4"/>
  <c r="K1274" i="4"/>
  <c r="M1274" i="4" s="1"/>
  <c r="K1273" i="4"/>
  <c r="M1273" i="4" s="1"/>
  <c r="K1272" i="4"/>
  <c r="L1272" i="4" s="1"/>
  <c r="K1271" i="4"/>
  <c r="M1271" i="4" s="1"/>
  <c r="K1270" i="4"/>
  <c r="K1269" i="4"/>
  <c r="L1269" i="4" s="1"/>
  <c r="K1268" i="4"/>
  <c r="K1267" i="4"/>
  <c r="K1266" i="4"/>
  <c r="L1266" i="4" s="1"/>
  <c r="K1265" i="4"/>
  <c r="M1265" i="4" s="1"/>
  <c r="K1264" i="4"/>
  <c r="K1263" i="4"/>
  <c r="K1262" i="4"/>
  <c r="M1262" i="4" s="1"/>
  <c r="K1261" i="4"/>
  <c r="M1261" i="4" s="1"/>
  <c r="K1260" i="4"/>
  <c r="K1259" i="4"/>
  <c r="K1258" i="4"/>
  <c r="M1258" i="4" s="1"/>
  <c r="K1257" i="4"/>
  <c r="K1256" i="4"/>
  <c r="L1256" i="4" s="1"/>
  <c r="K1255" i="4"/>
  <c r="M1255" i="4" s="1"/>
  <c r="K1254" i="4"/>
  <c r="K1253" i="4"/>
  <c r="K1252" i="4"/>
  <c r="K1251" i="4"/>
  <c r="K1250" i="4"/>
  <c r="K1249" i="4"/>
  <c r="M1249" i="4" s="1"/>
  <c r="K1248" i="4"/>
  <c r="K1247" i="4"/>
  <c r="K1246" i="4"/>
  <c r="M1246" i="4" s="1"/>
  <c r="K1245" i="4"/>
  <c r="M1245" i="4" s="1"/>
  <c r="K1244" i="4"/>
  <c r="K1243" i="4"/>
  <c r="K1242" i="4"/>
  <c r="K1241" i="4"/>
  <c r="M1241" i="4" s="1"/>
  <c r="K1240" i="4"/>
  <c r="K1239" i="4"/>
  <c r="K1238" i="4"/>
  <c r="K1237" i="4"/>
  <c r="M1237" i="4" s="1"/>
  <c r="K1236" i="4"/>
  <c r="K1235" i="4"/>
  <c r="K1234" i="4"/>
  <c r="K1233" i="4"/>
  <c r="M1233" i="4" s="1"/>
  <c r="K1232" i="4"/>
  <c r="K1231" i="4"/>
  <c r="M1231" i="4" s="1"/>
  <c r="K1230" i="4"/>
  <c r="K1229" i="4"/>
  <c r="K1228" i="4"/>
  <c r="K1227" i="4"/>
  <c r="M1227" i="4" s="1"/>
  <c r="K1226" i="4"/>
  <c r="K1225" i="4"/>
  <c r="L1225" i="4" s="1"/>
  <c r="K1224" i="4"/>
  <c r="K1223" i="4"/>
  <c r="M1223" i="4" s="1"/>
  <c r="K1222" i="4"/>
  <c r="K1221" i="4"/>
  <c r="L1221" i="4" s="1"/>
  <c r="K1220" i="4"/>
  <c r="K1219" i="4"/>
  <c r="M1219" i="4" s="1"/>
  <c r="K1218" i="4"/>
  <c r="K1217" i="4"/>
  <c r="K1216" i="4"/>
  <c r="K1215" i="4"/>
  <c r="M1215" i="4" s="1"/>
  <c r="K1214" i="4"/>
  <c r="K1213" i="4"/>
  <c r="L1213" i="4" s="1"/>
  <c r="K1212" i="4"/>
  <c r="K1211" i="4"/>
  <c r="M1211" i="4" s="1"/>
  <c r="K1210" i="4"/>
  <c r="K1209" i="4"/>
  <c r="K1208" i="4"/>
  <c r="K1207" i="4"/>
  <c r="K1206" i="4"/>
  <c r="M1206" i="4" s="1"/>
  <c r="K1205" i="4"/>
  <c r="K1204" i="4"/>
  <c r="K1203" i="4"/>
  <c r="K1202" i="4"/>
  <c r="M1202" i="4" s="1"/>
  <c r="K1201" i="4"/>
  <c r="K1200" i="4"/>
  <c r="K1199" i="4"/>
  <c r="K1198" i="4"/>
  <c r="M1198" i="4" s="1"/>
  <c r="K1197" i="4"/>
  <c r="K1196" i="4"/>
  <c r="K1195" i="4"/>
  <c r="K1194" i="4"/>
  <c r="M1194" i="4" s="1"/>
  <c r="K1193" i="4"/>
  <c r="K1192" i="4"/>
  <c r="K1191" i="4"/>
  <c r="K1190" i="4"/>
  <c r="M1190" i="4" s="1"/>
  <c r="K1189" i="4"/>
  <c r="K1188" i="4"/>
  <c r="K1187" i="4"/>
  <c r="K1186" i="4"/>
  <c r="M1186" i="4" s="1"/>
  <c r="K1185" i="4"/>
  <c r="K1184" i="4"/>
  <c r="K1183" i="4"/>
  <c r="K1182" i="4"/>
  <c r="M1182" i="4" s="1"/>
  <c r="K1181" i="4"/>
  <c r="K1180" i="4"/>
  <c r="K1179" i="4"/>
  <c r="K1178" i="4"/>
  <c r="M1178" i="4" s="1"/>
  <c r="K1177" i="4"/>
  <c r="K1176" i="4"/>
  <c r="K1175" i="4"/>
  <c r="K1174" i="4"/>
  <c r="M1174" i="4" s="1"/>
  <c r="K1173" i="4"/>
  <c r="K1172" i="4"/>
  <c r="K1171" i="4"/>
  <c r="K1170" i="4"/>
  <c r="M1170" i="4" s="1"/>
  <c r="K1169" i="4"/>
  <c r="K1168" i="4"/>
  <c r="K1167" i="4"/>
  <c r="K1166" i="4"/>
  <c r="M1166" i="4" s="1"/>
  <c r="K1165" i="4"/>
  <c r="K1164" i="4"/>
  <c r="K1163" i="4"/>
  <c r="K1162" i="4"/>
  <c r="M1162" i="4" s="1"/>
  <c r="K1161" i="4"/>
  <c r="K1160" i="4"/>
  <c r="K1159" i="4"/>
  <c r="K1158" i="4"/>
  <c r="M1158" i="4" s="1"/>
  <c r="K1157" i="4"/>
  <c r="K1156" i="4"/>
  <c r="K1155" i="4"/>
  <c r="K1154" i="4"/>
  <c r="M1154" i="4" s="1"/>
  <c r="K1153" i="4"/>
  <c r="K1152" i="4"/>
  <c r="K1151" i="4"/>
  <c r="K1150" i="4"/>
  <c r="M1150" i="4" s="1"/>
  <c r="K1149" i="4"/>
  <c r="K1148" i="4"/>
  <c r="K1147" i="4"/>
  <c r="K1146" i="4"/>
  <c r="M1146" i="4" s="1"/>
  <c r="K1145" i="4"/>
  <c r="K1144" i="4"/>
  <c r="K1143" i="4"/>
  <c r="K1142" i="4"/>
  <c r="M1142" i="4" s="1"/>
  <c r="K1141" i="4"/>
  <c r="K1140" i="4"/>
  <c r="K1139" i="4"/>
  <c r="K1138" i="4"/>
  <c r="M1138" i="4" s="1"/>
  <c r="K1137" i="4"/>
  <c r="K1136" i="4"/>
  <c r="K1135" i="4"/>
  <c r="K1134" i="4"/>
  <c r="M1134" i="4" s="1"/>
  <c r="K1133" i="4"/>
  <c r="K1132" i="4"/>
  <c r="K1131" i="4"/>
  <c r="K1130" i="4"/>
  <c r="M1130" i="4" s="1"/>
  <c r="K1129" i="4"/>
  <c r="K1128" i="4"/>
  <c r="K1127" i="4"/>
  <c r="K1126" i="4"/>
  <c r="M1126" i="4" s="1"/>
  <c r="K1125" i="4"/>
  <c r="K1124" i="4"/>
  <c r="K1123" i="4"/>
  <c r="K1122" i="4"/>
  <c r="M1122" i="4" s="1"/>
  <c r="K1121" i="4"/>
  <c r="K1120" i="4"/>
  <c r="K1119" i="4"/>
  <c r="K1118" i="4"/>
  <c r="M1118" i="4" s="1"/>
  <c r="K1117" i="4"/>
  <c r="K1116" i="4"/>
  <c r="K1115" i="4"/>
  <c r="K1114" i="4"/>
  <c r="K1113" i="4"/>
  <c r="M1113" i="4" s="1"/>
  <c r="K1112" i="4"/>
  <c r="K1111" i="4"/>
  <c r="K1110" i="4"/>
  <c r="K1109" i="4"/>
  <c r="K1108" i="4"/>
  <c r="K1107" i="4"/>
  <c r="K1106" i="4"/>
  <c r="K1105" i="4"/>
  <c r="M1105" i="4" s="1"/>
  <c r="K1104" i="4"/>
  <c r="K1103" i="4"/>
  <c r="K1102" i="4"/>
  <c r="K1101" i="4"/>
  <c r="K1100" i="4"/>
  <c r="K1099" i="4"/>
  <c r="K1098" i="4"/>
  <c r="K1097" i="4"/>
  <c r="M1097" i="4" s="1"/>
  <c r="K1096" i="4"/>
  <c r="K1095" i="4"/>
  <c r="K1094" i="4"/>
  <c r="K1093" i="4"/>
  <c r="K1092" i="4"/>
  <c r="K1091" i="4"/>
  <c r="K1090" i="4"/>
  <c r="K1089" i="4"/>
  <c r="M1089" i="4" s="1"/>
  <c r="K1088" i="4"/>
  <c r="K1087" i="4"/>
  <c r="K1086" i="4"/>
  <c r="K1085" i="4"/>
  <c r="K1084" i="4"/>
  <c r="K1083" i="4"/>
  <c r="K1082" i="4"/>
  <c r="K1081" i="4"/>
  <c r="M1081" i="4" s="1"/>
  <c r="K1080" i="4"/>
  <c r="K1079" i="4"/>
  <c r="K1078" i="4"/>
  <c r="K1077" i="4"/>
  <c r="K1076" i="4"/>
  <c r="K1075" i="4"/>
  <c r="K1074" i="4"/>
  <c r="K1073" i="4"/>
  <c r="M1073" i="4" s="1"/>
  <c r="K1072" i="4"/>
  <c r="K1071" i="4"/>
  <c r="K1070" i="4"/>
  <c r="M1070" i="4" s="1"/>
  <c r="K1069" i="4"/>
  <c r="K1068" i="4"/>
  <c r="L1068" i="4" s="1"/>
  <c r="K1067" i="4"/>
  <c r="K1066" i="4"/>
  <c r="K1065" i="4"/>
  <c r="M1065" i="4" s="1"/>
  <c r="K1064" i="4"/>
  <c r="M1064" i="4" s="1"/>
  <c r="K1063" i="4"/>
  <c r="L1063" i="4" s="1"/>
  <c r="K1062" i="4"/>
  <c r="M1062" i="4" s="1"/>
  <c r="K1061" i="4"/>
  <c r="K1060" i="4"/>
  <c r="M1060" i="4" s="1"/>
  <c r="K1059" i="4"/>
  <c r="K1058" i="4"/>
  <c r="K1057" i="4"/>
  <c r="M1057" i="4" s="1"/>
  <c r="K1056" i="4"/>
  <c r="L1056" i="4" s="1"/>
  <c r="K1055" i="4"/>
  <c r="K1054" i="4"/>
  <c r="K1053" i="4"/>
  <c r="K1052" i="4"/>
  <c r="M1052" i="4" s="1"/>
  <c r="K1051" i="4"/>
  <c r="K1050" i="4"/>
  <c r="K1049" i="4"/>
  <c r="M1049" i="4" s="1"/>
  <c r="K1048" i="4"/>
  <c r="M1048" i="4" s="1"/>
  <c r="K1047" i="4"/>
  <c r="L1047" i="4" s="1"/>
  <c r="K1046" i="4"/>
  <c r="M1046" i="4" s="1"/>
  <c r="K1045" i="4"/>
  <c r="K1044" i="4"/>
  <c r="K1043" i="4"/>
  <c r="K1042" i="4"/>
  <c r="M1042" i="4" s="1"/>
  <c r="K1041" i="4"/>
  <c r="M1041" i="4" s="1"/>
  <c r="K1040" i="4"/>
  <c r="K1039" i="4"/>
  <c r="K1038" i="4"/>
  <c r="M1038" i="4" s="1"/>
  <c r="K1037" i="4"/>
  <c r="K1036" i="4"/>
  <c r="K1035" i="4"/>
  <c r="K1034" i="4"/>
  <c r="M1034" i="4" s="1"/>
  <c r="K1033" i="4"/>
  <c r="M1033" i="4" s="1"/>
  <c r="K1032" i="4"/>
  <c r="K1031" i="4"/>
  <c r="K1030" i="4"/>
  <c r="M1030" i="4" s="1"/>
  <c r="K1029" i="4"/>
  <c r="K1028" i="4"/>
  <c r="K1027" i="4"/>
  <c r="K1026" i="4"/>
  <c r="M1026" i="4" s="1"/>
  <c r="K1025" i="4"/>
  <c r="M1025" i="4" s="1"/>
  <c r="K1024" i="4"/>
  <c r="K1023" i="4"/>
  <c r="K1022" i="4"/>
  <c r="M1022" i="4" s="1"/>
  <c r="K1021" i="4"/>
  <c r="K1020" i="4"/>
  <c r="K1019" i="4"/>
  <c r="K1018" i="4"/>
  <c r="M1018" i="4" s="1"/>
  <c r="K1017" i="4"/>
  <c r="M1017" i="4" s="1"/>
  <c r="K1016" i="4"/>
  <c r="K1015" i="4"/>
  <c r="M1015" i="4" s="1"/>
  <c r="K1014" i="4"/>
  <c r="K1013" i="4"/>
  <c r="M1013" i="4" s="1"/>
  <c r="K1012" i="4"/>
  <c r="K1011" i="4"/>
  <c r="M1011" i="4" s="1"/>
  <c r="K1010" i="4"/>
  <c r="K1009" i="4"/>
  <c r="K1008" i="4"/>
  <c r="K1007" i="4"/>
  <c r="M1007" i="4" s="1"/>
  <c r="K1006" i="4"/>
  <c r="K1005" i="4"/>
  <c r="M1005" i="4" s="1"/>
  <c r="K1004" i="4"/>
  <c r="K1003" i="4"/>
  <c r="M1003" i="4" s="1"/>
  <c r="K1002" i="4"/>
  <c r="K1001" i="4"/>
  <c r="K1000" i="4"/>
  <c r="K999" i="4"/>
  <c r="M999" i="4" s="1"/>
  <c r="K998" i="4"/>
  <c r="K997" i="4"/>
  <c r="M997" i="4" s="1"/>
  <c r="K996" i="4"/>
  <c r="K995" i="4"/>
  <c r="M995" i="4" s="1"/>
  <c r="K994" i="4"/>
  <c r="K993" i="4"/>
  <c r="L993" i="4" s="1"/>
  <c r="K992" i="4"/>
  <c r="K991" i="4"/>
  <c r="M991" i="4" s="1"/>
  <c r="K990" i="4"/>
  <c r="K989" i="4"/>
  <c r="M989" i="4" s="1"/>
  <c r="K988" i="4"/>
  <c r="K987" i="4"/>
  <c r="M987" i="4" s="1"/>
  <c r="K986" i="4"/>
  <c r="K985" i="4"/>
  <c r="K984" i="4"/>
  <c r="K983" i="4"/>
  <c r="M983" i="4" s="1"/>
  <c r="K982" i="4"/>
  <c r="K981" i="4"/>
  <c r="M981" i="4" s="1"/>
  <c r="K980" i="4"/>
  <c r="K979" i="4"/>
  <c r="M979" i="4" s="1"/>
  <c r="K978" i="4"/>
  <c r="K977" i="4"/>
  <c r="K976" i="4"/>
  <c r="K975" i="4"/>
  <c r="M975" i="4" s="1"/>
  <c r="K974" i="4"/>
  <c r="K973" i="4"/>
  <c r="M973" i="4" s="1"/>
  <c r="K972" i="4"/>
  <c r="K971" i="4"/>
  <c r="M971" i="4" s="1"/>
  <c r="K970" i="4"/>
  <c r="K969" i="4"/>
  <c r="L969" i="4" s="1"/>
  <c r="K968" i="4"/>
  <c r="K967" i="4"/>
  <c r="M967" i="4" s="1"/>
  <c r="K966" i="4"/>
  <c r="K965" i="4"/>
  <c r="M965" i="4" s="1"/>
  <c r="K964" i="4"/>
  <c r="K963" i="4"/>
  <c r="M963" i="4" s="1"/>
  <c r="K962" i="4"/>
  <c r="K961" i="4"/>
  <c r="L961" i="4" s="1"/>
  <c r="K960" i="4"/>
  <c r="K959" i="4"/>
  <c r="M959" i="4" s="1"/>
  <c r="K958" i="4"/>
  <c r="K957" i="4"/>
  <c r="M957" i="4" s="1"/>
  <c r="K956" i="4"/>
  <c r="K955" i="4"/>
  <c r="M955" i="4" s="1"/>
  <c r="K954" i="4"/>
  <c r="K953" i="4"/>
  <c r="K952" i="4"/>
  <c r="K951" i="4"/>
  <c r="M951" i="4" s="1"/>
  <c r="K950" i="4"/>
  <c r="K949" i="4"/>
  <c r="M949" i="4" s="1"/>
  <c r="K948" i="4"/>
  <c r="K947" i="4"/>
  <c r="M947" i="4" s="1"/>
  <c r="K946" i="4"/>
  <c r="K945" i="4"/>
  <c r="K944" i="4"/>
  <c r="K943" i="4"/>
  <c r="M943" i="4" s="1"/>
  <c r="K942" i="4"/>
  <c r="K941" i="4"/>
  <c r="M941" i="4" s="1"/>
  <c r="K940" i="4"/>
  <c r="K939" i="4"/>
  <c r="M939" i="4" s="1"/>
  <c r="K938" i="4"/>
  <c r="K937" i="4"/>
  <c r="K936" i="4"/>
  <c r="K935" i="4"/>
  <c r="M935" i="4" s="1"/>
  <c r="K934" i="4"/>
  <c r="K933" i="4"/>
  <c r="M933" i="4" s="1"/>
  <c r="K932" i="4"/>
  <c r="K931" i="4"/>
  <c r="M931" i="4" s="1"/>
  <c r="K930" i="4"/>
  <c r="K929" i="4"/>
  <c r="L929" i="4" s="1"/>
  <c r="K928" i="4"/>
  <c r="K927" i="4"/>
  <c r="M927" i="4" s="1"/>
  <c r="K926" i="4"/>
  <c r="K925" i="4"/>
  <c r="M925" i="4" s="1"/>
  <c r="K924" i="4"/>
  <c r="K923" i="4"/>
  <c r="M923" i="4" s="1"/>
  <c r="K922" i="4"/>
  <c r="K921" i="4"/>
  <c r="K920" i="4"/>
  <c r="K919" i="4"/>
  <c r="M919" i="4" s="1"/>
  <c r="K918" i="4"/>
  <c r="K917" i="4"/>
  <c r="K916" i="4"/>
  <c r="K915" i="4"/>
  <c r="M915" i="4" s="1"/>
  <c r="K914" i="4"/>
  <c r="M914" i="4" s="1"/>
  <c r="K913" i="4"/>
  <c r="K912" i="4"/>
  <c r="K911" i="4"/>
  <c r="M911" i="4" s="1"/>
  <c r="K910" i="4"/>
  <c r="K909" i="4"/>
  <c r="K908" i="4"/>
  <c r="K907" i="4"/>
  <c r="M907" i="4" s="1"/>
  <c r="K906" i="4"/>
  <c r="M906" i="4" s="1"/>
  <c r="K905" i="4"/>
  <c r="K904" i="4"/>
  <c r="K903" i="4"/>
  <c r="M903" i="4" s="1"/>
  <c r="K902" i="4"/>
  <c r="K901" i="4"/>
  <c r="M901" i="4" s="1"/>
  <c r="K900" i="4"/>
  <c r="K899" i="4"/>
  <c r="M899" i="4" s="1"/>
  <c r="K898" i="4"/>
  <c r="M898" i="4" s="1"/>
  <c r="K897" i="4"/>
  <c r="K896" i="4"/>
  <c r="K895" i="4"/>
  <c r="M895" i="4" s="1"/>
  <c r="K894" i="4"/>
  <c r="K893" i="4"/>
  <c r="M893" i="4" s="1"/>
  <c r="K892" i="4"/>
  <c r="K891" i="4"/>
  <c r="M891" i="4" s="1"/>
  <c r="K890" i="4"/>
  <c r="M890" i="4" s="1"/>
  <c r="K889" i="4"/>
  <c r="K888" i="4"/>
  <c r="K887" i="4"/>
  <c r="M887" i="4" s="1"/>
  <c r="K886" i="4"/>
  <c r="M886" i="4" s="1"/>
  <c r="K885" i="4"/>
  <c r="K884" i="4"/>
  <c r="K883" i="4"/>
  <c r="M883" i="4" s="1"/>
  <c r="K882" i="4"/>
  <c r="M882" i="4" s="1"/>
  <c r="K881" i="4"/>
  <c r="K880" i="4"/>
  <c r="K879" i="4"/>
  <c r="M879" i="4" s="1"/>
  <c r="K878" i="4"/>
  <c r="K877" i="4"/>
  <c r="K876" i="4"/>
  <c r="K875" i="4"/>
  <c r="M875" i="4" s="1"/>
  <c r="K874" i="4"/>
  <c r="M874" i="4" s="1"/>
  <c r="K873" i="4"/>
  <c r="K872" i="4"/>
  <c r="K871" i="4"/>
  <c r="M871" i="4" s="1"/>
  <c r="K870" i="4"/>
  <c r="K869" i="4"/>
  <c r="M869" i="4" s="1"/>
  <c r="K868" i="4"/>
  <c r="K867" i="4"/>
  <c r="M867" i="4" s="1"/>
  <c r="K866" i="4"/>
  <c r="M866" i="4" s="1"/>
  <c r="K865" i="4"/>
  <c r="M865" i="4" s="1"/>
  <c r="K864" i="4"/>
  <c r="K863" i="4"/>
  <c r="M863" i="4" s="1"/>
  <c r="K862" i="4"/>
  <c r="K861" i="4"/>
  <c r="K860" i="4"/>
  <c r="K859" i="4"/>
  <c r="M859" i="4" s="1"/>
  <c r="K858" i="4"/>
  <c r="M858" i="4" s="1"/>
  <c r="K857" i="4"/>
  <c r="K856" i="4"/>
  <c r="K855" i="4"/>
  <c r="M855" i="4" s="1"/>
  <c r="K854" i="4"/>
  <c r="M854" i="4" s="1"/>
  <c r="K853" i="4"/>
  <c r="K852" i="4"/>
  <c r="K851" i="4"/>
  <c r="M851" i="4" s="1"/>
  <c r="K850" i="4"/>
  <c r="M850" i="4" s="1"/>
  <c r="K849" i="4"/>
  <c r="K848" i="4"/>
  <c r="K847" i="4"/>
  <c r="M847" i="4" s="1"/>
  <c r="K846" i="4"/>
  <c r="K845" i="4"/>
  <c r="K844" i="4"/>
  <c r="K843" i="4"/>
  <c r="M843" i="4" s="1"/>
  <c r="K842" i="4"/>
  <c r="K841" i="4"/>
  <c r="M841" i="4" s="1"/>
  <c r="K840" i="4"/>
  <c r="K839" i="4"/>
  <c r="M839" i="4" s="1"/>
  <c r="K838" i="4"/>
  <c r="K837" i="4"/>
  <c r="K836" i="4"/>
  <c r="K835" i="4"/>
  <c r="M835" i="4" s="1"/>
  <c r="K834" i="4"/>
  <c r="K833" i="4"/>
  <c r="M833" i="4" s="1"/>
  <c r="K832" i="4"/>
  <c r="K831" i="4"/>
  <c r="M831" i="4" s="1"/>
  <c r="K830" i="4"/>
  <c r="K829" i="4"/>
  <c r="K828" i="4"/>
  <c r="K827" i="4"/>
  <c r="M827" i="4" s="1"/>
  <c r="K826" i="4"/>
  <c r="K825" i="4"/>
  <c r="M825" i="4" s="1"/>
  <c r="K824" i="4"/>
  <c r="K823" i="4"/>
  <c r="M823" i="4" s="1"/>
  <c r="K822" i="4"/>
  <c r="K821" i="4"/>
  <c r="K820" i="4"/>
  <c r="K819" i="4"/>
  <c r="M819" i="4" s="1"/>
  <c r="K818" i="4"/>
  <c r="K817" i="4"/>
  <c r="M817" i="4" s="1"/>
  <c r="K816" i="4"/>
  <c r="K815" i="4"/>
  <c r="M815" i="4" s="1"/>
  <c r="K814" i="4"/>
  <c r="K813" i="4"/>
  <c r="K812" i="4"/>
  <c r="K811" i="4"/>
  <c r="M811" i="4" s="1"/>
  <c r="K810" i="4"/>
  <c r="K809" i="4"/>
  <c r="K808" i="4"/>
  <c r="K807" i="4"/>
  <c r="M807" i="4" s="1"/>
  <c r="K806" i="4"/>
  <c r="M806" i="4" s="1"/>
  <c r="K805" i="4"/>
  <c r="K804" i="4"/>
  <c r="K803" i="4"/>
  <c r="M803" i="4" s="1"/>
  <c r="K802" i="4"/>
  <c r="K801" i="4"/>
  <c r="K800" i="4"/>
  <c r="K799" i="4"/>
  <c r="M799" i="4" s="1"/>
  <c r="K798" i="4"/>
  <c r="M798" i="4" s="1"/>
  <c r="K797" i="4"/>
  <c r="K796" i="4"/>
  <c r="K795" i="4"/>
  <c r="M795" i="4" s="1"/>
  <c r="K794" i="4"/>
  <c r="M794" i="4" s="1"/>
  <c r="K793" i="4"/>
  <c r="K792" i="4"/>
  <c r="K791" i="4"/>
  <c r="M791" i="4" s="1"/>
  <c r="K790" i="4"/>
  <c r="M790" i="4" s="1"/>
  <c r="K789" i="4"/>
  <c r="K788" i="4"/>
  <c r="K787" i="4"/>
  <c r="M787" i="4" s="1"/>
  <c r="K786" i="4"/>
  <c r="M786" i="4" s="1"/>
  <c r="K785" i="4"/>
  <c r="K784" i="4"/>
  <c r="K783" i="4"/>
  <c r="M783" i="4" s="1"/>
  <c r="K782" i="4"/>
  <c r="M782" i="4" s="1"/>
  <c r="K781" i="4"/>
  <c r="K780" i="4"/>
  <c r="K779" i="4"/>
  <c r="M779" i="4" s="1"/>
  <c r="K778" i="4"/>
  <c r="M778" i="4" s="1"/>
  <c r="K777" i="4"/>
  <c r="K776" i="4"/>
  <c r="K775" i="4"/>
  <c r="M775" i="4" s="1"/>
  <c r="K774" i="4"/>
  <c r="M774" i="4" s="1"/>
  <c r="K773" i="4"/>
  <c r="K772" i="4"/>
  <c r="K771" i="4"/>
  <c r="M771" i="4" s="1"/>
  <c r="K770" i="4"/>
  <c r="M770" i="4" s="1"/>
  <c r="K769" i="4"/>
  <c r="K768" i="4"/>
  <c r="K767" i="4"/>
  <c r="M767" i="4" s="1"/>
  <c r="K766" i="4"/>
  <c r="M766" i="4" s="1"/>
  <c r="K765" i="4"/>
  <c r="K764" i="4"/>
  <c r="K763" i="4"/>
  <c r="M763" i="4" s="1"/>
  <c r="K762" i="4"/>
  <c r="M762" i="4" s="1"/>
  <c r="K761" i="4"/>
  <c r="K760" i="4"/>
  <c r="K759" i="4"/>
  <c r="M759" i="4" s="1"/>
  <c r="K758" i="4"/>
  <c r="M758" i="4" s="1"/>
  <c r="K757" i="4"/>
  <c r="K756" i="4"/>
  <c r="K755" i="4"/>
  <c r="M755" i="4" s="1"/>
  <c r="K754" i="4"/>
  <c r="M754" i="4" s="1"/>
  <c r="K753" i="4"/>
  <c r="K752" i="4"/>
  <c r="K751" i="4"/>
  <c r="M751" i="4" s="1"/>
  <c r="K750" i="4"/>
  <c r="M750" i="4" s="1"/>
  <c r="K749" i="4"/>
  <c r="K748" i="4"/>
  <c r="K747" i="4"/>
  <c r="M747" i="4" s="1"/>
  <c r="K746" i="4"/>
  <c r="M746" i="4" s="1"/>
  <c r="K745" i="4"/>
  <c r="K744" i="4"/>
  <c r="K743" i="4"/>
  <c r="M743" i="4" s="1"/>
  <c r="K742" i="4"/>
  <c r="M742" i="4" s="1"/>
  <c r="K741" i="4"/>
  <c r="K740" i="4"/>
  <c r="K739" i="4"/>
  <c r="M739" i="4" s="1"/>
  <c r="K738" i="4"/>
  <c r="M738" i="4" s="1"/>
  <c r="K737" i="4"/>
  <c r="K736" i="4"/>
  <c r="K735" i="4"/>
  <c r="M735" i="4" s="1"/>
  <c r="K734" i="4"/>
  <c r="M734" i="4" s="1"/>
  <c r="K733" i="4"/>
  <c r="K732" i="4"/>
  <c r="K731" i="4"/>
  <c r="M731" i="4" s="1"/>
  <c r="K730" i="4"/>
  <c r="M730" i="4" s="1"/>
  <c r="K729" i="4"/>
  <c r="K728" i="4"/>
  <c r="K727" i="4"/>
  <c r="M727" i="4" s="1"/>
  <c r="K726" i="4"/>
  <c r="M726" i="4" s="1"/>
  <c r="K725" i="4"/>
  <c r="K724" i="4"/>
  <c r="K723" i="4"/>
  <c r="M723" i="4" s="1"/>
  <c r="K722" i="4"/>
  <c r="M722" i="4" s="1"/>
  <c r="K721" i="4"/>
  <c r="K720" i="4"/>
  <c r="K719" i="4"/>
  <c r="M719" i="4" s="1"/>
  <c r="K718" i="4"/>
  <c r="M718" i="4" s="1"/>
  <c r="K717" i="4"/>
  <c r="K716" i="4"/>
  <c r="K715" i="4"/>
  <c r="M715" i="4" s="1"/>
  <c r="K714" i="4"/>
  <c r="K713" i="4"/>
  <c r="K712" i="4"/>
  <c r="K711" i="4"/>
  <c r="M711" i="4" s="1"/>
  <c r="K710" i="4"/>
  <c r="K709" i="4"/>
  <c r="K708" i="4"/>
  <c r="K707" i="4"/>
  <c r="M707" i="4" s="1"/>
  <c r="K706" i="4"/>
  <c r="K705" i="4"/>
  <c r="K704" i="4"/>
  <c r="K703" i="4"/>
  <c r="M703" i="4" s="1"/>
  <c r="K702" i="4"/>
  <c r="K701" i="4"/>
  <c r="K700" i="4"/>
  <c r="K699" i="4"/>
  <c r="M699" i="4" s="1"/>
  <c r="K698" i="4"/>
  <c r="K697" i="4"/>
  <c r="K696" i="4"/>
  <c r="K695" i="4"/>
  <c r="M695" i="4" s="1"/>
  <c r="K694" i="4"/>
  <c r="K693" i="4"/>
  <c r="K692" i="4"/>
  <c r="K691" i="4"/>
  <c r="M691" i="4" s="1"/>
  <c r="K690" i="4"/>
  <c r="K689" i="4"/>
  <c r="K688" i="4"/>
  <c r="K687" i="4"/>
  <c r="M687" i="4" s="1"/>
  <c r="K686" i="4"/>
  <c r="K685" i="4"/>
  <c r="K684" i="4"/>
  <c r="K683" i="4"/>
  <c r="M683" i="4" s="1"/>
  <c r="K682" i="4"/>
  <c r="K681" i="4"/>
  <c r="K680" i="4"/>
  <c r="K679" i="4"/>
  <c r="M679" i="4" s="1"/>
  <c r="K678" i="4"/>
  <c r="K677" i="4"/>
  <c r="K676" i="4"/>
  <c r="K675" i="4"/>
  <c r="M675" i="4" s="1"/>
  <c r="K674" i="4"/>
  <c r="K673" i="4"/>
  <c r="K672" i="4"/>
  <c r="K671" i="4"/>
  <c r="M671" i="4" s="1"/>
  <c r="K670" i="4"/>
  <c r="K669" i="4"/>
  <c r="K668" i="4"/>
  <c r="K667" i="4"/>
  <c r="M667" i="4" s="1"/>
  <c r="K666" i="4"/>
  <c r="K665" i="4"/>
  <c r="K664" i="4"/>
  <c r="K663" i="4"/>
  <c r="M663" i="4" s="1"/>
  <c r="K662" i="4"/>
  <c r="K661" i="4"/>
  <c r="K660" i="4"/>
  <c r="K659" i="4"/>
  <c r="M659" i="4" s="1"/>
  <c r="K658" i="4"/>
  <c r="K657" i="4"/>
  <c r="K656" i="4"/>
  <c r="K655" i="4"/>
  <c r="M655" i="4" s="1"/>
  <c r="K654" i="4"/>
  <c r="K653" i="4"/>
  <c r="K652" i="4"/>
  <c r="K651" i="4"/>
  <c r="M651" i="4" s="1"/>
  <c r="K650" i="4"/>
  <c r="K649" i="4"/>
  <c r="K648" i="4"/>
  <c r="K647" i="4"/>
  <c r="M647" i="4" s="1"/>
  <c r="K646" i="4"/>
  <c r="K645" i="4"/>
  <c r="K644" i="4"/>
  <c r="K643" i="4"/>
  <c r="M643" i="4" s="1"/>
  <c r="K642" i="4"/>
  <c r="K641" i="4"/>
  <c r="K640" i="4"/>
  <c r="K639" i="4"/>
  <c r="M639" i="4" s="1"/>
  <c r="K638" i="4"/>
  <c r="K637" i="4"/>
  <c r="K636" i="4"/>
  <c r="K635" i="4"/>
  <c r="M635" i="4" s="1"/>
  <c r="K634" i="4"/>
  <c r="K633" i="4"/>
  <c r="K632" i="4"/>
  <c r="K631" i="4"/>
  <c r="M631" i="4" s="1"/>
  <c r="K630" i="4"/>
  <c r="K629" i="4"/>
  <c r="K628" i="4"/>
  <c r="K627" i="4"/>
  <c r="M627" i="4" s="1"/>
  <c r="K626" i="4"/>
  <c r="K625" i="4"/>
  <c r="K624" i="4"/>
  <c r="K623" i="4"/>
  <c r="M623" i="4" s="1"/>
  <c r="K622" i="4"/>
  <c r="K621" i="4"/>
  <c r="K620" i="4"/>
  <c r="K619" i="4"/>
  <c r="M619" i="4" s="1"/>
  <c r="K618" i="4"/>
  <c r="K617" i="4"/>
  <c r="K616" i="4"/>
  <c r="K615" i="4"/>
  <c r="M615" i="4" s="1"/>
  <c r="K614" i="4"/>
  <c r="K613" i="4"/>
  <c r="K612" i="4"/>
  <c r="K611" i="4"/>
  <c r="M611" i="4" s="1"/>
  <c r="K610" i="4"/>
  <c r="K609" i="4"/>
  <c r="K608" i="4"/>
  <c r="K607" i="4"/>
  <c r="M607" i="4" s="1"/>
  <c r="K606" i="4"/>
  <c r="K605" i="4"/>
  <c r="K604" i="4"/>
  <c r="K603" i="4"/>
  <c r="M603" i="4" s="1"/>
  <c r="K602" i="4"/>
  <c r="K601" i="4"/>
  <c r="K600" i="4"/>
  <c r="M600" i="4" s="1"/>
  <c r="K599" i="4"/>
  <c r="M599" i="4" s="1"/>
  <c r="K598" i="4"/>
  <c r="K597" i="4"/>
  <c r="K596" i="4"/>
  <c r="M596" i="4" s="1"/>
  <c r="K595" i="4"/>
  <c r="K594" i="4"/>
  <c r="K593" i="4"/>
  <c r="K592" i="4"/>
  <c r="M592" i="4" s="1"/>
  <c r="K591" i="4"/>
  <c r="M591" i="4" s="1"/>
  <c r="K590" i="4"/>
  <c r="K589" i="4"/>
  <c r="K588" i="4"/>
  <c r="M588" i="4" s="1"/>
  <c r="K587" i="4"/>
  <c r="K586" i="4"/>
  <c r="K585" i="4"/>
  <c r="K584" i="4"/>
  <c r="M584" i="4" s="1"/>
  <c r="K583" i="4"/>
  <c r="M583" i="4" s="1"/>
  <c r="K582" i="4"/>
  <c r="K581" i="4"/>
  <c r="K580" i="4"/>
  <c r="M580" i="4" s="1"/>
  <c r="K579" i="4"/>
  <c r="M579" i="4" s="1"/>
  <c r="K578" i="4"/>
  <c r="K577" i="4"/>
  <c r="K576" i="4"/>
  <c r="M576" i="4" s="1"/>
  <c r="K575" i="4"/>
  <c r="K574" i="4"/>
  <c r="L574" i="4" s="1"/>
  <c r="K573" i="4"/>
  <c r="K572" i="4"/>
  <c r="M572" i="4" s="1"/>
  <c r="K571" i="4"/>
  <c r="K570" i="4"/>
  <c r="K569" i="4"/>
  <c r="K568" i="4"/>
  <c r="M568" i="4" s="1"/>
  <c r="K567" i="4"/>
  <c r="K566" i="4"/>
  <c r="K565" i="4"/>
  <c r="K564" i="4"/>
  <c r="M564" i="4" s="1"/>
  <c r="K563" i="4"/>
  <c r="K562" i="4"/>
  <c r="K561" i="4"/>
  <c r="K560" i="4"/>
  <c r="M560" i="4" s="1"/>
  <c r="K559" i="4"/>
  <c r="K558" i="4"/>
  <c r="K557" i="4"/>
  <c r="K556" i="4"/>
  <c r="M556" i="4" s="1"/>
  <c r="K555" i="4"/>
  <c r="M555" i="4" s="1"/>
  <c r="K554" i="4"/>
  <c r="K553" i="4"/>
  <c r="K552" i="4"/>
  <c r="M552" i="4" s="1"/>
  <c r="K551" i="4"/>
  <c r="K550" i="4"/>
  <c r="K549" i="4"/>
  <c r="K548" i="4"/>
  <c r="M548" i="4" s="1"/>
  <c r="K547" i="4"/>
  <c r="K546" i="4"/>
  <c r="K545" i="4"/>
  <c r="K544" i="4"/>
  <c r="M544" i="4" s="1"/>
  <c r="K543" i="4"/>
  <c r="K542" i="4"/>
  <c r="K541" i="4"/>
  <c r="K540" i="4"/>
  <c r="M540" i="4" s="1"/>
  <c r="K539" i="4"/>
  <c r="K538" i="4"/>
  <c r="L538" i="4" s="1"/>
  <c r="K537" i="4"/>
  <c r="K536" i="4"/>
  <c r="M536" i="4" s="1"/>
  <c r="K535" i="4"/>
  <c r="K534" i="4"/>
  <c r="K533" i="4"/>
  <c r="K532" i="4"/>
  <c r="M532" i="4" s="1"/>
  <c r="K531" i="4"/>
  <c r="K530" i="4"/>
  <c r="L530" i="4" s="1"/>
  <c r="K529" i="4"/>
  <c r="K528" i="4"/>
  <c r="K527" i="4"/>
  <c r="M527" i="4" s="1"/>
  <c r="K526" i="4"/>
  <c r="K525" i="4"/>
  <c r="K524" i="4"/>
  <c r="K523" i="4"/>
  <c r="M523" i="4" s="1"/>
  <c r="K522" i="4"/>
  <c r="K521" i="4"/>
  <c r="K520" i="4"/>
  <c r="K519" i="4"/>
  <c r="M519" i="4" s="1"/>
  <c r="K518" i="4"/>
  <c r="K517" i="4"/>
  <c r="K516" i="4"/>
  <c r="K515" i="4"/>
  <c r="M515" i="4" s="1"/>
  <c r="K514" i="4"/>
  <c r="K513" i="4"/>
  <c r="K512" i="4"/>
  <c r="K511" i="4"/>
  <c r="M511" i="4" s="1"/>
  <c r="K510" i="4"/>
  <c r="K509" i="4"/>
  <c r="K508" i="4"/>
  <c r="K507" i="4"/>
  <c r="M507" i="4" s="1"/>
  <c r="K506" i="4"/>
  <c r="K505" i="4"/>
  <c r="K504" i="4"/>
  <c r="K503" i="4"/>
  <c r="M503" i="4" s="1"/>
  <c r="K502" i="4"/>
  <c r="K501" i="4"/>
  <c r="K500" i="4"/>
  <c r="K499" i="4"/>
  <c r="M499" i="4" s="1"/>
  <c r="K498" i="4"/>
  <c r="K497" i="4"/>
  <c r="K496" i="4"/>
  <c r="K495" i="4"/>
  <c r="K494" i="4"/>
  <c r="M494" i="4" s="1"/>
  <c r="K493" i="4"/>
  <c r="L493" i="4" s="1"/>
  <c r="K492" i="4"/>
  <c r="K491" i="4"/>
  <c r="K490" i="4"/>
  <c r="M490" i="4" s="1"/>
  <c r="K489" i="4"/>
  <c r="L489" i="4" s="1"/>
  <c r="K488" i="4"/>
  <c r="K487" i="4"/>
  <c r="K486" i="4"/>
  <c r="M486" i="4" s="1"/>
  <c r="K485" i="4"/>
  <c r="L485" i="4" s="1"/>
  <c r="K484" i="4"/>
  <c r="K483" i="4"/>
  <c r="K482" i="4"/>
  <c r="K481" i="4"/>
  <c r="L481" i="4" s="1"/>
  <c r="K480" i="4"/>
  <c r="K479" i="4"/>
  <c r="K478" i="4"/>
  <c r="M478" i="4" s="1"/>
  <c r="K477" i="4"/>
  <c r="L477" i="4" s="1"/>
  <c r="K476" i="4"/>
  <c r="K475" i="4"/>
  <c r="K474" i="4"/>
  <c r="M474" i="4" s="1"/>
  <c r="K473" i="4"/>
  <c r="L473" i="4" s="1"/>
  <c r="K472" i="4"/>
  <c r="K471" i="4"/>
  <c r="K470" i="4"/>
  <c r="M470" i="4" s="1"/>
  <c r="K469" i="4"/>
  <c r="L469" i="4" s="1"/>
  <c r="K468" i="4"/>
  <c r="K467" i="4"/>
  <c r="K466" i="4"/>
  <c r="M466" i="4" s="1"/>
  <c r="K465" i="4"/>
  <c r="L465" i="4" s="1"/>
  <c r="K464" i="4"/>
  <c r="K463" i="4"/>
  <c r="K462" i="4"/>
  <c r="M462" i="4" s="1"/>
  <c r="K461" i="4"/>
  <c r="L461" i="4" s="1"/>
  <c r="K460" i="4"/>
  <c r="K459" i="4"/>
  <c r="K458" i="4"/>
  <c r="M458" i="4" s="1"/>
  <c r="K457" i="4"/>
  <c r="L457" i="4" s="1"/>
  <c r="K456" i="4"/>
  <c r="K455" i="4"/>
  <c r="K454" i="4"/>
  <c r="M454" i="4" s="1"/>
  <c r="K453" i="4"/>
  <c r="L453" i="4" s="1"/>
  <c r="K452" i="4"/>
  <c r="K451" i="4"/>
  <c r="K450" i="4"/>
  <c r="M450" i="4" s="1"/>
  <c r="K449" i="4"/>
  <c r="L449" i="4" s="1"/>
  <c r="K448" i="4"/>
  <c r="K447" i="4"/>
  <c r="K446" i="4"/>
  <c r="M446" i="4" s="1"/>
  <c r="K445" i="4"/>
  <c r="L445" i="4" s="1"/>
  <c r="K444" i="4"/>
  <c r="K443" i="4"/>
  <c r="K442" i="4"/>
  <c r="M442" i="4" s="1"/>
  <c r="K441" i="4"/>
  <c r="L441" i="4" s="1"/>
  <c r="K440" i="4"/>
  <c r="K439" i="4"/>
  <c r="K438" i="4"/>
  <c r="M438" i="4" s="1"/>
  <c r="K437" i="4"/>
  <c r="L437" i="4" s="1"/>
  <c r="K436" i="4"/>
  <c r="K435" i="4"/>
  <c r="K434" i="4"/>
  <c r="L434" i="4" s="1"/>
  <c r="K433" i="4"/>
  <c r="L433" i="4" s="1"/>
  <c r="K432" i="4"/>
  <c r="K431" i="4"/>
  <c r="K430" i="4"/>
  <c r="L430" i="4" s="1"/>
  <c r="K429" i="4"/>
  <c r="L429" i="4" s="1"/>
  <c r="K428" i="4"/>
  <c r="K427" i="4"/>
  <c r="K426" i="4"/>
  <c r="K425" i="4"/>
  <c r="L425" i="4" s="1"/>
  <c r="K424" i="4"/>
  <c r="K423" i="4"/>
  <c r="K422" i="4"/>
  <c r="M422" i="4" s="1"/>
  <c r="K421" i="4"/>
  <c r="L421" i="4" s="1"/>
  <c r="K420" i="4"/>
  <c r="K419" i="4"/>
  <c r="K418" i="4"/>
  <c r="K417" i="4"/>
  <c r="L417" i="4" s="1"/>
  <c r="K416" i="4"/>
  <c r="K415" i="4"/>
  <c r="K414" i="4"/>
  <c r="M414" i="4" s="1"/>
  <c r="K413" i="4"/>
  <c r="L413" i="4" s="1"/>
  <c r="K412" i="4"/>
  <c r="K411" i="4"/>
  <c r="K410" i="4"/>
  <c r="M410" i="4" s="1"/>
  <c r="K409" i="4"/>
  <c r="L409" i="4" s="1"/>
  <c r="K408" i="4"/>
  <c r="K407" i="4"/>
  <c r="K406" i="4"/>
  <c r="M406" i="4" s="1"/>
  <c r="K405" i="4"/>
  <c r="L405" i="4" s="1"/>
  <c r="K404" i="4"/>
  <c r="K403" i="4"/>
  <c r="K402" i="4"/>
  <c r="M402" i="4" s="1"/>
  <c r="K401" i="4"/>
  <c r="L401" i="4" s="1"/>
  <c r="K400" i="4"/>
  <c r="K399" i="4"/>
  <c r="K398" i="4"/>
  <c r="M398" i="4" s="1"/>
  <c r="K397" i="4"/>
  <c r="L397" i="4" s="1"/>
  <c r="K396" i="4"/>
  <c r="K395" i="4"/>
  <c r="K394" i="4"/>
  <c r="M394" i="4" s="1"/>
  <c r="K393" i="4"/>
  <c r="L393" i="4" s="1"/>
  <c r="K392" i="4"/>
  <c r="K391" i="4"/>
  <c r="M391" i="4" s="1"/>
  <c r="K390" i="4"/>
  <c r="M390" i="4" s="1"/>
  <c r="K389" i="4"/>
  <c r="L389" i="4" s="1"/>
  <c r="K388" i="4"/>
  <c r="K387" i="4"/>
  <c r="M387" i="4" s="1"/>
  <c r="K386" i="4"/>
  <c r="K385" i="4"/>
  <c r="L385" i="4" s="1"/>
  <c r="K384" i="4"/>
  <c r="K383" i="4"/>
  <c r="M383" i="4" s="1"/>
  <c r="K382" i="4"/>
  <c r="M382" i="4" s="1"/>
  <c r="K381" i="4"/>
  <c r="L381" i="4" s="1"/>
  <c r="K380" i="4"/>
  <c r="K379" i="4"/>
  <c r="M379" i="4" s="1"/>
  <c r="K378" i="4"/>
  <c r="M378" i="4" s="1"/>
  <c r="K377" i="4"/>
  <c r="L377" i="4" s="1"/>
  <c r="K376" i="4"/>
  <c r="K375" i="4"/>
  <c r="M375" i="4" s="1"/>
  <c r="K374" i="4"/>
  <c r="M374" i="4" s="1"/>
  <c r="K373" i="4"/>
  <c r="L373" i="4" s="1"/>
  <c r="K372" i="4"/>
  <c r="K371" i="4"/>
  <c r="K370" i="4"/>
  <c r="M370" i="4" s="1"/>
  <c r="K369" i="4"/>
  <c r="L369" i="4" s="1"/>
  <c r="K368" i="4"/>
  <c r="K367" i="4"/>
  <c r="K366" i="4"/>
  <c r="L366" i="4" s="1"/>
  <c r="K365" i="4"/>
  <c r="L365" i="4" s="1"/>
  <c r="K364" i="4"/>
  <c r="K363" i="4"/>
  <c r="K362" i="4"/>
  <c r="M362" i="4" s="1"/>
  <c r="K361" i="4"/>
  <c r="K360" i="4"/>
  <c r="K359" i="4"/>
  <c r="M359" i="4" s="1"/>
  <c r="K358" i="4"/>
  <c r="M358" i="4" s="1"/>
  <c r="K357" i="4"/>
  <c r="L357" i="4" s="1"/>
  <c r="K356" i="4"/>
  <c r="K355" i="4"/>
  <c r="M355" i="4" s="1"/>
  <c r="K354" i="4"/>
  <c r="L354" i="4" s="1"/>
  <c r="K353" i="4"/>
  <c r="L353" i="4" s="1"/>
  <c r="K352" i="4"/>
  <c r="K351" i="4"/>
  <c r="K350" i="4"/>
  <c r="M350" i="4" s="1"/>
  <c r="K349" i="4"/>
  <c r="K348" i="4"/>
  <c r="K347" i="4"/>
  <c r="M347" i="4" s="1"/>
  <c r="K346" i="4"/>
  <c r="L346" i="4" s="1"/>
  <c r="K345" i="4"/>
  <c r="L345" i="4" s="1"/>
  <c r="K344" i="4"/>
  <c r="K343" i="4"/>
  <c r="M343" i="4" s="1"/>
  <c r="K342" i="4"/>
  <c r="M342" i="4" s="1"/>
  <c r="K341" i="4"/>
  <c r="L341" i="4" s="1"/>
  <c r="K340" i="4"/>
  <c r="K339" i="4"/>
  <c r="K338" i="4"/>
  <c r="K337" i="4"/>
  <c r="L337" i="4" s="1"/>
  <c r="K336" i="4"/>
  <c r="K335" i="4"/>
  <c r="M335" i="4" s="1"/>
  <c r="K334" i="4"/>
  <c r="M334" i="4" s="1"/>
  <c r="K333" i="4"/>
  <c r="K332" i="4"/>
  <c r="L332" i="4" s="1"/>
  <c r="K331" i="4"/>
  <c r="M331" i="4" s="1"/>
  <c r="K330" i="4"/>
  <c r="K329" i="4"/>
  <c r="M329" i="4" s="1"/>
  <c r="K328" i="4"/>
  <c r="K327" i="4"/>
  <c r="K326" i="4"/>
  <c r="K325" i="4"/>
  <c r="M325" i="4" s="1"/>
  <c r="K324" i="4"/>
  <c r="K323" i="4"/>
  <c r="L323" i="4" s="1"/>
  <c r="K322" i="4"/>
  <c r="K321" i="4"/>
  <c r="M321" i="4" s="1"/>
  <c r="K320" i="4"/>
  <c r="K319" i="4"/>
  <c r="L319" i="4" s="1"/>
  <c r="K318" i="4"/>
  <c r="K317" i="4"/>
  <c r="M317" i="4" s="1"/>
  <c r="K316" i="4"/>
  <c r="K315" i="4"/>
  <c r="L315" i="4" s="1"/>
  <c r="K314" i="4"/>
  <c r="K313" i="4"/>
  <c r="M313" i="4" s="1"/>
  <c r="K312" i="4"/>
  <c r="K311" i="4"/>
  <c r="K310" i="4"/>
  <c r="K309" i="4"/>
  <c r="M309" i="4" s="1"/>
  <c r="K308" i="4"/>
  <c r="K307" i="4"/>
  <c r="L307" i="4" s="1"/>
  <c r="K306" i="4"/>
  <c r="K305" i="4"/>
  <c r="M305" i="4" s="1"/>
  <c r="K304" i="4"/>
  <c r="K303" i="4"/>
  <c r="K302" i="4"/>
  <c r="K301" i="4"/>
  <c r="M301" i="4" s="1"/>
  <c r="K300" i="4"/>
  <c r="K299" i="4"/>
  <c r="K298" i="4"/>
  <c r="K297" i="4"/>
  <c r="M297" i="4" s="1"/>
  <c r="K296" i="4"/>
  <c r="K295" i="4"/>
  <c r="L295" i="4" s="1"/>
  <c r="K294" i="4"/>
  <c r="K293" i="4"/>
  <c r="M293" i="4" s="1"/>
  <c r="K292" i="4"/>
  <c r="K291" i="4"/>
  <c r="K290" i="4"/>
  <c r="K289" i="4"/>
  <c r="M289" i="4" s="1"/>
  <c r="K288" i="4"/>
  <c r="K287" i="4"/>
  <c r="L287" i="4" s="1"/>
  <c r="K286" i="4"/>
  <c r="K285" i="4"/>
  <c r="M285" i="4" s="1"/>
  <c r="K284" i="4"/>
  <c r="K283" i="4"/>
  <c r="K282" i="4"/>
  <c r="K281" i="4"/>
  <c r="M281" i="4" s="1"/>
  <c r="K280" i="4"/>
  <c r="K279" i="4"/>
  <c r="L279" i="4" s="1"/>
  <c r="K278" i="4"/>
  <c r="K277" i="4"/>
  <c r="M277" i="4" s="1"/>
  <c r="K276" i="4"/>
  <c r="K275" i="4"/>
  <c r="K274" i="4"/>
  <c r="K273" i="4"/>
  <c r="M273" i="4" s="1"/>
  <c r="K272" i="4"/>
  <c r="K271" i="4"/>
  <c r="L271" i="4" s="1"/>
  <c r="K270" i="4"/>
  <c r="K269" i="4"/>
  <c r="M269" i="4" s="1"/>
  <c r="K268" i="4"/>
  <c r="K267" i="4"/>
  <c r="K266" i="4"/>
  <c r="K265" i="4"/>
  <c r="M265" i="4" s="1"/>
  <c r="K264" i="4"/>
  <c r="K263" i="4"/>
  <c r="L263" i="4" s="1"/>
  <c r="K262" i="4"/>
  <c r="K261" i="4"/>
  <c r="M261" i="4" s="1"/>
  <c r="K260" i="4"/>
  <c r="K259" i="4"/>
  <c r="K258" i="4"/>
  <c r="K257" i="4"/>
  <c r="M257" i="4" s="1"/>
  <c r="K256" i="4"/>
  <c r="K255" i="4"/>
  <c r="L255" i="4" s="1"/>
  <c r="K254" i="4"/>
  <c r="K253" i="4"/>
  <c r="M253" i="4" s="1"/>
  <c r="K252" i="4"/>
  <c r="K251" i="4"/>
  <c r="K250" i="4"/>
  <c r="K249" i="4"/>
  <c r="M249" i="4" s="1"/>
  <c r="K248" i="4"/>
  <c r="K247" i="4"/>
  <c r="L247" i="4" s="1"/>
  <c r="K246" i="4"/>
  <c r="K245" i="4"/>
  <c r="M245" i="4" s="1"/>
  <c r="K244" i="4"/>
  <c r="K243" i="4"/>
  <c r="K242" i="4"/>
  <c r="K241" i="4"/>
  <c r="M241" i="4" s="1"/>
  <c r="K240" i="4"/>
  <c r="K239" i="4"/>
  <c r="K238" i="4"/>
  <c r="K237" i="4"/>
  <c r="M237" i="4" s="1"/>
  <c r="K236" i="4"/>
  <c r="K235" i="4"/>
  <c r="K234" i="4"/>
  <c r="K233" i="4"/>
  <c r="M233" i="4" s="1"/>
  <c r="K232" i="4"/>
  <c r="K231" i="4"/>
  <c r="L231" i="4" s="1"/>
  <c r="K230" i="4"/>
  <c r="K229" i="4"/>
  <c r="M229" i="4" s="1"/>
  <c r="K228" i="4"/>
  <c r="K227" i="4"/>
  <c r="K226" i="4"/>
  <c r="K225" i="4"/>
  <c r="M225" i="4" s="1"/>
  <c r="K224" i="4"/>
  <c r="K223" i="4"/>
  <c r="K222" i="4"/>
  <c r="K221" i="4"/>
  <c r="M221" i="4" s="1"/>
  <c r="K220" i="4"/>
  <c r="K219" i="4"/>
  <c r="K218" i="4"/>
  <c r="K217" i="4"/>
  <c r="M217" i="4" s="1"/>
  <c r="K216" i="4"/>
  <c r="K215" i="4"/>
  <c r="L215" i="4" s="1"/>
  <c r="K214" i="4"/>
  <c r="K213" i="4"/>
  <c r="M213" i="4" s="1"/>
  <c r="K212" i="4"/>
  <c r="K211" i="4"/>
  <c r="K210" i="4"/>
  <c r="K209" i="4"/>
  <c r="M209" i="4" s="1"/>
  <c r="K208" i="4"/>
  <c r="K207" i="4"/>
  <c r="K206" i="4"/>
  <c r="K205" i="4"/>
  <c r="M205" i="4" s="1"/>
  <c r="K204" i="4"/>
  <c r="K203" i="4"/>
  <c r="K202" i="4"/>
  <c r="K201" i="4"/>
  <c r="M201" i="4" s="1"/>
  <c r="K200" i="4"/>
  <c r="K199" i="4"/>
  <c r="L199" i="4" s="1"/>
  <c r="K198" i="4"/>
  <c r="K197" i="4"/>
  <c r="M197" i="4" s="1"/>
  <c r="K196" i="4"/>
  <c r="K195" i="4"/>
  <c r="K194" i="4"/>
  <c r="K193" i="4"/>
  <c r="M193" i="4" s="1"/>
  <c r="K192" i="4"/>
  <c r="K191" i="4"/>
  <c r="K190" i="4"/>
  <c r="K189" i="4"/>
  <c r="M189" i="4" s="1"/>
  <c r="K188" i="4"/>
  <c r="K187" i="4"/>
  <c r="K186" i="4"/>
  <c r="K185" i="4"/>
  <c r="M185" i="4" s="1"/>
  <c r="K184" i="4"/>
  <c r="K183" i="4"/>
  <c r="L183" i="4" s="1"/>
  <c r="K182" i="4"/>
  <c r="K181" i="4"/>
  <c r="M181" i="4" s="1"/>
  <c r="K180" i="4"/>
  <c r="K179" i="4"/>
  <c r="K178" i="4"/>
  <c r="K177" i="4"/>
  <c r="M177" i="4" s="1"/>
  <c r="K176" i="4"/>
  <c r="K175" i="4"/>
  <c r="K174" i="4"/>
  <c r="K173" i="4"/>
  <c r="M173" i="4" s="1"/>
  <c r="K172" i="4"/>
  <c r="K171" i="4"/>
  <c r="K170" i="4"/>
  <c r="K169" i="4"/>
  <c r="M169" i="4" s="1"/>
  <c r="K168" i="4"/>
  <c r="K167" i="4"/>
  <c r="L167" i="4" s="1"/>
  <c r="K166" i="4"/>
  <c r="K165" i="4"/>
  <c r="M165" i="4" s="1"/>
  <c r="K164" i="4"/>
  <c r="K163" i="4"/>
  <c r="K162" i="4"/>
  <c r="K161" i="4"/>
  <c r="M161" i="4" s="1"/>
  <c r="K160" i="4"/>
  <c r="K159" i="4"/>
  <c r="K158" i="4"/>
  <c r="K157" i="4"/>
  <c r="M157" i="4" s="1"/>
  <c r="K156" i="4"/>
  <c r="K155" i="4"/>
  <c r="K154" i="4"/>
  <c r="K153" i="4"/>
  <c r="M153" i="4" s="1"/>
  <c r="K152" i="4"/>
  <c r="K151" i="4"/>
  <c r="L151" i="4" s="1"/>
  <c r="K150" i="4"/>
  <c r="K149" i="4"/>
  <c r="M149" i="4" s="1"/>
  <c r="K148" i="4"/>
  <c r="K147" i="4"/>
  <c r="K146" i="4"/>
  <c r="K145" i="4"/>
  <c r="M145" i="4" s="1"/>
  <c r="K144" i="4"/>
  <c r="K143" i="4"/>
  <c r="K142" i="4"/>
  <c r="K141" i="4"/>
  <c r="M141" i="4" s="1"/>
  <c r="K140" i="4"/>
  <c r="K139" i="4"/>
  <c r="K138" i="4"/>
  <c r="K137" i="4"/>
  <c r="M137" i="4" s="1"/>
  <c r="K136" i="4"/>
  <c r="K135" i="4"/>
  <c r="L135" i="4" s="1"/>
  <c r="K134" i="4"/>
  <c r="K133" i="4"/>
  <c r="M133" i="4" s="1"/>
  <c r="K132" i="4"/>
  <c r="K131" i="4"/>
  <c r="K130" i="4"/>
  <c r="K129" i="4"/>
  <c r="M129" i="4" s="1"/>
  <c r="K128" i="4"/>
  <c r="K127" i="4"/>
  <c r="K126" i="4"/>
  <c r="K125" i="4"/>
  <c r="M125" i="4" s="1"/>
  <c r="K124" i="4"/>
  <c r="K123" i="4"/>
  <c r="K122" i="4"/>
  <c r="K121" i="4"/>
  <c r="M121" i="4" s="1"/>
  <c r="K120" i="4"/>
  <c r="K119" i="4"/>
  <c r="L119" i="4" s="1"/>
  <c r="K118" i="4"/>
  <c r="K117" i="4"/>
  <c r="M117" i="4" s="1"/>
  <c r="K116" i="4"/>
  <c r="K115" i="4"/>
  <c r="K114" i="4"/>
  <c r="K113" i="4"/>
  <c r="M113" i="4" s="1"/>
  <c r="K112" i="4"/>
  <c r="K111" i="4"/>
  <c r="K110" i="4"/>
  <c r="K109" i="4"/>
  <c r="M109" i="4" s="1"/>
  <c r="K108" i="4"/>
  <c r="K107" i="4"/>
  <c r="K106" i="4"/>
  <c r="K105" i="4"/>
  <c r="M105" i="4" s="1"/>
  <c r="K104" i="4"/>
  <c r="K103" i="4"/>
  <c r="L103" i="4" s="1"/>
  <c r="K102" i="4"/>
  <c r="K101" i="4"/>
  <c r="M101" i="4" s="1"/>
  <c r="K100" i="4"/>
  <c r="K99" i="4"/>
  <c r="K98" i="4"/>
  <c r="K97" i="4"/>
  <c r="M97" i="4" s="1"/>
  <c r="K96" i="4"/>
  <c r="K95" i="4"/>
  <c r="L95" i="4" s="1"/>
  <c r="K94" i="4"/>
  <c r="K93" i="4"/>
  <c r="M93" i="4" s="1"/>
  <c r="K92" i="4"/>
  <c r="K91" i="4"/>
  <c r="K90" i="4"/>
  <c r="K89" i="4"/>
  <c r="M89" i="4" s="1"/>
  <c r="K88" i="4"/>
  <c r="K87" i="4"/>
  <c r="L87" i="4" s="1"/>
  <c r="K86" i="4"/>
  <c r="K85" i="4"/>
  <c r="M85" i="4" s="1"/>
  <c r="K84" i="4"/>
  <c r="K83" i="4"/>
  <c r="K82" i="4"/>
  <c r="K81" i="4"/>
  <c r="L81" i="4" s="1"/>
  <c r="K80" i="4"/>
  <c r="K79" i="4"/>
  <c r="K78" i="4"/>
  <c r="K77" i="4"/>
  <c r="M77" i="4" s="1"/>
  <c r="K76" i="4"/>
  <c r="K75" i="4"/>
  <c r="K74" i="4"/>
  <c r="K73" i="4"/>
  <c r="L73" i="4" s="1"/>
  <c r="K72" i="4"/>
  <c r="K71" i="4"/>
  <c r="K70" i="4"/>
  <c r="K69" i="4"/>
  <c r="M69" i="4" s="1"/>
  <c r="K68" i="4"/>
  <c r="K67" i="4"/>
  <c r="K66" i="4"/>
  <c r="K65" i="4"/>
  <c r="L65" i="4" s="1"/>
  <c r="K64" i="4"/>
  <c r="K63" i="4"/>
  <c r="K62" i="4"/>
  <c r="K61" i="4"/>
  <c r="M61" i="4" s="1"/>
  <c r="K60" i="4"/>
  <c r="K59" i="4"/>
  <c r="K58" i="4"/>
  <c r="K57" i="4"/>
  <c r="M57" i="4" s="1"/>
  <c r="K56" i="4"/>
  <c r="K55" i="4"/>
  <c r="K54" i="4"/>
  <c r="K53" i="4"/>
  <c r="M53" i="4" s="1"/>
  <c r="K52" i="4"/>
  <c r="K51" i="4"/>
  <c r="K50" i="4"/>
  <c r="K49" i="4"/>
  <c r="L49" i="4" s="1"/>
  <c r="K48" i="4"/>
  <c r="K47" i="4"/>
  <c r="K46" i="4"/>
  <c r="K45" i="4"/>
  <c r="M45" i="4" s="1"/>
  <c r="K44" i="4"/>
  <c r="K43" i="4"/>
  <c r="K42" i="4"/>
  <c r="K41" i="4"/>
  <c r="M41" i="4" s="1"/>
  <c r="K40" i="4"/>
  <c r="M40" i="4" s="1"/>
  <c r="K39" i="4"/>
  <c r="K38" i="4"/>
  <c r="K37" i="4"/>
  <c r="M37" i="4" s="1"/>
  <c r="K36" i="4"/>
  <c r="K35" i="4"/>
  <c r="K34" i="4"/>
  <c r="K33" i="4"/>
  <c r="L33" i="4" s="1"/>
  <c r="K32" i="4"/>
  <c r="K31" i="4"/>
  <c r="K30" i="4"/>
  <c r="K29" i="4"/>
  <c r="M29" i="4" s="1"/>
  <c r="K28" i="4"/>
  <c r="K27" i="4"/>
  <c r="K26" i="4"/>
  <c r="K25" i="4"/>
  <c r="L25" i="4" s="1"/>
  <c r="K24" i="4"/>
  <c r="K23" i="4"/>
  <c r="K22" i="4"/>
  <c r="K21" i="4"/>
  <c r="M21" i="4" s="1"/>
  <c r="K20" i="4"/>
  <c r="K19" i="4"/>
  <c r="K18" i="4"/>
  <c r="K17" i="4"/>
  <c r="M17" i="4" s="1"/>
  <c r="K16" i="4"/>
  <c r="K15" i="4"/>
  <c r="K14" i="4"/>
  <c r="K13" i="4"/>
  <c r="L13" i="4" s="1"/>
  <c r="K12" i="4"/>
  <c r="K11" i="4"/>
  <c r="K10" i="4"/>
  <c r="K9" i="4"/>
  <c r="L9" i="4" s="1"/>
  <c r="K8" i="4"/>
  <c r="K7" i="4"/>
  <c r="K6" i="4"/>
  <c r="K5" i="4"/>
  <c r="L5" i="4" s="1"/>
  <c r="K4" i="4"/>
  <c r="K3" i="4"/>
  <c r="O3332" i="4"/>
  <c r="O3331" i="4"/>
  <c r="O3330" i="4"/>
  <c r="O3329" i="4"/>
  <c r="O3334" i="4"/>
  <c r="O3335" i="4"/>
  <c r="O3304" i="4"/>
  <c r="O3305" i="4"/>
  <c r="O3303" i="4"/>
  <c r="O3255" i="4"/>
  <c r="O3295" i="4"/>
  <c r="O3294" i="4"/>
  <c r="O3298" i="4"/>
  <c r="O3297" i="4"/>
  <c r="O3296" i="4"/>
  <c r="O3259" i="4"/>
  <c r="O3258" i="4"/>
  <c r="O3257" i="4"/>
  <c r="O2939" i="4"/>
  <c r="O2938" i="4"/>
  <c r="O2937" i="4"/>
  <c r="O2936" i="4"/>
  <c r="O2850" i="4"/>
  <c r="O3279" i="4"/>
  <c r="M2000" i="4" l="1"/>
  <c r="L2000" i="4"/>
  <c r="L1793" i="4"/>
  <c r="M1793" i="4"/>
  <c r="L1809" i="4"/>
  <c r="M1809" i="4"/>
  <c r="L1841" i="4"/>
  <c r="M1841" i="4"/>
  <c r="L1857" i="4"/>
  <c r="M1857" i="4"/>
  <c r="L1873" i="4"/>
  <c r="M1873" i="4"/>
  <c r="L1905" i="4"/>
  <c r="M1905" i="4"/>
  <c r="L1921" i="4"/>
  <c r="M1921" i="4"/>
  <c r="L1969" i="4"/>
  <c r="M1969" i="4"/>
  <c r="L1985" i="4"/>
  <c r="M1985" i="4"/>
  <c r="L1794" i="4"/>
  <c r="M1794" i="4"/>
  <c r="L1858" i="4"/>
  <c r="M1858" i="4"/>
  <c r="L1922" i="4"/>
  <c r="M1922" i="4"/>
  <c r="L1986" i="4"/>
  <c r="M1986" i="4"/>
  <c r="L1797" i="4"/>
  <c r="M1797" i="4"/>
  <c r="L1813" i="4"/>
  <c r="M1813" i="4"/>
  <c r="L1829" i="4"/>
  <c r="M1829" i="4"/>
  <c r="L1861" i="4"/>
  <c r="M1861" i="4"/>
  <c r="L1877" i="4"/>
  <c r="M1877" i="4"/>
  <c r="L1893" i="4"/>
  <c r="M1893" i="4"/>
  <c r="L1925" i="4"/>
  <c r="M1925" i="4"/>
  <c r="L1941" i="4"/>
  <c r="M1941" i="4"/>
  <c r="L1989" i="4"/>
  <c r="M1989" i="4"/>
  <c r="L1814" i="4"/>
  <c r="M1814" i="4"/>
  <c r="L1878" i="4"/>
  <c r="M1878" i="4"/>
  <c r="L1785" i="4"/>
  <c r="M1785" i="4"/>
  <c r="L1801" i="4"/>
  <c r="M1801" i="4"/>
  <c r="L1817" i="4"/>
  <c r="M1817" i="4"/>
  <c r="L1833" i="4"/>
  <c r="M1833" i="4"/>
  <c r="L1849" i="4"/>
  <c r="M1849" i="4"/>
  <c r="L1865" i="4"/>
  <c r="M1865" i="4"/>
  <c r="L1881" i="4"/>
  <c r="M1881" i="4"/>
  <c r="L1897" i="4"/>
  <c r="M1897" i="4"/>
  <c r="L1913" i="4"/>
  <c r="M1913" i="4"/>
  <c r="L1929" i="4"/>
  <c r="M1929" i="4"/>
  <c r="L1945" i="4"/>
  <c r="M1945" i="4"/>
  <c r="L1961" i="4"/>
  <c r="M1961" i="4"/>
  <c r="L1977" i="4"/>
  <c r="M1977" i="4"/>
  <c r="L1993" i="4"/>
  <c r="M1993" i="4"/>
  <c r="L1786" i="4"/>
  <c r="M1786" i="4"/>
  <c r="L1850" i="4"/>
  <c r="M1850" i="4"/>
  <c r="L1914" i="4"/>
  <c r="M1914" i="4"/>
  <c r="L1978" i="4"/>
  <c r="M1978" i="4"/>
  <c r="M1994" i="4"/>
  <c r="L1994" i="4"/>
  <c r="M1995" i="4"/>
  <c r="L1995" i="4"/>
  <c r="M1996" i="4"/>
  <c r="L1996" i="4"/>
  <c r="L1805" i="4"/>
  <c r="M1805" i="4"/>
  <c r="L1821" i="4"/>
  <c r="M1821" i="4"/>
  <c r="L1837" i="4"/>
  <c r="M1837" i="4"/>
  <c r="L1869" i="4"/>
  <c r="M1869" i="4"/>
  <c r="L1885" i="4"/>
  <c r="M1885" i="4"/>
  <c r="L1933" i="4"/>
  <c r="M1933" i="4"/>
  <c r="L1949" i="4"/>
  <c r="M1949" i="4"/>
  <c r="L1965" i="4"/>
  <c r="M1965" i="4"/>
  <c r="M1997" i="4"/>
  <c r="L1997" i="4"/>
  <c r="L1822" i="4"/>
  <c r="M1822" i="4"/>
  <c r="L1886" i="4"/>
  <c r="M1886" i="4"/>
  <c r="M1998" i="4"/>
  <c r="L1998" i="4"/>
  <c r="M1999" i="4"/>
  <c r="L1999" i="4"/>
  <c r="L1337" i="4"/>
  <c r="M365" i="4"/>
  <c r="M1425" i="4"/>
  <c r="L1474" i="4"/>
  <c r="L1626" i="4"/>
  <c r="L1506" i="4"/>
  <c r="L1802" i="4"/>
  <c r="L1350" i="4"/>
  <c r="L1374" i="4"/>
  <c r="L1762" i="4"/>
  <c r="L490" i="4"/>
  <c r="M1361" i="4"/>
  <c r="M1450" i="4"/>
  <c r="M1761" i="4"/>
  <c r="L1943" i="4"/>
  <c r="M493" i="4"/>
  <c r="M1269" i="4"/>
  <c r="L1305" i="4"/>
  <c r="M1390" i="4"/>
  <c r="L1458" i="4"/>
  <c r="M1725" i="4"/>
  <c r="L1930" i="4"/>
  <c r="M1068" i="4"/>
  <c r="L1438" i="4"/>
  <c r="M1765" i="4"/>
  <c r="L338" i="4"/>
  <c r="M338" i="4"/>
  <c r="M559" i="4"/>
  <c r="L559" i="4"/>
  <c r="M862" i="4"/>
  <c r="L862" i="4"/>
  <c r="M386" i="4"/>
  <c r="L386" i="4"/>
  <c r="L905" i="4"/>
  <c r="M905" i="4"/>
  <c r="L1001" i="4"/>
  <c r="M1001" i="4"/>
  <c r="L349" i="4"/>
  <c r="M349" i="4"/>
  <c r="M426" i="4"/>
  <c r="L426" i="4"/>
  <c r="M846" i="4"/>
  <c r="L846" i="4"/>
  <c r="L937" i="4"/>
  <c r="M937" i="4"/>
  <c r="L881" i="4"/>
  <c r="M881" i="4"/>
  <c r="L886" i="4"/>
  <c r="L1942" i="4"/>
  <c r="M346" i="4"/>
  <c r="M353" i="4"/>
  <c r="M369" i="4"/>
  <c r="L1273" i="4"/>
  <c r="M1301" i="4"/>
  <c r="L1367" i="4"/>
  <c r="L1431" i="4"/>
  <c r="L1754" i="4"/>
  <c r="L1979" i="4"/>
  <c r="M969" i="4"/>
  <c r="M1594" i="4"/>
  <c r="L1594" i="4"/>
  <c r="M366" i="4"/>
  <c r="L882" i="4"/>
  <c r="M1333" i="4"/>
  <c r="L1562" i="4"/>
  <c r="L1938" i="4"/>
  <c r="L1950" i="4"/>
  <c r="L1781" i="4"/>
  <c r="M1781" i="4"/>
  <c r="L1958" i="4"/>
  <c r="L1987" i="4"/>
  <c r="M590" i="4"/>
  <c r="L590" i="4"/>
  <c r="M838" i="4"/>
  <c r="L838" i="4"/>
  <c r="M877" i="4"/>
  <c r="L877" i="4"/>
  <c r="L985" i="4"/>
  <c r="M985" i="4"/>
  <c r="L1009" i="4"/>
  <c r="M1009" i="4"/>
  <c r="M1069" i="4"/>
  <c r="L1069" i="4"/>
  <c r="M1078" i="4"/>
  <c r="L1078" i="4"/>
  <c r="M339" i="4"/>
  <c r="L339" i="4"/>
  <c r="M363" i="4"/>
  <c r="L363" i="4"/>
  <c r="M535" i="4"/>
  <c r="L535" i="4"/>
  <c r="M598" i="4"/>
  <c r="L598" i="4"/>
  <c r="M814" i="4"/>
  <c r="L814" i="4"/>
  <c r="M857" i="4"/>
  <c r="L857" i="4"/>
  <c r="L913" i="4"/>
  <c r="M913" i="4"/>
  <c r="M1086" i="4"/>
  <c r="L1086" i="4"/>
  <c r="M543" i="4"/>
  <c r="L543" i="4"/>
  <c r="M571" i="4"/>
  <c r="L571" i="4"/>
  <c r="L666" i="4"/>
  <c r="M666" i="4"/>
  <c r="L670" i="4"/>
  <c r="M670" i="4"/>
  <c r="L674" i="4"/>
  <c r="M674" i="4"/>
  <c r="L678" i="4"/>
  <c r="M678" i="4"/>
  <c r="L682" i="4"/>
  <c r="M682" i="4"/>
  <c r="L686" i="4"/>
  <c r="M686" i="4"/>
  <c r="L690" i="4"/>
  <c r="M690" i="4"/>
  <c r="L694" i="4"/>
  <c r="M694" i="4"/>
  <c r="L698" i="4"/>
  <c r="M698" i="4"/>
  <c r="L702" i="4"/>
  <c r="M702" i="4"/>
  <c r="L706" i="4"/>
  <c r="M706" i="4"/>
  <c r="L710" i="4"/>
  <c r="M710" i="4"/>
  <c r="L714" i="4"/>
  <c r="M714" i="4"/>
  <c r="M822" i="4"/>
  <c r="L822" i="4"/>
  <c r="M878" i="4"/>
  <c r="L878" i="4"/>
  <c r="L921" i="4"/>
  <c r="M921" i="4"/>
  <c r="L945" i="4"/>
  <c r="M945" i="4"/>
  <c r="M1094" i="4"/>
  <c r="L1094" i="4"/>
  <c r="M1102" i="4"/>
  <c r="L1102" i="4"/>
  <c r="L303" i="4"/>
  <c r="M303" i="4"/>
  <c r="M367" i="4"/>
  <c r="L367" i="4"/>
  <c r="M830" i="4"/>
  <c r="L830" i="4"/>
  <c r="M885" i="4"/>
  <c r="L885" i="4"/>
  <c r="L953" i="4"/>
  <c r="M953" i="4"/>
  <c r="L977" i="4"/>
  <c r="M977" i="4"/>
  <c r="L874" i="4"/>
  <c r="M1257" i="4"/>
  <c r="L1257" i="4"/>
  <c r="L1285" i="4"/>
  <c r="M1285" i="4"/>
  <c r="L1457" i="4"/>
  <c r="M1457" i="4"/>
  <c r="L1724" i="4"/>
  <c r="M1724" i="4"/>
  <c r="M1739" i="4"/>
  <c r="L1739" i="4"/>
  <c r="L335" i="4"/>
  <c r="L343" i="4"/>
  <c r="L358" i="4"/>
  <c r="M373" i="4"/>
  <c r="L374" i="4"/>
  <c r="L378" i="4"/>
  <c r="L382" i="4"/>
  <c r="M421" i="4"/>
  <c r="L422" i="4"/>
  <c r="M485" i="4"/>
  <c r="L583" i="4"/>
  <c r="M1110" i="4"/>
  <c r="L1110" i="4"/>
  <c r="M1289" i="4"/>
  <c r="L1289" i="4"/>
  <c r="L1317" i="4"/>
  <c r="M1317" i="4"/>
  <c r="M1346" i="4"/>
  <c r="L1366" i="4"/>
  <c r="M1366" i="4"/>
  <c r="L1386" i="4"/>
  <c r="M1386" i="4"/>
  <c r="M1707" i="4"/>
  <c r="L1707" i="4"/>
  <c r="M1726" i="4"/>
  <c r="L1726" i="4"/>
  <c r="L390" i="4"/>
  <c r="M1321" i="4"/>
  <c r="L1321" i="4"/>
  <c r="L1454" i="4"/>
  <c r="M1454" i="4"/>
  <c r="M1723" i="4"/>
  <c r="L1723" i="4"/>
  <c r="L1740" i="4"/>
  <c r="M1740" i="4"/>
  <c r="M1742" i="4"/>
  <c r="L1742" i="4"/>
  <c r="M1782" i="4"/>
  <c r="L1782" i="4"/>
  <c r="M307" i="4"/>
  <c r="L854" i="4"/>
  <c r="L865" i="4"/>
  <c r="M929" i="4"/>
  <c r="M961" i="4"/>
  <c r="M993" i="4"/>
  <c r="L1253" i="4"/>
  <c r="M1253" i="4"/>
  <c r="M1522" i="4"/>
  <c r="L1522" i="4"/>
  <c r="L1708" i="4"/>
  <c r="M1708" i="4"/>
  <c r="M1710" i="4"/>
  <c r="L1710" i="4"/>
  <c r="M1393" i="4"/>
  <c r="M1410" i="4"/>
  <c r="M1430" i="4"/>
  <c r="L1490" i="4"/>
  <c r="L1546" i="4"/>
  <c r="L1610" i="4"/>
  <c r="L1709" i="4"/>
  <c r="L1741" i="4"/>
  <c r="L1830" i="4"/>
  <c r="L1879" i="4"/>
  <c r="L1901" i="4"/>
  <c r="L1923" i="4"/>
  <c r="L1937" i="4"/>
  <c r="L1874" i="4"/>
  <c r="L1578" i="4"/>
  <c r="L1642" i="4"/>
  <c r="L1767" i="4"/>
  <c r="L1795" i="4"/>
  <c r="L1810" i="4"/>
  <c r="L1915" i="4"/>
  <c r="L1957" i="4"/>
  <c r="L1773" i="4"/>
  <c r="M1773" i="4"/>
  <c r="L64" i="4"/>
  <c r="M64" i="4"/>
  <c r="L115" i="4"/>
  <c r="M115" i="4"/>
  <c r="L147" i="4"/>
  <c r="M147" i="4"/>
  <c r="L179" i="4"/>
  <c r="M179" i="4"/>
  <c r="L203" i="4"/>
  <c r="M203" i="4"/>
  <c r="L207" i="4"/>
  <c r="M207" i="4"/>
  <c r="L235" i="4"/>
  <c r="M235" i="4"/>
  <c r="L239" i="4"/>
  <c r="M239" i="4"/>
  <c r="L327" i="4"/>
  <c r="M327" i="4"/>
  <c r="L99" i="4"/>
  <c r="M99" i="4"/>
  <c r="L123" i="4"/>
  <c r="M123" i="4"/>
  <c r="L127" i="4"/>
  <c r="M127" i="4"/>
  <c r="L155" i="4"/>
  <c r="M155" i="4"/>
  <c r="L159" i="4"/>
  <c r="M159" i="4"/>
  <c r="L211" i="4"/>
  <c r="M211" i="4"/>
  <c r="L243" i="4"/>
  <c r="M243" i="4"/>
  <c r="L259" i="4"/>
  <c r="M259" i="4"/>
  <c r="L275" i="4"/>
  <c r="M275" i="4"/>
  <c r="L291" i="4"/>
  <c r="M291" i="4"/>
  <c r="L131" i="4"/>
  <c r="M131" i="4"/>
  <c r="L163" i="4"/>
  <c r="M163" i="4"/>
  <c r="L187" i="4"/>
  <c r="M187" i="4"/>
  <c r="L191" i="4"/>
  <c r="M191" i="4"/>
  <c r="L219" i="4"/>
  <c r="M219" i="4"/>
  <c r="L223" i="4"/>
  <c r="M223" i="4"/>
  <c r="M351" i="4"/>
  <c r="L351" i="4"/>
  <c r="L91" i="4"/>
  <c r="M91" i="4"/>
  <c r="L107" i="4"/>
  <c r="M107" i="4"/>
  <c r="L111" i="4"/>
  <c r="M111" i="4"/>
  <c r="L139" i="4"/>
  <c r="M139" i="4"/>
  <c r="L143" i="4"/>
  <c r="M143" i="4"/>
  <c r="L171" i="4"/>
  <c r="M171" i="4"/>
  <c r="L175" i="4"/>
  <c r="M175" i="4"/>
  <c r="L195" i="4"/>
  <c r="M195" i="4"/>
  <c r="L227" i="4"/>
  <c r="M227" i="4"/>
  <c r="L251" i="4"/>
  <c r="M251" i="4"/>
  <c r="L267" i="4"/>
  <c r="M267" i="4"/>
  <c r="L283" i="4"/>
  <c r="M283" i="4"/>
  <c r="L299" i="4"/>
  <c r="M299" i="4"/>
  <c r="M95" i="4"/>
  <c r="M255" i="4"/>
  <c r="M271" i="4"/>
  <c r="M287" i="4"/>
  <c r="M319" i="4"/>
  <c r="M345" i="4"/>
  <c r="M354" i="4"/>
  <c r="L359" i="4"/>
  <c r="L361" i="4"/>
  <c r="M361" i="4"/>
  <c r="M418" i="4"/>
  <c r="L418" i="4"/>
  <c r="M482" i="4"/>
  <c r="L482" i="4"/>
  <c r="M531" i="4"/>
  <c r="L531" i="4"/>
  <c r="M539" i="4"/>
  <c r="L539" i="4"/>
  <c r="M563" i="4"/>
  <c r="L563" i="4"/>
  <c r="M567" i="4"/>
  <c r="L567" i="4"/>
  <c r="M575" i="4"/>
  <c r="L575" i="4"/>
  <c r="M809" i="4"/>
  <c r="L809" i="4"/>
  <c r="L813" i="4"/>
  <c r="M813" i="4"/>
  <c r="L821" i="4"/>
  <c r="M821" i="4"/>
  <c r="L829" i="4"/>
  <c r="M829" i="4"/>
  <c r="L837" i="4"/>
  <c r="M837" i="4"/>
  <c r="M849" i="4"/>
  <c r="L849" i="4"/>
  <c r="L873" i="4"/>
  <c r="M873" i="4"/>
  <c r="L889" i="4"/>
  <c r="M889" i="4"/>
  <c r="M587" i="4"/>
  <c r="L587" i="4"/>
  <c r="M595" i="4"/>
  <c r="L595" i="4"/>
  <c r="M721" i="4"/>
  <c r="L721" i="4"/>
  <c r="M729" i="4"/>
  <c r="L729" i="4"/>
  <c r="M737" i="4"/>
  <c r="L737" i="4"/>
  <c r="M745" i="4"/>
  <c r="L745" i="4"/>
  <c r="M753" i="4"/>
  <c r="L753" i="4"/>
  <c r="M761" i="4"/>
  <c r="L761" i="4"/>
  <c r="M769" i="4"/>
  <c r="L769" i="4"/>
  <c r="M777" i="4"/>
  <c r="L777" i="4"/>
  <c r="M785" i="4"/>
  <c r="L785" i="4"/>
  <c r="M793" i="4"/>
  <c r="L793" i="4"/>
  <c r="M801" i="4"/>
  <c r="L801" i="4"/>
  <c r="L845" i="4"/>
  <c r="M845" i="4"/>
  <c r="L861" i="4"/>
  <c r="M861" i="4"/>
  <c r="M902" i="4"/>
  <c r="L902" i="4"/>
  <c r="L40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5" i="4"/>
  <c r="M323" i="4"/>
  <c r="M337" i="4"/>
  <c r="M341" i="4"/>
  <c r="L347" i="4"/>
  <c r="M534" i="4"/>
  <c r="L534" i="4"/>
  <c r="M542" i="4"/>
  <c r="L542" i="4"/>
  <c r="M570" i="4"/>
  <c r="L570" i="4"/>
  <c r="L805" i="4"/>
  <c r="M805" i="4"/>
  <c r="M810" i="4"/>
  <c r="L810" i="4"/>
  <c r="M818" i="4"/>
  <c r="L818" i="4"/>
  <c r="M826" i="4"/>
  <c r="L826" i="4"/>
  <c r="M834" i="4"/>
  <c r="L834" i="4"/>
  <c r="M842" i="4"/>
  <c r="L842" i="4"/>
  <c r="L853" i="4"/>
  <c r="M853" i="4"/>
  <c r="M870" i="4"/>
  <c r="L870" i="4"/>
  <c r="L897" i="4"/>
  <c r="M897" i="4"/>
  <c r="L311" i="4"/>
  <c r="M311" i="4"/>
  <c r="L333" i="4"/>
  <c r="M333" i="4"/>
  <c r="M371" i="4"/>
  <c r="L371" i="4"/>
  <c r="M547" i="4"/>
  <c r="L547" i="4"/>
  <c r="M551" i="4"/>
  <c r="L551" i="4"/>
  <c r="M594" i="4"/>
  <c r="L594" i="4"/>
  <c r="M602" i="4"/>
  <c r="L602" i="4"/>
  <c r="M606" i="4"/>
  <c r="L606" i="4"/>
  <c r="M610" i="4"/>
  <c r="L610" i="4"/>
  <c r="M614" i="4"/>
  <c r="L614" i="4"/>
  <c r="M618" i="4"/>
  <c r="L618" i="4"/>
  <c r="M622" i="4"/>
  <c r="L622" i="4"/>
  <c r="M626" i="4"/>
  <c r="L626" i="4"/>
  <c r="M630" i="4"/>
  <c r="L630" i="4"/>
  <c r="M634" i="4"/>
  <c r="L634" i="4"/>
  <c r="M638" i="4"/>
  <c r="L638" i="4"/>
  <c r="M642" i="4"/>
  <c r="L642" i="4"/>
  <c r="M646" i="4"/>
  <c r="L646" i="4"/>
  <c r="M650" i="4"/>
  <c r="L650" i="4"/>
  <c r="M654" i="4"/>
  <c r="L654" i="4"/>
  <c r="M658" i="4"/>
  <c r="L658" i="4"/>
  <c r="M662" i="4"/>
  <c r="L662" i="4"/>
  <c r="L725" i="4"/>
  <c r="M725" i="4"/>
  <c r="L733" i="4"/>
  <c r="M733" i="4"/>
  <c r="L741" i="4"/>
  <c r="M741" i="4"/>
  <c r="L749" i="4"/>
  <c r="M749" i="4"/>
  <c r="L757" i="4"/>
  <c r="M757" i="4"/>
  <c r="L765" i="4"/>
  <c r="M765" i="4"/>
  <c r="L773" i="4"/>
  <c r="M773" i="4"/>
  <c r="L781" i="4"/>
  <c r="M781" i="4"/>
  <c r="L789" i="4"/>
  <c r="M789" i="4"/>
  <c r="L797" i="4"/>
  <c r="M797" i="4"/>
  <c r="M802" i="4"/>
  <c r="L802" i="4"/>
  <c r="M894" i="4"/>
  <c r="L894" i="4"/>
  <c r="L394" i="4"/>
  <c r="M397" i="4"/>
  <c r="L402" i="4"/>
  <c r="M405" i="4"/>
  <c r="L410" i="4"/>
  <c r="M413" i="4"/>
  <c r="M430" i="4"/>
  <c r="M434" i="4"/>
  <c r="M437" i="4"/>
  <c r="L442" i="4"/>
  <c r="M445" i="4"/>
  <c r="L450" i="4"/>
  <c r="M453" i="4"/>
  <c r="L458" i="4"/>
  <c r="M461" i="4"/>
  <c r="L466" i="4"/>
  <c r="M469" i="4"/>
  <c r="L474" i="4"/>
  <c r="M477" i="4"/>
  <c r="M530" i="4"/>
  <c r="M538" i="4"/>
  <c r="M574" i="4"/>
  <c r="L718" i="4"/>
  <c r="L726" i="4"/>
  <c r="L734" i="4"/>
  <c r="L742" i="4"/>
  <c r="L750" i="4"/>
  <c r="L758" i="4"/>
  <c r="L766" i="4"/>
  <c r="L774" i="4"/>
  <c r="L782" i="4"/>
  <c r="L790" i="4"/>
  <c r="L798" i="4"/>
  <c r="L806" i="4"/>
  <c r="M930" i="4"/>
  <c r="L930" i="4"/>
  <c r="M942" i="4"/>
  <c r="L942" i="4"/>
  <c r="M962" i="4"/>
  <c r="L962" i="4"/>
  <c r="M974" i="4"/>
  <c r="L974" i="4"/>
  <c r="M994" i="4"/>
  <c r="L994" i="4"/>
  <c r="M1006" i="4"/>
  <c r="L1006" i="4"/>
  <c r="L1059" i="4"/>
  <c r="M1059" i="4"/>
  <c r="M1061" i="4"/>
  <c r="L1061" i="4"/>
  <c r="L1077" i="4"/>
  <c r="M1077" i="4"/>
  <c r="L1085" i="4"/>
  <c r="M1085" i="4"/>
  <c r="L1093" i="4"/>
  <c r="M1093" i="4"/>
  <c r="L1101" i="4"/>
  <c r="M1101" i="4"/>
  <c r="L1109" i="4"/>
  <c r="M1109" i="4"/>
  <c r="L1117" i="4"/>
  <c r="M1117" i="4"/>
  <c r="L1121" i="4"/>
  <c r="M1121" i="4"/>
  <c r="L1125" i="4"/>
  <c r="M1125" i="4"/>
  <c r="L1129" i="4"/>
  <c r="M1129" i="4"/>
  <c r="L1133" i="4"/>
  <c r="M1133" i="4"/>
  <c r="L1137" i="4"/>
  <c r="M1137" i="4"/>
  <c r="L1153" i="4"/>
  <c r="M1153" i="4"/>
  <c r="L1169" i="4"/>
  <c r="M1169" i="4"/>
  <c r="L1185" i="4"/>
  <c r="M1185" i="4"/>
  <c r="L1201" i="4"/>
  <c r="M1201" i="4"/>
  <c r="L1217" i="4"/>
  <c r="M1217" i="4"/>
  <c r="L817" i="4"/>
  <c r="L825" i="4"/>
  <c r="L833" i="4"/>
  <c r="L841" i="4"/>
  <c r="L890" i="4"/>
  <c r="L893" i="4"/>
  <c r="M909" i="4"/>
  <c r="L909" i="4"/>
  <c r="M917" i="4"/>
  <c r="L917" i="4"/>
  <c r="M922" i="4"/>
  <c r="L922" i="4"/>
  <c r="M934" i="4"/>
  <c r="L934" i="4"/>
  <c r="M954" i="4"/>
  <c r="L954" i="4"/>
  <c r="M966" i="4"/>
  <c r="L966" i="4"/>
  <c r="M986" i="4"/>
  <c r="L986" i="4"/>
  <c r="M998" i="4"/>
  <c r="L998" i="4"/>
  <c r="M1029" i="4"/>
  <c r="L1029" i="4"/>
  <c r="M1045" i="4"/>
  <c r="L1045" i="4"/>
  <c r="L1141" i="4"/>
  <c r="M1141" i="4"/>
  <c r="L1157" i="4"/>
  <c r="M1157" i="4"/>
  <c r="L1173" i="4"/>
  <c r="M1173" i="4"/>
  <c r="L1189" i="4"/>
  <c r="M1189" i="4"/>
  <c r="L1205" i="4"/>
  <c r="M1205" i="4"/>
  <c r="L722" i="4"/>
  <c r="L730" i="4"/>
  <c r="L738" i="4"/>
  <c r="L746" i="4"/>
  <c r="L754" i="4"/>
  <c r="L762" i="4"/>
  <c r="L770" i="4"/>
  <c r="L778" i="4"/>
  <c r="L786" i="4"/>
  <c r="L794" i="4"/>
  <c r="L850" i="4"/>
  <c r="L858" i="4"/>
  <c r="L866" i="4"/>
  <c r="L869" i="4"/>
  <c r="L898" i="4"/>
  <c r="L901" i="4"/>
  <c r="L906" i="4"/>
  <c r="L914" i="4"/>
  <c r="M926" i="4"/>
  <c r="L926" i="4"/>
  <c r="M946" i="4"/>
  <c r="L946" i="4"/>
  <c r="M958" i="4"/>
  <c r="L958" i="4"/>
  <c r="M978" i="4"/>
  <c r="L978" i="4"/>
  <c r="M990" i="4"/>
  <c r="L990" i="4"/>
  <c r="M1010" i="4"/>
  <c r="L1010" i="4"/>
  <c r="M1058" i="4"/>
  <c r="L1058" i="4"/>
  <c r="M1074" i="4"/>
  <c r="L1074" i="4"/>
  <c r="M1082" i="4"/>
  <c r="L1082" i="4"/>
  <c r="M1090" i="4"/>
  <c r="L1090" i="4"/>
  <c r="M1098" i="4"/>
  <c r="L1098" i="4"/>
  <c r="M1106" i="4"/>
  <c r="L1106" i="4"/>
  <c r="M1114" i="4"/>
  <c r="L1114" i="4"/>
  <c r="L1145" i="4"/>
  <c r="M1145" i="4"/>
  <c r="L1161" i="4"/>
  <c r="M1161" i="4"/>
  <c r="L1177" i="4"/>
  <c r="M1177" i="4"/>
  <c r="L1193" i="4"/>
  <c r="M1193" i="4"/>
  <c r="L1209" i="4"/>
  <c r="M1209" i="4"/>
  <c r="M429" i="4"/>
  <c r="L555" i="4"/>
  <c r="L579" i="4"/>
  <c r="L591" i="4"/>
  <c r="L599" i="4"/>
  <c r="M910" i="4"/>
  <c r="L910" i="4"/>
  <c r="M918" i="4"/>
  <c r="L918" i="4"/>
  <c r="M938" i="4"/>
  <c r="L938" i="4"/>
  <c r="M950" i="4"/>
  <c r="L950" i="4"/>
  <c r="M970" i="4"/>
  <c r="L970" i="4"/>
  <c r="M982" i="4"/>
  <c r="L982" i="4"/>
  <c r="M1002" i="4"/>
  <c r="L1002" i="4"/>
  <c r="M1014" i="4"/>
  <c r="L1014" i="4"/>
  <c r="M1021" i="4"/>
  <c r="L1021" i="4"/>
  <c r="M1037" i="4"/>
  <c r="L1037" i="4"/>
  <c r="L1053" i="4"/>
  <c r="M1053" i="4"/>
  <c r="L1149" i="4"/>
  <c r="M1149" i="4"/>
  <c r="L1165" i="4"/>
  <c r="M1165" i="4"/>
  <c r="L1181" i="4"/>
  <c r="M1181" i="4"/>
  <c r="L1197" i="4"/>
  <c r="M1197" i="4"/>
  <c r="L925" i="4"/>
  <c r="L933" i="4"/>
  <c r="L941" i="4"/>
  <c r="L949" i="4"/>
  <c r="L957" i="4"/>
  <c r="L965" i="4"/>
  <c r="L973" i="4"/>
  <c r="L981" i="4"/>
  <c r="L989" i="4"/>
  <c r="L997" i="4"/>
  <c r="L1005" i="4"/>
  <c r="L1013" i="4"/>
  <c r="L1025" i="4"/>
  <c r="L1041" i="4"/>
  <c r="L1048" i="4"/>
  <c r="M1056" i="4"/>
  <c r="L1057" i="4"/>
  <c r="L1060" i="4"/>
  <c r="M1221" i="4"/>
  <c r="M1286" i="4"/>
  <c r="L1286" i="4"/>
  <c r="L1370" i="4"/>
  <c r="M1378" i="4"/>
  <c r="L1378" i="4"/>
  <c r="L1394" i="4"/>
  <c r="M1399" i="4"/>
  <c r="L1399" i="4"/>
  <c r="L1414" i="4"/>
  <c r="M1426" i="4"/>
  <c r="L1426" i="4"/>
  <c r="M1470" i="4"/>
  <c r="L1470" i="4"/>
  <c r="L1482" i="4"/>
  <c r="M1491" i="4"/>
  <c r="L1491" i="4"/>
  <c r="M1502" i="4"/>
  <c r="L1502" i="4"/>
  <c r="L1514" i="4"/>
  <c r="M1523" i="4"/>
  <c r="L1523" i="4"/>
  <c r="M1534" i="4"/>
  <c r="L1534" i="4"/>
  <c r="M1542" i="4"/>
  <c r="L1542" i="4"/>
  <c r="M1547" i="4"/>
  <c r="L1547" i="4"/>
  <c r="L1554" i="4"/>
  <c r="M1559" i="4"/>
  <c r="L1559" i="4"/>
  <c r="M1574" i="4"/>
  <c r="L1574" i="4"/>
  <c r="M1579" i="4"/>
  <c r="L1579" i="4"/>
  <c r="L1586" i="4"/>
  <c r="M1591" i="4"/>
  <c r="L1591" i="4"/>
  <c r="M1606" i="4"/>
  <c r="L1606" i="4"/>
  <c r="M1611" i="4"/>
  <c r="L1611" i="4"/>
  <c r="L1618" i="4"/>
  <c r="M1623" i="4"/>
  <c r="L1623" i="4"/>
  <c r="M1638" i="4"/>
  <c r="L1638" i="4"/>
  <c r="M1643" i="4"/>
  <c r="L1643" i="4"/>
  <c r="L1650" i="4"/>
  <c r="M1655" i="4"/>
  <c r="L1655" i="4"/>
  <c r="M1662" i="4"/>
  <c r="L1662" i="4"/>
  <c r="M1666" i="4"/>
  <c r="L1666" i="4"/>
  <c r="M1671" i="4"/>
  <c r="L1671" i="4"/>
  <c r="M1678" i="4"/>
  <c r="L1678" i="4"/>
  <c r="M1682" i="4"/>
  <c r="L1682" i="4"/>
  <c r="M1687" i="4"/>
  <c r="L1687" i="4"/>
  <c r="M1694" i="4"/>
  <c r="L1694" i="4"/>
  <c r="L1766" i="4"/>
  <c r="M1766" i="4"/>
  <c r="L1073" i="4"/>
  <c r="L1081" i="4"/>
  <c r="L1089" i="4"/>
  <c r="L1097" i="4"/>
  <c r="L1105" i="4"/>
  <c r="L1113" i="4"/>
  <c r="L1250" i="4"/>
  <c r="M1250" i="4"/>
  <c r="M1302" i="4"/>
  <c r="L1302" i="4"/>
  <c r="M1354" i="4"/>
  <c r="L1354" i="4"/>
  <c r="L1377" i="4"/>
  <c r="M1377" i="4"/>
  <c r="M1382" i="4"/>
  <c r="L1382" i="4"/>
  <c r="L1434" i="4"/>
  <c r="M1442" i="4"/>
  <c r="L1442" i="4"/>
  <c r="M1463" i="4"/>
  <c r="L1463" i="4"/>
  <c r="M1478" i="4"/>
  <c r="L1478" i="4"/>
  <c r="M1499" i="4"/>
  <c r="L1499" i="4"/>
  <c r="M1510" i="4"/>
  <c r="L1510" i="4"/>
  <c r="M1531" i="4"/>
  <c r="L1531" i="4"/>
  <c r="M1539" i="4"/>
  <c r="L1539" i="4"/>
  <c r="M1551" i="4"/>
  <c r="L1551" i="4"/>
  <c r="M1566" i="4"/>
  <c r="L1566" i="4"/>
  <c r="M1571" i="4"/>
  <c r="L1571" i="4"/>
  <c r="M1583" i="4"/>
  <c r="L1583" i="4"/>
  <c r="M1598" i="4"/>
  <c r="L1598" i="4"/>
  <c r="M1603" i="4"/>
  <c r="L1603" i="4"/>
  <c r="M1615" i="4"/>
  <c r="L1615" i="4"/>
  <c r="M1630" i="4"/>
  <c r="L1630" i="4"/>
  <c r="M1635" i="4"/>
  <c r="L1635" i="4"/>
  <c r="M1647" i="4"/>
  <c r="L1647" i="4"/>
  <c r="M1702" i="4"/>
  <c r="L1702" i="4"/>
  <c r="L1704" i="4"/>
  <c r="M1704" i="4"/>
  <c r="L1706" i="4"/>
  <c r="M1706" i="4"/>
  <c r="M1719" i="4"/>
  <c r="L1719" i="4"/>
  <c r="M1734" i="4"/>
  <c r="L1734" i="4"/>
  <c r="L1736" i="4"/>
  <c r="M1736" i="4"/>
  <c r="L1738" i="4"/>
  <c r="M1738" i="4"/>
  <c r="M1751" i="4"/>
  <c r="L1751" i="4"/>
  <c r="L1774" i="4"/>
  <c r="M1774" i="4"/>
  <c r="M1779" i="4"/>
  <c r="L1779" i="4"/>
  <c r="L1017" i="4"/>
  <c r="L1033" i="4"/>
  <c r="L1064" i="4"/>
  <c r="L1118" i="4"/>
  <c r="L1122" i="4"/>
  <c r="L1126" i="4"/>
  <c r="L1130" i="4"/>
  <c r="L1134" i="4"/>
  <c r="L1138" i="4"/>
  <c r="L1142" i="4"/>
  <c r="L1146" i="4"/>
  <c r="L1150" i="4"/>
  <c r="L1154" i="4"/>
  <c r="L1158" i="4"/>
  <c r="L1162" i="4"/>
  <c r="L1166" i="4"/>
  <c r="L1170" i="4"/>
  <c r="L1174" i="4"/>
  <c r="L1178" i="4"/>
  <c r="L1182" i="4"/>
  <c r="L1186" i="4"/>
  <c r="L1190" i="4"/>
  <c r="L1194" i="4"/>
  <c r="L1198" i="4"/>
  <c r="L1202" i="4"/>
  <c r="L1206" i="4"/>
  <c r="M1213" i="4"/>
  <c r="M1225" i="4"/>
  <c r="M1254" i="4"/>
  <c r="L1254" i="4"/>
  <c r="M1318" i="4"/>
  <c r="L1318" i="4"/>
  <c r="M1342" i="4"/>
  <c r="L1342" i="4"/>
  <c r="M1351" i="4"/>
  <c r="L1351" i="4"/>
  <c r="M1358" i="4"/>
  <c r="L1358" i="4"/>
  <c r="M1398" i="4"/>
  <c r="L1398" i="4"/>
  <c r="M1402" i="4"/>
  <c r="L1402" i="4"/>
  <c r="M1418" i="4"/>
  <c r="L1418" i="4"/>
  <c r="L1441" i="4"/>
  <c r="M1441" i="4"/>
  <c r="M1446" i="4"/>
  <c r="L1446" i="4"/>
  <c r="M1475" i="4"/>
  <c r="L1475" i="4"/>
  <c r="M1486" i="4"/>
  <c r="L1486" i="4"/>
  <c r="L1498" i="4"/>
  <c r="M1507" i="4"/>
  <c r="L1507" i="4"/>
  <c r="M1518" i="4"/>
  <c r="L1518" i="4"/>
  <c r="L1530" i="4"/>
  <c r="M1535" i="4"/>
  <c r="L1535" i="4"/>
  <c r="L1538" i="4"/>
  <c r="M1543" i="4"/>
  <c r="L1543" i="4"/>
  <c r="M1558" i="4"/>
  <c r="L1558" i="4"/>
  <c r="M1563" i="4"/>
  <c r="L1563" i="4"/>
  <c r="L1570" i="4"/>
  <c r="M1575" i="4"/>
  <c r="L1575" i="4"/>
  <c r="M1590" i="4"/>
  <c r="L1590" i="4"/>
  <c r="M1595" i="4"/>
  <c r="L1595" i="4"/>
  <c r="L1602" i="4"/>
  <c r="M1607" i="4"/>
  <c r="L1607" i="4"/>
  <c r="M1622" i="4"/>
  <c r="L1622" i="4"/>
  <c r="M1627" i="4"/>
  <c r="L1627" i="4"/>
  <c r="L1634" i="4"/>
  <c r="M1639" i="4"/>
  <c r="L1639" i="4"/>
  <c r="M1654" i="4"/>
  <c r="L1654" i="4"/>
  <c r="M1658" i="4"/>
  <c r="L1658" i="4"/>
  <c r="M1663" i="4"/>
  <c r="L1663" i="4"/>
  <c r="M1670" i="4"/>
  <c r="L1670" i="4"/>
  <c r="M1674" i="4"/>
  <c r="L1674" i="4"/>
  <c r="M1679" i="4"/>
  <c r="L1679" i="4"/>
  <c r="M1686" i="4"/>
  <c r="L1686" i="4"/>
  <c r="M1690" i="4"/>
  <c r="L1690" i="4"/>
  <c r="M1695" i="4"/>
  <c r="L1695" i="4"/>
  <c r="M1758" i="4"/>
  <c r="L1758" i="4"/>
  <c r="M1771" i="4"/>
  <c r="L1771" i="4"/>
  <c r="L1229" i="4"/>
  <c r="M1229" i="4"/>
  <c r="M1270" i="4"/>
  <c r="L1270" i="4"/>
  <c r="M1334" i="4"/>
  <c r="L1334" i="4"/>
  <c r="M1362" i="4"/>
  <c r="L1362" i="4"/>
  <c r="M1406" i="4"/>
  <c r="L1406" i="4"/>
  <c r="M1415" i="4"/>
  <c r="L1415" i="4"/>
  <c r="M1422" i="4"/>
  <c r="L1422" i="4"/>
  <c r="M1462" i="4"/>
  <c r="L1462" i="4"/>
  <c r="M1466" i="4"/>
  <c r="L1466" i="4"/>
  <c r="M1483" i="4"/>
  <c r="L1483" i="4"/>
  <c r="M1494" i="4"/>
  <c r="L1494" i="4"/>
  <c r="M1515" i="4"/>
  <c r="L1515" i="4"/>
  <c r="M1526" i="4"/>
  <c r="L1526" i="4"/>
  <c r="M1550" i="4"/>
  <c r="L1550" i="4"/>
  <c r="M1555" i="4"/>
  <c r="L1555" i="4"/>
  <c r="M1567" i="4"/>
  <c r="L1567" i="4"/>
  <c r="M1582" i="4"/>
  <c r="L1582" i="4"/>
  <c r="M1587" i="4"/>
  <c r="L1587" i="4"/>
  <c r="M1599" i="4"/>
  <c r="L1599" i="4"/>
  <c r="M1614" i="4"/>
  <c r="L1614" i="4"/>
  <c r="M1619" i="4"/>
  <c r="L1619" i="4"/>
  <c r="M1631" i="4"/>
  <c r="L1631" i="4"/>
  <c r="M1646" i="4"/>
  <c r="L1646" i="4"/>
  <c r="M1651" i="4"/>
  <c r="L1651" i="4"/>
  <c r="M1703" i="4"/>
  <c r="L1703" i="4"/>
  <c r="M1718" i="4"/>
  <c r="L1718" i="4"/>
  <c r="L1720" i="4"/>
  <c r="M1720" i="4"/>
  <c r="L1722" i="4"/>
  <c r="M1722" i="4"/>
  <c r="M1735" i="4"/>
  <c r="L1735" i="4"/>
  <c r="M1750" i="4"/>
  <c r="L1750" i="4"/>
  <c r="L1818" i="4"/>
  <c r="L1827" i="4"/>
  <c r="L1834" i="4"/>
  <c r="L1842" i="4"/>
  <c r="L1854" i="4"/>
  <c r="L1862" i="4"/>
  <c r="L1867" i="4"/>
  <c r="L1889" i="4"/>
  <c r="L1895" i="4"/>
  <c r="L1910" i="4"/>
  <c r="L1917" i="4"/>
  <c r="L1927" i="4"/>
  <c r="L1947" i="4"/>
  <c r="L1955" i="4"/>
  <c r="L1975" i="4"/>
  <c r="L1659" i="4"/>
  <c r="L1667" i="4"/>
  <c r="L1675" i="4"/>
  <c r="L1683" i="4"/>
  <c r="L1691" i="4"/>
  <c r="L1697" i="4"/>
  <c r="L1713" i="4"/>
  <c r="L1729" i="4"/>
  <c r="L1745" i="4"/>
  <c r="L1755" i="4"/>
  <c r="L1763" i="4"/>
  <c r="L1770" i="4"/>
  <c r="M1777" i="4"/>
  <c r="L1778" i="4"/>
  <c r="L1790" i="4"/>
  <c r="L1799" i="4"/>
  <c r="L1806" i="4"/>
  <c r="L1815" i="4"/>
  <c r="L1831" i="4"/>
  <c r="L1846" i="4"/>
  <c r="L1851" i="4"/>
  <c r="L1853" i="4"/>
  <c r="L1859" i="4"/>
  <c r="L1866" i="4"/>
  <c r="L1883" i="4"/>
  <c r="L1891" i="4"/>
  <c r="L1894" i="4"/>
  <c r="L1899" i="4"/>
  <c r="L1902" i="4"/>
  <c r="L1907" i="4"/>
  <c r="L1909" i="4"/>
  <c r="L1934" i="4"/>
  <c r="L1966" i="4"/>
  <c r="L1705" i="4"/>
  <c r="L1721" i="4"/>
  <c r="L1737" i="4"/>
  <c r="M1757" i="4"/>
  <c r="L1787" i="4"/>
  <c r="L1789" i="4"/>
  <c r="L1811" i="4"/>
  <c r="L1819" i="4"/>
  <c r="L1826" i="4"/>
  <c r="L1835" i="4"/>
  <c r="L1838" i="4"/>
  <c r="L1843" i="4"/>
  <c r="L1845" i="4"/>
  <c r="L1863" i="4"/>
  <c r="L1870" i="4"/>
  <c r="L1911" i="4"/>
  <c r="L1926" i="4"/>
  <c r="L1931" i="4"/>
  <c r="L1946" i="4"/>
  <c r="L1954" i="4"/>
  <c r="L1962" i="4"/>
  <c r="L1974" i="4"/>
  <c r="L1982" i="4"/>
  <c r="M1266" i="4"/>
  <c r="M1282" i="4"/>
  <c r="M1298" i="4"/>
  <c r="M1314" i="4"/>
  <c r="M1330" i="4"/>
  <c r="M1345" i="4"/>
  <c r="L1383" i="4"/>
  <c r="M1409" i="4"/>
  <c r="L1447" i="4"/>
  <c r="L1471" i="4"/>
  <c r="L1479" i="4"/>
  <c r="L1487" i="4"/>
  <c r="L1495" i="4"/>
  <c r="L1503" i="4"/>
  <c r="L1511" i="4"/>
  <c r="L1519" i="4"/>
  <c r="L1527" i="4"/>
  <c r="M1783" i="4"/>
  <c r="L1783" i="4"/>
  <c r="L1798" i="4"/>
  <c r="L1803" i="4"/>
  <c r="L1825" i="4"/>
  <c r="L1847" i="4"/>
  <c r="L1875" i="4"/>
  <c r="L1882" i="4"/>
  <c r="L1890" i="4"/>
  <c r="L1898" i="4"/>
  <c r="L1906" i="4"/>
  <c r="L1918" i="4"/>
  <c r="L1939" i="4"/>
  <c r="L1953" i="4"/>
  <c r="L1959" i="4"/>
  <c r="L1970" i="4"/>
  <c r="L1973" i="4"/>
  <c r="L1981" i="4"/>
  <c r="L1990" i="4"/>
  <c r="L1963" i="4"/>
  <c r="L1971" i="4"/>
  <c r="L1991" i="4"/>
  <c r="M24" i="4"/>
  <c r="L24" i="4"/>
  <c r="M38" i="4"/>
  <c r="L38" i="4"/>
  <c r="M42" i="4"/>
  <c r="L42" i="4"/>
  <c r="L51" i="4"/>
  <c r="M51" i="4"/>
  <c r="M58" i="4"/>
  <c r="L58" i="4"/>
  <c r="L71" i="4"/>
  <c r="M71" i="4"/>
  <c r="M80" i="4"/>
  <c r="L80" i="4"/>
  <c r="M88" i="4"/>
  <c r="L88" i="4"/>
  <c r="M94" i="4"/>
  <c r="L94" i="4"/>
  <c r="M104" i="4"/>
  <c r="L104" i="4"/>
  <c r="M110" i="4"/>
  <c r="L110" i="4"/>
  <c r="M126" i="4"/>
  <c r="L126" i="4"/>
  <c r="M136" i="4"/>
  <c r="L136" i="4"/>
  <c r="M158" i="4"/>
  <c r="L158" i="4"/>
  <c r="M270" i="4"/>
  <c r="L270" i="4"/>
  <c r="M352" i="4"/>
  <c r="L352" i="4"/>
  <c r="L3" i="4"/>
  <c r="M3" i="4"/>
  <c r="M10" i="4"/>
  <c r="L10" i="4"/>
  <c r="M12" i="4"/>
  <c r="L12" i="4"/>
  <c r="L19" i="4"/>
  <c r="M19" i="4"/>
  <c r="M26" i="4"/>
  <c r="L26" i="4"/>
  <c r="M28" i="4"/>
  <c r="L28" i="4"/>
  <c r="L35" i="4"/>
  <c r="M35" i="4"/>
  <c r="M46" i="4"/>
  <c r="L46" i="4"/>
  <c r="M48" i="4"/>
  <c r="L48" i="4"/>
  <c r="L55" i="4"/>
  <c r="M55" i="4"/>
  <c r="M62" i="4"/>
  <c r="L62" i="4"/>
  <c r="M66" i="4"/>
  <c r="L66" i="4"/>
  <c r="M68" i="4"/>
  <c r="L68" i="4"/>
  <c r="L75" i="4"/>
  <c r="M75" i="4"/>
  <c r="M82" i="4"/>
  <c r="L82" i="4"/>
  <c r="M84" i="4"/>
  <c r="L84" i="4"/>
  <c r="M90" i="4"/>
  <c r="L90" i="4"/>
  <c r="M100" i="4"/>
  <c r="L100" i="4"/>
  <c r="M106" i="4"/>
  <c r="L106" i="4"/>
  <c r="M116" i="4"/>
  <c r="L116" i="4"/>
  <c r="M122" i="4"/>
  <c r="L122" i="4"/>
  <c r="M132" i="4"/>
  <c r="L132" i="4"/>
  <c r="M138" i="4"/>
  <c r="L138" i="4"/>
  <c r="M148" i="4"/>
  <c r="L148" i="4"/>
  <c r="M154" i="4"/>
  <c r="L154" i="4"/>
  <c r="M164" i="4"/>
  <c r="L164" i="4"/>
  <c r="M170" i="4"/>
  <c r="L170" i="4"/>
  <c r="M180" i="4"/>
  <c r="L180" i="4"/>
  <c r="M186" i="4"/>
  <c r="L186" i="4"/>
  <c r="M196" i="4"/>
  <c r="L196" i="4"/>
  <c r="M202" i="4"/>
  <c r="L202" i="4"/>
  <c r="M212" i="4"/>
  <c r="L212" i="4"/>
  <c r="M218" i="4"/>
  <c r="L218" i="4"/>
  <c r="M228" i="4"/>
  <c r="L228" i="4"/>
  <c r="M234" i="4"/>
  <c r="L234" i="4"/>
  <c r="M244" i="4"/>
  <c r="L244" i="4"/>
  <c r="M250" i="4"/>
  <c r="L250" i="4"/>
  <c r="M260" i="4"/>
  <c r="L260" i="4"/>
  <c r="M266" i="4"/>
  <c r="L266" i="4"/>
  <c r="M276" i="4"/>
  <c r="L276" i="4"/>
  <c r="M282" i="4"/>
  <c r="L282" i="4"/>
  <c r="M292" i="4"/>
  <c r="L292" i="4"/>
  <c r="M298" i="4"/>
  <c r="L298" i="4"/>
  <c r="M308" i="4"/>
  <c r="L308" i="4"/>
  <c r="M314" i="4"/>
  <c r="L314" i="4"/>
  <c r="M324" i="4"/>
  <c r="L324" i="4"/>
  <c r="M330" i="4"/>
  <c r="L330" i="4"/>
  <c r="M344" i="4"/>
  <c r="L344" i="4"/>
  <c r="M348" i="4"/>
  <c r="L348" i="4"/>
  <c r="M372" i="4"/>
  <c r="L372" i="4"/>
  <c r="M6" i="4"/>
  <c r="L6" i="4"/>
  <c r="M22" i="4"/>
  <c r="L22" i="4"/>
  <c r="L31" i="4"/>
  <c r="M31" i="4"/>
  <c r="M120" i="4"/>
  <c r="L120" i="4"/>
  <c r="M142" i="4"/>
  <c r="L142" i="4"/>
  <c r="M152" i="4"/>
  <c r="L152" i="4"/>
  <c r="M168" i="4"/>
  <c r="L168" i="4"/>
  <c r="M174" i="4"/>
  <c r="L174" i="4"/>
  <c r="M190" i="4"/>
  <c r="L190" i="4"/>
  <c r="M206" i="4"/>
  <c r="L206" i="4"/>
  <c r="M216" i="4"/>
  <c r="L216" i="4"/>
  <c r="M222" i="4"/>
  <c r="L222" i="4"/>
  <c r="M232" i="4"/>
  <c r="L232" i="4"/>
  <c r="M238" i="4"/>
  <c r="L238" i="4"/>
  <c r="M286" i="4"/>
  <c r="L286" i="4"/>
  <c r="M312" i="4"/>
  <c r="L312" i="4"/>
  <c r="M328" i="4"/>
  <c r="L328" i="4"/>
  <c r="L7" i="4"/>
  <c r="M7" i="4"/>
  <c r="M14" i="4"/>
  <c r="L14" i="4"/>
  <c r="M16" i="4"/>
  <c r="L16" i="4"/>
  <c r="L23" i="4"/>
  <c r="M23" i="4"/>
  <c r="M30" i="4"/>
  <c r="L30" i="4"/>
  <c r="M32" i="4"/>
  <c r="L32" i="4"/>
  <c r="L39" i="4"/>
  <c r="M39" i="4"/>
  <c r="L43" i="4"/>
  <c r="M43" i="4"/>
  <c r="M50" i="4"/>
  <c r="L50" i="4"/>
  <c r="M52" i="4"/>
  <c r="L52" i="4"/>
  <c r="L59" i="4"/>
  <c r="M59" i="4"/>
  <c r="M70" i="4"/>
  <c r="L70" i="4"/>
  <c r="M72" i="4"/>
  <c r="L72" i="4"/>
  <c r="L79" i="4"/>
  <c r="M79" i="4"/>
  <c r="M86" i="4"/>
  <c r="L86" i="4"/>
  <c r="M96" i="4"/>
  <c r="L96" i="4"/>
  <c r="M102" i="4"/>
  <c r="L102" i="4"/>
  <c r="M112" i="4"/>
  <c r="L112" i="4"/>
  <c r="M118" i="4"/>
  <c r="L118" i="4"/>
  <c r="M128" i="4"/>
  <c r="L128" i="4"/>
  <c r="M134" i="4"/>
  <c r="L134" i="4"/>
  <c r="M144" i="4"/>
  <c r="L144" i="4"/>
  <c r="M150" i="4"/>
  <c r="L150" i="4"/>
  <c r="M160" i="4"/>
  <c r="L160" i="4"/>
  <c r="M166" i="4"/>
  <c r="L166" i="4"/>
  <c r="M176" i="4"/>
  <c r="L176" i="4"/>
  <c r="M182" i="4"/>
  <c r="L182" i="4"/>
  <c r="M192" i="4"/>
  <c r="L192" i="4"/>
  <c r="M198" i="4"/>
  <c r="L198" i="4"/>
  <c r="M208" i="4"/>
  <c r="L208" i="4"/>
  <c r="M214" i="4"/>
  <c r="L214" i="4"/>
  <c r="M224" i="4"/>
  <c r="L224" i="4"/>
  <c r="M230" i="4"/>
  <c r="L230" i="4"/>
  <c r="M240" i="4"/>
  <c r="L240" i="4"/>
  <c r="M246" i="4"/>
  <c r="L246" i="4"/>
  <c r="M256" i="4"/>
  <c r="L256" i="4"/>
  <c r="M262" i="4"/>
  <c r="L262" i="4"/>
  <c r="M272" i="4"/>
  <c r="L272" i="4"/>
  <c r="M278" i="4"/>
  <c r="L278" i="4"/>
  <c r="M288" i="4"/>
  <c r="L288" i="4"/>
  <c r="M294" i="4"/>
  <c r="L294" i="4"/>
  <c r="M304" i="4"/>
  <c r="L304" i="4"/>
  <c r="M310" i="4"/>
  <c r="L310" i="4"/>
  <c r="M320" i="4"/>
  <c r="L320" i="4"/>
  <c r="M326" i="4"/>
  <c r="L326" i="4"/>
  <c r="M336" i="4"/>
  <c r="L336" i="4"/>
  <c r="M340" i="4"/>
  <c r="L340" i="4"/>
  <c r="M364" i="4"/>
  <c r="L364" i="4"/>
  <c r="M368" i="4"/>
  <c r="L368" i="4"/>
  <c r="M8" i="4"/>
  <c r="L8" i="4"/>
  <c r="L15" i="4"/>
  <c r="M15" i="4"/>
  <c r="M44" i="4"/>
  <c r="L44" i="4"/>
  <c r="M60" i="4"/>
  <c r="L60" i="4"/>
  <c r="M78" i="4"/>
  <c r="L78" i="4"/>
  <c r="M184" i="4"/>
  <c r="L184" i="4"/>
  <c r="M200" i="4"/>
  <c r="L200" i="4"/>
  <c r="M248" i="4"/>
  <c r="L248" i="4"/>
  <c r="M254" i="4"/>
  <c r="L254" i="4"/>
  <c r="M264" i="4"/>
  <c r="L264" i="4"/>
  <c r="M280" i="4"/>
  <c r="L280" i="4"/>
  <c r="M296" i="4"/>
  <c r="L296" i="4"/>
  <c r="M302" i="4"/>
  <c r="L302" i="4"/>
  <c r="M318" i="4"/>
  <c r="L318" i="4"/>
  <c r="M4" i="4"/>
  <c r="L4" i="4"/>
  <c r="L11" i="4"/>
  <c r="M11" i="4"/>
  <c r="M18" i="4"/>
  <c r="L18" i="4"/>
  <c r="M20" i="4"/>
  <c r="L20" i="4"/>
  <c r="L27" i="4"/>
  <c r="M27" i="4"/>
  <c r="M34" i="4"/>
  <c r="L34" i="4"/>
  <c r="M36" i="4"/>
  <c r="L36" i="4"/>
  <c r="L47" i="4"/>
  <c r="M47" i="4"/>
  <c r="M54" i="4"/>
  <c r="L54" i="4"/>
  <c r="M56" i="4"/>
  <c r="L56" i="4"/>
  <c r="L63" i="4"/>
  <c r="M63" i="4"/>
  <c r="L67" i="4"/>
  <c r="M67" i="4"/>
  <c r="M74" i="4"/>
  <c r="L74" i="4"/>
  <c r="M76" i="4"/>
  <c r="L76" i="4"/>
  <c r="L83" i="4"/>
  <c r="M83" i="4"/>
  <c r="M92" i="4"/>
  <c r="L92" i="4"/>
  <c r="M98" i="4"/>
  <c r="L98" i="4"/>
  <c r="M108" i="4"/>
  <c r="L108" i="4"/>
  <c r="M114" i="4"/>
  <c r="L114" i="4"/>
  <c r="M124" i="4"/>
  <c r="L124" i="4"/>
  <c r="M130" i="4"/>
  <c r="L130" i="4"/>
  <c r="M140" i="4"/>
  <c r="L140" i="4"/>
  <c r="M146" i="4"/>
  <c r="L146" i="4"/>
  <c r="M156" i="4"/>
  <c r="L156" i="4"/>
  <c r="M162" i="4"/>
  <c r="L162" i="4"/>
  <c r="M172" i="4"/>
  <c r="L172" i="4"/>
  <c r="M178" i="4"/>
  <c r="L178" i="4"/>
  <c r="M188" i="4"/>
  <c r="L188" i="4"/>
  <c r="M194" i="4"/>
  <c r="L194" i="4"/>
  <c r="M204" i="4"/>
  <c r="L204" i="4"/>
  <c r="M210" i="4"/>
  <c r="L210" i="4"/>
  <c r="M220" i="4"/>
  <c r="L220" i="4"/>
  <c r="M226" i="4"/>
  <c r="L226" i="4"/>
  <c r="M236" i="4"/>
  <c r="L236" i="4"/>
  <c r="M242" i="4"/>
  <c r="L242" i="4"/>
  <c r="M252" i="4"/>
  <c r="L252" i="4"/>
  <c r="M258" i="4"/>
  <c r="L258" i="4"/>
  <c r="M268" i="4"/>
  <c r="L268" i="4"/>
  <c r="M274" i="4"/>
  <c r="L274" i="4"/>
  <c r="M284" i="4"/>
  <c r="L284" i="4"/>
  <c r="M290" i="4"/>
  <c r="L290" i="4"/>
  <c r="M300" i="4"/>
  <c r="L300" i="4"/>
  <c r="M306" i="4"/>
  <c r="L306" i="4"/>
  <c r="M316" i="4"/>
  <c r="L316" i="4"/>
  <c r="M322" i="4"/>
  <c r="L322" i="4"/>
  <c r="M360" i="4"/>
  <c r="L360" i="4"/>
  <c r="M356" i="4"/>
  <c r="L356" i="4"/>
  <c r="M376" i="4"/>
  <c r="L376" i="4"/>
  <c r="M384" i="4"/>
  <c r="L384" i="4"/>
  <c r="M392" i="4"/>
  <c r="L392" i="4"/>
  <c r="M399" i="4"/>
  <c r="L399" i="4"/>
  <c r="M408" i="4"/>
  <c r="L408" i="4"/>
  <c r="M415" i="4"/>
  <c r="L415" i="4"/>
  <c r="M424" i="4"/>
  <c r="L424" i="4"/>
  <c r="M431" i="4"/>
  <c r="L431" i="4"/>
  <c r="M439" i="4"/>
  <c r="L439" i="4"/>
  <c r="M448" i="4"/>
  <c r="L448" i="4"/>
  <c r="M455" i="4"/>
  <c r="L455" i="4"/>
  <c r="M464" i="4"/>
  <c r="L464" i="4"/>
  <c r="M471" i="4"/>
  <c r="L471" i="4"/>
  <c r="M480" i="4"/>
  <c r="L480" i="4"/>
  <c r="M488" i="4"/>
  <c r="L488" i="4"/>
  <c r="M495" i="4"/>
  <c r="L495" i="4"/>
  <c r="L497" i="4"/>
  <c r="M497" i="4"/>
  <c r="M504" i="4"/>
  <c r="L504" i="4"/>
  <c r="M506" i="4"/>
  <c r="L506" i="4"/>
  <c r="L513" i="4"/>
  <c r="M513" i="4"/>
  <c r="M520" i="4"/>
  <c r="L520" i="4"/>
  <c r="M522" i="4"/>
  <c r="L522" i="4"/>
  <c r="L529" i="4"/>
  <c r="M529" i="4"/>
  <c r="L537" i="4"/>
  <c r="M537" i="4"/>
  <c r="L545" i="4"/>
  <c r="M545" i="4"/>
  <c r="M554" i="4"/>
  <c r="L554" i="4"/>
  <c r="L561" i="4"/>
  <c r="M561" i="4"/>
  <c r="L573" i="4"/>
  <c r="M573" i="4"/>
  <c r="M578" i="4"/>
  <c r="L578" i="4"/>
  <c r="L585" i="4"/>
  <c r="M585" i="4"/>
  <c r="M724" i="4"/>
  <c r="L724" i="4"/>
  <c r="M732" i="4"/>
  <c r="L732" i="4"/>
  <c r="M740" i="4"/>
  <c r="L740" i="4"/>
  <c r="M748" i="4"/>
  <c r="L748" i="4"/>
  <c r="M756" i="4"/>
  <c r="L756" i="4"/>
  <c r="M764" i="4"/>
  <c r="L764" i="4"/>
  <c r="M772" i="4"/>
  <c r="L772" i="4"/>
  <c r="M780" i="4"/>
  <c r="L780" i="4"/>
  <c r="M788" i="4"/>
  <c r="L788" i="4"/>
  <c r="M796" i="4"/>
  <c r="L796" i="4"/>
  <c r="M804" i="4"/>
  <c r="L804" i="4"/>
  <c r="M812" i="4"/>
  <c r="L812" i="4"/>
  <c r="M820" i="4"/>
  <c r="L820" i="4"/>
  <c r="M828" i="4"/>
  <c r="L828" i="4"/>
  <c r="M836" i="4"/>
  <c r="L836" i="4"/>
  <c r="M844" i="4"/>
  <c r="L844" i="4"/>
  <c r="M852" i="4"/>
  <c r="L852" i="4"/>
  <c r="M860" i="4"/>
  <c r="L860" i="4"/>
  <c r="M868" i="4"/>
  <c r="L868" i="4"/>
  <c r="M876" i="4"/>
  <c r="L876" i="4"/>
  <c r="M884" i="4"/>
  <c r="L884" i="4"/>
  <c r="M892" i="4"/>
  <c r="L892" i="4"/>
  <c r="M900" i="4"/>
  <c r="L900" i="4"/>
  <c r="M908" i="4"/>
  <c r="L908" i="4"/>
  <c r="M916" i="4"/>
  <c r="L916" i="4"/>
  <c r="M924" i="4"/>
  <c r="L924" i="4"/>
  <c r="M932" i="4"/>
  <c r="L932" i="4"/>
  <c r="M940" i="4"/>
  <c r="L940" i="4"/>
  <c r="M948" i="4"/>
  <c r="L948" i="4"/>
  <c r="M956" i="4"/>
  <c r="L956" i="4"/>
  <c r="M964" i="4"/>
  <c r="L964" i="4"/>
  <c r="M972" i="4"/>
  <c r="L972" i="4"/>
  <c r="M980" i="4"/>
  <c r="L980" i="4"/>
  <c r="M988" i="4"/>
  <c r="L988" i="4"/>
  <c r="M996" i="4"/>
  <c r="L996" i="4"/>
  <c r="M1004" i="4"/>
  <c r="L1004" i="4"/>
  <c r="M1012" i="4"/>
  <c r="L1012" i="4"/>
  <c r="M1024" i="4"/>
  <c r="L1024" i="4"/>
  <c r="M1031" i="4"/>
  <c r="L1031" i="4"/>
  <c r="M1040" i="4"/>
  <c r="L1040" i="4"/>
  <c r="L2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53" i="4"/>
  <c r="L157" i="4"/>
  <c r="L161" i="4"/>
  <c r="L165" i="4"/>
  <c r="L169" i="4"/>
  <c r="L173" i="4"/>
  <c r="L177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3" i="4"/>
  <c r="L277" i="4"/>
  <c r="L281" i="4"/>
  <c r="L285" i="4"/>
  <c r="L289" i="4"/>
  <c r="L293" i="4"/>
  <c r="L297" i="4"/>
  <c r="L301" i="4"/>
  <c r="L305" i="4"/>
  <c r="L309" i="4"/>
  <c r="L313" i="4"/>
  <c r="L317" i="4"/>
  <c r="L321" i="4"/>
  <c r="L325" i="4"/>
  <c r="L329" i="4"/>
  <c r="L334" i="4"/>
  <c r="L342" i="4"/>
  <c r="L350" i="4"/>
  <c r="L355" i="4"/>
  <c r="L362" i="4"/>
  <c r="L370" i="4"/>
  <c r="L375" i="4"/>
  <c r="M381" i="4"/>
  <c r="L383" i="4"/>
  <c r="M389" i="4"/>
  <c r="L391" i="4"/>
  <c r="M395" i="4"/>
  <c r="L395" i="4"/>
  <c r="L398" i="4"/>
  <c r="M401" i="4"/>
  <c r="M404" i="4"/>
  <c r="L404" i="4"/>
  <c r="M411" i="4"/>
  <c r="L411" i="4"/>
  <c r="L414" i="4"/>
  <c r="M417" i="4"/>
  <c r="M419" i="4"/>
  <c r="L419" i="4"/>
  <c r="M428" i="4"/>
  <c r="L428" i="4"/>
  <c r="M433" i="4"/>
  <c r="M435" i="4"/>
  <c r="L435" i="4"/>
  <c r="L438" i="4"/>
  <c r="M441" i="4"/>
  <c r="M444" i="4"/>
  <c r="L444" i="4"/>
  <c r="M451" i="4"/>
  <c r="L451" i="4"/>
  <c r="L454" i="4"/>
  <c r="M457" i="4"/>
  <c r="M460" i="4"/>
  <c r="L460" i="4"/>
  <c r="M467" i="4"/>
  <c r="L467" i="4"/>
  <c r="L470" i="4"/>
  <c r="M473" i="4"/>
  <c r="M476" i="4"/>
  <c r="L476" i="4"/>
  <c r="M484" i="4"/>
  <c r="L484" i="4"/>
  <c r="M491" i="4"/>
  <c r="L491" i="4"/>
  <c r="L494" i="4"/>
  <c r="L501" i="4"/>
  <c r="M501" i="4"/>
  <c r="M508" i="4"/>
  <c r="L508" i="4"/>
  <c r="M510" i="4"/>
  <c r="L510" i="4"/>
  <c r="L517" i="4"/>
  <c r="M517" i="4"/>
  <c r="M524" i="4"/>
  <c r="L524" i="4"/>
  <c r="M526" i="4"/>
  <c r="L526" i="4"/>
  <c r="M550" i="4"/>
  <c r="L550" i="4"/>
  <c r="L557" i="4"/>
  <c r="M557" i="4"/>
  <c r="M566" i="4"/>
  <c r="L566" i="4"/>
  <c r="L581" i="4"/>
  <c r="M581" i="4"/>
  <c r="L593" i="4"/>
  <c r="M593" i="4"/>
  <c r="L601" i="4"/>
  <c r="M601" i="4"/>
  <c r="L605" i="4"/>
  <c r="M605" i="4"/>
  <c r="L609" i="4"/>
  <c r="M609" i="4"/>
  <c r="L613" i="4"/>
  <c r="M613" i="4"/>
  <c r="L617" i="4"/>
  <c r="M617" i="4"/>
  <c r="L621" i="4"/>
  <c r="M621" i="4"/>
  <c r="L625" i="4"/>
  <c r="M625" i="4"/>
  <c r="L629" i="4"/>
  <c r="M629" i="4"/>
  <c r="L633" i="4"/>
  <c r="M633" i="4"/>
  <c r="L637" i="4"/>
  <c r="M637" i="4"/>
  <c r="L641" i="4"/>
  <c r="M641" i="4"/>
  <c r="L645" i="4"/>
  <c r="M645" i="4"/>
  <c r="L649" i="4"/>
  <c r="M649" i="4"/>
  <c r="L653" i="4"/>
  <c r="M653" i="4"/>
  <c r="L657" i="4"/>
  <c r="M657" i="4"/>
  <c r="L661" i="4"/>
  <c r="M661" i="4"/>
  <c r="L665" i="4"/>
  <c r="M665" i="4"/>
  <c r="L669" i="4"/>
  <c r="M669" i="4"/>
  <c r="L673" i="4"/>
  <c r="M673" i="4"/>
  <c r="L677" i="4"/>
  <c r="M677" i="4"/>
  <c r="L681" i="4"/>
  <c r="M681" i="4"/>
  <c r="L685" i="4"/>
  <c r="M685" i="4"/>
  <c r="L689" i="4"/>
  <c r="M689" i="4"/>
  <c r="L693" i="4"/>
  <c r="M693" i="4"/>
  <c r="L697" i="4"/>
  <c r="M697" i="4"/>
  <c r="L701" i="4"/>
  <c r="M701" i="4"/>
  <c r="L705" i="4"/>
  <c r="M705" i="4"/>
  <c r="L709" i="4"/>
  <c r="M709" i="4"/>
  <c r="L713" i="4"/>
  <c r="M713" i="4"/>
  <c r="L717" i="4"/>
  <c r="M717" i="4"/>
  <c r="M1020" i="4"/>
  <c r="L1020" i="4"/>
  <c r="M1027" i="4"/>
  <c r="L1027" i="4"/>
  <c r="M1036" i="4"/>
  <c r="L1036" i="4"/>
  <c r="M1043" i="4"/>
  <c r="L1043" i="4"/>
  <c r="M1050" i="4"/>
  <c r="L1050" i="4"/>
  <c r="L1055" i="4"/>
  <c r="M1055" i="4"/>
  <c r="M1067" i="4"/>
  <c r="L1067" i="4"/>
  <c r="L17" i="4"/>
  <c r="L29" i="4"/>
  <c r="L37" i="4"/>
  <c r="L41" i="4"/>
  <c r="L45" i="4"/>
  <c r="L53" i="4"/>
  <c r="L57" i="4"/>
  <c r="L61" i="4"/>
  <c r="L69" i="4"/>
  <c r="L77" i="4"/>
  <c r="M5" i="4"/>
  <c r="M9" i="4"/>
  <c r="M13" i="4"/>
  <c r="M25" i="4"/>
  <c r="M33" i="4"/>
  <c r="M49" i="4"/>
  <c r="M65" i="4"/>
  <c r="M73" i="4"/>
  <c r="M81" i="4"/>
  <c r="M380" i="4"/>
  <c r="L380" i="4"/>
  <c r="M388" i="4"/>
  <c r="L388" i="4"/>
  <c r="M400" i="4"/>
  <c r="L400" i="4"/>
  <c r="M407" i="4"/>
  <c r="L407" i="4"/>
  <c r="M416" i="4"/>
  <c r="L416" i="4"/>
  <c r="M423" i="4"/>
  <c r="L423" i="4"/>
  <c r="M432" i="4"/>
  <c r="L432" i="4"/>
  <c r="M440" i="4"/>
  <c r="L440" i="4"/>
  <c r="M447" i="4"/>
  <c r="L447" i="4"/>
  <c r="M456" i="4"/>
  <c r="L456" i="4"/>
  <c r="M463" i="4"/>
  <c r="L463" i="4"/>
  <c r="M472" i="4"/>
  <c r="L472" i="4"/>
  <c r="M479" i="4"/>
  <c r="L479" i="4"/>
  <c r="M487" i="4"/>
  <c r="L487" i="4"/>
  <c r="M496" i="4"/>
  <c r="L496" i="4"/>
  <c r="M498" i="4"/>
  <c r="L498" i="4"/>
  <c r="L505" i="4"/>
  <c r="M505" i="4"/>
  <c r="M512" i="4"/>
  <c r="L512" i="4"/>
  <c r="M514" i="4"/>
  <c r="L514" i="4"/>
  <c r="L521" i="4"/>
  <c r="M521" i="4"/>
  <c r="M528" i="4"/>
  <c r="L528" i="4"/>
  <c r="L533" i="4"/>
  <c r="M533" i="4"/>
  <c r="L541" i="4"/>
  <c r="M541" i="4"/>
  <c r="M546" i="4"/>
  <c r="L546" i="4"/>
  <c r="L553" i="4"/>
  <c r="M553" i="4"/>
  <c r="M562" i="4"/>
  <c r="L562" i="4"/>
  <c r="L569" i="4"/>
  <c r="M569" i="4"/>
  <c r="L577" i="4"/>
  <c r="M577" i="4"/>
  <c r="M586" i="4"/>
  <c r="L586" i="4"/>
  <c r="M720" i="4"/>
  <c r="L720" i="4"/>
  <c r="M728" i="4"/>
  <c r="L728" i="4"/>
  <c r="M736" i="4"/>
  <c r="L736" i="4"/>
  <c r="M744" i="4"/>
  <c r="L744" i="4"/>
  <c r="M752" i="4"/>
  <c r="L752" i="4"/>
  <c r="M760" i="4"/>
  <c r="L760" i="4"/>
  <c r="M768" i="4"/>
  <c r="L768" i="4"/>
  <c r="M776" i="4"/>
  <c r="L776" i="4"/>
  <c r="M784" i="4"/>
  <c r="L784" i="4"/>
  <c r="M792" i="4"/>
  <c r="L792" i="4"/>
  <c r="M800" i="4"/>
  <c r="L800" i="4"/>
  <c r="M808" i="4"/>
  <c r="L808" i="4"/>
  <c r="M816" i="4"/>
  <c r="L816" i="4"/>
  <c r="M824" i="4"/>
  <c r="L824" i="4"/>
  <c r="M832" i="4"/>
  <c r="L832" i="4"/>
  <c r="M840" i="4"/>
  <c r="L840" i="4"/>
  <c r="M848" i="4"/>
  <c r="L848" i="4"/>
  <c r="M856" i="4"/>
  <c r="L856" i="4"/>
  <c r="M864" i="4"/>
  <c r="L864" i="4"/>
  <c r="M872" i="4"/>
  <c r="L872" i="4"/>
  <c r="M880" i="4"/>
  <c r="L880" i="4"/>
  <c r="M888" i="4"/>
  <c r="L888" i="4"/>
  <c r="M896" i="4"/>
  <c r="L896" i="4"/>
  <c r="M904" i="4"/>
  <c r="L904" i="4"/>
  <c r="M912" i="4"/>
  <c r="L912" i="4"/>
  <c r="M920" i="4"/>
  <c r="L920" i="4"/>
  <c r="M928" i="4"/>
  <c r="L928" i="4"/>
  <c r="M936" i="4"/>
  <c r="L936" i="4"/>
  <c r="M944" i="4"/>
  <c r="L944" i="4"/>
  <c r="M952" i="4"/>
  <c r="L952" i="4"/>
  <c r="M960" i="4"/>
  <c r="L960" i="4"/>
  <c r="M968" i="4"/>
  <c r="L968" i="4"/>
  <c r="M976" i="4"/>
  <c r="L976" i="4"/>
  <c r="M984" i="4"/>
  <c r="L984" i="4"/>
  <c r="M992" i="4"/>
  <c r="L992" i="4"/>
  <c r="M1000" i="4"/>
  <c r="L1000" i="4"/>
  <c r="M1008" i="4"/>
  <c r="L1008" i="4"/>
  <c r="M1016" i="4"/>
  <c r="L1016" i="4"/>
  <c r="M1023" i="4"/>
  <c r="L1023" i="4"/>
  <c r="M1032" i="4"/>
  <c r="L1032" i="4"/>
  <c r="M1039" i="4"/>
  <c r="L1039" i="4"/>
  <c r="L331" i="4"/>
  <c r="M332" i="4"/>
  <c r="M357" i="4"/>
  <c r="M377" i="4"/>
  <c r="L379" i="4"/>
  <c r="M385" i="4"/>
  <c r="L387" i="4"/>
  <c r="M393" i="4"/>
  <c r="M396" i="4"/>
  <c r="L396" i="4"/>
  <c r="M403" i="4"/>
  <c r="L403" i="4"/>
  <c r="L406" i="4"/>
  <c r="M409" i="4"/>
  <c r="M412" i="4"/>
  <c r="L412" i="4"/>
  <c r="M420" i="4"/>
  <c r="L420" i="4"/>
  <c r="M425" i="4"/>
  <c r="M427" i="4"/>
  <c r="L427" i="4"/>
  <c r="M436" i="4"/>
  <c r="L436" i="4"/>
  <c r="M443" i="4"/>
  <c r="L443" i="4"/>
  <c r="L446" i="4"/>
  <c r="M449" i="4"/>
  <c r="M452" i="4"/>
  <c r="L452" i="4"/>
  <c r="M459" i="4"/>
  <c r="L459" i="4"/>
  <c r="L462" i="4"/>
  <c r="M465" i="4"/>
  <c r="M468" i="4"/>
  <c r="L468" i="4"/>
  <c r="M475" i="4"/>
  <c r="L475" i="4"/>
  <c r="L478" i="4"/>
  <c r="M481" i="4"/>
  <c r="M483" i="4"/>
  <c r="L483" i="4"/>
  <c r="L486" i="4"/>
  <c r="M489" i="4"/>
  <c r="M492" i="4"/>
  <c r="L492" i="4"/>
  <c r="M500" i="4"/>
  <c r="L500" i="4"/>
  <c r="M502" i="4"/>
  <c r="L502" i="4"/>
  <c r="L509" i="4"/>
  <c r="M509" i="4"/>
  <c r="M516" i="4"/>
  <c r="L516" i="4"/>
  <c r="M518" i="4"/>
  <c r="L518" i="4"/>
  <c r="L525" i="4"/>
  <c r="M525" i="4"/>
  <c r="L549" i="4"/>
  <c r="M549" i="4"/>
  <c r="M558" i="4"/>
  <c r="L558" i="4"/>
  <c r="L565" i="4"/>
  <c r="M565" i="4"/>
  <c r="M582" i="4"/>
  <c r="L582" i="4"/>
  <c r="L589" i="4"/>
  <c r="M589" i="4"/>
  <c r="L597" i="4"/>
  <c r="M597" i="4"/>
  <c r="M604" i="4"/>
  <c r="L604" i="4"/>
  <c r="M608" i="4"/>
  <c r="L608" i="4"/>
  <c r="M612" i="4"/>
  <c r="L612" i="4"/>
  <c r="M616" i="4"/>
  <c r="L616" i="4"/>
  <c r="M620" i="4"/>
  <c r="L620" i="4"/>
  <c r="M624" i="4"/>
  <c r="L624" i="4"/>
  <c r="M628" i="4"/>
  <c r="L628" i="4"/>
  <c r="M632" i="4"/>
  <c r="L632" i="4"/>
  <c r="M636" i="4"/>
  <c r="L636" i="4"/>
  <c r="M640" i="4"/>
  <c r="L640" i="4"/>
  <c r="M644" i="4"/>
  <c r="L644" i="4"/>
  <c r="M648" i="4"/>
  <c r="L648" i="4"/>
  <c r="M652" i="4"/>
  <c r="L652" i="4"/>
  <c r="M656" i="4"/>
  <c r="L656" i="4"/>
  <c r="M660" i="4"/>
  <c r="L660" i="4"/>
  <c r="M664" i="4"/>
  <c r="L664" i="4"/>
  <c r="M668" i="4"/>
  <c r="L668" i="4"/>
  <c r="M672" i="4"/>
  <c r="L672" i="4"/>
  <c r="M676" i="4"/>
  <c r="L676" i="4"/>
  <c r="M680" i="4"/>
  <c r="L680" i="4"/>
  <c r="M684" i="4"/>
  <c r="L684" i="4"/>
  <c r="M688" i="4"/>
  <c r="L688" i="4"/>
  <c r="M692" i="4"/>
  <c r="L692" i="4"/>
  <c r="M696" i="4"/>
  <c r="L696" i="4"/>
  <c r="M700" i="4"/>
  <c r="L700" i="4"/>
  <c r="M704" i="4"/>
  <c r="L704" i="4"/>
  <c r="M708" i="4"/>
  <c r="L708" i="4"/>
  <c r="M712" i="4"/>
  <c r="L712" i="4"/>
  <c r="M716" i="4"/>
  <c r="L716" i="4"/>
  <c r="M1019" i="4"/>
  <c r="L1019" i="4"/>
  <c r="M1028" i="4"/>
  <c r="L1028" i="4"/>
  <c r="M1035" i="4"/>
  <c r="L1035" i="4"/>
  <c r="M1044" i="4"/>
  <c r="L1044" i="4"/>
  <c r="L1051" i="4"/>
  <c r="M1051" i="4"/>
  <c r="M1054" i="4"/>
  <c r="L1054" i="4"/>
  <c r="M1066" i="4"/>
  <c r="L1066" i="4"/>
  <c r="L1018" i="4"/>
  <c r="L1022" i="4"/>
  <c r="L1026" i="4"/>
  <c r="L1030" i="4"/>
  <c r="L1034" i="4"/>
  <c r="L1038" i="4"/>
  <c r="L1042" i="4"/>
  <c r="L1046" i="4"/>
  <c r="M1047" i="4"/>
  <c r="L1049" i="4"/>
  <c r="L1052" i="4"/>
  <c r="L1062" i="4"/>
  <c r="M1063" i="4"/>
  <c r="L1065" i="4"/>
  <c r="L1070" i="4"/>
  <c r="M1214" i="4"/>
  <c r="L1214" i="4"/>
  <c r="L1220" i="4"/>
  <c r="M1220" i="4"/>
  <c r="M1230" i="4"/>
  <c r="L1230" i="4"/>
  <c r="M1235" i="4"/>
  <c r="L1235" i="4"/>
  <c r="M1242" i="4"/>
  <c r="L1242" i="4"/>
  <c r="L1244" i="4"/>
  <c r="M1244" i="4"/>
  <c r="M1247" i="4"/>
  <c r="L1247" i="4"/>
  <c r="L1252" i="4"/>
  <c r="M1252" i="4"/>
  <c r="M1263" i="4"/>
  <c r="L1263" i="4"/>
  <c r="L1268" i="4"/>
  <c r="M1268" i="4"/>
  <c r="M1279" i="4"/>
  <c r="L1279" i="4"/>
  <c r="L1284" i="4"/>
  <c r="M1284" i="4"/>
  <c r="M1295" i="4"/>
  <c r="L1295" i="4"/>
  <c r="L1300" i="4"/>
  <c r="M1300" i="4"/>
  <c r="M1311" i="4"/>
  <c r="L1311" i="4"/>
  <c r="L1316" i="4"/>
  <c r="M1316" i="4"/>
  <c r="M1327" i="4"/>
  <c r="L1327" i="4"/>
  <c r="L1332" i="4"/>
  <c r="M1332" i="4"/>
  <c r="M1352" i="4"/>
  <c r="L1352" i="4"/>
  <c r="M1356" i="4"/>
  <c r="L1356" i="4"/>
  <c r="M1360" i="4"/>
  <c r="L1360" i="4"/>
  <c r="M1416" i="4"/>
  <c r="L1416" i="4"/>
  <c r="M1420" i="4"/>
  <c r="L1420" i="4"/>
  <c r="M1424" i="4"/>
  <c r="L1424" i="4"/>
  <c r="L499" i="4"/>
  <c r="L503" i="4"/>
  <c r="L507" i="4"/>
  <c r="L511" i="4"/>
  <c r="L515" i="4"/>
  <c r="L519" i="4"/>
  <c r="L523" i="4"/>
  <c r="L527" i="4"/>
  <c r="L603" i="4"/>
  <c r="L607" i="4"/>
  <c r="L611" i="4"/>
  <c r="L615" i="4"/>
  <c r="L619" i="4"/>
  <c r="L623" i="4"/>
  <c r="L627" i="4"/>
  <c r="L631" i="4"/>
  <c r="L635" i="4"/>
  <c r="L639" i="4"/>
  <c r="L643" i="4"/>
  <c r="L647" i="4"/>
  <c r="L651" i="4"/>
  <c r="L655" i="4"/>
  <c r="L659" i="4"/>
  <c r="L663" i="4"/>
  <c r="L667" i="4"/>
  <c r="L671" i="4"/>
  <c r="L675" i="4"/>
  <c r="L679" i="4"/>
  <c r="L683" i="4"/>
  <c r="L687" i="4"/>
  <c r="L691" i="4"/>
  <c r="L695" i="4"/>
  <c r="L699" i="4"/>
  <c r="L703" i="4"/>
  <c r="L707" i="4"/>
  <c r="L711" i="4"/>
  <c r="L715" i="4"/>
  <c r="L719" i="4"/>
  <c r="L723" i="4"/>
  <c r="L727" i="4"/>
  <c r="L731" i="4"/>
  <c r="L735" i="4"/>
  <c r="L739" i="4"/>
  <c r="L743" i="4"/>
  <c r="L747" i="4"/>
  <c r="L751" i="4"/>
  <c r="L755" i="4"/>
  <c r="L759" i="4"/>
  <c r="L763" i="4"/>
  <c r="L767" i="4"/>
  <c r="L771" i="4"/>
  <c r="L775" i="4"/>
  <c r="L779" i="4"/>
  <c r="L783" i="4"/>
  <c r="L787" i="4"/>
  <c r="L791" i="4"/>
  <c r="L795" i="4"/>
  <c r="L799" i="4"/>
  <c r="L803" i="4"/>
  <c r="L807" i="4"/>
  <c r="L811" i="4"/>
  <c r="L815" i="4"/>
  <c r="L819" i="4"/>
  <c r="L823" i="4"/>
  <c r="L827" i="4"/>
  <c r="L831" i="4"/>
  <c r="L835" i="4"/>
  <c r="L839" i="4"/>
  <c r="L843" i="4"/>
  <c r="L847" i="4"/>
  <c r="L851" i="4"/>
  <c r="L855" i="4"/>
  <c r="L859" i="4"/>
  <c r="L863" i="4"/>
  <c r="L867" i="4"/>
  <c r="L871" i="4"/>
  <c r="L875" i="4"/>
  <c r="L879" i="4"/>
  <c r="L883" i="4"/>
  <c r="L887" i="4"/>
  <c r="L891" i="4"/>
  <c r="L895" i="4"/>
  <c r="L899" i="4"/>
  <c r="L903" i="4"/>
  <c r="L907" i="4"/>
  <c r="L911" i="4"/>
  <c r="L915" i="4"/>
  <c r="L919" i="4"/>
  <c r="L923" i="4"/>
  <c r="L927" i="4"/>
  <c r="L931" i="4"/>
  <c r="L935" i="4"/>
  <c r="L939" i="4"/>
  <c r="L943" i="4"/>
  <c r="L947" i="4"/>
  <c r="L951" i="4"/>
  <c r="L955" i="4"/>
  <c r="L959" i="4"/>
  <c r="L963" i="4"/>
  <c r="L967" i="4"/>
  <c r="L971" i="4"/>
  <c r="L975" i="4"/>
  <c r="L979" i="4"/>
  <c r="L983" i="4"/>
  <c r="L987" i="4"/>
  <c r="L991" i="4"/>
  <c r="L995" i="4"/>
  <c r="L999" i="4"/>
  <c r="L1003" i="4"/>
  <c r="L1007" i="4"/>
  <c r="L1011" i="4"/>
  <c r="L1015" i="4"/>
  <c r="L1072" i="4"/>
  <c r="M1072" i="4"/>
  <c r="M1075" i="4"/>
  <c r="L1075" i="4"/>
  <c r="L1080" i="4"/>
  <c r="M1080" i="4"/>
  <c r="M1083" i="4"/>
  <c r="L1083" i="4"/>
  <c r="L1088" i="4"/>
  <c r="M1088" i="4"/>
  <c r="M1091" i="4"/>
  <c r="L1091" i="4"/>
  <c r="L1096" i="4"/>
  <c r="M1096" i="4"/>
  <c r="M1099" i="4"/>
  <c r="L1099" i="4"/>
  <c r="L1104" i="4"/>
  <c r="M1104" i="4"/>
  <c r="M1107" i="4"/>
  <c r="L1107" i="4"/>
  <c r="L1112" i="4"/>
  <c r="M1112" i="4"/>
  <c r="M1115" i="4"/>
  <c r="L1115" i="4"/>
  <c r="M1119" i="4"/>
  <c r="L1119" i="4"/>
  <c r="M1123" i="4"/>
  <c r="L1123" i="4"/>
  <c r="M1127" i="4"/>
  <c r="L1127" i="4"/>
  <c r="M1131" i="4"/>
  <c r="L1131" i="4"/>
  <c r="M1135" i="4"/>
  <c r="L1135" i="4"/>
  <c r="M1139" i="4"/>
  <c r="L1139" i="4"/>
  <c r="M1143" i="4"/>
  <c r="L1143" i="4"/>
  <c r="M1147" i="4"/>
  <c r="L1147" i="4"/>
  <c r="M1151" i="4"/>
  <c r="L1151" i="4"/>
  <c r="M1155" i="4"/>
  <c r="L1155" i="4"/>
  <c r="M1159" i="4"/>
  <c r="L1159" i="4"/>
  <c r="M1163" i="4"/>
  <c r="L1163" i="4"/>
  <c r="M1167" i="4"/>
  <c r="L1167" i="4"/>
  <c r="M1171" i="4"/>
  <c r="L1171" i="4"/>
  <c r="M1175" i="4"/>
  <c r="L1175" i="4"/>
  <c r="M1179" i="4"/>
  <c r="L1179" i="4"/>
  <c r="M1183" i="4"/>
  <c r="L1183" i="4"/>
  <c r="M1187" i="4"/>
  <c r="L1187" i="4"/>
  <c r="M1191" i="4"/>
  <c r="L1191" i="4"/>
  <c r="M1195" i="4"/>
  <c r="L1195" i="4"/>
  <c r="M1199" i="4"/>
  <c r="L1199" i="4"/>
  <c r="M1203" i="4"/>
  <c r="L1203" i="4"/>
  <c r="M1207" i="4"/>
  <c r="L1207" i="4"/>
  <c r="M1210" i="4"/>
  <c r="L1210" i="4"/>
  <c r="L1216" i="4"/>
  <c r="M1216" i="4"/>
  <c r="M1226" i="4"/>
  <c r="L1226" i="4"/>
  <c r="L1232" i="4"/>
  <c r="M1232" i="4"/>
  <c r="M1239" i="4"/>
  <c r="L1239" i="4"/>
  <c r="L1260" i="4"/>
  <c r="M1260" i="4"/>
  <c r="L1276" i="4"/>
  <c r="M1276" i="4"/>
  <c r="L1292" i="4"/>
  <c r="M1292" i="4"/>
  <c r="L1308" i="4"/>
  <c r="M1308" i="4"/>
  <c r="L1324" i="4"/>
  <c r="M1324" i="4"/>
  <c r="L1340" i="4"/>
  <c r="M1340" i="4"/>
  <c r="M1344" i="4"/>
  <c r="L1344" i="4"/>
  <c r="M1400" i="4"/>
  <c r="L1400" i="4"/>
  <c r="M1404" i="4"/>
  <c r="L1404" i="4"/>
  <c r="M1408" i="4"/>
  <c r="L1408" i="4"/>
  <c r="M1464" i="4"/>
  <c r="L1464" i="4"/>
  <c r="M1468" i="4"/>
  <c r="L1468" i="4"/>
  <c r="L532" i="4"/>
  <c r="L536" i="4"/>
  <c r="L540" i="4"/>
  <c r="L544" i="4"/>
  <c r="L548" i="4"/>
  <c r="L552" i="4"/>
  <c r="L556" i="4"/>
  <c r="L560" i="4"/>
  <c r="L564" i="4"/>
  <c r="L568" i="4"/>
  <c r="L572" i="4"/>
  <c r="L576" i="4"/>
  <c r="L580" i="4"/>
  <c r="L584" i="4"/>
  <c r="L588" i="4"/>
  <c r="L592" i="4"/>
  <c r="L596" i="4"/>
  <c r="L600" i="4"/>
  <c r="L1212" i="4"/>
  <c r="M1212" i="4"/>
  <c r="M1222" i="4"/>
  <c r="L1222" i="4"/>
  <c r="L1228" i="4"/>
  <c r="M1228" i="4"/>
  <c r="M1234" i="4"/>
  <c r="L1234" i="4"/>
  <c r="L1236" i="4"/>
  <c r="M1236" i="4"/>
  <c r="M1243" i="4"/>
  <c r="L1243" i="4"/>
  <c r="L1248" i="4"/>
  <c r="M1248" i="4"/>
  <c r="M1251" i="4"/>
  <c r="L1251" i="4"/>
  <c r="L1264" i="4"/>
  <c r="M1264" i="4"/>
  <c r="M1267" i="4"/>
  <c r="L1267" i="4"/>
  <c r="L1280" i="4"/>
  <c r="M1280" i="4"/>
  <c r="M1283" i="4"/>
  <c r="L1283" i="4"/>
  <c r="L1296" i="4"/>
  <c r="M1296" i="4"/>
  <c r="M1299" i="4"/>
  <c r="L1299" i="4"/>
  <c r="L1312" i="4"/>
  <c r="M1312" i="4"/>
  <c r="M1315" i="4"/>
  <c r="L1315" i="4"/>
  <c r="L1328" i="4"/>
  <c r="M1328" i="4"/>
  <c r="M1331" i="4"/>
  <c r="L1331" i="4"/>
  <c r="M1384" i="4"/>
  <c r="L1384" i="4"/>
  <c r="M1388" i="4"/>
  <c r="L1388" i="4"/>
  <c r="M1392" i="4"/>
  <c r="L1392" i="4"/>
  <c r="M1448" i="4"/>
  <c r="L1448" i="4"/>
  <c r="M1452" i="4"/>
  <c r="L1452" i="4"/>
  <c r="M1456" i="4"/>
  <c r="L1456" i="4"/>
  <c r="M1071" i="4"/>
  <c r="L1071" i="4"/>
  <c r="L1076" i="4"/>
  <c r="M1076" i="4"/>
  <c r="M1079" i="4"/>
  <c r="L1079" i="4"/>
  <c r="L1084" i="4"/>
  <c r="M1084" i="4"/>
  <c r="M1087" i="4"/>
  <c r="L1087" i="4"/>
  <c r="L1092" i="4"/>
  <c r="M1092" i="4"/>
  <c r="M1095" i="4"/>
  <c r="L1095" i="4"/>
  <c r="L1100" i="4"/>
  <c r="M1100" i="4"/>
  <c r="M1103" i="4"/>
  <c r="L1103" i="4"/>
  <c r="L1108" i="4"/>
  <c r="M1108" i="4"/>
  <c r="M1111" i="4"/>
  <c r="L1111" i="4"/>
  <c r="L1116" i="4"/>
  <c r="M1116" i="4"/>
  <c r="L1120" i="4"/>
  <c r="M1120" i="4"/>
  <c r="L1124" i="4"/>
  <c r="M1124" i="4"/>
  <c r="L1128" i="4"/>
  <c r="M1128" i="4"/>
  <c r="L1132" i="4"/>
  <c r="M1132" i="4"/>
  <c r="L1136" i="4"/>
  <c r="M1136" i="4"/>
  <c r="L1140" i="4"/>
  <c r="M1140" i="4"/>
  <c r="L1144" i="4"/>
  <c r="M1144" i="4"/>
  <c r="L1148" i="4"/>
  <c r="M1148" i="4"/>
  <c r="L1152" i="4"/>
  <c r="M1152" i="4"/>
  <c r="L1156" i="4"/>
  <c r="M1156" i="4"/>
  <c r="L1160" i="4"/>
  <c r="M1160" i="4"/>
  <c r="L1164" i="4"/>
  <c r="M1164" i="4"/>
  <c r="L1168" i="4"/>
  <c r="M1168" i="4"/>
  <c r="L1172" i="4"/>
  <c r="M1172" i="4"/>
  <c r="L1176" i="4"/>
  <c r="M1176" i="4"/>
  <c r="L1180" i="4"/>
  <c r="M1180" i="4"/>
  <c r="L1184" i="4"/>
  <c r="M1184" i="4"/>
  <c r="L1188" i="4"/>
  <c r="M1188" i="4"/>
  <c r="L1192" i="4"/>
  <c r="M1192" i="4"/>
  <c r="L1196" i="4"/>
  <c r="M1196" i="4"/>
  <c r="L1200" i="4"/>
  <c r="M1200" i="4"/>
  <c r="L1204" i="4"/>
  <c r="M1204" i="4"/>
  <c r="L1208" i="4"/>
  <c r="M1208" i="4"/>
  <c r="M1218" i="4"/>
  <c r="L1218" i="4"/>
  <c r="L1224" i="4"/>
  <c r="M1224" i="4"/>
  <c r="M1238" i="4"/>
  <c r="L1238" i="4"/>
  <c r="L1240" i="4"/>
  <c r="M1240" i="4"/>
  <c r="M1259" i="4"/>
  <c r="L1259" i="4"/>
  <c r="M1275" i="4"/>
  <c r="L1275" i="4"/>
  <c r="M1291" i="4"/>
  <c r="L1291" i="4"/>
  <c r="M1307" i="4"/>
  <c r="L1307" i="4"/>
  <c r="M1323" i="4"/>
  <c r="L1323" i="4"/>
  <c r="M1339" i="4"/>
  <c r="L1339" i="4"/>
  <c r="M1368" i="4"/>
  <c r="L1368" i="4"/>
  <c r="M1372" i="4"/>
  <c r="L1372" i="4"/>
  <c r="M1376" i="4"/>
  <c r="L1376" i="4"/>
  <c r="M1432" i="4"/>
  <c r="L1432" i="4"/>
  <c r="M1436" i="4"/>
  <c r="L1436" i="4"/>
  <c r="M1440" i="4"/>
  <c r="L1440" i="4"/>
  <c r="L1233" i="4"/>
  <c r="L1237" i="4"/>
  <c r="L1241" i="4"/>
  <c r="L1245" i="4"/>
  <c r="L1255" i="4"/>
  <c r="M1256" i="4"/>
  <c r="L1258" i="4"/>
  <c r="L1261" i="4"/>
  <c r="L1271" i="4"/>
  <c r="M1272" i="4"/>
  <c r="L1274" i="4"/>
  <c r="L1277" i="4"/>
  <c r="L1287" i="4"/>
  <c r="M1288" i="4"/>
  <c r="L1290" i="4"/>
  <c r="L1293" i="4"/>
  <c r="L1303" i="4"/>
  <c r="M1304" i="4"/>
  <c r="L1306" i="4"/>
  <c r="L1309" i="4"/>
  <c r="L1319" i="4"/>
  <c r="M1320" i="4"/>
  <c r="L1322" i="4"/>
  <c r="L1325" i="4"/>
  <c r="L1335" i="4"/>
  <c r="M1336" i="4"/>
  <c r="L1338" i="4"/>
  <c r="M1341" i="4"/>
  <c r="L1347" i="4"/>
  <c r="M1357" i="4"/>
  <c r="L1363" i="4"/>
  <c r="M1373" i="4"/>
  <c r="L1379" i="4"/>
  <c r="M1389" i="4"/>
  <c r="L1395" i="4"/>
  <c r="M1405" i="4"/>
  <c r="L1411" i="4"/>
  <c r="M1421" i="4"/>
  <c r="L1427" i="4"/>
  <c r="M1437" i="4"/>
  <c r="L1443" i="4"/>
  <c r="M1453" i="4"/>
  <c r="L1459" i="4"/>
  <c r="M1756" i="4"/>
  <c r="L1756" i="4"/>
  <c r="L1820" i="4"/>
  <c r="L1884" i="4"/>
  <c r="L1948" i="4"/>
  <c r="L1246" i="4"/>
  <c r="L1249" i="4"/>
  <c r="L1262" i="4"/>
  <c r="L1265" i="4"/>
  <c r="L1278" i="4"/>
  <c r="L1281" i="4"/>
  <c r="L1294" i="4"/>
  <c r="L1297" i="4"/>
  <c r="L1310" i="4"/>
  <c r="L1313" i="4"/>
  <c r="L1326" i="4"/>
  <c r="L1329" i="4"/>
  <c r="L1343" i="4"/>
  <c r="M1353" i="4"/>
  <c r="L1359" i="4"/>
  <c r="M1369" i="4"/>
  <c r="L1375" i="4"/>
  <c r="M1385" i="4"/>
  <c r="L1391" i="4"/>
  <c r="M1401" i="4"/>
  <c r="L1407" i="4"/>
  <c r="M1417" i="4"/>
  <c r="L1423" i="4"/>
  <c r="M1433" i="4"/>
  <c r="L1439" i="4"/>
  <c r="M1449" i="4"/>
  <c r="L1455" i="4"/>
  <c r="M1465" i="4"/>
  <c r="L1473" i="4"/>
  <c r="M1473" i="4"/>
  <c r="M1476" i="4"/>
  <c r="L1476" i="4"/>
  <c r="L1481" i="4"/>
  <c r="M1481" i="4"/>
  <c r="M1484" i="4"/>
  <c r="L1484" i="4"/>
  <c r="L1489" i="4"/>
  <c r="M1489" i="4"/>
  <c r="M1492" i="4"/>
  <c r="L1492" i="4"/>
  <c r="L1497" i="4"/>
  <c r="M1497" i="4"/>
  <c r="M1500" i="4"/>
  <c r="L1500" i="4"/>
  <c r="L1505" i="4"/>
  <c r="M1505" i="4"/>
  <c r="M1508" i="4"/>
  <c r="L1508" i="4"/>
  <c r="L1513" i="4"/>
  <c r="M1513" i="4"/>
  <c r="M1516" i="4"/>
  <c r="L1516" i="4"/>
  <c r="L1521" i="4"/>
  <c r="M1521" i="4"/>
  <c r="M1524" i="4"/>
  <c r="L1524" i="4"/>
  <c r="L1529" i="4"/>
  <c r="M1529" i="4"/>
  <c r="M1532" i="4"/>
  <c r="L1532" i="4"/>
  <c r="L1537" i="4"/>
  <c r="M1537" i="4"/>
  <c r="M1540" i="4"/>
  <c r="L1540" i="4"/>
  <c r="L1545" i="4"/>
  <c r="M1545" i="4"/>
  <c r="M1548" i="4"/>
  <c r="L1548" i="4"/>
  <c r="L1553" i="4"/>
  <c r="M1553" i="4"/>
  <c r="M1556" i="4"/>
  <c r="L1556" i="4"/>
  <c r="L1561" i="4"/>
  <c r="M1561" i="4"/>
  <c r="M1564" i="4"/>
  <c r="L1564" i="4"/>
  <c r="L1569" i="4"/>
  <c r="M1569" i="4"/>
  <c r="M1572" i="4"/>
  <c r="L1572" i="4"/>
  <c r="L1577" i="4"/>
  <c r="M1577" i="4"/>
  <c r="M1580" i="4"/>
  <c r="L1580" i="4"/>
  <c r="L1585" i="4"/>
  <c r="M1585" i="4"/>
  <c r="L1593" i="4"/>
  <c r="M1593" i="4"/>
  <c r="L1601" i="4"/>
  <c r="M1601" i="4"/>
  <c r="L1609" i="4"/>
  <c r="M1609" i="4"/>
  <c r="L1617" i="4"/>
  <c r="M1617" i="4"/>
  <c r="L1625" i="4"/>
  <c r="M1625" i="4"/>
  <c r="L1633" i="4"/>
  <c r="M1633" i="4"/>
  <c r="L1641" i="4"/>
  <c r="M1641" i="4"/>
  <c r="L1649" i="4"/>
  <c r="M1649" i="4"/>
  <c r="L1657" i="4"/>
  <c r="M1657" i="4"/>
  <c r="L1665" i="4"/>
  <c r="M1665" i="4"/>
  <c r="L1673" i="4"/>
  <c r="M1673" i="4"/>
  <c r="L1681" i="4"/>
  <c r="M1681" i="4"/>
  <c r="L1689" i="4"/>
  <c r="M1689" i="4"/>
  <c r="L1700" i="4"/>
  <c r="M1700" i="4"/>
  <c r="L1716" i="4"/>
  <c r="M1716" i="4"/>
  <c r="L1732" i="4"/>
  <c r="M1732" i="4"/>
  <c r="L1748" i="4"/>
  <c r="M1748" i="4"/>
  <c r="M1772" i="4"/>
  <c r="L1772" i="4"/>
  <c r="L1836" i="4"/>
  <c r="L1900" i="4"/>
  <c r="L1964" i="4"/>
  <c r="L1211" i="4"/>
  <c r="L1215" i="4"/>
  <c r="L1219" i="4"/>
  <c r="L1223" i="4"/>
  <c r="L1227" i="4"/>
  <c r="L1231" i="4"/>
  <c r="M1349" i="4"/>
  <c r="L1355" i="4"/>
  <c r="M1365" i="4"/>
  <c r="L1371" i="4"/>
  <c r="M1381" i="4"/>
  <c r="L1387" i="4"/>
  <c r="M1397" i="4"/>
  <c r="L1403" i="4"/>
  <c r="M1413" i="4"/>
  <c r="L1419" i="4"/>
  <c r="M1429" i="4"/>
  <c r="L1435" i="4"/>
  <c r="M1445" i="4"/>
  <c r="L1451" i="4"/>
  <c r="M1461" i="4"/>
  <c r="L1467" i="4"/>
  <c r="L1788" i="4"/>
  <c r="L1852" i="4"/>
  <c r="L1916" i="4"/>
  <c r="L1980" i="4"/>
  <c r="M1348" i="4"/>
  <c r="L1348" i="4"/>
  <c r="M1364" i="4"/>
  <c r="L1364" i="4"/>
  <c r="M1380" i="4"/>
  <c r="L1380" i="4"/>
  <c r="M1396" i="4"/>
  <c r="L1396" i="4"/>
  <c r="M1412" i="4"/>
  <c r="L1412" i="4"/>
  <c r="M1428" i="4"/>
  <c r="L1428" i="4"/>
  <c r="M1444" i="4"/>
  <c r="L1444" i="4"/>
  <c r="M1460" i="4"/>
  <c r="L1460" i="4"/>
  <c r="L1469" i="4"/>
  <c r="M1469" i="4"/>
  <c r="M1472" i="4"/>
  <c r="L1472" i="4"/>
  <c r="L1477" i="4"/>
  <c r="M1477" i="4"/>
  <c r="M1480" i="4"/>
  <c r="L1480" i="4"/>
  <c r="L1485" i="4"/>
  <c r="M1485" i="4"/>
  <c r="M1488" i="4"/>
  <c r="L1488" i="4"/>
  <c r="L1493" i="4"/>
  <c r="M1493" i="4"/>
  <c r="M1496" i="4"/>
  <c r="L1496" i="4"/>
  <c r="L1501" i="4"/>
  <c r="M1501" i="4"/>
  <c r="M1504" i="4"/>
  <c r="L1504" i="4"/>
  <c r="L1509" i="4"/>
  <c r="M1509" i="4"/>
  <c r="M1512" i="4"/>
  <c r="L1512" i="4"/>
  <c r="L1517" i="4"/>
  <c r="M1517" i="4"/>
  <c r="M1520" i="4"/>
  <c r="L1520" i="4"/>
  <c r="L1525" i="4"/>
  <c r="M1525" i="4"/>
  <c r="M1528" i="4"/>
  <c r="L1528" i="4"/>
  <c r="L1533" i="4"/>
  <c r="M1533" i="4"/>
  <c r="M1536" i="4"/>
  <c r="L1536" i="4"/>
  <c r="L1541" i="4"/>
  <c r="M1541" i="4"/>
  <c r="M1544" i="4"/>
  <c r="L1544" i="4"/>
  <c r="L1549" i="4"/>
  <c r="M1549" i="4"/>
  <c r="M1552" i="4"/>
  <c r="L1552" i="4"/>
  <c r="L1557" i="4"/>
  <c r="M1557" i="4"/>
  <c r="M1560" i="4"/>
  <c r="L1560" i="4"/>
  <c r="L1565" i="4"/>
  <c r="M1565" i="4"/>
  <c r="M1568" i="4"/>
  <c r="L1568" i="4"/>
  <c r="L1573" i="4"/>
  <c r="M1573" i="4"/>
  <c r="M1576" i="4"/>
  <c r="L1576" i="4"/>
  <c r="L1581" i="4"/>
  <c r="M1581" i="4"/>
  <c r="M1584" i="4"/>
  <c r="L1584" i="4"/>
  <c r="L1589" i="4"/>
  <c r="M1589" i="4"/>
  <c r="L1597" i="4"/>
  <c r="M1597" i="4"/>
  <c r="L1605" i="4"/>
  <c r="M1605" i="4"/>
  <c r="L1613" i="4"/>
  <c r="M1613" i="4"/>
  <c r="L1621" i="4"/>
  <c r="M1621" i="4"/>
  <c r="L1629" i="4"/>
  <c r="M1629" i="4"/>
  <c r="L1637" i="4"/>
  <c r="M1637" i="4"/>
  <c r="L1645" i="4"/>
  <c r="M1645" i="4"/>
  <c r="L1653" i="4"/>
  <c r="M1653" i="4"/>
  <c r="L1661" i="4"/>
  <c r="M1661" i="4"/>
  <c r="L1669" i="4"/>
  <c r="M1669" i="4"/>
  <c r="L1677" i="4"/>
  <c r="M1677" i="4"/>
  <c r="L1685" i="4"/>
  <c r="M1685" i="4"/>
  <c r="L1693" i="4"/>
  <c r="M1693" i="4"/>
  <c r="M1699" i="4"/>
  <c r="L1699" i="4"/>
  <c r="M1715" i="4"/>
  <c r="L1715" i="4"/>
  <c r="M1731" i="4"/>
  <c r="L1731" i="4"/>
  <c r="M1747" i="4"/>
  <c r="L1747" i="4"/>
  <c r="L1804" i="4"/>
  <c r="L1868" i="4"/>
  <c r="L1932" i="4"/>
  <c r="M1764" i="4"/>
  <c r="L1764" i="4"/>
  <c r="M1780" i="4"/>
  <c r="L1780" i="4"/>
  <c r="L1796" i="4"/>
  <c r="L1812" i="4"/>
  <c r="L1828" i="4"/>
  <c r="L1844" i="4"/>
  <c r="L1860" i="4"/>
  <c r="L1876" i="4"/>
  <c r="L1892" i="4"/>
  <c r="L1908" i="4"/>
  <c r="L1924" i="4"/>
  <c r="L1940" i="4"/>
  <c r="L1956" i="4"/>
  <c r="L1972" i="4"/>
  <c r="L1988" i="4"/>
  <c r="M1760" i="4"/>
  <c r="L1760" i="4"/>
  <c r="M1776" i="4"/>
  <c r="L1776" i="4"/>
  <c r="L1792" i="4"/>
  <c r="L1808" i="4"/>
  <c r="L1824" i="4"/>
  <c r="L1840" i="4"/>
  <c r="L1856" i="4"/>
  <c r="L1872" i="4"/>
  <c r="L1888" i="4"/>
  <c r="L1904" i="4"/>
  <c r="L1920" i="4"/>
  <c r="L1936" i="4"/>
  <c r="L1952" i="4"/>
  <c r="L1968" i="4"/>
  <c r="L1984" i="4"/>
  <c r="L1588" i="4"/>
  <c r="L1592" i="4"/>
  <c r="L1596" i="4"/>
  <c r="L1600" i="4"/>
  <c r="L1604" i="4"/>
  <c r="L1608" i="4"/>
  <c r="L1612" i="4"/>
  <c r="L1616" i="4"/>
  <c r="L1620" i="4"/>
  <c r="L1624" i="4"/>
  <c r="L1628" i="4"/>
  <c r="L1632" i="4"/>
  <c r="L1636" i="4"/>
  <c r="L1640" i="4"/>
  <c r="L1644" i="4"/>
  <c r="L1648" i="4"/>
  <c r="L1652" i="4"/>
  <c r="L1656" i="4"/>
  <c r="L1660" i="4"/>
  <c r="L1664" i="4"/>
  <c r="L1668" i="4"/>
  <c r="L1672" i="4"/>
  <c r="L1676" i="4"/>
  <c r="L1680" i="4"/>
  <c r="L1684" i="4"/>
  <c r="L1688" i="4"/>
  <c r="L1692" i="4"/>
  <c r="M1696" i="4"/>
  <c r="L1698" i="4"/>
  <c r="L1701" i="4"/>
  <c r="L1711" i="4"/>
  <c r="M1712" i="4"/>
  <c r="L1714" i="4"/>
  <c r="L1717" i="4"/>
  <c r="L1727" i="4"/>
  <c r="M1728" i="4"/>
  <c r="L1730" i="4"/>
  <c r="L1733" i="4"/>
  <c r="L1743" i="4"/>
  <c r="M1744" i="4"/>
  <c r="L1746" i="4"/>
  <c r="L1749" i="4"/>
  <c r="M1753" i="4"/>
  <c r="L1759" i="4"/>
  <c r="M1769" i="4"/>
  <c r="L1775" i="4"/>
  <c r="L1791" i="4"/>
  <c r="L1807" i="4"/>
  <c r="L1823" i="4"/>
  <c r="L1839" i="4"/>
  <c r="L1855" i="4"/>
  <c r="L1871" i="4"/>
  <c r="L1887" i="4"/>
  <c r="L1903" i="4"/>
  <c r="L1919" i="4"/>
  <c r="L1935" i="4"/>
  <c r="L1951" i="4"/>
  <c r="L1967" i="4"/>
  <c r="L1983" i="4"/>
  <c r="M1752" i="4"/>
  <c r="L1752" i="4"/>
  <c r="M1768" i="4"/>
  <c r="L1768" i="4"/>
  <c r="L1784" i="4"/>
  <c r="L1800" i="4"/>
  <c r="L1816" i="4"/>
  <c r="L1832" i="4"/>
  <c r="L1848" i="4"/>
  <c r="L1864" i="4"/>
  <c r="L1880" i="4"/>
  <c r="L1896" i="4"/>
  <c r="L1912" i="4"/>
  <c r="L1928" i="4"/>
  <c r="L1944" i="4"/>
  <c r="L1960" i="4"/>
  <c r="L1976" i="4"/>
  <c r="L1992" i="4"/>
  <c r="O2325" i="4"/>
  <c r="O2324" i="4"/>
  <c r="O2323" i="4"/>
  <c r="O2322" i="4"/>
  <c r="O2321" i="4"/>
  <c r="O3192" i="4"/>
  <c r="P3192" i="4" s="1"/>
  <c r="O3191" i="4"/>
  <c r="P3191" i="4" s="1"/>
  <c r="O2821" i="4"/>
  <c r="O2820" i="4"/>
  <c r="O2819" i="4"/>
  <c r="O2777" i="4"/>
  <c r="O2320" i="4"/>
  <c r="O2281" i="4"/>
  <c r="O2280" i="4"/>
  <c r="O2279" i="4"/>
  <c r="O2278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O2668" i="4"/>
  <c r="O2709" i="4"/>
  <c r="O2759" i="4"/>
  <c r="O2739" i="4"/>
  <c r="O2738" i="4"/>
  <c r="O2737" i="4"/>
  <c r="O2736" i="4"/>
  <c r="O2735" i="4"/>
  <c r="O2734" i="4"/>
  <c r="O2733" i="4"/>
  <c r="O2732" i="4"/>
  <c r="O2731" i="4"/>
  <c r="O2730" i="4"/>
  <c r="O2729" i="4"/>
  <c r="O2714" i="4"/>
  <c r="O2713" i="4"/>
  <c r="O2712" i="4"/>
  <c r="O2711" i="4"/>
  <c r="O2710" i="4"/>
  <c r="O2708" i="4"/>
  <c r="O2691" i="4"/>
  <c r="O2690" i="4"/>
  <c r="O2689" i="4"/>
  <c r="O2687" i="4"/>
  <c r="O2688" i="4"/>
  <c r="O2686" i="4"/>
  <c r="O2674" i="4"/>
  <c r="O2672" i="4"/>
  <c r="O2671" i="4"/>
  <c r="O2670" i="4"/>
  <c r="O2669" i="4"/>
  <c r="O2219" i="4"/>
  <c r="O2394" i="4"/>
  <c r="O3197" i="4"/>
  <c r="P3197" i="4" s="1"/>
  <c r="O3196" i="4"/>
  <c r="P3196" i="4" s="1"/>
  <c r="O3195" i="4"/>
  <c r="P3195" i="4" s="1"/>
  <c r="O2799" i="4"/>
  <c r="O2798" i="4"/>
  <c r="O2797" i="4"/>
  <c r="O2796" i="4"/>
  <c r="O2751" i="4"/>
  <c r="O2750" i="4"/>
  <c r="O2749" i="4"/>
  <c r="O2748" i="4"/>
  <c r="O2747" i="4"/>
  <c r="O2746" i="4"/>
  <c r="O2745" i="4"/>
  <c r="O3021" i="4"/>
  <c r="O3020" i="4"/>
  <c r="O3019" i="4"/>
  <c r="O3018" i="4"/>
  <c r="O3017" i="4"/>
  <c r="O3016" i="4"/>
  <c r="O2946" i="4"/>
  <c r="O2945" i="4"/>
  <c r="O2944" i="4"/>
  <c r="O2943" i="4"/>
  <c r="O2942" i="4"/>
  <c r="O2941" i="4"/>
  <c r="O2940" i="4"/>
  <c r="O3142" i="4"/>
  <c r="O3141" i="4"/>
  <c r="O3140" i="4"/>
  <c r="O3139" i="4"/>
  <c r="O2692" i="4"/>
  <c r="O2254" i="4"/>
  <c r="O2253" i="4"/>
  <c r="O2251" i="4"/>
  <c r="O2250" i="4"/>
  <c r="O2249" i="4"/>
  <c r="O2247" i="4"/>
  <c r="O2248" i="4"/>
  <c r="O2348" i="4"/>
  <c r="O2351" i="4"/>
  <c r="O2350" i="4"/>
  <c r="O2349" i="4"/>
  <c r="O3254" i="4"/>
  <c r="P3254" i="4" s="1"/>
  <c r="O3237" i="4"/>
  <c r="P3237" i="4" s="1"/>
  <c r="O3207" i="4"/>
  <c r="P3207" i="4" s="1"/>
  <c r="O3206" i="4"/>
  <c r="P3206" i="4" s="1"/>
  <c r="O3205" i="4"/>
  <c r="P3205" i="4" s="1"/>
  <c r="O3204" i="4"/>
  <c r="P3204" i="4" s="1"/>
  <c r="O3194" i="4"/>
  <c r="P3194" i="4" s="1"/>
  <c r="O3193" i="4"/>
  <c r="P3193" i="4" s="1"/>
  <c r="O2417" i="4"/>
  <c r="O2416" i="4"/>
  <c r="O2415" i="4"/>
  <c r="P3255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3" i="4"/>
  <c r="P3202" i="4"/>
  <c r="P3201" i="4"/>
  <c r="P3200" i="4"/>
  <c r="P3199" i="4"/>
  <c r="P3198" i="4"/>
  <c r="P3190" i="4"/>
  <c r="P3189" i="4"/>
  <c r="P3188" i="4"/>
  <c r="P3187" i="4"/>
  <c r="P3186" i="4"/>
  <c r="O2218" i="4" l="1"/>
  <c r="O2707" i="4" l="1"/>
  <c r="P2707" i="4" s="1"/>
  <c r="O2706" i="4"/>
  <c r="P2706" i="4" s="1"/>
  <c r="O2705" i="4"/>
  <c r="P2705" i="4" s="1"/>
  <c r="O2704" i="4"/>
  <c r="P2704" i="4" s="1"/>
  <c r="O2703" i="4"/>
  <c r="P2703" i="4" s="1"/>
  <c r="O2684" i="4"/>
  <c r="P2684" i="4" s="1"/>
  <c r="O2683" i="4"/>
  <c r="P2683" i="4" s="1"/>
  <c r="O2682" i="4"/>
  <c r="P2682" i="4" s="1"/>
  <c r="O2681" i="4"/>
  <c r="P2681" i="4" s="1"/>
  <c r="O2680" i="4"/>
  <c r="P2680" i="4" s="1"/>
  <c r="O2679" i="4"/>
  <c r="P2679" i="4" s="1"/>
  <c r="O3173" i="4"/>
  <c r="P3173" i="4" s="1"/>
  <c r="O2181" i="4"/>
  <c r="P2181" i="4" s="1"/>
  <c r="O2619" i="4"/>
  <c r="P2619" i="4" s="1"/>
  <c r="O2667" i="4"/>
  <c r="P2667" i="4" s="1"/>
  <c r="O2650" i="4"/>
  <c r="P2650" i="4" s="1"/>
  <c r="O2649" i="4"/>
  <c r="P2649" i="4" s="1"/>
  <c r="O2648" i="4"/>
  <c r="P2648" i="4" s="1"/>
  <c r="O2647" i="4"/>
  <c r="P2647" i="4" s="1"/>
  <c r="O2646" i="4"/>
  <c r="P2646" i="4" s="1"/>
  <c r="O2645" i="4"/>
  <c r="P2645" i="4" s="1"/>
  <c r="O2644" i="4"/>
  <c r="P2644" i="4" s="1"/>
  <c r="O2620" i="4"/>
  <c r="P2620" i="4" s="1"/>
  <c r="O2618" i="4"/>
  <c r="P2618" i="4" s="1"/>
  <c r="O2617" i="4"/>
  <c r="P2617" i="4" s="1"/>
  <c r="O2603" i="4"/>
  <c r="P2603" i="4" s="1"/>
  <c r="O2616" i="4"/>
  <c r="P2616" i="4" s="1"/>
  <c r="O2609" i="4"/>
  <c r="P2609" i="4" s="1"/>
  <c r="O2608" i="4"/>
  <c r="P2608" i="4" s="1"/>
  <c r="O2607" i="4"/>
  <c r="P2607" i="4" s="1"/>
  <c r="O2606" i="4"/>
  <c r="P2606" i="4" s="1"/>
  <c r="O2605" i="4"/>
  <c r="P2605" i="4" s="1"/>
  <c r="O2604" i="4"/>
  <c r="P2604" i="4" s="1"/>
  <c r="O2582" i="4"/>
  <c r="O2602" i="4"/>
  <c r="P2602" i="4" s="1"/>
  <c r="O2591" i="4"/>
  <c r="O2590" i="4"/>
  <c r="O2589" i="4"/>
  <c r="O2588" i="4"/>
  <c r="O2587" i="4"/>
  <c r="O2586" i="4"/>
  <c r="O2585" i="4"/>
  <c r="O2584" i="4"/>
  <c r="O2583" i="4"/>
  <c r="O3138" i="4"/>
  <c r="P3138" i="4" s="1"/>
  <c r="O3137" i="4"/>
  <c r="P3137" i="4" s="1"/>
  <c r="O1857" i="4"/>
  <c r="O1856" i="4"/>
  <c r="O1855" i="4"/>
  <c r="O3110" i="4"/>
  <c r="P3110" i="4" s="1"/>
  <c r="O3109" i="4"/>
  <c r="P3109" i="4" s="1"/>
  <c r="O3108" i="4"/>
  <c r="P3108" i="4" s="1"/>
  <c r="O3107" i="4"/>
  <c r="P3107" i="4" s="1"/>
  <c r="O3106" i="4"/>
  <c r="P3106" i="4" s="1"/>
  <c r="O2190" i="4"/>
  <c r="O2207" i="4"/>
  <c r="O2206" i="4"/>
  <c r="O2121" i="4"/>
  <c r="O2124" i="4"/>
  <c r="O2123" i="4"/>
  <c r="O2122" i="4"/>
  <c r="O2125" i="4"/>
  <c r="O2191" i="4"/>
  <c r="O3126" i="4"/>
  <c r="P3126" i="4" s="1"/>
  <c r="O3125" i="4"/>
  <c r="P3125" i="4" s="1"/>
  <c r="O3113" i="4"/>
  <c r="P3113" i="4" s="1"/>
  <c r="O3112" i="4"/>
  <c r="P3112" i="4" s="1"/>
  <c r="O3111" i="4"/>
  <c r="P3111" i="4" s="1"/>
  <c r="O3092" i="4"/>
  <c r="P3092" i="4" s="1"/>
  <c r="O3091" i="4"/>
  <c r="P3091" i="4" s="1"/>
  <c r="O3090" i="4"/>
  <c r="P3090" i="4" s="1"/>
  <c r="O3089" i="4"/>
  <c r="P3089" i="4" s="1"/>
  <c r="P2850" i="4"/>
  <c r="O2849" i="4"/>
  <c r="P2849" i="4" s="1"/>
  <c r="O2848" i="4"/>
  <c r="P2848" i="4" s="1"/>
  <c r="O2847" i="4"/>
  <c r="P2847" i="4" s="1"/>
  <c r="O2846" i="4"/>
  <c r="P2846" i="4" s="1"/>
  <c r="O2660" i="4"/>
  <c r="P2660" i="4" s="1"/>
  <c r="O2659" i="4"/>
  <c r="P2659" i="4" s="1"/>
  <c r="O2658" i="4"/>
  <c r="P2658" i="4" s="1"/>
  <c r="O2657" i="4"/>
  <c r="P2657" i="4" s="1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6" i="4"/>
  <c r="P3135" i="4"/>
  <c r="P3134" i="4"/>
  <c r="P3133" i="4"/>
  <c r="P3132" i="4"/>
  <c r="P3131" i="4"/>
  <c r="P3130" i="4"/>
  <c r="P3129" i="4"/>
  <c r="P3128" i="4"/>
  <c r="P3127" i="4"/>
  <c r="P3124" i="4"/>
  <c r="P3123" i="4"/>
  <c r="P3122" i="4"/>
  <c r="P3121" i="4"/>
  <c r="P3120" i="4"/>
  <c r="P3119" i="4"/>
  <c r="P3118" i="4"/>
  <c r="P3117" i="4"/>
  <c r="P3116" i="4"/>
  <c r="P3115" i="4"/>
  <c r="P3114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3" i="4"/>
  <c r="P3052" i="4"/>
  <c r="P3051" i="4"/>
  <c r="P3050" i="4"/>
  <c r="P3049" i="4"/>
  <c r="P3048" i="4"/>
  <c r="P3047" i="4"/>
  <c r="P3046" i="4"/>
  <c r="P3045" i="4"/>
  <c r="P3044" i="4"/>
  <c r="P3038" i="4"/>
  <c r="P3037" i="4"/>
  <c r="P3036" i="4"/>
  <c r="P3035" i="4"/>
  <c r="P3034" i="4"/>
  <c r="P3033" i="4"/>
  <c r="P3032" i="4"/>
  <c r="P3031" i="4"/>
  <c r="P3030" i="4"/>
  <c r="P3026" i="4"/>
  <c r="P3025" i="4"/>
  <c r="P3024" i="4"/>
  <c r="P3023" i="4"/>
  <c r="P3022" i="4"/>
  <c r="P3021" i="4"/>
  <c r="P3020" i="4"/>
  <c r="P3019" i="4"/>
  <c r="P3018" i="4"/>
  <c r="P3017" i="4"/>
  <c r="P3016" i="4"/>
  <c r="P3012" i="4"/>
  <c r="P3011" i="4"/>
  <c r="P3010" i="4"/>
  <c r="P3009" i="4"/>
  <c r="P3008" i="4"/>
  <c r="P3007" i="4"/>
  <c r="P3006" i="4"/>
  <c r="P3003" i="4"/>
  <c r="P3002" i="4"/>
  <c r="P2994" i="4"/>
  <c r="P2993" i="4"/>
  <c r="P2992" i="4"/>
  <c r="P2991" i="4"/>
  <c r="P2990" i="4"/>
  <c r="P2989" i="4"/>
  <c r="P2988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39" i="4"/>
  <c r="P2838" i="4"/>
  <c r="P2837" i="4"/>
  <c r="P2836" i="4"/>
  <c r="P2835" i="4"/>
  <c r="P2834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6" i="4"/>
  <c r="P2815" i="4"/>
  <c r="P2811" i="4"/>
  <c r="P2810" i="4"/>
  <c r="P2809" i="4"/>
  <c r="P2808" i="4"/>
  <c r="P2807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66" i="4"/>
  <c r="P2765" i="4"/>
  <c r="P2764" i="4"/>
  <c r="P2763" i="4"/>
  <c r="P2762" i="4"/>
  <c r="P2761" i="4"/>
  <c r="P2760" i="4"/>
  <c r="P2759" i="4"/>
  <c r="P2758" i="4"/>
  <c r="P2757" i="4"/>
  <c r="P2756" i="4"/>
  <c r="P2751" i="4"/>
  <c r="P2750" i="4"/>
  <c r="P2749" i="4"/>
  <c r="P2748" i="4"/>
  <c r="P2747" i="4"/>
  <c r="P2746" i="4"/>
  <c r="P2745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14" i="4"/>
  <c r="P2713" i="4"/>
  <c r="P2712" i="4"/>
  <c r="P2711" i="4"/>
  <c r="P2710" i="4"/>
  <c r="P2709" i="4"/>
  <c r="P2708" i="4"/>
  <c r="P2696" i="4"/>
  <c r="P2695" i="4"/>
  <c r="P2692" i="4"/>
  <c r="P2691" i="4"/>
  <c r="P2690" i="4"/>
  <c r="P2689" i="4"/>
  <c r="P2688" i="4"/>
  <c r="P2687" i="4"/>
  <c r="P2686" i="4"/>
  <c r="P2678" i="4"/>
  <c r="P2677" i="4"/>
  <c r="P2676" i="4"/>
  <c r="P2675" i="4"/>
  <c r="P2674" i="4"/>
  <c r="P2672" i="4"/>
  <c r="P2671" i="4"/>
  <c r="P2670" i="4"/>
  <c r="P2669" i="4"/>
  <c r="P2668" i="4"/>
  <c r="P2666" i="4"/>
  <c r="P2665" i="4"/>
  <c r="P2664" i="4"/>
  <c r="P2663" i="4"/>
  <c r="P2662" i="4"/>
  <c r="P2661" i="4"/>
  <c r="P2643" i="4"/>
  <c r="P2642" i="4"/>
  <c r="P2641" i="4"/>
  <c r="P2640" i="4"/>
  <c r="P2637" i="4"/>
  <c r="P2636" i="4"/>
  <c r="P2635" i="4"/>
  <c r="P2634" i="4"/>
  <c r="P2595" i="4"/>
  <c r="P2594" i="4"/>
  <c r="P2593" i="4"/>
  <c r="P2592" i="4"/>
  <c r="O2856" i="4" l="1"/>
  <c r="P2856" i="4" s="1"/>
  <c r="O2855" i="4"/>
  <c r="P2855" i="4" s="1"/>
  <c r="O2854" i="4"/>
  <c r="P2854" i="4" s="1"/>
  <c r="O2853" i="4"/>
  <c r="P2853" i="4" s="1"/>
  <c r="O2852" i="4"/>
  <c r="P2852" i="4" s="1"/>
  <c r="O2851" i="4"/>
  <c r="P2851" i="4" s="1"/>
  <c r="O2639" i="4"/>
  <c r="P2639" i="4" s="1"/>
  <c r="O2638" i="4"/>
  <c r="P2638" i="4" s="1"/>
  <c r="O2633" i="4"/>
  <c r="P2633" i="4" s="1"/>
  <c r="O2632" i="4"/>
  <c r="P2632" i="4" s="1"/>
  <c r="O2631" i="4"/>
  <c r="P2631" i="4" s="1"/>
  <c r="O2630" i="4"/>
  <c r="P2630" i="4" s="1"/>
  <c r="O2629" i="4"/>
  <c r="P2629" i="4" s="1"/>
  <c r="O2628" i="4"/>
  <c r="P2628" i="4" s="1"/>
  <c r="O2615" i="4"/>
  <c r="P2615" i="4" s="1"/>
  <c r="O2614" i="4"/>
  <c r="P2614" i="4" s="1"/>
  <c r="O2613" i="4"/>
  <c r="P2613" i="4" s="1"/>
  <c r="O2612" i="4"/>
  <c r="P2612" i="4" s="1"/>
  <c r="O2611" i="4"/>
  <c r="P2611" i="4" s="1"/>
  <c r="O2610" i="4"/>
  <c r="P2610" i="4" s="1"/>
  <c r="O3058" i="4"/>
  <c r="P3058" i="4" s="1"/>
  <c r="O3057" i="4"/>
  <c r="P3057" i="4" s="1"/>
  <c r="O3056" i="4"/>
  <c r="P3056" i="4" s="1"/>
  <c r="O3055" i="4"/>
  <c r="P3055" i="4" s="1"/>
  <c r="O3054" i="4"/>
  <c r="P3054" i="4" s="1"/>
  <c r="O3042" i="4"/>
  <c r="P3042" i="4" s="1"/>
  <c r="O3041" i="4"/>
  <c r="P3041" i="4" s="1"/>
  <c r="O3040" i="4"/>
  <c r="P3040" i="4" s="1"/>
  <c r="O3039" i="4"/>
  <c r="P3039" i="4" s="1"/>
  <c r="O3013" i="4"/>
  <c r="P3013" i="4" s="1"/>
  <c r="O2924" i="4"/>
  <c r="P2924" i="4" s="1"/>
  <c r="O2923" i="4"/>
  <c r="P2923" i="4" s="1"/>
  <c r="O3043" i="4"/>
  <c r="P3043" i="4" s="1"/>
  <c r="O2282" i="4"/>
  <c r="O2255" i="4"/>
  <c r="O3028" i="4"/>
  <c r="P3028" i="4" s="1"/>
  <c r="O3027" i="4"/>
  <c r="P3027" i="4" s="1"/>
  <c r="O3005" i="4"/>
  <c r="P3005" i="4" s="1"/>
  <c r="O3004" i="4"/>
  <c r="P3004" i="4" s="1"/>
  <c r="O2581" i="4"/>
  <c r="O2568" i="4"/>
  <c r="O2567" i="4"/>
  <c r="O2566" i="4"/>
  <c r="O2565" i="4"/>
  <c r="O2564" i="4"/>
  <c r="O2540" i="4"/>
  <c r="O2539" i="4"/>
  <c r="O2538" i="4"/>
  <c r="O2537" i="4"/>
  <c r="O2536" i="4"/>
  <c r="O2535" i="4"/>
  <c r="O2496" i="4"/>
  <c r="O2495" i="4"/>
  <c r="O2494" i="4"/>
  <c r="O2493" i="4"/>
  <c r="O2492" i="4"/>
  <c r="O2491" i="4"/>
  <c r="O2487" i="4"/>
  <c r="O2490" i="4"/>
  <c r="O2489" i="4"/>
  <c r="O2488" i="4"/>
  <c r="O2486" i="4"/>
  <c r="O2485" i="4"/>
  <c r="O2472" i="4"/>
  <c r="O2471" i="4"/>
  <c r="O2470" i="4"/>
  <c r="O2469" i="4"/>
  <c r="O2468" i="4"/>
  <c r="O2467" i="4"/>
  <c r="O2445" i="4"/>
  <c r="O2444" i="4"/>
  <c r="O2443" i="4"/>
  <c r="O2442" i="4"/>
  <c r="O2441" i="4"/>
  <c r="O2414" i="4"/>
  <c r="O2413" i="4"/>
  <c r="O2412" i="4"/>
  <c r="O2411" i="4"/>
  <c r="O1546" i="4"/>
  <c r="O1649" i="4"/>
  <c r="O1545" i="4"/>
  <c r="O1544" i="4"/>
  <c r="O1543" i="4"/>
  <c r="O1542" i="4"/>
  <c r="O1541" i="4"/>
  <c r="O1540" i="4"/>
  <c r="P3076" i="4"/>
  <c r="O3029" i="4"/>
  <c r="P3029" i="4" s="1"/>
  <c r="O3015" i="4"/>
  <c r="P3015" i="4" s="1"/>
  <c r="O3014" i="4"/>
  <c r="P3014" i="4" s="1"/>
  <c r="O3001" i="4"/>
  <c r="P3001" i="4" s="1"/>
  <c r="O3000" i="4"/>
  <c r="P3000" i="4" s="1"/>
  <c r="O2999" i="4"/>
  <c r="P2999" i="4" s="1"/>
  <c r="O2998" i="4"/>
  <c r="P2998" i="4" s="1"/>
  <c r="O2997" i="4"/>
  <c r="P2997" i="4" s="1"/>
  <c r="O2996" i="4"/>
  <c r="P2996" i="4" s="1"/>
  <c r="O2995" i="4"/>
  <c r="P2995" i="4" s="1"/>
  <c r="O2148" i="4"/>
  <c r="O2179" i="4"/>
  <c r="O2180" i="4"/>
  <c r="P2180" i="4" s="1"/>
  <c r="O2154" i="4"/>
  <c r="O2156" i="4"/>
  <c r="O2155" i="4"/>
  <c r="O2153" i="4"/>
  <c r="O2147" i="4"/>
  <c r="O2987" i="4" l="1"/>
  <c r="P2987" i="4" s="1"/>
  <c r="O2986" i="4"/>
  <c r="P2986" i="4" s="1"/>
  <c r="O2985" i="4"/>
  <c r="P2985" i="4" s="1"/>
  <c r="O2984" i="4"/>
  <c r="P2984" i="4" s="1"/>
  <c r="O2787" i="4"/>
  <c r="P2787" i="4" s="1"/>
  <c r="O2786" i="4"/>
  <c r="P2786" i="4" s="1"/>
  <c r="O2964" i="4"/>
  <c r="P2964" i="4" s="1"/>
  <c r="O2963" i="4"/>
  <c r="P2963" i="4" s="1"/>
  <c r="O2962" i="4"/>
  <c r="P2962" i="4" s="1"/>
  <c r="O2961" i="4"/>
  <c r="P2961" i="4" s="1"/>
  <c r="O2960" i="4"/>
  <c r="P2960" i="4" s="1"/>
  <c r="O2959" i="4"/>
  <c r="P2959" i="4" s="1"/>
  <c r="O2958" i="4"/>
  <c r="P2958" i="4" s="1"/>
  <c r="O2079" i="4" l="1"/>
  <c r="O2115" i="4"/>
  <c r="O2083" i="4"/>
  <c r="O2082" i="4"/>
  <c r="O2081" i="4"/>
  <c r="O2080" i="4"/>
  <c r="O2845" i="4"/>
  <c r="P2845" i="4" s="1"/>
  <c r="O2844" i="4"/>
  <c r="P2844" i="4" s="1"/>
  <c r="O2843" i="4"/>
  <c r="P2843" i="4" s="1"/>
  <c r="O2842" i="4"/>
  <c r="P2842" i="4" s="1"/>
  <c r="O2841" i="4"/>
  <c r="P2841" i="4" s="1"/>
  <c r="O2840" i="4"/>
  <c r="P2840" i="4" s="1"/>
  <c r="O2386" i="4"/>
  <c r="O2410" i="4"/>
  <c r="O2405" i="4"/>
  <c r="O2404" i="4"/>
  <c r="O2403" i="4"/>
  <c r="O2402" i="4"/>
  <c r="O2401" i="4"/>
  <c r="O2389" i="4"/>
  <c r="O2388" i="4"/>
  <c r="O2387" i="4"/>
  <c r="O2340" i="4"/>
  <c r="O2372" i="4"/>
  <c r="O2371" i="4"/>
  <c r="O2370" i="4"/>
  <c r="O2369" i="4"/>
  <c r="O2356" i="4"/>
  <c r="O2355" i="4"/>
  <c r="O2354" i="4"/>
  <c r="O2353" i="4"/>
  <c r="O2352" i="4"/>
  <c r="O2343" i="4"/>
  <c r="O2342" i="4"/>
  <c r="O2341" i="4"/>
  <c r="O2339" i="4"/>
  <c r="O2336" i="4"/>
  <c r="O2335" i="4"/>
  <c r="O2329" i="4"/>
  <c r="O2328" i="4"/>
  <c r="O2327" i="4"/>
  <c r="O2326" i="4"/>
  <c r="O2311" i="4"/>
  <c r="O2310" i="4"/>
  <c r="O2309" i="4"/>
  <c r="O2308" i="4"/>
  <c r="O2307" i="4"/>
  <c r="O2306" i="4"/>
  <c r="O2293" i="4"/>
  <c r="O2292" i="4"/>
  <c r="O2291" i="4"/>
  <c r="O2290" i="4"/>
  <c r="O2289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12" i="4"/>
  <c r="O2313" i="4"/>
  <c r="O2314" i="4"/>
  <c r="O2315" i="4"/>
  <c r="O2316" i="4"/>
  <c r="O2317" i="4"/>
  <c r="O2318" i="4"/>
  <c r="O2319" i="4"/>
  <c r="O2330" i="4"/>
  <c r="O2331" i="4"/>
  <c r="O2332" i="4"/>
  <c r="O2333" i="4"/>
  <c r="O2334" i="4"/>
  <c r="O2288" i="4"/>
  <c r="O2269" i="4"/>
  <c r="O2259" i="4"/>
  <c r="O2258" i="4"/>
  <c r="O2257" i="4"/>
  <c r="O2256" i="4"/>
  <c r="O2252" i="4"/>
  <c r="O2237" i="4"/>
  <c r="O2236" i="4"/>
  <c r="O2925" i="4"/>
  <c r="P2925" i="4" s="1"/>
  <c r="O2922" i="4"/>
  <c r="P2922" i="4" s="1"/>
  <c r="O2921" i="4"/>
  <c r="P2921" i="4" s="1"/>
  <c r="O2920" i="4"/>
  <c r="P2920" i="4" s="1"/>
  <c r="O2744" i="4"/>
  <c r="P2744" i="4" s="1"/>
  <c r="O2743" i="4"/>
  <c r="P2743" i="4" s="1"/>
  <c r="O2742" i="4"/>
  <c r="P2742" i="4" s="1"/>
  <c r="O2741" i="4"/>
  <c r="P2741" i="4" s="1"/>
  <c r="O2740" i="4"/>
  <c r="P2740" i="4" s="1"/>
  <c r="O2968" i="4"/>
  <c r="P2968" i="4" s="1"/>
  <c r="O2967" i="4"/>
  <c r="P2967" i="4" s="1"/>
  <c r="O2966" i="4"/>
  <c r="P2966" i="4" s="1"/>
  <c r="O2965" i="4"/>
  <c r="P2965" i="4" s="1"/>
  <c r="O2393" i="4"/>
  <c r="O2392" i="4"/>
  <c r="O2391" i="4"/>
  <c r="O2390" i="4"/>
  <c r="O2385" i="4"/>
  <c r="O2384" i="4"/>
  <c r="O2383" i="4"/>
  <c r="O2382" i="4"/>
  <c r="O2381" i="4"/>
  <c r="O2380" i="4"/>
  <c r="O2544" i="4"/>
  <c r="O2543" i="4"/>
  <c r="O2542" i="4"/>
  <c r="O2541" i="4"/>
  <c r="O2043" i="4" l="1"/>
  <c r="O2529" i="4"/>
  <c r="O2528" i="4"/>
  <c r="O2527" i="4"/>
  <c r="O2526" i="4"/>
  <c r="O2525" i="4"/>
  <c r="O2347" i="4"/>
  <c r="O2346" i="4"/>
  <c r="O2345" i="4"/>
  <c r="O2344" i="4"/>
  <c r="O2768" i="4"/>
  <c r="P2768" i="4" s="1"/>
  <c r="O2767" i="4"/>
  <c r="P2767" i="4" s="1"/>
  <c r="O2214" i="4"/>
  <c r="O2213" i="4"/>
  <c r="O2702" i="4"/>
  <c r="P2702" i="4" s="1"/>
  <c r="O2701" i="4"/>
  <c r="P2701" i="4" s="1"/>
  <c r="O2700" i="4"/>
  <c r="P2700" i="4" s="1"/>
  <c r="O2901" i="4"/>
  <c r="P2901" i="4" s="1"/>
  <c r="O2900" i="4"/>
  <c r="P2900" i="4" s="1"/>
  <c r="O2899" i="4"/>
  <c r="P2899" i="4" s="1"/>
  <c r="O2898" i="4" l="1"/>
  <c r="P2898" i="4" s="1"/>
  <c r="O2897" i="4"/>
  <c r="P2897" i="4" s="1"/>
  <c r="O2896" i="4"/>
  <c r="P2896" i="4" s="1"/>
  <c r="O2895" i="4"/>
  <c r="P2895" i="4" s="1"/>
  <c r="O2894" i="4"/>
  <c r="P2894" i="4" s="1"/>
  <c r="O2833" i="4"/>
  <c r="P2833" i="4" s="1"/>
  <c r="O2832" i="4"/>
  <c r="P2832" i="4" s="1"/>
  <c r="O2805" i="4"/>
  <c r="P2805" i="4" s="1"/>
  <c r="O2904" i="4" l="1"/>
  <c r="P2904" i="4" s="1"/>
  <c r="O2903" i="4"/>
  <c r="P2903" i="4" s="1"/>
  <c r="O2902" i="4"/>
  <c r="P2902" i="4" s="1"/>
  <c r="O2770" i="4"/>
  <c r="P2770" i="4" s="1"/>
  <c r="O2769" i="4"/>
  <c r="P2769" i="4" s="1"/>
  <c r="O2755" i="4"/>
  <c r="P2755" i="4" s="1"/>
  <c r="O2450" i="4"/>
  <c r="O2368" i="4"/>
  <c r="O2367" i="4"/>
  <c r="O2366" i="4"/>
  <c r="O2365" i="4"/>
  <c r="O2364" i="4"/>
  <c r="O2363" i="4"/>
  <c r="O2235" i="4"/>
  <c r="O2228" i="4"/>
  <c r="O2221" i="4"/>
  <c r="O2225" i="4"/>
  <c r="O2224" i="4"/>
  <c r="O2223" i="4"/>
  <c r="O2222" i="4"/>
  <c r="O2220" i="4"/>
  <c r="O2205" i="4"/>
  <c r="O2204" i="4"/>
  <c r="O2198" i="4"/>
  <c r="O2197" i="4"/>
  <c r="O2189" i="4"/>
  <c r="O2188" i="4"/>
  <c r="O2187" i="4"/>
  <c r="O2186" i="4"/>
  <c r="O2185" i="4"/>
  <c r="O2169" i="4"/>
  <c r="O2168" i="4"/>
  <c r="O2167" i="4"/>
  <c r="O2166" i="4"/>
  <c r="O2165" i="4"/>
  <c r="O2164" i="4"/>
  <c r="O2162" i="4"/>
  <c r="O2161" i="4"/>
  <c r="O2160" i="4"/>
  <c r="O2159" i="4"/>
  <c r="O2158" i="4"/>
  <c r="O2112" i="4"/>
  <c r="O2157" i="4"/>
  <c r="O2132" i="4"/>
  <c r="O2131" i="4"/>
  <c r="O2130" i="4"/>
  <c r="O2129" i="4"/>
  <c r="O2128" i="4"/>
  <c r="O2127" i="4"/>
  <c r="O2119" i="4"/>
  <c r="O2118" i="4"/>
  <c r="O2117" i="4"/>
  <c r="O2116" i="4"/>
  <c r="O2114" i="4"/>
  <c r="O2113" i="4"/>
  <c r="O2814" i="4" l="1"/>
  <c r="P2814" i="4" s="1"/>
  <c r="O2813" i="4"/>
  <c r="P2813" i="4" s="1"/>
  <c r="O2812" i="4"/>
  <c r="P2812" i="4" s="1"/>
  <c r="O2806" i="4"/>
  <c r="P2806" i="4" s="1"/>
  <c r="O2804" i="4"/>
  <c r="P2804" i="4" s="1"/>
  <c r="O2803" i="4"/>
  <c r="P2803" i="4" s="1"/>
  <c r="O2802" i="4"/>
  <c r="P2802" i="4" s="1"/>
  <c r="O2801" i="4"/>
  <c r="P2801" i="4" s="1"/>
  <c r="O2800" i="4"/>
  <c r="P2800" i="4" s="1"/>
  <c r="O2818" i="4"/>
  <c r="P2818" i="4" s="1"/>
  <c r="O2817" i="4"/>
  <c r="P2817" i="4" s="1"/>
  <c r="O2246" i="4"/>
  <c r="O2245" i="4"/>
  <c r="O2244" i="4"/>
  <c r="O2243" i="4"/>
  <c r="O2019" i="4"/>
  <c r="O2028" i="4"/>
  <c r="O2027" i="4"/>
  <c r="O2409" i="4"/>
  <c r="O2408" i="4"/>
  <c r="O2407" i="4"/>
  <c r="O2406" i="4"/>
  <c r="O2016" i="4"/>
  <c r="O2111" i="4"/>
  <c r="O2110" i="4"/>
  <c r="O2089" i="4"/>
  <c r="O2088" i="4"/>
  <c r="O2087" i="4"/>
  <c r="O2086" i="4"/>
  <c r="O2085" i="4"/>
  <c r="O2062" i="4"/>
  <c r="O2061" i="4"/>
  <c r="O2060" i="4"/>
  <c r="O2059" i="4"/>
  <c r="O2058" i="4"/>
  <c r="O2047" i="4"/>
  <c r="O2046" i="4"/>
  <c r="O2045" i="4"/>
  <c r="O2044" i="4"/>
  <c r="O2042" i="4"/>
  <c r="O2041" i="4"/>
  <c r="O2040" i="4"/>
  <c r="O2039" i="4"/>
  <c r="O2038" i="4"/>
  <c r="O2018" i="4"/>
  <c r="O2017" i="4"/>
  <c r="O2600" i="4" l="1"/>
  <c r="P2600" i="4" s="1"/>
  <c r="O2599" i="4"/>
  <c r="P2599" i="4" s="1"/>
  <c r="O2598" i="4"/>
  <c r="P2598" i="4" s="1"/>
  <c r="O2597" i="4"/>
  <c r="P2597" i="4" s="1"/>
  <c r="O2596" i="4"/>
  <c r="P2596" i="4" s="1"/>
  <c r="O2510" i="4" l="1"/>
  <c r="O2509" i="4"/>
  <c r="O2508" i="4"/>
  <c r="O2507" i="4"/>
  <c r="O2717" i="4"/>
  <c r="P2717" i="4" s="1"/>
  <c r="O2719" i="4"/>
  <c r="P2719" i="4" s="1"/>
  <c r="O2718" i="4"/>
  <c r="P2718" i="4" s="1"/>
  <c r="O2716" i="4"/>
  <c r="P2716" i="4" s="1"/>
  <c r="O2715" i="4"/>
  <c r="P2715" i="4" s="1"/>
  <c r="O2720" i="4"/>
  <c r="P2720" i="4" s="1"/>
  <c r="O2752" i="4" l="1"/>
  <c r="P2752" i="4" s="1"/>
  <c r="O2754" i="4"/>
  <c r="P2754" i="4" s="1"/>
  <c r="O2753" i="4"/>
  <c r="P2753" i="4" s="1"/>
  <c r="O2694" i="4"/>
  <c r="P2694" i="4" s="1"/>
  <c r="O2693" i="4"/>
  <c r="P2693" i="4" s="1"/>
  <c r="O2699" i="4"/>
  <c r="P2699" i="4" s="1"/>
  <c r="O2698" i="4"/>
  <c r="P2698" i="4" s="1"/>
  <c r="O2697" i="4"/>
  <c r="P2697" i="4" s="1"/>
  <c r="O2006" i="4"/>
  <c r="O1984" i="4"/>
  <c r="O1959" i="4"/>
  <c r="O2196" i="4"/>
  <c r="O2195" i="4"/>
  <c r="O2194" i="4"/>
  <c r="O2193" i="4"/>
  <c r="O2192" i="4"/>
  <c r="O1705" i="4"/>
  <c r="O1660" i="4"/>
  <c r="O1657" i="4"/>
  <c r="O1656" i="4"/>
  <c r="O1708" i="4"/>
  <c r="O1707" i="4"/>
  <c r="O1706" i="4"/>
  <c r="O1704" i="4"/>
  <c r="O1659" i="4"/>
  <c r="O1658" i="4"/>
  <c r="O2015" i="4"/>
  <c r="O1989" i="4"/>
  <c r="O1988" i="4"/>
  <c r="O1987" i="4"/>
  <c r="O1986" i="4"/>
  <c r="O1985" i="4"/>
  <c r="O1972" i="4"/>
  <c r="O1971" i="4"/>
  <c r="O1970" i="4"/>
  <c r="O1969" i="4"/>
  <c r="O1968" i="4"/>
  <c r="O1963" i="4"/>
  <c r="O1962" i="4"/>
  <c r="O1961" i="4"/>
  <c r="O1960" i="4"/>
  <c r="O1922" i="4"/>
  <c r="O1921" i="4"/>
  <c r="O1920" i="4"/>
  <c r="O1919" i="4"/>
  <c r="O1914" i="4"/>
  <c r="O1913" i="4"/>
  <c r="O1912" i="4"/>
  <c r="O1911" i="4"/>
  <c r="O1910" i="4"/>
  <c r="O1891" i="4"/>
  <c r="O1847" i="4"/>
  <c r="O1846" i="4"/>
  <c r="O1786" i="4"/>
  <c r="O1785" i="4"/>
  <c r="O1784" i="4"/>
  <c r="O1783" i="4"/>
  <c r="O1782" i="4"/>
  <c r="O2685" i="4"/>
  <c r="P2685" i="4" s="1"/>
  <c r="O2184" i="4"/>
  <c r="O2183" i="4"/>
  <c r="O2182" i="4"/>
  <c r="O2078" i="4"/>
  <c r="O2077" i="4"/>
  <c r="O2076" i="4"/>
  <c r="O2075" i="4"/>
  <c r="O2654" i="4" l="1"/>
  <c r="P2654" i="4" s="1"/>
  <c r="O2653" i="4"/>
  <c r="P2653" i="4" s="1"/>
  <c r="O2656" i="4"/>
  <c r="P2656" i="4" s="1"/>
  <c r="O2655" i="4"/>
  <c r="P2655" i="4" s="1"/>
  <c r="O2627" i="4"/>
  <c r="P2627" i="4" s="1"/>
  <c r="O2601" i="4"/>
  <c r="P2601" i="4" s="1"/>
  <c r="O2066" i="4"/>
  <c r="O2065" i="4"/>
  <c r="O2064" i="4"/>
  <c r="O2063" i="4"/>
  <c r="O2227" i="4"/>
  <c r="O2226" i="4"/>
  <c r="O2217" i="4"/>
  <c r="O2216" i="4"/>
  <c r="O2215" i="4"/>
  <c r="O2673" i="4"/>
  <c r="P2673" i="4" s="1"/>
  <c r="O2652" i="4"/>
  <c r="P2652" i="4" s="1"/>
  <c r="O2651" i="4"/>
  <c r="P2651" i="4" s="1"/>
  <c r="O2626" i="4"/>
  <c r="P2626" i="4" s="1"/>
  <c r="O2625" i="4"/>
  <c r="P2625" i="4" s="1"/>
  <c r="O2624" i="4"/>
  <c r="P2624" i="4" s="1"/>
  <c r="O2623" i="4"/>
  <c r="P2623" i="4" s="1"/>
  <c r="O2622" i="4"/>
  <c r="P2622" i="4" s="1"/>
  <c r="O2621" i="4"/>
  <c r="P2621" i="4" s="1"/>
  <c r="O2481" i="4"/>
  <c r="O2152" i="4"/>
  <c r="O2163" i="4"/>
  <c r="O2151" i="4"/>
  <c r="O2096" i="4"/>
  <c r="O2150" i="4"/>
  <c r="O2149" i="4"/>
  <c r="O2100" i="4"/>
  <c r="O2099" i="4"/>
  <c r="O2098" i="4"/>
  <c r="O2097" i="4"/>
  <c r="O2338" i="4"/>
  <c r="O2337" i="4"/>
  <c r="O1918" i="4"/>
  <c r="O1917" i="4"/>
  <c r="O1916" i="4"/>
  <c r="O1915" i="4"/>
  <c r="O1655" i="4"/>
  <c r="O1648" i="4"/>
  <c r="O1647" i="4"/>
  <c r="O1646" i="4"/>
  <c r="O1645" i="4"/>
  <c r="O1644" i="4"/>
  <c r="O1643" i="4"/>
  <c r="O1629" i="4"/>
  <c r="O1628" i="4"/>
  <c r="O1595" i="4"/>
  <c r="O1594" i="4"/>
  <c r="O1593" i="4"/>
  <c r="O1592" i="4"/>
  <c r="O1591" i="4"/>
  <c r="O1578" i="4"/>
  <c r="O1563" i="4"/>
  <c r="O1562" i="4"/>
  <c r="O1561" i="4"/>
  <c r="O1955" i="4"/>
  <c r="O1952" i="4"/>
  <c r="O1890" i="4"/>
  <c r="O1886" i="4"/>
  <c r="O1958" i="4"/>
  <c r="O1957" i="4"/>
  <c r="O1956" i="4"/>
  <c r="O1954" i="4"/>
  <c r="O1953" i="4"/>
  <c r="O1892" i="4"/>
  <c r="O1889" i="4"/>
  <c r="O1888" i="4"/>
  <c r="O1887" i="4"/>
  <c r="O1885" i="4"/>
  <c r="O2466" i="4"/>
  <c r="O2465" i="4"/>
  <c r="O2464" i="4"/>
  <c r="O2463" i="4"/>
  <c r="O2462" i="4"/>
  <c r="O2461" i="4"/>
  <c r="O2460" i="4"/>
  <c r="O1948" i="4"/>
  <c r="O1947" i="4"/>
  <c r="O1946" i="4"/>
  <c r="O1945" i="4"/>
  <c r="O1944" i="4"/>
  <c r="O1943" i="4"/>
  <c r="O2580" i="4"/>
  <c r="O2579" i="4"/>
  <c r="O2578" i="4"/>
  <c r="O2569" i="4"/>
  <c r="O2559" i="4"/>
  <c r="O2558" i="4"/>
  <c r="O2557" i="4"/>
  <c r="O2556" i="4"/>
  <c r="O2555" i="4"/>
  <c r="O2554" i="4"/>
  <c r="O2553" i="4"/>
  <c r="O2552" i="4"/>
  <c r="O2551" i="4"/>
  <c r="O2513" i="4" l="1"/>
  <c r="O2512" i="4"/>
  <c r="O2511" i="4"/>
  <c r="O2524" i="4"/>
  <c r="O2523" i="4"/>
  <c r="O2522" i="4"/>
  <c r="O2521" i="4"/>
  <c r="O2520" i="4"/>
  <c r="O2519" i="4"/>
  <c r="O2518" i="4"/>
  <c r="O2517" i="4"/>
  <c r="O2506" i="4"/>
  <c r="O2505" i="4"/>
  <c r="O1823" i="4"/>
  <c r="O1824" i="4"/>
  <c r="O1822" i="4"/>
  <c r="O1821" i="4"/>
  <c r="O1820" i="4"/>
  <c r="O1560" i="4"/>
  <c r="O1559" i="4"/>
  <c r="O1558" i="4"/>
  <c r="O1526" i="4"/>
  <c r="O1525" i="4"/>
  <c r="O1524" i="4"/>
  <c r="O1523" i="4"/>
  <c r="O1522" i="4"/>
  <c r="O1501" i="4"/>
  <c r="O1500" i="4"/>
  <c r="O1499" i="4"/>
  <c r="O1498" i="4"/>
  <c r="O1497" i="4"/>
  <c r="O1496" i="4"/>
  <c r="O1477" i="4"/>
  <c r="O1473" i="4"/>
  <c r="O1476" i="4"/>
  <c r="O1475" i="4"/>
  <c r="O1474" i="4"/>
  <c r="O2577" i="4"/>
  <c r="O2576" i="4"/>
  <c r="O2575" i="4"/>
  <c r="O2574" i="4"/>
  <c r="O2573" i="4"/>
  <c r="O2572" i="4"/>
  <c r="O2571" i="4"/>
  <c r="O2570" i="4"/>
  <c r="O2531" i="4"/>
  <c r="O2530" i="4"/>
  <c r="O1873" i="4"/>
  <c r="O1872" i="4"/>
  <c r="O1871" i="4"/>
  <c r="O1884" i="4"/>
  <c r="O1883" i="4"/>
  <c r="O1882" i="4"/>
  <c r="O1881" i="4"/>
  <c r="P2505" i="4" l="1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460" i="4" l="1"/>
  <c r="O2459" i="4"/>
  <c r="P2459" i="4" s="1"/>
  <c r="O2428" i="4" l="1"/>
  <c r="P2428" i="4" s="1"/>
  <c r="O2427" i="4"/>
  <c r="P2427" i="4" s="1"/>
  <c r="O2429" i="4"/>
  <c r="P2429" i="4" s="1"/>
  <c r="O2418" i="4" l="1"/>
  <c r="O2426" i="4"/>
  <c r="O2425" i="4"/>
  <c r="O2424" i="4"/>
  <c r="O2423" i="4"/>
  <c r="O2422" i="4"/>
  <c r="O2421" i="4"/>
  <c r="O2420" i="4"/>
  <c r="O2419" i="4"/>
  <c r="O2480" i="4"/>
  <c r="O2479" i="4"/>
  <c r="O2478" i="4"/>
  <c r="O2477" i="4"/>
  <c r="O1844" i="4"/>
  <c r="O1843" i="4"/>
  <c r="O1842" i="4"/>
  <c r="O2095" i="4"/>
  <c r="O2094" i="4"/>
  <c r="O1815" i="4"/>
  <c r="O1814" i="4"/>
  <c r="O1813" i="4"/>
  <c r="O2476" i="4"/>
  <c r="O2475" i="4"/>
  <c r="O2474" i="4"/>
  <c r="O2473" i="4"/>
  <c r="O1894" i="4"/>
  <c r="O1893" i="4"/>
  <c r="O1869" i="4"/>
  <c r="O1868" i="4"/>
  <c r="O1867" i="4"/>
  <c r="O1866" i="4"/>
  <c r="O1865" i="4"/>
  <c r="O1864" i="4"/>
  <c r="O1895" i="4"/>
  <c r="O2084" i="4"/>
  <c r="O1977" i="4"/>
  <c r="O1939" i="4"/>
  <c r="O1845" i="4"/>
  <c r="O2458" i="4"/>
  <c r="O2457" i="4"/>
  <c r="O2456" i="4"/>
  <c r="O2440" i="4"/>
  <c r="O2439" i="4"/>
  <c r="O2438" i="4"/>
  <c r="O1692" i="4"/>
  <c r="O1691" i="4"/>
  <c r="O1690" i="4"/>
  <c r="O1631" i="4"/>
  <c r="O1630" i="4"/>
  <c r="O2201" i="4"/>
  <c r="O2203" i="4"/>
  <c r="O2202" i="4"/>
  <c r="O2200" i="4"/>
  <c r="O2199" i="4"/>
  <c r="O2008" i="4"/>
  <c r="O1588" i="4" l="1"/>
  <c r="O2120" i="4"/>
  <c r="O1854" i="4"/>
  <c r="O1590" i="4"/>
  <c r="O1589" i="4"/>
  <c r="O1441" i="4"/>
  <c r="O1440" i="4"/>
  <c r="O1439" i="4"/>
  <c r="O1423" i="4"/>
  <c r="O1472" i="4"/>
  <c r="O1468" i="4"/>
  <c r="O1467" i="4"/>
  <c r="O1444" i="4"/>
  <c r="O1443" i="4"/>
  <c r="O1442" i="4"/>
  <c r="O1438" i="4"/>
  <c r="O1430" i="4"/>
  <c r="O1429" i="4"/>
  <c r="O1428" i="4"/>
  <c r="O1426" i="4"/>
  <c r="O1425" i="4"/>
  <c r="O1424" i="4"/>
  <c r="O1768" i="4"/>
  <c r="O1767" i="4"/>
  <c r="O1736" i="4"/>
  <c r="O1735" i="4"/>
  <c r="O1734" i="4"/>
  <c r="O1733" i="4"/>
  <c r="O1732" i="4"/>
  <c r="O2437" i="4"/>
  <c r="O2436" i="4"/>
  <c r="O2435" i="4"/>
  <c r="O2434" i="4"/>
  <c r="O2433" i="4"/>
  <c r="O2432" i="4"/>
  <c r="O2431" i="4"/>
  <c r="O2430" i="4"/>
  <c r="O2379" i="4"/>
  <c r="O2378" i="4"/>
  <c r="O2377" i="4"/>
  <c r="O2376" i="4"/>
  <c r="O2375" i="4"/>
  <c r="O2374" i="4"/>
  <c r="O2373" i="4"/>
  <c r="P2363" i="4" l="1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O2268" i="4" l="1"/>
  <c r="O2267" i="4"/>
  <c r="O2266" i="4"/>
  <c r="O2265" i="4"/>
  <c r="O2264" i="4"/>
  <c r="O2263" i="4"/>
  <c r="O2262" i="4"/>
  <c r="O2261" i="4"/>
  <c r="O2260" i="4"/>
  <c r="O1599" i="4"/>
  <c r="O1598" i="4"/>
  <c r="O1597" i="4"/>
  <c r="O1596" i="4"/>
  <c r="O1585" i="4"/>
  <c r="O1584" i="4"/>
  <c r="O1583" i="4"/>
  <c r="O1422" i="4"/>
  <c r="O1421" i="4"/>
  <c r="O1420" i="4"/>
  <c r="O1413" i="4"/>
  <c r="O1412" i="4"/>
  <c r="O1411" i="4"/>
  <c r="O1410" i="4"/>
  <c r="O1409" i="4"/>
  <c r="O1408" i="4"/>
  <c r="O1407" i="4"/>
  <c r="O1406" i="4"/>
  <c r="O1673" i="4"/>
  <c r="O1672" i="4"/>
  <c r="O1671" i="4"/>
  <c r="O1670" i="4"/>
  <c r="O1669" i="4"/>
  <c r="O2277" i="4"/>
  <c r="O2276" i="4"/>
  <c r="O2275" i="4"/>
  <c r="P2260" i="4" l="1"/>
  <c r="P2261" i="4"/>
  <c r="P2262" i="4"/>
  <c r="P2263" i="4"/>
  <c r="P2264" i="4"/>
  <c r="P2265" i="4"/>
  <c r="P2266" i="4"/>
  <c r="P2267" i="4"/>
  <c r="P2268" i="4"/>
  <c r="P2269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O2274" i="4"/>
  <c r="P2274" i="4" s="1"/>
  <c r="O2273" i="4"/>
  <c r="P2273" i="4" s="1"/>
  <c r="O2272" i="4"/>
  <c r="P2272" i="4" s="1"/>
  <c r="O2271" i="4"/>
  <c r="P2271" i="4" s="1"/>
  <c r="O2270" i="4"/>
  <c r="P2270" i="4" s="1"/>
  <c r="O2178" i="4"/>
  <c r="O2242" i="4" l="1"/>
  <c r="O2241" i="4"/>
  <c r="O2240" i="4"/>
  <c r="O2239" i="4"/>
  <c r="O2238" i="4"/>
  <c r="O2177" i="4"/>
  <c r="O2007" i="4"/>
  <c r="O1951" i="4"/>
  <c r="O1950" i="4"/>
  <c r="O1949" i="4"/>
  <c r="O1557" i="4"/>
  <c r="O1556" i="4"/>
  <c r="O1555" i="4"/>
  <c r="O1554" i="4"/>
  <c r="O1553" i="4"/>
  <c r="O1504" i="4"/>
  <c r="O1503" i="4"/>
  <c r="O1502" i="4"/>
  <c r="O2212" i="4"/>
  <c r="O2211" i="4"/>
  <c r="O2210" i="4"/>
  <c r="O2209" i="4"/>
  <c r="O2208" i="4"/>
  <c r="O2176" i="4"/>
  <c r="O2175" i="4"/>
  <c r="O2174" i="4"/>
  <c r="O2173" i="4"/>
  <c r="O2172" i="4"/>
  <c r="O2171" i="4"/>
  <c r="O2170" i="4"/>
  <c r="O2102" i="4"/>
  <c r="O2101" i="4"/>
  <c r="O2001" i="4"/>
  <c r="O2000" i="4"/>
  <c r="O1999" i="4"/>
  <c r="O2139" i="4"/>
  <c r="O2138" i="4"/>
  <c r="O2137" i="4"/>
  <c r="O2136" i="4"/>
  <c r="O2135" i="4"/>
  <c r="O2134" i="4"/>
  <c r="O2133" i="4"/>
  <c r="O1398" i="4"/>
  <c r="O1397" i="4"/>
  <c r="O1396" i="4"/>
  <c r="O1395" i="4"/>
  <c r="O1394" i="4"/>
  <c r="O1539" i="4"/>
  <c r="O1538" i="4"/>
  <c r="O1427" i="4"/>
  <c r="O1633" i="4"/>
  <c r="O1632" i="4"/>
  <c r="O1384" i="4"/>
  <c r="O1383" i="4"/>
  <c r="O1382" i="4"/>
  <c r="O1381" i="4"/>
  <c r="O1380" i="4"/>
  <c r="O1379" i="4"/>
  <c r="O1369" i="4"/>
  <c r="O1368" i="4"/>
  <c r="O1367" i="4"/>
  <c r="O1366" i="4"/>
  <c r="O1365" i="4"/>
  <c r="O1359" i="4"/>
  <c r="O1358" i="4"/>
  <c r="O1357" i="4"/>
  <c r="O1356" i="4"/>
  <c r="O1355" i="4"/>
  <c r="O1354" i="4"/>
  <c r="O1353" i="4"/>
  <c r="O1337" i="4"/>
  <c r="O1336" i="4"/>
  <c r="O1335" i="4"/>
  <c r="O1334" i="4"/>
  <c r="O1720" i="4"/>
  <c r="O1719" i="4"/>
  <c r="O1718" i="4"/>
  <c r="O1654" i="4"/>
  <c r="O1482" i="4"/>
  <c r="O1481" i="4"/>
  <c r="O1480" i="4"/>
  <c r="P2259" i="4" l="1"/>
  <c r="P2229" i="4"/>
  <c r="P2230" i="4"/>
  <c r="P2231" i="4"/>
  <c r="P2232" i="4"/>
  <c r="P2233" i="4"/>
  <c r="P2234" i="4"/>
  <c r="P2235" i="4"/>
  <c r="P2236" i="4"/>
  <c r="P2237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04" i="4"/>
  <c r="P2183" i="4"/>
  <c r="P2178" i="4"/>
  <c r="P2170" i="4"/>
  <c r="P2171" i="4"/>
  <c r="P2172" i="4"/>
  <c r="P2173" i="4"/>
  <c r="P2174" i="4"/>
  <c r="P2175" i="4"/>
  <c r="P2176" i="4"/>
  <c r="P2177" i="4"/>
  <c r="P2179" i="4"/>
  <c r="P2182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5" i="4"/>
  <c r="P2206" i="4"/>
  <c r="P2207" i="4"/>
  <c r="P2208" i="4"/>
  <c r="P2209" i="4"/>
  <c r="P2210" i="4"/>
  <c r="P2211" i="4"/>
  <c r="P2212" i="4"/>
  <c r="P2213" i="4"/>
  <c r="P2214" i="4"/>
  <c r="O1433" i="4"/>
  <c r="O1571" i="4"/>
  <c r="O1527" i="4"/>
  <c r="O2014" i="4"/>
  <c r="O2013" i="4"/>
  <c r="O2012" i="4"/>
  <c r="O2011" i="4"/>
  <c r="O2010" i="4"/>
  <c r="O2009" i="4"/>
  <c r="O2126" i="4"/>
  <c r="P2126" i="4" s="1"/>
  <c r="O2057" i="4"/>
  <c r="P2057" i="4" s="1"/>
  <c r="O2056" i="4"/>
  <c r="P2056" i="4" s="1"/>
  <c r="O2055" i="4"/>
  <c r="P2055" i="4" s="1"/>
  <c r="O2054" i="4"/>
  <c r="P2054" i="4" s="1"/>
  <c r="O2053" i="4"/>
  <c r="P2053" i="4" s="1"/>
  <c r="O2052" i="4"/>
  <c r="P2052" i="4" s="1"/>
  <c r="O2051" i="4"/>
  <c r="P2051" i="4" s="1"/>
  <c r="O2050" i="4"/>
  <c r="P2050" i="4" s="1"/>
  <c r="O2026" i="4"/>
  <c r="O2025" i="4"/>
  <c r="O2024" i="4"/>
  <c r="O2023" i="4"/>
  <c r="O2090" i="4"/>
  <c r="P2090" i="4" s="1"/>
  <c r="O2093" i="4"/>
  <c r="P2093" i="4" s="1"/>
  <c r="O2092" i="4"/>
  <c r="P2092" i="4" s="1"/>
  <c r="O2091" i="4"/>
  <c r="P2091" i="4" s="1"/>
  <c r="O1924" i="4"/>
  <c r="O1923" i="4"/>
  <c r="O1747" i="4"/>
  <c r="O1746" i="4"/>
  <c r="O1745" i="4"/>
  <c r="O1744" i="4"/>
  <c r="O1743" i="4"/>
  <c r="O2146" i="4"/>
  <c r="P2146" i="4" s="1"/>
  <c r="O2145" i="4"/>
  <c r="P2145" i="4" s="1"/>
  <c r="O2144" i="4"/>
  <c r="P2144" i="4" s="1"/>
  <c r="O2143" i="4"/>
  <c r="P2143" i="4" s="1"/>
  <c r="O2142" i="4"/>
  <c r="P2142" i="4" s="1"/>
  <c r="O2141" i="4"/>
  <c r="P2141" i="4" s="1"/>
  <c r="O2140" i="4"/>
  <c r="P2140" i="4" s="1"/>
  <c r="O2108" i="4"/>
  <c r="P2108" i="4" s="1"/>
  <c r="O2107" i="4"/>
  <c r="P2107" i="4" s="1"/>
  <c r="O2106" i="4"/>
  <c r="P2106" i="4" s="1"/>
  <c r="O2105" i="4"/>
  <c r="P2105" i="4" s="1"/>
  <c r="O2104" i="4"/>
  <c r="P2104" i="4" s="1"/>
  <c r="O2103" i="4"/>
  <c r="P2103" i="4" s="1"/>
  <c r="O2109" i="4"/>
  <c r="P2109" i="4" s="1"/>
  <c r="O2074" i="4"/>
  <c r="P2074" i="4" s="1"/>
  <c r="O2073" i="4"/>
  <c r="P2073" i="4" s="1"/>
  <c r="O2072" i="4"/>
  <c r="P2072" i="4" s="1"/>
  <c r="O2071" i="4"/>
  <c r="P2071" i="4" s="1"/>
  <c r="O2070" i="4"/>
  <c r="P2070" i="4" s="1"/>
  <c r="O2069" i="4"/>
  <c r="P2069" i="4" s="1"/>
  <c r="O2068" i="4"/>
  <c r="P2068" i="4" s="1"/>
  <c r="O1625" i="4"/>
  <c r="O1627" i="4"/>
  <c r="O1626" i="4"/>
  <c r="O1624" i="4"/>
  <c r="O1623" i="4"/>
  <c r="O2067" i="4"/>
  <c r="P2067" i="4" s="1"/>
  <c r="O2049" i="4"/>
  <c r="P2049" i="4" s="1"/>
  <c r="O2048" i="4"/>
  <c r="P2048" i="4" s="1"/>
  <c r="O2037" i="4"/>
  <c r="O2036" i="4"/>
  <c r="O2035" i="4"/>
  <c r="O2034" i="4"/>
  <c r="O2033" i="4"/>
  <c r="O2032" i="4"/>
  <c r="O2031" i="4"/>
  <c r="O2030" i="4"/>
  <c r="O2029" i="4"/>
  <c r="O2022" i="4"/>
  <c r="O2021" i="4"/>
  <c r="O2020" i="4"/>
  <c r="O1998" i="4"/>
  <c r="O1997" i="4"/>
  <c r="O1996" i="4"/>
  <c r="O1995" i="4"/>
  <c r="O1994" i="4"/>
  <c r="P2094" i="4"/>
  <c r="O1323" i="4"/>
  <c r="O1322" i="4"/>
  <c r="O1321" i="4"/>
  <c r="O1320" i="4"/>
  <c r="O1315" i="4"/>
  <c r="O1314" i="4"/>
  <c r="O1313" i="4"/>
  <c r="O1312" i="4"/>
  <c r="O1311" i="4"/>
  <c r="O1310" i="4"/>
  <c r="O1295" i="4"/>
  <c r="O1285" i="4"/>
  <c r="O1284" i="4"/>
  <c r="O1283" i="4"/>
  <c r="O1282" i="4"/>
  <c r="O1281" i="4"/>
  <c r="P1281" i="4" s="1"/>
  <c r="O1275" i="4"/>
  <c r="O1274" i="4"/>
  <c r="O1273" i="4"/>
  <c r="O1272" i="4"/>
  <c r="P2168" i="4"/>
  <c r="P2169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47" i="4"/>
  <c r="P2148" i="4"/>
  <c r="P2149" i="4"/>
  <c r="P2150" i="4"/>
  <c r="P2151" i="4"/>
  <c r="P2152" i="4"/>
  <c r="P2153" i="4"/>
  <c r="P2154" i="4"/>
  <c r="P2119" i="4"/>
  <c r="P2120" i="4"/>
  <c r="P2121" i="4"/>
  <c r="P2122" i="4"/>
  <c r="P2123" i="4"/>
  <c r="P2124" i="4"/>
  <c r="P2125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078" i="4"/>
  <c r="P2044" i="4"/>
  <c r="P2045" i="4"/>
  <c r="P2046" i="4"/>
  <c r="P2047" i="4"/>
  <c r="P2058" i="4"/>
  <c r="P2059" i="4"/>
  <c r="P2060" i="4"/>
  <c r="P2061" i="4"/>
  <c r="P2062" i="4"/>
  <c r="P2063" i="4"/>
  <c r="P2064" i="4"/>
  <c r="P2065" i="4"/>
  <c r="P2066" i="4"/>
  <c r="P2075" i="4"/>
  <c r="P2076" i="4"/>
  <c r="P2077" i="4"/>
  <c r="P2079" i="4"/>
  <c r="P2080" i="4"/>
  <c r="P2081" i="4"/>
  <c r="P2082" i="4"/>
  <c r="P2083" i="4"/>
  <c r="P2084" i="4"/>
  <c r="P2085" i="4"/>
  <c r="P2086" i="4"/>
  <c r="P2087" i="4"/>
  <c r="P2088" i="4"/>
  <c r="P2089" i="4"/>
  <c r="P2095" i="4"/>
  <c r="P2096" i="4"/>
  <c r="P2097" i="4"/>
  <c r="P2098" i="4"/>
  <c r="P2099" i="4"/>
  <c r="P2100" i="4"/>
  <c r="P2101" i="4"/>
  <c r="P2102" i="4"/>
  <c r="P2110" i="4"/>
  <c r="P2111" i="4"/>
  <c r="P2112" i="4"/>
  <c r="P2113" i="4"/>
  <c r="P2114" i="4"/>
  <c r="P2115" i="4"/>
  <c r="P2116" i="4"/>
  <c r="P2117" i="4"/>
  <c r="P2118" i="4"/>
  <c r="O1990" i="4"/>
  <c r="O1974" i="4"/>
  <c r="O1936" i="4"/>
  <c r="O1759" i="4"/>
  <c r="O1602" i="4"/>
  <c r="O1601" i="4"/>
  <c r="O1600" i="4"/>
  <c r="O1564" i="4"/>
  <c r="O1271" i="4" l="1"/>
  <c r="O1270" i="4"/>
  <c r="O1265" i="4"/>
  <c r="O1269" i="4"/>
  <c r="O1268" i="4"/>
  <c r="O1267" i="4"/>
  <c r="O1266" i="4"/>
  <c r="O1264" i="4"/>
  <c r="O1676" i="4"/>
  <c r="O1675" i="4"/>
  <c r="O1674" i="4"/>
  <c r="O1485" i="4"/>
  <c r="O1484" i="4"/>
  <c r="O1483" i="4"/>
  <c r="O1976" i="4"/>
  <c r="O1975" i="4"/>
  <c r="O1902" i="4"/>
  <c r="O1901" i="4"/>
  <c r="O1900" i="4"/>
  <c r="O1899" i="4"/>
  <c r="O1898" i="4"/>
  <c r="O1897" i="4"/>
  <c r="O1896" i="4"/>
  <c r="O1983" i="4"/>
  <c r="O1982" i="4"/>
  <c r="O1981" i="4"/>
  <c r="O1980" i="4"/>
  <c r="O1993" i="4"/>
  <c r="O1992" i="4"/>
  <c r="O1991" i="4"/>
  <c r="O1979" i="4"/>
  <c r="O1978" i="4"/>
  <c r="O1973" i="4"/>
  <c r="O1938" i="4"/>
  <c r="O1937" i="4"/>
  <c r="O1907" i="4"/>
  <c r="O1880" i="4"/>
  <c r="O1870" i="4"/>
  <c r="O2005" i="4" l="1"/>
  <c r="P2005" i="4" s="1"/>
  <c r="O2004" i="4"/>
  <c r="P2004" i="4" s="1"/>
  <c r="O2003" i="4"/>
  <c r="P2003" i="4" s="1"/>
  <c r="O2002" i="4"/>
  <c r="P2002" i="4" s="1"/>
  <c r="O1967" i="4"/>
  <c r="P1967" i="4" s="1"/>
  <c r="O1966" i="4"/>
  <c r="P1966" i="4" s="1"/>
  <c r="O1965" i="4"/>
  <c r="P1965" i="4" s="1"/>
  <c r="O1964" i="4"/>
  <c r="P1964" i="4" s="1"/>
  <c r="O1942" i="4"/>
  <c r="P1942" i="4" s="1"/>
  <c r="O1941" i="4"/>
  <c r="P1941" i="4" s="1"/>
  <c r="O1940" i="4"/>
  <c r="P1940" i="4" s="1"/>
  <c r="O1565" i="4"/>
  <c r="O1570" i="4"/>
  <c r="O1569" i="4"/>
  <c r="O1568" i="4"/>
  <c r="O1567" i="4"/>
  <c r="O1566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1977" i="4"/>
  <c r="P1945" i="4"/>
  <c r="P1936" i="4"/>
  <c r="P1937" i="4"/>
  <c r="P1938" i="4"/>
  <c r="P1939" i="4"/>
  <c r="P1943" i="4"/>
  <c r="P1944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8" i="4"/>
  <c r="P1969" i="4"/>
  <c r="P1970" i="4"/>
  <c r="P1971" i="4"/>
  <c r="P1972" i="4"/>
  <c r="P1973" i="4"/>
  <c r="P1974" i="4"/>
  <c r="P1975" i="4"/>
  <c r="P1976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1907" i="4" l="1"/>
  <c r="O1653" i="4"/>
  <c r="O1935" i="4" l="1"/>
  <c r="O1934" i="4"/>
  <c r="O1933" i="4"/>
  <c r="O1932" i="4"/>
  <c r="O1931" i="4"/>
  <c r="O1930" i="4"/>
  <c r="O1929" i="4"/>
  <c r="O1928" i="4"/>
  <c r="O1927" i="4"/>
  <c r="O1926" i="4"/>
  <c r="O1925" i="4"/>
  <c r="O1552" i="4"/>
  <c r="O1551" i="4"/>
  <c r="O1550" i="4"/>
  <c r="O1549" i="4"/>
  <c r="O1548" i="4"/>
  <c r="O1547" i="4"/>
  <c r="O260" i="4"/>
  <c r="O1909" i="4" l="1"/>
  <c r="O1908" i="4"/>
  <c r="O1419" i="4"/>
  <c r="O1874" i="4"/>
  <c r="O1807" i="4"/>
  <c r="O1806" i="4"/>
  <c r="O1805" i="4"/>
  <c r="O1804" i="4"/>
  <c r="O1803" i="4"/>
  <c r="O1802" i="4"/>
  <c r="O1801" i="4"/>
  <c r="O1800" i="4"/>
  <c r="O1454" i="4"/>
  <c r="O1453" i="4"/>
  <c r="O1452" i="4"/>
  <c r="O1388" i="4"/>
  <c r="O1387" i="4"/>
  <c r="O1386" i="4"/>
  <c r="O1685" i="4"/>
  <c r="O1684" i="4"/>
  <c r="O1863" i="4"/>
  <c r="O1862" i="4"/>
  <c r="O1861" i="4"/>
  <c r="O1860" i="4"/>
  <c r="O1859" i="4"/>
  <c r="P1859" i="4" s="1"/>
  <c r="O1858" i="4"/>
  <c r="P1858" i="4" s="1"/>
  <c r="O1479" i="4"/>
  <c r="O1478" i="4"/>
  <c r="O1460" i="4"/>
  <c r="O1459" i="4"/>
  <c r="O1458" i="4"/>
  <c r="O1457" i="4"/>
  <c r="O1456" i="4"/>
  <c r="O1263" i="4"/>
  <c r="O1239" i="4"/>
  <c r="O1240" i="4"/>
  <c r="O1241" i="4"/>
  <c r="O1242" i="4"/>
  <c r="O1238" i="4"/>
  <c r="O1237" i="4"/>
  <c r="O1236" i="4"/>
  <c r="O1235" i="4"/>
  <c r="O1906" i="4"/>
  <c r="O1905" i="4"/>
  <c r="O1904" i="4"/>
  <c r="O1903" i="4"/>
  <c r="O1879" i="4"/>
  <c r="O1878" i="4"/>
  <c r="O1877" i="4"/>
  <c r="O1876" i="4"/>
  <c r="O1875" i="4"/>
  <c r="O1756" i="4"/>
  <c r="O1853" i="4"/>
  <c r="P1853" i="4" s="1"/>
  <c r="O1852" i="4"/>
  <c r="P1852" i="4" s="1"/>
  <c r="O1851" i="4"/>
  <c r="P1851" i="4" s="1"/>
  <c r="O1850" i="4"/>
  <c r="P1850" i="4" s="1"/>
  <c r="O1849" i="4"/>
  <c r="P1849" i="4" s="1"/>
  <c r="O1848" i="4"/>
  <c r="P1848" i="4" s="1"/>
  <c r="O1841" i="4"/>
  <c r="O1840" i="4"/>
  <c r="O1839" i="4"/>
  <c r="O1838" i="4"/>
  <c r="O1837" i="4"/>
  <c r="O1836" i="4"/>
  <c r="O1835" i="4"/>
  <c r="O1834" i="4"/>
  <c r="P1846" i="4"/>
  <c r="P1847" i="4"/>
  <c r="P1854" i="4"/>
  <c r="P1855" i="4"/>
  <c r="P1856" i="4"/>
  <c r="P1857" i="4"/>
  <c r="P1845" i="4" l="1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K2" i="4" l="1"/>
  <c r="O1471" i="4" l="1"/>
  <c r="O1470" i="4"/>
  <c r="O1469" i="4"/>
  <c r="O1229" i="4"/>
  <c r="O1228" i="4"/>
  <c r="O1227" i="4"/>
  <c r="O1226" i="4"/>
  <c r="O1225" i="4"/>
  <c r="O1812" i="4"/>
  <c r="O1683" i="4"/>
  <c r="O1682" i="4"/>
  <c r="O1681" i="4"/>
  <c r="O1680" i="4"/>
  <c r="O1679" i="4"/>
  <c r="O1678" i="4"/>
  <c r="O1677" i="4"/>
  <c r="O1418" i="4"/>
  <c r="O1417" i="4"/>
  <c r="O1416" i="4"/>
  <c r="O1833" i="4"/>
  <c r="O1832" i="4"/>
  <c r="O1831" i="4"/>
  <c r="O1830" i="4"/>
  <c r="O1829" i="4"/>
  <c r="O1828" i="4"/>
  <c r="O1827" i="4"/>
  <c r="O1826" i="4"/>
  <c r="O1825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415" i="4"/>
  <c r="O1414" i="4"/>
  <c r="O1385" i="4"/>
  <c r="O1372" i="4"/>
  <c r="O1573" i="4"/>
  <c r="O1572" i="4"/>
  <c r="O1210" i="4"/>
  <c r="O1209" i="4"/>
  <c r="O1208" i="4"/>
  <c r="O1207" i="4"/>
  <c r="O1728" i="4"/>
  <c r="O1727" i="4"/>
  <c r="O1726" i="4"/>
  <c r="O1819" i="4" l="1"/>
  <c r="O1818" i="4"/>
  <c r="O1772" i="4"/>
  <c r="O1771" i="4"/>
  <c r="O1770" i="4"/>
  <c r="O1769" i="4"/>
  <c r="O1751" i="4"/>
  <c r="O1750" i="4"/>
  <c r="O1749" i="4"/>
  <c r="O1748" i="4"/>
  <c r="O1776" i="4"/>
  <c r="O1775" i="4"/>
  <c r="O1774" i="4"/>
  <c r="O1773" i="4"/>
  <c r="O1729" i="4"/>
  <c r="O1817" i="4" l="1"/>
  <c r="O1816" i="4"/>
  <c r="O1811" i="4"/>
  <c r="O1810" i="4"/>
  <c r="O1809" i="4"/>
  <c r="O1808" i="4"/>
  <c r="O1781" i="4"/>
  <c r="O1780" i="4"/>
  <c r="O1779" i="4"/>
  <c r="O1778" i="4"/>
  <c r="O1777" i="4"/>
  <c r="O1766" i="4"/>
  <c r="O1765" i="4"/>
  <c r="O1764" i="4"/>
  <c r="O1763" i="4"/>
  <c r="O1762" i="4"/>
  <c r="O1761" i="4"/>
  <c r="O1760" i="4"/>
  <c r="O1758" i="4"/>
  <c r="O1757" i="4"/>
  <c r="O1731" i="4"/>
  <c r="O1730" i="4"/>
  <c r="P1653" i="4"/>
  <c r="O1455" i="4" l="1"/>
  <c r="O1432" i="4"/>
  <c r="P1432" i="4" s="1"/>
  <c r="O1431" i="4"/>
  <c r="O1755" i="4"/>
  <c r="P1755" i="4" s="1"/>
  <c r="O1754" i="4"/>
  <c r="P1754" i="4" s="1"/>
  <c r="O1753" i="4"/>
  <c r="P1753" i="4" s="1"/>
  <c r="O1752" i="4"/>
  <c r="P1752" i="4" s="1"/>
  <c r="O1742" i="4"/>
  <c r="P1742" i="4" s="1"/>
  <c r="O1741" i="4"/>
  <c r="P1741" i="4" s="1"/>
  <c r="O1740" i="4"/>
  <c r="P1740" i="4" s="1"/>
  <c r="O1739" i="4"/>
  <c r="P1739" i="4" s="1"/>
  <c r="O1738" i="4"/>
  <c r="P1738" i="4" s="1"/>
  <c r="O1737" i="4"/>
  <c r="P1737" i="4" s="1"/>
  <c r="P1837" i="4"/>
  <c r="P1838" i="4"/>
  <c r="P1839" i="4"/>
  <c r="P1840" i="4"/>
  <c r="P1841" i="4"/>
  <c r="P1842" i="4"/>
  <c r="P1843" i="4"/>
  <c r="P1844" i="4"/>
  <c r="P1826" i="4"/>
  <c r="P1827" i="4"/>
  <c r="P1828" i="4"/>
  <c r="P1829" i="4"/>
  <c r="P1830" i="4"/>
  <c r="P1831" i="4"/>
  <c r="P1832" i="4"/>
  <c r="P1833" i="4"/>
  <c r="P1834" i="4"/>
  <c r="P1835" i="4"/>
  <c r="P1836" i="4"/>
  <c r="P1823" i="4"/>
  <c r="P1821" i="4"/>
  <c r="P1819" i="4"/>
  <c r="P1809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10" i="4"/>
  <c r="P1811" i="4"/>
  <c r="P1812" i="4"/>
  <c r="P1813" i="4"/>
  <c r="P1814" i="4"/>
  <c r="P1815" i="4"/>
  <c r="P1816" i="4"/>
  <c r="P1817" i="4"/>
  <c r="P1818" i="4"/>
  <c r="P1820" i="4"/>
  <c r="P1822" i="4"/>
  <c r="P1824" i="4"/>
  <c r="P182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49" i="4"/>
  <c r="P1748" i="4"/>
  <c r="P1732" i="4"/>
  <c r="P1733" i="4"/>
  <c r="P1734" i="4"/>
  <c r="P1735" i="4"/>
  <c r="P1736" i="4"/>
  <c r="P1743" i="4"/>
  <c r="P1744" i="4"/>
  <c r="P1745" i="4"/>
  <c r="P1746" i="4"/>
  <c r="P1747" i="4"/>
  <c r="P1750" i="4"/>
  <c r="P1751" i="4"/>
  <c r="P1730" i="4"/>
  <c r="P1731" i="4"/>
  <c r="P1729" i="4"/>
  <c r="O1700" i="4" l="1"/>
  <c r="O1699" i="4"/>
  <c r="O1698" i="4"/>
  <c r="O1697" i="4"/>
  <c r="O1696" i="4"/>
  <c r="O1695" i="4"/>
  <c r="O1694" i="4"/>
  <c r="O1693" i="4"/>
  <c r="O1613" i="4"/>
  <c r="O1723" i="4"/>
  <c r="O1722" i="4"/>
  <c r="O1721" i="4"/>
  <c r="O1712" i="4"/>
  <c r="O1711" i="4"/>
  <c r="O1710" i="4"/>
  <c r="O1709" i="4"/>
  <c r="O1661" i="4"/>
  <c r="O1662" i="4"/>
  <c r="O1663" i="4"/>
  <c r="O1664" i="4"/>
  <c r="O1665" i="4"/>
  <c r="O1666" i="4"/>
  <c r="O1667" i="4"/>
  <c r="O1668" i="4"/>
  <c r="O1364" i="4"/>
  <c r="O1363" i="4"/>
  <c r="O1362" i="4"/>
  <c r="O1713" i="4"/>
  <c r="O1689" i="4"/>
  <c r="O1688" i="4"/>
  <c r="O1687" i="4"/>
  <c r="O1686" i="4"/>
  <c r="O1725" i="4"/>
  <c r="O1724" i="4"/>
  <c r="O1703" i="4"/>
  <c r="O1702" i="4"/>
  <c r="O1701" i="4"/>
  <c r="O1652" i="4"/>
  <c r="O1651" i="4"/>
  <c r="O1650" i="4"/>
  <c r="O1642" i="4"/>
  <c r="O1641" i="4"/>
  <c r="O1640" i="4"/>
  <c r="O1639" i="4"/>
  <c r="O1638" i="4"/>
  <c r="O1637" i="4"/>
  <c r="O1393" i="4"/>
  <c r="O1392" i="4"/>
  <c r="O1391" i="4"/>
  <c r="O1390" i="4"/>
  <c r="O1389" i="4"/>
  <c r="O1333" i="4"/>
  <c r="O1332" i="4"/>
  <c r="O1331" i="4"/>
  <c r="O1330" i="4"/>
  <c r="O1329" i="4"/>
  <c r="O1328" i="4"/>
  <c r="O1309" i="4"/>
  <c r="O1308" i="4"/>
  <c r="O1307" i="4"/>
  <c r="O1306" i="4"/>
  <c r="O1305" i="4"/>
  <c r="O1304" i="4"/>
  <c r="O1303" i="4"/>
  <c r="O1399" i="4"/>
  <c r="P1399" i="4" s="1"/>
  <c r="O1343" i="4"/>
  <c r="P1343" i="4" s="1"/>
  <c r="O1342" i="4"/>
  <c r="P1342" i="4" s="1"/>
  <c r="O1341" i="4"/>
  <c r="P1341" i="4" s="1"/>
  <c r="O1340" i="4"/>
  <c r="O1339" i="4"/>
  <c r="O1338" i="4"/>
  <c r="O1717" i="4"/>
  <c r="O1716" i="4"/>
  <c r="O1715" i="4"/>
  <c r="O1714" i="4"/>
  <c r="O1224" i="4"/>
  <c r="O1223" i="4"/>
  <c r="O1622" i="4"/>
  <c r="O1621" i="4"/>
  <c r="O1636" i="4"/>
  <c r="O1635" i="4"/>
  <c r="O1634" i="4"/>
  <c r="O1587" i="4"/>
  <c r="O1586" i="4"/>
  <c r="O1519" i="4"/>
  <c r="O1518" i="4"/>
  <c r="O1517" i="4"/>
  <c r="O1516" i="4"/>
  <c r="O1515" i="4"/>
  <c r="O1514" i="4"/>
  <c r="P1708" i="4" l="1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639" i="4" l="1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634" i="4"/>
  <c r="P1635" i="4"/>
  <c r="P1636" i="4"/>
  <c r="P1637" i="4"/>
  <c r="P1638" i="4"/>
  <c r="O1326" i="4"/>
  <c r="O1325" i="4"/>
  <c r="O1324" i="4"/>
  <c r="O1290" i="4"/>
  <c r="O1289" i="4"/>
  <c r="O1288" i="4"/>
  <c r="O1287" i="4"/>
  <c r="O1286" i="4"/>
  <c r="O1255" i="4"/>
  <c r="O1254" i="4"/>
  <c r="O1253" i="4"/>
  <c r="O1577" i="4"/>
  <c r="O1576" i="4"/>
  <c r="O1575" i="4"/>
  <c r="O1574" i="4"/>
  <c r="O1222" i="4"/>
  <c r="O1202" i="4"/>
  <c r="O1214" i="4"/>
  <c r="O1213" i="4"/>
  <c r="O1212" i="4"/>
  <c r="O1211" i="4"/>
  <c r="O1206" i="4"/>
  <c r="O1205" i="4"/>
  <c r="O1204" i="4"/>
  <c r="O1203" i="4"/>
  <c r="O1178" i="4"/>
  <c r="O1201" i="4"/>
  <c r="O1200" i="4"/>
  <c r="O1199" i="4"/>
  <c r="O1182" i="4"/>
  <c r="O1181" i="4"/>
  <c r="O1180" i="4"/>
  <c r="O1179" i="4"/>
  <c r="O1177" i="4"/>
  <c r="O1160" i="4"/>
  <c r="O1159" i="4"/>
  <c r="O1158" i="4"/>
  <c r="O1157" i="4"/>
  <c r="O1155" i="4"/>
  <c r="O1156" i="4"/>
  <c r="O1346" i="4"/>
  <c r="O1345" i="4"/>
  <c r="O1344" i="4"/>
  <c r="O1620" i="4"/>
  <c r="O1619" i="4"/>
  <c r="O1618" i="4"/>
  <c r="O1617" i="4"/>
  <c r="O1616" i="4"/>
  <c r="O1615" i="4"/>
  <c r="O1614" i="4"/>
  <c r="O1604" i="4"/>
  <c r="O1605" i="4"/>
  <c r="O1606" i="4"/>
  <c r="O1607" i="4"/>
  <c r="O1608" i="4"/>
  <c r="O1609" i="4"/>
  <c r="O1610" i="4"/>
  <c r="O1611" i="4"/>
  <c r="O1612" i="4"/>
  <c r="O1603" i="4"/>
  <c r="O1371" i="4"/>
  <c r="O1370" i="4"/>
  <c r="O1582" i="4"/>
  <c r="O1581" i="4"/>
  <c r="O1580" i="4"/>
  <c r="O1579" i="4"/>
  <c r="O1252" i="4"/>
  <c r="O1251" i="4"/>
  <c r="O1250" i="4"/>
  <c r="O1249" i="4"/>
  <c r="P1249" i="4" s="1"/>
  <c r="O1248" i="4"/>
  <c r="O1513" i="4"/>
  <c r="O1512" i="4"/>
  <c r="O1511" i="4"/>
  <c r="O1537" i="4"/>
  <c r="O1536" i="4"/>
  <c r="O1535" i="4"/>
  <c r="O1232" i="4"/>
  <c r="O1231" i="4"/>
  <c r="O1230" i="4"/>
  <c r="O1170" i="4"/>
  <c r="O1169" i="4"/>
  <c r="O1168" i="4"/>
  <c r="O1167" i="4"/>
  <c r="O1166" i="4"/>
  <c r="O1165" i="4"/>
  <c r="O1164" i="4"/>
  <c r="O1163" i="4"/>
  <c r="O1162" i="4"/>
  <c r="O1161" i="4"/>
  <c r="O1534" i="4"/>
  <c r="O1533" i="4"/>
  <c r="O1532" i="4"/>
  <c r="O1531" i="4"/>
  <c r="O1530" i="4"/>
  <c r="O1529" i="4"/>
  <c r="O1528" i="4"/>
  <c r="P1632" i="4" l="1"/>
  <c r="P1621" i="4"/>
  <c r="P1622" i="4"/>
  <c r="P1623" i="4"/>
  <c r="P1624" i="4"/>
  <c r="P1625" i="4"/>
  <c r="P1626" i="4"/>
  <c r="P1627" i="4"/>
  <c r="P1628" i="4"/>
  <c r="P1629" i="4"/>
  <c r="P1630" i="4"/>
  <c r="P1631" i="4"/>
  <c r="P1633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578" i="4" l="1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O1510" i="4" l="1"/>
  <c r="P1510" i="4" s="1"/>
  <c r="O1360" i="4"/>
  <c r="O1327" i="4"/>
  <c r="O1262" i="4"/>
  <c r="O1261" i="4"/>
  <c r="O1260" i="4"/>
  <c r="O1259" i="4"/>
  <c r="O1258" i="4"/>
  <c r="O1257" i="4"/>
  <c r="O1256" i="4"/>
  <c r="O1140" i="4"/>
  <c r="O1139" i="4"/>
  <c r="O1138" i="4"/>
  <c r="O1106" i="4"/>
  <c r="O1105" i="4"/>
  <c r="O1521" i="4"/>
  <c r="P1521" i="4" s="1"/>
  <c r="O1520" i="4"/>
  <c r="P1520" i="4" s="1"/>
  <c r="O1509" i="4"/>
  <c r="P1509" i="4" s="1"/>
  <c r="O1508" i="4"/>
  <c r="P1508" i="4" s="1"/>
  <c r="O1507" i="4"/>
  <c r="P1507" i="4" s="1"/>
  <c r="O1506" i="4"/>
  <c r="P1506" i="4" s="1"/>
  <c r="O1505" i="4"/>
  <c r="P1505" i="4" s="1"/>
  <c r="O1493" i="4"/>
  <c r="P1493" i="4" s="1"/>
  <c r="O1492" i="4"/>
  <c r="P1492" i="4" s="1"/>
  <c r="O1491" i="4"/>
  <c r="P1491" i="4" s="1"/>
  <c r="O1490" i="4"/>
  <c r="P1490" i="4" s="1"/>
  <c r="O1489" i="4"/>
  <c r="P1489" i="4" s="1"/>
  <c r="O1488" i="4"/>
  <c r="P1488" i="4" s="1"/>
  <c r="O1487" i="4"/>
  <c r="P1487" i="4" s="1"/>
  <c r="O1486" i="4"/>
  <c r="P1486" i="4" s="1"/>
  <c r="O1495" i="4"/>
  <c r="P1495" i="4" s="1"/>
  <c r="O1494" i="4"/>
  <c r="P1494" i="4" s="1"/>
  <c r="O1448" i="4"/>
  <c r="P1448" i="4" s="1"/>
  <c r="O1447" i="4"/>
  <c r="P1447" i="4" s="1"/>
  <c r="O1446" i="4"/>
  <c r="P1446" i="4" s="1"/>
  <c r="O1445" i="4"/>
  <c r="P1445" i="4" s="1"/>
  <c r="O1127" i="4"/>
  <c r="P1127" i="4" s="1"/>
  <c r="O1126" i="4"/>
  <c r="O1125" i="4"/>
  <c r="O1124" i="4"/>
  <c r="O1123" i="4"/>
  <c r="O1122" i="4"/>
  <c r="O1121" i="4"/>
  <c r="O1220" i="4"/>
  <c r="O1219" i="4"/>
  <c r="O1218" i="4"/>
  <c r="O1217" i="4"/>
  <c r="O1154" i="4"/>
  <c r="O1153" i="4"/>
  <c r="O1152" i="4"/>
  <c r="O1466" i="4"/>
  <c r="P1466" i="4" s="1"/>
  <c r="O1465" i="4"/>
  <c r="P1465" i="4" s="1"/>
  <c r="O1464" i="4"/>
  <c r="P1464" i="4" s="1"/>
  <c r="O1463" i="4"/>
  <c r="P1463" i="4" s="1"/>
  <c r="O1462" i="4"/>
  <c r="P1462" i="4" s="1"/>
  <c r="O1461" i="4"/>
  <c r="P1461" i="4" s="1"/>
  <c r="O1451" i="4"/>
  <c r="P1451" i="4" s="1"/>
  <c r="O1450" i="4"/>
  <c r="P1450" i="4" s="1"/>
  <c r="O1449" i="4"/>
  <c r="P1449" i="4" s="1"/>
  <c r="O1437" i="4"/>
  <c r="P1437" i="4" s="1"/>
  <c r="O1436" i="4"/>
  <c r="P1436" i="4" s="1"/>
  <c r="O1435" i="4"/>
  <c r="P1435" i="4" s="1"/>
  <c r="O1434" i="4"/>
  <c r="P1434" i="4" s="1"/>
  <c r="O1247" i="4"/>
  <c r="P1247" i="4" s="1"/>
  <c r="P1511" i="4"/>
  <c r="P1512" i="4"/>
  <c r="P1513" i="4"/>
  <c r="P1514" i="4"/>
  <c r="P1515" i="4"/>
  <c r="P1516" i="4"/>
  <c r="P1517" i="4"/>
  <c r="P1518" i="4"/>
  <c r="P1519" i="4"/>
  <c r="P1522" i="4"/>
  <c r="P1523" i="4"/>
  <c r="P1524" i="4"/>
  <c r="P1525" i="4"/>
  <c r="P1526" i="4"/>
  <c r="P1496" i="4"/>
  <c r="P1497" i="4"/>
  <c r="P1498" i="4"/>
  <c r="P1499" i="4"/>
  <c r="P1500" i="4"/>
  <c r="P1501" i="4"/>
  <c r="P1502" i="4"/>
  <c r="P1503" i="4"/>
  <c r="P1504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33" i="4"/>
  <c r="P1438" i="4"/>
  <c r="P1439" i="4"/>
  <c r="P1440" i="4"/>
  <c r="P1441" i="4"/>
  <c r="P1442" i="4"/>
  <c r="P1443" i="4"/>
  <c r="P1444" i="4"/>
  <c r="P1452" i="4"/>
  <c r="P1453" i="4"/>
  <c r="P1454" i="4"/>
  <c r="P1455" i="4"/>
  <c r="P1456" i="4"/>
  <c r="P1457" i="4"/>
  <c r="P1458" i="4"/>
  <c r="P1459" i="4"/>
  <c r="P1460" i="4"/>
  <c r="P1467" i="4"/>
  <c r="P1468" i="4"/>
  <c r="P1469" i="4"/>
  <c r="P1470" i="4"/>
  <c r="O1316" i="4" l="1"/>
  <c r="O1221" i="4"/>
  <c r="O1193" i="4"/>
  <c r="O1192" i="4"/>
  <c r="O1191" i="4"/>
  <c r="O1190" i="4"/>
  <c r="O1189" i="4"/>
  <c r="O1188" i="4"/>
  <c r="O1137" i="4"/>
  <c r="O1136" i="4"/>
  <c r="O1135" i="4"/>
  <c r="O1134" i="4"/>
  <c r="O1050" i="4"/>
  <c r="O1049" i="4"/>
  <c r="O1048" i="4"/>
  <c r="O1047" i="4"/>
  <c r="O1046" i="4"/>
  <c r="O1045" i="4"/>
  <c r="O1044" i="4"/>
  <c r="O1043" i="4"/>
  <c r="O1042" i="4"/>
  <c r="O1133" i="4"/>
  <c r="O1132" i="4"/>
  <c r="O1111" i="4"/>
  <c r="O1110" i="4"/>
  <c r="O1109" i="4"/>
  <c r="O1108" i="4"/>
  <c r="O1107" i="4"/>
  <c r="O1131" i="4"/>
  <c r="O1130" i="4"/>
  <c r="O1129" i="4"/>
  <c r="O1128" i="4"/>
  <c r="O1405" i="4"/>
  <c r="P1405" i="4" s="1"/>
  <c r="O1404" i="4"/>
  <c r="P1404" i="4" s="1"/>
  <c r="O1403" i="4"/>
  <c r="O1402" i="4"/>
  <c r="O1401" i="4"/>
  <c r="O1400" i="4"/>
  <c r="O1187" i="4"/>
  <c r="O1186" i="4"/>
  <c r="O1185" i="4"/>
  <c r="O1184" i="4"/>
  <c r="O1378" i="4"/>
  <c r="O1377" i="4"/>
  <c r="O1376" i="4"/>
  <c r="O1375" i="4"/>
  <c r="O1374" i="4"/>
  <c r="O1373" i="4"/>
  <c r="O1086" i="4"/>
  <c r="O1085" i="4"/>
  <c r="O1084" i="4"/>
  <c r="O1083" i="4"/>
  <c r="O1082" i="4"/>
  <c r="O1081" i="4"/>
  <c r="O1080" i="4"/>
  <c r="O1064" i="4"/>
  <c r="O1063" i="4"/>
  <c r="O1062" i="4"/>
  <c r="O1061" i="4"/>
  <c r="O1060" i="4"/>
  <c r="O1059" i="4"/>
  <c r="O1119" i="4"/>
  <c r="O1118" i="4"/>
  <c r="O1117" i="4"/>
  <c r="O1361" i="4"/>
  <c r="P1429" i="4"/>
  <c r="P1430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363" i="4" l="1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401" i="4"/>
  <c r="P1402" i="4"/>
  <c r="P1403" i="4"/>
  <c r="P1361" i="4"/>
  <c r="P1362" i="4"/>
  <c r="O1015" i="4" l="1"/>
  <c r="O1014" i="4"/>
  <c r="O1013" i="4"/>
  <c r="O1012" i="4"/>
  <c r="O1011" i="4"/>
  <c r="O1010" i="4"/>
  <c r="O1009" i="4"/>
  <c r="O1008" i="4"/>
  <c r="O1007" i="4"/>
  <c r="O1006" i="4"/>
  <c r="O1352" i="4" l="1"/>
  <c r="P1352" i="4" s="1"/>
  <c r="O1351" i="4"/>
  <c r="P1351" i="4" s="1"/>
  <c r="O1350" i="4"/>
  <c r="P1350" i="4" s="1"/>
  <c r="O1349" i="4"/>
  <c r="P1349" i="4" s="1"/>
  <c r="O1348" i="4"/>
  <c r="P1348" i="4" s="1"/>
  <c r="O1347" i="4"/>
  <c r="P1347" i="4" s="1"/>
  <c r="O1104" i="4"/>
  <c r="O1094" i="4"/>
  <c r="O1093" i="4"/>
  <c r="O1092" i="4"/>
  <c r="O1091" i="4"/>
  <c r="O1090" i="4"/>
  <c r="O1058" i="4"/>
  <c r="O1057" i="4"/>
  <c r="O1056" i="4"/>
  <c r="O1055" i="4"/>
  <c r="O1054" i="4"/>
  <c r="O1089" i="4"/>
  <c r="O1088" i="4"/>
  <c r="O1087" i="4"/>
  <c r="O1068" i="4"/>
  <c r="O1067" i="4"/>
  <c r="O1066" i="4"/>
  <c r="O1065" i="4"/>
  <c r="O1183" i="4"/>
  <c r="O994" i="4"/>
  <c r="O978" i="4"/>
  <c r="O1296" i="4"/>
  <c r="O1319" i="4"/>
  <c r="O1300" i="4"/>
  <c r="O1299" i="4"/>
  <c r="O1298" i="4"/>
  <c r="O1297" i="4"/>
  <c r="O1173" i="4"/>
  <c r="O1174" i="4"/>
  <c r="O1172" i="4"/>
  <c r="O1171" i="4"/>
  <c r="O1246" i="4"/>
  <c r="O1198" i="4"/>
  <c r="O1280" i="4"/>
  <c r="O1279" i="4"/>
  <c r="O1278" i="4"/>
  <c r="O1277" i="4"/>
  <c r="O1276" i="4"/>
  <c r="O1318" i="4"/>
  <c r="O1317" i="4"/>
  <c r="O1302" i="4"/>
  <c r="O1301" i="4"/>
  <c r="O1294" i="4"/>
  <c r="O1293" i="4"/>
  <c r="O1292" i="4"/>
  <c r="O1291" i="4"/>
  <c r="O1072" i="4"/>
  <c r="P1360" i="4"/>
  <c r="P1353" i="4"/>
  <c r="P1354" i="4"/>
  <c r="P1355" i="4"/>
  <c r="P1356" i="4"/>
  <c r="P1357" i="4"/>
  <c r="P1358" i="4"/>
  <c r="P1359" i="4"/>
  <c r="P1327" i="4" l="1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4" i="4"/>
  <c r="P1345" i="4"/>
  <c r="P1346" i="4"/>
  <c r="P1319" i="4"/>
  <c r="P1320" i="4"/>
  <c r="P1321" i="4"/>
  <c r="P1322" i="4"/>
  <c r="P1323" i="4"/>
  <c r="P1324" i="4"/>
  <c r="P1325" i="4"/>
  <c r="P1326" i="4"/>
  <c r="O997" i="4" l="1"/>
  <c r="O1002" i="4"/>
  <c r="O999" i="4"/>
  <c r="O998" i="4"/>
  <c r="O995" i="4"/>
  <c r="O996" i="4"/>
  <c r="O992" i="4"/>
  <c r="O993" i="4"/>
  <c r="O921" i="4"/>
  <c r="O991" i="4"/>
  <c r="O990" i="4"/>
  <c r="O977" i="4"/>
  <c r="O976" i="4"/>
  <c r="O975" i="4"/>
  <c r="O974" i="4"/>
  <c r="O953" i="4"/>
  <c r="O952" i="4"/>
  <c r="O951" i="4"/>
  <c r="O950" i="4"/>
  <c r="O949" i="4"/>
  <c r="O946" i="4"/>
  <c r="O945" i="4"/>
  <c r="O944" i="4"/>
  <c r="O943" i="4"/>
  <c r="O924" i="4"/>
  <c r="O923" i="4"/>
  <c r="O922" i="4"/>
  <c r="P1313" i="4"/>
  <c r="P1314" i="4"/>
  <c r="P1315" i="4"/>
  <c r="P1316" i="4"/>
  <c r="P1317" i="4"/>
  <c r="P1318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270" i="4"/>
  <c r="P1271" i="4"/>
  <c r="P1272" i="4"/>
  <c r="P1273" i="4"/>
  <c r="P1274" i="4"/>
  <c r="P1275" i="4"/>
  <c r="P1276" i="4"/>
  <c r="P1277" i="4"/>
  <c r="P1278" i="4"/>
  <c r="P1279" i="4"/>
  <c r="P1280" i="4"/>
  <c r="P1282" i="4"/>
  <c r="P1283" i="4"/>
  <c r="P1284" i="4"/>
  <c r="P1285" i="4"/>
  <c r="P1286" i="4"/>
  <c r="P1287" i="4"/>
  <c r="P1288" i="4"/>
  <c r="P1289" i="4"/>
  <c r="P1290" i="4"/>
  <c r="O920" i="4" l="1"/>
  <c r="O919" i="4"/>
  <c r="O918" i="4"/>
  <c r="O917" i="4"/>
  <c r="O916" i="4"/>
  <c r="O915" i="4"/>
  <c r="O865" i="4"/>
  <c r="O914" i="4"/>
  <c r="O913" i="4"/>
  <c r="O904" i="4"/>
  <c r="O903" i="4"/>
  <c r="O902" i="4"/>
  <c r="O901" i="4"/>
  <c r="O886" i="4"/>
  <c r="O885" i="4"/>
  <c r="O884" i="4"/>
  <c r="O883" i="4"/>
  <c r="O877" i="4"/>
  <c r="O876" i="4"/>
  <c r="O875" i="4"/>
  <c r="O874" i="4"/>
  <c r="O873" i="4"/>
  <c r="O872" i="4"/>
  <c r="O849" i="4"/>
  <c r="O864" i="4"/>
  <c r="O863" i="4"/>
  <c r="O862" i="4"/>
  <c r="O850" i="4"/>
  <c r="O844" i="4"/>
  <c r="O848" i="4"/>
  <c r="O847" i="4"/>
  <c r="O845" i="4"/>
  <c r="O841" i="4"/>
  <c r="O843" i="4"/>
  <c r="O842" i="4"/>
  <c r="O836" i="4"/>
  <c r="O835" i="4"/>
  <c r="O834" i="4"/>
  <c r="O833" i="4"/>
  <c r="O832" i="4"/>
  <c r="O825" i="4"/>
  <c r="O824" i="4"/>
  <c r="O823" i="4"/>
  <c r="O822" i="4"/>
  <c r="O821" i="4"/>
  <c r="O815" i="4"/>
  <c r="O814" i="4"/>
  <c r="O813" i="4"/>
  <c r="O812" i="4"/>
  <c r="O807" i="4"/>
  <c r="O806" i="4"/>
  <c r="O805" i="4"/>
  <c r="O804" i="4"/>
  <c r="O800" i="4"/>
  <c r="O799" i="4"/>
  <c r="P799" i="4" s="1"/>
  <c r="O798" i="4"/>
  <c r="P798" i="4" s="1"/>
  <c r="O797" i="4"/>
  <c r="P797" i="4" s="1"/>
  <c r="O796" i="4"/>
  <c r="P796" i="4" s="1"/>
  <c r="O791" i="4"/>
  <c r="P791" i="4" s="1"/>
  <c r="O790" i="4"/>
  <c r="P790" i="4" s="1"/>
  <c r="O789" i="4"/>
  <c r="P789" i="4" s="1"/>
  <c r="O788" i="4"/>
  <c r="P788" i="4" s="1"/>
  <c r="O1216" i="4"/>
  <c r="P1216" i="4" s="1"/>
  <c r="O1215" i="4"/>
  <c r="P1215" i="4" s="1"/>
  <c r="O1147" i="4"/>
  <c r="O1146" i="4"/>
  <c r="O1035" i="4"/>
  <c r="O1034" i="4"/>
  <c r="O1033" i="4"/>
  <c r="O1032" i="4"/>
  <c r="O1031" i="4"/>
  <c r="O1020" i="4"/>
  <c r="O1019" i="4"/>
  <c r="O1018" i="4"/>
  <c r="O1017" i="4"/>
  <c r="O1030" i="4"/>
  <c r="O1029" i="4"/>
  <c r="O1028" i="4"/>
  <c r="O1027" i="4"/>
  <c r="O1026" i="4"/>
  <c r="O1025" i="4"/>
  <c r="O869" i="4"/>
  <c r="O1234" i="4"/>
  <c r="P1234" i="4" s="1"/>
  <c r="O1233" i="4"/>
  <c r="P1233" i="4" s="1"/>
  <c r="O1245" i="4"/>
  <c r="P1245" i="4" s="1"/>
  <c r="O1244" i="4"/>
  <c r="P1244" i="4" s="1"/>
  <c r="O1243" i="4"/>
  <c r="P1243" i="4" s="1"/>
  <c r="O1071" i="4"/>
  <c r="O1070" i="4"/>
  <c r="O1069" i="4"/>
  <c r="O1175" i="4"/>
  <c r="O1197" i="4"/>
  <c r="P1197" i="4" s="1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5" i="4"/>
  <c r="P1236" i="4"/>
  <c r="P1237" i="4"/>
  <c r="P1238" i="4"/>
  <c r="P1239" i="4"/>
  <c r="P1240" i="4"/>
  <c r="P1241" i="4"/>
  <c r="P1242" i="4"/>
  <c r="P1246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4" i="4"/>
  <c r="P1265" i="4"/>
  <c r="P1266" i="4"/>
  <c r="P1267" i="4"/>
  <c r="P1268" i="4"/>
  <c r="P1269" i="4"/>
  <c r="O1196" i="4" l="1"/>
  <c r="P1196" i="4" s="1"/>
  <c r="O1195" i="4"/>
  <c r="P1195" i="4" s="1"/>
  <c r="O1194" i="4"/>
  <c r="P1194" i="4" s="1"/>
  <c r="O1113" i="4"/>
  <c r="O1112" i="4"/>
  <c r="O983" i="4" l="1"/>
  <c r="O982" i="4"/>
  <c r="O981" i="4"/>
  <c r="O980" i="4"/>
  <c r="O979" i="4"/>
  <c r="O1074" i="4"/>
  <c r="O1073" i="4"/>
  <c r="P1190" i="4"/>
  <c r="P1183" i="4"/>
  <c r="P1184" i="4"/>
  <c r="P1185" i="4"/>
  <c r="P1186" i="4"/>
  <c r="P1187" i="4"/>
  <c r="P1188" i="4"/>
  <c r="P1189" i="4"/>
  <c r="P1191" i="4"/>
  <c r="P1192" i="4"/>
  <c r="P1193" i="4"/>
  <c r="O1176" i="4"/>
  <c r="O1151" i="4"/>
  <c r="O1150" i="4"/>
  <c r="O1149" i="4"/>
  <c r="O1148" i="4"/>
  <c r="O1145" i="4"/>
  <c r="O1144" i="4"/>
  <c r="O1143" i="4"/>
  <c r="O960" i="4"/>
  <c r="O959" i="4"/>
  <c r="O958" i="4"/>
  <c r="O957" i="4"/>
  <c r="O956" i="4"/>
  <c r="O955" i="4"/>
  <c r="O933" i="4"/>
  <c r="O932" i="4"/>
  <c r="O898" i="4"/>
  <c r="O1005" i="4"/>
  <c r="O1004" i="4"/>
  <c r="O1003" i="4"/>
  <c r="O1076" i="4"/>
  <c r="O1077" i="4"/>
  <c r="O1078" i="4"/>
  <c r="O1079" i="4"/>
  <c r="O1075" i="4"/>
  <c r="O1024" i="4"/>
  <c r="O1023" i="4"/>
  <c r="O1022" i="4"/>
  <c r="O1021" i="4"/>
  <c r="O768" i="4"/>
  <c r="O767" i="4"/>
  <c r="O766" i="4"/>
  <c r="O1142" i="4"/>
  <c r="O1141" i="4"/>
  <c r="P1151" i="4" l="1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40" i="4"/>
  <c r="P1141" i="4"/>
  <c r="P1142" i="4"/>
  <c r="P1143" i="4"/>
  <c r="P1144" i="4"/>
  <c r="P1145" i="4"/>
  <c r="P1146" i="4"/>
  <c r="P1147" i="4"/>
  <c r="P1148" i="4"/>
  <c r="P1149" i="4"/>
  <c r="P1150" i="4"/>
  <c r="P1132" i="4"/>
  <c r="P1133" i="4"/>
  <c r="P1134" i="4"/>
  <c r="P1135" i="4"/>
  <c r="P1136" i="4"/>
  <c r="P1137" i="4"/>
  <c r="P1138" i="4"/>
  <c r="P1139" i="4"/>
  <c r="P954" i="4" l="1"/>
  <c r="O755" i="4" l="1"/>
  <c r="O731" i="4"/>
  <c r="O729" i="4"/>
  <c r="O1120" i="4" l="1"/>
  <c r="P1120" i="4" s="1"/>
  <c r="O765" i="4"/>
  <c r="O763" i="4"/>
  <c r="O762" i="4"/>
  <c r="O761" i="4"/>
  <c r="O760" i="4"/>
  <c r="O759" i="4"/>
  <c r="O758" i="4"/>
  <c r="O757" i="4"/>
  <c r="O756" i="4"/>
  <c r="O754" i="4"/>
  <c r="O747" i="4"/>
  <c r="O746" i="4"/>
  <c r="O745" i="4"/>
  <c r="O744" i="4"/>
  <c r="O743" i="4"/>
  <c r="O733" i="4"/>
  <c r="O732" i="4"/>
  <c r="O1116" i="4"/>
  <c r="P1116" i="4" s="1"/>
  <c r="O1115" i="4"/>
  <c r="P1115" i="4" s="1"/>
  <c r="O1114" i="4"/>
  <c r="P1114" i="4" s="1"/>
  <c r="O707" i="4"/>
  <c r="O730" i="4"/>
  <c r="O717" i="4"/>
  <c r="O716" i="4"/>
  <c r="O715" i="4"/>
  <c r="O710" i="4"/>
  <c r="O984" i="4"/>
  <c r="O973" i="4"/>
  <c r="O972" i="4"/>
  <c r="O971" i="4"/>
  <c r="O970" i="4"/>
  <c r="O965" i="4"/>
  <c r="O964" i="4"/>
  <c r="O963" i="4"/>
  <c r="O962" i="4"/>
  <c r="O961" i="4"/>
  <c r="O929" i="4"/>
  <c r="O928" i="4"/>
  <c r="O927" i="4"/>
  <c r="O926" i="4"/>
  <c r="O1103" i="4"/>
  <c r="P1103" i="4" s="1"/>
  <c r="O1102" i="4"/>
  <c r="P1102" i="4" s="1"/>
  <c r="O1101" i="4"/>
  <c r="P1101" i="4" s="1"/>
  <c r="O1100" i="4"/>
  <c r="P1100" i="4" s="1"/>
  <c r="O1099" i="4"/>
  <c r="P1099" i="4" s="1"/>
  <c r="O1098" i="4"/>
  <c r="P1098" i="4" s="1"/>
  <c r="O1097" i="4"/>
  <c r="P1097" i="4" s="1"/>
  <c r="O1096" i="4"/>
  <c r="P1096" i="4" s="1"/>
  <c r="O1095" i="4"/>
  <c r="P1095" i="4" s="1"/>
  <c r="O969" i="4"/>
  <c r="O968" i="4"/>
  <c r="O967" i="4"/>
  <c r="O966" i="4"/>
  <c r="O931" i="4"/>
  <c r="O930" i="4"/>
  <c r="O882" i="4"/>
  <c r="O881" i="4"/>
  <c r="O880" i="4"/>
  <c r="O879" i="4"/>
  <c r="O989" i="4"/>
  <c r="O988" i="4"/>
  <c r="O987" i="4"/>
  <c r="O986" i="4"/>
  <c r="O985" i="4"/>
  <c r="O1016" i="4"/>
  <c r="P1119" i="4"/>
  <c r="P1118" i="4"/>
  <c r="P1117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104" i="4"/>
  <c r="P1105" i="4"/>
  <c r="P1106" i="4"/>
  <c r="P1107" i="4"/>
  <c r="P1108" i="4"/>
  <c r="P1109" i="4"/>
  <c r="P1110" i="4"/>
  <c r="P1111" i="4"/>
  <c r="P1112" i="4"/>
  <c r="P1113" i="4"/>
  <c r="P1121" i="4"/>
  <c r="P1122" i="4"/>
  <c r="P1123" i="4"/>
  <c r="P1124" i="4"/>
  <c r="P1125" i="4"/>
  <c r="P1126" i="4"/>
  <c r="P1128" i="4"/>
  <c r="P1129" i="4"/>
  <c r="P1130" i="4"/>
  <c r="P1131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O771" i="4" l="1"/>
  <c r="O770" i="4"/>
  <c r="O769" i="4"/>
  <c r="O942" i="4"/>
  <c r="O941" i="4"/>
  <c r="O940" i="4"/>
  <c r="O939" i="4"/>
  <c r="O938" i="4"/>
  <c r="O937" i="4"/>
  <c r="O936" i="4"/>
  <c r="O935" i="4"/>
  <c r="O934" i="4"/>
  <c r="O1041" i="4"/>
  <c r="O1040" i="4"/>
  <c r="O1039" i="4"/>
  <c r="O1038" i="4"/>
  <c r="O1037" i="4"/>
  <c r="O1036" i="4"/>
  <c r="O858" i="4"/>
  <c r="O846" i="4"/>
  <c r="O780" i="4"/>
  <c r="O779" i="4"/>
  <c r="O778" i="4"/>
  <c r="O777" i="4"/>
  <c r="O776" i="4"/>
  <c r="O897" i="4"/>
  <c r="O896" i="4"/>
  <c r="O895" i="4"/>
  <c r="O894" i="4"/>
  <c r="O893" i="4"/>
  <c r="O892" i="4"/>
  <c r="O857" i="4"/>
  <c r="O856" i="4"/>
  <c r="O855" i="4"/>
  <c r="O854" i="4"/>
  <c r="O853" i="4"/>
  <c r="O831" i="4" l="1"/>
  <c r="O861" i="4"/>
  <c r="O860" i="4"/>
  <c r="O859" i="4"/>
  <c r="O1052" i="4"/>
  <c r="P1052" i="4" s="1"/>
  <c r="O1053" i="4"/>
  <c r="P1053" i="4" s="1"/>
  <c r="O1051" i="4"/>
  <c r="P1051" i="4" s="1"/>
  <c r="O1001" i="4"/>
  <c r="O1000" i="4"/>
  <c r="O840" i="4"/>
  <c r="O839" i="4"/>
  <c r="O838" i="4"/>
  <c r="O837" i="4"/>
  <c r="O698" i="4"/>
  <c r="O709" i="4"/>
  <c r="O708" i="4"/>
  <c r="O706" i="4"/>
  <c r="O700" i="4"/>
  <c r="O699" i="4"/>
  <c r="O697" i="4"/>
  <c r="O687" i="4"/>
  <c r="O686" i="4"/>
  <c r="O685" i="4"/>
  <c r="O684" i="4"/>
  <c r="O671" i="4"/>
  <c r="O670" i="4"/>
  <c r="O669" i="4"/>
  <c r="O668" i="4"/>
  <c r="O667" i="4"/>
  <c r="O666" i="4"/>
  <c r="P1042" i="4"/>
  <c r="P1043" i="4"/>
  <c r="P1044" i="4"/>
  <c r="P1045" i="4"/>
  <c r="P1046" i="4"/>
  <c r="P1047" i="4"/>
  <c r="P1048" i="4"/>
  <c r="P1049" i="4"/>
  <c r="P1050" i="4"/>
  <c r="P1031" i="4"/>
  <c r="P1032" i="4"/>
  <c r="P1033" i="4"/>
  <c r="P1034" i="4"/>
  <c r="P1035" i="4"/>
  <c r="P1036" i="4"/>
  <c r="P1037" i="4"/>
  <c r="P1038" i="4"/>
  <c r="P1039" i="4"/>
  <c r="P1040" i="4"/>
  <c r="P1041" i="4"/>
  <c r="P1018" i="4" l="1"/>
  <c r="P1017" i="4"/>
  <c r="P1009" i="4"/>
  <c r="P1002" i="4"/>
  <c r="P994" i="4"/>
  <c r="P990" i="4"/>
  <c r="P991" i="4"/>
  <c r="P992" i="4"/>
  <c r="P993" i="4"/>
  <c r="P995" i="4"/>
  <c r="P996" i="4"/>
  <c r="P997" i="4"/>
  <c r="P998" i="4"/>
  <c r="P999" i="4"/>
  <c r="P1000" i="4"/>
  <c r="P1001" i="4"/>
  <c r="P1003" i="4"/>
  <c r="P1004" i="4"/>
  <c r="P1005" i="4"/>
  <c r="P1006" i="4"/>
  <c r="P1007" i="4"/>
  <c r="P1008" i="4"/>
  <c r="P1010" i="4"/>
  <c r="P1011" i="4"/>
  <c r="P1012" i="4"/>
  <c r="P1013" i="4"/>
  <c r="P1014" i="4"/>
  <c r="P1015" i="4"/>
  <c r="P1016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O683" i="4" l="1"/>
  <c r="O681" i="4"/>
  <c r="O682" i="4"/>
  <c r="O820" i="4"/>
  <c r="O819" i="4"/>
  <c r="O818" i="4"/>
  <c r="O817" i="4"/>
  <c r="O816" i="4"/>
  <c r="O912" i="4"/>
  <c r="O911" i="4"/>
  <c r="O910" i="4"/>
  <c r="O909" i="4"/>
  <c r="O908" i="4"/>
  <c r="O907" i="4"/>
  <c r="O906" i="4"/>
  <c r="O905" i="4"/>
  <c r="O661" i="4"/>
  <c r="O878" i="4"/>
  <c r="O803" i="4"/>
  <c r="O802" i="4"/>
  <c r="O801" i="4"/>
  <c r="O947" i="4"/>
  <c r="P947" i="4" s="1"/>
  <c r="O948" i="4"/>
  <c r="P948" i="4" s="1"/>
  <c r="O722" i="4"/>
  <c r="O723" i="4"/>
  <c r="O724" i="4"/>
  <c r="O725" i="4"/>
  <c r="P988" i="4"/>
  <c r="P989" i="4"/>
  <c r="P978" i="4"/>
  <c r="P979" i="4"/>
  <c r="P980" i="4"/>
  <c r="P981" i="4"/>
  <c r="P982" i="4"/>
  <c r="P983" i="4"/>
  <c r="P984" i="4"/>
  <c r="P985" i="4"/>
  <c r="P986" i="4"/>
  <c r="P987" i="4"/>
  <c r="P970" i="4"/>
  <c r="P971" i="4"/>
  <c r="P972" i="4"/>
  <c r="P973" i="4"/>
  <c r="P974" i="4"/>
  <c r="P975" i="4"/>
  <c r="P976" i="4"/>
  <c r="P977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9" i="4"/>
  <c r="P950" i="4"/>
  <c r="P951" i="4"/>
  <c r="P952" i="4"/>
  <c r="P953" i="4"/>
  <c r="P955" i="4"/>
  <c r="O925" i="4" l="1"/>
  <c r="O775" i="4"/>
  <c r="O739" i="4"/>
  <c r="O738" i="4"/>
  <c r="O660" i="4"/>
  <c r="O659" i="4"/>
  <c r="O658" i="4"/>
  <c r="O657" i="4"/>
  <c r="O647" i="4"/>
  <c r="O646" i="4"/>
  <c r="O645" i="4"/>
  <c r="O787" i="4"/>
  <c r="O774" i="4"/>
  <c r="O773" i="4"/>
  <c r="O772" i="4"/>
  <c r="O742" i="4"/>
  <c r="O741" i="4"/>
  <c r="O740" i="4"/>
  <c r="O900" i="4"/>
  <c r="O899" i="4"/>
  <c r="O795" i="4"/>
  <c r="O794" i="4"/>
  <c r="O793" i="4"/>
  <c r="O792" i="4"/>
  <c r="P930" i="4" l="1"/>
  <c r="P931" i="4"/>
  <c r="P932" i="4"/>
  <c r="P933" i="4"/>
  <c r="P927" i="4"/>
  <c r="P928" i="4"/>
  <c r="P929" i="4"/>
  <c r="P913" i="4" l="1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05" i="4"/>
  <c r="P906" i="4"/>
  <c r="P907" i="4"/>
  <c r="P908" i="4"/>
  <c r="P909" i="4"/>
  <c r="P910" i="4"/>
  <c r="P911" i="4"/>
  <c r="P912" i="4"/>
  <c r="P901" i="4"/>
  <c r="P902" i="4"/>
  <c r="P903" i="4"/>
  <c r="P904" i="4"/>
  <c r="P899" i="4"/>
  <c r="P900" i="4"/>
  <c r="P898" i="4"/>
  <c r="P864" i="4"/>
  <c r="P865" i="4"/>
  <c r="P869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92" i="4"/>
  <c r="P893" i="4"/>
  <c r="P894" i="4"/>
  <c r="P895" i="4"/>
  <c r="P896" i="4"/>
  <c r="P897" i="4"/>
  <c r="O703" i="4" l="1"/>
  <c r="O702" i="4"/>
  <c r="O701" i="4"/>
  <c r="O891" i="4" l="1"/>
  <c r="P891" i="4" s="1"/>
  <c r="O890" i="4"/>
  <c r="P890" i="4" s="1"/>
  <c r="O889" i="4"/>
  <c r="P889" i="4" s="1"/>
  <c r="O888" i="4"/>
  <c r="P888" i="4" s="1"/>
  <c r="O887" i="4"/>
  <c r="P887" i="4" s="1"/>
  <c r="O615" i="4"/>
  <c r="O614" i="4"/>
  <c r="O613" i="4"/>
  <c r="O602" i="4"/>
  <c r="O601" i="4"/>
  <c r="O600" i="4"/>
  <c r="O559" i="4"/>
  <c r="O558" i="4"/>
  <c r="O871" i="4"/>
  <c r="P871" i="4" s="1"/>
  <c r="O870" i="4"/>
  <c r="P870" i="4" s="1"/>
  <c r="O644" i="4" l="1"/>
  <c r="O641" i="4"/>
  <c r="O640" i="4"/>
  <c r="O868" i="4" l="1"/>
  <c r="P868" i="4" s="1"/>
  <c r="O867" i="4"/>
  <c r="P867" i="4" s="1"/>
  <c r="O866" i="4"/>
  <c r="P866" i="4" s="1"/>
  <c r="O852" i="4"/>
  <c r="P852" i="4" s="1"/>
  <c r="O851" i="4"/>
  <c r="P851" i="4" s="1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3" i="4"/>
  <c r="P854" i="4"/>
  <c r="P855" i="4"/>
  <c r="P856" i="4"/>
  <c r="P857" i="4"/>
  <c r="P858" i="4"/>
  <c r="P859" i="4"/>
  <c r="P860" i="4"/>
  <c r="P861" i="4"/>
  <c r="P862" i="4"/>
  <c r="P863" i="4"/>
  <c r="O677" i="4"/>
  <c r="O680" i="4"/>
  <c r="O679" i="4"/>
  <c r="O678" i="4"/>
  <c r="O639" i="4" l="1"/>
  <c r="O638" i="4"/>
  <c r="O637" i="4"/>
  <c r="O636" i="4"/>
  <c r="O635" i="4"/>
  <c r="O634" i="4"/>
  <c r="O633" i="4"/>
  <c r="O624" i="4"/>
  <c r="O623" i="4"/>
  <c r="O622" i="4"/>
  <c r="O617" i="4" l="1"/>
  <c r="O620" i="4"/>
  <c r="O619" i="4"/>
  <c r="O618" i="4"/>
  <c r="O616" i="4"/>
  <c r="O612" i="4"/>
  <c r="O611" i="4"/>
  <c r="O610" i="4"/>
  <c r="O587" i="4"/>
  <c r="O586" i="4"/>
  <c r="O585" i="4"/>
  <c r="O584" i="4"/>
  <c r="O583" i="4"/>
  <c r="O582" i="4"/>
  <c r="O581" i="4"/>
  <c r="O540" i="4"/>
  <c r="O539" i="4"/>
  <c r="O538" i="4"/>
  <c r="O537" i="4"/>
  <c r="O536" i="4"/>
  <c r="O524" i="4"/>
  <c r="O523" i="4"/>
  <c r="O522" i="4"/>
  <c r="O552" i="4"/>
  <c r="O551" i="4"/>
  <c r="O550" i="4"/>
  <c r="O535" i="4"/>
  <c r="O534" i="4"/>
  <c r="O553" i="4"/>
  <c r="O533" i="4"/>
  <c r="O532" i="4"/>
  <c r="O531" i="4"/>
  <c r="O530" i="4"/>
  <c r="O529" i="4"/>
  <c r="O528" i="4"/>
  <c r="O527" i="4"/>
  <c r="O526" i="4"/>
  <c r="O525" i="4"/>
  <c r="O631" i="4"/>
  <c r="O630" i="4"/>
  <c r="O629" i="4"/>
  <c r="O628" i="4"/>
  <c r="O627" i="4"/>
  <c r="O626" i="4"/>
  <c r="O625" i="4"/>
  <c r="O566" i="4"/>
  <c r="O565" i="4"/>
  <c r="O811" i="4"/>
  <c r="P811" i="4" s="1"/>
  <c r="O810" i="4"/>
  <c r="P810" i="4" s="1"/>
  <c r="O809" i="4"/>
  <c r="P809" i="4" s="1"/>
  <c r="O808" i="4"/>
  <c r="P808" i="4" s="1"/>
  <c r="O564" i="4"/>
  <c r="O563" i="4"/>
  <c r="O562" i="4"/>
  <c r="O561" i="4"/>
  <c r="O560" i="4"/>
  <c r="O714" i="4"/>
  <c r="O713" i="4"/>
  <c r="O712" i="4"/>
  <c r="O711" i="4"/>
  <c r="O764" i="4"/>
  <c r="P764" i="4" s="1"/>
  <c r="O786" i="4"/>
  <c r="P786" i="4" s="1"/>
  <c r="O785" i="4"/>
  <c r="P785" i="4" s="1"/>
  <c r="O784" i="4"/>
  <c r="P784" i="4" s="1"/>
  <c r="O783" i="4"/>
  <c r="P783" i="4" s="1"/>
  <c r="O782" i="4"/>
  <c r="P782" i="4" s="1"/>
  <c r="O781" i="4"/>
  <c r="P781" i="4" s="1"/>
  <c r="O830" i="4"/>
  <c r="P830" i="4" s="1"/>
  <c r="O829" i="4"/>
  <c r="P829" i="4" s="1"/>
  <c r="O828" i="4"/>
  <c r="P828" i="4" s="1"/>
  <c r="O827" i="4"/>
  <c r="P827" i="4" s="1"/>
  <c r="O826" i="4"/>
  <c r="P826" i="4" s="1"/>
  <c r="O752" i="4"/>
  <c r="O695" i="4"/>
  <c r="O694" i="4"/>
  <c r="O665" i="4"/>
  <c r="O664" i="4"/>
  <c r="O663" i="4"/>
  <c r="O662" i="4"/>
  <c r="O753" i="4"/>
  <c r="O751" i="4"/>
  <c r="O750" i="4"/>
  <c r="O749" i="4"/>
  <c r="O748" i="4"/>
  <c r="P794" i="4"/>
  <c r="P795" i="4"/>
  <c r="P800" i="4"/>
  <c r="P801" i="4"/>
  <c r="P802" i="4"/>
  <c r="P803" i="4"/>
  <c r="P804" i="4"/>
  <c r="P805" i="4"/>
  <c r="P806" i="4"/>
  <c r="P807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7" i="4"/>
  <c r="P792" i="4"/>
  <c r="P793" i="4"/>
  <c r="P759" i="4" l="1"/>
  <c r="P760" i="4"/>
  <c r="P761" i="4"/>
  <c r="P762" i="4"/>
  <c r="P763" i="4"/>
  <c r="E153" i="7" l="1"/>
  <c r="O696" i="4" l="1"/>
  <c r="O728" i="4"/>
  <c r="O727" i="4"/>
  <c r="O656" i="4"/>
  <c r="O655" i="4"/>
  <c r="O654" i="4"/>
  <c r="O653" i="4"/>
  <c r="O652" i="4"/>
  <c r="O737" i="4"/>
  <c r="O736" i="4"/>
  <c r="O735" i="4"/>
  <c r="O734" i="4"/>
  <c r="O518" i="4"/>
  <c r="O547" i="4"/>
  <c r="O546" i="4"/>
  <c r="O545" i="4"/>
  <c r="O544" i="4"/>
  <c r="O517" i="4"/>
  <c r="O516" i="4"/>
  <c r="O515" i="4"/>
  <c r="O514" i="4"/>
  <c r="O513" i="4"/>
  <c r="O512" i="4"/>
  <c r="O473" i="4" l="1"/>
  <c r="O472" i="4"/>
  <c r="O468" i="4"/>
  <c r="O467" i="4"/>
  <c r="O466" i="4"/>
  <c r="O465" i="4"/>
  <c r="O726" i="4" l="1"/>
  <c r="O721" i="4"/>
  <c r="O720" i="4"/>
  <c r="O719" i="4"/>
  <c r="O718" i="4"/>
  <c r="O705" i="4"/>
  <c r="O704" i="4"/>
  <c r="O632" i="4"/>
  <c r="O609" i="4"/>
  <c r="O574" i="4"/>
  <c r="O549" i="4"/>
  <c r="O548" i="4"/>
  <c r="O321" i="4"/>
  <c r="O109" i="4"/>
  <c r="O108" i="4"/>
  <c r="O107" i="4"/>
  <c r="O106" i="4"/>
  <c r="O30" i="4"/>
  <c r="O591" i="4"/>
  <c r="O590" i="4"/>
  <c r="O589" i="4"/>
  <c r="O693" i="4"/>
  <c r="O692" i="4"/>
  <c r="O691" i="4"/>
  <c r="O690" i="4"/>
  <c r="O689" i="4"/>
  <c r="O688" i="4"/>
  <c r="O567" i="4"/>
  <c r="O588" i="4"/>
  <c r="O570" i="4"/>
  <c r="O569" i="4"/>
  <c r="O568" i="4"/>
  <c r="O676" i="4" l="1"/>
  <c r="O675" i="4"/>
  <c r="O674" i="4"/>
  <c r="O673" i="4"/>
  <c r="O672" i="4"/>
  <c r="O521" i="4"/>
  <c r="O520" i="4"/>
  <c r="O507" i="4"/>
  <c r="O506" i="4"/>
  <c r="O505" i="4"/>
  <c r="O504" i="4"/>
  <c r="O503" i="4"/>
  <c r="O498" i="4"/>
  <c r="O497" i="4"/>
  <c r="O496" i="4"/>
  <c r="O495" i="4"/>
  <c r="O486" i="4"/>
  <c r="O488" i="4"/>
  <c r="O487" i="4"/>
  <c r="O485" i="4"/>
  <c r="O484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29" i="4" l="1"/>
  <c r="P730" i="4"/>
  <c r="P732" i="4"/>
  <c r="P733" i="4"/>
  <c r="P724" i="4"/>
  <c r="P725" i="4"/>
  <c r="P726" i="4"/>
  <c r="P727" i="4"/>
  <c r="P728" i="4"/>
  <c r="P701" i="4" l="1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694" i="4" l="1"/>
  <c r="P695" i="4"/>
  <c r="P696" i="4"/>
  <c r="P697" i="4"/>
  <c r="P698" i="4"/>
  <c r="P699" i="4"/>
  <c r="P700" i="4"/>
  <c r="P688" i="4"/>
  <c r="P689" i="4"/>
  <c r="P690" i="4"/>
  <c r="P691" i="4"/>
  <c r="P692" i="4"/>
  <c r="P693" i="4"/>
  <c r="P684" i="4"/>
  <c r="P685" i="4"/>
  <c r="P686" i="4"/>
  <c r="P687" i="4"/>
  <c r="P681" i="4"/>
  <c r="P682" i="4"/>
  <c r="P683" i="4"/>
  <c r="P677" i="4"/>
  <c r="P678" i="4"/>
  <c r="P679" i="4"/>
  <c r="P680" i="4"/>
  <c r="E292" i="7"/>
  <c r="P672" i="4" l="1"/>
  <c r="P673" i="4"/>
  <c r="P674" i="4"/>
  <c r="P675" i="4"/>
  <c r="P676" i="4"/>
  <c r="O483" i="4" l="1"/>
  <c r="P669" i="4" l="1"/>
  <c r="P670" i="4"/>
  <c r="P671" i="4"/>
  <c r="P652" i="4" l="1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O480" i="4"/>
  <c r="O479" i="4"/>
  <c r="O478" i="4"/>
  <c r="O477" i="4"/>
  <c r="O476" i="4"/>
  <c r="O475" i="4"/>
  <c r="O474" i="4"/>
  <c r="O471" i="4"/>
  <c r="O470" i="4"/>
  <c r="O469" i="4"/>
  <c r="O458" i="4"/>
  <c r="O463" i="4"/>
  <c r="O462" i="4"/>
  <c r="O461" i="4"/>
  <c r="O460" i="4"/>
  <c r="O459" i="4"/>
  <c r="O651" i="4"/>
  <c r="O650" i="4"/>
  <c r="O649" i="4"/>
  <c r="O648" i="4"/>
  <c r="O643" i="4"/>
  <c r="O642" i="4"/>
  <c r="O573" i="4"/>
  <c r="O572" i="4"/>
  <c r="O571" i="4"/>
  <c r="O608" i="4"/>
  <c r="O603" i="4"/>
  <c r="O599" i="4"/>
  <c r="O598" i="4"/>
  <c r="O597" i="4"/>
  <c r="O596" i="4"/>
  <c r="O595" i="4"/>
  <c r="O594" i="4"/>
  <c r="O593" i="4"/>
  <c r="O592" i="4"/>
  <c r="O621" i="4"/>
  <c r="O490" i="4"/>
  <c r="O489" i="4"/>
  <c r="O464" i="4"/>
  <c r="O607" i="4"/>
  <c r="O606" i="4"/>
  <c r="O605" i="4"/>
  <c r="O604" i="4"/>
  <c r="P648" i="4" l="1"/>
  <c r="P649" i="4"/>
  <c r="P650" i="4"/>
  <c r="P651" i="4"/>
  <c r="P637" i="4"/>
  <c r="P638" i="4"/>
  <c r="P639" i="4"/>
  <c r="P640" i="4"/>
  <c r="P641" i="4"/>
  <c r="P642" i="4"/>
  <c r="P643" i="4"/>
  <c r="P644" i="4"/>
  <c r="P645" i="4"/>
  <c r="P646" i="4"/>
  <c r="P647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22" i="4" l="1"/>
  <c r="P623" i="4"/>
  <c r="P624" i="4"/>
  <c r="P621" i="4"/>
  <c r="P610" i="4"/>
  <c r="P611" i="4"/>
  <c r="P612" i="4"/>
  <c r="P613" i="4"/>
  <c r="P614" i="4"/>
  <c r="P615" i="4"/>
  <c r="P616" i="4"/>
  <c r="P617" i="4"/>
  <c r="P618" i="4"/>
  <c r="P619" i="4"/>
  <c r="P620" i="4"/>
  <c r="P609" i="4" l="1"/>
  <c r="P608" i="4"/>
  <c r="P604" i="4" l="1"/>
  <c r="P605" i="4"/>
  <c r="P606" i="4"/>
  <c r="P607" i="4"/>
  <c r="P603" i="4"/>
  <c r="E262" i="7"/>
  <c r="E411" i="7" s="1"/>
  <c r="P592" i="4"/>
  <c r="P593" i="4"/>
  <c r="P594" i="4"/>
  <c r="P595" i="4"/>
  <c r="P596" i="4"/>
  <c r="P597" i="4"/>
  <c r="P598" i="4"/>
  <c r="P599" i="4"/>
  <c r="P600" i="4"/>
  <c r="P601" i="4"/>
  <c r="P602" i="4"/>
  <c r="P589" i="4" l="1"/>
  <c r="P590" i="4"/>
  <c r="P591" i="4"/>
  <c r="P588" i="4" l="1"/>
  <c r="O416" i="4" l="1"/>
  <c r="O415" i="4"/>
  <c r="O407" i="4"/>
  <c r="O406" i="4"/>
  <c r="O405" i="4"/>
  <c r="O404" i="4"/>
  <c r="O457" i="4" l="1"/>
  <c r="O508" i="4"/>
  <c r="O511" i="4"/>
  <c r="O510" i="4"/>
  <c r="O509" i="4"/>
  <c r="O580" i="4"/>
  <c r="O579" i="4"/>
  <c r="O578" i="4"/>
  <c r="O577" i="4"/>
  <c r="O576" i="4"/>
  <c r="O575" i="4"/>
  <c r="O557" i="4"/>
  <c r="O556" i="4"/>
  <c r="O555" i="4"/>
  <c r="O554" i="4"/>
  <c r="P587" i="4"/>
  <c r="P586" i="4"/>
  <c r="P581" i="4"/>
  <c r="P582" i="4"/>
  <c r="P583" i="4"/>
  <c r="P584" i="4"/>
  <c r="P585" i="4"/>
  <c r="P578" i="4" l="1"/>
  <c r="P576" i="4"/>
  <c r="P574" i="4"/>
  <c r="P575" i="4"/>
  <c r="P577" i="4"/>
  <c r="P579" i="4"/>
  <c r="P580" i="4"/>
  <c r="P571" i="4"/>
  <c r="P572" i="4"/>
  <c r="P573" i="4"/>
  <c r="P565" i="4"/>
  <c r="P566" i="4"/>
  <c r="P567" i="4"/>
  <c r="P568" i="4"/>
  <c r="P569" i="4"/>
  <c r="P570" i="4"/>
  <c r="P564" i="4" l="1"/>
  <c r="P563" i="4"/>
  <c r="P562" i="4"/>
  <c r="P561" i="4"/>
  <c r="P560" i="4"/>
  <c r="P559" i="4"/>
  <c r="P558" i="4"/>
  <c r="P554" i="4"/>
  <c r="P555" i="4"/>
  <c r="P556" i="4"/>
  <c r="P557" i="4"/>
  <c r="E237" i="7" l="1"/>
  <c r="E225" i="7"/>
  <c r="E205" i="7"/>
  <c r="E192" i="7"/>
  <c r="E177" i="7"/>
  <c r="O348" i="4"/>
  <c r="O543" i="4"/>
  <c r="O542" i="4"/>
  <c r="O541" i="4"/>
  <c r="O440" i="4"/>
  <c r="O441" i="4"/>
  <c r="O381" i="4"/>
  <c r="O320" i="4"/>
  <c r="O315" i="4"/>
  <c r="O316" i="4"/>
  <c r="O317" i="4"/>
  <c r="O318" i="4"/>
  <c r="O298" i="4"/>
  <c r="O299" i="4"/>
  <c r="O519" i="4"/>
  <c r="O424" i="4"/>
  <c r="O423" i="4"/>
  <c r="O422" i="4"/>
  <c r="O421" i="4"/>
  <c r="O420" i="4"/>
  <c r="O419" i="4"/>
  <c r="O414" i="4"/>
  <c r="O413" i="4"/>
  <c r="O412" i="4"/>
  <c r="O411" i="4"/>
  <c r="O417" i="4"/>
  <c r="O418" i="4"/>
  <c r="O410" i="4"/>
  <c r="O386" i="4"/>
  <c r="O387" i="4"/>
  <c r="O388" i="4"/>
  <c r="O389" i="4"/>
  <c r="O383" i="4"/>
  <c r="O384" i="4"/>
  <c r="O385" i="4"/>
  <c r="O328" i="4"/>
  <c r="O329" i="4"/>
  <c r="O330" i="4"/>
  <c r="O327" i="4"/>
  <c r="E238" i="7" l="1"/>
  <c r="E206" i="7"/>
  <c r="O502" i="4"/>
  <c r="O501" i="4"/>
  <c r="O500" i="4" l="1"/>
  <c r="O499" i="4"/>
  <c r="O494" i="4"/>
  <c r="O493" i="4"/>
  <c r="O492" i="4"/>
  <c r="O491" i="4"/>
  <c r="P517" i="4" l="1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16" i="4"/>
  <c r="P515" i="4"/>
  <c r="P514" i="4"/>
  <c r="P513" i="4"/>
  <c r="P512" i="4"/>
  <c r="P511" i="4" l="1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O482" i="4" l="1"/>
  <c r="O481" i="4"/>
  <c r="P494" i="4"/>
  <c r="P493" i="4"/>
  <c r="P492" i="4"/>
  <c r="P491" i="4"/>
  <c r="O409" i="4"/>
  <c r="O408" i="4"/>
  <c r="O403" i="4"/>
  <c r="O402" i="4"/>
  <c r="O397" i="4"/>
  <c r="O396" i="4"/>
  <c r="O435" i="4"/>
  <c r="O434" i="4"/>
  <c r="O433" i="4"/>
  <c r="P490" i="4" l="1"/>
  <c r="P489" i="4"/>
  <c r="P488" i="4"/>
  <c r="P487" i="4"/>
  <c r="P486" i="4"/>
  <c r="P485" i="4"/>
  <c r="P484" i="4"/>
  <c r="P483" i="4"/>
  <c r="P482" i="4"/>
  <c r="P481" i="4"/>
  <c r="P480" i="4"/>
  <c r="P479" i="4"/>
  <c r="P478" i="4"/>
  <c r="O290" i="4" l="1"/>
  <c r="O289" i="4"/>
  <c r="O288" i="4"/>
  <c r="O456" i="4" l="1"/>
  <c r="O455" i="4"/>
  <c r="O454" i="4"/>
  <c r="O453" i="4"/>
  <c r="O452" i="4"/>
  <c r="O451" i="4"/>
  <c r="O450" i="4"/>
  <c r="O449" i="4"/>
  <c r="O448" i="4"/>
  <c r="O447" i="4"/>
  <c r="O334" i="4" l="1"/>
  <c r="O333" i="4"/>
  <c r="O332" i="4"/>
  <c r="O331" i="4"/>
  <c r="P331" i="4" s="1"/>
  <c r="O310" i="4" l="1"/>
  <c r="O309" i="4"/>
  <c r="O308" i="4"/>
  <c r="O307" i="4"/>
  <c r="O306" i="4"/>
  <c r="O401" i="4"/>
  <c r="O400" i="4"/>
  <c r="O399" i="4"/>
  <c r="O398" i="4" l="1"/>
  <c r="O382" i="4"/>
  <c r="O380" i="4"/>
  <c r="O379" i="4"/>
  <c r="O378" i="4"/>
  <c r="O377" i="4"/>
  <c r="O446" i="4" l="1"/>
  <c r="O445" i="4"/>
  <c r="O444" i="4"/>
  <c r="O443" i="4"/>
  <c r="O442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 l="1"/>
  <c r="P445" i="4"/>
  <c r="P444" i="4"/>
  <c r="P443" i="4"/>
  <c r="P442" i="4"/>
  <c r="O439" i="4"/>
  <c r="O438" i="4"/>
  <c r="O437" i="4"/>
  <c r="O436" i="4"/>
  <c r="O376" i="4"/>
  <c r="O261" i="4"/>
  <c r="O262" i="4"/>
  <c r="O263" i="4"/>
  <c r="O264" i="4"/>
  <c r="O391" i="4" l="1"/>
  <c r="O390" i="4"/>
  <c r="O305" i="4"/>
  <c r="P305" i="4" s="1"/>
  <c r="O304" i="4"/>
  <c r="P304" i="4" s="1"/>
  <c r="O303" i="4"/>
  <c r="P303" i="4" s="1"/>
  <c r="O302" i="4"/>
  <c r="P302" i="4" s="1"/>
  <c r="O301" i="4"/>
  <c r="P301" i="4" s="1"/>
  <c r="P441" i="4"/>
  <c r="P440" i="4"/>
  <c r="P439" i="4"/>
  <c r="P438" i="4"/>
  <c r="P437" i="4"/>
  <c r="P436" i="4"/>
  <c r="P435" i="4"/>
  <c r="P434" i="4"/>
  <c r="P433" i="4"/>
  <c r="O374" i="4"/>
  <c r="O375" i="4"/>
  <c r="O429" i="4"/>
  <c r="O430" i="4"/>
  <c r="O431" i="4"/>
  <c r="O432" i="4"/>
  <c r="O428" i="4"/>
  <c r="O427" i="4"/>
  <c r="O426" i="4"/>
  <c r="O425" i="4"/>
  <c r="O364" i="4"/>
  <c r="O365" i="4"/>
  <c r="O366" i="4"/>
  <c r="O367" i="4"/>
  <c r="P432" i="4" l="1"/>
  <c r="P431" i="4"/>
  <c r="P430" i="4"/>
  <c r="P418" i="4" l="1"/>
  <c r="P419" i="4"/>
  <c r="P420" i="4"/>
  <c r="P421" i="4"/>
  <c r="P422" i="4"/>
  <c r="P423" i="4"/>
  <c r="P424" i="4"/>
  <c r="P425" i="4"/>
  <c r="P426" i="4"/>
  <c r="P427" i="4"/>
  <c r="P428" i="4"/>
  <c r="P429" i="4"/>
  <c r="P417" i="4"/>
  <c r="O252" i="4"/>
  <c r="O253" i="4"/>
  <c r="O254" i="4"/>
  <c r="P416" i="4"/>
  <c r="P415" i="4"/>
  <c r="P414" i="4"/>
  <c r="P413" i="4"/>
  <c r="P412" i="4"/>
  <c r="P411" i="4"/>
  <c r="P410" i="4"/>
  <c r="P409" i="4"/>
  <c r="P408" i="4"/>
  <c r="O353" i="4"/>
  <c r="O354" i="4"/>
  <c r="O395" i="4"/>
  <c r="P395" i="4" s="1"/>
  <c r="O394" i="4"/>
  <c r="P394" i="4" s="1"/>
  <c r="O393" i="4"/>
  <c r="P393" i="4" s="1"/>
  <c r="O392" i="4"/>
  <c r="P392" i="4" s="1"/>
  <c r="P407" i="4"/>
  <c r="P406" i="4"/>
  <c r="P405" i="4"/>
  <c r="P404" i="4"/>
  <c r="P403" i="4"/>
  <c r="P402" i="4"/>
  <c r="P401" i="4"/>
  <c r="P400" i="4"/>
  <c r="P399" i="4"/>
  <c r="P398" i="4"/>
  <c r="P397" i="4"/>
  <c r="P396" i="4"/>
  <c r="P391" i="4"/>
  <c r="P390" i="4"/>
  <c r="O357" i="4" l="1"/>
  <c r="O358" i="4"/>
  <c r="O359" i="4"/>
  <c r="O360" i="4"/>
  <c r="O361" i="4"/>
  <c r="O362" i="4"/>
  <c r="O363" i="4"/>
  <c r="O371" i="4"/>
  <c r="O372" i="4"/>
  <c r="O373" i="4"/>
  <c r="O370" i="4"/>
  <c r="O369" i="4"/>
  <c r="O368" i="4"/>
  <c r="O271" i="4"/>
  <c r="P271" i="4" s="1"/>
  <c r="O272" i="4"/>
  <c r="P272" i="4" s="1"/>
  <c r="O273" i="4"/>
  <c r="P273" i="4" s="1"/>
  <c r="O270" i="4"/>
  <c r="P270" i="4" s="1"/>
  <c r="O230" i="4"/>
  <c r="P389" i="4" l="1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O222" i="4"/>
  <c r="O223" i="4"/>
  <c r="O224" i="4"/>
  <c r="O225" i="4"/>
  <c r="O300" i="4"/>
  <c r="O292" i="4" l="1"/>
  <c r="O291" i="4"/>
  <c r="O287" i="4"/>
  <c r="O352" i="4" l="1"/>
  <c r="O351" i="4"/>
  <c r="O350" i="4"/>
  <c r="O349" i="4"/>
  <c r="O356" i="4"/>
  <c r="O355" i="4"/>
  <c r="O343" i="4"/>
  <c r="O344" i="4"/>
  <c r="O345" i="4"/>
  <c r="O346" i="4"/>
  <c r="O347" i="4"/>
  <c r="O342" i="4"/>
  <c r="O341" i="4"/>
  <c r="O340" i="4"/>
  <c r="O339" i="4"/>
  <c r="O338" i="4"/>
  <c r="O335" i="4"/>
  <c r="O337" i="4"/>
  <c r="O336" i="4"/>
  <c r="O319" i="4"/>
  <c r="O314" i="4"/>
  <c r="O326" i="4"/>
  <c r="O325" i="4"/>
  <c r="O324" i="4"/>
  <c r="O323" i="4"/>
  <c r="O322" i="4"/>
  <c r="P367" i="4" l="1"/>
  <c r="P366" i="4"/>
  <c r="P365" i="4"/>
  <c r="P364" i="4"/>
  <c r="P363" i="4"/>
  <c r="P362" i="4" l="1"/>
  <c r="P361" i="4"/>
  <c r="P360" i="4"/>
  <c r="P359" i="4"/>
  <c r="P358" i="4"/>
  <c r="P357" i="4"/>
  <c r="P356" i="4"/>
  <c r="P355" i="4"/>
  <c r="P354" i="4"/>
  <c r="P353" i="4"/>
  <c r="P352" i="4" l="1"/>
  <c r="P351" i="4"/>
  <c r="P350" i="4"/>
  <c r="P349" i="4"/>
  <c r="P348" i="4"/>
  <c r="P347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30" i="4" l="1"/>
  <c r="P329" i="4"/>
  <c r="P328" i="4"/>
  <c r="P327" i="4"/>
  <c r="P326" i="4"/>
  <c r="P325" i="4"/>
  <c r="P324" i="4"/>
  <c r="P323" i="4"/>
  <c r="P322" i="4"/>
  <c r="P321" i="4"/>
  <c r="P260" i="4" l="1"/>
  <c r="O237" i="4" l="1"/>
  <c r="P237" i="4" s="1"/>
  <c r="O238" i="4"/>
  <c r="P238" i="4" s="1"/>
  <c r="O239" i="4"/>
  <c r="P239" i="4" s="1"/>
  <c r="O240" i="4"/>
  <c r="P240" i="4" s="1"/>
  <c r="O241" i="4"/>
  <c r="P241" i="4" s="1"/>
  <c r="O313" i="4" l="1"/>
  <c r="O312" i="4"/>
  <c r="O311" i="4"/>
  <c r="O229" i="4"/>
  <c r="O228" i="4"/>
  <c r="O227" i="4"/>
  <c r="O226" i="4"/>
  <c r="O218" i="4"/>
  <c r="O217" i="4"/>
  <c r="O216" i="4"/>
  <c r="O215" i="4"/>
  <c r="O236" i="4"/>
  <c r="O297" i="4"/>
  <c r="O296" i="4"/>
  <c r="O295" i="4"/>
  <c r="O294" i="4"/>
  <c r="O293" i="4"/>
  <c r="O246" i="4"/>
  <c r="O247" i="4"/>
  <c r="O248" i="4"/>
  <c r="O249" i="4"/>
  <c r="O208" i="4"/>
  <c r="O207" i="4"/>
  <c r="O206" i="4"/>
  <c r="O205" i="4"/>
  <c r="O250" i="4"/>
  <c r="O245" i="4"/>
  <c r="O259" i="4"/>
  <c r="O258" i="4"/>
  <c r="O257" i="4"/>
  <c r="O256" i="4"/>
  <c r="O255" i="4"/>
  <c r="O234" i="4"/>
  <c r="O233" i="4"/>
  <c r="O232" i="4"/>
  <c r="O231" i="4"/>
  <c r="P315" i="4" l="1"/>
  <c r="P316" i="4"/>
  <c r="P317" i="4"/>
  <c r="P318" i="4"/>
  <c r="P319" i="4"/>
  <c r="P320" i="4"/>
  <c r="P296" i="4"/>
  <c r="P297" i="4"/>
  <c r="P298" i="4"/>
  <c r="P299" i="4"/>
  <c r="P300" i="4"/>
  <c r="P306" i="4"/>
  <c r="P307" i="4"/>
  <c r="P308" i="4"/>
  <c r="P309" i="4"/>
  <c r="P310" i="4"/>
  <c r="P311" i="4"/>
  <c r="P312" i="4"/>
  <c r="P313" i="4"/>
  <c r="P314" i="4"/>
  <c r="P295" i="4"/>
  <c r="P294" i="4"/>
  <c r="P293" i="4"/>
  <c r="E139" i="7"/>
  <c r="E136" i="7"/>
  <c r="P292" i="4" l="1"/>
  <c r="P291" i="4"/>
  <c r="P290" i="4"/>
  <c r="P289" i="4"/>
  <c r="P288" i="4"/>
  <c r="P287" i="4" l="1"/>
  <c r="O286" i="4" l="1"/>
  <c r="O285" i="4" l="1"/>
  <c r="O284" i="4"/>
  <c r="O283" i="4"/>
  <c r="O282" i="4"/>
  <c r="O281" i="4"/>
  <c r="O280" i="4"/>
  <c r="O279" i="4"/>
  <c r="O278" i="4"/>
  <c r="O277" i="4"/>
  <c r="O276" i="4"/>
  <c r="O275" i="4"/>
  <c r="O274" i="4"/>
  <c r="O184" i="4"/>
  <c r="O185" i="4"/>
  <c r="O186" i="4"/>
  <c r="O187" i="4"/>
  <c r="O269" i="4"/>
  <c r="O266" i="4"/>
  <c r="O265" i="4"/>
  <c r="O268" i="4"/>
  <c r="O267" i="4"/>
  <c r="P286" i="4" l="1"/>
  <c r="P225" i="4"/>
  <c r="P226" i="4"/>
  <c r="P227" i="4"/>
  <c r="P228" i="4"/>
  <c r="P229" i="4"/>
  <c r="P230" i="4"/>
  <c r="P231" i="4"/>
  <c r="P232" i="4"/>
  <c r="P233" i="4"/>
  <c r="P234" i="4"/>
  <c r="P236" i="4"/>
  <c r="P245" i="4"/>
  <c r="P246" i="4"/>
  <c r="P247" i="4"/>
  <c r="P248" i="4"/>
  <c r="P249" i="4"/>
  <c r="P250" i="4"/>
  <c r="P252" i="4"/>
  <c r="P253" i="4"/>
  <c r="P254" i="4"/>
  <c r="P255" i="4"/>
  <c r="P256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E129" i="7" l="1"/>
  <c r="O178" i="4" l="1"/>
  <c r="P178" i="4" s="1"/>
  <c r="O179" i="4"/>
  <c r="P179" i="4" s="1"/>
  <c r="O180" i="4"/>
  <c r="P180" i="4" s="1"/>
  <c r="O251" i="4"/>
  <c r="P251" i="4" s="1"/>
  <c r="O151" i="4"/>
  <c r="O152" i="4"/>
  <c r="O153" i="4"/>
  <c r="O154" i="4"/>
  <c r="O244" i="4"/>
  <c r="P244" i="4" s="1"/>
  <c r="O243" i="4"/>
  <c r="P243" i="4" s="1"/>
  <c r="O242" i="4"/>
  <c r="P242" i="4" s="1"/>
  <c r="O235" i="4"/>
  <c r="P235" i="4" s="1"/>
  <c r="E18" i="7"/>
  <c r="E34" i="7"/>
  <c r="E44" i="7"/>
  <c r="E64" i="7"/>
  <c r="E80" i="7"/>
  <c r="E86" i="7"/>
  <c r="E99" i="7"/>
  <c r="E109" i="7"/>
  <c r="E122" i="7"/>
  <c r="E10" i="7"/>
  <c r="E5" i="7"/>
  <c r="E140" i="7" l="1"/>
  <c r="E87" i="7"/>
  <c r="E110" i="7"/>
  <c r="E45" i="7"/>
  <c r="E11" i="7"/>
  <c r="G110" i="7" l="1"/>
  <c r="O147" i="4"/>
  <c r="O221" i="4" l="1"/>
  <c r="P221" i="4" s="1"/>
  <c r="O220" i="4"/>
  <c r="P220" i="4" s="1"/>
  <c r="O219" i="4"/>
  <c r="P219" i="4" s="1"/>
  <c r="P216" i="4"/>
  <c r="P217" i="4"/>
  <c r="P218" i="4"/>
  <c r="P222" i="4"/>
  <c r="P223" i="4"/>
  <c r="P224" i="4"/>
  <c r="P215" i="4"/>
  <c r="O211" i="4" l="1"/>
  <c r="P211" i="4" s="1"/>
  <c r="O210" i="4"/>
  <c r="P210" i="4" s="1"/>
  <c r="O209" i="4"/>
  <c r="P209" i="4" s="1"/>
  <c r="O97" i="4"/>
  <c r="O98" i="4"/>
  <c r="O99" i="4"/>
  <c r="O100" i="4"/>
  <c r="O148" i="4" l="1"/>
  <c r="O142" i="4"/>
  <c r="O143" i="4"/>
  <c r="O144" i="4"/>
  <c r="O145" i="4"/>
  <c r="O146" i="4"/>
  <c r="O213" i="4" l="1"/>
  <c r="P213" i="4" s="1"/>
  <c r="O214" i="4"/>
  <c r="P214" i="4" s="1"/>
  <c r="O212" i="4"/>
  <c r="P212" i="4" s="1"/>
  <c r="O204" i="4"/>
  <c r="O203" i="4" l="1"/>
  <c r="P203" i="4" s="1"/>
  <c r="O195" i="4"/>
  <c r="O150" i="4"/>
  <c r="P150" i="4" s="1"/>
  <c r="O149" i="4"/>
  <c r="P149" i="4" s="1"/>
  <c r="O117" i="4"/>
  <c r="O118" i="4"/>
  <c r="O119" i="4"/>
  <c r="O120" i="4"/>
  <c r="O121" i="4"/>
  <c r="O122" i="4"/>
  <c r="O123" i="4"/>
  <c r="O138" i="4"/>
  <c r="O139" i="4"/>
  <c r="O140" i="4"/>
  <c r="O141" i="4"/>
  <c r="P208" i="4"/>
  <c r="O78" i="4"/>
  <c r="O79" i="4"/>
  <c r="O80" i="4"/>
  <c r="O81" i="4"/>
  <c r="O82" i="4"/>
  <c r="O83" i="4"/>
  <c r="O84" i="4"/>
  <c r="P207" i="4"/>
  <c r="P206" i="4"/>
  <c r="P205" i="4"/>
  <c r="P204" i="4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194" i="4"/>
  <c r="O196" i="4"/>
  <c r="O193" i="4"/>
  <c r="O189" i="4"/>
  <c r="O190" i="4"/>
  <c r="O191" i="4"/>
  <c r="O192" i="4"/>
  <c r="O188" i="4"/>
  <c r="O183" i="4"/>
  <c r="O182" i="4"/>
  <c r="O181" i="4"/>
  <c r="O114" i="4" l="1"/>
  <c r="O115" i="4"/>
  <c r="O137" i="4"/>
  <c r="O134" i="4"/>
  <c r="O135" i="4"/>
  <c r="O136" i="4"/>
  <c r="P196" i="4" l="1"/>
  <c r="P193" i="4" l="1"/>
  <c r="P195" i="4"/>
  <c r="P194" i="4"/>
  <c r="P190" i="4"/>
  <c r="P188" i="4"/>
  <c r="P189" i="4"/>
  <c r="P191" i="4"/>
  <c r="P192" i="4"/>
  <c r="P184" i="4" l="1"/>
  <c r="P185" i="4"/>
  <c r="P186" i="4"/>
  <c r="P187" i="4"/>
  <c r="P181" i="4"/>
  <c r="P183" i="4"/>
  <c r="P182" i="4"/>
  <c r="O131" i="4" l="1"/>
  <c r="O132" i="4"/>
  <c r="O133" i="4"/>
  <c r="O67" i="4"/>
  <c r="O68" i="4"/>
  <c r="O69" i="4"/>
  <c r="O70" i="4"/>
  <c r="O62" i="4"/>
  <c r="O63" i="4"/>
  <c r="O64" i="4"/>
  <c r="O65" i="4"/>
  <c r="O66" i="4"/>
  <c r="O53" i="4"/>
  <c r="O54" i="4"/>
  <c r="O55" i="4"/>
  <c r="O56" i="4"/>
  <c r="O57" i="4"/>
  <c r="O58" i="4"/>
  <c r="O59" i="4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C2" i="4"/>
  <c r="P151" i="4" l="1"/>
  <c r="P152" i="4"/>
  <c r="P153" i="4"/>
  <c r="P154" i="4"/>
  <c r="P147" i="4" l="1"/>
  <c r="P145" i="4" l="1"/>
  <c r="P146" i="4"/>
  <c r="P144" i="4" l="1"/>
  <c r="P143" i="4" l="1"/>
  <c r="P42" i="4" l="1"/>
  <c r="P43" i="4"/>
  <c r="P44" i="4"/>
  <c r="P45" i="4"/>
  <c r="P46" i="4"/>
  <c r="P53" i="4"/>
  <c r="P54" i="4"/>
  <c r="P55" i="4"/>
  <c r="P56" i="4"/>
  <c r="P57" i="4"/>
  <c r="P58" i="4"/>
  <c r="P59" i="4"/>
  <c r="P62" i="4"/>
  <c r="P63" i="4"/>
  <c r="P64" i="4"/>
  <c r="P65" i="4"/>
  <c r="P66" i="4"/>
  <c r="P67" i="4"/>
  <c r="P68" i="4"/>
  <c r="P69" i="4"/>
  <c r="P70" i="4"/>
  <c r="P78" i="4"/>
  <c r="P79" i="4"/>
  <c r="P80" i="4"/>
  <c r="P81" i="4"/>
  <c r="P82" i="4"/>
  <c r="P83" i="4"/>
  <c r="P84" i="4"/>
  <c r="P87" i="4"/>
  <c r="P88" i="4"/>
  <c r="P89" i="4"/>
  <c r="P97" i="4"/>
  <c r="P98" i="4"/>
  <c r="P99" i="4"/>
  <c r="P100" i="4"/>
  <c r="P106" i="4"/>
  <c r="P107" i="4"/>
  <c r="P108" i="4"/>
  <c r="P109" i="4"/>
  <c r="P114" i="4"/>
  <c r="P115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P136" i="4"/>
  <c r="P137" i="4"/>
  <c r="P138" i="4"/>
  <c r="P139" i="4"/>
  <c r="P140" i="4"/>
  <c r="P141" i="4"/>
  <c r="P142" i="4"/>
  <c r="P131" i="4"/>
  <c r="P132" i="4"/>
  <c r="P133" i="4"/>
  <c r="P134" i="4"/>
  <c r="O130" i="4"/>
  <c r="P130" i="4" s="1"/>
  <c r="O129" i="4"/>
  <c r="P129" i="4" s="1"/>
  <c r="O128" i="4"/>
  <c r="P128" i="4" s="1"/>
  <c r="O116" i="4" l="1"/>
  <c r="P116" i="4" s="1"/>
  <c r="O113" i="4"/>
  <c r="P113" i="4" s="1"/>
  <c r="O112" i="4"/>
  <c r="P112" i="4" s="1"/>
  <c r="O111" i="4"/>
  <c r="P111" i="4" s="1"/>
  <c r="O110" i="4"/>
  <c r="P110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P3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60" i="4"/>
  <c r="P60" i="4" s="1"/>
  <c r="O61" i="4"/>
  <c r="P61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85" i="4"/>
  <c r="P85" i="4" s="1"/>
  <c r="O86" i="4"/>
  <c r="P86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101" i="4"/>
  <c r="P101" i="4" s="1"/>
  <c r="O102" i="4"/>
  <c r="P102" i="4" s="1"/>
  <c r="O103" i="4"/>
  <c r="P103" i="4" s="1"/>
  <c r="O104" i="4"/>
  <c r="P104" i="4" s="1"/>
  <c r="O105" i="4"/>
  <c r="P105" i="4" s="1"/>
  <c r="O3" i="4"/>
  <c r="P3" i="4" s="1"/>
  <c r="O2" i="4"/>
  <c r="O5529" i="4" l="1"/>
  <c r="O5533" i="4" s="1"/>
  <c r="O5536" i="4" s="1"/>
  <c r="P2" i="4"/>
  <c r="Q5529" i="4" l="1"/>
  <c r="B2" i="4"/>
  <c r="Q2" i="4" l="1"/>
  <c r="M2" i="4"/>
  <c r="L2" i="4" l="1"/>
  <c r="Q3" i="4" l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Q358" i="4" s="1"/>
  <c r="Q359" i="4" s="1"/>
  <c r="Q360" i="4" s="1"/>
  <c r="Q361" i="4" s="1"/>
  <c r="Q362" i="4" s="1"/>
  <c r="Q363" i="4" s="1"/>
  <c r="Q364" i="4" s="1"/>
  <c r="Q365" i="4" s="1"/>
  <c r="Q366" i="4" s="1"/>
  <c r="Q367" i="4" s="1"/>
  <c r="Q368" i="4" s="1"/>
  <c r="Q369" i="4" s="1"/>
  <c r="Q370" i="4" s="1"/>
  <c r="Q371" i="4" s="1"/>
  <c r="Q372" i="4" s="1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Q388" i="4" s="1"/>
  <c r="Q389" i="4" s="1"/>
  <c r="Q390" i="4" s="1"/>
  <c r="Q391" i="4" s="1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405" i="4" s="1"/>
  <c r="Q406" i="4" s="1"/>
  <c r="Q407" i="4" s="1"/>
  <c r="Q408" i="4" s="1"/>
  <c r="Q409" i="4" s="1"/>
  <c r="Q410" i="4" s="1"/>
  <c r="Q411" i="4" s="1"/>
  <c r="Q412" i="4" s="1"/>
  <c r="Q413" i="4" s="1"/>
  <c r="Q414" i="4" s="1"/>
  <c r="Q415" i="4" s="1"/>
  <c r="Q416" i="4" s="1"/>
  <c r="Q417" i="4" s="1"/>
  <c r="Q418" i="4" s="1"/>
  <c r="Q419" i="4" s="1"/>
  <c r="Q420" i="4" s="1"/>
  <c r="Q421" i="4" s="1"/>
  <c r="Q422" i="4" s="1"/>
  <c r="Q423" i="4" s="1"/>
  <c r="Q424" i="4" s="1"/>
  <c r="Q425" i="4" s="1"/>
  <c r="Q426" i="4" s="1"/>
  <c r="Q427" i="4" s="1"/>
  <c r="Q428" i="4" s="1"/>
  <c r="Q429" i="4" s="1"/>
  <c r="Q430" i="4" s="1"/>
  <c r="Q431" i="4" s="1"/>
  <c r="Q432" i="4" s="1"/>
  <c r="Q433" i="4" s="1"/>
  <c r="Q434" i="4" s="1"/>
  <c r="Q435" i="4" s="1"/>
  <c r="Q436" i="4" s="1"/>
  <c r="Q437" i="4" s="1"/>
  <c r="Q438" i="4" s="1"/>
  <c r="Q439" i="4" s="1"/>
  <c r="Q440" i="4" s="1"/>
  <c r="Q441" i="4" s="1"/>
  <c r="Q442" i="4" s="1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5" i="4" s="1"/>
  <c r="Q476" i="4" s="1"/>
  <c r="Q477" i="4" s="1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90" i="4" s="1"/>
  <c r="Q491" i="4" s="1"/>
  <c r="Q492" i="4" s="1"/>
  <c r="Q493" i="4" s="1"/>
  <c r="Q494" i="4" s="1"/>
  <c r="Q495" i="4" s="1"/>
  <c r="Q496" i="4" s="1"/>
  <c r="Q497" i="4" s="1"/>
  <c r="Q498" i="4" s="1"/>
  <c r="Q499" i="4" s="1"/>
  <c r="Q500" i="4" s="1"/>
  <c r="Q501" i="4" s="1"/>
  <c r="Q502" i="4" s="1"/>
  <c r="Q503" i="4" s="1"/>
  <c r="Q504" i="4" s="1"/>
  <c r="Q505" i="4" s="1"/>
  <c r="Q506" i="4" s="1"/>
  <c r="Q507" i="4" s="1"/>
  <c r="Q508" i="4" s="1"/>
  <c r="Q509" i="4" s="1"/>
  <c r="Q510" i="4" s="1"/>
  <c r="Q511" i="4" s="1"/>
  <c r="Q512" i="4" s="1"/>
  <c r="Q513" i="4" s="1"/>
  <c r="Q514" i="4" s="1"/>
  <c r="Q515" i="4" s="1"/>
  <c r="Q516" i="4" s="1"/>
  <c r="Q517" i="4" s="1"/>
  <c r="Q518" i="4" s="1"/>
  <c r="Q519" i="4" s="1"/>
  <c r="Q520" i="4" s="1"/>
  <c r="Q521" i="4" s="1"/>
  <c r="Q522" i="4" s="1"/>
  <c r="Q523" i="4" s="1"/>
  <c r="Q524" i="4" s="1"/>
  <c r="Q525" i="4" s="1"/>
  <c r="Q526" i="4" s="1"/>
  <c r="Q527" i="4" s="1"/>
  <c r="Q528" i="4" s="1"/>
  <c r="Q529" i="4" s="1"/>
  <c r="Q530" i="4" s="1"/>
  <c r="Q531" i="4" s="1"/>
  <c r="Q532" i="4" s="1"/>
  <c r="Q533" i="4" s="1"/>
  <c r="Q534" i="4" s="1"/>
  <c r="Q535" i="4" s="1"/>
  <c r="Q536" i="4" s="1"/>
  <c r="Q537" i="4" s="1"/>
  <c r="Q538" i="4" s="1"/>
  <c r="Q539" i="4" s="1"/>
  <c r="Q540" i="4" s="1"/>
  <c r="Q541" i="4" s="1"/>
  <c r="Q542" i="4" s="1"/>
  <c r="Q543" i="4" s="1"/>
  <c r="Q544" i="4" s="1"/>
  <c r="Q545" i="4" s="1"/>
  <c r="Q546" i="4" s="1"/>
  <c r="Q547" i="4" s="1"/>
  <c r="Q548" i="4" s="1"/>
  <c r="Q549" i="4" s="1"/>
  <c r="Q550" i="4" s="1"/>
  <c r="Q551" i="4" s="1"/>
  <c r="Q552" i="4" s="1"/>
  <c r="Q553" i="4" s="1"/>
  <c r="Q554" i="4" s="1"/>
  <c r="Q555" i="4" s="1"/>
  <c r="Q556" i="4" s="1"/>
  <c r="Q557" i="4" s="1"/>
  <c r="Q558" i="4" s="1"/>
  <c r="Q559" i="4" s="1"/>
  <c r="Q560" i="4" s="1"/>
  <c r="Q561" i="4" s="1"/>
  <c r="Q562" i="4" s="1"/>
  <c r="Q563" i="4" s="1"/>
  <c r="Q564" i="4" s="1"/>
  <c r="Q565" i="4" s="1"/>
  <c r="Q566" i="4" s="1"/>
  <c r="Q567" i="4" s="1"/>
  <c r="Q568" i="4" s="1"/>
  <c r="Q569" i="4" s="1"/>
  <c r="Q570" i="4" s="1"/>
  <c r="Q571" i="4" s="1"/>
  <c r="Q572" i="4" s="1"/>
  <c r="Q573" i="4" s="1"/>
  <c r="Q574" i="4" s="1"/>
  <c r="Q575" i="4" s="1"/>
  <c r="Q576" i="4" s="1"/>
  <c r="Q577" i="4" s="1"/>
  <c r="Q578" i="4" s="1"/>
  <c r="Q579" i="4" s="1"/>
  <c r="Q580" i="4" s="1"/>
  <c r="Q581" i="4" s="1"/>
  <c r="Q582" i="4" s="1"/>
  <c r="Q583" i="4" s="1"/>
  <c r="Q584" i="4" s="1"/>
  <c r="Q585" i="4" s="1"/>
  <c r="Q586" i="4" s="1"/>
  <c r="Q587" i="4" s="1"/>
  <c r="Q588" i="4" s="1"/>
  <c r="Q589" i="4" s="1"/>
  <c r="Q590" i="4" s="1"/>
  <c r="Q591" i="4" s="1"/>
  <c r="Q592" i="4" s="1"/>
  <c r="Q593" i="4" s="1"/>
  <c r="Q594" i="4" s="1"/>
  <c r="Q595" i="4" s="1"/>
  <c r="Q596" i="4" s="1"/>
  <c r="Q597" i="4" s="1"/>
  <c r="Q598" i="4" s="1"/>
  <c r="Q599" i="4" s="1"/>
  <c r="Q600" i="4" s="1"/>
  <c r="Q601" i="4" s="1"/>
  <c r="Q602" i="4" s="1"/>
  <c r="Q603" i="4" s="1"/>
  <c r="Q604" i="4" s="1"/>
  <c r="Q605" i="4" s="1"/>
  <c r="Q606" i="4" s="1"/>
  <c r="Q607" i="4" s="1"/>
  <c r="Q608" i="4" s="1"/>
  <c r="Q609" i="4" s="1"/>
  <c r="Q610" i="4" s="1"/>
  <c r="Q611" i="4" s="1"/>
  <c r="Q612" i="4" s="1"/>
  <c r="Q613" i="4" s="1"/>
  <c r="Q614" i="4" s="1"/>
  <c r="Q615" i="4" s="1"/>
  <c r="Q616" i="4" s="1"/>
  <c r="Q617" i="4" s="1"/>
  <c r="Q618" i="4" s="1"/>
  <c r="Q619" i="4" s="1"/>
  <c r="Q620" i="4" s="1"/>
  <c r="Q621" i="4" s="1"/>
  <c r="Q622" i="4" s="1"/>
  <c r="Q623" i="4" s="1"/>
  <c r="Q624" i="4" s="1"/>
  <c r="Q625" i="4" s="1"/>
  <c r="Q626" i="4" s="1"/>
  <c r="Q627" i="4" s="1"/>
  <c r="Q628" i="4" s="1"/>
  <c r="Q629" i="4" s="1"/>
  <c r="Q630" i="4" s="1"/>
  <c r="Q631" i="4" s="1"/>
  <c r="Q632" i="4" s="1"/>
  <c r="Q633" i="4" s="1"/>
  <c r="Q634" i="4" s="1"/>
  <c r="Q635" i="4" s="1"/>
  <c r="Q636" i="4" s="1"/>
  <c r="Q637" i="4" s="1"/>
  <c r="Q638" i="4" s="1"/>
  <c r="Q639" i="4" s="1"/>
  <c r="Q640" i="4" s="1"/>
  <c r="Q641" i="4" s="1"/>
  <c r="Q642" i="4" s="1"/>
  <c r="Q643" i="4" s="1"/>
  <c r="Q644" i="4" s="1"/>
  <c r="Q645" i="4" s="1"/>
  <c r="Q646" i="4" s="1"/>
  <c r="Q647" i="4" s="1"/>
  <c r="Q648" i="4" s="1"/>
  <c r="Q649" i="4" s="1"/>
  <c r="Q650" i="4" s="1"/>
  <c r="Q651" i="4" s="1"/>
  <c r="Q652" i="4" s="1"/>
  <c r="Q653" i="4" s="1"/>
  <c r="Q654" i="4" s="1"/>
  <c r="Q655" i="4" s="1"/>
  <c r="Q656" i="4" s="1"/>
  <c r="Q657" i="4" s="1"/>
  <c r="Q658" i="4" s="1"/>
  <c r="Q659" i="4" s="1"/>
  <c r="Q660" i="4" s="1"/>
  <c r="Q661" i="4" s="1"/>
  <c r="Q662" i="4" s="1"/>
  <c r="Q663" i="4" s="1"/>
  <c r="Q664" i="4" s="1"/>
  <c r="Q665" i="4" s="1"/>
  <c r="Q666" i="4" s="1"/>
  <c r="Q667" i="4" s="1"/>
  <c r="Q668" i="4" s="1"/>
  <c r="Q669" i="4" s="1"/>
  <c r="Q670" i="4" s="1"/>
  <c r="Q671" i="4" s="1"/>
  <c r="Q672" i="4" s="1"/>
  <c r="Q673" i="4" s="1"/>
  <c r="Q674" i="4" s="1"/>
  <c r="Q675" i="4" s="1"/>
  <c r="Q676" i="4" s="1"/>
  <c r="Q677" i="4" s="1"/>
  <c r="Q678" i="4" s="1"/>
  <c r="Q679" i="4" s="1"/>
  <c r="Q680" i="4" s="1"/>
  <c r="Q681" i="4" s="1"/>
  <c r="Q682" i="4" s="1"/>
  <c r="Q683" i="4" s="1"/>
  <c r="Q684" i="4" s="1"/>
  <c r="Q685" i="4" s="1"/>
  <c r="Q686" i="4" s="1"/>
  <c r="Q687" i="4" s="1"/>
  <c r="Q688" i="4" s="1"/>
  <c r="Q689" i="4" s="1"/>
  <c r="Q690" i="4" s="1"/>
  <c r="Q691" i="4" s="1"/>
  <c r="Q692" i="4" s="1"/>
  <c r="Q693" i="4" s="1"/>
  <c r="Q694" i="4" s="1"/>
  <c r="Q695" i="4" s="1"/>
  <c r="Q696" i="4" s="1"/>
  <c r="Q697" i="4" s="1"/>
  <c r="Q698" i="4" s="1"/>
  <c r="Q699" i="4" s="1"/>
  <c r="Q700" i="4" s="1"/>
  <c r="Q701" i="4" s="1"/>
  <c r="Q702" i="4" s="1"/>
  <c r="Q703" i="4" s="1"/>
  <c r="Q704" i="4" s="1"/>
  <c r="Q705" i="4" s="1"/>
  <c r="Q706" i="4" s="1"/>
  <c r="Q707" i="4" s="1"/>
  <c r="Q708" i="4" s="1"/>
  <c r="Q709" i="4" s="1"/>
  <c r="Q710" i="4" s="1"/>
  <c r="Q711" i="4" s="1"/>
  <c r="Q712" i="4" s="1"/>
  <c r="Q713" i="4" s="1"/>
  <c r="Q714" i="4" s="1"/>
  <c r="Q715" i="4" s="1"/>
  <c r="Q716" i="4" s="1"/>
  <c r="Q717" i="4" s="1"/>
  <c r="Q718" i="4" s="1"/>
  <c r="Q719" i="4" s="1"/>
  <c r="Q720" i="4" s="1"/>
  <c r="Q721" i="4" s="1"/>
  <c r="Q722" i="4" s="1"/>
  <c r="Q723" i="4" s="1"/>
  <c r="Q724" i="4" s="1"/>
  <c r="Q725" i="4" s="1"/>
  <c r="Q726" i="4" s="1"/>
  <c r="Q727" i="4" s="1"/>
  <c r="Q728" i="4" s="1"/>
  <c r="Q729" i="4" s="1"/>
  <c r="Q730" i="4" s="1"/>
  <c r="Q731" i="4" s="1"/>
  <c r="Q732" i="4" s="1"/>
  <c r="Q733" i="4" s="1"/>
  <c r="Q734" i="4" s="1"/>
  <c r="Q735" i="4" s="1"/>
  <c r="Q736" i="4" s="1"/>
  <c r="Q737" i="4" s="1"/>
  <c r="Q738" i="4" s="1"/>
  <c r="Q739" i="4" s="1"/>
  <c r="Q740" i="4" s="1"/>
  <c r="Q741" i="4" s="1"/>
  <c r="Q742" i="4" s="1"/>
  <c r="Q743" i="4" s="1"/>
  <c r="Q744" i="4" s="1"/>
  <c r="Q745" i="4" s="1"/>
  <c r="Q746" i="4" s="1"/>
  <c r="Q747" i="4" s="1"/>
  <c r="Q748" i="4" s="1"/>
  <c r="Q749" i="4" s="1"/>
  <c r="Q750" i="4" s="1"/>
  <c r="Q751" i="4" s="1"/>
  <c r="Q752" i="4" s="1"/>
  <c r="Q753" i="4" s="1"/>
  <c r="Q754" i="4" s="1"/>
  <c r="Q755" i="4" s="1"/>
  <c r="Q756" i="4" s="1"/>
  <c r="Q757" i="4" s="1"/>
  <c r="Q758" i="4" s="1"/>
  <c r="Q759" i="4" s="1"/>
  <c r="Q760" i="4" s="1"/>
  <c r="Q761" i="4" s="1"/>
  <c r="Q762" i="4" s="1"/>
  <c r="Q763" i="4" s="1"/>
  <c r="Q764" i="4" s="1"/>
  <c r="Q765" i="4" s="1"/>
  <c r="Q766" i="4" s="1"/>
  <c r="Q767" i="4" s="1"/>
  <c r="Q768" i="4" s="1"/>
  <c r="Q769" i="4" s="1"/>
  <c r="Q770" i="4" s="1"/>
  <c r="Q771" i="4" s="1"/>
  <c r="Q772" i="4" s="1"/>
  <c r="Q773" i="4" s="1"/>
  <c r="Q774" i="4" s="1"/>
  <c r="Q775" i="4" s="1"/>
  <c r="Q776" i="4" s="1"/>
  <c r="Q777" i="4" s="1"/>
  <c r="Q778" i="4" s="1"/>
  <c r="Q779" i="4" s="1"/>
  <c r="Q780" i="4" s="1"/>
  <c r="Q781" i="4" s="1"/>
  <c r="Q782" i="4" s="1"/>
  <c r="Q783" i="4" s="1"/>
  <c r="Q784" i="4" s="1"/>
  <c r="Q785" i="4" s="1"/>
  <c r="Q786" i="4" s="1"/>
  <c r="Q787" i="4" s="1"/>
  <c r="Q788" i="4" s="1"/>
  <c r="Q789" i="4" s="1"/>
  <c r="Q790" i="4" s="1"/>
  <c r="Q791" i="4" s="1"/>
  <c r="Q792" i="4" s="1"/>
  <c r="Q793" i="4" s="1"/>
  <c r="Q794" i="4" s="1"/>
  <c r="Q795" i="4" s="1"/>
  <c r="Q796" i="4" s="1"/>
  <c r="Q797" i="4" s="1"/>
  <c r="Q798" i="4" s="1"/>
  <c r="Q799" i="4" s="1"/>
  <c r="Q800" i="4" s="1"/>
  <c r="Q801" i="4" s="1"/>
  <c r="Q802" i="4" s="1"/>
  <c r="Q803" i="4" s="1"/>
  <c r="Q804" i="4" s="1"/>
  <c r="Q805" i="4" s="1"/>
  <c r="Q806" i="4" s="1"/>
  <c r="Q807" i="4" s="1"/>
  <c r="Q808" i="4" s="1"/>
  <c r="Q809" i="4" s="1"/>
  <c r="Q810" i="4" s="1"/>
  <c r="Q811" i="4" s="1"/>
  <c r="Q812" i="4" s="1"/>
  <c r="Q813" i="4" s="1"/>
  <c r="Q814" i="4" s="1"/>
  <c r="Q815" i="4" s="1"/>
  <c r="Q816" i="4" s="1"/>
  <c r="Q817" i="4" s="1"/>
  <c r="Q818" i="4" s="1"/>
  <c r="Q819" i="4" s="1"/>
  <c r="Q820" i="4" s="1"/>
  <c r="Q821" i="4" s="1"/>
  <c r="Q822" i="4" s="1"/>
  <c r="Q823" i="4" s="1"/>
  <c r="Q824" i="4" s="1"/>
  <c r="Q825" i="4" s="1"/>
  <c r="Q826" i="4" s="1"/>
  <c r="Q827" i="4" s="1"/>
  <c r="Q828" i="4" s="1"/>
  <c r="Q829" i="4" s="1"/>
  <c r="Q830" i="4" s="1"/>
  <c r="Q831" i="4" s="1"/>
  <c r="Q832" i="4" s="1"/>
  <c r="Q833" i="4" s="1"/>
  <c r="Q834" i="4" s="1"/>
  <c r="Q835" i="4" s="1"/>
  <c r="Q836" i="4" s="1"/>
  <c r="Q837" i="4" s="1"/>
  <c r="Q838" i="4" s="1"/>
  <c r="Q839" i="4" s="1"/>
  <c r="Q840" i="4" s="1"/>
  <c r="Q841" i="4" s="1"/>
  <c r="Q842" i="4" s="1"/>
  <c r="Q843" i="4" s="1"/>
  <c r="Q844" i="4" s="1"/>
  <c r="Q845" i="4" s="1"/>
  <c r="Q846" i="4" s="1"/>
  <c r="Q847" i="4" s="1"/>
  <c r="Q848" i="4" s="1"/>
  <c r="Q849" i="4" s="1"/>
  <c r="Q850" i="4" s="1"/>
  <c r="Q851" i="4" s="1"/>
  <c r="Q852" i="4" s="1"/>
  <c r="Q853" i="4" s="1"/>
  <c r="Q854" i="4" s="1"/>
  <c r="Q855" i="4" s="1"/>
  <c r="Q856" i="4" s="1"/>
  <c r="Q857" i="4" s="1"/>
  <c r="Q858" i="4" s="1"/>
  <c r="Q859" i="4" s="1"/>
  <c r="Q860" i="4" s="1"/>
  <c r="Q861" i="4" s="1"/>
  <c r="Q862" i="4" s="1"/>
  <c r="Q863" i="4" s="1"/>
  <c r="Q864" i="4" s="1"/>
  <c r="Q865" i="4" s="1"/>
  <c r="Q866" i="4" s="1"/>
  <c r="Q867" i="4" s="1"/>
  <c r="Q868" i="4" s="1"/>
  <c r="Q869" i="4" s="1"/>
  <c r="Q870" i="4" s="1"/>
  <c r="Q871" i="4" s="1"/>
  <c r="Q872" i="4" s="1"/>
  <c r="Q873" i="4" s="1"/>
  <c r="Q874" i="4" s="1"/>
  <c r="Q875" i="4" s="1"/>
  <c r="Q876" i="4" s="1"/>
  <c r="Q877" i="4" s="1"/>
  <c r="Q878" i="4" s="1"/>
  <c r="Q879" i="4" s="1"/>
  <c r="Q880" i="4" s="1"/>
  <c r="Q881" i="4" s="1"/>
  <c r="Q882" i="4" s="1"/>
  <c r="Q883" i="4" s="1"/>
  <c r="Q884" i="4" s="1"/>
  <c r="Q885" i="4" s="1"/>
  <c r="Q886" i="4" s="1"/>
  <c r="Q887" i="4" s="1"/>
  <c r="Q888" i="4" s="1"/>
  <c r="Q889" i="4" s="1"/>
  <c r="Q890" i="4" s="1"/>
  <c r="Q891" i="4" s="1"/>
  <c r="Q892" i="4" s="1"/>
  <c r="Q893" i="4" s="1"/>
  <c r="Q894" i="4" s="1"/>
  <c r="Q895" i="4" s="1"/>
  <c r="Q896" i="4" s="1"/>
  <c r="Q897" i="4" s="1"/>
  <c r="Q898" i="4" s="1"/>
  <c r="Q899" i="4" s="1"/>
  <c r="Q900" i="4" s="1"/>
  <c r="Q901" i="4" s="1"/>
  <c r="Q902" i="4" s="1"/>
  <c r="Q903" i="4" s="1"/>
  <c r="Q904" i="4" s="1"/>
  <c r="Q905" i="4" s="1"/>
  <c r="Q906" i="4" s="1"/>
  <c r="Q907" i="4" s="1"/>
  <c r="Q908" i="4" s="1"/>
  <c r="Q909" i="4" s="1"/>
  <c r="Q910" i="4" s="1"/>
  <c r="Q911" i="4" s="1"/>
  <c r="Q912" i="4" s="1"/>
  <c r="Q913" i="4" s="1"/>
  <c r="Q914" i="4" s="1"/>
  <c r="Q915" i="4" s="1"/>
  <c r="Q916" i="4" s="1"/>
  <c r="Q917" i="4" s="1"/>
  <c r="Q918" i="4" s="1"/>
  <c r="Q919" i="4" s="1"/>
  <c r="Q920" i="4" s="1"/>
  <c r="Q921" i="4" s="1"/>
  <c r="Q922" i="4" s="1"/>
  <c r="Q923" i="4" s="1"/>
  <c r="Q924" i="4" s="1"/>
  <c r="Q925" i="4" s="1"/>
  <c r="Q926" i="4" s="1"/>
  <c r="Q927" i="4" s="1"/>
  <c r="Q928" i="4" s="1"/>
  <c r="Q929" i="4" s="1"/>
  <c r="Q930" i="4" s="1"/>
  <c r="Q931" i="4" s="1"/>
  <c r="Q932" i="4" s="1"/>
  <c r="Q933" i="4" s="1"/>
  <c r="Q934" i="4" s="1"/>
  <c r="Q935" i="4" s="1"/>
  <c r="Q936" i="4" s="1"/>
  <c r="Q937" i="4" s="1"/>
  <c r="Q938" i="4" s="1"/>
  <c r="Q939" i="4" s="1"/>
  <c r="Q940" i="4" s="1"/>
  <c r="Q941" i="4" s="1"/>
  <c r="Q942" i="4" s="1"/>
  <c r="Q943" i="4" s="1"/>
  <c r="Q944" i="4" s="1"/>
  <c r="Q945" i="4" s="1"/>
  <c r="Q946" i="4" s="1"/>
  <c r="Q947" i="4" s="1"/>
  <c r="Q948" i="4" s="1"/>
  <c r="Q949" i="4" s="1"/>
  <c r="Q950" i="4" s="1"/>
  <c r="Q951" i="4" s="1"/>
  <c r="Q952" i="4" s="1"/>
  <c r="Q953" i="4" s="1"/>
  <c r="Q954" i="4" s="1"/>
  <c r="Q955" i="4" s="1"/>
  <c r="Q956" i="4" s="1"/>
  <c r="Q957" i="4" s="1"/>
  <c r="Q958" i="4" s="1"/>
  <c r="Q959" i="4" s="1"/>
  <c r="Q960" i="4" s="1"/>
  <c r="Q961" i="4" s="1"/>
  <c r="Q962" i="4" s="1"/>
  <c r="Q963" i="4" s="1"/>
  <c r="Q964" i="4" s="1"/>
  <c r="Q965" i="4" s="1"/>
  <c r="Q966" i="4" s="1"/>
  <c r="Q967" i="4" s="1"/>
  <c r="Q968" i="4" s="1"/>
  <c r="Q969" i="4" s="1"/>
  <c r="Q970" i="4" s="1"/>
  <c r="Q971" i="4" s="1"/>
  <c r="Q972" i="4" s="1"/>
  <c r="Q973" i="4" s="1"/>
  <c r="Q974" i="4" s="1"/>
  <c r="Q975" i="4" s="1"/>
  <c r="Q976" i="4" s="1"/>
  <c r="Q977" i="4" s="1"/>
  <c r="Q978" i="4" s="1"/>
  <c r="Q979" i="4" s="1"/>
  <c r="Q980" i="4" s="1"/>
  <c r="Q981" i="4" s="1"/>
  <c r="Q982" i="4" s="1"/>
  <c r="Q983" i="4" s="1"/>
  <c r="Q984" i="4" s="1"/>
  <c r="Q985" i="4" s="1"/>
  <c r="Q986" i="4" s="1"/>
  <c r="Q987" i="4" s="1"/>
  <c r="Q988" i="4" s="1"/>
  <c r="Q989" i="4" s="1"/>
  <c r="Q990" i="4" s="1"/>
  <c r="Q991" i="4" s="1"/>
  <c r="Q992" i="4" s="1"/>
  <c r="Q993" i="4" s="1"/>
  <c r="Q994" i="4" s="1"/>
  <c r="Q995" i="4" s="1"/>
  <c r="Q996" i="4" s="1"/>
  <c r="Q997" i="4" s="1"/>
  <c r="Q998" i="4" s="1"/>
  <c r="Q999" i="4" s="1"/>
  <c r="Q1000" i="4" s="1"/>
  <c r="Q1001" i="4" s="1"/>
  <c r="Q1002" i="4" s="1"/>
  <c r="Q1003" i="4" s="1"/>
  <c r="Q1004" i="4" s="1"/>
  <c r="Q1005" i="4" s="1"/>
  <c r="Q1006" i="4" s="1"/>
  <c r="Q1007" i="4" s="1"/>
  <c r="Q1008" i="4" s="1"/>
  <c r="Q1009" i="4" s="1"/>
  <c r="Q1010" i="4" s="1"/>
  <c r="Q1011" i="4" s="1"/>
  <c r="Q1012" i="4" s="1"/>
  <c r="Q1013" i="4" s="1"/>
  <c r="Q1014" i="4" s="1"/>
  <c r="Q1015" i="4" s="1"/>
  <c r="Q1016" i="4" s="1"/>
  <c r="Q1017" i="4" s="1"/>
  <c r="Q1018" i="4" s="1"/>
  <c r="Q1019" i="4" s="1"/>
  <c r="Q1020" i="4" s="1"/>
  <c r="Q1021" i="4" s="1"/>
  <c r="Q1022" i="4" s="1"/>
  <c r="Q1023" i="4" s="1"/>
  <c r="Q1024" i="4" s="1"/>
  <c r="Q1025" i="4" s="1"/>
  <c r="Q1026" i="4" s="1"/>
  <c r="Q1027" i="4" s="1"/>
  <c r="Q1028" i="4" s="1"/>
  <c r="Q1029" i="4" s="1"/>
  <c r="Q1030" i="4" s="1"/>
  <c r="Q1031" i="4" s="1"/>
  <c r="Q1032" i="4" s="1"/>
  <c r="Q1033" i="4" s="1"/>
  <c r="Q1034" i="4" s="1"/>
  <c r="Q1035" i="4" s="1"/>
  <c r="Q1036" i="4" s="1"/>
  <c r="Q1037" i="4" s="1"/>
  <c r="Q1038" i="4" s="1"/>
  <c r="Q1039" i="4" s="1"/>
  <c r="Q1040" i="4" s="1"/>
  <c r="Q1041" i="4" s="1"/>
  <c r="Q1042" i="4" s="1"/>
  <c r="Q1043" i="4" s="1"/>
  <c r="Q1044" i="4" s="1"/>
  <c r="Q1045" i="4" s="1"/>
  <c r="Q1046" i="4" s="1"/>
  <c r="Q1047" i="4" s="1"/>
  <c r="Q1048" i="4" s="1"/>
  <c r="Q1049" i="4" s="1"/>
  <c r="Q1050" i="4" s="1"/>
  <c r="Q1051" i="4" s="1"/>
  <c r="Q1052" i="4" s="1"/>
  <c r="Q1053" i="4" s="1"/>
  <c r="Q1054" i="4" s="1"/>
  <c r="Q1055" i="4" s="1"/>
  <c r="Q1056" i="4" s="1"/>
  <c r="Q1057" i="4" s="1"/>
  <c r="Q1058" i="4" s="1"/>
  <c r="Q1059" i="4" s="1"/>
  <c r="Q1060" i="4" s="1"/>
  <c r="Q1061" i="4" s="1"/>
  <c r="Q1062" i="4" s="1"/>
  <c r="Q1063" i="4" s="1"/>
  <c r="Q1064" i="4" s="1"/>
  <c r="Q1065" i="4" s="1"/>
  <c r="Q1066" i="4" s="1"/>
  <c r="Q1067" i="4" s="1"/>
  <c r="Q1068" i="4" s="1"/>
  <c r="Q1069" i="4" s="1"/>
  <c r="Q1070" i="4" s="1"/>
  <c r="Q1071" i="4" s="1"/>
  <c r="Q1072" i="4" s="1"/>
  <c r="Q1073" i="4" s="1"/>
  <c r="Q1074" i="4" s="1"/>
  <c r="Q1075" i="4" s="1"/>
  <c r="Q1076" i="4" s="1"/>
  <c r="Q1077" i="4" s="1"/>
  <c r="Q1078" i="4" s="1"/>
  <c r="Q1079" i="4" s="1"/>
  <c r="Q1080" i="4" s="1"/>
  <c r="Q1081" i="4" s="1"/>
  <c r="Q1082" i="4" s="1"/>
  <c r="Q1083" i="4" s="1"/>
  <c r="Q1084" i="4" s="1"/>
  <c r="Q1085" i="4" s="1"/>
  <c r="Q1086" i="4" s="1"/>
  <c r="Q1087" i="4" s="1"/>
  <c r="Q1088" i="4" s="1"/>
  <c r="Q1089" i="4" s="1"/>
  <c r="Q1090" i="4" s="1"/>
  <c r="Q1091" i="4" s="1"/>
  <c r="Q1092" i="4" s="1"/>
  <c r="Q1093" i="4" s="1"/>
  <c r="Q1094" i="4" s="1"/>
  <c r="Q1095" i="4" s="1"/>
  <c r="Q1096" i="4" s="1"/>
  <c r="Q1097" i="4" s="1"/>
  <c r="Q1098" i="4" s="1"/>
  <c r="Q1099" i="4" s="1"/>
  <c r="Q1100" i="4" s="1"/>
  <c r="Q1101" i="4" s="1"/>
  <c r="Q1102" i="4" s="1"/>
  <c r="Q1103" i="4" s="1"/>
  <c r="Q1104" i="4" s="1"/>
  <c r="Q1105" i="4" s="1"/>
  <c r="Q1106" i="4" s="1"/>
  <c r="Q1107" i="4" s="1"/>
  <c r="Q1108" i="4" s="1"/>
  <c r="Q1109" i="4" s="1"/>
  <c r="Q1110" i="4" s="1"/>
  <c r="Q1111" i="4" s="1"/>
  <c r="Q1112" i="4" s="1"/>
  <c r="Q1113" i="4" s="1"/>
  <c r="Q1114" i="4" s="1"/>
  <c r="Q1115" i="4" s="1"/>
  <c r="Q1116" i="4" s="1"/>
  <c r="Q1117" i="4" s="1"/>
  <c r="Q1118" i="4" s="1"/>
  <c r="Q1119" i="4" s="1"/>
  <c r="Q1120" i="4" s="1"/>
  <c r="Q1121" i="4" s="1"/>
  <c r="Q1122" i="4" s="1"/>
  <c r="Q1123" i="4" s="1"/>
  <c r="Q1124" i="4" s="1"/>
  <c r="Q1125" i="4" s="1"/>
  <c r="Q1126" i="4" s="1"/>
  <c r="Q1127" i="4" s="1"/>
  <c r="Q1128" i="4" s="1"/>
  <c r="Q1129" i="4" s="1"/>
  <c r="Q1130" i="4" s="1"/>
  <c r="Q1131" i="4" s="1"/>
  <c r="Q1132" i="4" s="1"/>
  <c r="Q1133" i="4" s="1"/>
  <c r="Q1134" i="4" s="1"/>
  <c r="Q1135" i="4" s="1"/>
  <c r="Q1136" i="4" s="1"/>
  <c r="Q1137" i="4" s="1"/>
  <c r="Q1138" i="4" s="1"/>
  <c r="Q1139" i="4" s="1"/>
  <c r="Q1140" i="4" s="1"/>
  <c r="Q1141" i="4" s="1"/>
  <c r="Q1142" i="4" s="1"/>
  <c r="Q1143" i="4" s="1"/>
  <c r="Q1144" i="4" s="1"/>
  <c r="Q1145" i="4" s="1"/>
  <c r="Q1146" i="4" s="1"/>
  <c r="Q1147" i="4" s="1"/>
  <c r="Q1148" i="4" s="1"/>
  <c r="Q1149" i="4" s="1"/>
  <c r="Q1150" i="4" s="1"/>
  <c r="Q1151" i="4" s="1"/>
  <c r="Q1152" i="4" s="1"/>
  <c r="Q1153" i="4" s="1"/>
  <c r="Q1154" i="4" s="1"/>
  <c r="Q1155" i="4" s="1"/>
  <c r="Q1156" i="4" s="1"/>
  <c r="Q1157" i="4" s="1"/>
  <c r="Q1158" i="4" s="1"/>
  <c r="Q1159" i="4" s="1"/>
  <c r="Q1160" i="4" s="1"/>
  <c r="Q1161" i="4" s="1"/>
  <c r="Q1162" i="4" s="1"/>
  <c r="Q1163" i="4" s="1"/>
  <c r="Q1164" i="4" s="1"/>
  <c r="Q1165" i="4" s="1"/>
  <c r="Q1166" i="4" s="1"/>
  <c r="Q1167" i="4" s="1"/>
  <c r="Q1168" i="4" s="1"/>
  <c r="Q1169" i="4" s="1"/>
  <c r="Q1170" i="4" s="1"/>
  <c r="Q1171" i="4" s="1"/>
  <c r="Q1172" i="4" s="1"/>
  <c r="Q1173" i="4" s="1"/>
  <c r="Q1174" i="4" s="1"/>
  <c r="Q1175" i="4" s="1"/>
  <c r="Q1176" i="4" s="1"/>
  <c r="Q1177" i="4" s="1"/>
  <c r="Q1178" i="4" s="1"/>
  <c r="Q1179" i="4" s="1"/>
  <c r="Q1180" i="4" s="1"/>
  <c r="Q1181" i="4" s="1"/>
  <c r="Q1182" i="4" s="1"/>
  <c r="Q1183" i="4" s="1"/>
  <c r="Q1184" i="4" s="1"/>
  <c r="Q1185" i="4" s="1"/>
  <c r="Q1186" i="4" s="1"/>
  <c r="Q1187" i="4" s="1"/>
  <c r="Q1188" i="4" s="1"/>
  <c r="Q1189" i="4" s="1"/>
  <c r="Q1190" i="4" s="1"/>
  <c r="Q1191" i="4" s="1"/>
  <c r="Q1192" i="4" s="1"/>
  <c r="Q1193" i="4" s="1"/>
  <c r="Q1194" i="4" s="1"/>
  <c r="Q1195" i="4" s="1"/>
  <c r="Q1196" i="4" s="1"/>
  <c r="Q1197" i="4" s="1"/>
  <c r="Q1198" i="4" s="1"/>
  <c r="Q1199" i="4" s="1"/>
  <c r="Q1200" i="4" s="1"/>
  <c r="Q1201" i="4" s="1"/>
  <c r="Q1202" i="4" s="1"/>
  <c r="Q1203" i="4" s="1"/>
  <c r="Q1204" i="4" s="1"/>
  <c r="Q1205" i="4" s="1"/>
  <c r="Q1206" i="4" s="1"/>
  <c r="Q1207" i="4" s="1"/>
  <c r="Q1208" i="4" s="1"/>
  <c r="Q1209" i="4" s="1"/>
  <c r="Q1210" i="4" s="1"/>
  <c r="Q1211" i="4" s="1"/>
  <c r="Q1212" i="4" s="1"/>
  <c r="Q1213" i="4" s="1"/>
  <c r="Q1214" i="4" s="1"/>
  <c r="Q1215" i="4" s="1"/>
  <c r="Q1216" i="4" s="1"/>
  <c r="Q1217" i="4" s="1"/>
  <c r="Q1218" i="4" s="1"/>
  <c r="Q1219" i="4" s="1"/>
  <c r="Q1220" i="4" s="1"/>
  <c r="Q1221" i="4" s="1"/>
  <c r="Q1222" i="4" s="1"/>
  <c r="Q1223" i="4" s="1"/>
  <c r="Q1224" i="4" s="1"/>
  <c r="Q1225" i="4" s="1"/>
  <c r="Q1226" i="4" s="1"/>
  <c r="Q1227" i="4" s="1"/>
  <c r="Q1228" i="4" s="1"/>
  <c r="Q1229" i="4" s="1"/>
  <c r="Q1230" i="4" s="1"/>
  <c r="Q1231" i="4" s="1"/>
  <c r="Q1232" i="4" s="1"/>
  <c r="Q1233" i="4" s="1"/>
  <c r="Q1234" i="4" s="1"/>
  <c r="Q1235" i="4" s="1"/>
  <c r="Q1236" i="4" s="1"/>
  <c r="Q1237" i="4" s="1"/>
  <c r="Q1238" i="4" s="1"/>
  <c r="Q1239" i="4" s="1"/>
  <c r="Q1240" i="4" s="1"/>
  <c r="Q1241" i="4" s="1"/>
  <c r="Q1242" i="4" s="1"/>
  <c r="Q1243" i="4" s="1"/>
  <c r="Q1244" i="4" s="1"/>
  <c r="Q1245" i="4" s="1"/>
  <c r="Q1246" i="4" s="1"/>
  <c r="Q1247" i="4" s="1"/>
  <c r="Q1248" i="4" s="1"/>
  <c r="Q1249" i="4" s="1"/>
  <c r="Q1250" i="4" s="1"/>
  <c r="Q1251" i="4" s="1"/>
  <c r="Q1252" i="4" s="1"/>
  <c r="Q1253" i="4" s="1"/>
  <c r="Q1254" i="4" s="1"/>
  <c r="Q1255" i="4" s="1"/>
  <c r="Q1256" i="4" s="1"/>
  <c r="Q1257" i="4" s="1"/>
  <c r="Q1258" i="4" s="1"/>
  <c r="Q1259" i="4" s="1"/>
  <c r="Q1260" i="4" s="1"/>
  <c r="Q1261" i="4" s="1"/>
  <c r="Q1262" i="4" s="1"/>
  <c r="Q1263" i="4" s="1"/>
  <c r="Q1264" i="4" s="1"/>
  <c r="Q1265" i="4" s="1"/>
  <c r="Q1266" i="4" s="1"/>
  <c r="Q1267" i="4" s="1"/>
  <c r="Q1268" i="4" s="1"/>
  <c r="Q1269" i="4" s="1"/>
  <c r="Q1270" i="4" s="1"/>
  <c r="Q1271" i="4" s="1"/>
  <c r="Q1272" i="4" s="1"/>
  <c r="Q1273" i="4" s="1"/>
  <c r="Q1274" i="4" s="1"/>
  <c r="Q1275" i="4" s="1"/>
  <c r="Q1276" i="4" s="1"/>
  <c r="Q1277" i="4" s="1"/>
  <c r="Q1278" i="4" s="1"/>
  <c r="Q1279" i="4" s="1"/>
  <c r="Q1280" i="4" s="1"/>
  <c r="Q1281" i="4" s="1"/>
  <c r="Q1282" i="4" s="1"/>
  <c r="Q1283" i="4" s="1"/>
  <c r="Q1284" i="4" s="1"/>
  <c r="Q1285" i="4" s="1"/>
  <c r="Q1286" i="4" s="1"/>
  <c r="Q1287" i="4" s="1"/>
  <c r="Q1288" i="4" s="1"/>
  <c r="Q1289" i="4" s="1"/>
  <c r="Q1290" i="4" s="1"/>
  <c r="Q1291" i="4" s="1"/>
  <c r="Q1292" i="4" s="1"/>
  <c r="Q1293" i="4" s="1"/>
  <c r="Q1294" i="4" s="1"/>
  <c r="Q1295" i="4" s="1"/>
  <c r="Q1296" i="4" s="1"/>
  <c r="Q1297" i="4" s="1"/>
  <c r="Q1298" i="4" s="1"/>
  <c r="Q1299" i="4" s="1"/>
  <c r="Q1300" i="4" s="1"/>
  <c r="Q1301" i="4" s="1"/>
  <c r="Q1302" i="4" s="1"/>
  <c r="Q1303" i="4" s="1"/>
  <c r="Q1304" i="4" s="1"/>
  <c r="Q1305" i="4" s="1"/>
  <c r="Q1306" i="4" s="1"/>
  <c r="Q1307" i="4" s="1"/>
  <c r="Q1308" i="4" s="1"/>
  <c r="Q1309" i="4" s="1"/>
  <c r="Q1310" i="4" s="1"/>
  <c r="Q1311" i="4" s="1"/>
  <c r="Q1312" i="4" s="1"/>
  <c r="Q1313" i="4" s="1"/>
  <c r="Q1314" i="4" s="1"/>
  <c r="Q1315" i="4" s="1"/>
  <c r="Q1316" i="4" s="1"/>
  <c r="Q1317" i="4" s="1"/>
  <c r="Q1318" i="4" s="1"/>
  <c r="Q1319" i="4" s="1"/>
  <c r="Q1320" i="4" s="1"/>
  <c r="Q1321" i="4" s="1"/>
  <c r="Q1322" i="4" s="1"/>
  <c r="Q1323" i="4" s="1"/>
  <c r="Q1324" i="4" s="1"/>
  <c r="Q1325" i="4" s="1"/>
  <c r="Q1326" i="4" s="1"/>
  <c r="Q1327" i="4" s="1"/>
  <c r="Q1328" i="4" s="1"/>
  <c r="Q1329" i="4" s="1"/>
  <c r="Q1330" i="4" s="1"/>
  <c r="Q1331" i="4" s="1"/>
  <c r="Q1332" i="4" s="1"/>
  <c r="Q1333" i="4" s="1"/>
  <c r="Q1334" i="4" s="1"/>
  <c r="Q1335" i="4" s="1"/>
  <c r="Q1336" i="4" s="1"/>
  <c r="Q1337" i="4" s="1"/>
  <c r="Q1338" i="4" s="1"/>
  <c r="Q1339" i="4" s="1"/>
  <c r="Q1340" i="4" s="1"/>
  <c r="Q1341" i="4" s="1"/>
  <c r="Q1342" i="4" s="1"/>
  <c r="Q1343" i="4" s="1"/>
  <c r="Q1344" i="4" s="1"/>
  <c r="Q1345" i="4" s="1"/>
  <c r="Q1346" i="4" s="1"/>
  <c r="Q1347" i="4" s="1"/>
  <c r="Q1348" i="4" s="1"/>
  <c r="Q1349" i="4" s="1"/>
  <c r="Q1350" i="4" s="1"/>
  <c r="Q1351" i="4" s="1"/>
  <c r="Q1352" i="4" s="1"/>
  <c r="Q1353" i="4" s="1"/>
  <c r="Q1354" i="4" s="1"/>
  <c r="Q1355" i="4" s="1"/>
  <c r="Q1356" i="4" s="1"/>
  <c r="Q1357" i="4" s="1"/>
  <c r="Q1358" i="4" s="1"/>
  <c r="Q1359" i="4" s="1"/>
  <c r="Q1360" i="4" s="1"/>
  <c r="Q1361" i="4" s="1"/>
  <c r="Q1362" i="4" s="1"/>
  <c r="Q1363" i="4" s="1"/>
  <c r="Q1364" i="4" s="1"/>
  <c r="Q1365" i="4" s="1"/>
  <c r="Q1366" i="4" s="1"/>
  <c r="Q1367" i="4" s="1"/>
  <c r="Q1368" i="4" s="1"/>
  <c r="Q1369" i="4" s="1"/>
  <c r="Q1370" i="4" s="1"/>
  <c r="Q1371" i="4" s="1"/>
  <c r="Q1372" i="4" s="1"/>
  <c r="Q1373" i="4" s="1"/>
  <c r="Q1374" i="4" s="1"/>
  <c r="Q1375" i="4" s="1"/>
  <c r="Q1376" i="4" s="1"/>
  <c r="Q1377" i="4" s="1"/>
  <c r="Q1378" i="4" s="1"/>
  <c r="Q1379" i="4" s="1"/>
  <c r="Q1380" i="4" s="1"/>
  <c r="Q1381" i="4" s="1"/>
  <c r="Q1382" i="4" s="1"/>
  <c r="Q1383" i="4" s="1"/>
  <c r="Q1384" i="4" s="1"/>
  <c r="Q1385" i="4" s="1"/>
  <c r="Q1386" i="4" s="1"/>
  <c r="Q1387" i="4" s="1"/>
  <c r="Q1388" i="4" s="1"/>
  <c r="Q1389" i="4" s="1"/>
  <c r="Q1390" i="4" s="1"/>
  <c r="Q1391" i="4" s="1"/>
  <c r="Q1392" i="4" s="1"/>
  <c r="Q1393" i="4" s="1"/>
  <c r="Q1394" i="4" s="1"/>
  <c r="Q1395" i="4" s="1"/>
  <c r="Q1396" i="4" s="1"/>
  <c r="Q1397" i="4" s="1"/>
  <c r="Q1398" i="4" s="1"/>
  <c r="Q1399" i="4" s="1"/>
  <c r="Q1400" i="4" s="1"/>
  <c r="Q1401" i="4" s="1"/>
  <c r="Q1402" i="4" s="1"/>
  <c r="Q1403" i="4" s="1"/>
  <c r="Q1404" i="4" s="1"/>
  <c r="Q1405" i="4" s="1"/>
  <c r="Q1406" i="4" s="1"/>
  <c r="Q1407" i="4" s="1"/>
  <c r="Q1408" i="4" s="1"/>
  <c r="Q1409" i="4" s="1"/>
  <c r="Q1410" i="4" s="1"/>
  <c r="Q1411" i="4" s="1"/>
  <c r="Q1412" i="4" s="1"/>
  <c r="Q1413" i="4" s="1"/>
  <c r="Q1414" i="4" s="1"/>
  <c r="Q1415" i="4" s="1"/>
  <c r="Q1416" i="4" s="1"/>
  <c r="Q1417" i="4" s="1"/>
  <c r="Q1418" i="4" s="1"/>
  <c r="Q1419" i="4" s="1"/>
  <c r="Q1420" i="4" s="1"/>
  <c r="Q1421" i="4" s="1"/>
  <c r="Q1422" i="4" s="1"/>
  <c r="Q1423" i="4" s="1"/>
  <c r="Q1424" i="4" s="1"/>
  <c r="Q1425" i="4" s="1"/>
  <c r="Q1426" i="4" s="1"/>
  <c r="Q1427" i="4" s="1"/>
  <c r="Q1428" i="4" s="1"/>
  <c r="Q1429" i="4" s="1"/>
  <c r="Q1430" i="4" s="1"/>
  <c r="Q1431" i="4" s="1"/>
  <c r="Q1432" i="4" s="1"/>
  <c r="Q1433" i="4" s="1"/>
  <c r="Q1434" i="4" s="1"/>
  <c r="Q1435" i="4" s="1"/>
  <c r="Q1436" i="4" s="1"/>
  <c r="Q1437" i="4" s="1"/>
  <c r="Q1438" i="4" s="1"/>
  <c r="Q1439" i="4" s="1"/>
  <c r="Q1440" i="4" s="1"/>
  <c r="Q1441" i="4" s="1"/>
  <c r="Q1442" i="4" s="1"/>
  <c r="Q1443" i="4" s="1"/>
  <c r="Q1444" i="4" s="1"/>
  <c r="Q1445" i="4" s="1"/>
  <c r="Q1446" i="4" s="1"/>
  <c r="Q1447" i="4" s="1"/>
  <c r="Q1448" i="4" s="1"/>
  <c r="Q1449" i="4" s="1"/>
  <c r="Q1450" i="4" s="1"/>
  <c r="Q1451" i="4" s="1"/>
  <c r="Q1452" i="4" s="1"/>
  <c r="Q1453" i="4" s="1"/>
  <c r="Q1454" i="4" s="1"/>
  <c r="Q1455" i="4" s="1"/>
  <c r="Q1456" i="4" s="1"/>
  <c r="Q1457" i="4" s="1"/>
  <c r="Q1458" i="4" s="1"/>
  <c r="Q1459" i="4" s="1"/>
  <c r="Q1460" i="4" s="1"/>
  <c r="Q1461" i="4" s="1"/>
  <c r="Q1462" i="4" s="1"/>
  <c r="Q1463" i="4" s="1"/>
  <c r="Q1464" i="4" s="1"/>
  <c r="Q1465" i="4" s="1"/>
  <c r="Q1466" i="4" s="1"/>
  <c r="Q1467" i="4" s="1"/>
  <c r="Q1468" i="4" s="1"/>
  <c r="Q1469" i="4" s="1"/>
  <c r="Q1470" i="4" s="1"/>
  <c r="Q1471" i="4" s="1"/>
  <c r="Q1472" i="4" s="1"/>
  <c r="Q1473" i="4" s="1"/>
  <c r="Q1474" i="4" s="1"/>
  <c r="Q1475" i="4" s="1"/>
  <c r="Q1476" i="4" s="1"/>
  <c r="Q1477" i="4" s="1"/>
  <c r="Q1478" i="4" s="1"/>
  <c r="Q1479" i="4" s="1"/>
  <c r="Q1480" i="4" s="1"/>
  <c r="Q1481" i="4" s="1"/>
  <c r="Q1482" i="4" s="1"/>
  <c r="Q1483" i="4" s="1"/>
  <c r="Q1484" i="4" s="1"/>
  <c r="Q1485" i="4" s="1"/>
  <c r="Q1486" i="4" s="1"/>
  <c r="Q1487" i="4" s="1"/>
  <c r="Q1488" i="4" s="1"/>
  <c r="Q1489" i="4" s="1"/>
  <c r="Q1490" i="4" s="1"/>
  <c r="Q1491" i="4" s="1"/>
  <c r="Q1492" i="4" s="1"/>
  <c r="Q1493" i="4" s="1"/>
  <c r="Q1494" i="4" s="1"/>
  <c r="Q1495" i="4" s="1"/>
  <c r="Q1496" i="4" s="1"/>
  <c r="Q1497" i="4" s="1"/>
  <c r="Q1498" i="4" s="1"/>
  <c r="Q1499" i="4" s="1"/>
  <c r="Q1500" i="4" s="1"/>
  <c r="Q1501" i="4" s="1"/>
  <c r="Q1502" i="4" s="1"/>
  <c r="Q1503" i="4" s="1"/>
  <c r="Q1504" i="4" s="1"/>
  <c r="Q1505" i="4" s="1"/>
  <c r="Q1506" i="4" s="1"/>
  <c r="Q1507" i="4" s="1"/>
  <c r="Q1508" i="4" s="1"/>
  <c r="Q1509" i="4" s="1"/>
  <c r="Q1510" i="4" s="1"/>
  <c r="Q1511" i="4" s="1"/>
  <c r="Q1512" i="4" s="1"/>
  <c r="Q1513" i="4" s="1"/>
  <c r="Q1514" i="4" s="1"/>
  <c r="Q1515" i="4" s="1"/>
  <c r="Q1516" i="4" s="1"/>
  <c r="Q1517" i="4" s="1"/>
  <c r="Q1518" i="4" s="1"/>
  <c r="Q1519" i="4" s="1"/>
  <c r="Q1520" i="4" s="1"/>
  <c r="Q1521" i="4" s="1"/>
  <c r="Q1522" i="4" s="1"/>
  <c r="Q1523" i="4" s="1"/>
  <c r="Q1524" i="4" s="1"/>
  <c r="Q1525" i="4" s="1"/>
  <c r="Q1526" i="4" s="1"/>
  <c r="Q1527" i="4" s="1"/>
  <c r="Q1528" i="4" s="1"/>
  <c r="Q1529" i="4" s="1"/>
  <c r="Q1530" i="4" s="1"/>
  <c r="Q1531" i="4" s="1"/>
  <c r="Q1532" i="4" s="1"/>
  <c r="Q1533" i="4" s="1"/>
  <c r="Q1534" i="4" s="1"/>
  <c r="Q1535" i="4" s="1"/>
  <c r="Q1536" i="4" s="1"/>
  <c r="Q1537" i="4" s="1"/>
  <c r="Q1538" i="4" s="1"/>
  <c r="Q1539" i="4" s="1"/>
  <c r="Q1540" i="4" s="1"/>
  <c r="Q1541" i="4" s="1"/>
  <c r="Q1542" i="4" s="1"/>
  <c r="Q1543" i="4" s="1"/>
  <c r="Q1544" i="4" s="1"/>
  <c r="Q1545" i="4" s="1"/>
  <c r="Q1546" i="4" s="1"/>
  <c r="Q1547" i="4" s="1"/>
  <c r="Q1548" i="4" s="1"/>
  <c r="Q1549" i="4" s="1"/>
  <c r="Q1550" i="4" s="1"/>
  <c r="Q1551" i="4" s="1"/>
  <c r="Q1552" i="4" s="1"/>
  <c r="Q1553" i="4" s="1"/>
  <c r="Q1554" i="4" s="1"/>
  <c r="Q1555" i="4" s="1"/>
  <c r="Q1556" i="4" s="1"/>
  <c r="Q1557" i="4" s="1"/>
  <c r="Q1558" i="4" s="1"/>
  <c r="Q1559" i="4" s="1"/>
  <c r="Q1560" i="4" s="1"/>
  <c r="Q1561" i="4" s="1"/>
  <c r="Q1562" i="4" s="1"/>
  <c r="Q1563" i="4" s="1"/>
  <c r="Q1564" i="4" s="1"/>
  <c r="Q1565" i="4" s="1"/>
  <c r="Q1566" i="4" s="1"/>
  <c r="Q1567" i="4" s="1"/>
  <c r="Q1568" i="4" s="1"/>
  <c r="Q1569" i="4" s="1"/>
  <c r="Q1570" i="4" s="1"/>
  <c r="Q1571" i="4" s="1"/>
  <c r="Q1572" i="4" s="1"/>
  <c r="Q1573" i="4" s="1"/>
  <c r="Q1574" i="4" s="1"/>
  <c r="Q1575" i="4" s="1"/>
  <c r="Q1576" i="4" s="1"/>
  <c r="Q1577" i="4" s="1"/>
  <c r="Q1578" i="4" s="1"/>
  <c r="Q1579" i="4" s="1"/>
  <c r="Q1580" i="4" s="1"/>
  <c r="Q1581" i="4" s="1"/>
  <c r="Q1582" i="4" s="1"/>
  <c r="Q1583" i="4" s="1"/>
  <c r="Q1584" i="4" s="1"/>
  <c r="Q1585" i="4" s="1"/>
  <c r="Q1586" i="4" s="1"/>
  <c r="Q1587" i="4" s="1"/>
  <c r="Q1588" i="4" s="1"/>
  <c r="Q1589" i="4" s="1"/>
  <c r="Q1590" i="4" s="1"/>
  <c r="Q1591" i="4" s="1"/>
  <c r="Q1592" i="4" s="1"/>
  <c r="Q1593" i="4" s="1"/>
  <c r="Q1594" i="4" s="1"/>
  <c r="Q1595" i="4" s="1"/>
  <c r="Q1596" i="4" s="1"/>
  <c r="Q1597" i="4" s="1"/>
  <c r="Q1598" i="4" s="1"/>
  <c r="Q1599" i="4" s="1"/>
  <c r="Q1600" i="4" s="1"/>
  <c r="Q1601" i="4" s="1"/>
  <c r="Q1602" i="4" s="1"/>
  <c r="Q1603" i="4" s="1"/>
  <c r="Q1604" i="4" s="1"/>
  <c r="Q1605" i="4" s="1"/>
  <c r="Q1606" i="4" s="1"/>
  <c r="Q1607" i="4" s="1"/>
  <c r="Q1608" i="4" s="1"/>
  <c r="Q1609" i="4" s="1"/>
  <c r="Q1610" i="4" s="1"/>
  <c r="Q1611" i="4" s="1"/>
  <c r="Q1612" i="4" s="1"/>
  <c r="Q1613" i="4" s="1"/>
  <c r="Q1614" i="4" s="1"/>
  <c r="Q1615" i="4" s="1"/>
  <c r="Q1616" i="4" s="1"/>
  <c r="Q1617" i="4" s="1"/>
  <c r="Q1618" i="4" s="1"/>
  <c r="Q1619" i="4" s="1"/>
  <c r="Q1620" i="4" s="1"/>
  <c r="Q1621" i="4" s="1"/>
  <c r="Q1622" i="4" s="1"/>
  <c r="Q1623" i="4" s="1"/>
  <c r="Q1624" i="4" s="1"/>
  <c r="Q1625" i="4" s="1"/>
  <c r="Q1626" i="4" s="1"/>
  <c r="Q1627" i="4" s="1"/>
  <c r="Q1628" i="4" s="1"/>
  <c r="Q1629" i="4" s="1"/>
  <c r="Q1630" i="4" s="1"/>
  <c r="Q1631" i="4" s="1"/>
  <c r="Q1632" i="4" s="1"/>
  <c r="Q1633" i="4" s="1"/>
  <c r="Q1634" i="4" s="1"/>
  <c r="Q1635" i="4" s="1"/>
  <c r="Q1636" i="4" s="1"/>
  <c r="Q1637" i="4" s="1"/>
  <c r="Q1638" i="4" s="1"/>
  <c r="Q1639" i="4" s="1"/>
  <c r="Q1640" i="4" s="1"/>
  <c r="Q1641" i="4" s="1"/>
  <c r="Q1642" i="4" s="1"/>
  <c r="Q1643" i="4" s="1"/>
  <c r="Q1644" i="4" s="1"/>
  <c r="Q1645" i="4" s="1"/>
  <c r="Q1646" i="4" s="1"/>
  <c r="Q1647" i="4" s="1"/>
  <c r="Q1648" i="4" s="1"/>
  <c r="Q1649" i="4" s="1"/>
  <c r="Q1650" i="4" s="1"/>
  <c r="Q1651" i="4" s="1"/>
  <c r="Q1652" i="4" s="1"/>
  <c r="Q1653" i="4" s="1"/>
  <c r="Q1654" i="4" s="1"/>
  <c r="Q1655" i="4" s="1"/>
  <c r="Q1656" i="4" s="1"/>
  <c r="Q1657" i="4" s="1"/>
  <c r="Q1658" i="4" s="1"/>
  <c r="Q1659" i="4" s="1"/>
  <c r="Q1660" i="4" s="1"/>
  <c r="Q1661" i="4" s="1"/>
  <c r="Q1662" i="4" s="1"/>
  <c r="Q1663" i="4" s="1"/>
  <c r="Q1664" i="4" s="1"/>
  <c r="Q1665" i="4" s="1"/>
  <c r="Q1666" i="4" s="1"/>
  <c r="Q1667" i="4" s="1"/>
  <c r="Q1668" i="4" s="1"/>
  <c r="Q1669" i="4" s="1"/>
  <c r="Q1670" i="4" s="1"/>
  <c r="Q1671" i="4" s="1"/>
  <c r="Q1672" i="4" s="1"/>
  <c r="Q1673" i="4" s="1"/>
  <c r="Q1674" i="4" s="1"/>
  <c r="Q1675" i="4" s="1"/>
  <c r="Q1676" i="4" s="1"/>
  <c r="Q1677" i="4" s="1"/>
  <c r="Q1678" i="4" s="1"/>
  <c r="Q1679" i="4" s="1"/>
  <c r="Q1680" i="4" s="1"/>
  <c r="Q1681" i="4" s="1"/>
  <c r="Q1682" i="4" s="1"/>
  <c r="Q1683" i="4" s="1"/>
  <c r="Q1684" i="4" s="1"/>
  <c r="Q1685" i="4" s="1"/>
  <c r="Q1686" i="4" s="1"/>
  <c r="Q1687" i="4" s="1"/>
  <c r="Q1688" i="4" s="1"/>
  <c r="Q1689" i="4" s="1"/>
  <c r="Q1690" i="4" s="1"/>
  <c r="Q1691" i="4" s="1"/>
  <c r="Q1692" i="4" s="1"/>
  <c r="Q1693" i="4" s="1"/>
  <c r="Q1694" i="4" s="1"/>
  <c r="Q1695" i="4" s="1"/>
  <c r="Q1696" i="4" s="1"/>
  <c r="Q1697" i="4" s="1"/>
  <c r="Q1698" i="4" s="1"/>
  <c r="Q1699" i="4" s="1"/>
  <c r="Q1700" i="4" s="1"/>
  <c r="Q1701" i="4" s="1"/>
  <c r="Q1702" i="4" s="1"/>
  <c r="Q1703" i="4" s="1"/>
  <c r="Q1704" i="4" s="1"/>
  <c r="Q1705" i="4" s="1"/>
  <c r="Q1706" i="4" s="1"/>
  <c r="Q1707" i="4" s="1"/>
  <c r="Q1708" i="4" s="1"/>
  <c r="Q1709" i="4" s="1"/>
  <c r="Q1710" i="4" s="1"/>
  <c r="Q1711" i="4" s="1"/>
  <c r="Q1712" i="4" s="1"/>
  <c r="Q1713" i="4" s="1"/>
  <c r="Q1714" i="4" s="1"/>
  <c r="Q1715" i="4" s="1"/>
  <c r="Q1716" i="4" s="1"/>
  <c r="Q1717" i="4" s="1"/>
  <c r="Q1718" i="4" s="1"/>
  <c r="Q1719" i="4" s="1"/>
  <c r="Q1720" i="4" s="1"/>
  <c r="Q1721" i="4" s="1"/>
  <c r="Q1722" i="4" s="1"/>
  <c r="Q1723" i="4" s="1"/>
  <c r="Q1724" i="4" s="1"/>
  <c r="Q1725" i="4" s="1"/>
  <c r="Q1726" i="4" s="1"/>
  <c r="Q1727" i="4" s="1"/>
  <c r="Q1728" i="4" s="1"/>
  <c r="Q1729" i="4" s="1"/>
  <c r="Q1730" i="4" s="1"/>
  <c r="Q1731" i="4" s="1"/>
  <c r="Q1732" i="4" s="1"/>
  <c r="Q1733" i="4" s="1"/>
  <c r="Q1734" i="4" s="1"/>
  <c r="Q1735" i="4" s="1"/>
  <c r="Q1736" i="4" s="1"/>
  <c r="Q1737" i="4" s="1"/>
  <c r="Q1738" i="4" s="1"/>
  <c r="Q1739" i="4" s="1"/>
  <c r="Q1740" i="4" s="1"/>
  <c r="Q1741" i="4" s="1"/>
  <c r="Q1742" i="4" s="1"/>
  <c r="Q1743" i="4" s="1"/>
  <c r="Q1744" i="4" s="1"/>
  <c r="Q1745" i="4" s="1"/>
  <c r="Q1746" i="4" s="1"/>
  <c r="Q1747" i="4" s="1"/>
  <c r="Q1748" i="4" s="1"/>
  <c r="Q1749" i="4" s="1"/>
  <c r="Q1750" i="4" s="1"/>
  <c r="Q1751" i="4" s="1"/>
  <c r="Q1752" i="4" s="1"/>
  <c r="Q1753" i="4" s="1"/>
  <c r="Q1754" i="4" s="1"/>
  <c r="Q1755" i="4" s="1"/>
  <c r="Q1756" i="4" s="1"/>
  <c r="Q1757" i="4" s="1"/>
  <c r="Q1758" i="4" s="1"/>
  <c r="Q1759" i="4" s="1"/>
  <c r="Q1760" i="4" s="1"/>
  <c r="Q1761" i="4" s="1"/>
  <c r="Q1762" i="4" s="1"/>
  <c r="Q1763" i="4" s="1"/>
  <c r="Q1764" i="4" s="1"/>
  <c r="Q1765" i="4" s="1"/>
  <c r="Q1766" i="4" s="1"/>
  <c r="Q1767" i="4" s="1"/>
  <c r="Q1768" i="4" s="1"/>
  <c r="Q1769" i="4" s="1"/>
  <c r="Q1770" i="4" s="1"/>
  <c r="Q1771" i="4" s="1"/>
  <c r="Q1772" i="4" s="1"/>
  <c r="Q1773" i="4" s="1"/>
  <c r="Q1774" i="4" s="1"/>
  <c r="Q1775" i="4" s="1"/>
  <c r="Q1776" i="4" s="1"/>
  <c r="Q1777" i="4" s="1"/>
  <c r="Q1778" i="4" s="1"/>
  <c r="Q1779" i="4" s="1"/>
  <c r="Q1780" i="4" s="1"/>
  <c r="Q1781" i="4" s="1"/>
  <c r="Q1782" i="4" s="1"/>
  <c r="Q1783" i="4" s="1"/>
  <c r="Q1784" i="4" s="1"/>
  <c r="Q1785" i="4" s="1"/>
  <c r="Q1786" i="4" s="1"/>
  <c r="Q1787" i="4" s="1"/>
  <c r="Q1788" i="4" s="1"/>
  <c r="Q1789" i="4" s="1"/>
  <c r="Q1790" i="4" s="1"/>
  <c r="Q1791" i="4" s="1"/>
  <c r="Q1792" i="4" s="1"/>
  <c r="Q1793" i="4" s="1"/>
  <c r="Q1794" i="4" s="1"/>
  <c r="Q1795" i="4" s="1"/>
  <c r="Q1796" i="4" s="1"/>
  <c r="Q1797" i="4" s="1"/>
  <c r="Q1798" i="4" s="1"/>
  <c r="Q1799" i="4" s="1"/>
  <c r="Q1800" i="4" s="1"/>
  <c r="Q1801" i="4" s="1"/>
  <c r="Q1802" i="4" s="1"/>
  <c r="Q1803" i="4" s="1"/>
  <c r="Q1804" i="4" s="1"/>
  <c r="Q1805" i="4" s="1"/>
  <c r="Q1806" i="4" s="1"/>
  <c r="Q1807" i="4" s="1"/>
  <c r="Q1808" i="4" s="1"/>
  <c r="Q1809" i="4" s="1"/>
  <c r="Q1810" i="4" s="1"/>
  <c r="Q1811" i="4" s="1"/>
  <c r="Q1812" i="4" s="1"/>
  <c r="Q1813" i="4" s="1"/>
  <c r="Q1814" i="4" s="1"/>
  <c r="Q1815" i="4" s="1"/>
  <c r="Q1816" i="4" s="1"/>
  <c r="Q1817" i="4" s="1"/>
  <c r="Q1818" i="4" s="1"/>
  <c r="Q1819" i="4" s="1"/>
  <c r="Q1820" i="4" s="1"/>
  <c r="Q1821" i="4" s="1"/>
  <c r="Q1822" i="4" s="1"/>
  <c r="Q1823" i="4" s="1"/>
  <c r="Q1824" i="4" s="1"/>
  <c r="Q1825" i="4" s="1"/>
  <c r="Q1826" i="4" s="1"/>
  <c r="Q1827" i="4" s="1"/>
  <c r="Q1828" i="4" s="1"/>
  <c r="Q1829" i="4" s="1"/>
  <c r="Q1830" i="4" s="1"/>
  <c r="Q1831" i="4" s="1"/>
  <c r="Q1832" i="4" s="1"/>
  <c r="Q1833" i="4" s="1"/>
  <c r="Q1834" i="4" s="1"/>
  <c r="Q1835" i="4" s="1"/>
  <c r="Q1836" i="4" s="1"/>
  <c r="Q1837" i="4" s="1"/>
  <c r="Q1838" i="4" s="1"/>
  <c r="Q1839" i="4" s="1"/>
  <c r="Q1840" i="4" s="1"/>
  <c r="Q1841" i="4" s="1"/>
  <c r="Q1842" i="4" s="1"/>
  <c r="Q1843" i="4" s="1"/>
  <c r="Q1844" i="4" s="1"/>
  <c r="Q1845" i="4" s="1"/>
  <c r="Q1846" i="4" s="1"/>
  <c r="Q1847" i="4" s="1"/>
  <c r="Q1848" i="4" s="1"/>
  <c r="Q1849" i="4" s="1"/>
  <c r="Q1850" i="4" s="1"/>
  <c r="Q1851" i="4" s="1"/>
  <c r="Q1852" i="4" s="1"/>
  <c r="Q1853" i="4" s="1"/>
  <c r="Q1854" i="4" s="1"/>
  <c r="Q1855" i="4" s="1"/>
  <c r="Q1856" i="4" s="1"/>
  <c r="Q1857" i="4" s="1"/>
  <c r="Q1858" i="4" s="1"/>
  <c r="Q1859" i="4" s="1"/>
  <c r="Q1860" i="4" s="1"/>
  <c r="Q1861" i="4" s="1"/>
  <c r="Q1862" i="4" s="1"/>
  <c r="Q1863" i="4" s="1"/>
  <c r="Q1864" i="4" s="1"/>
  <c r="Q1865" i="4" s="1"/>
  <c r="Q1866" i="4" s="1"/>
  <c r="Q1867" i="4" s="1"/>
  <c r="Q1868" i="4" s="1"/>
  <c r="Q1869" i="4" s="1"/>
  <c r="Q1870" i="4" s="1"/>
  <c r="Q1871" i="4" s="1"/>
  <c r="Q1872" i="4" s="1"/>
  <c r="Q1873" i="4" s="1"/>
  <c r="Q1874" i="4" s="1"/>
  <c r="Q1875" i="4" s="1"/>
  <c r="Q1876" i="4" s="1"/>
  <c r="Q1877" i="4" s="1"/>
  <c r="Q1878" i="4" s="1"/>
  <c r="Q1879" i="4" s="1"/>
  <c r="Q1880" i="4" s="1"/>
  <c r="Q1881" i="4" s="1"/>
  <c r="Q1882" i="4" s="1"/>
  <c r="Q1883" i="4" s="1"/>
  <c r="Q1884" i="4" s="1"/>
  <c r="Q1885" i="4" s="1"/>
  <c r="Q1886" i="4" s="1"/>
  <c r="Q1887" i="4" s="1"/>
  <c r="Q1888" i="4" s="1"/>
  <c r="Q1889" i="4" s="1"/>
  <c r="Q1890" i="4" s="1"/>
  <c r="Q1891" i="4" s="1"/>
  <c r="Q1892" i="4" s="1"/>
  <c r="Q1893" i="4" s="1"/>
  <c r="Q1894" i="4" s="1"/>
  <c r="Q1895" i="4" s="1"/>
  <c r="Q1896" i="4" s="1"/>
  <c r="Q1897" i="4" s="1"/>
  <c r="Q1898" i="4" s="1"/>
  <c r="Q1899" i="4" s="1"/>
  <c r="Q1900" i="4" s="1"/>
  <c r="Q1901" i="4" s="1"/>
  <c r="Q1902" i="4" s="1"/>
  <c r="Q1903" i="4" s="1"/>
  <c r="Q1904" i="4" s="1"/>
  <c r="Q1905" i="4" s="1"/>
  <c r="Q1906" i="4" s="1"/>
  <c r="Q1907" i="4" s="1"/>
  <c r="Q1908" i="4" s="1"/>
  <c r="Q1909" i="4" s="1"/>
  <c r="Q1910" i="4" s="1"/>
  <c r="Q1911" i="4" s="1"/>
  <c r="Q1912" i="4" s="1"/>
  <c r="Q1913" i="4" s="1"/>
  <c r="Q1914" i="4" s="1"/>
  <c r="Q1915" i="4" s="1"/>
  <c r="Q1916" i="4" s="1"/>
  <c r="Q1917" i="4" s="1"/>
  <c r="Q1918" i="4" s="1"/>
  <c r="Q1919" i="4" s="1"/>
  <c r="Q1920" i="4" s="1"/>
  <c r="Q1921" i="4" s="1"/>
  <c r="Q1922" i="4" s="1"/>
  <c r="Q1923" i="4" s="1"/>
  <c r="Q1924" i="4" s="1"/>
  <c r="Q1925" i="4" s="1"/>
  <c r="Q1926" i="4" s="1"/>
  <c r="Q1927" i="4" s="1"/>
  <c r="Q1928" i="4" s="1"/>
  <c r="Q1929" i="4" s="1"/>
  <c r="Q1930" i="4" s="1"/>
  <c r="Q1931" i="4" s="1"/>
  <c r="Q1932" i="4" s="1"/>
  <c r="Q1933" i="4" s="1"/>
  <c r="Q1934" i="4" s="1"/>
  <c r="Q1935" i="4" s="1"/>
  <c r="Q1936" i="4" s="1"/>
  <c r="Q1937" i="4" s="1"/>
  <c r="Q1938" i="4" s="1"/>
  <c r="Q1939" i="4" s="1"/>
  <c r="Q1940" i="4" s="1"/>
  <c r="Q1941" i="4" s="1"/>
  <c r="Q1942" i="4" s="1"/>
  <c r="Q1943" i="4" s="1"/>
  <c r="Q1944" i="4" s="1"/>
  <c r="Q1945" i="4" s="1"/>
  <c r="Q1946" i="4" s="1"/>
  <c r="Q1947" i="4" s="1"/>
  <c r="Q1948" i="4" s="1"/>
  <c r="Q1949" i="4" s="1"/>
  <c r="Q1950" i="4" s="1"/>
  <c r="Q1951" i="4" s="1"/>
  <c r="Q1952" i="4" s="1"/>
  <c r="Q1953" i="4" s="1"/>
  <c r="Q1954" i="4" s="1"/>
  <c r="Q1955" i="4" s="1"/>
  <c r="Q1956" i="4" s="1"/>
  <c r="Q1957" i="4" s="1"/>
  <c r="Q1958" i="4" s="1"/>
  <c r="Q1959" i="4" s="1"/>
  <c r="Q1960" i="4" s="1"/>
  <c r="Q1961" i="4" s="1"/>
  <c r="Q1962" i="4" s="1"/>
  <c r="Q1963" i="4" s="1"/>
  <c r="Q1964" i="4" s="1"/>
  <c r="Q1965" i="4" s="1"/>
  <c r="Q1966" i="4" s="1"/>
  <c r="Q1967" i="4" s="1"/>
  <c r="Q1968" i="4" s="1"/>
  <c r="Q1969" i="4" s="1"/>
  <c r="Q1970" i="4" s="1"/>
  <c r="Q1971" i="4" s="1"/>
  <c r="Q1972" i="4" s="1"/>
  <c r="Q1973" i="4" s="1"/>
  <c r="Q1974" i="4" s="1"/>
  <c r="Q1975" i="4" s="1"/>
  <c r="Q1976" i="4" s="1"/>
  <c r="Q1977" i="4" s="1"/>
  <c r="Q1978" i="4" s="1"/>
  <c r="Q1979" i="4" s="1"/>
  <c r="Q1980" i="4" s="1"/>
  <c r="Q1981" i="4" s="1"/>
  <c r="Q1982" i="4" s="1"/>
  <c r="Q1983" i="4" s="1"/>
  <c r="Q1984" i="4" s="1"/>
  <c r="Q1985" i="4" s="1"/>
  <c r="Q1986" i="4" s="1"/>
  <c r="Q1987" i="4" s="1"/>
  <c r="Q1988" i="4" s="1"/>
  <c r="Q1989" i="4" s="1"/>
  <c r="Q1990" i="4" s="1"/>
  <c r="Q1991" i="4" s="1"/>
  <c r="Q1992" i="4" s="1"/>
  <c r="Q1993" i="4" s="1"/>
  <c r="Q1994" i="4" s="1"/>
  <c r="Q1995" i="4" s="1"/>
  <c r="Q1996" i="4" s="1"/>
  <c r="Q1997" i="4" s="1"/>
  <c r="Q1998" i="4" s="1"/>
  <c r="Q1999" i="4" s="1"/>
  <c r="Q2000" i="4" s="1"/>
  <c r="Q2001" i="4" s="1"/>
  <c r="Q2002" i="4" s="1"/>
  <c r="Q2003" i="4" s="1"/>
  <c r="Q2004" i="4" s="1"/>
  <c r="Q2005" i="4" s="1"/>
  <c r="Q2006" i="4" s="1"/>
  <c r="Q2007" i="4" s="1"/>
  <c r="Q2008" i="4" s="1"/>
  <c r="Q2009" i="4" s="1"/>
  <c r="Q2010" i="4" s="1"/>
  <c r="Q2011" i="4" s="1"/>
  <c r="Q2012" i="4" s="1"/>
  <c r="Q2013" i="4" s="1"/>
  <c r="Q2014" i="4" s="1"/>
  <c r="Q2015" i="4" s="1"/>
  <c r="Q2016" i="4" s="1"/>
  <c r="Q2017" i="4" s="1"/>
  <c r="Q2018" i="4" s="1"/>
  <c r="Q2019" i="4" s="1"/>
  <c r="Q2020" i="4" s="1"/>
  <c r="Q2021" i="4" s="1"/>
  <c r="Q2022" i="4" s="1"/>
  <c r="Q2023" i="4" s="1"/>
  <c r="Q2024" i="4" s="1"/>
  <c r="Q2025" i="4" s="1"/>
  <c r="Q2026" i="4" s="1"/>
  <c r="Q2027" i="4" s="1"/>
  <c r="Q2028" i="4" s="1"/>
  <c r="Q2029" i="4" s="1"/>
  <c r="Q2030" i="4" s="1"/>
  <c r="Q2031" i="4" s="1"/>
  <c r="Q2032" i="4" s="1"/>
  <c r="Q2033" i="4" s="1"/>
  <c r="Q2034" i="4" s="1"/>
  <c r="Q2035" i="4" s="1"/>
  <c r="Q2036" i="4" s="1"/>
  <c r="Q2037" i="4" s="1"/>
  <c r="Q2038" i="4" s="1"/>
  <c r="Q2039" i="4" s="1"/>
  <c r="Q2040" i="4" s="1"/>
  <c r="Q2041" i="4" s="1"/>
  <c r="Q2042" i="4" s="1"/>
  <c r="Q2043" i="4" s="1"/>
  <c r="Q2044" i="4" s="1"/>
  <c r="Q2045" i="4" s="1"/>
  <c r="Q2046" i="4" s="1"/>
  <c r="Q2047" i="4" s="1"/>
  <c r="Q2048" i="4" s="1"/>
  <c r="Q2049" i="4" s="1"/>
  <c r="Q2050" i="4" s="1"/>
  <c r="Q2051" i="4" s="1"/>
  <c r="Q2052" i="4" s="1"/>
  <c r="Q2053" i="4" s="1"/>
  <c r="Q2054" i="4" s="1"/>
  <c r="Q2055" i="4" s="1"/>
  <c r="Q2056" i="4" s="1"/>
  <c r="Q2057" i="4" s="1"/>
  <c r="Q2058" i="4" s="1"/>
  <c r="Q2059" i="4" s="1"/>
  <c r="Q2060" i="4" s="1"/>
  <c r="Q2061" i="4" s="1"/>
  <c r="Q2062" i="4" s="1"/>
  <c r="Q2063" i="4" s="1"/>
  <c r="Q2064" i="4" s="1"/>
  <c r="Q2065" i="4" s="1"/>
  <c r="Q2066" i="4" s="1"/>
  <c r="Q2067" i="4" s="1"/>
  <c r="Q2068" i="4" s="1"/>
  <c r="Q2069" i="4" s="1"/>
  <c r="Q2070" i="4" s="1"/>
  <c r="Q2071" i="4" s="1"/>
  <c r="Q2072" i="4" s="1"/>
  <c r="Q2073" i="4" s="1"/>
  <c r="Q2074" i="4" s="1"/>
  <c r="Q2075" i="4" s="1"/>
  <c r="Q2076" i="4" s="1"/>
  <c r="Q2077" i="4" s="1"/>
  <c r="Q2078" i="4" s="1"/>
  <c r="Q2079" i="4" s="1"/>
  <c r="Q2080" i="4" s="1"/>
  <c r="Q2081" i="4" s="1"/>
  <c r="Q2082" i="4" s="1"/>
  <c r="Q2083" i="4" s="1"/>
  <c r="Q2084" i="4" s="1"/>
  <c r="Q2085" i="4" s="1"/>
  <c r="Q2086" i="4" s="1"/>
  <c r="Q2087" i="4" s="1"/>
  <c r="Q2088" i="4" s="1"/>
  <c r="Q2089" i="4" s="1"/>
  <c r="Q2090" i="4" s="1"/>
  <c r="Q2091" i="4" s="1"/>
  <c r="Q2092" i="4" s="1"/>
  <c r="Q2093" i="4" s="1"/>
  <c r="Q2094" i="4" s="1"/>
  <c r="Q2095" i="4" s="1"/>
  <c r="Q2096" i="4" s="1"/>
  <c r="Q2097" i="4" s="1"/>
  <c r="Q2098" i="4" s="1"/>
  <c r="Q2099" i="4" s="1"/>
  <c r="Q2100" i="4" s="1"/>
  <c r="Q2101" i="4" s="1"/>
  <c r="Q2102" i="4" s="1"/>
  <c r="Q2103" i="4" s="1"/>
  <c r="Q2104" i="4" s="1"/>
  <c r="Q2105" i="4" s="1"/>
  <c r="Q2106" i="4" s="1"/>
  <c r="Q2107" i="4" s="1"/>
  <c r="Q2108" i="4" s="1"/>
  <c r="Q2109" i="4" s="1"/>
  <c r="Q2110" i="4" s="1"/>
  <c r="Q2111" i="4" s="1"/>
  <c r="Q2112" i="4" s="1"/>
  <c r="Q2113" i="4" s="1"/>
  <c r="Q2114" i="4" s="1"/>
  <c r="Q2115" i="4" s="1"/>
  <c r="Q2116" i="4" s="1"/>
  <c r="Q2117" i="4" s="1"/>
  <c r="Q2118" i="4" s="1"/>
  <c r="Q2119" i="4" s="1"/>
  <c r="Q2120" i="4" s="1"/>
  <c r="Q2121" i="4" s="1"/>
  <c r="Q2122" i="4" s="1"/>
  <c r="Q2123" i="4" s="1"/>
  <c r="Q2124" i="4" s="1"/>
  <c r="Q2125" i="4" s="1"/>
  <c r="Q2126" i="4" s="1"/>
  <c r="Q2127" i="4" s="1"/>
  <c r="Q2128" i="4" s="1"/>
  <c r="Q2129" i="4" s="1"/>
  <c r="Q2130" i="4" s="1"/>
  <c r="Q2131" i="4" s="1"/>
  <c r="Q2132" i="4" s="1"/>
  <c r="Q2133" i="4" s="1"/>
  <c r="Q2134" i="4" s="1"/>
  <c r="Q2135" i="4" s="1"/>
  <c r="Q2136" i="4" s="1"/>
  <c r="Q2137" i="4" s="1"/>
  <c r="Q2138" i="4" s="1"/>
  <c r="Q2139" i="4" s="1"/>
  <c r="Q2140" i="4" s="1"/>
  <c r="Q2141" i="4" s="1"/>
  <c r="Q2142" i="4" s="1"/>
  <c r="Q2143" i="4" s="1"/>
  <c r="Q2144" i="4" s="1"/>
  <c r="Q2145" i="4" s="1"/>
  <c r="Q2146" i="4" s="1"/>
  <c r="Q2147" i="4" s="1"/>
  <c r="Q2148" i="4" s="1"/>
  <c r="Q2149" i="4" s="1"/>
  <c r="Q2150" i="4" s="1"/>
  <c r="Q2151" i="4" s="1"/>
  <c r="Q2152" i="4" s="1"/>
  <c r="Q2153" i="4" s="1"/>
  <c r="Q2154" i="4" s="1"/>
  <c r="Q2155" i="4" s="1"/>
  <c r="Q2156" i="4" s="1"/>
  <c r="Q2157" i="4" s="1"/>
  <c r="Q2158" i="4" s="1"/>
  <c r="Q2159" i="4" s="1"/>
  <c r="Q2160" i="4" s="1"/>
  <c r="Q2161" i="4" s="1"/>
  <c r="Q2162" i="4" s="1"/>
  <c r="Q2163" i="4" s="1"/>
  <c r="Q2164" i="4" s="1"/>
  <c r="Q2165" i="4" s="1"/>
  <c r="Q2166" i="4" s="1"/>
  <c r="Q2167" i="4" s="1"/>
  <c r="Q2168" i="4" s="1"/>
  <c r="Q2169" i="4" s="1"/>
  <c r="Q2170" i="4" s="1"/>
  <c r="Q2171" i="4" s="1"/>
  <c r="Q2172" i="4" s="1"/>
  <c r="Q2173" i="4" s="1"/>
  <c r="Q2174" i="4" s="1"/>
  <c r="Q2175" i="4" s="1"/>
  <c r="Q2176" i="4" s="1"/>
  <c r="Q2177" i="4" s="1"/>
  <c r="Q2178" i="4" s="1"/>
  <c r="Q2179" i="4" s="1"/>
  <c r="Q2180" i="4" s="1"/>
  <c r="Q2181" i="4" s="1"/>
  <c r="Q2182" i="4" s="1"/>
  <c r="Q2183" i="4" s="1"/>
  <c r="Q2184" i="4" s="1"/>
  <c r="Q2185" i="4" s="1"/>
  <c r="Q2186" i="4" s="1"/>
  <c r="Q2187" i="4" s="1"/>
  <c r="Q2188" i="4" s="1"/>
  <c r="Q2189" i="4" s="1"/>
  <c r="Q2190" i="4" s="1"/>
  <c r="Q2191" i="4" s="1"/>
  <c r="Q2192" i="4" s="1"/>
  <c r="Q2193" i="4" s="1"/>
  <c r="Q2194" i="4" s="1"/>
  <c r="Q2195" i="4" s="1"/>
  <c r="Q2196" i="4" s="1"/>
  <c r="Q2197" i="4" s="1"/>
  <c r="Q2198" i="4" s="1"/>
  <c r="Q2199" i="4" s="1"/>
  <c r="Q2200" i="4" s="1"/>
  <c r="Q2201" i="4" s="1"/>
  <c r="Q2202" i="4" s="1"/>
  <c r="Q2203" i="4" s="1"/>
  <c r="Q2204" i="4" s="1"/>
  <c r="Q2205" i="4" s="1"/>
  <c r="Q2206" i="4" s="1"/>
  <c r="Q2207" i="4" s="1"/>
  <c r="Q2208" i="4" s="1"/>
  <c r="Q2209" i="4" s="1"/>
  <c r="Q2210" i="4" s="1"/>
  <c r="Q2211" i="4" s="1"/>
  <c r="Q2212" i="4" s="1"/>
  <c r="Q2213" i="4" s="1"/>
  <c r="Q2214" i="4" s="1"/>
  <c r="Q2215" i="4" s="1"/>
  <c r="Q2216" i="4" s="1"/>
  <c r="Q2217" i="4" s="1"/>
  <c r="Q2218" i="4" s="1"/>
  <c r="Q2219" i="4" s="1"/>
  <c r="Q2220" i="4" s="1"/>
  <c r="Q2221" i="4" s="1"/>
  <c r="Q2222" i="4" s="1"/>
  <c r="Q2223" i="4" s="1"/>
  <c r="Q2224" i="4" s="1"/>
  <c r="Q2225" i="4" s="1"/>
  <c r="Q2226" i="4" s="1"/>
  <c r="Q2227" i="4" s="1"/>
  <c r="Q2228" i="4" s="1"/>
  <c r="Q2229" i="4" s="1"/>
  <c r="Q2230" i="4" s="1"/>
  <c r="Q2231" i="4" s="1"/>
  <c r="Q2232" i="4" s="1"/>
  <c r="Q2233" i="4" s="1"/>
  <c r="Q2234" i="4" s="1"/>
  <c r="Q2235" i="4" s="1"/>
  <c r="Q2236" i="4" s="1"/>
  <c r="Q2237" i="4" s="1"/>
  <c r="Q2238" i="4" s="1"/>
  <c r="Q2239" i="4" s="1"/>
  <c r="Q2240" i="4" s="1"/>
  <c r="Q2241" i="4" s="1"/>
  <c r="Q2242" i="4" s="1"/>
  <c r="Q2243" i="4" s="1"/>
  <c r="Q2244" i="4" s="1"/>
  <c r="Q2245" i="4" s="1"/>
  <c r="Q2246" i="4" s="1"/>
  <c r="Q2247" i="4" s="1"/>
  <c r="Q2248" i="4" s="1"/>
  <c r="Q2249" i="4" s="1"/>
  <c r="Q2250" i="4" s="1"/>
  <c r="Q2251" i="4" s="1"/>
  <c r="Q2252" i="4" s="1"/>
  <c r="Q2253" i="4" s="1"/>
  <c r="Q2254" i="4" s="1"/>
  <c r="Q2255" i="4" s="1"/>
  <c r="Q2256" i="4" s="1"/>
  <c r="Q2257" i="4" s="1"/>
  <c r="Q2258" i="4" s="1"/>
  <c r="Q2259" i="4" s="1"/>
  <c r="Q2260" i="4" s="1"/>
  <c r="Q2261" i="4" s="1"/>
  <c r="Q2262" i="4" s="1"/>
  <c r="Q2263" i="4" s="1"/>
  <c r="Q2264" i="4" s="1"/>
  <c r="Q2265" i="4" s="1"/>
  <c r="Q2266" i="4" s="1"/>
  <c r="Q2267" i="4" s="1"/>
  <c r="Q2268" i="4" s="1"/>
  <c r="Q2269" i="4" s="1"/>
  <c r="Q2270" i="4" s="1"/>
  <c r="Q2271" i="4" s="1"/>
  <c r="Q2272" i="4" s="1"/>
  <c r="Q2273" i="4" s="1"/>
  <c r="Q2274" i="4" s="1"/>
  <c r="Q2275" i="4" s="1"/>
  <c r="Q2276" i="4" s="1"/>
  <c r="Q2277" i="4" s="1"/>
  <c r="Q2278" i="4" s="1"/>
  <c r="Q2279" i="4" s="1"/>
  <c r="Q2280" i="4" s="1"/>
  <c r="Q2281" i="4" s="1"/>
  <c r="Q2282" i="4" s="1"/>
  <c r="Q2283" i="4" s="1"/>
  <c r="Q2284" i="4" s="1"/>
  <c r="Q2285" i="4" s="1"/>
  <c r="Q2286" i="4" s="1"/>
  <c r="Q2287" i="4" s="1"/>
  <c r="Q2288" i="4" s="1"/>
  <c r="Q2289" i="4" s="1"/>
  <c r="Q2290" i="4" s="1"/>
  <c r="Q2291" i="4" s="1"/>
  <c r="Q2292" i="4" s="1"/>
  <c r="Q2293" i="4" s="1"/>
  <c r="Q2294" i="4" s="1"/>
  <c r="Q2295" i="4" s="1"/>
  <c r="Q2296" i="4" s="1"/>
  <c r="Q2297" i="4" s="1"/>
  <c r="Q2298" i="4" s="1"/>
  <c r="Q2299" i="4" s="1"/>
  <c r="Q2300" i="4" s="1"/>
  <c r="Q2301" i="4" s="1"/>
  <c r="Q2302" i="4" s="1"/>
  <c r="Q2303" i="4" s="1"/>
  <c r="Q2304" i="4" s="1"/>
  <c r="Q2305" i="4" s="1"/>
  <c r="Q2306" i="4" s="1"/>
  <c r="Q2307" i="4" s="1"/>
  <c r="Q2308" i="4" s="1"/>
  <c r="Q2309" i="4" s="1"/>
  <c r="Q2310" i="4" s="1"/>
  <c r="Q2311" i="4" s="1"/>
  <c r="Q2312" i="4" s="1"/>
  <c r="Q2313" i="4" s="1"/>
  <c r="Q2314" i="4" s="1"/>
  <c r="Q2315" i="4" s="1"/>
  <c r="Q2316" i="4" s="1"/>
  <c r="Q2317" i="4" s="1"/>
  <c r="Q2318" i="4" s="1"/>
  <c r="Q2319" i="4" s="1"/>
  <c r="Q2320" i="4" s="1"/>
  <c r="Q2321" i="4" s="1"/>
  <c r="Q2322" i="4" s="1"/>
  <c r="Q2323" i="4" s="1"/>
  <c r="Q2324" i="4" s="1"/>
  <c r="Q2325" i="4" s="1"/>
  <c r="Q2326" i="4" s="1"/>
  <c r="Q2327" i="4" s="1"/>
  <c r="Q2328" i="4" s="1"/>
  <c r="Q2329" i="4" s="1"/>
  <c r="Q2330" i="4" s="1"/>
  <c r="Q2331" i="4" s="1"/>
  <c r="Q2332" i="4" s="1"/>
  <c r="Q2333" i="4" s="1"/>
  <c r="Q2334" i="4" s="1"/>
  <c r="Q2335" i="4" s="1"/>
  <c r="Q2336" i="4" s="1"/>
  <c r="Q2337" i="4" s="1"/>
  <c r="Q2338" i="4" s="1"/>
  <c r="Q2339" i="4" s="1"/>
  <c r="Q2340" i="4" s="1"/>
  <c r="Q2341" i="4" s="1"/>
  <c r="Q2342" i="4" s="1"/>
  <c r="Q2343" i="4" s="1"/>
  <c r="Q2344" i="4" s="1"/>
  <c r="Q2345" i="4" s="1"/>
  <c r="Q2346" i="4" s="1"/>
  <c r="Q2347" i="4" s="1"/>
  <c r="Q2348" i="4" s="1"/>
  <c r="Q2349" i="4" s="1"/>
  <c r="Q2350" i="4" s="1"/>
  <c r="Q2351" i="4" s="1"/>
  <c r="Q2352" i="4" s="1"/>
  <c r="Q2353" i="4" s="1"/>
  <c r="Q2354" i="4" s="1"/>
  <c r="Q2355" i="4" s="1"/>
  <c r="Q2356" i="4" s="1"/>
  <c r="Q2357" i="4" s="1"/>
  <c r="Q2358" i="4" s="1"/>
  <c r="Q2359" i="4" s="1"/>
  <c r="Q2360" i="4" s="1"/>
  <c r="Q2361" i="4" s="1"/>
  <c r="Q2362" i="4" s="1"/>
  <c r="Q2363" i="4" s="1"/>
  <c r="Q2364" i="4" s="1"/>
  <c r="Q2365" i="4" s="1"/>
  <c r="Q2366" i="4" s="1"/>
  <c r="Q2367" i="4" s="1"/>
  <c r="Q2368" i="4" s="1"/>
  <c r="Q2369" i="4" s="1"/>
  <c r="Q2370" i="4" s="1"/>
  <c r="Q2371" i="4" s="1"/>
  <c r="Q2372" i="4" s="1"/>
  <c r="Q2373" i="4" s="1"/>
  <c r="Q2374" i="4" s="1"/>
  <c r="Q2375" i="4" s="1"/>
  <c r="Q2376" i="4" s="1"/>
  <c r="Q2377" i="4" s="1"/>
  <c r="Q2378" i="4" s="1"/>
  <c r="Q2379" i="4" s="1"/>
  <c r="Q2380" i="4" s="1"/>
  <c r="Q2381" i="4" s="1"/>
  <c r="Q2382" i="4" s="1"/>
  <c r="Q2383" i="4" s="1"/>
  <c r="Q2384" i="4" s="1"/>
  <c r="Q2385" i="4" s="1"/>
  <c r="Q2386" i="4" s="1"/>
  <c r="Q2387" i="4" s="1"/>
  <c r="Q2388" i="4" s="1"/>
  <c r="Q2389" i="4" s="1"/>
  <c r="Q2390" i="4" s="1"/>
  <c r="Q2391" i="4" s="1"/>
  <c r="Q2392" i="4" s="1"/>
  <c r="Q2393" i="4" s="1"/>
  <c r="Q2394" i="4" s="1"/>
  <c r="Q2395" i="4" s="1"/>
  <c r="Q2396" i="4" s="1"/>
  <c r="Q2397" i="4" s="1"/>
  <c r="Q2398" i="4" s="1"/>
  <c r="Q2399" i="4" s="1"/>
  <c r="Q2400" i="4" s="1"/>
  <c r="Q2401" i="4" s="1"/>
  <c r="Q2402" i="4" s="1"/>
  <c r="Q2403" i="4" s="1"/>
  <c r="Q2404" i="4" s="1"/>
  <c r="Q2405" i="4" s="1"/>
  <c r="Q2406" i="4" s="1"/>
  <c r="Q2407" i="4" s="1"/>
  <c r="Q2408" i="4" s="1"/>
  <c r="Q2409" i="4" s="1"/>
  <c r="Q2410" i="4" s="1"/>
  <c r="Q2411" i="4" s="1"/>
  <c r="Q2412" i="4" s="1"/>
  <c r="Q2413" i="4" s="1"/>
  <c r="Q2414" i="4" s="1"/>
  <c r="Q2415" i="4" s="1"/>
  <c r="Q2416" i="4" s="1"/>
  <c r="Q2417" i="4" s="1"/>
  <c r="Q2418" i="4" s="1"/>
  <c r="Q2419" i="4" s="1"/>
  <c r="Q2420" i="4" s="1"/>
  <c r="Q2421" i="4" s="1"/>
  <c r="Q2422" i="4" s="1"/>
  <c r="Q2423" i="4" s="1"/>
  <c r="Q2424" i="4" s="1"/>
  <c r="Q2425" i="4" s="1"/>
  <c r="Q2426" i="4" s="1"/>
  <c r="Q2427" i="4" s="1"/>
  <c r="Q2428" i="4" s="1"/>
  <c r="Q2429" i="4" s="1"/>
  <c r="Q2430" i="4" s="1"/>
  <c r="Q2431" i="4" s="1"/>
  <c r="Q2432" i="4" s="1"/>
  <c r="Q2433" i="4" s="1"/>
  <c r="Q2434" i="4" s="1"/>
  <c r="Q2435" i="4" s="1"/>
  <c r="Q2436" i="4" s="1"/>
  <c r="Q2437" i="4" s="1"/>
  <c r="Q2438" i="4" s="1"/>
  <c r="Q2439" i="4" s="1"/>
  <c r="Q2440" i="4" s="1"/>
  <c r="Q2441" i="4" s="1"/>
  <c r="Q2442" i="4" s="1"/>
  <c r="Q2443" i="4" s="1"/>
  <c r="Q2444" i="4" s="1"/>
  <c r="Q2445" i="4" s="1"/>
  <c r="Q2446" i="4" s="1"/>
  <c r="Q2447" i="4" s="1"/>
  <c r="Q2448" i="4" s="1"/>
  <c r="Q2449" i="4" s="1"/>
  <c r="Q2450" i="4" s="1"/>
  <c r="Q2451" i="4" s="1"/>
  <c r="Q2452" i="4" s="1"/>
  <c r="Q2453" i="4" s="1"/>
  <c r="Q2454" i="4" s="1"/>
  <c r="Q2455" i="4" s="1"/>
  <c r="Q2456" i="4" s="1"/>
  <c r="Q2457" i="4" s="1"/>
  <c r="Q2458" i="4" s="1"/>
  <c r="Q2459" i="4" s="1"/>
  <c r="Q2460" i="4" s="1"/>
  <c r="Q2461" i="4" s="1"/>
  <c r="Q2462" i="4" s="1"/>
  <c r="Q2463" i="4" s="1"/>
  <c r="Q2464" i="4" s="1"/>
  <c r="Q2465" i="4" s="1"/>
  <c r="Q2466" i="4" s="1"/>
  <c r="Q2467" i="4" s="1"/>
  <c r="Q2468" i="4" s="1"/>
  <c r="Q2469" i="4" s="1"/>
  <c r="Q2470" i="4" s="1"/>
  <c r="Q2471" i="4" s="1"/>
  <c r="Q2472" i="4" s="1"/>
  <c r="Q2473" i="4" s="1"/>
  <c r="Q2474" i="4" s="1"/>
  <c r="Q2475" i="4" s="1"/>
  <c r="Q2476" i="4" s="1"/>
  <c r="Q2477" i="4" s="1"/>
  <c r="Q2478" i="4" s="1"/>
  <c r="Q2479" i="4" s="1"/>
  <c r="Q2480" i="4" s="1"/>
  <c r="Q2481" i="4" s="1"/>
  <c r="Q2482" i="4" s="1"/>
  <c r="Q2483" i="4" s="1"/>
  <c r="Q2484" i="4" s="1"/>
  <c r="Q2485" i="4" s="1"/>
  <c r="Q2486" i="4" s="1"/>
  <c r="Q2487" i="4" s="1"/>
  <c r="Q2488" i="4" s="1"/>
  <c r="Q2489" i="4" s="1"/>
  <c r="Q2490" i="4" s="1"/>
  <c r="Q2491" i="4" s="1"/>
  <c r="Q2492" i="4" s="1"/>
  <c r="Q2493" i="4" s="1"/>
  <c r="Q2494" i="4" s="1"/>
  <c r="Q2495" i="4" s="1"/>
  <c r="Q2496" i="4" s="1"/>
  <c r="Q2497" i="4" s="1"/>
  <c r="Q2498" i="4" s="1"/>
  <c r="Q2499" i="4" s="1"/>
  <c r="Q2500" i="4" s="1"/>
  <c r="Q2501" i="4" s="1"/>
  <c r="Q2502" i="4" s="1"/>
  <c r="Q2503" i="4" s="1"/>
  <c r="Q2504" i="4" s="1"/>
  <c r="Q2505" i="4" s="1"/>
  <c r="Q2506" i="4" s="1"/>
  <c r="Q2507" i="4" s="1"/>
  <c r="Q2508" i="4" s="1"/>
  <c r="Q2509" i="4" s="1"/>
  <c r="Q2510" i="4" s="1"/>
  <c r="Q2511" i="4" s="1"/>
  <c r="Q2512" i="4" s="1"/>
  <c r="Q2513" i="4" s="1"/>
  <c r="Q2514" i="4" s="1"/>
  <c r="Q2515" i="4" s="1"/>
  <c r="Q2516" i="4" s="1"/>
  <c r="Q2517" i="4" s="1"/>
  <c r="Q2518" i="4" s="1"/>
  <c r="Q2519" i="4" s="1"/>
  <c r="Q2520" i="4" s="1"/>
  <c r="Q2521" i="4" s="1"/>
  <c r="Q2522" i="4" s="1"/>
  <c r="Q2523" i="4" s="1"/>
  <c r="Q2524" i="4" s="1"/>
  <c r="Q2525" i="4" s="1"/>
  <c r="Q2526" i="4" s="1"/>
  <c r="Q2527" i="4" s="1"/>
  <c r="Q2528" i="4" s="1"/>
  <c r="Q2529" i="4" s="1"/>
  <c r="Q2530" i="4" s="1"/>
  <c r="Q2531" i="4" s="1"/>
  <c r="Q2532" i="4" s="1"/>
  <c r="Q2533" i="4" s="1"/>
  <c r="Q2534" i="4" s="1"/>
  <c r="Q2535" i="4" s="1"/>
  <c r="Q2536" i="4" s="1"/>
  <c r="Q2537" i="4" s="1"/>
  <c r="Q2538" i="4" s="1"/>
  <c r="Q2539" i="4" s="1"/>
  <c r="Q2540" i="4" s="1"/>
  <c r="Q2541" i="4" s="1"/>
  <c r="Q2542" i="4" s="1"/>
  <c r="Q2543" i="4" s="1"/>
  <c r="Q2544" i="4" s="1"/>
  <c r="Q2545" i="4" s="1"/>
  <c r="Q2546" i="4" s="1"/>
  <c r="Q2547" i="4" s="1"/>
  <c r="Q2548" i="4" s="1"/>
  <c r="Q2549" i="4" s="1"/>
  <c r="Q2550" i="4" s="1"/>
  <c r="Q2551" i="4" s="1"/>
  <c r="Q2552" i="4" s="1"/>
  <c r="Q2553" i="4" s="1"/>
  <c r="Q2554" i="4" s="1"/>
  <c r="Q2555" i="4" s="1"/>
  <c r="Q2556" i="4" s="1"/>
  <c r="Q2557" i="4" s="1"/>
  <c r="Q2558" i="4" s="1"/>
  <c r="Q2559" i="4" s="1"/>
  <c r="Q2560" i="4" s="1"/>
  <c r="Q2561" i="4" s="1"/>
  <c r="Q2562" i="4" s="1"/>
  <c r="Q2563" i="4" s="1"/>
  <c r="Q2564" i="4" s="1"/>
  <c r="Q2565" i="4" s="1"/>
  <c r="Q2566" i="4" s="1"/>
  <c r="Q2567" i="4" s="1"/>
  <c r="Q2568" i="4" s="1"/>
  <c r="Q2569" i="4" s="1"/>
  <c r="Q2570" i="4" s="1"/>
  <c r="Q2571" i="4" s="1"/>
  <c r="Q2572" i="4" s="1"/>
  <c r="Q2573" i="4" s="1"/>
  <c r="Q2574" i="4" s="1"/>
  <c r="Q2575" i="4" s="1"/>
  <c r="Q2576" i="4" s="1"/>
  <c r="Q2577" i="4" s="1"/>
  <c r="Q2578" i="4" s="1"/>
  <c r="Q2579" i="4" s="1"/>
  <c r="Q2580" i="4" s="1"/>
  <c r="Q2581" i="4" s="1"/>
  <c r="Q2582" i="4" s="1"/>
  <c r="Q2583" i="4" s="1"/>
  <c r="Q2584" i="4" s="1"/>
  <c r="Q2585" i="4" s="1"/>
  <c r="Q2586" i="4" s="1"/>
  <c r="Q2587" i="4" s="1"/>
  <c r="Q2588" i="4" s="1"/>
  <c r="Q2589" i="4" s="1"/>
  <c r="Q2590" i="4" s="1"/>
  <c r="Q2591" i="4" s="1"/>
  <c r="Q2592" i="4" s="1"/>
  <c r="Q2593" i="4" s="1"/>
  <c r="Q2594" i="4" s="1"/>
  <c r="Q2595" i="4" s="1"/>
  <c r="Q2596" i="4" s="1"/>
  <c r="Q2597" i="4" s="1"/>
  <c r="Q2598" i="4" s="1"/>
  <c r="Q2599" i="4" s="1"/>
  <c r="Q2600" i="4" s="1"/>
  <c r="Q2601" i="4" s="1"/>
  <c r="Q2602" i="4" s="1"/>
  <c r="Q2603" i="4" s="1"/>
  <c r="Q2604" i="4" s="1"/>
  <c r="Q2605" i="4" s="1"/>
  <c r="Q2606" i="4" s="1"/>
  <c r="Q2607" i="4" s="1"/>
  <c r="Q2608" i="4" s="1"/>
  <c r="Q2609" i="4" s="1"/>
  <c r="Q2610" i="4" s="1"/>
  <c r="Q2611" i="4" s="1"/>
  <c r="Q2612" i="4" s="1"/>
  <c r="Q2613" i="4" s="1"/>
  <c r="Q2614" i="4" s="1"/>
  <c r="Q2615" i="4" s="1"/>
  <c r="Q2616" i="4" s="1"/>
  <c r="Q2617" i="4" s="1"/>
  <c r="Q2618" i="4" s="1"/>
  <c r="Q2619" i="4" s="1"/>
  <c r="Q2620" i="4" s="1"/>
  <c r="Q2621" i="4" s="1"/>
  <c r="Q2622" i="4" s="1"/>
  <c r="Q2623" i="4" s="1"/>
  <c r="Q2624" i="4" s="1"/>
  <c r="Q2625" i="4" s="1"/>
  <c r="Q2626" i="4" s="1"/>
  <c r="Q2627" i="4" s="1"/>
  <c r="Q2628" i="4" s="1"/>
  <c r="Q2629" i="4" s="1"/>
  <c r="Q2630" i="4" s="1"/>
  <c r="Q2631" i="4" s="1"/>
  <c r="Q2632" i="4" s="1"/>
  <c r="Q2633" i="4" s="1"/>
  <c r="Q2634" i="4" s="1"/>
  <c r="Q2635" i="4" s="1"/>
  <c r="Q2636" i="4" s="1"/>
  <c r="Q2637" i="4" s="1"/>
  <c r="Q2638" i="4" s="1"/>
  <c r="Q2639" i="4" s="1"/>
  <c r="Q2640" i="4" s="1"/>
  <c r="Q2641" i="4" s="1"/>
  <c r="Q2642" i="4" s="1"/>
  <c r="Q2643" i="4" s="1"/>
  <c r="Q2644" i="4" s="1"/>
  <c r="Q2645" i="4" s="1"/>
  <c r="Q2646" i="4" s="1"/>
  <c r="Q2647" i="4" s="1"/>
  <c r="Q2648" i="4" s="1"/>
  <c r="Q2649" i="4" s="1"/>
  <c r="Q2650" i="4" s="1"/>
  <c r="Q2651" i="4" s="1"/>
  <c r="Q2652" i="4" s="1"/>
  <c r="Q2653" i="4" s="1"/>
  <c r="Q2654" i="4" s="1"/>
  <c r="Q2655" i="4" s="1"/>
  <c r="Q2656" i="4" s="1"/>
  <c r="Q2657" i="4" s="1"/>
  <c r="Q2658" i="4" s="1"/>
  <c r="Q2659" i="4" s="1"/>
  <c r="Q2660" i="4" s="1"/>
  <c r="Q2661" i="4" s="1"/>
  <c r="Q2662" i="4" s="1"/>
  <c r="Q2663" i="4" s="1"/>
  <c r="Q2664" i="4" s="1"/>
  <c r="Q2665" i="4" s="1"/>
  <c r="Q2666" i="4" s="1"/>
  <c r="Q2667" i="4" s="1"/>
  <c r="Q2668" i="4" s="1"/>
  <c r="Q2669" i="4" s="1"/>
  <c r="Q2670" i="4" s="1"/>
  <c r="Q2671" i="4" s="1"/>
  <c r="Q2672" i="4" s="1"/>
  <c r="Q2673" i="4" s="1"/>
  <c r="Q2674" i="4" s="1"/>
  <c r="Q2675" i="4" s="1"/>
  <c r="Q2676" i="4" s="1"/>
  <c r="Q2677" i="4" s="1"/>
  <c r="Q2678" i="4" s="1"/>
  <c r="Q2679" i="4" s="1"/>
  <c r="Q2680" i="4" s="1"/>
  <c r="Q2681" i="4" s="1"/>
  <c r="Q2682" i="4" s="1"/>
  <c r="Q2683" i="4" s="1"/>
  <c r="Q2684" i="4" s="1"/>
  <c r="Q2685" i="4" s="1"/>
  <c r="Q2686" i="4" s="1"/>
  <c r="Q2687" i="4" s="1"/>
  <c r="Q2688" i="4" s="1"/>
  <c r="Q2689" i="4" s="1"/>
  <c r="Q2690" i="4" s="1"/>
  <c r="Q2691" i="4" s="1"/>
  <c r="Q2692" i="4" s="1"/>
  <c r="Q2693" i="4" s="1"/>
  <c r="Q2694" i="4" s="1"/>
  <c r="Q2695" i="4" s="1"/>
  <c r="Q2696" i="4" s="1"/>
  <c r="Q2697" i="4" s="1"/>
  <c r="Q2698" i="4" s="1"/>
  <c r="Q2699" i="4" s="1"/>
  <c r="Q2700" i="4" s="1"/>
  <c r="Q2701" i="4" s="1"/>
  <c r="Q2702" i="4" s="1"/>
  <c r="Q2703" i="4" s="1"/>
  <c r="Q2704" i="4" s="1"/>
  <c r="Q2705" i="4" s="1"/>
  <c r="Q2706" i="4" s="1"/>
  <c r="Q2707" i="4" s="1"/>
  <c r="Q2708" i="4" s="1"/>
  <c r="Q2709" i="4" s="1"/>
  <c r="Q2710" i="4" s="1"/>
  <c r="Q2711" i="4" s="1"/>
  <c r="Q2712" i="4" s="1"/>
  <c r="Q2713" i="4" s="1"/>
  <c r="Q2714" i="4" s="1"/>
  <c r="Q2715" i="4" s="1"/>
  <c r="Q2716" i="4" s="1"/>
  <c r="Q2717" i="4" s="1"/>
  <c r="Q2718" i="4" s="1"/>
  <c r="Q2719" i="4" s="1"/>
  <c r="Q2720" i="4" s="1"/>
  <c r="Q2721" i="4" s="1"/>
  <c r="Q2722" i="4" s="1"/>
  <c r="Q2723" i="4" s="1"/>
  <c r="Q2724" i="4" s="1"/>
  <c r="Q2725" i="4" s="1"/>
  <c r="Q2726" i="4" s="1"/>
  <c r="Q2727" i="4" s="1"/>
  <c r="Q2728" i="4" s="1"/>
  <c r="Q2729" i="4" s="1"/>
  <c r="Q2730" i="4" s="1"/>
  <c r="Q2731" i="4" s="1"/>
  <c r="Q2732" i="4" s="1"/>
  <c r="Q2733" i="4" s="1"/>
  <c r="Q2734" i="4" s="1"/>
  <c r="Q2735" i="4" s="1"/>
  <c r="Q2736" i="4" s="1"/>
  <c r="Q2737" i="4" s="1"/>
  <c r="Q2738" i="4" s="1"/>
  <c r="Q2739" i="4" s="1"/>
  <c r="Q2740" i="4" s="1"/>
  <c r="Q2741" i="4" s="1"/>
  <c r="Q2742" i="4" s="1"/>
  <c r="Q2743" i="4" s="1"/>
  <c r="Q2744" i="4" s="1"/>
  <c r="Q2745" i="4" s="1"/>
  <c r="Q2746" i="4" s="1"/>
  <c r="Q2747" i="4" s="1"/>
  <c r="Q2748" i="4" s="1"/>
  <c r="Q2749" i="4" s="1"/>
  <c r="Q2750" i="4" s="1"/>
  <c r="Q2751" i="4" s="1"/>
  <c r="Q2752" i="4" s="1"/>
  <c r="Q2753" i="4" s="1"/>
  <c r="Q2754" i="4" s="1"/>
  <c r="Q2755" i="4" s="1"/>
  <c r="Q2756" i="4" s="1"/>
  <c r="Q2757" i="4" s="1"/>
  <c r="Q2758" i="4" s="1"/>
  <c r="Q2759" i="4" s="1"/>
  <c r="Q2760" i="4" s="1"/>
  <c r="Q2761" i="4" s="1"/>
  <c r="Q2762" i="4" s="1"/>
  <c r="Q2763" i="4" s="1"/>
  <c r="Q2764" i="4" s="1"/>
  <c r="Q2765" i="4" s="1"/>
  <c r="Q2766" i="4" s="1"/>
  <c r="Q2767" i="4" s="1"/>
  <c r="Q2768" i="4" s="1"/>
  <c r="Q2769" i="4" s="1"/>
  <c r="Q2770" i="4" s="1"/>
  <c r="Q2771" i="4" s="1"/>
  <c r="Q2772" i="4" s="1"/>
  <c r="Q2773" i="4" s="1"/>
  <c r="Q2774" i="4" s="1"/>
  <c r="Q2775" i="4" s="1"/>
  <c r="Q2776" i="4" s="1"/>
  <c r="Q2777" i="4" s="1"/>
  <c r="Q2778" i="4" s="1"/>
  <c r="Q2779" i="4" s="1"/>
  <c r="Q2780" i="4" s="1"/>
  <c r="Q2781" i="4" s="1"/>
  <c r="Q2782" i="4" s="1"/>
  <c r="Q2783" i="4" s="1"/>
  <c r="Q2784" i="4" s="1"/>
  <c r="Q2785" i="4" s="1"/>
  <c r="Q2786" i="4" s="1"/>
  <c r="Q2787" i="4" s="1"/>
  <c r="Q2788" i="4" s="1"/>
  <c r="Q2789" i="4" s="1"/>
  <c r="Q2790" i="4" s="1"/>
  <c r="Q2791" i="4" s="1"/>
  <c r="Q2792" i="4" s="1"/>
  <c r="Q2793" i="4" s="1"/>
  <c r="Q2794" i="4" s="1"/>
  <c r="Q2795" i="4" s="1"/>
  <c r="Q2796" i="4" s="1"/>
  <c r="Q2797" i="4" s="1"/>
  <c r="Q2798" i="4" s="1"/>
  <c r="Q2799" i="4" s="1"/>
  <c r="Q2800" i="4" s="1"/>
  <c r="Q2801" i="4" s="1"/>
  <c r="Q2802" i="4" s="1"/>
  <c r="Q2803" i="4" s="1"/>
  <c r="Q2804" i="4" s="1"/>
  <c r="Q2805" i="4" s="1"/>
  <c r="Q2806" i="4" s="1"/>
  <c r="Q2807" i="4" s="1"/>
  <c r="Q2808" i="4" s="1"/>
  <c r="Q2809" i="4" s="1"/>
  <c r="Q2810" i="4" s="1"/>
  <c r="Q2811" i="4" s="1"/>
  <c r="Q2812" i="4" s="1"/>
  <c r="Q2813" i="4" s="1"/>
  <c r="Q2814" i="4" s="1"/>
  <c r="Q2815" i="4" s="1"/>
  <c r="Q2816" i="4" s="1"/>
  <c r="Q2817" i="4" s="1"/>
  <c r="Q2818" i="4" s="1"/>
  <c r="Q2819" i="4" s="1"/>
  <c r="Q2820" i="4" s="1"/>
  <c r="Q2821" i="4" s="1"/>
  <c r="Q2822" i="4" s="1"/>
  <c r="Q2823" i="4" s="1"/>
  <c r="Q2824" i="4" s="1"/>
  <c r="Q2825" i="4" s="1"/>
  <c r="Q2826" i="4" s="1"/>
  <c r="Q2827" i="4" s="1"/>
  <c r="Q2828" i="4" s="1"/>
  <c r="Q2829" i="4" s="1"/>
  <c r="Q2830" i="4" s="1"/>
  <c r="Q2831" i="4" s="1"/>
  <c r="Q2832" i="4" s="1"/>
  <c r="Q2833" i="4" s="1"/>
  <c r="Q2834" i="4" s="1"/>
  <c r="Q2835" i="4" s="1"/>
  <c r="Q2836" i="4" s="1"/>
  <c r="Q2837" i="4" s="1"/>
  <c r="Q2838" i="4" s="1"/>
  <c r="Q2839" i="4" s="1"/>
  <c r="Q2840" i="4" s="1"/>
  <c r="Q2841" i="4" s="1"/>
  <c r="Q2842" i="4" s="1"/>
  <c r="Q2843" i="4" s="1"/>
  <c r="Q2844" i="4" s="1"/>
  <c r="Q2845" i="4" s="1"/>
  <c r="Q2846" i="4" s="1"/>
  <c r="Q2847" i="4" s="1"/>
  <c r="Q2848" i="4" s="1"/>
  <c r="Q2849" i="4" s="1"/>
  <c r="Q2850" i="4" s="1"/>
  <c r="Q2851" i="4" s="1"/>
  <c r="Q2852" i="4" s="1"/>
  <c r="Q2853" i="4" s="1"/>
  <c r="Q2854" i="4" s="1"/>
  <c r="Q2855" i="4" s="1"/>
  <c r="Q2856" i="4" s="1"/>
  <c r="Q2857" i="4" s="1"/>
  <c r="Q2858" i="4" s="1"/>
  <c r="Q2859" i="4" s="1"/>
  <c r="Q2860" i="4" s="1"/>
  <c r="Q2861" i="4" s="1"/>
  <c r="Q2862" i="4" s="1"/>
  <c r="Q2863" i="4" s="1"/>
  <c r="Q2864" i="4" s="1"/>
  <c r="Q2865" i="4" s="1"/>
  <c r="Q2866" i="4" s="1"/>
  <c r="Q2867" i="4" s="1"/>
  <c r="Q2868" i="4" s="1"/>
  <c r="Q2869" i="4" s="1"/>
  <c r="Q2870" i="4" s="1"/>
  <c r="Q2871" i="4" s="1"/>
  <c r="Q2872" i="4" s="1"/>
  <c r="Q2873" i="4" s="1"/>
  <c r="Q2874" i="4" s="1"/>
  <c r="Q2875" i="4" s="1"/>
  <c r="Q2876" i="4" s="1"/>
  <c r="Q2877" i="4" s="1"/>
  <c r="Q2878" i="4" s="1"/>
  <c r="Q2879" i="4" s="1"/>
  <c r="Q2880" i="4" s="1"/>
  <c r="Q2881" i="4" s="1"/>
  <c r="Q2882" i="4" s="1"/>
  <c r="Q2883" i="4" s="1"/>
  <c r="Q2884" i="4" s="1"/>
  <c r="Q2885" i="4" s="1"/>
  <c r="Q2886" i="4" s="1"/>
  <c r="Q2887" i="4" s="1"/>
  <c r="Q2888" i="4" s="1"/>
  <c r="Q2889" i="4" s="1"/>
  <c r="Q2890" i="4" s="1"/>
  <c r="Q2891" i="4" s="1"/>
  <c r="Q2892" i="4" s="1"/>
  <c r="Q2893" i="4" s="1"/>
  <c r="Q2894" i="4" s="1"/>
  <c r="Q2895" i="4" s="1"/>
  <c r="Q2896" i="4" s="1"/>
  <c r="Q2897" i="4" s="1"/>
  <c r="Q2898" i="4" s="1"/>
  <c r="Q2899" i="4" s="1"/>
  <c r="Q2900" i="4" s="1"/>
  <c r="Q2901" i="4" s="1"/>
  <c r="Q2902" i="4" s="1"/>
  <c r="Q2903" i="4" s="1"/>
  <c r="Q2904" i="4" s="1"/>
  <c r="Q2905" i="4" s="1"/>
  <c r="Q2906" i="4" s="1"/>
  <c r="Q2907" i="4" s="1"/>
  <c r="Q2908" i="4" s="1"/>
  <c r="Q2909" i="4" s="1"/>
  <c r="Q2910" i="4" s="1"/>
  <c r="Q2911" i="4" s="1"/>
  <c r="Q2912" i="4" s="1"/>
  <c r="Q2913" i="4" s="1"/>
  <c r="Q2914" i="4" s="1"/>
  <c r="Q2915" i="4" s="1"/>
  <c r="Q2916" i="4" s="1"/>
  <c r="Q2917" i="4" s="1"/>
  <c r="Q2918" i="4" s="1"/>
  <c r="Q2919" i="4" s="1"/>
  <c r="Q2920" i="4" s="1"/>
  <c r="Q2921" i="4" s="1"/>
  <c r="Q2922" i="4" s="1"/>
  <c r="Q2923" i="4" s="1"/>
  <c r="Q2924" i="4" s="1"/>
  <c r="Q2925" i="4" s="1"/>
  <c r="Q2926" i="4" s="1"/>
  <c r="Q2927" i="4" s="1"/>
  <c r="Q2928" i="4" s="1"/>
  <c r="Q2929" i="4" s="1"/>
  <c r="Q2930" i="4" s="1"/>
  <c r="Q2931" i="4" s="1"/>
  <c r="Q2932" i="4" s="1"/>
  <c r="Q2933" i="4" s="1"/>
  <c r="Q2934" i="4" s="1"/>
  <c r="Q2935" i="4" s="1"/>
  <c r="Q2936" i="4" s="1"/>
  <c r="Q2937" i="4" s="1"/>
  <c r="Q2938" i="4" s="1"/>
  <c r="Q2939" i="4" s="1"/>
  <c r="Q2940" i="4" s="1"/>
  <c r="Q2941" i="4" s="1"/>
  <c r="Q2942" i="4" s="1"/>
  <c r="Q2943" i="4" s="1"/>
  <c r="Q2944" i="4" s="1"/>
  <c r="Q2945" i="4" s="1"/>
  <c r="Q2946" i="4" s="1"/>
  <c r="Q2947" i="4" s="1"/>
  <c r="Q2948" i="4" s="1"/>
  <c r="Q2949" i="4" s="1"/>
  <c r="Q2950" i="4" s="1"/>
  <c r="Q2951" i="4" s="1"/>
  <c r="Q2952" i="4" s="1"/>
  <c r="Q2953" i="4" s="1"/>
  <c r="Q2954" i="4" s="1"/>
  <c r="Q2955" i="4" s="1"/>
  <c r="Q2956" i="4" s="1"/>
  <c r="Q2957" i="4" s="1"/>
  <c r="Q2958" i="4" s="1"/>
  <c r="Q2959" i="4" s="1"/>
  <c r="Q2960" i="4" s="1"/>
  <c r="Q2961" i="4" s="1"/>
  <c r="Q2962" i="4" s="1"/>
  <c r="Q2963" i="4" s="1"/>
  <c r="Q2964" i="4" s="1"/>
  <c r="Q2965" i="4" s="1"/>
  <c r="Q2966" i="4" s="1"/>
  <c r="Q2967" i="4" s="1"/>
  <c r="Q2968" i="4" s="1"/>
  <c r="Q2969" i="4" s="1"/>
  <c r="Q2970" i="4" s="1"/>
  <c r="Q2971" i="4" s="1"/>
  <c r="Q2972" i="4" s="1"/>
  <c r="Q2973" i="4" s="1"/>
  <c r="Q2974" i="4" s="1"/>
  <c r="Q2975" i="4" s="1"/>
  <c r="Q2976" i="4" s="1"/>
  <c r="Q2977" i="4" s="1"/>
  <c r="Q2978" i="4" s="1"/>
  <c r="Q2979" i="4" s="1"/>
  <c r="Q2980" i="4" s="1"/>
  <c r="Q2981" i="4" s="1"/>
  <c r="Q2982" i="4" s="1"/>
  <c r="Q2983" i="4" s="1"/>
  <c r="Q2984" i="4" s="1"/>
  <c r="Q2985" i="4" s="1"/>
  <c r="Q2986" i="4" s="1"/>
  <c r="Q2987" i="4" s="1"/>
  <c r="Q2988" i="4" s="1"/>
  <c r="Q2989" i="4" s="1"/>
  <c r="Q2990" i="4" s="1"/>
  <c r="Q2991" i="4" s="1"/>
  <c r="Q2992" i="4" s="1"/>
  <c r="Q2993" i="4" s="1"/>
  <c r="Q2994" i="4" s="1"/>
  <c r="Q2995" i="4" s="1"/>
  <c r="Q2996" i="4" s="1"/>
  <c r="Q2997" i="4" s="1"/>
  <c r="Q2998" i="4" s="1"/>
  <c r="Q2999" i="4" s="1"/>
  <c r="Q3000" i="4" s="1"/>
  <c r="Q3001" i="4" s="1"/>
  <c r="Q3002" i="4" s="1"/>
  <c r="Q3003" i="4" s="1"/>
  <c r="Q3004" i="4" s="1"/>
  <c r="Q3005" i="4" s="1"/>
  <c r="Q3006" i="4" s="1"/>
  <c r="Q3007" i="4" s="1"/>
  <c r="Q3008" i="4" s="1"/>
  <c r="Q3009" i="4" s="1"/>
  <c r="Q3010" i="4" s="1"/>
  <c r="Q3011" i="4" s="1"/>
  <c r="Q3012" i="4" s="1"/>
  <c r="Q3013" i="4" s="1"/>
  <c r="Q3014" i="4" s="1"/>
  <c r="Q3015" i="4" s="1"/>
  <c r="Q3016" i="4" s="1"/>
  <c r="Q3017" i="4" s="1"/>
  <c r="Q3018" i="4" s="1"/>
  <c r="Q3019" i="4" s="1"/>
  <c r="Q3020" i="4" s="1"/>
  <c r="Q3021" i="4" s="1"/>
  <c r="Q3022" i="4" s="1"/>
  <c r="Q3023" i="4" s="1"/>
  <c r="Q3024" i="4" s="1"/>
  <c r="Q3025" i="4" s="1"/>
  <c r="Q3026" i="4" s="1"/>
  <c r="Q3027" i="4" s="1"/>
  <c r="Q3028" i="4" s="1"/>
  <c r="Q3029" i="4" s="1"/>
  <c r="Q3030" i="4" s="1"/>
  <c r="Q3031" i="4" s="1"/>
  <c r="Q3032" i="4" s="1"/>
  <c r="Q3033" i="4" s="1"/>
  <c r="Q3034" i="4" s="1"/>
  <c r="Q3035" i="4" s="1"/>
  <c r="Q3036" i="4" s="1"/>
  <c r="Q3037" i="4" s="1"/>
  <c r="Q3038" i="4" s="1"/>
  <c r="Q3039" i="4" s="1"/>
  <c r="Q3040" i="4" s="1"/>
  <c r="Q3041" i="4" s="1"/>
  <c r="Q3042" i="4" s="1"/>
  <c r="Q3043" i="4" s="1"/>
  <c r="Q3044" i="4" s="1"/>
  <c r="Q3045" i="4" s="1"/>
  <c r="Q3046" i="4" s="1"/>
  <c r="Q3047" i="4" s="1"/>
  <c r="Q3048" i="4" s="1"/>
  <c r="Q3049" i="4" s="1"/>
  <c r="Q3050" i="4" s="1"/>
  <c r="Q3051" i="4" s="1"/>
  <c r="Q3052" i="4" s="1"/>
  <c r="Q3053" i="4" s="1"/>
  <c r="Q3054" i="4" s="1"/>
  <c r="Q3055" i="4" s="1"/>
  <c r="Q3056" i="4" s="1"/>
  <c r="Q3057" i="4" s="1"/>
  <c r="Q3058" i="4" s="1"/>
  <c r="Q3059" i="4" s="1"/>
  <c r="Q3060" i="4" s="1"/>
  <c r="Q3061" i="4" s="1"/>
  <c r="Q3062" i="4" s="1"/>
  <c r="Q3063" i="4" s="1"/>
  <c r="Q3064" i="4" s="1"/>
  <c r="Q3065" i="4" s="1"/>
  <c r="Q3066" i="4" s="1"/>
  <c r="Q3067" i="4" s="1"/>
  <c r="Q3068" i="4" s="1"/>
  <c r="Q3069" i="4" s="1"/>
  <c r="Q3070" i="4" s="1"/>
  <c r="Q3071" i="4" s="1"/>
  <c r="Q3072" i="4" s="1"/>
  <c r="Q3073" i="4" s="1"/>
  <c r="Q3074" i="4" s="1"/>
  <c r="Q3075" i="4" s="1"/>
  <c r="Q3076" i="4" s="1"/>
  <c r="Q3077" i="4" s="1"/>
  <c r="Q3078" i="4" s="1"/>
  <c r="Q3079" i="4" s="1"/>
  <c r="Q3080" i="4" s="1"/>
  <c r="Q3081" i="4" s="1"/>
  <c r="Q3082" i="4" s="1"/>
  <c r="Q3083" i="4" s="1"/>
  <c r="Q3084" i="4" s="1"/>
  <c r="Q3085" i="4" s="1"/>
  <c r="Q3086" i="4" s="1"/>
  <c r="Q3087" i="4" s="1"/>
  <c r="Q3088" i="4" s="1"/>
  <c r="Q3089" i="4" s="1"/>
  <c r="Q3090" i="4" s="1"/>
  <c r="Q3091" i="4" s="1"/>
  <c r="Q3092" i="4" s="1"/>
  <c r="Q3093" i="4" s="1"/>
  <c r="Q3094" i="4" s="1"/>
  <c r="Q3095" i="4" s="1"/>
  <c r="Q3096" i="4" s="1"/>
  <c r="Q3097" i="4" s="1"/>
  <c r="Q3098" i="4" s="1"/>
  <c r="Q3099" i="4" s="1"/>
  <c r="Q3100" i="4" s="1"/>
  <c r="Q3101" i="4" s="1"/>
  <c r="Q3102" i="4" s="1"/>
  <c r="Q3103" i="4" s="1"/>
  <c r="Q3104" i="4" s="1"/>
  <c r="Q3105" i="4" s="1"/>
  <c r="Q3106" i="4" s="1"/>
  <c r="Q3107" i="4" s="1"/>
  <c r="Q3108" i="4" s="1"/>
  <c r="Q3109" i="4" s="1"/>
  <c r="Q3110" i="4" s="1"/>
  <c r="Q3111" i="4" s="1"/>
  <c r="Q3112" i="4" s="1"/>
  <c r="Q3113" i="4" s="1"/>
  <c r="Q3114" i="4" s="1"/>
  <c r="Q3115" i="4" s="1"/>
  <c r="Q3116" i="4" s="1"/>
  <c r="Q3117" i="4" s="1"/>
  <c r="Q3118" i="4" s="1"/>
  <c r="Q3119" i="4" s="1"/>
  <c r="Q3120" i="4" s="1"/>
  <c r="Q3121" i="4" s="1"/>
  <c r="Q3122" i="4" s="1"/>
  <c r="Q3123" i="4" s="1"/>
  <c r="Q3124" i="4" s="1"/>
  <c r="Q3125" i="4" s="1"/>
  <c r="Q3126" i="4" s="1"/>
  <c r="Q3127" i="4" s="1"/>
  <c r="Q3128" i="4" s="1"/>
  <c r="Q3129" i="4" s="1"/>
  <c r="Q3130" i="4" s="1"/>
  <c r="Q3131" i="4" s="1"/>
  <c r="Q3132" i="4" s="1"/>
  <c r="Q3133" i="4" s="1"/>
  <c r="Q3134" i="4" s="1"/>
  <c r="Q3135" i="4" s="1"/>
  <c r="Q3136" i="4" s="1"/>
  <c r="Q3137" i="4" s="1"/>
  <c r="Q3138" i="4" s="1"/>
  <c r="Q3139" i="4" s="1"/>
  <c r="Q3140" i="4" s="1"/>
  <c r="Q3141" i="4" s="1"/>
  <c r="Q3142" i="4" s="1"/>
  <c r="Q3143" i="4" s="1"/>
  <c r="Q3144" i="4" s="1"/>
  <c r="Q3145" i="4" s="1"/>
  <c r="Q3146" i="4" s="1"/>
  <c r="Q3147" i="4" s="1"/>
  <c r="Q3148" i="4" s="1"/>
  <c r="Q3149" i="4" s="1"/>
  <c r="Q3150" i="4" s="1"/>
  <c r="Q3151" i="4" s="1"/>
  <c r="Q3152" i="4" s="1"/>
  <c r="Q3153" i="4" s="1"/>
  <c r="Q3154" i="4" s="1"/>
  <c r="Q3155" i="4" s="1"/>
  <c r="Q3156" i="4" s="1"/>
  <c r="Q3157" i="4" s="1"/>
  <c r="Q3158" i="4" s="1"/>
  <c r="Q3159" i="4" s="1"/>
  <c r="Q3160" i="4" s="1"/>
  <c r="Q3161" i="4" s="1"/>
  <c r="Q3162" i="4" s="1"/>
  <c r="Q3163" i="4" s="1"/>
  <c r="Q3164" i="4" s="1"/>
  <c r="Q3165" i="4" s="1"/>
  <c r="Q3166" i="4" s="1"/>
  <c r="Q3167" i="4" s="1"/>
  <c r="Q3168" i="4" s="1"/>
  <c r="Q3169" i="4" s="1"/>
  <c r="Q3170" i="4" s="1"/>
  <c r="Q3171" i="4" s="1"/>
  <c r="Q3172" i="4" s="1"/>
  <c r="Q3173" i="4" s="1"/>
  <c r="Q3174" i="4" s="1"/>
  <c r="Q3175" i="4" s="1"/>
  <c r="Q3176" i="4" s="1"/>
  <c r="Q3177" i="4" s="1"/>
  <c r="Q3178" i="4" s="1"/>
  <c r="Q3179" i="4" s="1"/>
  <c r="Q3180" i="4" s="1"/>
  <c r="Q3181" i="4" s="1"/>
  <c r="Q3182" i="4" s="1"/>
  <c r="Q3183" i="4" s="1"/>
  <c r="Q3184" i="4" s="1"/>
  <c r="Q3185" i="4" s="1"/>
  <c r="Q3186" i="4" s="1"/>
  <c r="Q3187" i="4" s="1"/>
  <c r="Q3188" i="4" s="1"/>
  <c r="Q3189" i="4" s="1"/>
  <c r="Q3190" i="4" s="1"/>
  <c r="Q3191" i="4" s="1"/>
  <c r="Q3192" i="4" s="1"/>
  <c r="Q3193" i="4" s="1"/>
  <c r="Q3194" i="4" s="1"/>
  <c r="Q3195" i="4" s="1"/>
  <c r="Q3196" i="4" s="1"/>
  <c r="Q3197" i="4" s="1"/>
  <c r="Q3198" i="4" s="1"/>
  <c r="Q3199" i="4" s="1"/>
  <c r="Q3200" i="4" s="1"/>
  <c r="Q3201" i="4" s="1"/>
  <c r="Q3202" i="4" s="1"/>
  <c r="Q3203" i="4" s="1"/>
  <c r="Q3204" i="4" s="1"/>
  <c r="Q3205" i="4" s="1"/>
  <c r="Q3206" i="4" s="1"/>
  <c r="Q3207" i="4" s="1"/>
  <c r="Q3208" i="4" s="1"/>
  <c r="Q3209" i="4" s="1"/>
  <c r="Q3210" i="4" s="1"/>
  <c r="Q3211" i="4" s="1"/>
  <c r="Q3212" i="4" s="1"/>
  <c r="Q3213" i="4" s="1"/>
  <c r="Q3214" i="4" s="1"/>
  <c r="Q3215" i="4" s="1"/>
  <c r="Q3216" i="4" s="1"/>
  <c r="Q3217" i="4" s="1"/>
  <c r="Q3218" i="4" s="1"/>
  <c r="Q3219" i="4" s="1"/>
  <c r="Q3220" i="4" s="1"/>
  <c r="Q3221" i="4" s="1"/>
  <c r="Q3222" i="4" s="1"/>
  <c r="Q3223" i="4" s="1"/>
  <c r="Q3224" i="4" s="1"/>
  <c r="Q3225" i="4" s="1"/>
  <c r="Q3226" i="4" s="1"/>
  <c r="Q3227" i="4" s="1"/>
  <c r="Q3228" i="4" s="1"/>
  <c r="Q3229" i="4" s="1"/>
  <c r="Q3230" i="4" s="1"/>
  <c r="Q3231" i="4" s="1"/>
  <c r="Q3232" i="4" s="1"/>
  <c r="Q3233" i="4" s="1"/>
  <c r="Q3234" i="4" s="1"/>
  <c r="Q3235" i="4" s="1"/>
  <c r="Q3236" i="4" s="1"/>
  <c r="Q3237" i="4" s="1"/>
  <c r="Q3238" i="4" s="1"/>
  <c r="Q3239" i="4" s="1"/>
  <c r="Q3240" i="4" s="1"/>
  <c r="Q3241" i="4" s="1"/>
  <c r="Q3242" i="4" s="1"/>
  <c r="Q3243" i="4" s="1"/>
  <c r="Q3244" i="4" s="1"/>
  <c r="Q3245" i="4" s="1"/>
  <c r="Q3246" i="4" s="1"/>
  <c r="Q3247" i="4" s="1"/>
  <c r="Q3248" i="4" s="1"/>
  <c r="Q3249" i="4" s="1"/>
  <c r="Q3250" i="4" s="1"/>
  <c r="Q3251" i="4" s="1"/>
  <c r="Q3252" i="4" s="1"/>
  <c r="Q3253" i="4" s="1"/>
  <c r="Q3254" i="4" s="1"/>
  <c r="Q3255" i="4" s="1"/>
  <c r="Q3256" i="4" s="1"/>
  <c r="Q3257" i="4" s="1"/>
  <c r="Q3258" i="4" s="1"/>
  <c r="Q3259" i="4" s="1"/>
  <c r="Q3260" i="4" s="1"/>
  <c r="Q3261" i="4" s="1"/>
  <c r="Q3262" i="4" s="1"/>
  <c r="Q3263" i="4" s="1"/>
  <c r="Q3264" i="4" s="1"/>
  <c r="Q3265" i="4" s="1"/>
  <c r="Q3266" i="4" s="1"/>
  <c r="Q3267" i="4" s="1"/>
  <c r="Q3268" i="4" s="1"/>
  <c r="Q3269" i="4" s="1"/>
  <c r="Q3270" i="4" s="1"/>
  <c r="Q3271" i="4" s="1"/>
  <c r="Q3272" i="4" s="1"/>
  <c r="Q3273" i="4" s="1"/>
  <c r="Q3274" i="4" s="1"/>
  <c r="Q3275" i="4" s="1"/>
  <c r="Q3276" i="4" s="1"/>
  <c r="Q3277" i="4" s="1"/>
  <c r="Q3278" i="4" s="1"/>
  <c r="Q3279" i="4" s="1"/>
  <c r="Q3280" i="4" s="1"/>
  <c r="Q3281" i="4" s="1"/>
  <c r="Q3282" i="4" s="1"/>
  <c r="Q3283" i="4" s="1"/>
  <c r="Q3284" i="4" s="1"/>
  <c r="Q3285" i="4" s="1"/>
  <c r="Q3286" i="4" s="1"/>
  <c r="Q3287" i="4" s="1"/>
  <c r="Q3288" i="4" s="1"/>
  <c r="Q3289" i="4" s="1"/>
  <c r="Q3290" i="4" s="1"/>
  <c r="Q3291" i="4" s="1"/>
  <c r="Q3292" i="4" s="1"/>
  <c r="Q3293" i="4" s="1"/>
  <c r="Q3294" i="4" s="1"/>
  <c r="Q3295" i="4" s="1"/>
  <c r="Q3296" i="4" s="1"/>
  <c r="Q3297" i="4" s="1"/>
  <c r="Q3298" i="4" s="1"/>
  <c r="Q3299" i="4" s="1"/>
  <c r="Q3300" i="4" s="1"/>
  <c r="Q3301" i="4" s="1"/>
  <c r="Q3302" i="4" s="1"/>
  <c r="Q3303" i="4" s="1"/>
  <c r="Q3304" i="4" s="1"/>
  <c r="Q3305" i="4" s="1"/>
  <c r="Q3306" i="4" s="1"/>
  <c r="Q3307" i="4" s="1"/>
  <c r="Q3308" i="4" s="1"/>
  <c r="Q3309" i="4" s="1"/>
  <c r="Q3310" i="4" s="1"/>
  <c r="Q3311" i="4" s="1"/>
  <c r="Q3312" i="4" s="1"/>
  <c r="Q3313" i="4" s="1"/>
  <c r="Q3314" i="4" s="1"/>
  <c r="Q3315" i="4" s="1"/>
  <c r="Q3316" i="4" s="1"/>
  <c r="Q3317" i="4" s="1"/>
  <c r="Q3318" i="4" s="1"/>
  <c r="Q3319" i="4" s="1"/>
  <c r="Q3320" i="4" s="1"/>
  <c r="Q3321" i="4" s="1"/>
  <c r="Q3322" i="4" s="1"/>
  <c r="Q3323" i="4" s="1"/>
  <c r="Q3324" i="4" s="1"/>
  <c r="Q3325" i="4" s="1"/>
  <c r="Q3326" i="4" s="1"/>
  <c r="Q3327" i="4" s="1"/>
  <c r="Q3328" i="4" s="1"/>
  <c r="Q3329" i="4" s="1"/>
  <c r="Q3330" i="4" s="1"/>
  <c r="Q3331" i="4" s="1"/>
  <c r="Q3332" i="4" s="1"/>
  <c r="Q3333" i="4" s="1"/>
  <c r="Q3334" i="4" s="1"/>
  <c r="Q3335" i="4" s="1"/>
  <c r="Q3336" i="4" s="1"/>
  <c r="Q3337" i="4" s="1"/>
  <c r="Q3338" i="4" s="1"/>
  <c r="Q3339" i="4" s="1"/>
  <c r="Q3340" i="4" s="1"/>
  <c r="Q3341" i="4" s="1"/>
  <c r="Q3342" i="4" s="1"/>
  <c r="Q3343" i="4" s="1"/>
  <c r="Q3344" i="4" s="1"/>
  <c r="Q3345" i="4" s="1"/>
  <c r="Q3346" i="4" s="1"/>
  <c r="Q3347" i="4" s="1"/>
  <c r="Q3348" i="4" s="1"/>
  <c r="Q3349" i="4" s="1"/>
  <c r="Q3350" i="4" s="1"/>
  <c r="Q3351" i="4" s="1"/>
  <c r="Q3352" i="4" s="1"/>
  <c r="Q3353" i="4" s="1"/>
  <c r="Q3354" i="4" s="1"/>
  <c r="Q3355" i="4" s="1"/>
  <c r="Q3356" i="4" s="1"/>
  <c r="Q3357" i="4" s="1"/>
  <c r="Q3358" i="4" s="1"/>
  <c r="Q3359" i="4" s="1"/>
  <c r="Q3360" i="4" s="1"/>
  <c r="Q3361" i="4" s="1"/>
  <c r="Q3362" i="4" s="1"/>
  <c r="Q3363" i="4" s="1"/>
  <c r="Q3364" i="4" s="1"/>
  <c r="Q3365" i="4" s="1"/>
  <c r="Q3366" i="4" s="1"/>
  <c r="Q3367" i="4" s="1"/>
  <c r="Q3368" i="4" s="1"/>
  <c r="Q3369" i="4" s="1"/>
  <c r="Q3370" i="4" s="1"/>
  <c r="Q3371" i="4" s="1"/>
  <c r="Q3372" i="4" s="1"/>
  <c r="Q3373" i="4" s="1"/>
  <c r="Q3374" i="4" s="1"/>
  <c r="Q3375" i="4" s="1"/>
  <c r="Q3376" i="4" s="1"/>
  <c r="Q3377" i="4" s="1"/>
  <c r="Q3378" i="4" s="1"/>
  <c r="Q3379" i="4" s="1"/>
  <c r="Q3380" i="4" s="1"/>
  <c r="Q3381" i="4" s="1"/>
  <c r="Q3382" i="4" s="1"/>
  <c r="Q3383" i="4" s="1"/>
  <c r="Q3384" i="4" s="1"/>
  <c r="Q3385" i="4" s="1"/>
  <c r="Q3386" i="4" s="1"/>
  <c r="Q3387" i="4" s="1"/>
  <c r="Q3388" i="4" s="1"/>
  <c r="Q3389" i="4" s="1"/>
  <c r="Q3390" i="4" s="1"/>
  <c r="Q3391" i="4" s="1"/>
  <c r="Q3392" i="4" s="1"/>
  <c r="Q3393" i="4" s="1"/>
  <c r="Q3394" i="4" s="1"/>
  <c r="Q3395" i="4" s="1"/>
  <c r="Q3396" i="4" s="1"/>
  <c r="Q3397" i="4" s="1"/>
  <c r="Q3398" i="4" s="1"/>
  <c r="Q3399" i="4" s="1"/>
  <c r="Q3400" i="4" s="1"/>
  <c r="Q3401" i="4" s="1"/>
  <c r="Q3402" i="4" s="1"/>
  <c r="Q3403" i="4" s="1"/>
  <c r="Q3404" i="4" s="1"/>
  <c r="Q3405" i="4" s="1"/>
  <c r="Q3406" i="4" s="1"/>
  <c r="Q3407" i="4" s="1"/>
  <c r="Q3408" i="4" s="1"/>
  <c r="Q3409" i="4" s="1"/>
  <c r="Q3410" i="4" s="1"/>
  <c r="Q3411" i="4" s="1"/>
  <c r="Q3412" i="4" s="1"/>
  <c r="Q3413" i="4" s="1"/>
  <c r="Q3414" i="4" s="1"/>
  <c r="Q3415" i="4" s="1"/>
  <c r="Q3416" i="4" s="1"/>
  <c r="Q3417" i="4" s="1"/>
  <c r="Q3418" i="4" s="1"/>
  <c r="Q3419" i="4" s="1"/>
  <c r="Q3420" i="4" s="1"/>
  <c r="Q3421" i="4" s="1"/>
  <c r="Q3422" i="4" s="1"/>
  <c r="Q3423" i="4" s="1"/>
  <c r="Q3424" i="4" s="1"/>
  <c r="Q3425" i="4" s="1"/>
  <c r="Q3426" i="4" s="1"/>
  <c r="Q3427" i="4" s="1"/>
  <c r="Q3428" i="4" s="1"/>
  <c r="Q3429" i="4" s="1"/>
  <c r="Q3430" i="4" s="1"/>
  <c r="Q3431" i="4" s="1"/>
  <c r="Q3432" i="4" s="1"/>
  <c r="Q3433" i="4" s="1"/>
  <c r="Q3434" i="4" s="1"/>
  <c r="Q3435" i="4" s="1"/>
  <c r="Q3436" i="4" s="1"/>
  <c r="Q3437" i="4" s="1"/>
  <c r="Q3438" i="4" s="1"/>
  <c r="Q3439" i="4" s="1"/>
  <c r="Q3440" i="4" s="1"/>
  <c r="Q3441" i="4" s="1"/>
  <c r="Q3442" i="4" s="1"/>
  <c r="Q3443" i="4" s="1"/>
  <c r="Q3444" i="4" s="1"/>
  <c r="Q3445" i="4" s="1"/>
  <c r="Q3446" i="4" s="1"/>
  <c r="Q3447" i="4" s="1"/>
  <c r="Q3448" i="4" s="1"/>
  <c r="Q3449" i="4" s="1"/>
  <c r="Q3450" i="4" s="1"/>
  <c r="Q3451" i="4" s="1"/>
  <c r="Q3452" i="4" s="1"/>
  <c r="Q3453" i="4" s="1"/>
  <c r="Q3454" i="4" s="1"/>
  <c r="Q3455" i="4" s="1"/>
  <c r="Q3456" i="4" s="1"/>
  <c r="Q3457" i="4" s="1"/>
  <c r="Q3458" i="4" s="1"/>
  <c r="Q3459" i="4" s="1"/>
  <c r="Q3460" i="4" s="1"/>
  <c r="Q3461" i="4" s="1"/>
  <c r="Q3462" i="4" s="1"/>
  <c r="Q3463" i="4" s="1"/>
  <c r="Q3464" i="4" s="1"/>
  <c r="Q3465" i="4" s="1"/>
  <c r="Q3466" i="4" s="1"/>
  <c r="Q3467" i="4" s="1"/>
  <c r="Q3468" i="4" s="1"/>
  <c r="Q3469" i="4" s="1"/>
  <c r="Q3470" i="4" s="1"/>
  <c r="Q3471" i="4" s="1"/>
  <c r="Q3472" i="4" s="1"/>
  <c r="Q3473" i="4" s="1"/>
  <c r="Q3474" i="4" s="1"/>
  <c r="Q3475" i="4" s="1"/>
  <c r="Q3476" i="4" s="1"/>
  <c r="Q3477" i="4" s="1"/>
  <c r="Q3478" i="4" s="1"/>
  <c r="Q3479" i="4" s="1"/>
  <c r="Q3480" i="4" s="1"/>
  <c r="Q3481" i="4" s="1"/>
  <c r="Q3482" i="4" s="1"/>
  <c r="Q3483" i="4" s="1"/>
  <c r="Q3484" i="4" s="1"/>
  <c r="Q3485" i="4" s="1"/>
  <c r="Q3486" i="4" s="1"/>
  <c r="Q3487" i="4" s="1"/>
  <c r="Q3488" i="4" s="1"/>
  <c r="Q3489" i="4" s="1"/>
  <c r="Q3490" i="4" s="1"/>
  <c r="Q3491" i="4" s="1"/>
  <c r="Q3492" i="4" s="1"/>
  <c r="Q3493" i="4" s="1"/>
  <c r="Q3494" i="4" s="1"/>
  <c r="Q3495" i="4" s="1"/>
  <c r="Q3496" i="4" s="1"/>
  <c r="Q3497" i="4" s="1"/>
  <c r="Q3498" i="4" s="1"/>
  <c r="Q3499" i="4" s="1"/>
  <c r="Q3500" i="4" s="1"/>
  <c r="Q3501" i="4" s="1"/>
  <c r="Q3502" i="4" s="1"/>
  <c r="Q3503" i="4" s="1"/>
  <c r="Q3504" i="4" s="1"/>
  <c r="Q3505" i="4" s="1"/>
  <c r="Q3506" i="4" s="1"/>
  <c r="Q3507" i="4" s="1"/>
  <c r="Q3508" i="4" s="1"/>
  <c r="Q3509" i="4" s="1"/>
  <c r="Q3510" i="4" s="1"/>
  <c r="Q3511" i="4" s="1"/>
  <c r="Q3512" i="4" s="1"/>
  <c r="Q3513" i="4" s="1"/>
  <c r="Q3514" i="4" s="1"/>
  <c r="Q3515" i="4" s="1"/>
  <c r="Q3516" i="4" s="1"/>
  <c r="Q3517" i="4" s="1"/>
  <c r="Q3518" i="4" s="1"/>
  <c r="Q3519" i="4" s="1"/>
  <c r="Q3520" i="4" s="1"/>
  <c r="Q3521" i="4" s="1"/>
  <c r="Q3522" i="4" s="1"/>
  <c r="Q3523" i="4" s="1"/>
  <c r="Q3524" i="4" s="1"/>
  <c r="Q3525" i="4" s="1"/>
  <c r="Q3526" i="4" s="1"/>
  <c r="Q3527" i="4" s="1"/>
  <c r="Q3528" i="4" s="1"/>
  <c r="Q3529" i="4" s="1"/>
  <c r="Q3530" i="4" s="1"/>
  <c r="Q3531" i="4" s="1"/>
  <c r="Q3532" i="4" s="1"/>
  <c r="Q3533" i="4" s="1"/>
  <c r="Q3534" i="4" s="1"/>
  <c r="Q3535" i="4" s="1"/>
  <c r="Q3536" i="4" s="1"/>
  <c r="Q3537" i="4" s="1"/>
  <c r="Q3538" i="4" s="1"/>
  <c r="Q3539" i="4" s="1"/>
  <c r="Q3540" i="4" s="1"/>
  <c r="Q3541" i="4" s="1"/>
  <c r="Q3542" i="4" s="1"/>
  <c r="Q3543" i="4" s="1"/>
  <c r="Q3544" i="4" s="1"/>
  <c r="Q3545" i="4" s="1"/>
  <c r="Q3546" i="4" s="1"/>
  <c r="Q3547" i="4" s="1"/>
  <c r="Q3548" i="4" s="1"/>
  <c r="Q3549" i="4" s="1"/>
  <c r="Q3550" i="4" s="1"/>
  <c r="Q3551" i="4" s="1"/>
  <c r="Q3552" i="4" s="1"/>
  <c r="Q3553" i="4" s="1"/>
  <c r="Q3554" i="4" s="1"/>
  <c r="Q3555" i="4" s="1"/>
  <c r="Q3556" i="4" s="1"/>
  <c r="Q3557" i="4" s="1"/>
  <c r="Q3558" i="4" s="1"/>
  <c r="Q3559" i="4" s="1"/>
  <c r="Q3560" i="4" s="1"/>
  <c r="Q3561" i="4" s="1"/>
  <c r="Q3562" i="4" s="1"/>
  <c r="Q3563" i="4" s="1"/>
  <c r="Q3564" i="4" s="1"/>
  <c r="Q3565" i="4" s="1"/>
  <c r="Q3566" i="4" s="1"/>
  <c r="Q3567" i="4" s="1"/>
  <c r="Q3568" i="4" s="1"/>
  <c r="Q3569" i="4" s="1"/>
  <c r="Q3570" i="4" s="1"/>
  <c r="Q3571" i="4" s="1"/>
  <c r="Q3572" i="4" s="1"/>
  <c r="Q3573" i="4" s="1"/>
  <c r="Q3574" i="4" s="1"/>
  <c r="Q3575" i="4" s="1"/>
  <c r="Q3576" i="4" s="1"/>
  <c r="Q3577" i="4" s="1"/>
  <c r="Q3578" i="4" s="1"/>
  <c r="Q3579" i="4" s="1"/>
  <c r="Q3580" i="4" s="1"/>
  <c r="Q3581" i="4" s="1"/>
  <c r="Q3582" i="4" s="1"/>
  <c r="Q3583" i="4" s="1"/>
  <c r="Q3584" i="4" s="1"/>
  <c r="Q3585" i="4" s="1"/>
  <c r="Q3586" i="4" s="1"/>
  <c r="Q3587" i="4" s="1"/>
  <c r="Q3588" i="4" s="1"/>
  <c r="Q3589" i="4" s="1"/>
  <c r="Q3590" i="4" s="1"/>
  <c r="Q3591" i="4" s="1"/>
  <c r="Q3592" i="4" s="1"/>
  <c r="Q3593" i="4" s="1"/>
  <c r="Q3594" i="4" s="1"/>
  <c r="Q3595" i="4" s="1"/>
  <c r="Q3596" i="4" s="1"/>
  <c r="Q3597" i="4" s="1"/>
  <c r="Q3598" i="4" s="1"/>
  <c r="Q3599" i="4" s="1"/>
  <c r="Q3600" i="4" s="1"/>
  <c r="Q3601" i="4" s="1"/>
  <c r="Q3602" i="4" s="1"/>
  <c r="Q3603" i="4" s="1"/>
  <c r="Q3604" i="4" s="1"/>
  <c r="Q3605" i="4" s="1"/>
  <c r="Q3606" i="4" s="1"/>
  <c r="Q3607" i="4" s="1"/>
  <c r="Q3608" i="4" s="1"/>
  <c r="Q3609" i="4" s="1"/>
  <c r="Q3610" i="4" s="1"/>
  <c r="Q3611" i="4" s="1"/>
  <c r="Q3612" i="4" s="1"/>
  <c r="Q3613" i="4" s="1"/>
  <c r="Q3614" i="4" s="1"/>
  <c r="Q3615" i="4" s="1"/>
  <c r="Q3616" i="4" s="1"/>
  <c r="Q3617" i="4" s="1"/>
  <c r="Q3618" i="4" s="1"/>
  <c r="Q3619" i="4" s="1"/>
  <c r="Q3620" i="4" s="1"/>
  <c r="Q3621" i="4" s="1"/>
  <c r="Q3622" i="4" s="1"/>
  <c r="Q3623" i="4" s="1"/>
  <c r="Q3624" i="4" s="1"/>
  <c r="Q3625" i="4" s="1"/>
  <c r="Q3626" i="4" s="1"/>
  <c r="Q3627" i="4" s="1"/>
  <c r="Q3628" i="4" s="1"/>
  <c r="Q3629" i="4" s="1"/>
  <c r="Q3630" i="4" s="1"/>
  <c r="Q3631" i="4" s="1"/>
  <c r="Q3632" i="4" s="1"/>
  <c r="Q3633" i="4" s="1"/>
  <c r="Q3634" i="4" s="1"/>
  <c r="Q3635" i="4" s="1"/>
  <c r="Q3636" i="4" s="1"/>
  <c r="Q3637" i="4" s="1"/>
  <c r="Q3638" i="4" s="1"/>
  <c r="Q3639" i="4" s="1"/>
  <c r="Q3640" i="4" s="1"/>
  <c r="Q3641" i="4" s="1"/>
  <c r="Q3642" i="4" s="1"/>
  <c r="Q3643" i="4" s="1"/>
  <c r="Q3644" i="4" s="1"/>
  <c r="Q3645" i="4" s="1"/>
  <c r="Q3646" i="4" s="1"/>
  <c r="Q3647" i="4" s="1"/>
  <c r="Q3648" i="4" s="1"/>
  <c r="Q3649" i="4" s="1"/>
  <c r="Q3650" i="4" s="1"/>
  <c r="Q3651" i="4" s="1"/>
  <c r="Q3652" i="4" s="1"/>
  <c r="Q3653" i="4" s="1"/>
  <c r="Q3654" i="4" s="1"/>
  <c r="Q3655" i="4" s="1"/>
  <c r="Q3656" i="4" s="1"/>
  <c r="Q3657" i="4" s="1"/>
  <c r="Q3658" i="4" s="1"/>
  <c r="Q3659" i="4" s="1"/>
  <c r="Q3660" i="4" s="1"/>
  <c r="Q3661" i="4" s="1"/>
  <c r="Q3662" i="4" s="1"/>
  <c r="Q3663" i="4" s="1"/>
  <c r="Q3664" i="4" s="1"/>
  <c r="Q3665" i="4" s="1"/>
  <c r="Q3666" i="4" s="1"/>
  <c r="Q3667" i="4" s="1"/>
  <c r="Q3668" i="4" s="1"/>
  <c r="Q3669" i="4" s="1"/>
  <c r="Q3670" i="4" s="1"/>
  <c r="Q3671" i="4" s="1"/>
  <c r="Q3672" i="4" s="1"/>
  <c r="Q3673" i="4" s="1"/>
  <c r="Q3674" i="4" s="1"/>
  <c r="Q3675" i="4" s="1"/>
  <c r="Q3676" i="4" s="1"/>
  <c r="Q3677" i="4" s="1"/>
  <c r="Q3678" i="4" s="1"/>
  <c r="Q3679" i="4" s="1"/>
  <c r="Q3680" i="4" s="1"/>
  <c r="Q3681" i="4" s="1"/>
  <c r="Q3682" i="4" s="1"/>
  <c r="Q3683" i="4" s="1"/>
  <c r="Q3684" i="4" s="1"/>
  <c r="Q3685" i="4" s="1"/>
  <c r="Q3686" i="4" s="1"/>
  <c r="Q3687" i="4" s="1"/>
  <c r="Q3688" i="4" s="1"/>
  <c r="Q3689" i="4" s="1"/>
  <c r="Q3690" i="4" s="1"/>
  <c r="Q3691" i="4" s="1"/>
  <c r="Q3692" i="4" s="1"/>
  <c r="Q3693" i="4" s="1"/>
  <c r="Q3694" i="4" s="1"/>
  <c r="Q3695" i="4" s="1"/>
  <c r="Q3696" i="4" s="1"/>
  <c r="Q3697" i="4" s="1"/>
  <c r="Q3698" i="4" s="1"/>
  <c r="Q3699" i="4" s="1"/>
  <c r="Q3700" i="4" s="1"/>
  <c r="Q3701" i="4" s="1"/>
  <c r="Q3702" i="4" s="1"/>
  <c r="Q3703" i="4" s="1"/>
  <c r="Q3704" i="4" s="1"/>
  <c r="Q3705" i="4" s="1"/>
  <c r="Q3706" i="4" s="1"/>
  <c r="Q3707" i="4" s="1"/>
  <c r="Q3708" i="4" s="1"/>
  <c r="Q3709" i="4" s="1"/>
  <c r="Q3710" i="4" s="1"/>
  <c r="Q3711" i="4" s="1"/>
  <c r="Q3712" i="4" s="1"/>
  <c r="Q3713" i="4" s="1"/>
  <c r="Q3714" i="4" s="1"/>
  <c r="Q3715" i="4" s="1"/>
  <c r="Q3716" i="4" s="1"/>
  <c r="Q3717" i="4" s="1"/>
  <c r="Q3718" i="4" s="1"/>
  <c r="Q3719" i="4" s="1"/>
  <c r="Q3720" i="4" s="1"/>
  <c r="Q3721" i="4" s="1"/>
  <c r="Q3722" i="4" s="1"/>
  <c r="Q3723" i="4" s="1"/>
  <c r="Q3724" i="4" s="1"/>
  <c r="Q3725" i="4" s="1"/>
  <c r="Q3726" i="4" s="1"/>
  <c r="Q3727" i="4" s="1"/>
  <c r="Q3728" i="4" s="1"/>
  <c r="Q3729" i="4" s="1"/>
  <c r="Q3730" i="4" s="1"/>
  <c r="Q3731" i="4" s="1"/>
  <c r="Q3732" i="4" s="1"/>
  <c r="Q3733" i="4" s="1"/>
  <c r="Q3734" i="4" s="1"/>
  <c r="Q3735" i="4" s="1"/>
  <c r="Q3736" i="4" s="1"/>
  <c r="Q3737" i="4" s="1"/>
  <c r="Q3738" i="4" s="1"/>
  <c r="Q3739" i="4" s="1"/>
  <c r="Q3740" i="4" s="1"/>
  <c r="Q3741" i="4" s="1"/>
  <c r="Q3742" i="4" s="1"/>
  <c r="Q3743" i="4" s="1"/>
  <c r="Q3744" i="4" s="1"/>
  <c r="Q3745" i="4" s="1"/>
  <c r="Q3746" i="4" s="1"/>
  <c r="Q3747" i="4" s="1"/>
  <c r="Q3748" i="4" s="1"/>
  <c r="Q3749" i="4" s="1"/>
  <c r="Q3750" i="4" s="1"/>
  <c r="Q3751" i="4" s="1"/>
  <c r="Q3752" i="4" s="1"/>
  <c r="Q3753" i="4" s="1"/>
  <c r="Q3754" i="4" s="1"/>
  <c r="Q3755" i="4" s="1"/>
  <c r="Q3756" i="4" s="1"/>
  <c r="Q3757" i="4" s="1"/>
  <c r="Q3758" i="4" s="1"/>
  <c r="Q3759" i="4" s="1"/>
  <c r="Q3760" i="4" s="1"/>
  <c r="Q3761" i="4" s="1"/>
  <c r="Q3762" i="4" s="1"/>
  <c r="Q3763" i="4" s="1"/>
  <c r="Q3764" i="4" s="1"/>
  <c r="Q3765" i="4" s="1"/>
  <c r="Q3766" i="4" s="1"/>
  <c r="Q3767" i="4" s="1"/>
  <c r="Q3768" i="4" s="1"/>
  <c r="Q3769" i="4" s="1"/>
  <c r="Q3770" i="4" s="1"/>
  <c r="Q3771" i="4" s="1"/>
  <c r="Q3772" i="4" s="1"/>
  <c r="Q3773" i="4" s="1"/>
  <c r="Q3774" i="4" s="1"/>
  <c r="Q3775" i="4" s="1"/>
  <c r="Q3776" i="4" s="1"/>
  <c r="Q3777" i="4" s="1"/>
  <c r="Q3778" i="4" s="1"/>
  <c r="Q3779" i="4" s="1"/>
  <c r="Q3780" i="4" s="1"/>
  <c r="Q3781" i="4" s="1"/>
  <c r="Q3782" i="4" s="1"/>
  <c r="Q3783" i="4" s="1"/>
  <c r="Q3784" i="4" s="1"/>
  <c r="Q3785" i="4" s="1"/>
  <c r="Q3786" i="4" s="1"/>
  <c r="Q3787" i="4" s="1"/>
  <c r="Q3788" i="4" s="1"/>
  <c r="Q3789" i="4" s="1"/>
  <c r="Q3790" i="4" s="1"/>
  <c r="Q3791" i="4" s="1"/>
  <c r="Q3792" i="4" s="1"/>
  <c r="Q3793" i="4" s="1"/>
  <c r="Q3794" i="4" s="1"/>
  <c r="Q3795" i="4" s="1"/>
  <c r="Q3796" i="4" s="1"/>
  <c r="Q3797" i="4" s="1"/>
  <c r="Q3798" i="4" s="1"/>
  <c r="Q3799" i="4" s="1"/>
  <c r="Q3800" i="4" s="1"/>
  <c r="Q3801" i="4" s="1"/>
  <c r="Q3802" i="4" s="1"/>
  <c r="Q3803" i="4" s="1"/>
  <c r="Q3804" i="4" s="1"/>
  <c r="Q3805" i="4" s="1"/>
  <c r="Q3806" i="4" s="1"/>
  <c r="Q3807" i="4" s="1"/>
  <c r="Q3808" i="4" s="1"/>
  <c r="Q3809" i="4" s="1"/>
  <c r="Q3810" i="4" s="1"/>
  <c r="Q3811" i="4" s="1"/>
  <c r="Q3812" i="4" s="1"/>
  <c r="Q3813" i="4" s="1"/>
  <c r="Q3814" i="4" s="1"/>
  <c r="Q3815" i="4" s="1"/>
  <c r="Q3816" i="4" s="1"/>
  <c r="Q3817" i="4" s="1"/>
  <c r="Q3818" i="4" s="1"/>
  <c r="Q3819" i="4" s="1"/>
  <c r="Q3820" i="4" s="1"/>
  <c r="Q3821" i="4" s="1"/>
  <c r="Q3822" i="4" s="1"/>
  <c r="Q3823" i="4" s="1"/>
  <c r="Q3824" i="4" s="1"/>
  <c r="Q3825" i="4" s="1"/>
  <c r="Q3826" i="4" s="1"/>
  <c r="Q3827" i="4" s="1"/>
  <c r="Q3828" i="4" s="1"/>
  <c r="Q3829" i="4" s="1"/>
  <c r="Q3830" i="4" s="1"/>
  <c r="Q3831" i="4" s="1"/>
  <c r="Q3832" i="4" s="1"/>
  <c r="Q3833" i="4" s="1"/>
  <c r="Q3834" i="4" s="1"/>
  <c r="Q3835" i="4" s="1"/>
  <c r="Q3836" i="4" s="1"/>
  <c r="Q3837" i="4" s="1"/>
  <c r="Q3838" i="4" s="1"/>
  <c r="Q3839" i="4" s="1"/>
  <c r="Q3840" i="4" s="1"/>
  <c r="Q3841" i="4" s="1"/>
  <c r="Q3842" i="4" s="1"/>
  <c r="Q3843" i="4" s="1"/>
  <c r="Q3844" i="4" s="1"/>
  <c r="Q3845" i="4" s="1"/>
  <c r="Q3846" i="4" s="1"/>
  <c r="Q3847" i="4" s="1"/>
  <c r="Q3848" i="4" s="1"/>
  <c r="Q3849" i="4" s="1"/>
  <c r="Q3850" i="4" s="1"/>
  <c r="Q3851" i="4" s="1"/>
  <c r="Q3852" i="4" s="1"/>
  <c r="Q3853" i="4" s="1"/>
  <c r="Q3854" i="4" s="1"/>
  <c r="Q3855" i="4" s="1"/>
  <c r="Q3856" i="4" s="1"/>
  <c r="Q3857" i="4" s="1"/>
  <c r="Q3858" i="4" s="1"/>
  <c r="Q3859" i="4" s="1"/>
  <c r="Q3860" i="4" s="1"/>
  <c r="Q3861" i="4" s="1"/>
  <c r="Q3862" i="4" s="1"/>
  <c r="Q3863" i="4" s="1"/>
  <c r="Q3864" i="4" s="1"/>
  <c r="Q3865" i="4" s="1"/>
  <c r="Q3866" i="4" s="1"/>
  <c r="Q3867" i="4" s="1"/>
  <c r="Q3868" i="4" s="1"/>
  <c r="Q3869" i="4" s="1"/>
  <c r="Q3870" i="4" s="1"/>
  <c r="Q3871" i="4" s="1"/>
  <c r="Q3872" i="4" s="1"/>
  <c r="Q3873" i="4" s="1"/>
  <c r="Q3874" i="4" s="1"/>
  <c r="Q3875" i="4" s="1"/>
  <c r="Q3876" i="4" s="1"/>
  <c r="Q3877" i="4" s="1"/>
  <c r="Q3878" i="4" s="1"/>
  <c r="Q3879" i="4" s="1"/>
  <c r="Q3880" i="4" s="1"/>
  <c r="Q3881" i="4" s="1"/>
  <c r="Q3882" i="4" s="1"/>
  <c r="Q3883" i="4" s="1"/>
  <c r="Q3884" i="4" s="1"/>
  <c r="Q3885" i="4" s="1"/>
  <c r="Q3886" i="4" s="1"/>
  <c r="Q3887" i="4" s="1"/>
  <c r="Q3888" i="4" s="1"/>
  <c r="Q3889" i="4" s="1"/>
  <c r="Q3890" i="4" s="1"/>
  <c r="Q3891" i="4" s="1"/>
  <c r="Q3892" i="4" s="1"/>
  <c r="Q3893" i="4" s="1"/>
  <c r="Q3894" i="4" s="1"/>
  <c r="Q3895" i="4" s="1"/>
  <c r="Q3896" i="4" s="1"/>
  <c r="Q3897" i="4" s="1"/>
  <c r="Q3898" i="4" s="1"/>
  <c r="Q3899" i="4" s="1"/>
  <c r="Q3900" i="4" s="1"/>
  <c r="Q3901" i="4" s="1"/>
  <c r="Q3902" i="4" s="1"/>
  <c r="Q3903" i="4" s="1"/>
  <c r="Q3904" i="4" s="1"/>
  <c r="Q3905" i="4" s="1"/>
  <c r="Q3906" i="4" s="1"/>
  <c r="Q3907" i="4" s="1"/>
  <c r="Q3908" i="4" s="1"/>
  <c r="Q3909" i="4" s="1"/>
  <c r="Q3910" i="4" s="1"/>
  <c r="Q3911" i="4" s="1"/>
  <c r="Q3912" i="4" s="1"/>
  <c r="Q3913" i="4" s="1"/>
  <c r="Q3914" i="4" s="1"/>
  <c r="Q3915" i="4" s="1"/>
  <c r="Q3916" i="4" s="1"/>
  <c r="Q3917" i="4" s="1"/>
  <c r="Q3918" i="4" s="1"/>
  <c r="Q3919" i="4" s="1"/>
  <c r="Q3920" i="4" s="1"/>
  <c r="Q3921" i="4" s="1"/>
  <c r="Q3922" i="4" s="1"/>
  <c r="Q3923" i="4" s="1"/>
  <c r="Q3924" i="4" s="1"/>
  <c r="Q3925" i="4" s="1"/>
  <c r="Q3926" i="4" s="1"/>
  <c r="Q3927" i="4" s="1"/>
  <c r="Q3928" i="4" s="1"/>
  <c r="Q3929" i="4" s="1"/>
  <c r="Q3930" i="4" s="1"/>
  <c r="Q3931" i="4" s="1"/>
  <c r="Q3932" i="4" s="1"/>
  <c r="Q3933" i="4" s="1"/>
  <c r="Q3934" i="4" s="1"/>
  <c r="Q3935" i="4" s="1"/>
  <c r="Q3936" i="4" s="1"/>
  <c r="Q3937" i="4" s="1"/>
  <c r="Q3938" i="4" s="1"/>
  <c r="Q3939" i="4" s="1"/>
  <c r="Q3940" i="4" s="1"/>
  <c r="Q3941" i="4" s="1"/>
  <c r="Q3942" i="4" s="1"/>
  <c r="Q3943" i="4" s="1"/>
  <c r="Q3944" i="4" s="1"/>
  <c r="Q3945" i="4" s="1"/>
  <c r="Q3946" i="4" s="1"/>
  <c r="Q3947" i="4" s="1"/>
  <c r="Q3948" i="4" s="1"/>
  <c r="Q3949" i="4" s="1"/>
  <c r="Q3950" i="4" s="1"/>
  <c r="Q3951" i="4" s="1"/>
  <c r="Q3952" i="4" s="1"/>
  <c r="Q3953" i="4" s="1"/>
  <c r="Q3954" i="4" s="1"/>
  <c r="Q3955" i="4" s="1"/>
  <c r="Q3956" i="4" s="1"/>
  <c r="Q3957" i="4" s="1"/>
  <c r="Q3958" i="4" s="1"/>
  <c r="Q3959" i="4" s="1"/>
  <c r="Q3960" i="4" s="1"/>
  <c r="Q3961" i="4" s="1"/>
  <c r="Q3962" i="4" s="1"/>
  <c r="Q3963" i="4" s="1"/>
  <c r="Q3964" i="4" s="1"/>
  <c r="Q3965" i="4" s="1"/>
  <c r="Q3966" i="4" s="1"/>
  <c r="Q3967" i="4" s="1"/>
  <c r="Q3968" i="4" s="1"/>
  <c r="Q3969" i="4" s="1"/>
  <c r="Q3970" i="4" s="1"/>
  <c r="Q3971" i="4" s="1"/>
  <c r="Q3972" i="4" s="1"/>
  <c r="Q3973" i="4" s="1"/>
  <c r="Q3974" i="4" s="1"/>
  <c r="Q3975" i="4" s="1"/>
  <c r="Q3976" i="4" s="1"/>
  <c r="Q3977" i="4" s="1"/>
  <c r="Q3978" i="4" s="1"/>
  <c r="Q3979" i="4" s="1"/>
  <c r="Q3980" i="4" s="1"/>
  <c r="Q3981" i="4" s="1"/>
  <c r="Q3982" i="4" s="1"/>
  <c r="Q3983" i="4" s="1"/>
  <c r="Q3984" i="4" s="1"/>
  <c r="Q3985" i="4" s="1"/>
  <c r="Q3986" i="4" s="1"/>
  <c r="Q3987" i="4" s="1"/>
  <c r="Q3988" i="4" s="1"/>
  <c r="Q3989" i="4" s="1"/>
  <c r="Q3990" i="4" s="1"/>
  <c r="Q3991" i="4" s="1"/>
  <c r="Q3992" i="4" s="1"/>
  <c r="Q3993" i="4" s="1"/>
  <c r="Q3994" i="4" s="1"/>
  <c r="Q3995" i="4" s="1"/>
  <c r="Q3996" i="4" s="1"/>
  <c r="Q3997" i="4" s="1"/>
  <c r="Q3998" i="4" s="1"/>
  <c r="Q3999" i="4" s="1"/>
  <c r="Q4000" i="4" s="1"/>
  <c r="Q4001" i="4" s="1"/>
  <c r="Q4002" i="4" s="1"/>
  <c r="Q4003" i="4" s="1"/>
  <c r="Q4004" i="4" s="1"/>
  <c r="Q4005" i="4" s="1"/>
  <c r="Q4006" i="4" s="1"/>
  <c r="Q4007" i="4" s="1"/>
  <c r="Q4008" i="4" s="1"/>
  <c r="Q4009" i="4" s="1"/>
  <c r="Q4010" i="4" s="1"/>
  <c r="Q4011" i="4" s="1"/>
  <c r="Q4012" i="4" s="1"/>
  <c r="Q4013" i="4" s="1"/>
  <c r="Q4014" i="4" s="1"/>
  <c r="Q4015" i="4" s="1"/>
  <c r="Q4016" i="4" s="1"/>
  <c r="Q4017" i="4" s="1"/>
  <c r="Q4018" i="4" s="1"/>
  <c r="Q4019" i="4" s="1"/>
  <c r="Q4020" i="4" s="1"/>
  <c r="Q4021" i="4" s="1"/>
  <c r="Q4022" i="4" s="1"/>
  <c r="Q4023" i="4" s="1"/>
  <c r="Q4024" i="4" s="1"/>
  <c r="Q4025" i="4" s="1"/>
  <c r="Q4026" i="4" s="1"/>
  <c r="Q4027" i="4" s="1"/>
  <c r="Q4028" i="4" s="1"/>
  <c r="Q4029" i="4" s="1"/>
  <c r="Q4030" i="4" s="1"/>
  <c r="Q4031" i="4" s="1"/>
  <c r="Q4032" i="4" s="1"/>
  <c r="Q4033" i="4" s="1"/>
  <c r="Q4034" i="4" s="1"/>
  <c r="Q4035" i="4" s="1"/>
  <c r="Q4036" i="4" s="1"/>
  <c r="Q4037" i="4" s="1"/>
  <c r="Q4038" i="4" s="1"/>
  <c r="Q4039" i="4" s="1"/>
  <c r="Q4040" i="4" s="1"/>
  <c r="Q4041" i="4" s="1"/>
  <c r="Q4042" i="4" s="1"/>
  <c r="Q4043" i="4" s="1"/>
  <c r="Q4044" i="4" s="1"/>
  <c r="Q4045" i="4" s="1"/>
  <c r="Q4046" i="4" s="1"/>
  <c r="Q4047" i="4" s="1"/>
  <c r="Q4048" i="4" s="1"/>
  <c r="Q4049" i="4" s="1"/>
  <c r="Q4050" i="4" s="1"/>
  <c r="Q4051" i="4" s="1"/>
  <c r="Q4052" i="4" s="1"/>
  <c r="Q4053" i="4" s="1"/>
  <c r="Q4054" i="4" s="1"/>
  <c r="Q4055" i="4" s="1"/>
  <c r="Q4056" i="4" s="1"/>
  <c r="Q4057" i="4" s="1"/>
  <c r="Q4058" i="4" s="1"/>
  <c r="Q4059" i="4" s="1"/>
  <c r="Q4060" i="4" s="1"/>
  <c r="Q4061" i="4" s="1"/>
  <c r="Q4062" i="4" s="1"/>
  <c r="Q4063" i="4" s="1"/>
  <c r="Q4064" i="4" s="1"/>
  <c r="Q4065" i="4" s="1"/>
  <c r="Q4066" i="4" s="1"/>
  <c r="Q4067" i="4" s="1"/>
  <c r="Q4068" i="4" s="1"/>
  <c r="Q4069" i="4" s="1"/>
  <c r="Q4070" i="4" s="1"/>
  <c r="Q4071" i="4" s="1"/>
  <c r="Q4072" i="4" s="1"/>
  <c r="Q4073" i="4" s="1"/>
  <c r="Q4074" i="4" s="1"/>
  <c r="Q4075" i="4" s="1"/>
  <c r="Q4076" i="4" s="1"/>
  <c r="Q4077" i="4" s="1"/>
  <c r="Q4078" i="4" s="1"/>
  <c r="Q4079" i="4" s="1"/>
  <c r="Q4080" i="4" s="1"/>
  <c r="Q4081" i="4" s="1"/>
  <c r="Q4082" i="4" s="1"/>
  <c r="Q4083" i="4" s="1"/>
  <c r="Q4084" i="4" s="1"/>
  <c r="Q4085" i="4" s="1"/>
  <c r="Q4086" i="4" s="1"/>
  <c r="Q4087" i="4" s="1"/>
  <c r="Q4088" i="4" s="1"/>
  <c r="Q4089" i="4" s="1"/>
  <c r="Q4090" i="4" s="1"/>
  <c r="Q4091" i="4" s="1"/>
  <c r="Q4092" i="4" s="1"/>
  <c r="Q4093" i="4" s="1"/>
  <c r="Q4094" i="4" s="1"/>
  <c r="Q4095" i="4" s="1"/>
  <c r="Q4096" i="4" s="1"/>
  <c r="Q4097" i="4" s="1"/>
  <c r="Q4098" i="4" s="1"/>
  <c r="Q4099" i="4" s="1"/>
  <c r="Q4100" i="4" s="1"/>
  <c r="Q4101" i="4" s="1"/>
  <c r="Q4102" i="4" s="1"/>
  <c r="Q4103" i="4" s="1"/>
  <c r="Q4104" i="4" s="1"/>
  <c r="Q4105" i="4" s="1"/>
  <c r="Q4106" i="4" s="1"/>
  <c r="Q4107" i="4" s="1"/>
  <c r="Q4108" i="4" s="1"/>
  <c r="Q4109" i="4" s="1"/>
  <c r="Q4110" i="4" s="1"/>
  <c r="Q4111" i="4" s="1"/>
  <c r="Q4112" i="4" s="1"/>
  <c r="Q4113" i="4" s="1"/>
  <c r="Q4114" i="4" s="1"/>
  <c r="Q4115" i="4" s="1"/>
  <c r="Q4116" i="4" s="1"/>
  <c r="Q4117" i="4" s="1"/>
  <c r="Q4118" i="4" s="1"/>
  <c r="Q4119" i="4" s="1"/>
  <c r="Q4120" i="4" s="1"/>
  <c r="Q4121" i="4" s="1"/>
  <c r="Q4122" i="4" s="1"/>
  <c r="Q4123" i="4" s="1"/>
  <c r="Q4124" i="4" s="1"/>
  <c r="Q4125" i="4" s="1"/>
  <c r="Q4126" i="4" s="1"/>
  <c r="Q4127" i="4" s="1"/>
  <c r="Q4128" i="4" s="1"/>
  <c r="Q4129" i="4" s="1"/>
  <c r="Q4130" i="4" s="1"/>
  <c r="Q4131" i="4" s="1"/>
  <c r="Q4132" i="4" s="1"/>
  <c r="Q4133" i="4" s="1"/>
  <c r="Q4134" i="4" s="1"/>
  <c r="Q4135" i="4" s="1"/>
  <c r="Q4136" i="4" s="1"/>
  <c r="Q4137" i="4" s="1"/>
  <c r="Q4138" i="4" s="1"/>
  <c r="Q4139" i="4" s="1"/>
  <c r="Q4140" i="4" s="1"/>
  <c r="Q4141" i="4" s="1"/>
  <c r="Q4142" i="4" s="1"/>
  <c r="Q4143" i="4" s="1"/>
  <c r="Q4144" i="4" s="1"/>
  <c r="Q4145" i="4" s="1"/>
  <c r="Q4146" i="4" s="1"/>
  <c r="Q4147" i="4" s="1"/>
  <c r="Q4148" i="4" s="1"/>
  <c r="Q4149" i="4" s="1"/>
  <c r="Q4150" i="4" s="1"/>
  <c r="Q4151" i="4" s="1"/>
  <c r="Q4152" i="4" s="1"/>
  <c r="Q4153" i="4" s="1"/>
  <c r="Q4154" i="4" s="1"/>
  <c r="Q4155" i="4" s="1"/>
  <c r="Q4156" i="4" s="1"/>
  <c r="Q4157" i="4" s="1"/>
  <c r="Q4158" i="4" s="1"/>
  <c r="Q4159" i="4" s="1"/>
  <c r="Q4160" i="4" s="1"/>
  <c r="Q4161" i="4" s="1"/>
  <c r="Q4162" i="4" s="1"/>
  <c r="Q4163" i="4" s="1"/>
  <c r="Q4164" i="4" s="1"/>
  <c r="Q4165" i="4" s="1"/>
  <c r="Q4166" i="4" s="1"/>
  <c r="Q4167" i="4" s="1"/>
  <c r="Q4168" i="4" s="1"/>
  <c r="Q4169" i="4" s="1"/>
  <c r="Q4170" i="4" s="1"/>
  <c r="Q4171" i="4" s="1"/>
  <c r="Q4172" i="4" s="1"/>
  <c r="Q4173" i="4" s="1"/>
  <c r="Q4174" i="4" s="1"/>
  <c r="Q4175" i="4" s="1"/>
  <c r="Q4176" i="4" s="1"/>
  <c r="Q4177" i="4" s="1"/>
  <c r="Q4178" i="4" s="1"/>
  <c r="Q4179" i="4" s="1"/>
  <c r="Q4180" i="4" s="1"/>
  <c r="Q4181" i="4" s="1"/>
  <c r="Q4182" i="4" s="1"/>
  <c r="Q4183" i="4" s="1"/>
  <c r="Q4184" i="4" s="1"/>
  <c r="Q4185" i="4" s="1"/>
  <c r="Q4186" i="4" s="1"/>
  <c r="Q4187" i="4" s="1"/>
  <c r="Q4188" i="4" s="1"/>
  <c r="Q4189" i="4" s="1"/>
  <c r="Q4190" i="4" s="1"/>
  <c r="Q4191" i="4" s="1"/>
  <c r="Q4192" i="4" s="1"/>
  <c r="Q4193" i="4" s="1"/>
  <c r="Q4194" i="4" s="1"/>
  <c r="Q4195" i="4" s="1"/>
  <c r="Q4196" i="4" s="1"/>
  <c r="Q4197" i="4" s="1"/>
  <c r="Q4198" i="4" s="1"/>
  <c r="Q4199" i="4" s="1"/>
  <c r="Q4200" i="4" s="1"/>
  <c r="Q4201" i="4" s="1"/>
  <c r="Q4202" i="4" s="1"/>
  <c r="Q4203" i="4" s="1"/>
  <c r="Q4204" i="4" s="1"/>
  <c r="Q4205" i="4" s="1"/>
  <c r="Q4206" i="4" s="1"/>
  <c r="Q4207" i="4" s="1"/>
  <c r="Q4208" i="4" s="1"/>
  <c r="Q4209" i="4" s="1"/>
  <c r="Q4210" i="4" s="1"/>
  <c r="Q4211" i="4" s="1"/>
  <c r="Q4212" i="4" s="1"/>
  <c r="Q4213" i="4" s="1"/>
  <c r="Q4214" i="4" s="1"/>
  <c r="Q4215" i="4" s="1"/>
  <c r="Q4216" i="4" s="1"/>
  <c r="Q4217" i="4" s="1"/>
  <c r="Q4218" i="4" s="1"/>
  <c r="Q4219" i="4" s="1"/>
  <c r="Q4220" i="4" s="1"/>
  <c r="Q4221" i="4" s="1"/>
  <c r="Q4222" i="4" s="1"/>
  <c r="Q4223" i="4" s="1"/>
  <c r="Q4224" i="4" s="1"/>
  <c r="Q4225" i="4" s="1"/>
  <c r="Q4226" i="4" s="1"/>
  <c r="Q4227" i="4" s="1"/>
  <c r="Q4228" i="4" s="1"/>
  <c r="Q4229" i="4" s="1"/>
  <c r="Q4230" i="4" s="1"/>
  <c r="Q4231" i="4" s="1"/>
  <c r="Q4232" i="4" s="1"/>
  <c r="Q4233" i="4" s="1"/>
  <c r="Q4234" i="4" s="1"/>
  <c r="Q4235" i="4" s="1"/>
  <c r="Q4236" i="4" s="1"/>
  <c r="Q4237" i="4" s="1"/>
  <c r="Q4238" i="4" s="1"/>
  <c r="Q4239" i="4" s="1"/>
  <c r="Q4240" i="4" s="1"/>
  <c r="Q4241" i="4" s="1"/>
  <c r="Q4242" i="4" s="1"/>
  <c r="Q4243" i="4" s="1"/>
  <c r="Q4244" i="4" s="1"/>
  <c r="Q4245" i="4" s="1"/>
  <c r="Q4246" i="4" s="1"/>
  <c r="Q4247" i="4" s="1"/>
  <c r="Q4248" i="4" s="1"/>
  <c r="Q4249" i="4" s="1"/>
  <c r="Q4250" i="4" s="1"/>
  <c r="Q4251" i="4" s="1"/>
  <c r="Q4252" i="4" s="1"/>
  <c r="Q4253" i="4" s="1"/>
  <c r="Q4254" i="4" s="1"/>
  <c r="Q4255" i="4" s="1"/>
  <c r="Q4256" i="4" s="1"/>
  <c r="Q4257" i="4" s="1"/>
  <c r="Q4258" i="4" s="1"/>
  <c r="Q4259" i="4" s="1"/>
  <c r="Q4260" i="4" s="1"/>
  <c r="Q4261" i="4" s="1"/>
  <c r="Q4262" i="4" s="1"/>
  <c r="Q4263" i="4" s="1"/>
  <c r="Q4264" i="4" s="1"/>
  <c r="Q4265" i="4" s="1"/>
  <c r="Q4266" i="4" s="1"/>
  <c r="Q4267" i="4" s="1"/>
  <c r="Q4268" i="4" s="1"/>
  <c r="Q4269" i="4" s="1"/>
  <c r="Q4270" i="4" s="1"/>
  <c r="Q4271" i="4" s="1"/>
  <c r="Q4272" i="4" s="1"/>
  <c r="Q4273" i="4" s="1"/>
  <c r="Q4274" i="4" s="1"/>
  <c r="Q4275" i="4" s="1"/>
  <c r="Q4276" i="4" s="1"/>
  <c r="Q4277" i="4" s="1"/>
  <c r="Q4278" i="4" s="1"/>
  <c r="Q4279" i="4" s="1"/>
  <c r="Q4280" i="4" s="1"/>
  <c r="Q4281" i="4" s="1"/>
  <c r="Q4282" i="4" s="1"/>
  <c r="Q4283" i="4" s="1"/>
  <c r="Q4284" i="4" s="1"/>
  <c r="Q4285" i="4" s="1"/>
  <c r="Q4286" i="4" s="1"/>
  <c r="Q4287" i="4" s="1"/>
  <c r="Q4288" i="4" s="1"/>
  <c r="Q4289" i="4" s="1"/>
  <c r="Q4290" i="4" s="1"/>
  <c r="Q4291" i="4" s="1"/>
  <c r="Q4292" i="4" s="1"/>
  <c r="Q4293" i="4" s="1"/>
  <c r="Q4294" i="4" s="1"/>
  <c r="Q4295" i="4" s="1"/>
  <c r="Q4296" i="4" s="1"/>
  <c r="Q4297" i="4" s="1"/>
  <c r="Q4298" i="4" s="1"/>
  <c r="Q4299" i="4" s="1"/>
  <c r="Q4300" i="4" s="1"/>
  <c r="Q4301" i="4" s="1"/>
  <c r="Q4302" i="4" s="1"/>
  <c r="Q4303" i="4" s="1"/>
  <c r="Q4304" i="4" s="1"/>
  <c r="Q4305" i="4" s="1"/>
  <c r="Q4306" i="4" s="1"/>
  <c r="Q4307" i="4" s="1"/>
  <c r="Q4308" i="4" s="1"/>
  <c r="Q4309" i="4" s="1"/>
  <c r="Q4310" i="4" s="1"/>
  <c r="Q4311" i="4" s="1"/>
  <c r="Q4312" i="4" s="1"/>
  <c r="Q4313" i="4" s="1"/>
  <c r="Q4314" i="4" s="1"/>
  <c r="Q4315" i="4" s="1"/>
  <c r="Q4316" i="4" s="1"/>
  <c r="Q4317" i="4" s="1"/>
  <c r="Q4318" i="4" s="1"/>
  <c r="Q4319" i="4" s="1"/>
  <c r="Q4320" i="4" s="1"/>
  <c r="Q4321" i="4" s="1"/>
  <c r="Q4322" i="4" s="1"/>
  <c r="Q4323" i="4" s="1"/>
  <c r="Q4324" i="4" s="1"/>
  <c r="Q4325" i="4" s="1"/>
  <c r="Q4326" i="4" s="1"/>
  <c r="Q4327" i="4" s="1"/>
  <c r="Q4328" i="4" s="1"/>
  <c r="Q4329" i="4" s="1"/>
  <c r="Q4330" i="4" s="1"/>
  <c r="Q4331" i="4" s="1"/>
  <c r="Q4332" i="4" s="1"/>
  <c r="Q4333" i="4" s="1"/>
  <c r="Q4334" i="4" s="1"/>
  <c r="Q4335" i="4" s="1"/>
  <c r="Q4336" i="4" s="1"/>
  <c r="Q4337" i="4" s="1"/>
  <c r="Q4338" i="4" s="1"/>
  <c r="Q4339" i="4" s="1"/>
  <c r="Q4340" i="4" s="1"/>
  <c r="Q4341" i="4" s="1"/>
  <c r="Q4342" i="4" s="1"/>
  <c r="Q4343" i="4" s="1"/>
  <c r="Q4344" i="4" s="1"/>
  <c r="Q4345" i="4" s="1"/>
  <c r="Q4346" i="4" s="1"/>
  <c r="Q4347" i="4" s="1"/>
  <c r="Q4348" i="4" s="1"/>
  <c r="Q4349" i="4" s="1"/>
  <c r="Q4350" i="4" s="1"/>
  <c r="Q4351" i="4" s="1"/>
  <c r="Q4352" i="4" s="1"/>
  <c r="Q4353" i="4" s="1"/>
  <c r="Q4354" i="4" s="1"/>
  <c r="Q4355" i="4" s="1"/>
  <c r="Q4356" i="4" s="1"/>
  <c r="Q4357" i="4" s="1"/>
  <c r="Q4358" i="4" s="1"/>
  <c r="Q4359" i="4" s="1"/>
  <c r="Q4360" i="4" s="1"/>
  <c r="Q4361" i="4" s="1"/>
  <c r="Q4362" i="4" s="1"/>
  <c r="Q4363" i="4" s="1"/>
  <c r="Q4364" i="4" s="1"/>
  <c r="Q4365" i="4" s="1"/>
  <c r="Q4366" i="4" s="1"/>
  <c r="Q4367" i="4" s="1"/>
  <c r="Q4368" i="4" s="1"/>
  <c r="Q4369" i="4" s="1"/>
  <c r="Q4370" i="4" s="1"/>
  <c r="Q4371" i="4" s="1"/>
  <c r="Q4372" i="4" s="1"/>
  <c r="Q4373" i="4" s="1"/>
  <c r="Q4374" i="4" s="1"/>
  <c r="Q4375" i="4" s="1"/>
  <c r="Q4376" i="4" s="1"/>
  <c r="Q4377" i="4" s="1"/>
  <c r="Q4378" i="4" s="1"/>
  <c r="Q4379" i="4" s="1"/>
  <c r="Q4380" i="4" s="1"/>
  <c r="Q4381" i="4" s="1"/>
  <c r="Q4382" i="4" s="1"/>
  <c r="Q4383" i="4" s="1"/>
  <c r="Q4384" i="4" s="1"/>
  <c r="Q4385" i="4" s="1"/>
  <c r="Q4386" i="4" s="1"/>
  <c r="Q4387" i="4" s="1"/>
  <c r="Q4388" i="4" s="1"/>
  <c r="Q4389" i="4" s="1"/>
  <c r="Q4390" i="4" s="1"/>
  <c r="Q4391" i="4" s="1"/>
  <c r="Q4392" i="4" s="1"/>
  <c r="Q4393" i="4" s="1"/>
  <c r="Q4394" i="4" s="1"/>
  <c r="Q4395" i="4" s="1"/>
  <c r="Q4396" i="4" s="1"/>
  <c r="Q4397" i="4" s="1"/>
  <c r="Q4398" i="4" s="1"/>
  <c r="Q4399" i="4" s="1"/>
  <c r="Q4400" i="4" s="1"/>
  <c r="Q4401" i="4" s="1"/>
  <c r="Q4402" i="4" s="1"/>
  <c r="Q4403" i="4" s="1"/>
  <c r="Q4404" i="4" s="1"/>
  <c r="Q4405" i="4" s="1"/>
  <c r="Q4406" i="4" s="1"/>
  <c r="Q4407" i="4" s="1"/>
  <c r="Q4408" i="4" s="1"/>
  <c r="Q4409" i="4" s="1"/>
  <c r="Q4410" i="4" s="1"/>
  <c r="Q4411" i="4" s="1"/>
  <c r="Q4412" i="4" s="1"/>
  <c r="Q4413" i="4" s="1"/>
  <c r="Q4414" i="4" s="1"/>
  <c r="Q4415" i="4" s="1"/>
  <c r="Q4416" i="4" s="1"/>
  <c r="Q4417" i="4" s="1"/>
  <c r="Q4418" i="4" s="1"/>
  <c r="Q4419" i="4" s="1"/>
  <c r="Q4420" i="4" s="1"/>
  <c r="Q4421" i="4" s="1"/>
  <c r="Q4422" i="4" s="1"/>
  <c r="Q4423" i="4" s="1"/>
  <c r="Q4424" i="4" s="1"/>
  <c r="Q4425" i="4" s="1"/>
  <c r="Q4426" i="4" s="1"/>
  <c r="Q4427" i="4" s="1"/>
  <c r="Q4428" i="4" s="1"/>
  <c r="Q4429" i="4" s="1"/>
  <c r="Q4430" i="4" s="1"/>
  <c r="Q4431" i="4" s="1"/>
  <c r="Q4432" i="4" s="1"/>
  <c r="Q4433" i="4" s="1"/>
  <c r="Q4434" i="4" s="1"/>
  <c r="Q4435" i="4" s="1"/>
  <c r="Q4436" i="4" s="1"/>
  <c r="Q4437" i="4" s="1"/>
  <c r="Q4438" i="4" s="1"/>
  <c r="Q4439" i="4" s="1"/>
  <c r="Q4440" i="4" s="1"/>
  <c r="Q4441" i="4" s="1"/>
  <c r="Q4442" i="4" s="1"/>
  <c r="Q4443" i="4" s="1"/>
  <c r="Q4444" i="4" s="1"/>
  <c r="Q4445" i="4" s="1"/>
  <c r="Q4446" i="4" s="1"/>
  <c r="Q4447" i="4" s="1"/>
  <c r="Q4448" i="4" s="1"/>
  <c r="Q4449" i="4" s="1"/>
  <c r="Q4450" i="4" s="1"/>
  <c r="Q4451" i="4" s="1"/>
  <c r="Q4452" i="4" s="1"/>
  <c r="Q4453" i="4" s="1"/>
  <c r="Q4454" i="4" s="1"/>
  <c r="Q4455" i="4" s="1"/>
  <c r="Q4456" i="4" s="1"/>
  <c r="Q4457" i="4" s="1"/>
  <c r="Q4458" i="4" s="1"/>
  <c r="Q4459" i="4" s="1"/>
  <c r="Q4460" i="4" s="1"/>
  <c r="Q4461" i="4" s="1"/>
  <c r="Q4462" i="4" s="1"/>
  <c r="Q4463" i="4" s="1"/>
  <c r="Q4464" i="4" s="1"/>
  <c r="Q4465" i="4" s="1"/>
  <c r="Q4466" i="4" s="1"/>
  <c r="Q4467" i="4" s="1"/>
  <c r="Q4468" i="4" s="1"/>
  <c r="Q4469" i="4" s="1"/>
  <c r="Q4470" i="4" s="1"/>
  <c r="Q4471" i="4" s="1"/>
  <c r="Q4472" i="4" s="1"/>
  <c r="Q4473" i="4" s="1"/>
  <c r="Q4474" i="4" s="1"/>
  <c r="Q4475" i="4" s="1"/>
  <c r="Q4476" i="4" s="1"/>
  <c r="Q4477" i="4" s="1"/>
  <c r="Q4478" i="4" s="1"/>
  <c r="Q4479" i="4" s="1"/>
  <c r="Q4480" i="4" s="1"/>
  <c r="Q4481" i="4" s="1"/>
  <c r="Q4482" i="4" s="1"/>
  <c r="Q4483" i="4" s="1"/>
  <c r="Q4484" i="4" s="1"/>
  <c r="Q4485" i="4" s="1"/>
  <c r="Q4486" i="4" s="1"/>
  <c r="Q4487" i="4" s="1"/>
  <c r="Q4488" i="4" s="1"/>
  <c r="Q4489" i="4" s="1"/>
  <c r="Q4490" i="4" s="1"/>
  <c r="Q4491" i="4" s="1"/>
  <c r="Q4492" i="4" s="1"/>
  <c r="Q4493" i="4" s="1"/>
  <c r="Q4494" i="4" s="1"/>
  <c r="Q4495" i="4" s="1"/>
  <c r="Q4496" i="4" s="1"/>
  <c r="Q4497" i="4" s="1"/>
  <c r="Q4498" i="4" s="1"/>
  <c r="Q4499" i="4" s="1"/>
  <c r="Q4500" i="4" s="1"/>
  <c r="Q4501" i="4" s="1"/>
  <c r="Q4502" i="4" s="1"/>
  <c r="Q4503" i="4" s="1"/>
  <c r="Q4504" i="4" s="1"/>
  <c r="Q4505" i="4" s="1"/>
  <c r="Q4506" i="4" s="1"/>
  <c r="Q4507" i="4" s="1"/>
  <c r="Q4508" i="4" s="1"/>
  <c r="Q4509" i="4" s="1"/>
  <c r="Q4510" i="4" s="1"/>
  <c r="Q4511" i="4" s="1"/>
  <c r="Q4512" i="4" s="1"/>
  <c r="Q4513" i="4" s="1"/>
  <c r="Q4514" i="4" s="1"/>
  <c r="Q4515" i="4" s="1"/>
  <c r="Q4516" i="4" s="1"/>
  <c r="Q4517" i="4" s="1"/>
  <c r="Q4518" i="4" s="1"/>
  <c r="Q4519" i="4" s="1"/>
  <c r="Q4520" i="4" s="1"/>
  <c r="Q4521" i="4" s="1"/>
  <c r="Q4522" i="4" s="1"/>
  <c r="Q4523" i="4" s="1"/>
  <c r="Q4524" i="4" s="1"/>
  <c r="Q4525" i="4" s="1"/>
  <c r="Q4526" i="4" s="1"/>
  <c r="Q4527" i="4" s="1"/>
  <c r="Q4528" i="4" s="1"/>
  <c r="Q4529" i="4" s="1"/>
  <c r="Q4530" i="4" s="1"/>
  <c r="Q4531" i="4" s="1"/>
  <c r="Q4532" i="4" s="1"/>
  <c r="Q4533" i="4" s="1"/>
  <c r="Q4534" i="4" s="1"/>
  <c r="Q4535" i="4" s="1"/>
  <c r="Q4536" i="4" s="1"/>
  <c r="Q4537" i="4" s="1"/>
  <c r="Q4538" i="4" s="1"/>
  <c r="Q4539" i="4" s="1"/>
  <c r="Q4540" i="4" s="1"/>
  <c r="Q4541" i="4" s="1"/>
  <c r="Q4542" i="4" s="1"/>
  <c r="Q4543" i="4" s="1"/>
  <c r="Q4544" i="4" s="1"/>
  <c r="Q4545" i="4" s="1"/>
  <c r="Q4546" i="4" s="1"/>
  <c r="Q4547" i="4" s="1"/>
  <c r="Q4548" i="4" s="1"/>
  <c r="Q4549" i="4" s="1"/>
  <c r="Q4550" i="4" s="1"/>
  <c r="Q4551" i="4" s="1"/>
  <c r="Q4552" i="4" s="1"/>
  <c r="Q4553" i="4" s="1"/>
  <c r="Q4554" i="4" s="1"/>
  <c r="Q4555" i="4" s="1"/>
  <c r="Q4556" i="4" s="1"/>
  <c r="Q4557" i="4" s="1"/>
  <c r="Q4558" i="4" s="1"/>
  <c r="Q4559" i="4" s="1"/>
  <c r="Q4560" i="4" s="1"/>
  <c r="Q4561" i="4" s="1"/>
  <c r="Q4562" i="4" s="1"/>
  <c r="Q4563" i="4" s="1"/>
  <c r="Q4564" i="4" s="1"/>
  <c r="Q4565" i="4" s="1"/>
  <c r="Q4566" i="4" s="1"/>
  <c r="Q4567" i="4" s="1"/>
  <c r="Q4568" i="4" s="1"/>
  <c r="Q4569" i="4" s="1"/>
  <c r="Q4570" i="4" s="1"/>
  <c r="Q4571" i="4" s="1"/>
  <c r="Q4572" i="4" s="1"/>
  <c r="Q4573" i="4" s="1"/>
  <c r="Q4574" i="4" s="1"/>
  <c r="Q4575" i="4" s="1"/>
  <c r="Q4576" i="4" s="1"/>
  <c r="Q4577" i="4" s="1"/>
  <c r="Q4578" i="4" s="1"/>
  <c r="Q4579" i="4" s="1"/>
  <c r="Q4580" i="4" s="1"/>
  <c r="Q4581" i="4" s="1"/>
  <c r="Q4582" i="4" s="1"/>
  <c r="Q4583" i="4" s="1"/>
  <c r="Q4584" i="4" s="1"/>
  <c r="Q4585" i="4" s="1"/>
  <c r="Q4586" i="4" s="1"/>
  <c r="Q4587" i="4" s="1"/>
  <c r="Q4588" i="4" s="1"/>
  <c r="Q4589" i="4" s="1"/>
  <c r="Q4590" i="4" s="1"/>
  <c r="Q4591" i="4" s="1"/>
  <c r="Q4592" i="4" s="1"/>
  <c r="Q4593" i="4" s="1"/>
  <c r="Q4594" i="4" s="1"/>
  <c r="Q4595" i="4" s="1"/>
  <c r="Q4596" i="4" s="1"/>
  <c r="Q4597" i="4" s="1"/>
  <c r="Q4598" i="4" s="1"/>
  <c r="Q4599" i="4" s="1"/>
  <c r="Q4600" i="4" s="1"/>
  <c r="Q4601" i="4" s="1"/>
  <c r="Q4602" i="4" s="1"/>
  <c r="Q4603" i="4" s="1"/>
  <c r="Q4604" i="4" s="1"/>
  <c r="Q4605" i="4" s="1"/>
  <c r="Q4606" i="4" s="1"/>
  <c r="Q4607" i="4" s="1"/>
  <c r="Q4608" i="4" s="1"/>
  <c r="Q4609" i="4" s="1"/>
  <c r="Q4610" i="4" s="1"/>
  <c r="Q4611" i="4" s="1"/>
  <c r="Q4612" i="4" s="1"/>
  <c r="Q4613" i="4" s="1"/>
  <c r="Q4614" i="4" s="1"/>
  <c r="Q4615" i="4" s="1"/>
  <c r="Q4616" i="4" s="1"/>
  <c r="Q4617" i="4" s="1"/>
  <c r="Q4618" i="4" s="1"/>
  <c r="Q4619" i="4" s="1"/>
  <c r="Q4620" i="4" s="1"/>
  <c r="Q4621" i="4" s="1"/>
  <c r="Q4622" i="4" s="1"/>
  <c r="Q4623" i="4" s="1"/>
  <c r="Q4624" i="4" s="1"/>
  <c r="Q4625" i="4" s="1"/>
  <c r="Q4626" i="4" s="1"/>
  <c r="Q4627" i="4" s="1"/>
  <c r="Q4628" i="4" s="1"/>
  <c r="Q4629" i="4" s="1"/>
  <c r="Q4630" i="4" s="1"/>
  <c r="Q4631" i="4" s="1"/>
  <c r="Q4632" i="4" s="1"/>
  <c r="Q4633" i="4" s="1"/>
  <c r="Q4634" i="4" s="1"/>
  <c r="Q4635" i="4" s="1"/>
  <c r="Q4636" i="4" s="1"/>
  <c r="Q4637" i="4" s="1"/>
  <c r="Q4638" i="4" s="1"/>
  <c r="Q4639" i="4" s="1"/>
  <c r="Q4640" i="4" s="1"/>
  <c r="Q4641" i="4" s="1"/>
  <c r="Q4642" i="4" s="1"/>
  <c r="Q4643" i="4" s="1"/>
  <c r="Q4644" i="4" s="1"/>
  <c r="Q4645" i="4" s="1"/>
  <c r="Q4646" i="4" s="1"/>
  <c r="Q4647" i="4" s="1"/>
  <c r="Q4648" i="4" s="1"/>
  <c r="Q4649" i="4" s="1"/>
  <c r="Q4650" i="4" s="1"/>
  <c r="Q4651" i="4" s="1"/>
  <c r="Q4652" i="4" s="1"/>
  <c r="Q4653" i="4" s="1"/>
  <c r="Q4654" i="4" s="1"/>
  <c r="Q4655" i="4" s="1"/>
  <c r="Q4656" i="4" s="1"/>
  <c r="Q4657" i="4" s="1"/>
  <c r="Q4658" i="4" s="1"/>
  <c r="Q4659" i="4" s="1"/>
  <c r="Q4660" i="4" s="1"/>
  <c r="Q4661" i="4" s="1"/>
  <c r="Q4662" i="4" s="1"/>
  <c r="Q4663" i="4" s="1"/>
  <c r="Q4664" i="4" s="1"/>
  <c r="Q4665" i="4" s="1"/>
  <c r="Q4666" i="4" s="1"/>
  <c r="Q4667" i="4" s="1"/>
  <c r="Q4668" i="4" s="1"/>
  <c r="Q4669" i="4" s="1"/>
  <c r="Q4670" i="4" s="1"/>
  <c r="Q4671" i="4" s="1"/>
  <c r="Q4672" i="4" s="1"/>
  <c r="Q4673" i="4" s="1"/>
  <c r="Q4674" i="4" s="1"/>
  <c r="Q4675" i="4" s="1"/>
  <c r="Q4676" i="4" s="1"/>
  <c r="Q4677" i="4" s="1"/>
  <c r="Q4678" i="4" s="1"/>
  <c r="Q4679" i="4" s="1"/>
  <c r="Q4680" i="4" s="1"/>
  <c r="Q4681" i="4" s="1"/>
  <c r="Q4682" i="4" s="1"/>
  <c r="Q4683" i="4" s="1"/>
  <c r="Q4684" i="4" s="1"/>
  <c r="Q4685" i="4" s="1"/>
  <c r="Q4686" i="4" s="1"/>
  <c r="Q4687" i="4" s="1"/>
  <c r="Q4688" i="4" s="1"/>
  <c r="Q4689" i="4" s="1"/>
  <c r="Q4690" i="4" s="1"/>
  <c r="Q4691" i="4" s="1"/>
  <c r="Q4692" i="4" s="1"/>
  <c r="Q4693" i="4" s="1"/>
  <c r="Q4694" i="4" s="1"/>
  <c r="Q4695" i="4" s="1"/>
  <c r="Q4696" i="4" s="1"/>
  <c r="Q4697" i="4" s="1"/>
  <c r="Q4698" i="4" s="1"/>
  <c r="Q4699" i="4" s="1"/>
  <c r="Q4700" i="4" s="1"/>
  <c r="Q4701" i="4" s="1"/>
  <c r="Q4702" i="4" s="1"/>
  <c r="Q4703" i="4" s="1"/>
  <c r="Q4704" i="4" s="1"/>
  <c r="Q4705" i="4" s="1"/>
  <c r="Q4706" i="4" s="1"/>
  <c r="Q4707" i="4" s="1"/>
  <c r="Q4708" i="4" s="1"/>
  <c r="Q4709" i="4" s="1"/>
  <c r="Q4710" i="4" s="1"/>
  <c r="Q4711" i="4" s="1"/>
  <c r="Q4712" i="4" s="1"/>
  <c r="Q4713" i="4" s="1"/>
  <c r="Q4714" i="4" s="1"/>
  <c r="Q4715" i="4" s="1"/>
  <c r="Q4716" i="4" s="1"/>
  <c r="Q4717" i="4" s="1"/>
  <c r="Q4718" i="4" s="1"/>
  <c r="Q4719" i="4" s="1"/>
  <c r="Q4720" i="4" s="1"/>
  <c r="Q4721" i="4" s="1"/>
  <c r="Q4722" i="4" s="1"/>
  <c r="Q4723" i="4" s="1"/>
  <c r="Q4724" i="4" s="1"/>
  <c r="Q4725" i="4" s="1"/>
  <c r="Q4726" i="4" s="1"/>
  <c r="Q4727" i="4" s="1"/>
  <c r="Q4728" i="4" s="1"/>
  <c r="Q4729" i="4" s="1"/>
  <c r="Q4730" i="4" s="1"/>
  <c r="Q4731" i="4" s="1"/>
  <c r="Q4732" i="4" s="1"/>
  <c r="Q4733" i="4" s="1"/>
  <c r="Q4734" i="4" s="1"/>
  <c r="Q4735" i="4" s="1"/>
  <c r="Q4736" i="4" s="1"/>
  <c r="Q4737" i="4" s="1"/>
  <c r="Q4738" i="4" s="1"/>
  <c r="Q4739" i="4" s="1"/>
  <c r="Q4740" i="4" s="1"/>
  <c r="Q4741" i="4" s="1"/>
  <c r="Q4742" i="4" s="1"/>
  <c r="Q4743" i="4" s="1"/>
  <c r="Q4744" i="4" s="1"/>
  <c r="Q4745" i="4" s="1"/>
  <c r="Q4746" i="4" s="1"/>
  <c r="Q4747" i="4" s="1"/>
  <c r="Q4748" i="4" s="1"/>
  <c r="Q4749" i="4" s="1"/>
  <c r="Q4750" i="4" s="1"/>
  <c r="Q4751" i="4" s="1"/>
  <c r="Q4752" i="4" s="1"/>
  <c r="Q4753" i="4" s="1"/>
  <c r="Q4754" i="4" s="1"/>
  <c r="Q4755" i="4" s="1"/>
  <c r="Q4756" i="4" s="1"/>
  <c r="Q4757" i="4" s="1"/>
  <c r="Q4758" i="4" s="1"/>
  <c r="Q4759" i="4" s="1"/>
  <c r="Q4760" i="4" s="1"/>
  <c r="Q4761" i="4" s="1"/>
  <c r="Q4762" i="4" s="1"/>
  <c r="Q4763" i="4" s="1"/>
  <c r="Q4764" i="4" s="1"/>
  <c r="Q4765" i="4" s="1"/>
  <c r="Q4766" i="4" s="1"/>
  <c r="Q4767" i="4" s="1"/>
  <c r="Q4768" i="4" s="1"/>
  <c r="Q4769" i="4" s="1"/>
  <c r="Q4770" i="4" s="1"/>
  <c r="Q4771" i="4" s="1"/>
  <c r="Q4772" i="4" s="1"/>
  <c r="Q4773" i="4" s="1"/>
  <c r="Q4774" i="4" s="1"/>
  <c r="Q4775" i="4" s="1"/>
  <c r="Q4776" i="4" s="1"/>
  <c r="Q4777" i="4" s="1"/>
  <c r="Q4778" i="4" s="1"/>
  <c r="Q4779" i="4" s="1"/>
  <c r="Q4780" i="4" s="1"/>
  <c r="Q4781" i="4" s="1"/>
  <c r="Q4782" i="4" s="1"/>
  <c r="Q4783" i="4" s="1"/>
  <c r="Q4784" i="4" s="1"/>
  <c r="Q4785" i="4" s="1"/>
  <c r="Q4786" i="4" s="1"/>
  <c r="Q4787" i="4" s="1"/>
  <c r="Q4788" i="4" s="1"/>
  <c r="Q4789" i="4" s="1"/>
  <c r="Q4790" i="4" s="1"/>
  <c r="Q4791" i="4" s="1"/>
  <c r="Q4792" i="4" s="1"/>
  <c r="Q4793" i="4" s="1"/>
  <c r="Q4794" i="4" s="1"/>
  <c r="Q4795" i="4" s="1"/>
  <c r="Q4796" i="4" s="1"/>
  <c r="Q4797" i="4" s="1"/>
  <c r="Q4798" i="4" s="1"/>
  <c r="Q4799" i="4" s="1"/>
  <c r="Q4800" i="4" s="1"/>
  <c r="Q4801" i="4" s="1"/>
  <c r="Q4802" i="4" s="1"/>
  <c r="Q4803" i="4" s="1"/>
  <c r="Q4804" i="4" s="1"/>
  <c r="Q4805" i="4" s="1"/>
  <c r="Q4806" i="4" s="1"/>
  <c r="Q4807" i="4" s="1"/>
  <c r="Q4808" i="4" s="1"/>
  <c r="Q4809" i="4" s="1"/>
  <c r="Q4810" i="4" s="1"/>
  <c r="Q4811" i="4" s="1"/>
  <c r="Q4812" i="4" s="1"/>
  <c r="Q4813" i="4" s="1"/>
  <c r="Q4814" i="4" s="1"/>
  <c r="Q4815" i="4" s="1"/>
  <c r="Q4816" i="4" s="1"/>
  <c r="Q4817" i="4" s="1"/>
  <c r="Q4818" i="4" s="1"/>
  <c r="Q4819" i="4" s="1"/>
  <c r="Q4820" i="4" s="1"/>
  <c r="Q4821" i="4" s="1"/>
  <c r="Q4822" i="4" s="1"/>
  <c r="Q4823" i="4" s="1"/>
  <c r="Q4824" i="4" s="1"/>
  <c r="Q4825" i="4" s="1"/>
  <c r="Q4826" i="4" s="1"/>
  <c r="Q4827" i="4" s="1"/>
  <c r="Q4828" i="4" s="1"/>
  <c r="Q4829" i="4" s="1"/>
  <c r="Q4830" i="4" s="1"/>
  <c r="Q4831" i="4" s="1"/>
  <c r="Q4832" i="4" s="1"/>
  <c r="Q4833" i="4" s="1"/>
  <c r="Q4834" i="4" s="1"/>
  <c r="Q4835" i="4" s="1"/>
  <c r="Q4836" i="4" s="1"/>
  <c r="Q4837" i="4" s="1"/>
  <c r="Q4838" i="4" s="1"/>
  <c r="Q4839" i="4" s="1"/>
  <c r="Q4840" i="4" s="1"/>
  <c r="Q4841" i="4" s="1"/>
  <c r="Q4842" i="4" s="1"/>
  <c r="Q4843" i="4" s="1"/>
  <c r="Q4844" i="4" s="1"/>
  <c r="Q4845" i="4" s="1"/>
  <c r="Q4846" i="4" s="1"/>
  <c r="Q4847" i="4" s="1"/>
  <c r="Q4848" i="4" s="1"/>
  <c r="Q4849" i="4" s="1"/>
  <c r="Q4850" i="4" s="1"/>
  <c r="Q4851" i="4" s="1"/>
  <c r="Q4852" i="4" s="1"/>
  <c r="Q4853" i="4" s="1"/>
  <c r="Q4854" i="4" s="1"/>
  <c r="Q4855" i="4" s="1"/>
  <c r="Q4856" i="4" s="1"/>
  <c r="Q4857" i="4" s="1"/>
  <c r="Q4858" i="4" s="1"/>
  <c r="Q4859" i="4" s="1"/>
  <c r="Q4860" i="4" s="1"/>
  <c r="Q4861" i="4" s="1"/>
  <c r="Q4862" i="4" s="1"/>
  <c r="Q4863" i="4" s="1"/>
  <c r="Q4864" i="4" s="1"/>
  <c r="Q4865" i="4" s="1"/>
  <c r="Q4866" i="4" s="1"/>
  <c r="Q4867" i="4" s="1"/>
  <c r="Q4868" i="4" s="1"/>
  <c r="Q4869" i="4" s="1"/>
  <c r="Q4870" i="4" s="1"/>
  <c r="Q4871" i="4" s="1"/>
  <c r="Q4872" i="4" s="1"/>
  <c r="Q4873" i="4" s="1"/>
  <c r="Q4874" i="4" s="1"/>
  <c r="Q4875" i="4" s="1"/>
  <c r="Q4876" i="4" s="1"/>
  <c r="Q4877" i="4" s="1"/>
  <c r="Q4878" i="4" s="1"/>
  <c r="Q4879" i="4" s="1"/>
  <c r="Q4880" i="4" s="1"/>
  <c r="Q4881" i="4" s="1"/>
  <c r="Q4882" i="4" s="1"/>
  <c r="Q4883" i="4" s="1"/>
  <c r="Q4884" i="4" s="1"/>
  <c r="Q4885" i="4" s="1"/>
  <c r="Q4886" i="4" s="1"/>
  <c r="Q4887" i="4" s="1"/>
  <c r="Q4888" i="4" s="1"/>
  <c r="Q4889" i="4" s="1"/>
  <c r="Q4890" i="4" s="1"/>
  <c r="Q4891" i="4" s="1"/>
  <c r="Q4892" i="4" s="1"/>
  <c r="Q4893" i="4" s="1"/>
  <c r="Q4894" i="4" s="1"/>
  <c r="Q4895" i="4" s="1"/>
  <c r="Q4896" i="4" s="1"/>
  <c r="Q4897" i="4" s="1"/>
  <c r="Q4898" i="4" s="1"/>
  <c r="Q4899" i="4" s="1"/>
  <c r="Q4900" i="4" s="1"/>
  <c r="Q4901" i="4" s="1"/>
  <c r="Q4902" i="4" s="1"/>
  <c r="Q4903" i="4" s="1"/>
  <c r="Q4904" i="4" s="1"/>
  <c r="Q4905" i="4" s="1"/>
  <c r="Q4906" i="4" s="1"/>
  <c r="Q4907" i="4" s="1"/>
  <c r="Q4908" i="4" s="1"/>
  <c r="Q4909" i="4" s="1"/>
  <c r="Q4910" i="4" s="1"/>
  <c r="Q4911" i="4" s="1"/>
  <c r="Q4912" i="4" s="1"/>
  <c r="Q4913" i="4" s="1"/>
  <c r="Q4914" i="4" s="1"/>
  <c r="Q4915" i="4" s="1"/>
  <c r="Q4916" i="4" s="1"/>
  <c r="Q4917" i="4" s="1"/>
  <c r="Q4918" i="4" s="1"/>
  <c r="Q4919" i="4" s="1"/>
  <c r="Q4920" i="4" s="1"/>
  <c r="Q4921" i="4" s="1"/>
  <c r="Q4922" i="4" s="1"/>
  <c r="Q4923" i="4" s="1"/>
  <c r="Q4924" i="4" s="1"/>
  <c r="Q4925" i="4" s="1"/>
  <c r="Q4926" i="4" s="1"/>
  <c r="Q4927" i="4" s="1"/>
  <c r="Q4928" i="4" s="1"/>
  <c r="Q4929" i="4" s="1"/>
  <c r="Q4930" i="4" s="1"/>
  <c r="Q4931" i="4" s="1"/>
  <c r="Q4932" i="4" s="1"/>
  <c r="Q4933" i="4" s="1"/>
  <c r="Q4934" i="4" s="1"/>
  <c r="Q4935" i="4" s="1"/>
  <c r="Q4936" i="4" s="1"/>
  <c r="Q4937" i="4" s="1"/>
  <c r="Q4938" i="4" s="1"/>
  <c r="Q4939" i="4" s="1"/>
  <c r="Q4940" i="4" s="1"/>
  <c r="Q4941" i="4" s="1"/>
  <c r="Q4942" i="4" s="1"/>
  <c r="Q4943" i="4" s="1"/>
  <c r="Q4944" i="4" s="1"/>
  <c r="Q4945" i="4" s="1"/>
  <c r="Q4946" i="4" s="1"/>
  <c r="Q4947" i="4" s="1"/>
  <c r="Q4948" i="4" s="1"/>
  <c r="Q4949" i="4" s="1"/>
  <c r="Q4950" i="4" s="1"/>
  <c r="Q4951" i="4" s="1"/>
  <c r="Q4952" i="4" s="1"/>
  <c r="Q4953" i="4" s="1"/>
  <c r="Q4954" i="4" s="1"/>
  <c r="Q4955" i="4" s="1"/>
  <c r="Q4956" i="4" s="1"/>
  <c r="Q4957" i="4" s="1"/>
  <c r="Q4958" i="4" s="1"/>
  <c r="Q4959" i="4" s="1"/>
  <c r="Q4960" i="4" s="1"/>
  <c r="Q4961" i="4" s="1"/>
  <c r="Q4962" i="4" s="1"/>
  <c r="Q4963" i="4" s="1"/>
  <c r="Q4964" i="4" s="1"/>
  <c r="Q4965" i="4" s="1"/>
  <c r="Q4966" i="4" s="1"/>
  <c r="Q4967" i="4" s="1"/>
  <c r="Q4968" i="4" s="1"/>
  <c r="Q4969" i="4" s="1"/>
  <c r="Q4970" i="4" s="1"/>
  <c r="Q4971" i="4" s="1"/>
  <c r="Q4972" i="4" s="1"/>
  <c r="Q4973" i="4" s="1"/>
  <c r="Q4974" i="4" s="1"/>
  <c r="Q4975" i="4" s="1"/>
  <c r="Q4976" i="4" s="1"/>
  <c r="Q4977" i="4" s="1"/>
  <c r="Q4978" i="4" s="1"/>
  <c r="Q4979" i="4" s="1"/>
  <c r="Q4980" i="4" s="1"/>
  <c r="Q4981" i="4" s="1"/>
  <c r="Q4982" i="4" s="1"/>
  <c r="Q4983" i="4" s="1"/>
  <c r="Q4984" i="4" s="1"/>
  <c r="Q4985" i="4" s="1"/>
  <c r="Q4986" i="4" s="1"/>
  <c r="Q4987" i="4" s="1"/>
  <c r="Q4988" i="4" s="1"/>
  <c r="Q4989" i="4" s="1"/>
  <c r="Q4990" i="4" s="1"/>
  <c r="Q4991" i="4" s="1"/>
  <c r="Q4992" i="4" s="1"/>
  <c r="Q4993" i="4" s="1"/>
  <c r="Q4994" i="4" s="1"/>
  <c r="Q4995" i="4" s="1"/>
  <c r="Q4996" i="4" s="1"/>
  <c r="Q4997" i="4" s="1"/>
  <c r="Q4998" i="4" s="1"/>
  <c r="Q4999" i="4" s="1"/>
  <c r="Q5000" i="4" s="1"/>
  <c r="Q5001" i="4" s="1"/>
  <c r="Q5002" i="4" s="1"/>
  <c r="Q5003" i="4" s="1"/>
  <c r="Q5004" i="4" s="1"/>
  <c r="Q5005" i="4" s="1"/>
  <c r="Q5006" i="4" s="1"/>
  <c r="Q5007" i="4" s="1"/>
  <c r="Q5008" i="4" s="1"/>
  <c r="Q5009" i="4" s="1"/>
  <c r="Q5010" i="4" s="1"/>
  <c r="Q5011" i="4" s="1"/>
  <c r="Q5012" i="4" s="1"/>
  <c r="Q5013" i="4" s="1"/>
  <c r="Q5014" i="4" s="1"/>
  <c r="Q5015" i="4" s="1"/>
  <c r="Q5016" i="4" s="1"/>
  <c r="Q5017" i="4" s="1"/>
  <c r="Q5018" i="4" s="1"/>
  <c r="Q5019" i="4" s="1"/>
  <c r="Q5020" i="4" s="1"/>
  <c r="Q5021" i="4" s="1"/>
  <c r="Q5022" i="4" s="1"/>
  <c r="Q5023" i="4" s="1"/>
  <c r="Q5024" i="4" s="1"/>
  <c r="Q5025" i="4" s="1"/>
  <c r="Q5026" i="4" s="1"/>
  <c r="Q5027" i="4" s="1"/>
  <c r="Q5028" i="4" s="1"/>
  <c r="Q5029" i="4" s="1"/>
  <c r="Q5030" i="4" s="1"/>
  <c r="Q5031" i="4" s="1"/>
  <c r="Q5032" i="4" s="1"/>
  <c r="Q5033" i="4" s="1"/>
  <c r="Q5034" i="4" s="1"/>
  <c r="Q5035" i="4" s="1"/>
  <c r="Q5036" i="4" s="1"/>
  <c r="Q5037" i="4" s="1"/>
  <c r="Q5038" i="4" s="1"/>
  <c r="Q5039" i="4" s="1"/>
  <c r="Q5040" i="4" s="1"/>
  <c r="Q5041" i="4" s="1"/>
  <c r="Q5042" i="4" s="1"/>
  <c r="Q5043" i="4" s="1"/>
  <c r="Q5044" i="4" s="1"/>
  <c r="Q5045" i="4" s="1"/>
  <c r="Q5046" i="4" s="1"/>
  <c r="Q5047" i="4" s="1"/>
  <c r="Q5048" i="4" s="1"/>
  <c r="Q5049" i="4" s="1"/>
  <c r="Q5050" i="4" s="1"/>
  <c r="Q5051" i="4" s="1"/>
  <c r="Q5052" i="4" s="1"/>
  <c r="Q5053" i="4" s="1"/>
  <c r="Q5054" i="4" s="1"/>
  <c r="Q5055" i="4" s="1"/>
  <c r="Q5056" i="4" s="1"/>
  <c r="Q5057" i="4" s="1"/>
  <c r="Q5058" i="4" s="1"/>
  <c r="Q5059" i="4" s="1"/>
  <c r="Q5060" i="4" s="1"/>
  <c r="Q5061" i="4" s="1"/>
  <c r="Q5062" i="4" s="1"/>
  <c r="Q5063" i="4" s="1"/>
  <c r="Q5064" i="4" s="1"/>
  <c r="Q5065" i="4" s="1"/>
  <c r="Q5066" i="4" s="1"/>
  <c r="Q5067" i="4" s="1"/>
  <c r="Q5068" i="4" s="1"/>
  <c r="Q5069" i="4" s="1"/>
  <c r="Q5070" i="4" s="1"/>
  <c r="Q5071" i="4" s="1"/>
  <c r="Q5072" i="4" s="1"/>
  <c r="Q5073" i="4" s="1"/>
  <c r="Q5074" i="4" s="1"/>
  <c r="Q5075" i="4" s="1"/>
  <c r="Q5076" i="4" s="1"/>
  <c r="Q5077" i="4" s="1"/>
  <c r="Q5078" i="4" s="1"/>
  <c r="Q5079" i="4" s="1"/>
  <c r="Q5080" i="4" s="1"/>
  <c r="Q5081" i="4" s="1"/>
  <c r="Q5082" i="4" s="1"/>
  <c r="Q5083" i="4" s="1"/>
  <c r="Q5084" i="4" s="1"/>
  <c r="Q5085" i="4" s="1"/>
  <c r="Q5086" i="4" s="1"/>
  <c r="Q5087" i="4" s="1"/>
  <c r="Q5088" i="4" s="1"/>
  <c r="Q5089" i="4" s="1"/>
  <c r="Q5090" i="4" s="1"/>
  <c r="Q5091" i="4" s="1"/>
  <c r="Q5092" i="4" s="1"/>
  <c r="Q5093" i="4" s="1"/>
  <c r="Q5094" i="4" s="1"/>
  <c r="Q5095" i="4" s="1"/>
  <c r="Q5096" i="4" s="1"/>
  <c r="Q5097" i="4" s="1"/>
  <c r="Q5098" i="4" s="1"/>
  <c r="Q5099" i="4" s="1"/>
  <c r="Q5100" i="4" s="1"/>
  <c r="Q5101" i="4" s="1"/>
  <c r="Q5102" i="4" s="1"/>
  <c r="Q5103" i="4" s="1"/>
  <c r="Q5104" i="4" s="1"/>
  <c r="Q5105" i="4" s="1"/>
  <c r="Q5106" i="4" s="1"/>
  <c r="Q5107" i="4" s="1"/>
  <c r="Q5108" i="4" s="1"/>
  <c r="Q5109" i="4" s="1"/>
  <c r="Q5110" i="4" s="1"/>
  <c r="Q5111" i="4" s="1"/>
  <c r="Q5112" i="4" s="1"/>
  <c r="Q5113" i="4" s="1"/>
  <c r="Q5114" i="4" s="1"/>
  <c r="Q5115" i="4" s="1"/>
  <c r="Q5116" i="4" s="1"/>
  <c r="Q5117" i="4" s="1"/>
  <c r="Q5118" i="4" s="1"/>
  <c r="Q5119" i="4" s="1"/>
  <c r="Q5120" i="4" s="1"/>
  <c r="Q5121" i="4" s="1"/>
  <c r="Q5122" i="4" s="1"/>
  <c r="Q5123" i="4" s="1"/>
  <c r="Q5124" i="4" s="1"/>
  <c r="Q5125" i="4" s="1"/>
  <c r="Q5126" i="4" s="1"/>
  <c r="Q5127" i="4" s="1"/>
  <c r="Q5128" i="4" s="1"/>
  <c r="Q5129" i="4" s="1"/>
  <c r="Q5130" i="4" s="1"/>
  <c r="Q5131" i="4" s="1"/>
  <c r="Q5132" i="4" s="1"/>
  <c r="Q5133" i="4" s="1"/>
  <c r="Q5134" i="4" s="1"/>
  <c r="Q5135" i="4" s="1"/>
  <c r="Q5136" i="4" s="1"/>
  <c r="Q5137" i="4" s="1"/>
  <c r="Q5138" i="4" s="1"/>
  <c r="Q5139" i="4" s="1"/>
  <c r="Q5140" i="4" s="1"/>
  <c r="Q5143" i="4" l="1"/>
  <c r="Q5144" i="4" s="1"/>
  <c r="Q5145" i="4" s="1"/>
  <c r="Q5146" i="4" s="1"/>
  <c r="Q5147" i="4" s="1"/>
  <c r="Q5148" i="4" s="1"/>
  <c r="Q5149" i="4" s="1"/>
  <c r="Q5150" i="4" s="1"/>
  <c r="Q5151" i="4" s="1"/>
  <c r="Q5152" i="4" s="1"/>
  <c r="Q5153" i="4" s="1"/>
  <c r="Q5154" i="4" s="1"/>
  <c r="Q5155" i="4" s="1"/>
  <c r="Q5156" i="4" s="1"/>
  <c r="Q5157" i="4" s="1"/>
  <c r="Q5158" i="4" s="1"/>
  <c r="Q5159" i="4" s="1"/>
  <c r="Q5160" i="4" s="1"/>
  <c r="Q5161" i="4" s="1"/>
  <c r="Q5162" i="4" s="1"/>
  <c r="Q5163" i="4" s="1"/>
  <c r="Q5164" i="4" s="1"/>
  <c r="Q5165" i="4" s="1"/>
  <c r="Q5166" i="4" s="1"/>
  <c r="Q5167" i="4" s="1"/>
  <c r="Q5168" i="4" s="1"/>
  <c r="Q5169" i="4" s="1"/>
  <c r="Q5170" i="4" s="1"/>
  <c r="Q5171" i="4" s="1"/>
  <c r="Q5172" i="4" s="1"/>
  <c r="Q5173" i="4" s="1"/>
  <c r="Q5174" i="4" s="1"/>
  <c r="Q5175" i="4" s="1"/>
  <c r="Q5176" i="4" s="1"/>
  <c r="Q5177" i="4" s="1"/>
  <c r="Q5178" i="4" s="1"/>
  <c r="Q5179" i="4" s="1"/>
  <c r="Q5180" i="4" s="1"/>
  <c r="Q5181" i="4" s="1"/>
  <c r="Q5182" i="4" s="1"/>
  <c r="Q5183" i="4" s="1"/>
  <c r="Q5184" i="4" s="1"/>
  <c r="Q5185" i="4" s="1"/>
  <c r="Q5186" i="4" s="1"/>
  <c r="Q5187" i="4" s="1"/>
  <c r="Q5188" i="4" s="1"/>
  <c r="Q5189" i="4" s="1"/>
  <c r="Q5190" i="4" s="1"/>
  <c r="Q5191" i="4" s="1"/>
  <c r="Q5192" i="4" s="1"/>
  <c r="Q5193" i="4" s="1"/>
  <c r="Q5194" i="4" s="1"/>
  <c r="Q5195" i="4" s="1"/>
  <c r="Q5196" i="4" s="1"/>
  <c r="Q5141" i="4"/>
  <c r="Q5142" i="4" s="1"/>
  <c r="P1263" i="4"/>
  <c r="P5529" i="4" s="1"/>
  <c r="P1400" i="4"/>
  <c r="P2238" i="4"/>
</calcChain>
</file>

<file path=xl/comments1.xml><?xml version="1.0" encoding="utf-8"?>
<comments xmlns="http://schemas.openxmlformats.org/spreadsheetml/2006/main">
  <authors>
    <author>audrinayoo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RA Mepoke M (5kg)  1
</t>
        </r>
      </text>
    </comment>
    <comment ref="O165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Payment 2,903.00-2,902.50 Inv amount
Thurs over payment RM0.50
</t>
        </r>
      </text>
    </comment>
    <comment ref="D1972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To make correction in customer's statement
</t>
        </r>
      </text>
    </comment>
    <comment ref="O2459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CN19122023 (Inv 00000750)</t>
        </r>
        <r>
          <rPr>
            <sz val="9"/>
            <color indexed="81"/>
            <rFont val="Tahoma"/>
            <family val="2"/>
          </rPr>
          <t xml:space="preserve">
VE resin            RM4,258.00-3,600.00 = 650.00
CSM450(30kg)        RM300.00-234.00 =   66.00
Transport                                             150.00
                                                      ------------
 Total                                              RM866.00
                                                      =======    </t>
        </r>
      </text>
    </comment>
  </commentList>
</comments>
</file>

<file path=xl/sharedStrings.xml><?xml version="1.0" encoding="utf-8"?>
<sst xmlns="http://schemas.openxmlformats.org/spreadsheetml/2006/main" count="27706" uniqueCount="4756">
  <si>
    <t>Customer Code</t>
  </si>
  <si>
    <t>Customer Name</t>
  </si>
  <si>
    <t>Invoice No</t>
  </si>
  <si>
    <t>Invoice Date</t>
  </si>
  <si>
    <t>Payment Term</t>
  </si>
  <si>
    <t>Cash</t>
  </si>
  <si>
    <t>C00000001</t>
  </si>
  <si>
    <t>Kelnico Marketing</t>
  </si>
  <si>
    <t>Product</t>
  </si>
  <si>
    <t>RA Resin SHCP 268W (225kg)</t>
  </si>
  <si>
    <t>INV2020/00000002</t>
  </si>
  <si>
    <t>INV2020/00000003</t>
  </si>
  <si>
    <t>INV2020/00000004</t>
  </si>
  <si>
    <t>C00000002</t>
  </si>
  <si>
    <t>Sley</t>
  </si>
  <si>
    <t>RB Acetone (160Kg)</t>
  </si>
  <si>
    <t>RA Resin SHCP 268W (225Kg)</t>
  </si>
  <si>
    <t>RA Butanox M50 (5Kg)</t>
  </si>
  <si>
    <t>INV2020/00000005</t>
  </si>
  <si>
    <t>C00000003</t>
  </si>
  <si>
    <t>Pandian Art Gallery Manufacturing</t>
  </si>
  <si>
    <t>INV2020/00000006</t>
  </si>
  <si>
    <t>C00000004</t>
  </si>
  <si>
    <t>Siew Min Lorry Sdn Bhd</t>
  </si>
  <si>
    <t>RA Gelcoat GP-H (20Kg)</t>
  </si>
  <si>
    <t>Remark</t>
  </si>
  <si>
    <t>INV2020/00000007</t>
  </si>
  <si>
    <t>INV2020/00000008</t>
  </si>
  <si>
    <t>RA Silicone Rubber (25Kg)</t>
  </si>
  <si>
    <t>Delivered 22/7/20</t>
  </si>
  <si>
    <t>INV2020/00000009</t>
  </si>
  <si>
    <t>INV2020/00000010</t>
  </si>
  <si>
    <t>INV2020/00000011</t>
  </si>
  <si>
    <t>INV2020/00000012</t>
  </si>
  <si>
    <t>C00000005</t>
  </si>
  <si>
    <t>Artscene Creative</t>
  </si>
  <si>
    <t>INV2020/00000013</t>
  </si>
  <si>
    <t>INV2020/00000014</t>
  </si>
  <si>
    <t>INV2020/00000015</t>
  </si>
  <si>
    <t>RA Gelcoat GS-S ISO (20kg)</t>
  </si>
  <si>
    <t>INV2020/00000016</t>
  </si>
  <si>
    <t>INV2020/00000017</t>
  </si>
  <si>
    <t>C00000006</t>
  </si>
  <si>
    <t>Perniagaan Fibra Sahih</t>
  </si>
  <si>
    <t>RA Gelcoat GP-H (20kg)</t>
  </si>
  <si>
    <t>RA Gelcoat GS-H (20kg)</t>
  </si>
  <si>
    <t>RA Butanox M50 (5kg)</t>
  </si>
  <si>
    <t>Chin Fibreglass (M) Sdn Bhd</t>
  </si>
  <si>
    <t>C00000007</t>
  </si>
  <si>
    <t>INV2020/00000018</t>
  </si>
  <si>
    <t>INV2020/00000019</t>
  </si>
  <si>
    <t>C00000008</t>
  </si>
  <si>
    <t>Wonderland Design Productions Studio</t>
  </si>
  <si>
    <t>INV2020/00000020</t>
  </si>
  <si>
    <t>RA Talcum Powder (25Kg)</t>
  </si>
  <si>
    <t>INV2020/00000021</t>
  </si>
  <si>
    <t>INV2020/00000022</t>
  </si>
  <si>
    <t>RA Norsodyne 3338NW (220Kg)</t>
  </si>
  <si>
    <t>JMC Steel Engineering Sdn Bhd</t>
  </si>
  <si>
    <t>C00000009</t>
  </si>
  <si>
    <t>INV2020/00000023</t>
  </si>
  <si>
    <t>C00000010</t>
  </si>
  <si>
    <t>Yew Seng Gardening Supply Sdn Bhd</t>
  </si>
  <si>
    <t>RA CSM 450 GSM JUSHI 37kg 79m(L) X 1040mm(W)</t>
  </si>
  <si>
    <t>RA Talcum Powder (25kg)</t>
  </si>
  <si>
    <t>RA Bosny Wax (15kg)</t>
  </si>
  <si>
    <t>INV2020/00000024</t>
  </si>
  <si>
    <t>RA Resin 3317AW (220Kg)</t>
  </si>
  <si>
    <t>INV2020/00000025</t>
  </si>
  <si>
    <t>Qty</t>
  </si>
  <si>
    <t>Due 30/11/2020</t>
  </si>
  <si>
    <t>PD chq 16/8</t>
  </si>
  <si>
    <t>PD Chq 11/10, RM1,000/-</t>
  </si>
  <si>
    <t>Trsf 24/8</t>
  </si>
  <si>
    <t>Delived on 3/9/2020</t>
  </si>
  <si>
    <t>PD chq 13/9, RM1,700/- &amp; 20/9, RM1,706/-</t>
  </si>
  <si>
    <t>Trsf 29/5</t>
  </si>
  <si>
    <t>Trsf 24/6</t>
  </si>
  <si>
    <t>Trsf 28/7</t>
  </si>
  <si>
    <t>Trsf 23/8</t>
  </si>
  <si>
    <t>Chq 10/8</t>
  </si>
  <si>
    <t>Chq 19/8</t>
  </si>
  <si>
    <t>Chq 13/6</t>
  </si>
  <si>
    <t>Payment mode</t>
  </si>
  <si>
    <t>Trsf</t>
  </si>
  <si>
    <t>Chq</t>
  </si>
  <si>
    <t>PD Chq</t>
  </si>
  <si>
    <t>Term</t>
  </si>
  <si>
    <t>Remark2</t>
  </si>
  <si>
    <t>PD Chq 27/9, RM1,270.20</t>
  </si>
  <si>
    <t>PD Chq 27/9, RM1,270.20 &amp; 11/10, RM1,000.00</t>
  </si>
  <si>
    <t>INV2020/00000026</t>
  </si>
  <si>
    <t>Trsf 5/9/2020</t>
  </si>
  <si>
    <t>Trsf 7/9/2020</t>
  </si>
  <si>
    <t>Trsf 1/9/2020</t>
  </si>
  <si>
    <t>RA Nor 3338W (220Kg)</t>
  </si>
  <si>
    <t>RA CSM 450 GSM 54kg 64m(L) X 1860mm(W)</t>
  </si>
  <si>
    <t>RA CSM 300 GSM 54Kg 96m(L) X 1860mm(W)</t>
  </si>
  <si>
    <t>RA Accelerator (5kg)</t>
  </si>
  <si>
    <t>INV2020/00000027</t>
  </si>
  <si>
    <t>INV2020/00000028</t>
  </si>
  <si>
    <t>INV2020/00000029</t>
  </si>
  <si>
    <t>INV2020/00000030</t>
  </si>
  <si>
    <t>INV2020/00000031</t>
  </si>
  <si>
    <t>Trst 22/9/2020</t>
  </si>
  <si>
    <t>INV2020/00000032</t>
  </si>
  <si>
    <t>INV2020/00000033</t>
  </si>
  <si>
    <t>Trst 01/10/2020</t>
  </si>
  <si>
    <t>Due 30/9/2020, Trsf IBG 1/10/2020</t>
  </si>
  <si>
    <t>INV2020/00000034</t>
  </si>
  <si>
    <t>INV2020/00000035</t>
  </si>
  <si>
    <t>RA CSM 300 GSM TWL 30kg 64m(L) x 1040mm(W)</t>
  </si>
  <si>
    <t>INV2020/00000036</t>
  </si>
  <si>
    <t>PD Chq 14/11, RM2,713/-</t>
  </si>
  <si>
    <t>PD Chq 21/11, RM1,500/-</t>
  </si>
  <si>
    <t>PD Chq 29/11, RM1,500/-</t>
  </si>
  <si>
    <t>INV2020/00000037</t>
  </si>
  <si>
    <t>INV2020/00000038</t>
  </si>
  <si>
    <t>INV2020/00000039</t>
  </si>
  <si>
    <t>RA Mirror Glaze</t>
  </si>
  <si>
    <t>INV2020/00000040</t>
  </si>
  <si>
    <t>PD Chq 22/10, RM384/-</t>
  </si>
  <si>
    <t>INV2020/00000041</t>
  </si>
  <si>
    <t>INV2020/00000042</t>
  </si>
  <si>
    <t>RA Pigment Super White (25Kg)</t>
  </si>
  <si>
    <t>Brush 2 1/2" (12 pc)</t>
  </si>
  <si>
    <t>INV2020/00000043</t>
  </si>
  <si>
    <t>INV2020/00000044</t>
  </si>
  <si>
    <t>Chq 5/10 (Bank in 19/10/2020)</t>
  </si>
  <si>
    <t>Trsf 19/10/2020</t>
  </si>
  <si>
    <t>INV2020/00000045</t>
  </si>
  <si>
    <t>Grand Total</t>
  </si>
  <si>
    <t>Artscene Creative Total</t>
  </si>
  <si>
    <t>Chin Fibreglass (M) Sdn Bhd Total</t>
  </si>
  <si>
    <t>JMC Steel Engineering Sdn Bhd Total</t>
  </si>
  <si>
    <t>Kelnico Marketing Total</t>
  </si>
  <si>
    <t>Pandian Art Gallery Manufacturing Total</t>
  </si>
  <si>
    <t>Perniagaan Fibra Sahih Total</t>
  </si>
  <si>
    <t>Siew Min Lorry Sdn Bhd Total</t>
  </si>
  <si>
    <t>Sley Total</t>
  </si>
  <si>
    <t>Wonderland Design Productions Studio Total</t>
  </si>
  <si>
    <t>6 Total</t>
  </si>
  <si>
    <t>7 Total</t>
  </si>
  <si>
    <t>8 Total</t>
  </si>
  <si>
    <t>9 Total</t>
  </si>
  <si>
    <t>10 Total</t>
  </si>
  <si>
    <t xml:space="preserve">PD Chq 12/10, 19/10 &amp; 26/10 </t>
  </si>
  <si>
    <t>RM1,700/-, RM1,700/- &amp; RM1,709/-</t>
  </si>
  <si>
    <t>INV2020/00000046</t>
  </si>
  <si>
    <t>INV2020/00000047</t>
  </si>
  <si>
    <t>Due date</t>
  </si>
  <si>
    <t>INV2020/00000048</t>
  </si>
  <si>
    <t>RA Pigment Black (5Kg)</t>
  </si>
  <si>
    <t>INV2020/00000049</t>
  </si>
  <si>
    <t>INV2020/00000050</t>
  </si>
  <si>
    <t>INV2020/00000051</t>
  </si>
  <si>
    <t>Chq CIMB 000050 21/10/2020</t>
  </si>
  <si>
    <t>Chq CIMB 000054 28/10/2019</t>
  </si>
  <si>
    <t>Chq CIMB 000056, 31/10/2020</t>
  </si>
  <si>
    <t>Trsf 9/11/2020</t>
  </si>
  <si>
    <t>11 Total</t>
  </si>
  <si>
    <t>Period (Due)</t>
  </si>
  <si>
    <t>Period (Sales)</t>
  </si>
  <si>
    <t>Chq 16/11/2020</t>
  </si>
  <si>
    <t>Chq 1/12/2020</t>
  </si>
  <si>
    <t>INV2020/00000052</t>
  </si>
  <si>
    <t>INV2020/00000053</t>
  </si>
  <si>
    <t>INV2020/00000054</t>
  </si>
  <si>
    <t>RA GP Resin (225Kg)</t>
  </si>
  <si>
    <t>Sum of Qty</t>
  </si>
  <si>
    <t>INV2020/00000055</t>
  </si>
  <si>
    <t>Trsf 20/11/2020</t>
  </si>
  <si>
    <t>INV2020/00000056</t>
  </si>
  <si>
    <t>JT Johan Sdn Bhd</t>
  </si>
  <si>
    <t>C00000011</t>
  </si>
  <si>
    <t>INV2020/00000057</t>
  </si>
  <si>
    <t>Alkaline resistance Chopped Strand 24MM (18Kgs)</t>
  </si>
  <si>
    <t>Transport charge</t>
  </si>
  <si>
    <t>RA Miracle Gloss Wax</t>
  </si>
  <si>
    <t>INV2020/00000058</t>
  </si>
  <si>
    <t>RA CSM 450 GSM TWL 30kg 64m(L) X 1040mm(W)</t>
  </si>
  <si>
    <t>INV2020/00000059</t>
  </si>
  <si>
    <t>INV2020/00000060</t>
  </si>
  <si>
    <t>INV2020/00000061</t>
  </si>
  <si>
    <t>INV2020/00000062</t>
  </si>
  <si>
    <t>JT Johan Sdn Bhd Total</t>
  </si>
  <si>
    <t>HLIB Chq No 008781, 28/11/20</t>
  </si>
  <si>
    <t>Due 28/2/2020</t>
  </si>
  <si>
    <t>Trsf 23/11/2020</t>
  </si>
  <si>
    <t>Chq CIMB 000058 10/11/20, Banked in 22/11/20</t>
  </si>
  <si>
    <t>Chq CIMB 000060 24/11/20, Banked in 30/11/20</t>
  </si>
  <si>
    <r>
      <t xml:space="preserve">PD chq 8/8, RM1,827.00 &amp; </t>
    </r>
    <r>
      <rPr>
        <b/>
        <sz val="12"/>
        <color rgb="FFFF0000"/>
        <rFont val="Calibri"/>
        <family val="2"/>
        <scheme val="minor"/>
      </rPr>
      <t>Cash RM0.50</t>
    </r>
  </si>
  <si>
    <t xml:space="preserve">Total Sales </t>
  </si>
  <si>
    <t>===&gt;</t>
  </si>
  <si>
    <t>As of to date  ===&gt;</t>
  </si>
  <si>
    <t>Collection</t>
  </si>
  <si>
    <t>Outstanding</t>
  </si>
  <si>
    <t>Sales Amount</t>
  </si>
  <si>
    <t>Sum of Sales Amount</t>
  </si>
  <si>
    <t>Sum of Outstanding</t>
  </si>
  <si>
    <t>INV2020/00000063</t>
  </si>
  <si>
    <t>RC Woven Roving E-800 40Kg 1000mm</t>
  </si>
  <si>
    <t>Customer Aging</t>
  </si>
  <si>
    <t>Customer Payment Term</t>
  </si>
  <si>
    <t>Yew Seng Gardening Supply Sdn Bhd Total</t>
  </si>
  <si>
    <t>Values</t>
  </si>
  <si>
    <t>Year (Due)</t>
  </si>
  <si>
    <t>Sum of Collection</t>
  </si>
  <si>
    <t>Sum of Sales Amount2</t>
  </si>
  <si>
    <t>INV2020/00000064</t>
  </si>
  <si>
    <t>INV2020/00000065</t>
  </si>
  <si>
    <t>INV2020/00000066</t>
  </si>
  <si>
    <t>Trsf 23/12/2020</t>
  </si>
  <si>
    <t>Bank in 16/12/2020</t>
  </si>
  <si>
    <t>Trsf 5/12/2020</t>
  </si>
  <si>
    <t>Trsf 18/12/2020</t>
  </si>
  <si>
    <t>INV2020/00000067</t>
  </si>
  <si>
    <t>INV2020/00000068</t>
  </si>
  <si>
    <t>RA Norsodyne 3338W (220Kg)</t>
  </si>
  <si>
    <t>RA CSM 450 30kg 79m(L) X 1040mm(W)</t>
  </si>
  <si>
    <t>PD Chq 13/2, 16/2, 20/2, 27/2 (RM1,500.00, RM1,608.00, RM1,500.00 &amp; RM1,500.00)</t>
  </si>
  <si>
    <t>PD Chq 10/1/21, RM2,008/-</t>
  </si>
  <si>
    <t>12 Total</t>
  </si>
  <si>
    <t>Cash - Muhammad Syahin Bin</t>
  </si>
  <si>
    <t>Cash - Muhammad Syahin Bin Total</t>
  </si>
  <si>
    <t>Year (Sales)</t>
  </si>
  <si>
    <t>INV2020/00000069</t>
  </si>
  <si>
    <t>C00000013</t>
  </si>
  <si>
    <t>Cash - PMC</t>
  </si>
  <si>
    <t>RA Tooling Gelcoat RP92 (22Kg)</t>
  </si>
  <si>
    <t>Bank in 2-5/1/2021</t>
  </si>
  <si>
    <t>RA CSM 450 54kg 64m(L) X 1860mm(W)</t>
  </si>
  <si>
    <t>RA Vinlyeter Resin (200Kg)</t>
  </si>
  <si>
    <t xml:space="preserve">RA Mirror Glaze Mold Release </t>
  </si>
  <si>
    <t>RA Pigment H 2006 Dark Grey (5Kg)</t>
  </si>
  <si>
    <t>RA Deawa DW-5213</t>
  </si>
  <si>
    <t>RA Pigment H 7001 Bright Orange (5Kg)</t>
  </si>
  <si>
    <t>RA Steel Roller 3"</t>
  </si>
  <si>
    <t>RA Aerosil (Silica Fume) (10Kg)</t>
  </si>
  <si>
    <t>INV2020/00000070</t>
  </si>
  <si>
    <t>RA Styrene Monomer (6Kg)</t>
  </si>
  <si>
    <t>FOC</t>
  </si>
  <si>
    <t>INV2020/00000071</t>
  </si>
  <si>
    <t>RA Steel Roller 4"</t>
  </si>
  <si>
    <t>INV2020/00000072</t>
  </si>
  <si>
    <t>Cash 9/1/2021</t>
  </si>
  <si>
    <t>INV2020/00000073</t>
  </si>
  <si>
    <t>PD HLB 004649, 25/1/2021</t>
  </si>
  <si>
    <t>Trsf 20/1/2021</t>
  </si>
  <si>
    <t>Bank in 18-19/1/2021</t>
  </si>
  <si>
    <t>INV2020/00000074</t>
  </si>
  <si>
    <t>PD Chq 14/3, 21/3, 28/3, 31/3,  (RM1,500.00, RM1,500.00, RM1,500.00 &amp; RM1,387.00)</t>
  </si>
  <si>
    <t>INV2020/00000075</t>
  </si>
  <si>
    <t>INV2020/00000076</t>
  </si>
  <si>
    <t>1 Total</t>
  </si>
  <si>
    <t>Cash - PMC Total</t>
  </si>
  <si>
    <t>INV2020/00000077</t>
  </si>
  <si>
    <t>C00000014</t>
  </si>
  <si>
    <t>RC Woven Roving E-800 1000mm (40Kg)</t>
  </si>
  <si>
    <t>RA Pigment Super White (5Kg)</t>
  </si>
  <si>
    <t>INV2020/00000078</t>
  </si>
  <si>
    <t>INV2020/00000079</t>
  </si>
  <si>
    <t>IK Fibre Glass Enterprise</t>
  </si>
  <si>
    <t>IK Fibre Glass Enterprise Total</t>
  </si>
  <si>
    <t>Chq HL 009828, dd 6/2/21, Banked in 7/2/21</t>
  </si>
  <si>
    <t>INV2020/00000080</t>
  </si>
  <si>
    <t>INV2020/00000081</t>
  </si>
  <si>
    <t>Trsf 1/2/2021</t>
  </si>
  <si>
    <t>Cash 3/2/2021</t>
  </si>
  <si>
    <t>Chq CIMB 000070 2/2/21, Banked in 3/2/21</t>
  </si>
  <si>
    <t>Trsf 8/2/2021</t>
  </si>
  <si>
    <t>Trsf 9/2/2021</t>
  </si>
  <si>
    <t>2 Total</t>
  </si>
  <si>
    <t>INV2020/00000082</t>
  </si>
  <si>
    <t>INV2020/00000083</t>
  </si>
  <si>
    <t>INV2020/00000084</t>
  </si>
  <si>
    <t>PD HLB 5704, 22/2/2021</t>
  </si>
  <si>
    <t>RA Accelerator (4Kg)</t>
  </si>
  <si>
    <t>INV2020/00000085</t>
  </si>
  <si>
    <t>C00000015</t>
  </si>
  <si>
    <t>S&amp;J Business Solutions</t>
  </si>
  <si>
    <t>S&amp;J Business Solutions Total</t>
  </si>
  <si>
    <t>Trsf 27/2/2021</t>
  </si>
  <si>
    <t>Trsf 26/2/2021</t>
  </si>
  <si>
    <t>Inv C00000003 Cash RM0.50</t>
  </si>
  <si>
    <t>INV2020/00000086</t>
  </si>
  <si>
    <t>RA Nor 3338NW (220Kg)</t>
  </si>
  <si>
    <t>3 Total</t>
  </si>
  <si>
    <t>C00000016</t>
  </si>
  <si>
    <t>Win Fiber Sdn Bhd</t>
  </si>
  <si>
    <t>RA Resin 8201W (225Kg)</t>
  </si>
  <si>
    <t>Win Fiber Sdn Bhd Total</t>
  </si>
  <si>
    <t>RE Frekote 770NC (1 Gallon)</t>
  </si>
  <si>
    <t>RD Steel Roller 4"</t>
  </si>
  <si>
    <t>RD Steel Roller 3"</t>
  </si>
  <si>
    <t>RD Brush 1.1/2 (12 PC)</t>
  </si>
  <si>
    <t>RD Brush 3" (12 PC)</t>
  </si>
  <si>
    <t>RA Resin 3338AW (220Kg)</t>
  </si>
  <si>
    <t>Trsf 11/3/3021</t>
  </si>
  <si>
    <t>Trsf 19/3/2021</t>
  </si>
  <si>
    <t>Trsf 10/3/2021</t>
  </si>
  <si>
    <t>RA Resin 9539NW (225Kg)</t>
  </si>
  <si>
    <t>HL005820, 200321 (clear on 30/3/2021)</t>
  </si>
  <si>
    <t>RA Resin 3338AW (220kg)</t>
  </si>
  <si>
    <t>RD Paint Brush 3"(12Pc/Ctr)</t>
  </si>
  <si>
    <t>RA Gelcoat GS-S ISO (20Kg)</t>
  </si>
  <si>
    <t>Amount</t>
  </si>
  <si>
    <t>Date</t>
  </si>
  <si>
    <t>4 Total</t>
  </si>
  <si>
    <t>Total</t>
  </si>
  <si>
    <t>Trsf 13/4/2021</t>
  </si>
  <si>
    <t>INV2019/00000001</t>
  </si>
  <si>
    <t>Trsf 20/04/21</t>
  </si>
  <si>
    <t>Bank in Cash 18/4/2021</t>
  </si>
  <si>
    <t>Trsf 9/4/21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</si>
  <si>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</si>
  <si>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</si>
  <si>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</si>
  <si>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</si>
  <si>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</si>
  <si>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</si>
  <si>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</si>
  <si>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</si>
  <si>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</si>
  <si>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</si>
  <si>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</si>
  <si>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</si>
  <si>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</si>
  <si>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</si>
  <si>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</si>
  <si>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5 Total</t>
  </si>
  <si>
    <t>INV00000102</t>
  </si>
  <si>
    <t>RH Bosny Wax (15kg)</t>
  </si>
  <si>
    <t>INV00000095&amp;6</t>
  </si>
  <si>
    <t>INV2020/00000062&amp;3</t>
  </si>
  <si>
    <t>RF Nor 3338NW (220Kg)</t>
  </si>
  <si>
    <t>RG CSM 450 GSM 54kg 64m(L) X 1860mm(W)</t>
  </si>
  <si>
    <t>INV00000103</t>
  </si>
  <si>
    <t>INV00000104</t>
  </si>
  <si>
    <t>Mould Released</t>
  </si>
  <si>
    <t>INV00000105</t>
  </si>
  <si>
    <t>INV00000106</t>
  </si>
  <si>
    <t>INV00000107</t>
  </si>
  <si>
    <t>Trsf 21/5/2021</t>
  </si>
  <si>
    <t>Trsf 8/5/2021</t>
  </si>
  <si>
    <t>Chq CIMB 000077 8/5/21, Banked in 17/5/21</t>
  </si>
  <si>
    <t>Chq CIMB 000079 18/5/21, Banked in 20/5/21</t>
  </si>
  <si>
    <t>Trsf 21 &amp; 22/5/2021</t>
  </si>
  <si>
    <t>13, 23, 27/6 &amp; 11/7 - RHB 001402, 4, 5 &amp; 6 (1,350.00, 3X1,700.00)</t>
  </si>
  <si>
    <t>2019 Total</t>
  </si>
  <si>
    <t>2020 Total</t>
  </si>
  <si>
    <t>2021 Total</t>
  </si>
  <si>
    <t>INV00000105 &amp; 7</t>
  </si>
  <si>
    <t>19 &amp; 25/5/2021</t>
  </si>
  <si>
    <t>Bank in Cash 27/5/2021</t>
  </si>
  <si>
    <t>INV00000108</t>
  </si>
  <si>
    <t>INV00000109</t>
  </si>
  <si>
    <t>INV00000110</t>
  </si>
  <si>
    <t>INV00000111</t>
  </si>
  <si>
    <t>RA CSM 300 GSM 54kg 64m(L) X 1860mm(W)</t>
  </si>
  <si>
    <t>RA CSM 450 TWL 60kg 64m(L) X 2080mm(W)</t>
  </si>
  <si>
    <t>INV00000108 &amp; 11</t>
  </si>
  <si>
    <t>INV00000109 &amp; 10</t>
  </si>
  <si>
    <t>INV00000112</t>
  </si>
  <si>
    <t>C00000017</t>
  </si>
  <si>
    <t>Aumada Energy &amp; Technologies(M) Sdn Bhd</t>
  </si>
  <si>
    <t>RA Resin (25kg)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</si>
  <si>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</si>
  <si>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</si>
  <si>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</si>
  <si>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</si>
  <si>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</si>
  <si>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</si>
  <si>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</si>
  <si>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C00000018</t>
  </si>
  <si>
    <t>Living Divani (M) Sdn Bhd</t>
  </si>
  <si>
    <t>INV00000120</t>
  </si>
  <si>
    <t>INV00000121</t>
  </si>
  <si>
    <t>RA Resin 3338NW (220kg)</t>
  </si>
  <si>
    <t>INV00000122</t>
  </si>
  <si>
    <t>INV00000123</t>
  </si>
  <si>
    <t>RA Mepoxe M (5kg)</t>
  </si>
  <si>
    <t>Living Divani (M) Sdn Bhd Total</t>
  </si>
  <si>
    <t>Trsf 26/7/21</t>
  </si>
  <si>
    <t>Trsf 17/8/2021</t>
  </si>
  <si>
    <t>Chq Cleared 2/8/2021</t>
  </si>
  <si>
    <t>Advance payment 20/8/2021</t>
  </si>
  <si>
    <t>Advance payment 26/7/2021</t>
  </si>
  <si>
    <t>Advance payment 9/9/2021</t>
  </si>
  <si>
    <t>Chq Cleared 13/9/2021</t>
  </si>
  <si>
    <t>Chq dd 11/6 - RHB 001313 (RM1,521.00), changed new chq RHB 001441 18/9/21</t>
  </si>
  <si>
    <t>Chq dd 9, 16, 23/5 - RHB 001310, 1, 2 &amp; 3 (1,700.00 X3), Banked in 10, 17 &amp; 24/5.  Balance 312.00 changed new chq RHB 001441, dd 18/9/2021</t>
  </si>
  <si>
    <t>Trsf 21/9/2021</t>
  </si>
  <si>
    <t>Change chq =&gt;</t>
  </si>
  <si>
    <t>RHB 001443, Chq cleared 30/9/21 (RM1,350.00)</t>
  </si>
  <si>
    <t>RHB 001442, Chq cleared 27/9/21 (RM1,700.00)</t>
  </si>
  <si>
    <r>
      <t>Trsf 17/8/2021,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overpayment 179.40</t>
    </r>
  </si>
  <si>
    <t>INV00000124</t>
  </si>
  <si>
    <t>INV00000125</t>
  </si>
  <si>
    <t>C00000019</t>
  </si>
  <si>
    <t>Desuki Affela Empire Enterprise</t>
  </si>
  <si>
    <t>INV00000126</t>
  </si>
  <si>
    <t>INV00000127</t>
  </si>
  <si>
    <t>INV00000128</t>
  </si>
  <si>
    <t>RF Resin 3317AW (220Kg)</t>
  </si>
  <si>
    <t>INV00000129</t>
  </si>
  <si>
    <t>RI Silicone Rubber (25kg)</t>
  </si>
  <si>
    <t>INV00000130</t>
  </si>
  <si>
    <t>C00000020</t>
  </si>
  <si>
    <t>WSK Tanks Sdn Bhd</t>
  </si>
  <si>
    <t>INV00000131</t>
  </si>
  <si>
    <t>INV00000132</t>
  </si>
  <si>
    <t>RA Resin SHCP268W (225kg)</t>
  </si>
  <si>
    <t>RA CSM 450 TWL (37Kg) 1040mm</t>
  </si>
  <si>
    <t>RA Woven Roving E-600 (45kg) 1120mm</t>
  </si>
  <si>
    <t>INV00000133</t>
  </si>
  <si>
    <t>INV00000134</t>
  </si>
  <si>
    <t>RJ TR104 Hi Temp Wax</t>
  </si>
  <si>
    <t>INV00000135</t>
  </si>
  <si>
    <t>INV00000136</t>
  </si>
  <si>
    <t>RA VE Resin (25kg)</t>
  </si>
  <si>
    <t>Desuki Affela Empire Enterprise Total</t>
  </si>
  <si>
    <t>WSK Tanks Sdn Bhd Total</t>
  </si>
  <si>
    <t>INV00000137</t>
  </si>
  <si>
    <t>INV00000138</t>
  </si>
  <si>
    <t>INV00000139</t>
  </si>
  <si>
    <t>INV00000140</t>
  </si>
  <si>
    <t>INV00000141</t>
  </si>
  <si>
    <t>RA GP ResinW (225Kg)</t>
  </si>
  <si>
    <t>RK Smooth Cream (25kg)</t>
  </si>
  <si>
    <t>Trsf 2/10/2021</t>
  </si>
  <si>
    <t>Trsf 11/10/2021</t>
  </si>
  <si>
    <t>Trsf 4/10/2021</t>
  </si>
  <si>
    <t>Chq CIMB 000086, cleared 8/10/2021</t>
  </si>
  <si>
    <t>Trsf 13/10/2021</t>
  </si>
  <si>
    <t>Trsf 14/10/2021</t>
  </si>
  <si>
    <t>Trsf 16/10/2021</t>
  </si>
  <si>
    <t>Cash 17/10/2021</t>
  </si>
  <si>
    <t>RHB 001444, Chq cleared 18/10/21 (RM1,700.00)</t>
  </si>
  <si>
    <t>Trsf 20/10/2021</t>
  </si>
  <si>
    <t>Chq 494585,  Cleared 13/10/21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</si>
  <si>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</si>
  <si>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</si>
  <si>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</si>
  <si>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</si>
  <si>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</si>
  <si>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</si>
  <si>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</si>
  <si>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RA CSM 450 37kg 79m(L) X 1040mm(W)</t>
  </si>
  <si>
    <t>INV00000149</t>
  </si>
  <si>
    <t>Trsf 27/10/21</t>
  </si>
  <si>
    <t>Trsf 30/10/21</t>
  </si>
  <si>
    <t>Trsf 25/10/21</t>
  </si>
  <si>
    <t>RHB 001445, Chq cleared 25/10/21 (RM1,700.00)</t>
  </si>
  <si>
    <t>Trsf 1/11/2021</t>
  </si>
  <si>
    <t>INV00000150</t>
  </si>
  <si>
    <t>RA Pigment Black (1kg)</t>
  </si>
  <si>
    <t>INV00000151</t>
  </si>
  <si>
    <t>INV00000152</t>
  </si>
  <si>
    <t>INV00000153</t>
  </si>
  <si>
    <t>INV00000154</t>
  </si>
  <si>
    <t>Chq HL 012137 dd 20/10/21</t>
  </si>
  <si>
    <t>Trsf 3/11/21</t>
  </si>
  <si>
    <t>Chq CIMB 000087, cleared 3/11/2021</t>
  </si>
  <si>
    <t>INV00000155</t>
  </si>
  <si>
    <t>INV00000156</t>
  </si>
  <si>
    <t>INV00000121 &amp;23</t>
  </si>
  <si>
    <t>INV00000113 &amp; 14</t>
  </si>
  <si>
    <t>HLB 012122, dd101121</t>
  </si>
  <si>
    <t>Cash - En Mat</t>
  </si>
  <si>
    <t>INV00000157</t>
  </si>
  <si>
    <t>RA Resin 3317AW (20Kg)</t>
  </si>
  <si>
    <t>INV00000158</t>
  </si>
  <si>
    <t>INV00000159</t>
  </si>
  <si>
    <t>C00000021</t>
  </si>
  <si>
    <t>INV00000160</t>
  </si>
  <si>
    <t>INV00000161</t>
  </si>
  <si>
    <t>INV00000162</t>
  </si>
  <si>
    <t>RG CSM 450 CQ 54kg 64m(L) X 1860mm(W)</t>
  </si>
  <si>
    <t>chq 934897 5/11/2021</t>
  </si>
  <si>
    <t>INV00000163</t>
  </si>
  <si>
    <t>INV00000164</t>
  </si>
  <si>
    <t>INV00000165</t>
  </si>
  <si>
    <t>Cash - En Mat Total</t>
  </si>
  <si>
    <t>INV00000166</t>
  </si>
  <si>
    <t>30/10/2021 RHB 001446 RM1,400.00, Chq cleared on 1/11/2021</t>
  </si>
  <si>
    <t>20/11/2021 RHB 001448 RM1,400.00, Chq cleared on 22/11/21</t>
  </si>
  <si>
    <t>13/11/2021 RHB 001447 RM1,400.00, Chq cleared on 15/11/21</t>
  </si>
  <si>
    <t>27/11/2021 RHB 001449 RM1,400.00, Chq cleared on 30/11/21</t>
  </si>
  <si>
    <t>30/11/2021 RHB 001450 RM1,314.00, Chq cleared on 30/11/21</t>
  </si>
  <si>
    <t>Chq 000090, cleared 19/11/21</t>
  </si>
  <si>
    <t>KT Profesional Fiber</t>
  </si>
  <si>
    <t>Chq PBB 395353, dd 301121</t>
  </si>
  <si>
    <t>Chq 008127, cleared 22/11/21</t>
  </si>
  <si>
    <t>Trsf 13/11/21, RM7,000.00</t>
  </si>
  <si>
    <t>Trsf 13/11/21, RM5,366.60</t>
  </si>
  <si>
    <t>Trsf 12/11/21 RM1,000.00</t>
  </si>
  <si>
    <t>Trsf 11/11/21 RM2,070.00</t>
  </si>
  <si>
    <t>Trsf 10/11/21</t>
  </si>
  <si>
    <t>Cash in 9/11/21</t>
  </si>
  <si>
    <t>KT Profesional Fiber Total</t>
  </si>
  <si>
    <t>INV00000167</t>
  </si>
  <si>
    <t>INV00000168</t>
  </si>
  <si>
    <t>RA Tissue Mat (300M2) 30G/M2 1Meter (9Kg) Soft</t>
  </si>
  <si>
    <t>INV00000169</t>
  </si>
  <si>
    <t>RA Resin 9539W (225Kg)</t>
  </si>
  <si>
    <t>RA CSM 450 GSM 51kg 64m(L) X 1860mm(W)</t>
  </si>
  <si>
    <t>INV00000170</t>
  </si>
  <si>
    <t>INV00000171</t>
  </si>
  <si>
    <t>RF Resin 3338NW (220Kg)</t>
  </si>
  <si>
    <t>INV00000172</t>
  </si>
  <si>
    <t>INV00000173</t>
  </si>
  <si>
    <t>INV00000174</t>
  </si>
  <si>
    <t>RA CSM 300 TWL 54Kg 96m(L) X 1860mm(W)</t>
  </si>
  <si>
    <t>RL CSM 450 Jushi 64kg 1800mm(W)</t>
  </si>
  <si>
    <t>RL CSM 450 Jushi 37kg 1040mm(W)</t>
  </si>
  <si>
    <t>Trsf 28/11/21</t>
  </si>
  <si>
    <t>Trsf 7/12/21</t>
  </si>
  <si>
    <t>Trsf 13/11/21-RM7,000.00 (3,084.00partial), Trsf 26/11/21-RM3,000.00 (832.00partial)</t>
  </si>
  <si>
    <t>Trsf 26/11/21-RM3,000.00 (2,168.00partial), Trsf 10/12/21-RM20,000.00 (2,442.20partial)</t>
  </si>
  <si>
    <t>Trsf 10/12/21-RM20,000.00</t>
  </si>
  <si>
    <t>Trsf 20/12/21-RM10,000.00</t>
  </si>
  <si>
    <t>INV00000175</t>
  </si>
  <si>
    <t>Trsf 13/12/2021</t>
  </si>
  <si>
    <t>RHB 001452cleared14/12/21-RM1.500.00(160.00patial)</t>
  </si>
  <si>
    <t>RHB 001452cleared14/12/21-RM1.500.00(484.00patial), 1453cleared20/12/21-RM1,500.00(816.00patial)</t>
  </si>
  <si>
    <t>Trsf 11 &amp; 12/12/21, RM3,000.00 &amp; 2,175.40</t>
  </si>
  <si>
    <t>HLB 012142, cleared20/12/21</t>
  </si>
  <si>
    <t>RD Paint Brush 1.1/2"(12Pc/Ctr)</t>
  </si>
  <si>
    <t>INV00000176</t>
  </si>
  <si>
    <t>INV00000177</t>
  </si>
  <si>
    <t>INV00000178</t>
  </si>
  <si>
    <t>INV00000179</t>
  </si>
  <si>
    <t>RA CSM 450 (30Kg) 64m(L) x 1040mm(W)</t>
  </si>
  <si>
    <t>RF Woven Roving E-600 (45kg) 1120mm</t>
  </si>
  <si>
    <t>INV00000180</t>
  </si>
  <si>
    <t>INV00000181</t>
  </si>
  <si>
    <t>RHB 001452cleared14/12/21-RM1.500.00(300.00partial)</t>
  </si>
  <si>
    <t>RHB 001451cleared6/12/21-RM1,314.00(1,314.00partial, 1452cleared14/12/21-RM1,500(RM556.00partial)</t>
  </si>
  <si>
    <t>Trsf 20/12/21-RM10,000.00 (1,611.30patial), Trsf 29/12/21-RM12,500.00 (1,547.70patial)</t>
  </si>
  <si>
    <t>Trsf 29/12/21-RM12,500.00 (4,048.00partial)</t>
  </si>
  <si>
    <t>Trsf 10/12/21-RM20,000.00 (3,101.80partial), Trsf 20/12/21-RM10,000.00 (2,970.20partial)</t>
  </si>
  <si>
    <t>Trsf 29/12/21-RM12,500.00 (320.00partial)</t>
  </si>
  <si>
    <t>Trsf 29/12/21-RM12,500.00 (6,072.00patial)</t>
  </si>
  <si>
    <t xml:space="preserve">Trsf 31/12/21, </t>
  </si>
  <si>
    <t>RG Resin 3317AW (220Kg)</t>
  </si>
  <si>
    <t>INV00000182</t>
  </si>
  <si>
    <t>INV00000183</t>
  </si>
  <si>
    <t>INV00000184</t>
  </si>
  <si>
    <t>INV00000185</t>
  </si>
  <si>
    <t>INV00000186</t>
  </si>
  <si>
    <t>RG CSM 300 (30Kg) 64m(L) x 1040mm(W)</t>
  </si>
  <si>
    <t>INV00000187</t>
  </si>
  <si>
    <t>RG Resin 3338AW (220kg)</t>
  </si>
  <si>
    <t>RG CSM 450 30kg 79m(L) X 1040mm(W)</t>
  </si>
  <si>
    <t>RA CSM 450 (60Kg) 64m(L) x 2080mm(W)</t>
  </si>
  <si>
    <t>RG Woven Roving E-600 (45kg) 1120mm</t>
  </si>
  <si>
    <t>INV00000188</t>
  </si>
  <si>
    <t>INV00000189</t>
  </si>
  <si>
    <t>INV00000190</t>
  </si>
  <si>
    <t>RG Nor 3338W (220Kg)</t>
  </si>
  <si>
    <t>INV00000191</t>
  </si>
  <si>
    <t>INV00000192</t>
  </si>
  <si>
    <t>RA Accelerator (5Kg)</t>
  </si>
  <si>
    <t>INV00000193</t>
  </si>
  <si>
    <t>INV00000194</t>
  </si>
  <si>
    <t>RA Butanox M50</t>
  </si>
  <si>
    <t>INV00000195</t>
  </si>
  <si>
    <t>INV00000196</t>
  </si>
  <si>
    <t>INV00000197</t>
  </si>
  <si>
    <t>RG Nor 3338NW (220Kg)</t>
  </si>
  <si>
    <t>Trsf 29/12/21-RM12,500.00 (512.30partial), Trsf 13/1/21-37,500.00 (4,593.70patial)</t>
  </si>
  <si>
    <t xml:space="preserve">Trsf 13/1/21-37,500.00 </t>
  </si>
  <si>
    <t>Trsf 13/1/21-37,500.00 (2,808.80 partial), Trsf 21/1/2021-RM5,000.00 (2,105.20 parital)</t>
  </si>
  <si>
    <t>Trsf 21/1/2021-RM5,000.00</t>
  </si>
  <si>
    <t>Chq HLB009259 dd 170122</t>
  </si>
  <si>
    <t>Trsf 7/1/22 RMRM1,223.00</t>
  </si>
  <si>
    <t>Trsf 10/2/2022 RM35,864.00</t>
  </si>
  <si>
    <t>Trsf 14/1/22 RM5,183.60</t>
  </si>
  <si>
    <t>Trsf 1/1/2022 RM5,014.80</t>
  </si>
  <si>
    <t>Trsf 6/1/2022 RM1,080.00</t>
  </si>
  <si>
    <t>Trsf 21/1/2022, RM4,006.00</t>
  </si>
  <si>
    <t>Trsf  23/1/22 RM2,696.80</t>
  </si>
  <si>
    <t>Chq HLB013309 dd 260122</t>
  </si>
  <si>
    <t>2022 Total</t>
  </si>
  <si>
    <t>INV00000125 &amp; 6</t>
  </si>
  <si>
    <t>PMC</t>
  </si>
  <si>
    <t>INV00000133 &amp; 4</t>
  </si>
  <si>
    <t>INV00000159 &amp; 160</t>
  </si>
  <si>
    <t>INV00000164 &amp; 5</t>
  </si>
  <si>
    <t>INV00000171 &amp; 2</t>
  </si>
  <si>
    <t>INV00000184 &amp; 5</t>
  </si>
  <si>
    <t>1/22 Total</t>
  </si>
  <si>
    <t>6 /21  Total</t>
  </si>
  <si>
    <t>5/21  Total</t>
  </si>
  <si>
    <t>9/21  Total</t>
  </si>
  <si>
    <t>4/21  Total</t>
  </si>
  <si>
    <t>3/21  Total</t>
  </si>
  <si>
    <t>10/21  Total</t>
  </si>
  <si>
    <t>11/21  Total</t>
  </si>
  <si>
    <t>12/21  Total</t>
  </si>
  <si>
    <t>INV00000198</t>
  </si>
  <si>
    <t>INV00000199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</si>
  <si>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</si>
  <si>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</si>
  <si>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</si>
  <si>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</si>
  <si>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</si>
  <si>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</si>
  <si>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</si>
  <si>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</si>
  <si>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</si>
  <si>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2/22  Total</t>
  </si>
  <si>
    <t>RG CSM 450 (30Kg) 64m(L) x 1040mm(W)</t>
  </si>
  <si>
    <t>RH Bosny Wax (15Kg)</t>
  </si>
  <si>
    <t>RG TR104 Hi Temp Wax</t>
  </si>
  <si>
    <t>RM Nor 3338NW (220Kg)</t>
  </si>
  <si>
    <t>RA Pigment Super White (5kg)</t>
  </si>
  <si>
    <t>chq 934918 21/02/2022</t>
  </si>
  <si>
    <t>Trsf 12/2/22 RM6,532.40</t>
  </si>
  <si>
    <t>Trsf 22/2/22 RM5,877.30</t>
  </si>
  <si>
    <t>RHB 001454cleared27/12/21-RM1,500.00 (160.00partial)</t>
  </si>
  <si>
    <t>RHB 001457cleared29/12/21-RM2,366.50 (2,024.00partial)</t>
  </si>
  <si>
    <t>RHB 001457cleared29/12/21-RM2,366.50 (170.00artial)</t>
  </si>
  <si>
    <t>RHB 001457cleared29/12/21-RM2,366.50 (172.50partial)</t>
  </si>
  <si>
    <t>RHB 001453cleared20/12/21-RM1,500(684.00partial), RHB 001454cleared27/12/21-RM1,500.00 (1,340.00partial)</t>
  </si>
  <si>
    <t>RHB001529cleared14/2/22-RM1,800.00(partal), RHB001530cleared21/2/22-RM1,800.00(partial), RHB001532cleared25/2/22-RM1,935.00, RHB001531cleared28/2/22-RM1,800.00(801.00partial)</t>
  </si>
  <si>
    <t>RHB001531cleared28/2/22-RM1,800.00(309.00.00partial)</t>
  </si>
  <si>
    <t>RHB001531cleared28/2/22-RM1,800.00(600.00.00partial)</t>
  </si>
  <si>
    <t>RHB001531cleared28/2/22-RM1,800.00(90.00.00partial)</t>
  </si>
  <si>
    <t>Trsf 21/1/2021-RM5,000.00 (332.30 partial), Trsf 28/1/2021(5,000.00 partial), Trsf 23/2/22(RM5,000.00), Trsf 26/2/22-RM2,900.00(130.20partial)</t>
  </si>
  <si>
    <t>Trsf 15/2/2022 RM16,388.00</t>
  </si>
  <si>
    <t>3/22  Total</t>
  </si>
  <si>
    <t>INV00000209</t>
  </si>
  <si>
    <t>INV00000210</t>
  </si>
  <si>
    <t>INV00000211</t>
  </si>
  <si>
    <t>C00000022</t>
  </si>
  <si>
    <t>SF Engineering Solution</t>
  </si>
  <si>
    <t>RM Wax Solution 54-56 (10L)</t>
  </si>
  <si>
    <t>RM NPG Gelcoat 9319-H (25Kg)</t>
  </si>
  <si>
    <t>RM Pgment Paste Riviera Blue B5 (5Kg)</t>
  </si>
  <si>
    <t>SF Engineering Solution Total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</si>
  <si>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</si>
  <si>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</si>
  <si>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</si>
  <si>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</si>
  <si>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</si>
  <si>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</si>
  <si>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</si>
  <si>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</si>
  <si>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</si>
  <si>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</si>
  <si>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</si>
  <si>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</si>
  <si>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RM CSM 450 64m(L) 1040mm(W) (30Kg)</t>
  </si>
  <si>
    <t>RM Woven Roving E-600gm 1000mm (40Kg)</t>
  </si>
  <si>
    <t>RA Pigment Super Black (5kg)</t>
  </si>
  <si>
    <t>RM Cobalt (5kg)</t>
  </si>
  <si>
    <t>RM Acetone (163Kg)</t>
  </si>
  <si>
    <t>RM Pigment Smooth Cream (25kg)</t>
  </si>
  <si>
    <t>INV00000224</t>
  </si>
  <si>
    <t>INV00000225</t>
  </si>
  <si>
    <t>INV00000226</t>
  </si>
  <si>
    <t>INV00000227</t>
  </si>
  <si>
    <t>C00000023</t>
  </si>
  <si>
    <t>Bestway Engineering Solutions</t>
  </si>
  <si>
    <t>RJ Mepoxe (5kg)</t>
  </si>
  <si>
    <t>Trsf 14/3/2022 RM22,264.00</t>
  </si>
  <si>
    <t>Trsf 23/3/22 RM5,328.00</t>
  </si>
  <si>
    <t>PBB395355cleared31/3/22 RM5,822.00</t>
  </si>
  <si>
    <t>PBB395355cleared31/3/22 RM5,822.01</t>
  </si>
  <si>
    <t>PBB395355cleared31/3/22 RM5,822.02</t>
  </si>
  <si>
    <t>Trsf 30/3/22 RM3,232.00</t>
  </si>
  <si>
    <t>Trsf 31/3/22 RM3,555.00</t>
  </si>
  <si>
    <t>Trsf 15/3/22-RM16,000.00</t>
  </si>
  <si>
    <t>Trsf 26/2/22-RM2,900.00(2,769.80partial), Trsf 15/3/22-RM16,000.00(RM650.20partial)</t>
  </si>
  <si>
    <t>Trsf 23/3/22-RM4,800.00</t>
  </si>
  <si>
    <t>Trsf 15/3/22-RM16,000.00(RM3,090.30), Trsf 23/3/22-RM4,800.00(RM3,179.70)</t>
  </si>
  <si>
    <t>Trsf 23/3/22-RM4,800(RM432.80), Trsf 25/3/22-RM6,000.00(RM2,675.20)</t>
  </si>
  <si>
    <t>Bestway Engineering Solutions Total</t>
  </si>
  <si>
    <t>INV00000228</t>
  </si>
  <si>
    <t>RM Gelcoat GSH</t>
  </si>
  <si>
    <t>RM CSM 450 (60Kg) 64m(L) x 2080mm(W)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</si>
  <si>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</si>
  <si>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</si>
  <si>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</si>
  <si>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</si>
  <si>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</si>
  <si>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</si>
  <si>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</si>
  <si>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</si>
  <si>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</si>
  <si>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</si>
  <si>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</si>
  <si>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</si>
  <si>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</si>
  <si>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</si>
  <si>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</si>
  <si>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</si>
  <si>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</si>
  <si>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</si>
  <si>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</si>
  <si>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4/22  Total</t>
  </si>
  <si>
    <t>RA CSM 300 (54Kg) 1860mm</t>
  </si>
  <si>
    <t>C00000024</t>
  </si>
  <si>
    <t>RA Resin 3317AW (25Kg)</t>
  </si>
  <si>
    <t>RM NPG Gelcoat 9319-H (5Kg)</t>
  </si>
  <si>
    <t>RM CSM 450 64m(L) X 1860mm(W) (54kg)</t>
  </si>
  <si>
    <t>RA Nor 3317W (220Kg)</t>
  </si>
  <si>
    <t>LLL Automotive Sdn Bhd</t>
  </si>
  <si>
    <t>C00000025</t>
  </si>
  <si>
    <t>Resin 3317AW (25Kg)</t>
  </si>
  <si>
    <t>CSM 450 64m(L) 1040mm(W) (30Kg)</t>
  </si>
  <si>
    <t>Mepoxe (5kg)</t>
  </si>
  <si>
    <t>Talcum Powder (25kg)</t>
  </si>
  <si>
    <t>INV00000248</t>
  </si>
  <si>
    <t>RM Resin 3317AW (220Kg)</t>
  </si>
  <si>
    <t>RM Butanox M50</t>
  </si>
  <si>
    <t>INV00000249</t>
  </si>
  <si>
    <t>RM Nor 3338W (220Kg)</t>
  </si>
  <si>
    <t>INV00000250</t>
  </si>
  <si>
    <t>26/4/2022</t>
  </si>
  <si>
    <t>RM Resin 3338AW (220kg)</t>
  </si>
  <si>
    <t>INV00000251</t>
  </si>
  <si>
    <t>INV00000252</t>
  </si>
  <si>
    <t>INV00000253</t>
  </si>
  <si>
    <t>INV00000254</t>
  </si>
  <si>
    <t xml:space="preserve">Epoxy primer 15kg + Hardener 7.5kg </t>
  </si>
  <si>
    <t>INV00000255</t>
  </si>
  <si>
    <t>INV00000256</t>
  </si>
  <si>
    <t>Trsf 05/04/22-RM7,000.00(4,220.80(partial), Trsf 7/4/22-RM3,000.00(189.20partial)</t>
  </si>
  <si>
    <t>Trsf 7/4/22-RM3,000.00(2,808.00partial)</t>
  </si>
  <si>
    <t>Trsf 7/4/22-RM3,000.00(2.80partial), Trsf 8/4/22-RM5,000.00(309.70partial)</t>
  </si>
  <si>
    <t>Trsf 8/4/22-RM5,000.00</t>
  </si>
  <si>
    <t>Trsf 8/4/22-RM5,000.00(3,350.30partial), Trsf 12/4/22-RM10,000.00(2,919.70partial)</t>
  </si>
  <si>
    <t>Trsf 12/4/22-RM10,000.00</t>
  </si>
  <si>
    <t>Trsf 12/4/22-RM10,000.00(897.30partial), Trsf 15/4/22-RM3,500.00(1,160.70partial)</t>
  </si>
  <si>
    <t>Trsf 15/4/22-RM3,500.00</t>
  </si>
  <si>
    <t>Trsf 25/3/22-RM6,000.00</t>
  </si>
  <si>
    <t>Trsf 25/3/22-RM6,000.00(RM1,470.80partial), Trsf 22/3/22-RM6,200.00, Trsf 05/04/22-RM7,000.00(2,779.20partial)</t>
  </si>
  <si>
    <t>Trsf 15/4/22-RM3,500.00(1.200.30partial), Trsf 22/4/22-RM8,000.00, Trsf 27/4/22-RM8,000.00(7,519.70partial)</t>
  </si>
  <si>
    <t>Trsf 27/4/22-RM8,000.00(480.30partial), Trsf 28/4/22-RM8,000.00(5,987.70partial)</t>
  </si>
  <si>
    <t>RHB001565cleared14/3/22-RM2,000.00(partial), RHB001566cleared21/3/22-RM2,000.00(partial), RHB001567cleared28/3/22-RM2,000.00(partial), RHB001569cleared11/4/22-RM1,586.00(336.00partial)</t>
  </si>
  <si>
    <t>RHB001569cleared11/4/22-RM1,586.00</t>
  </si>
  <si>
    <t>PBB395356cleared11/4/22 RM6,301.00</t>
  </si>
  <si>
    <t xml:space="preserve">Trsf PBB Yew Kok Wah 13/4/22 RM588.00 </t>
  </si>
  <si>
    <t>RHB 934926 cleared18/4/22-RM2,580.50</t>
  </si>
  <si>
    <t>Trsf PBB 20/4/22-RM1,170.00</t>
  </si>
  <si>
    <t>Trsf PBB 21/4/22</t>
  </si>
  <si>
    <t>HLB010464Cleared21/4/22-RM15,895.80</t>
  </si>
  <si>
    <t>Trsf 21/4/2022 RM28,820.00</t>
  </si>
  <si>
    <t>Trsf 26/4/22-RM3,799.00</t>
  </si>
  <si>
    <t>PBB395362cleared28/4/22 RM6,083.50</t>
  </si>
  <si>
    <t>Trsf Al Rajhi Bank 28/4/22-RM2,488.00</t>
  </si>
  <si>
    <t>LLL Automotive Sdn Bhd Total</t>
  </si>
  <si>
    <t>Total Mar to Jun'21</t>
  </si>
  <si>
    <t>27&amp;30/9/2021</t>
  </si>
  <si>
    <t>13&amp;14/10/2021</t>
  </si>
  <si>
    <t>15&amp;16/12/2021</t>
  </si>
  <si>
    <t>Total Jul to Dec'21</t>
  </si>
  <si>
    <t>1/22</t>
  </si>
  <si>
    <t>2/22</t>
  </si>
  <si>
    <t>INV00000257</t>
  </si>
  <si>
    <t>INV00000258</t>
  </si>
  <si>
    <t>INV00000259</t>
  </si>
  <si>
    <t>INV00000260</t>
  </si>
  <si>
    <t>INV00000261</t>
  </si>
  <si>
    <t>11/5/2022</t>
  </si>
  <si>
    <t>RM Pigment Super Black (5kg)</t>
  </si>
  <si>
    <t>INV00000262</t>
  </si>
  <si>
    <t>RM Pgment Opaline (10Kg)</t>
  </si>
  <si>
    <t>RM Gelcoat GPH (20Kg)</t>
  </si>
  <si>
    <t>RM Catalyst Despender</t>
  </si>
  <si>
    <t>Worldwide Competence Sdn Bhd</t>
  </si>
  <si>
    <t>INV00000263</t>
  </si>
  <si>
    <t>RM Resin Nor 3317AW (220Kg)</t>
  </si>
  <si>
    <t>INV00000264</t>
  </si>
  <si>
    <t>INV00000265</t>
  </si>
  <si>
    <t>RJ Woven Roving E-600gm 1000mm (40Kg)</t>
  </si>
  <si>
    <t>INV00000266</t>
  </si>
  <si>
    <t>INV00000267</t>
  </si>
  <si>
    <t>INV00000268</t>
  </si>
  <si>
    <t>RA Miracle Gloss Wax No. 8 (311g/Can)</t>
  </si>
  <si>
    <t>INV00000269</t>
  </si>
  <si>
    <t>Megapower Service</t>
  </si>
  <si>
    <t>C00000026</t>
  </si>
  <si>
    <t>RM Dark Gray (5Kg)</t>
  </si>
  <si>
    <t>RM Fume silica HJSIL 200(10Kg)</t>
  </si>
  <si>
    <t>INV00000270</t>
  </si>
  <si>
    <t>INV00000271</t>
  </si>
  <si>
    <t>INV00000272</t>
  </si>
  <si>
    <t>RM Talcum Powder (25kg)</t>
  </si>
  <si>
    <t>RA  Woven Roing 600 1120mm (45kg)</t>
  </si>
  <si>
    <t>INV00000273</t>
  </si>
  <si>
    <t>INV00000274</t>
  </si>
  <si>
    <t>INV00000275</t>
  </si>
  <si>
    <t>INV00000276</t>
  </si>
  <si>
    <t>INV00000277</t>
  </si>
  <si>
    <t>Worldwide Competence Sdn Bhd Total</t>
  </si>
  <si>
    <t>Megapower Service Total</t>
  </si>
  <si>
    <t>RA Sand Wheel 105 X 2 X 16 (30PC)</t>
  </si>
  <si>
    <t>Trsf 1/5/22 RM6,096.10</t>
  </si>
  <si>
    <t>Trsf 11/3/22 RM6,379.90</t>
  </si>
  <si>
    <t>Trsf 17/3/22 RM315.00</t>
  </si>
  <si>
    <t>Trsf 10/4/22 RM6,361.10</t>
  </si>
  <si>
    <t>Trsf 24/5/22, RM6,201.10</t>
  </si>
  <si>
    <t>Trsf 5/5/22 RM1,350.00</t>
  </si>
  <si>
    <t>Trsf 9/5/22 RM4,070.00</t>
  </si>
  <si>
    <t>PIB 091977Cleared11/4/22-RM3,881.50</t>
  </si>
  <si>
    <t>PIB 091980Cleared18/4/22-RM2,175.00</t>
  </si>
  <si>
    <t>PIB 091987Cleared13/5/22-RM8,524.50</t>
  </si>
  <si>
    <t>Trsf 17/5/22 RM1,350.00</t>
  </si>
  <si>
    <t>Trsf 17/5/22 RM14,088.50</t>
  </si>
  <si>
    <t>Trsf 23/5/22 RM14,395.00</t>
  </si>
  <si>
    <t>Trsf 24/5/22 RM1,239.60</t>
  </si>
  <si>
    <t>HLIB 015672dd250522 RM5,940,00</t>
  </si>
  <si>
    <t>PBB395357cleared27/5/22 RM8,127.50</t>
  </si>
  <si>
    <t>HLB010490Cleared30/5/22-RM31,599.50</t>
  </si>
  <si>
    <t>Trsf 11/5/22 RM16,000.00</t>
  </si>
  <si>
    <t>Trsf 28/4/22-RM8,000.00(2,012.30partial), Trsf 11/5/22 RM16,000.00(RM1,848.70partial)</t>
  </si>
  <si>
    <t>Trsf 17/5/22 RM10,000.00</t>
  </si>
  <si>
    <t>Trsf 11/5/22 RM16,000.00(1,149.30partial), Trsf 17/5/22 RM10,000.00(3,030.70partial)</t>
  </si>
  <si>
    <t>Trsf 19/5/22 RM10,000.00</t>
  </si>
  <si>
    <t>Trsf 17/5/22 RM10,000.00(510.30partial), Trsf 19/5/22 RM10,000.00(1,579.70partial)</t>
  </si>
  <si>
    <t>Trsf 20/5/22 RM9,000.00</t>
  </si>
  <si>
    <t>Trsf 19/5/22 RM10,000.00(1,211.30partial), Trsf 20/5/22 RM9,000.00(2,316.70partial)</t>
  </si>
  <si>
    <t>INV00000278</t>
  </si>
  <si>
    <t>INV00000279</t>
  </si>
  <si>
    <t>INV00000280</t>
  </si>
  <si>
    <t>INV00000281</t>
  </si>
  <si>
    <t>RM Woven Roving E-800 1000mm (40Kg)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</si>
  <si>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</si>
  <si>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</si>
  <si>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</si>
  <si>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</si>
  <si>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</si>
  <si>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</si>
  <si>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</si>
  <si>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Trsf 1/6/22 RM27,000.00</t>
  </si>
  <si>
    <t>Trsf 20/5/22 RM9,000.00(5,056.30partial), Trsf 1/6/22 RM27,000.00(1,213.70partial)</t>
  </si>
  <si>
    <t>Trsf 10/6/22 RM2,356.00</t>
  </si>
  <si>
    <t>Trsf 14/6/22 RM2,158.00</t>
  </si>
  <si>
    <t>INV00000289</t>
  </si>
  <si>
    <t>INV00000290</t>
  </si>
  <si>
    <t>INV00000291</t>
  </si>
  <si>
    <t>INV00000292</t>
  </si>
  <si>
    <t>INV00000293</t>
  </si>
  <si>
    <t>INV00000294</t>
  </si>
  <si>
    <t xml:space="preserve">Trsf 1/6/22 RM27,000.00(177.30partial), Trs23/6/22 RM7,000.00(72.70partial) </t>
  </si>
  <si>
    <t>RHB 001601cleared17/5/22-RM1,500.00, 3cleared23/5/22-RM1,500.00, 4cleared30/5/22-RM1,500.00, 6cleared8/6/22-RM816.00, 5cleared13/6/22-RM2,000.00(1020.00partial)</t>
  </si>
  <si>
    <t>RHB 001605cleared13/6/22-RM2,000.00</t>
  </si>
  <si>
    <t>Trsf 23/6/22 RM3,232.00</t>
  </si>
  <si>
    <t>HLB011600Cleared23/6/22-RM1,480.00</t>
  </si>
  <si>
    <t>Trsf 27/6/22 RM29,465.00</t>
  </si>
  <si>
    <t>Trsf 29/6/22, RM3,000.00, Trsf 30/6/22, RM3,223.60</t>
  </si>
  <si>
    <t>PBB395363cleared23/6/22 RM5,746.00</t>
  </si>
  <si>
    <t>INV00000295</t>
  </si>
  <si>
    <t>INV00000296</t>
  </si>
  <si>
    <t>INV00000297</t>
  </si>
  <si>
    <t>Transform Star Sdn Bhd</t>
  </si>
  <si>
    <t>C00000027</t>
  </si>
  <si>
    <t>INV00000298</t>
  </si>
  <si>
    <t>RA/RM Pigment Super White (5Kg)</t>
  </si>
  <si>
    <t>RM TR104 Hi Temp Wax (12Can)</t>
  </si>
  <si>
    <t>RM PVA (5Kg)</t>
  </si>
  <si>
    <t>RM Gelcoat GPH (20kg)</t>
  </si>
  <si>
    <t>INV00000299</t>
  </si>
  <si>
    <t>INV00000300</t>
  </si>
  <si>
    <t>INV00000301</t>
  </si>
  <si>
    <t>INV00000302</t>
  </si>
  <si>
    <t>INV00000303</t>
  </si>
  <si>
    <t>INV00000304</t>
  </si>
  <si>
    <t>RM CSM 450 Jushi 64m(L) X 1860mm(W) (67Kg)</t>
  </si>
  <si>
    <t>INV00000305</t>
  </si>
  <si>
    <t>Transform Star Sdn Bhd Total</t>
  </si>
  <si>
    <t>RHB 000388cleared20/6/22-RM2,000.00(partial), 9cleared27/6/22-RM2,000.00(partial), RHB 00391 4/7/22cleared-RM1,336.00, RHB 00390 12/7/22cleared-RM2,000.00(partial)</t>
  </si>
  <si>
    <t>4/7/22cleared-RM1,336.00, RHB 00390 12/7/22cleared-RM2,000.00(partial)</t>
  </si>
  <si>
    <t>RHB 00390 12/7/22cleared-RM2,000.00(partial)</t>
  </si>
  <si>
    <t>Trsf 15/7/22, RM5,183.60</t>
  </si>
  <si>
    <t>Chq PBB 395364, cleared180722 RM5,458.00</t>
  </si>
  <si>
    <t>RHB 934936 cleared19/7/22-RM2,634.00</t>
  </si>
  <si>
    <t>Trsf23/6/22 RM7,000.00</t>
  </si>
  <si>
    <t>Trsf23/6/22 RM7,000.00(RM1,747.30partial), Trsf20/7/22 RM10,700.00(RM604.70partial)</t>
  </si>
  <si>
    <t>Trsf20/7/22 RM10,700.00(RM936.00)</t>
  </si>
  <si>
    <t>Trsf20/7/22 RM10,700.00(RM125.00)</t>
  </si>
  <si>
    <t>Trsf20/7/22 RM10,700.00(2,090.00)</t>
  </si>
  <si>
    <t>Trsf20/7/22 RM10,700.00(4,180.00)</t>
  </si>
  <si>
    <t>Trsf20/7/22 RM10,700.00(RM1,764.00)</t>
  </si>
  <si>
    <t>Trsf 25/7/22 RM11,160.00</t>
  </si>
  <si>
    <t>Trsf 28/7/22 RM3,000.00</t>
  </si>
  <si>
    <t>Trsf 29/7/22 RM4,092.00</t>
  </si>
  <si>
    <t>INV00000306</t>
  </si>
  <si>
    <t>RM CSM 450 Jushi 64m(L) X 1860mm(W) (67kg)</t>
  </si>
  <si>
    <t>RA CSM 300 96m(L) X 1860mm(W) (54Kg)</t>
  </si>
  <si>
    <t>RM Pigment Super White (5Kg)</t>
  </si>
  <si>
    <t>INV00000307</t>
  </si>
  <si>
    <t>RA CSM 450 GSM JUSHI 79m(L) X 1040mm(W) (37kg)</t>
  </si>
  <si>
    <t>INV00000308</t>
  </si>
  <si>
    <t>INV00000309</t>
  </si>
  <si>
    <t>INV00000310</t>
  </si>
  <si>
    <t>INV00000311</t>
  </si>
  <si>
    <t>-</t>
  </si>
  <si>
    <t>INV00000312</t>
  </si>
  <si>
    <t>RM Resin Nor 3338W (220Kg)</t>
  </si>
  <si>
    <t>RM Resin 268BQTN (225Kg)</t>
  </si>
  <si>
    <t>RM Cobalt 10% (5Kg)</t>
  </si>
  <si>
    <t>INV00000313</t>
  </si>
  <si>
    <t>INV00000314</t>
  </si>
  <si>
    <t>RA CSM 450 Jushi 64m(L) x 1040mm(W) (37Kg)</t>
  </si>
  <si>
    <t>INV00000315</t>
  </si>
  <si>
    <t>INV00000316</t>
  </si>
  <si>
    <t>INV00000317</t>
  </si>
  <si>
    <t>INV00000318</t>
  </si>
  <si>
    <t>RA CSM 450 64m(L) 1040mm(W) (30Kg)</t>
  </si>
  <si>
    <t>INV00000319</t>
  </si>
  <si>
    <t>INV00000320</t>
  </si>
  <si>
    <t>HLB011650Cleared8/8/22-RM15,222.00</t>
  </si>
  <si>
    <t>Trsf 9/8/22 RM2,068.00</t>
  </si>
  <si>
    <t>Trsf 13/8/22 RM864.00</t>
  </si>
  <si>
    <t>Chq PBB 395365, cleared170822 RM3,484.00</t>
  </si>
  <si>
    <t>RHB 934938 cleared18/8/22-RM2,068.00</t>
  </si>
  <si>
    <t>Trsf20/7/22 RM10,700.00(RM64.30), Trsf 19/8/22 RM3,000.00(123.20partial)</t>
  </si>
  <si>
    <t>Trsf 23/8/22 RM14,715.00</t>
  </si>
  <si>
    <t>Chq HL 015688 dd 24/8/22</t>
  </si>
  <si>
    <t>INV00000321</t>
  </si>
  <si>
    <t>INV00000322</t>
  </si>
  <si>
    <t>5/9/2022</t>
  </si>
  <si>
    <t>INV00000323</t>
  </si>
  <si>
    <t>Cash - Yew Kok Wah</t>
  </si>
  <si>
    <t>C00000029</t>
  </si>
  <si>
    <t>INV00000324</t>
  </si>
  <si>
    <t>INV00000325</t>
  </si>
  <si>
    <t>INV00000326</t>
  </si>
  <si>
    <t>INV00000327</t>
  </si>
  <si>
    <t>INV00000328</t>
  </si>
  <si>
    <t>RM Vinyl Ester Resin (20Kg)</t>
  </si>
  <si>
    <t>INV00000329</t>
  </si>
  <si>
    <t>INV00000330</t>
  </si>
  <si>
    <t>5/22  Total</t>
  </si>
  <si>
    <t>6/22  Total</t>
  </si>
  <si>
    <t>7/22  Total</t>
  </si>
  <si>
    <t>8/22  Total</t>
  </si>
  <si>
    <t>9/22  Total</t>
  </si>
  <si>
    <t>INV00000331</t>
  </si>
  <si>
    <t>RM Fume Silica HJSIL 200(10Kg)</t>
  </si>
  <si>
    <t>RM Butanox M50 (5kg)</t>
  </si>
  <si>
    <t>RD Brush 3" (12Pc)</t>
  </si>
  <si>
    <t>INV00000332</t>
  </si>
  <si>
    <t>RJ Butonox M50 (5kg)</t>
  </si>
  <si>
    <t>RM TR104 Hi Temp Wax</t>
  </si>
  <si>
    <t>INV00000333</t>
  </si>
  <si>
    <t>RJ Woven Roving E-600 (42kg) 1120mm</t>
  </si>
  <si>
    <t>INV00000334</t>
  </si>
  <si>
    <t>INV00000335</t>
  </si>
  <si>
    <t>RA CSM 300 (30Kg) 64m(L) x 1040mm(W)</t>
  </si>
  <si>
    <t>INV00000336</t>
  </si>
  <si>
    <t>INV00000337</t>
  </si>
  <si>
    <t>RA Woven Roing 600 1120mm (45kg)</t>
  </si>
  <si>
    <t>Cash - Vinz Yew Kok Wah</t>
  </si>
  <si>
    <t>Trsf 19/8/22 RM3,000.00(2,876.80partial), Trsf 2/9/22 RM10,000.00(RM3,393.20partial)</t>
  </si>
  <si>
    <t>Trsf 2/9/22 RM10,000.00(RM1,764.00partial)</t>
  </si>
  <si>
    <t>Trsf 2/9/22 RM10,000.00(RM1,000.00partial)</t>
  </si>
  <si>
    <t>Trsf 2/9/22 RM10,000.00(RM936.00partial)</t>
  </si>
  <si>
    <t>Trsf 2/9/22 RM10,000.00(R187.50partial)</t>
  </si>
  <si>
    <t>Trsf 2/9/22 RM10,000.00(RM340.00partial)</t>
  </si>
  <si>
    <t>Trsf 2/9/22 RM10,000.00(RM2,379.30partial), Trsf 8/9/22 RM3.890.70(partial)</t>
  </si>
  <si>
    <t>Trsf 8/9/22 RM10,000.00(RM1,176.00partial)</t>
  </si>
  <si>
    <t>Trsf 8/9/22 RM10,000.00(RM936.00partial)</t>
  </si>
  <si>
    <t>Trsf 8/9/22 RM10,000.00(RM187.50partial)</t>
  </si>
  <si>
    <t>Trsf 8/9/22 RM10,000.00(RM3,809.80partial), Trsf 12/9/22 RM4,000.00(2,460.20partial)</t>
  </si>
  <si>
    <t>Trsf 28/9/22 RM13,000.00</t>
  </si>
  <si>
    <t>Trsf 12/9/22 RM4,000.00(RM1,539.80partial), Trsf 28/9/22 RM13,000.00(partial RM1,106.20)</t>
  </si>
  <si>
    <t>Chq PBB 395366, cleared090922 RM3,241.00</t>
  </si>
  <si>
    <t>Trsf 10/09/22 RM2,452.00</t>
  </si>
  <si>
    <t>Trsf 28/09/22 RM1,995.50</t>
  </si>
  <si>
    <t>Chq PBB 395367, cleared230922 RM2,746.00</t>
  </si>
  <si>
    <t>HLB012769Cleared20/09/22-RM10,120.00</t>
  </si>
  <si>
    <t>Trsf 23/9/22 RM31,205.00</t>
  </si>
  <si>
    <t>Trsf 28/7/22 RM3,000.00(RM888.00partial), Trsf 25/9/22 RM3,000.00(RM170.40partial)</t>
  </si>
  <si>
    <t>Trsf 25/9/22 RM3,000.00</t>
  </si>
  <si>
    <t xml:space="preserve">Trsf 25/9/22 RM3,000.00, Trsd </t>
  </si>
  <si>
    <t>Trsf 25/9/22 RM3,000.00 RM1,682.10, Trsf 25/9/22 RM1,000.00 RM429.90</t>
  </si>
  <si>
    <t>Trsf 29/9/22 RM5,350.70</t>
  </si>
  <si>
    <t>Trsf 25/9/22 RM1,000.00(RM570.10),  Trsf 29/9/22 RM5,350.70(RM1,541.90)</t>
  </si>
  <si>
    <t>Chq HL 016785 dd 26/9/22</t>
  </si>
  <si>
    <t>Cash - Vinz Yew Kok Wah Total</t>
  </si>
  <si>
    <t>INV00000338</t>
  </si>
  <si>
    <t>INV00000339</t>
  </si>
  <si>
    <t>RA CSM 450 79m(L) x 1040mm(W) (30Kg)</t>
  </si>
  <si>
    <t>RA Woven Roving 600 1120mm (45kg)</t>
  </si>
  <si>
    <t>RM Pigment Paste Smooth Cream M19 (25kg)</t>
  </si>
  <si>
    <t>RJ Butanox M50 (5kg)</t>
  </si>
  <si>
    <t>3/10/2022</t>
  </si>
  <si>
    <t>INV00000340</t>
  </si>
  <si>
    <t>1/10/2022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</si>
  <si>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</si>
  <si>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</si>
  <si>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</si>
  <si>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</si>
  <si>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</si>
  <si>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</si>
  <si>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</si>
  <si>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RD Brush 2" (12Pc)</t>
  </si>
  <si>
    <t>RM Pigment Orange (5Kg)</t>
  </si>
  <si>
    <t>INV00000348</t>
  </si>
  <si>
    <t>INV00000349</t>
  </si>
  <si>
    <t>INV00000350</t>
  </si>
  <si>
    <t>RM CSM 300 96m(L) X 1860mm(W) (54Kg)</t>
  </si>
  <si>
    <t>INV00000351</t>
  </si>
  <si>
    <t>INV00000352</t>
  </si>
  <si>
    <t>INV00000353</t>
  </si>
  <si>
    <t>INV00000354</t>
  </si>
  <si>
    <t>INV00000355</t>
  </si>
  <si>
    <t>RA Woven Roving 600 1000mm (40kg)</t>
  </si>
  <si>
    <t>INV00000356</t>
  </si>
  <si>
    <t>INV00000357</t>
  </si>
  <si>
    <t>RM Gelcoat GSH (20Kg)</t>
  </si>
  <si>
    <t>Trsf 3/10/22 RM1,840.00</t>
  </si>
  <si>
    <t>Trsf 09/09/22 RM3,000.00, Trsf 23/09/22 RM1,000.00, Trsf 4/10/22 RM1,000.00(RM92.00partial)</t>
  </si>
  <si>
    <t>Trsf 4/10/22 RM1,000.00(RM908.00(partial), Trsf 7/10/22 RM1,136.80(RM391.80)</t>
  </si>
  <si>
    <t>Trsf 7/10/22 RM1,136.80(RM105.00)</t>
  </si>
  <si>
    <t>Trsf 7/10/22 RM1,136.80(RM390.00)</t>
  </si>
  <si>
    <t>Trsf 7/10/22 RM1,136.80(RM250.00)</t>
  </si>
  <si>
    <t>Chq PBB 395368, cleared061022 RM3,374.50</t>
  </si>
  <si>
    <t>Chq PBB 395369, cleared201022 RM2,180.00</t>
  </si>
  <si>
    <t>Chq PBB 395370, cleared311022 RM3,459.00</t>
  </si>
  <si>
    <t xml:space="preserve">Trsf 19/10/22 RM3,000.00, Trsf 20/10/22 RM600.00 </t>
  </si>
  <si>
    <t>Trsf 18/10/22 RM13,445.00</t>
  </si>
  <si>
    <t>RHB 00458 12/9/22cleared-RM2,000.00(partial), RHB 00459 19/9/22cleared-RM2,000.00(partial), RHB 00460 26/9/22cleared-RM2,000.00(partial), RHB 00461 11/10/22cleared-RM1,521.00(RM336.00partial)</t>
  </si>
  <si>
    <t>RHB 00461 11/10/22cleared-RM1,521.00(partial)</t>
  </si>
  <si>
    <t>Bank Islam 159011 Cleared22/8/22, RM8,568.20</t>
  </si>
  <si>
    <t>Bank Islam 0159032 Cleared28/9/22, RM12,643.00</t>
  </si>
  <si>
    <t>Bank Islamn0159032 Cleared28/9/22, RM12,643.00</t>
  </si>
  <si>
    <t>Bank Islam 0159046 Cleared27/10/22, RM11,846.00</t>
  </si>
  <si>
    <t>Trsf 21/10/22 RM7,590.50</t>
  </si>
  <si>
    <t>Trsf 23/10/22 RM25,000.00</t>
  </si>
  <si>
    <t>Trsf 25/10/22 RM25,000.00</t>
  </si>
  <si>
    <t>Trsf 28/9/22 RM13,000.00, Trsf 5/10/22 RM5,000.00(RM269.20partial)</t>
  </si>
  <si>
    <t>Trsf 5/10/22 RM5,000.00</t>
  </si>
  <si>
    <t>Trsf 17/10/22 RM4,000.00</t>
  </si>
  <si>
    <t>Trsf 27/10/22 RM250.00</t>
  </si>
  <si>
    <t>Trsf 5/10/22 RM5,000.00(RM1,654.80partial), Trsf 14/10/22 RM4,000.00, Trsf 17/10/22 RM4,000.00(RM615.20partial)</t>
  </si>
  <si>
    <t>Trsf 17/10/22 RM4,000.00(RM1,032.80), Trsf 23/10/22 RM25,000.00(RM371.20partial)</t>
  </si>
  <si>
    <t>Trsf 23/10/22 RM25,000.00(RM3,285.30partial), Trsf 25/10/22 RM25,000.00(RM242.70partial)</t>
  </si>
  <si>
    <t>CANCELLED INVOICE</t>
  </si>
  <si>
    <t>CANCELLED INVOICE Total</t>
  </si>
  <si>
    <t>INV00000358</t>
  </si>
  <si>
    <t>INV00000359</t>
  </si>
  <si>
    <t>INV00000360</t>
  </si>
  <si>
    <t xml:space="preserve">Transportation fee </t>
  </si>
  <si>
    <t>INV00000361</t>
  </si>
  <si>
    <t>Cash - Big Jackfruit Trading</t>
  </si>
  <si>
    <t>C00000031</t>
  </si>
  <si>
    <t>INV00000362</t>
  </si>
  <si>
    <t>RM Nor 3338W (20Kg)</t>
  </si>
  <si>
    <t>INV00000363</t>
  </si>
  <si>
    <t>RM Pigment Super Black (5Kg)</t>
  </si>
  <si>
    <t>Hai Kee Hung Sdn Bhd</t>
  </si>
  <si>
    <t>RM Resin 3338W (22.50kg)</t>
  </si>
  <si>
    <t>RM VE Resin (22.50kg)</t>
  </si>
  <si>
    <t>RM CSM 450 GSM 1040mm (30kg)</t>
  </si>
  <si>
    <t>RA Mepoxe (5kg)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</si>
  <si>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</si>
  <si>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</si>
  <si>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</si>
  <si>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</si>
  <si>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</si>
  <si>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</si>
  <si>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</si>
  <si>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17/11/2022</t>
  </si>
  <si>
    <t>22/11/2022</t>
  </si>
  <si>
    <t>INV00000371</t>
  </si>
  <si>
    <t>RM Woven Roving 600 1000mm (40Kg)</t>
  </si>
  <si>
    <t>RM Pigment Paste Smooth Cream M19 (25Kg)</t>
  </si>
  <si>
    <t>RM MEKP-9 (3.6Kg)</t>
  </si>
  <si>
    <t>INV00000372</t>
  </si>
  <si>
    <t>Trsf 1/11/22 RM3,004.00</t>
  </si>
  <si>
    <t>Trsf 2/11/22 RM3,546.10</t>
  </si>
  <si>
    <t>Trsf 4/11/22 RM403.80</t>
  </si>
  <si>
    <t>Trsf 23/10/22 RM25,000.00(RM1,511.30partial), Trsf 11/11/22 RM3,000.00, Trsf 17/11/22 RM6,000.00(1,368.70partial)</t>
  </si>
  <si>
    <t>Trsf 17/11/22 RM6,000.00(RM250.00partial)</t>
  </si>
  <si>
    <t>Trsf 17/11/22 RM6,000.00(RM1,755.00partial)</t>
  </si>
  <si>
    <t>Trsf 8/11/22 RM1,500.00, Trsf 14/11/22 RM1,637.30</t>
  </si>
  <si>
    <t>Bank in Cash RM892.60 - 9/11/22</t>
  </si>
  <si>
    <t>Trsf 9/11/22 RM4,373.00</t>
  </si>
  <si>
    <t>Chq PBB 395371, cleared161122 RM2,251.00</t>
  </si>
  <si>
    <t>Chq HL 016715 dd 16/11/22</t>
  </si>
  <si>
    <t>HLB014947Cleared21/11/22-RM16,536.70</t>
  </si>
  <si>
    <t>Cash - Big Jackfruit Trading Total</t>
  </si>
  <si>
    <t>Hai Kee Hung Sdn Bhd Total</t>
  </si>
  <si>
    <t>Bank in Cash RM780.00 - 23/11/22</t>
  </si>
  <si>
    <t>INV00000373</t>
  </si>
  <si>
    <t>INV00000374</t>
  </si>
  <si>
    <t>RM Brush 3" (12Pc)</t>
  </si>
  <si>
    <t>RHB 934959 cleared24/11/22-RM2,237.00</t>
  </si>
  <si>
    <t>Trsf 25/11/22 RM15,671.00</t>
  </si>
  <si>
    <t>INV00000375</t>
  </si>
  <si>
    <t>INV00000376</t>
  </si>
  <si>
    <t>C00000032</t>
  </si>
  <si>
    <t>C00000033</t>
  </si>
  <si>
    <t>Cash - Zaidi</t>
  </si>
  <si>
    <t>Cash - Zaina</t>
  </si>
  <si>
    <t>Bank in Cash RM260.00 - 30/11/22</t>
  </si>
  <si>
    <t>Bank in Cash RM375.00 - 30/11/22</t>
  </si>
  <si>
    <t>Cash - Zaina Total</t>
  </si>
  <si>
    <t>Cash - Zaidi Total</t>
  </si>
  <si>
    <t>INV00000377</t>
  </si>
  <si>
    <t>RA CSM 300  64m(L) x 1040mm(W) (30Kg)</t>
  </si>
  <si>
    <t>INV00000378</t>
  </si>
  <si>
    <t>INV00000379</t>
  </si>
  <si>
    <t>RM Talcum Powder (25Kg)</t>
  </si>
  <si>
    <t>INV00000380</t>
  </si>
  <si>
    <t>RA Woven Roving 600 1020mm (45Kg)</t>
  </si>
  <si>
    <t>INV00000381</t>
  </si>
  <si>
    <t>RA Woven Roving 600 1000mm (40Kg)</t>
  </si>
  <si>
    <t>INV00000382</t>
  </si>
  <si>
    <t>INV00000383</t>
  </si>
  <si>
    <t>RM Steel Roller 4" 10mm</t>
  </si>
  <si>
    <t>RM Steel Roller 4" 16mm</t>
  </si>
  <si>
    <t>INV00000384</t>
  </si>
  <si>
    <t>INV00000385</t>
  </si>
  <si>
    <t>RM Woven Roving 600 1000mm (40kg)</t>
  </si>
  <si>
    <t>INV00000386</t>
  </si>
  <si>
    <t>INV00000387</t>
  </si>
  <si>
    <t>14/12/2022</t>
  </si>
  <si>
    <t>INV00000388</t>
  </si>
  <si>
    <t>Transport fee for DO00000389-1</t>
  </si>
  <si>
    <t>INV00000389</t>
  </si>
  <si>
    <t>INV00000390</t>
  </si>
  <si>
    <t>RM Pgment Paste Riviera Blue B5 (1Kg)</t>
  </si>
  <si>
    <t>INV00000391</t>
  </si>
  <si>
    <t>RM CSM 450 CQ 54kg 64m(L) X 1860mm(W)</t>
  </si>
  <si>
    <t>RM Aerosil (Silica Fume) (10Kg)</t>
  </si>
  <si>
    <t>INV00000392</t>
  </si>
  <si>
    <t>23/12/2022</t>
  </si>
  <si>
    <t>INV00000393</t>
  </si>
  <si>
    <t>RN Bosny Wax (12Kg)</t>
  </si>
  <si>
    <t>INV00000394</t>
  </si>
  <si>
    <t>INV00000395</t>
  </si>
  <si>
    <t>INV00000396</t>
  </si>
  <si>
    <t>RM CSM 450 79m(L) x 1040mm(W) (30Kg)</t>
  </si>
  <si>
    <t>Trsf 2/12/22</t>
  </si>
  <si>
    <t>RHB 00552 12/12/22cleared-RM1,800.00, RHB 00553 19/12/22cleared-RM1,800.00(RM224.00partial)</t>
  </si>
  <si>
    <t>RHB 00553 19/12/22cleared-RM1,800.00(RM195.00partial)</t>
  </si>
  <si>
    <t>RHB 00553 19/12/22cleared-RM1,800.00(RM630.00partial)</t>
  </si>
  <si>
    <t>Trsf 23/12/22, RM3,332.00</t>
  </si>
  <si>
    <t>Trsf 16/12/22 RM2,063.00</t>
  </si>
  <si>
    <t>Chq HL 016786 dd 27/12/22</t>
  </si>
  <si>
    <t>Trsf 23/12/22, RM11,757.50</t>
  </si>
  <si>
    <t>Chq PBB 395372, cleared121222 RM3,655.70</t>
  </si>
  <si>
    <t>Chq PBB 395373, cleared301222 RM3,595.60</t>
  </si>
  <si>
    <t>Trsf 20/12/22 RM1,409.00</t>
  </si>
  <si>
    <t>Trsf 17/11/22 RM6,000.00(RM2,626.30partial), Trsf 28/11/22 RM2,500.00, Trsf 29/11/22 RM1,000.00, Trsf 1/12/22 RM11,000.00(RM143.70partial)</t>
  </si>
  <si>
    <t>Trsf 1/12/22 RM11,000.00</t>
  </si>
  <si>
    <t xml:space="preserve">Trsf 1/12/22 RM11,000.00(RM339.800partial), Trsf 5/12/22 RM50,000.00(RM1,660.20partial), </t>
  </si>
  <si>
    <t>Trsf 5/12/22 RM50,000.00</t>
  </si>
  <si>
    <t>Trsf 5/12/22 RM50,000.00(RM1,301.80partial), Trsf 22/12/22 RM10,000.00(RM7,058.20partial)</t>
  </si>
  <si>
    <t>Trsf 22/12/22 RM10,000.00</t>
  </si>
  <si>
    <t>Trsf 22/12/22 RM10,000.00(RM124,80), Trsf 23/12/22 RM10,000.00(RM125.20)</t>
  </si>
  <si>
    <t>Trsf 23/12/22 RM10,000.00</t>
  </si>
  <si>
    <t>Trsf 23/12/22 RM10,000.00(RM1,754.80partial), Trsf 27/12/22 RM5,000.00(RM0.20partial),</t>
  </si>
  <si>
    <t>Trsf 27/12/22 RM5,000.00</t>
  </si>
  <si>
    <t xml:space="preserve">Trsf 28/12/22 RM30,000.00(RM75.20partial), </t>
  </si>
  <si>
    <t>Trsf 28/12/22 RM30,000.00</t>
  </si>
  <si>
    <t>Trsf 28/12/22 RM30,000.00(RM260.80), Trsf 29/12/22 RM5,000.00(RM939.20)</t>
  </si>
  <si>
    <t>Trsf 29/12/22 RM5,000.00</t>
  </si>
  <si>
    <t xml:space="preserve">Trsf 28/12/22 </t>
  </si>
  <si>
    <t>INV00000397</t>
  </si>
  <si>
    <t>RJ Woven Roving E-600gm 1000mm (42Kg)</t>
  </si>
  <si>
    <t>RM Pigment Paste Smooth Cream M19 (5Kg)</t>
  </si>
  <si>
    <t>INV00000398</t>
  </si>
  <si>
    <t>INV00000399</t>
  </si>
  <si>
    <t>INV00000400</t>
  </si>
  <si>
    <t>INV00000401</t>
  </si>
  <si>
    <t>INV00000402</t>
  </si>
  <si>
    <t>RM Pigment Paste Smooth Cream M19 (20Kg)</t>
  </si>
  <si>
    <t>INV00000403</t>
  </si>
  <si>
    <t>INV00000404</t>
  </si>
  <si>
    <t>RA Resin 3338W (220kg)</t>
  </si>
  <si>
    <t>INV00000405</t>
  </si>
  <si>
    <t>INV00000406</t>
  </si>
  <si>
    <t>INV00000407</t>
  </si>
  <si>
    <t>INV00000408</t>
  </si>
  <si>
    <t>INV00000409</t>
  </si>
  <si>
    <t>Trsf 4/1/22 RM30,000.00(RM525.30partial), Trsf 5/1/23 RM5,000.00(RM530.70partial)</t>
  </si>
  <si>
    <t>Trsf 5/1/23 RM5,000.00</t>
  </si>
  <si>
    <t>Trsf 6/1/23 RM5,000.00</t>
  </si>
  <si>
    <t>Trsf 5/1/23 RM5,000.00(RM4,281.80), Trsf 6/1/23 RM5,000.00(RM1,460.20partial)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</si>
  <si>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</si>
  <si>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</si>
  <si>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</si>
  <si>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</si>
  <si>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</si>
  <si>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</si>
  <si>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</si>
  <si>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</si>
  <si>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Cash - ZTY Fibre</t>
  </si>
  <si>
    <t>RA Nor 3338NonWax (220Kg)</t>
  </si>
  <si>
    <t>RA CSM 300 64m(L) 1040mm(W) (30Kg)</t>
  </si>
  <si>
    <t>RJ Woven Roving E-600gm 1000mm (42Kg) (offer price)*</t>
  </si>
  <si>
    <t>RM Pigment Pearl Grey (2Kg)</t>
  </si>
  <si>
    <t>RM Pigment Light Grey (2Kg)</t>
  </si>
  <si>
    <t>C00000034</t>
  </si>
  <si>
    <t>INV00000418</t>
  </si>
  <si>
    <t>INV00000419</t>
  </si>
  <si>
    <t>INV00000420</t>
  </si>
  <si>
    <t xml:space="preserve">RA CSM 300 64m(L) x 1040mm(W) (30Kg) </t>
  </si>
  <si>
    <t>RHB 00553 19/12/22cleared-RM1,800.00(RM751.00partial), RHB 00554 27/12/22cleared-RM1,800.00, RHB 00557 3/1/23cleared-RM1,497.00</t>
  </si>
  <si>
    <t>Trsf 4/1/23 RM30,000.00</t>
  </si>
  <si>
    <t>Trsf 20/1/23 RM20,000.00</t>
  </si>
  <si>
    <t>Trsf 9/1/23 RM2,936.50</t>
  </si>
  <si>
    <t>Trsf 11/1/23 RM2,440.00</t>
  </si>
  <si>
    <t>Trsf 13/1/23 RM1,800.50</t>
  </si>
  <si>
    <t>Trsf 6/1/23 RM3,190.50,  Trsf 16/1/23 RM3,190.00</t>
  </si>
  <si>
    <t>Trsf 5/1/23 RM905.00</t>
  </si>
  <si>
    <t>Trsf 15/1/23 RM2,000.00</t>
  </si>
  <si>
    <t>Trsf 14/12/22 RM1,500.00, Trsf 21/12/22 RM1,500.00,  Trsf 15/1/23 RM2,000.00(RM872.00)</t>
  </si>
  <si>
    <t>Trsf 15/1/23 RM2,000.00(RM166.80),  Trsf 20/1/23 RM2,000.00(RM283.20)</t>
  </si>
  <si>
    <t>Trsf 20/1/23 RM2,000.00</t>
  </si>
  <si>
    <t>Cash 13/1/23 RM2,132.50</t>
  </si>
  <si>
    <t>Trsf 14/1/23 RM250.00</t>
  </si>
  <si>
    <t>Trsf 12/1/23, RM1,804.00</t>
  </si>
  <si>
    <t>Chq HL 017917 dd 17/1/23</t>
  </si>
  <si>
    <t>RHB 00570 16/1/23cleared-RM2,000.00, RHB 00571 25/1/23cleared-RM2,000.00, RHB 00572 30/1/23cleared-RM2,000.00</t>
  </si>
  <si>
    <t>Chq PBB 395374, cleared160123 RM2,636.50</t>
  </si>
  <si>
    <t>Chq PBB 395375, cleared160123 RM2,570.00</t>
  </si>
  <si>
    <t>Trsf 19/1/23, RM24,940.00</t>
  </si>
  <si>
    <t>Trsf 27/1/23 RM2,917.80</t>
  </si>
  <si>
    <t>Trsf 29/12/22 RM5,000.00(RM1,670.30), Trsf 4/1/23 RM30,000.00(RM2,465.70partial)</t>
  </si>
  <si>
    <t>Trsf 6/1/23 RM5,000.00(RM2.20partial), Trsf 6/1/23 RM10,000.00(RM1,581.80)</t>
  </si>
  <si>
    <t>Trsf 6/1/23 RM10,000.00</t>
  </si>
  <si>
    <t>Trsf 6/1/23 RM10,000.00(RM5,914.20), Trsf 20/1/23 RM20,000.00(RM1,477.80)</t>
  </si>
  <si>
    <t>Cash - ZTY Fibre Total</t>
  </si>
  <si>
    <t>2023 Total</t>
  </si>
  <si>
    <t>INV00000421</t>
  </si>
  <si>
    <t>RA Nor 9539NonWax (225Kg)</t>
  </si>
  <si>
    <t>INV00000422</t>
  </si>
  <si>
    <t>INV00000423</t>
  </si>
  <si>
    <t>3/2/2023</t>
  </si>
  <si>
    <t>INV00000424</t>
  </si>
  <si>
    <t>8/2/2023</t>
  </si>
  <si>
    <t>RJ Woven Roving E-600gm 1000mm (42Kg) (offer price)</t>
  </si>
  <si>
    <t>RA Honeycomb 12mm - 1220(W) x 2440(L)</t>
  </si>
  <si>
    <t>RA Honeycomb 9mm - 1220(W) x 2440(L)</t>
  </si>
  <si>
    <t>INV00000425</t>
  </si>
  <si>
    <t>INV00000426</t>
  </si>
  <si>
    <t>9/2/2023</t>
  </si>
  <si>
    <t>INV00000427</t>
  </si>
  <si>
    <t>INV00000428</t>
  </si>
  <si>
    <t>INV00000429</t>
  </si>
  <si>
    <t>10/2/2023</t>
  </si>
  <si>
    <t>INV00000430</t>
  </si>
  <si>
    <t>RM CSM 450 64m(L) 1040mm(W) (30kg)</t>
  </si>
  <si>
    <t>RM GP NPG 9319-H (25kg)</t>
  </si>
  <si>
    <t>INV00000431</t>
  </si>
  <si>
    <t>INV00000432</t>
  </si>
  <si>
    <t>INV00000433</t>
  </si>
  <si>
    <t>Cash - MLGaia Enterprise</t>
  </si>
  <si>
    <t>RM Resin 3338W (20Kg)</t>
  </si>
  <si>
    <t>RJ Mepoxe (5Kg)</t>
  </si>
  <si>
    <t>Brush 1.1/2"(12Pc)</t>
  </si>
  <si>
    <t>C00000035</t>
  </si>
  <si>
    <t>INV00000434</t>
  </si>
  <si>
    <t>INV00000435</t>
  </si>
  <si>
    <t>16/2/2023</t>
  </si>
  <si>
    <t>RM Resin 3330W (220Kg)</t>
  </si>
  <si>
    <t>INV00000436</t>
  </si>
  <si>
    <t>INV00000437</t>
  </si>
  <si>
    <t>INV00000438</t>
  </si>
  <si>
    <t>Pgment Paste Riviera Blue B5 (2Kg)</t>
  </si>
  <si>
    <t>Pgment Paste Navy Blue B15 (2Kg)</t>
  </si>
  <si>
    <t>INV00000439</t>
  </si>
  <si>
    <t>18/2/2023</t>
  </si>
  <si>
    <t>INV00000440</t>
  </si>
  <si>
    <t>INV00000441</t>
  </si>
  <si>
    <t>INV00000442</t>
  </si>
  <si>
    <t>INV00000443</t>
  </si>
  <si>
    <t>INV00000444</t>
  </si>
  <si>
    <t>24/2/2023</t>
  </si>
  <si>
    <t>25/2/2023</t>
  </si>
  <si>
    <t>INV00000445</t>
  </si>
  <si>
    <t>INV00000446</t>
  </si>
  <si>
    <t>INV00000447</t>
  </si>
  <si>
    <t>28/2/2023</t>
  </si>
  <si>
    <t>Trsf 1/2/23 RM3,555.00</t>
  </si>
  <si>
    <t>Chq PBB 395376, cleared070223 RM2,837.00</t>
  </si>
  <si>
    <t>Trsf 20/1/23 RM20,000.00(RM928.20), Trsf 7/2/23 RM9,700.00, Trsf 9/2/23 RM11,000.00, Trsf 13/2/23 RM9,500.00(RM5,431.80)</t>
  </si>
  <si>
    <t>Trsf 13/2/23 RM9,500.00(RM4,068.20),  Trsf 18/2/23 RM6,000.00, Trsf 24/2/23 RM22,000.00(RM1,271.80)</t>
  </si>
  <si>
    <t>Trsf 24/2/23 RM22,000.00</t>
  </si>
  <si>
    <t>Trsf 8/2/23 RM6,947.00</t>
  </si>
  <si>
    <t>RHB 00570 16/1/23cleared-RM2,000.00, RHB 00571 25/1/23cleared-RM2,000.00, RHB 00572 30/1/23cleared-RM2,000.00(RM192.00), RHB 00573 13/2/23cleared-RM1,219.00(RM114.00)</t>
  </si>
  <si>
    <t>RHB 00573 13/2/23cleared-RM1,219.00(RM325.00)</t>
  </si>
  <si>
    <t>RHB 00573 13/2/23cleared-RM1,219.00(RM630.00)</t>
  </si>
  <si>
    <t>RHB 00573 13/2/23cleared-RM1,219.00(RM150.00)</t>
  </si>
  <si>
    <t>Trsf 15/2/23 RM861.00</t>
  </si>
  <si>
    <t>Chq PBB 395377, cleared160223 RM3,095.00)</t>
  </si>
  <si>
    <t>HLB016114Cleared22/2/23-RM15,677.20</t>
  </si>
  <si>
    <t>Bank Islam 161778 Cleared23/2/23, RM11,266.80</t>
  </si>
  <si>
    <t>Trsf 24/2/23, RM22,670.50</t>
  </si>
  <si>
    <t>Trsf 20/1/23 RM1,500.00,  Trsf 28/2/23 RM2,500.00(RM524.00)</t>
  </si>
  <si>
    <t>Trsf 28/2/23 RM2,500.00(RM256.00)</t>
  </si>
  <si>
    <t>1/3/2023</t>
  </si>
  <si>
    <t>INV00000448</t>
  </si>
  <si>
    <t>2/3/2023</t>
  </si>
  <si>
    <t>Choi Fook Sing Enterprise Sdn Bhd</t>
  </si>
  <si>
    <t>C00000036</t>
  </si>
  <si>
    <t>INV00000449</t>
  </si>
  <si>
    <t>INV00000450</t>
  </si>
  <si>
    <t>3/3/2023</t>
  </si>
  <si>
    <t>Suntruck Sdn Bhd</t>
  </si>
  <si>
    <t>C00000037</t>
  </si>
  <si>
    <t>INV00000451</t>
  </si>
  <si>
    <t>INV00000452</t>
  </si>
  <si>
    <t>INV00000453</t>
  </si>
  <si>
    <t xml:space="preserve">RM VE Tooling Gelcoat 14 (Unpromoted) (orange) 25kg </t>
  </si>
  <si>
    <t xml:space="preserve">RM VE Resin SW901-3 (unpromoted) 25kg </t>
  </si>
  <si>
    <t>RM Cobalt 10% (0.06kg) Free of Charge</t>
  </si>
  <si>
    <t>6/3/2023</t>
  </si>
  <si>
    <t>INV00000454</t>
  </si>
  <si>
    <t>INV00000455</t>
  </si>
  <si>
    <t>INV00000456</t>
  </si>
  <si>
    <t>7/3/2023</t>
  </si>
  <si>
    <t>RM Tissue Mat (250 meter)</t>
  </si>
  <si>
    <t>RM Steel Roller 3" 16mm</t>
  </si>
  <si>
    <t>8/3/2023</t>
  </si>
  <si>
    <t>RM Pigment Super White (2Kg)</t>
  </si>
  <si>
    <t>RM Pigment Light Grey (2kg)</t>
  </si>
  <si>
    <t>RM Pigment Signal Red (2kg)</t>
  </si>
  <si>
    <t>RM Gelcoat GSH (20kg)</t>
  </si>
  <si>
    <t>INV00000457</t>
  </si>
  <si>
    <t>10/3/2023</t>
  </si>
  <si>
    <t>INV00000458</t>
  </si>
  <si>
    <t>11/3/2023</t>
  </si>
  <si>
    <t>INV00000459</t>
  </si>
  <si>
    <t>14/3/2023</t>
  </si>
  <si>
    <t>INV00000460</t>
  </si>
  <si>
    <t>INV00000461</t>
  </si>
  <si>
    <t>INV00000462</t>
  </si>
  <si>
    <t>INV00000463</t>
  </si>
  <si>
    <t>INV00000464</t>
  </si>
  <si>
    <t>16/3/2023</t>
  </si>
  <si>
    <t>INV00000465</t>
  </si>
  <si>
    <t>RM Pigment Light Grey (5kg)</t>
  </si>
  <si>
    <t>RM Pigment Signal Red (5kg)</t>
  </si>
  <si>
    <t>INV00000466</t>
  </si>
  <si>
    <t>20/3/2023</t>
  </si>
  <si>
    <t>INV00000467</t>
  </si>
  <si>
    <t>INV00000468</t>
  </si>
  <si>
    <t>23/3/2023</t>
  </si>
  <si>
    <t>INV00000469</t>
  </si>
  <si>
    <t>25/3/2023</t>
  </si>
  <si>
    <t>RM Honeycomb 12mm - 1220(W) x 2440(L)</t>
  </si>
  <si>
    <t>RM CSM 450 1040mm(W) (30Kg)</t>
  </si>
  <si>
    <t>INV00000470</t>
  </si>
  <si>
    <t>INV00000471</t>
  </si>
  <si>
    <t>27/3/2023</t>
  </si>
  <si>
    <t>RM Nor 3338NonWax (220Kg)</t>
  </si>
  <si>
    <t>RM CSM 450 79m(L) x 1040mm(W) (30kg)</t>
  </si>
  <si>
    <t>INV00000472</t>
  </si>
  <si>
    <t>28/3/2023</t>
  </si>
  <si>
    <t>RM Pigment Super White (25kg)</t>
  </si>
  <si>
    <t>INV00000473</t>
  </si>
  <si>
    <t>30/3/2023</t>
  </si>
  <si>
    <t>INV00000474</t>
  </si>
  <si>
    <t>INV00000475</t>
  </si>
  <si>
    <t>INV00000476</t>
  </si>
  <si>
    <t>INV00000477</t>
  </si>
  <si>
    <t>Trsf 20/1/23 RM2,000.00(RM1,611.80), Trsf 24/2/23 RM1,500.00, Trsf 2/3/23 RM1,500.00(RM672.20)</t>
  </si>
  <si>
    <t>Trsf 2/3/23, RM2,716.00</t>
  </si>
  <si>
    <t>Trsf 2/3/23 RM366.00</t>
  </si>
  <si>
    <t>Trsf 6/3/23 RM1,425.00</t>
  </si>
  <si>
    <t>Cash 11/3/23 RM2,545.00</t>
  </si>
  <si>
    <t>Chq PBB 395378, cleared100323 RM3,094.00)</t>
  </si>
  <si>
    <t>Chq PBB 395379, cleared240323 RM3,067.00)</t>
  </si>
  <si>
    <t>Trsf 24/2/23 RM22,000.00(RM789.40), Trsf 27/2/23 RM11,000.00, Trsf 23/3/23 RM10,000.00, Trsf 29/3/23 RM34,000.00(RM5,270.60)</t>
  </si>
  <si>
    <t>Trsf 29/3/23 RM34,000.00</t>
  </si>
  <si>
    <t>MBB 014620 cleared 060323 RM4,784.40</t>
  </si>
  <si>
    <t>MBB 014665 cleared 200323 RM4,450.40</t>
  </si>
  <si>
    <t>Cash 18/3/23 RM7,025.00</t>
  </si>
  <si>
    <t>Trsf 25/3/23 RM1,575.00</t>
  </si>
  <si>
    <t>Trsf 27/3/23 RM4,530.00</t>
  </si>
  <si>
    <t>Trsf 30/3/23 RM487.50</t>
  </si>
  <si>
    <t>Chq HL 019025 dd 27/3/23</t>
  </si>
  <si>
    <t>Trsf 27/3/23, RM14,227.00</t>
  </si>
  <si>
    <t>Trsf 28/2/23 RM2,500.00(RM1,720.00),  Trsf 29/3/23 RM1,500.00(RM216.00)</t>
  </si>
  <si>
    <t>Trsf 29/3/23 RM1,500.00</t>
  </si>
  <si>
    <t>Trsf 30/3/23 RM2,000.00(RM1,870.00)</t>
  </si>
  <si>
    <t>Cash - MLGaia Enterprise Total</t>
  </si>
  <si>
    <t>Choi Fook Sing Enterprise Sdn Bhd Total</t>
  </si>
  <si>
    <t>Suntruck Sdn Bhd Total</t>
  </si>
  <si>
    <t>RM CSM 300 1860mm(W) (54kg)</t>
  </si>
  <si>
    <t>INV00000478</t>
  </si>
  <si>
    <t>RM CSM 450 1040mm(W) (30kg)</t>
  </si>
  <si>
    <t>RM CSM 300 1040mm(W) (30kg)</t>
  </si>
  <si>
    <t>INV00000479</t>
  </si>
  <si>
    <t>INV00000480</t>
  </si>
  <si>
    <t>Pigment Light Grey G1 (2kg)</t>
  </si>
  <si>
    <t>Pigment Signal Red R13 (2kg)</t>
  </si>
  <si>
    <t>3/4/2023</t>
  </si>
  <si>
    <t>RM Pigment Super White (5kg)</t>
  </si>
  <si>
    <t>INV00000481</t>
  </si>
  <si>
    <t>4/4/2023</t>
  </si>
  <si>
    <t>RM Resin 3338W (220kg)</t>
  </si>
  <si>
    <t>6/4/2023</t>
  </si>
  <si>
    <t>INV00000482</t>
  </si>
  <si>
    <t>RM Miracle Gloss Wax No. 8 (311g/Can)</t>
  </si>
  <si>
    <t>INV00000483</t>
  </si>
  <si>
    <t>INV00000484</t>
  </si>
  <si>
    <t>RM Nor 3317W (220Kg)</t>
  </si>
  <si>
    <t>7/4/2023</t>
  </si>
  <si>
    <t>INV00000486</t>
  </si>
  <si>
    <t>RM CSM 450 1860mm(W) (54kg)</t>
  </si>
  <si>
    <t>INV00000487</t>
  </si>
  <si>
    <t>INV00000488</t>
  </si>
  <si>
    <t>8/4/2023</t>
  </si>
  <si>
    <t>INV00000489</t>
  </si>
  <si>
    <t>INV00000490</t>
  </si>
  <si>
    <t>10/4/2023</t>
  </si>
  <si>
    <t>INV00000491</t>
  </si>
  <si>
    <t>9/4/2023</t>
  </si>
  <si>
    <t>WSA Engineering Sdn Bhd</t>
  </si>
  <si>
    <t>C00000038</t>
  </si>
  <si>
    <t>INV00000492</t>
  </si>
  <si>
    <t>RM Resin 3338W (20kg)</t>
  </si>
  <si>
    <t>RM Mepoxe M (MEKP) (5kg)</t>
  </si>
  <si>
    <t xml:space="preserve">RM Miracle Gloss Wax No. 8 (311g/Can) </t>
  </si>
  <si>
    <t>11/4/2023</t>
  </si>
  <si>
    <t>INV00000493</t>
  </si>
  <si>
    <t>12/4/2023</t>
  </si>
  <si>
    <t>INV00000494</t>
  </si>
  <si>
    <t>13/4/2023</t>
  </si>
  <si>
    <t>RM CSM 300 1040mm(W) (30Kg)</t>
  </si>
  <si>
    <t>INV00000495</t>
  </si>
  <si>
    <t>INV00000496</t>
  </si>
  <si>
    <t>INV00000497</t>
  </si>
  <si>
    <t>15/4/2023</t>
  </si>
  <si>
    <t>WSA Engineering Sdn Bhd Total</t>
  </si>
  <si>
    <t>RM Woven Roving E-600gm 1000mm (42Kg)</t>
  </si>
  <si>
    <t>INV00000498</t>
  </si>
  <si>
    <t>18/4/2023</t>
  </si>
  <si>
    <t>INV00000499</t>
  </si>
  <si>
    <t>19/4/2023</t>
  </si>
  <si>
    <t>Resin 3317AW (220kg)</t>
  </si>
  <si>
    <t>CSM 450 GSM 1860mm (54kg)</t>
  </si>
  <si>
    <t>CSM 300 GSM 1860mm (54kg)</t>
  </si>
  <si>
    <t>Gelcoat GP-H (20kg)</t>
  </si>
  <si>
    <t>TR104 Wax Mould Release</t>
  </si>
  <si>
    <t>Pigment Grey G13 (25kg)</t>
  </si>
  <si>
    <t>Frekote 770NC (1 Gallon)</t>
  </si>
  <si>
    <t>Butanox M50 (5Kg)</t>
  </si>
  <si>
    <t>Brush 3" (12pcs)</t>
  </si>
  <si>
    <t>Brush 1.1/2" (12pcs)</t>
  </si>
  <si>
    <t>Acetone (163kg)</t>
  </si>
  <si>
    <t>Cash - PMC Sdn Bhd</t>
  </si>
  <si>
    <t>INV00000500</t>
  </si>
  <si>
    <t>20/4/2023</t>
  </si>
  <si>
    <t>INV00000501</t>
  </si>
  <si>
    <t>INV00000502</t>
  </si>
  <si>
    <t>26/4/2023</t>
  </si>
  <si>
    <t>RM Pigment White (5Kg)</t>
  </si>
  <si>
    <t>RM Pigment Black (5Kg)</t>
  </si>
  <si>
    <t>INV00000503</t>
  </si>
  <si>
    <t>27/4/2023</t>
  </si>
  <si>
    <t>INV00000504</t>
  </si>
  <si>
    <t>25/4/2023</t>
  </si>
  <si>
    <t>INV00000505</t>
  </si>
  <si>
    <t>28/4/2023</t>
  </si>
  <si>
    <t>INV00000506</t>
  </si>
  <si>
    <t>RM Gelcoat NPG 9319-H (25kg)</t>
  </si>
  <si>
    <t>RM Chemlease 71-90 EZ (1 gallon)</t>
  </si>
  <si>
    <t>Trsf 3/4/23 RM4,410.00, Cash in hand trsf 4/4/23 RM30.00</t>
  </si>
  <si>
    <t>Trsf 3/4/23 RM4,410.00, Cash in hand trsf 4/4/23 RM30.01</t>
  </si>
  <si>
    <t>Trsf 3/4/23 RM4,410.00, Cash in hand trsf 4/4/23 RM30.02</t>
  </si>
  <si>
    <t>Trsf 3/4/23 RM4,410.00, Cash in hand trsf 4/4/23 RM30.03</t>
  </si>
  <si>
    <t>Trsf 3/4/23 RM4,410.00, Cash in hand trsf 4/4/23 RM30.04</t>
  </si>
  <si>
    <t>Trsf 3/4/23 RM4,410.00, Cash in hand trsf 4/4/23 RM30.05</t>
  </si>
  <si>
    <t>Trsf 3/4/23 RM4,410.00, Cash in hand trsf 4/4/23 RM30.06</t>
  </si>
  <si>
    <t>Bank Islam 164701 Cleared 4/4/23, RM14,564.60</t>
  </si>
  <si>
    <t>Chq PBB 395380, cleared040423 RM2,842.00</t>
  </si>
  <si>
    <t>Trsf 4/4/23 RM452.00</t>
  </si>
  <si>
    <t>Trsf 30/3/23 RM2,000.00(RM130.00),  Trsf 5/4/23 RM1,026.20(RM318.20)</t>
  </si>
  <si>
    <t>Trsf 5/4/23 RM1,026.20(RM258.20)</t>
  </si>
  <si>
    <t>Trsf 5/4/23 RM1,026.20(RM450.00)</t>
  </si>
  <si>
    <t>Trsf 2/3/23 RM1,500.00(RM827.80), Trsf 7/4/23 RM2,000.00(RM111.80)</t>
  </si>
  <si>
    <t>Trsf 7/4/23 RM2,000.00</t>
  </si>
  <si>
    <t>Trsf 12/4/23 RM670.00</t>
  </si>
  <si>
    <t>Trsf 29/3/23 RM1,500.00(RM714.00), Trsf 14/4/23 RM2,000.00(RM1,222.00)</t>
  </si>
  <si>
    <t>Trsf 14/4/23 RM2,000.00(RM570.00)</t>
  </si>
  <si>
    <t>Trsf 20/4/23 RM14,000.00</t>
  </si>
  <si>
    <t>Trsf 20/4/23 RM14,000.01</t>
  </si>
  <si>
    <t>Trsf 20/4/23 RM14,000.02</t>
  </si>
  <si>
    <t>Trsf 20/4/23 RM14,000.03</t>
  </si>
  <si>
    <t>Trsf 20/4/23 RM14,000.04</t>
  </si>
  <si>
    <t>Trsf 20/4/23 RM14,000.05</t>
  </si>
  <si>
    <t>Trsf 20/4/23 RM14,000.06</t>
  </si>
  <si>
    <t>Trsf 20/4/23 RM14,000.07</t>
  </si>
  <si>
    <t>Trsf 20/4/23 RM14,000.08</t>
  </si>
  <si>
    <t>Trsf 20/4/23 RM14,000.09</t>
  </si>
  <si>
    <t>Cash 27/4/23 RM6,792.50</t>
  </si>
  <si>
    <t>Chq HL 020281 dd 26/4/23</t>
  </si>
  <si>
    <t>Trsf 29/3/23 RM34,000.00(RM8,104.40), Trsf 14/4/23 RM5,000.00(RM915.60)</t>
  </si>
  <si>
    <t>Trsf 14/4/23 RM5,000.00(RM3,024.00)</t>
  </si>
  <si>
    <t>Trsf 14/4/23 RM5,000.00(RM1,060.40), Trsf 17/4/23 RM15,000.00(RM109.60)</t>
  </si>
  <si>
    <t>Trsf 17/4/23 RM15,000.00(RM312.50)</t>
  </si>
  <si>
    <t>Trsf 17/4/23 RM15,000.00(RM1,000.00)</t>
  </si>
  <si>
    <t>Trsf 17/4/23 RM15,000.00(RM360.00)</t>
  </si>
  <si>
    <t>Trsf 17/4/23 RM15,000.00(RM10,824.00)</t>
  </si>
  <si>
    <t>Trsf 17/4/23 RM15,000.00(RM2,393.90), Trsf 20/4/23 RM10,000.00(RM630.10)</t>
  </si>
  <si>
    <t>Trsf 20/4/23 RM10,000.00(RM1,560.00)</t>
  </si>
  <si>
    <t>Trsf 20/4/23 RM10,000.00(RM375.00)</t>
  </si>
  <si>
    <t>Trsf 20/4/23 RM10,000.00(RM756.00)</t>
  </si>
  <si>
    <t>Trsf 20/4/23 RM10,000.00(RM1,000.00)</t>
  </si>
  <si>
    <t>Trsf 20/4/23 RM10,000.00(RM453.60)</t>
  </si>
  <si>
    <t>Trsf 20/4/23 RM10,000.00(RM3,608.00)</t>
  </si>
  <si>
    <t>Trsf 20/4/23 RM10,000.00(RM125.00)</t>
  </si>
  <si>
    <t>Trsf 20/4/23 RM10,000.00(RM1,492.30), Trsf 27/4/23 RM10,000.00(RM311.70)</t>
  </si>
  <si>
    <t>Trsf 27/4/23 RM10,000.00(RM756.00)</t>
  </si>
  <si>
    <t>Trsf 27/4/23 RM10,000.00(RM292.50)</t>
  </si>
  <si>
    <t>Trsf 27/4/23 RM10,000.00(RM62.50)</t>
  </si>
  <si>
    <t>Trsf 27/4/23 RM10,000.00(RM1,000.00)</t>
  </si>
  <si>
    <t>Trsf 27/4/23 RM10,000.00(RM5,412.00)</t>
  </si>
  <si>
    <t>Trsf 27/4/23 RM10,000.00(RM1,40.00)</t>
  </si>
  <si>
    <t>Trsf 27/4/23 RM10,000.00(RM187.50)</t>
  </si>
  <si>
    <t>Trsf 27/4/23 RM10,000.00(RM181.80), Trsf 28/4/23 RM20,000.00(RM17,858.20)</t>
  </si>
  <si>
    <t>Trsf 10/4/23 RM5,801.00</t>
  </si>
  <si>
    <t>Chq PBB 395381, cleared120423 RM2,842.00</t>
  </si>
  <si>
    <t>Chq PBB 395384, cleared180423 RM3,373.50</t>
  </si>
  <si>
    <t>Chq PBB 395385, cleared260423 RM2,832.00</t>
  </si>
  <si>
    <t>Cash - PMC Sdn Bhd Total</t>
  </si>
  <si>
    <t>INV00000507</t>
  </si>
  <si>
    <t>INV00000508</t>
  </si>
  <si>
    <t>INV00000509</t>
  </si>
  <si>
    <t>INV00000510</t>
  </si>
  <si>
    <t>RM Pigment Paste Grey (12Kg)</t>
  </si>
  <si>
    <t>INV00000511</t>
  </si>
  <si>
    <t>INV00000512</t>
  </si>
  <si>
    <t>RM Pigment Super White (5Kg)  **Or 20kg x 1 pail</t>
  </si>
  <si>
    <t>INV00000513</t>
  </si>
  <si>
    <t>INV00000514</t>
  </si>
  <si>
    <t>INV00000515</t>
  </si>
  <si>
    <t>INV00000516</t>
  </si>
  <si>
    <t>INV00000517</t>
  </si>
  <si>
    <t>INV00000518</t>
  </si>
  <si>
    <t>RA CSM 450 1040mm(W) (30kg)</t>
  </si>
  <si>
    <t>INV00000519</t>
  </si>
  <si>
    <t>RM CSM 450 64m(L) X 1860mm(W) (67kg)</t>
  </si>
  <si>
    <t>RM Pigment Super White (30kg)</t>
  </si>
  <si>
    <t>INV00000520</t>
  </si>
  <si>
    <t>INV00000521</t>
  </si>
  <si>
    <t>RM Resin 3338W (20g)</t>
  </si>
  <si>
    <t>INV00000522</t>
  </si>
  <si>
    <t>INV00000523</t>
  </si>
  <si>
    <t>18/5/2023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</si>
  <si>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</si>
  <si>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</si>
  <si>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</si>
  <si>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</si>
  <si>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</si>
  <si>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</si>
  <si>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</si>
  <si>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</si>
  <si>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</si>
  <si>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</si>
  <si>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RM Resin 3338NW (220kg)</t>
  </si>
  <si>
    <t>RM CLiQSPERSE PB (5kg)</t>
  </si>
  <si>
    <t>INV00000534</t>
  </si>
  <si>
    <t>MBB 014706 cleared 020523 RM6,644.10</t>
  </si>
  <si>
    <t>MBB 014791 cleared 030523 RM2,856.40</t>
  </si>
  <si>
    <t>MBB 014751 cleared 150523 RM4,959.60</t>
  </si>
  <si>
    <t>Trsf 6/5/23 RM2,716.00</t>
  </si>
  <si>
    <t>Trsf 28/4/23 RM20,000.00(RM2,141.80), Trsf 5/5/23 RM11,000.00(RM6,878.20)</t>
  </si>
  <si>
    <t>Trsf 5/5/23 RM11,000.00(RM4,121.80), Trsf 6/5/23 RM4,000.00, Trsf 31/5/23 RM5,000.00(RM4,730.20)</t>
  </si>
  <si>
    <t>Trsf 26/5/23 RM2,815.10</t>
  </si>
  <si>
    <t>Trsf 7/4/23 RM2,000.00(RM475.70), Trsf 24/4/23 RM1,000.00, Trsf 26/4/23 RM1,500.00, Trsf 7/5/23 RM2,000.00(RM500.30)</t>
  </si>
  <si>
    <t>Trsf 7/5/23 RM2,000.00(RM1,263.60)</t>
  </si>
  <si>
    <t>Trsf 7/5/23 RM2,000.00(RM236.10), Trsf 11/5/23 RM1,000.00(RM76.40)</t>
  </si>
  <si>
    <t>Trsf 11/5/23 RM1,000.00(RM210.00)</t>
  </si>
  <si>
    <t>Trsf 11/5/23 RM1,000.00(RM440.00)</t>
  </si>
  <si>
    <t>Trsf 11/5/23 RM1,000.00(RM273.60), Trsf 18/5/23 RM1,000.00(RM176.40)</t>
  </si>
  <si>
    <t>Trsf 18/5/23 RM1,000.00(RM450.00)</t>
  </si>
  <si>
    <t>Trsf 2/5/23 RM31,397.00</t>
  </si>
  <si>
    <t>Trsf 29/5/23 RM10,765.00</t>
  </si>
  <si>
    <t>Trsf 2/5/23 RM7,908.00</t>
  </si>
  <si>
    <t>Trsf 18/5/23 RM1,174.50)</t>
  </si>
  <si>
    <t xml:space="preserve">Trsf 20/5/23 </t>
  </si>
  <si>
    <t>Trsf 30/5/23 RM2,195.00</t>
  </si>
  <si>
    <t>Trsf 2/5/23 RM7,908.00(RM235.50), Trsf 2/5/23 RM2,903.00(RM0.50)</t>
  </si>
  <si>
    <t>Trsf 2/5/23 RM2,903.00(RM1,912.50)</t>
  </si>
  <si>
    <t>Trsf 8/5/23 RM2,903.00(RM100.00)</t>
  </si>
  <si>
    <t>Trsf 8/5/23 RM2,903.00(RM250.00)</t>
  </si>
  <si>
    <t>Trsf 8/5/23 RM2,903.00(RM640.00)</t>
  </si>
  <si>
    <t>Trsf 17/5/23 RM698.00</t>
  </si>
  <si>
    <t xml:space="preserve">Trsf 25/5/23 </t>
  </si>
  <si>
    <t>Chq PBB 395386, cleared180523 RM2,475.00</t>
  </si>
  <si>
    <t>Cash 12/5/23 RM9,692.50</t>
  </si>
  <si>
    <t>Cash 26/5/23 RM3,588.00</t>
  </si>
  <si>
    <t>Cash 30/5/23 RM2,912.00</t>
  </si>
  <si>
    <t>Trsf 20/4/23 RM14,000.10(RM828.80), Trsf 18/5/23 RM15,000.00(RM279.60)</t>
  </si>
  <si>
    <t>Trsf 18/5/23 RM15,000.00(RM7,304.00)</t>
  </si>
  <si>
    <t>Trsf 18/5/23 RM15,000.00(RM2,133.00)</t>
  </si>
  <si>
    <t>Trsf 18/5/23 RM15,000.00(RM1,279.80)</t>
  </si>
  <si>
    <t>Trsf 18/5/23 RM15,000.00(RM1,290.00)</t>
  </si>
  <si>
    <t>Trsf 18/5/23 RM15,000.00(RM150.00)</t>
  </si>
  <si>
    <t>Trsf 18/5/23 RM15,000.00(RM1,600.00)</t>
  </si>
  <si>
    <t>Trsf 18/5/23 RM15,000.00(RM963.60), Trsf 19/5/23 RM986.40(RM326.40)</t>
  </si>
  <si>
    <t>Trsf 19/5/23 RM986.40(RM660.00)</t>
  </si>
  <si>
    <t>INV00000535</t>
  </si>
  <si>
    <t>1/6/2023</t>
  </si>
  <si>
    <t>RM Resin 3338W (25g)</t>
  </si>
  <si>
    <t>INV00000536</t>
  </si>
  <si>
    <t>INV00000537</t>
  </si>
  <si>
    <t>3/6/2023</t>
  </si>
  <si>
    <t>RM CSM 450 1860mm(W) (67kg)</t>
  </si>
  <si>
    <t>INV00000538</t>
  </si>
  <si>
    <t>RM Nor 3338W (30Kg)</t>
  </si>
  <si>
    <t>RM Pigment Paste Smooth Cream M19 (2Kg)</t>
  </si>
  <si>
    <t>INV00000539</t>
  </si>
  <si>
    <t>INV00000540</t>
  </si>
  <si>
    <t>INV00000541</t>
  </si>
  <si>
    <t>C00000039</t>
  </si>
  <si>
    <t>Bestway Bina Sdn Bhd</t>
  </si>
  <si>
    <t>RM Woven Roving E-600gm 1000mm (42g)</t>
  </si>
  <si>
    <t>INV00000542</t>
  </si>
  <si>
    <t>INV00000543</t>
  </si>
  <si>
    <t>RM Woven Roving E-600gm 1000mm (40g)</t>
  </si>
  <si>
    <t>12/6/2023</t>
  </si>
  <si>
    <t>INV00000544</t>
  </si>
  <si>
    <t>RM Pigment Yellow Orange Y11 (5Kg)</t>
  </si>
  <si>
    <t>INV00000545</t>
  </si>
  <si>
    <t>INV00000546</t>
  </si>
  <si>
    <t>RM Resin 3338W (25kg)</t>
  </si>
  <si>
    <t>Transportation Charge</t>
  </si>
  <si>
    <t>INV00000547</t>
  </si>
  <si>
    <t>INV00000548</t>
  </si>
  <si>
    <t>INV00000549</t>
  </si>
  <si>
    <t>INV00000550</t>
  </si>
  <si>
    <t>16/6/2023</t>
  </si>
  <si>
    <t>Chemlease 71-90 EZ (1 gallon)</t>
  </si>
  <si>
    <t xml:space="preserve">Pigment Super White W2 (5kg)  </t>
  </si>
  <si>
    <t>Woven Roving 600 1000mm (40kg)</t>
  </si>
  <si>
    <t>19/6/2023</t>
  </si>
  <si>
    <t>INV00000551</t>
  </si>
  <si>
    <t>Pigment Super White W2 (5kg)</t>
  </si>
  <si>
    <t>Pigment Super Black PE30 (5kg)</t>
  </si>
  <si>
    <t>INV00000553</t>
  </si>
  <si>
    <t>20/6/2023</t>
  </si>
  <si>
    <t>INV00000552</t>
  </si>
  <si>
    <t>INV00000554</t>
  </si>
  <si>
    <t>INV00000555</t>
  </si>
  <si>
    <t>INV00000556</t>
  </si>
  <si>
    <t>INV00000557</t>
  </si>
  <si>
    <t>INV00000558</t>
  </si>
  <si>
    <t>INV00000559</t>
  </si>
  <si>
    <t>RM Resin 3310W (220kg)</t>
  </si>
  <si>
    <t>RM Gelcoat GP-H (20kg)</t>
  </si>
  <si>
    <t xml:space="preserve">RM Brush 3" </t>
  </si>
  <si>
    <t>RM Brush 2"</t>
  </si>
  <si>
    <t xml:space="preserve">RM Pigment Super White (2kg)  </t>
  </si>
  <si>
    <t xml:space="preserve">RM Pigment Super Black (2kg)  </t>
  </si>
  <si>
    <t xml:space="preserve">RM Pigment Orange (2kg)  </t>
  </si>
  <si>
    <t>RM Pigment Super Black PE30 (5kg)</t>
  </si>
  <si>
    <t>RM Pigment Pearl Grey G2 (5Kg)</t>
  </si>
  <si>
    <t>INV00000560</t>
  </si>
  <si>
    <t>27/6/2023</t>
  </si>
  <si>
    <t>INV00000561</t>
  </si>
  <si>
    <t>Trsf 1/6/23 RM3,826.50</t>
  </si>
  <si>
    <t>Trsf 8/6/23 RM2,968.50</t>
  </si>
  <si>
    <t>Trsf 18/5/23 RM1,000.00(RM373.60), Trsf 1/6/23 RM1,500.00(RM468.80)</t>
  </si>
  <si>
    <t>Trsf 1/6/23 RM1,500.00(RM312.50)</t>
  </si>
  <si>
    <t>Trsf 1/6/23 RM1,500.00(RM718.70), Trsf 13/6/23 RM1,000.00, Trsf 23/6/23 RM2,000.00(RM1,845.30)</t>
  </si>
  <si>
    <t>Trsf 3/6/23 RM4,745.00</t>
  </si>
  <si>
    <t>Trsf 13/6/23 RM3,000.00 &amp; Trsf 15/6/23 RM1,453.50</t>
  </si>
  <si>
    <t>Trsf 15/6/23 RM4,133.50</t>
  </si>
  <si>
    <t>Trsf 19/6/23 RM3,740.00</t>
  </si>
  <si>
    <t>Trsf 21/6/23 RM485.00</t>
  </si>
  <si>
    <t>Trsf 22/6/23 RM795.00</t>
  </si>
  <si>
    <t>Trsf 1/6/23</t>
  </si>
  <si>
    <t>Trsf 1/6/23 RM590.00</t>
  </si>
  <si>
    <t xml:space="preserve">Cash 7/6/23 RM5,392.00 </t>
  </si>
  <si>
    <t xml:space="preserve">Cash 15/6/23 RM5,392.00 </t>
  </si>
  <si>
    <t>Cash 26/6/23 RM1,192.00</t>
  </si>
  <si>
    <t>Trsf 8/6/23 RM4,568.00</t>
  </si>
  <si>
    <t>Chq HL 020172 Cleared 12/6/23 RM4,632.80</t>
  </si>
  <si>
    <t>RHB 036060 cleared 16/6/23 RM2,104.00</t>
  </si>
  <si>
    <t>Trsf 14/4/23 RM2,000.00(RM208), Trsf 16/6/23 RM1,500.00(RM242.00)</t>
  </si>
  <si>
    <t>Trsf 16/6/23 RM1,500.00(RM110.00)</t>
  </si>
  <si>
    <t>Trsf 16/6/23 RM1,500.00(RM100.00)</t>
  </si>
  <si>
    <t>Trsf 16/6/23 RM1,500.00(RM102.00)</t>
  </si>
  <si>
    <t>Cheque MBB 851950, cleared 19/6/23 RM35,991.40</t>
  </si>
  <si>
    <t>Cheque MBB 851963, cleared 27/6/23 RM2,820.50</t>
  </si>
  <si>
    <t>Chq PBB 395388, cleared280623 RM2,475.00</t>
  </si>
  <si>
    <t>MBB 014846 cleared 150623 RM13,214.50</t>
  </si>
  <si>
    <t>Trsf 31/5/23 RM5,000.00(RM269.80), Trsf 16/6/23 RM20,000.00(315.20)</t>
  </si>
  <si>
    <t>Trsf 16/6/23 RM20,000.00</t>
  </si>
  <si>
    <t>Trsf 30/6/23 RM12,678.00</t>
  </si>
  <si>
    <t>Trsf 10/6/23 RM2,793.00 (Inv 542 over paid RM0.20)</t>
  </si>
  <si>
    <t>C00000012</t>
  </si>
  <si>
    <t>Aumada Energy &amp; Technologies (M) Sdn Bhd</t>
  </si>
  <si>
    <t>C00000028</t>
  </si>
  <si>
    <t>DEKS RESOURCES</t>
  </si>
  <si>
    <t>C00000030</t>
  </si>
  <si>
    <t>C00000040</t>
  </si>
  <si>
    <t>Dynamic Builders Trading</t>
  </si>
  <si>
    <t>C00000041</t>
  </si>
  <si>
    <t>Airebus Sdn Bhd</t>
  </si>
  <si>
    <t>INV00000562</t>
  </si>
  <si>
    <t>INV00000563</t>
  </si>
  <si>
    <t>INV00000564</t>
  </si>
  <si>
    <t>1/7/2023</t>
  </si>
  <si>
    <t>INV00000565</t>
  </si>
  <si>
    <t>INV00000566</t>
  </si>
  <si>
    <t>INV00000567</t>
  </si>
  <si>
    <t>Transportation fee</t>
  </si>
  <si>
    <t>RM Pigment Paste Riviera Blue B5 (2Kg)</t>
  </si>
  <si>
    <t>INV00000568</t>
  </si>
  <si>
    <t>RM Pigment Light Grey G1 (5kg)</t>
  </si>
  <si>
    <t>INV00000569</t>
  </si>
  <si>
    <t>INV00000570</t>
  </si>
  <si>
    <t>INV00000571</t>
  </si>
  <si>
    <t>INV00000572</t>
  </si>
  <si>
    <t>INV00000573</t>
  </si>
  <si>
    <t>15/7/2023</t>
  </si>
  <si>
    <t>INV00000574</t>
  </si>
  <si>
    <t>INV00000575</t>
  </si>
  <si>
    <t>18/7/2023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</si>
  <si>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</si>
  <si>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</si>
  <si>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</si>
  <si>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</si>
  <si>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</si>
  <si>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</si>
  <si>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</si>
  <si>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26/7/2023</t>
  </si>
  <si>
    <t>RA Resin 3317W (220Kg)</t>
  </si>
  <si>
    <t>INV00000583</t>
  </si>
  <si>
    <t>INV00000584</t>
  </si>
  <si>
    <t>INV00000585</t>
  </si>
  <si>
    <t>INV00000586</t>
  </si>
  <si>
    <t>RA Resin 3317AW (220kg)</t>
  </si>
  <si>
    <t>RM CSM 450 GSM 1860mm (54kg)</t>
  </si>
  <si>
    <t>RM CSM 300 GSM 1860mm (54kg)</t>
  </si>
  <si>
    <t>RM Pigment Grey G13 (25kg)</t>
  </si>
  <si>
    <t>RD Brush 3" (12pcs)</t>
  </si>
  <si>
    <t>RD Brush 2" (12pcs)</t>
  </si>
  <si>
    <t>RM Acetone (163kg)</t>
  </si>
  <si>
    <t>RJ Woven Roing 600 1000mm (40kg)</t>
  </si>
  <si>
    <t>RM Accelerator (4kg)</t>
  </si>
  <si>
    <t>INV00000587</t>
  </si>
  <si>
    <t>Trsf 27/6/23 RM3,000.00, Trsf 1/7/23 RM1,133.50(RM740.00)</t>
  </si>
  <si>
    <t>Trsf 1/7/23 RM1,133.50(RM393.50), Trsf 3/7/23 RM5,783.00(RM56.50)</t>
  </si>
  <si>
    <t>Trsf 3/7/23 RM5,783.00(RM225.00)</t>
  </si>
  <si>
    <t>Trsf 3/7/23 RM5,783.00(RM236.00)</t>
  </si>
  <si>
    <t>Trsf 3/7/23 RM5,783.00(RM95.00)</t>
  </si>
  <si>
    <t>Trsf 3/7/23 RM5,783.00(RM62.50)</t>
  </si>
  <si>
    <t>Trsf 3/7/23 RM5,783.00(RM165.00)</t>
  </si>
  <si>
    <t>Trsf 3/7/23 RM5,783.00(RM160.00)</t>
  </si>
  <si>
    <t>Trsf 3/7/23 RM5,783.00(RM3,6520.00)</t>
  </si>
  <si>
    <t>Trsf 3/7/23 RM5,783.00(RM675.00)</t>
  </si>
  <si>
    <t>Trsf 3/7/23 RM5,783.00(RM125.00)</t>
  </si>
  <si>
    <t>Trsf 3/7/23 RM100.00</t>
  </si>
  <si>
    <t>Trsf 16/6/23 RM20,000.00(RM11,093.70), Trsf 1/7/23 RM200.00(RM200.00), Trsf 6/7/23 RM20,000.00(RM4,942.30)</t>
  </si>
  <si>
    <t>Trsf 6/7/23 RM20,000.00(RM10,824.00)</t>
  </si>
  <si>
    <t>Trsf 6/7/23 RM20,000.00(RM4,233.70), Trsf 14/7/23 RM10,000.00(RM6,350.30)</t>
  </si>
  <si>
    <t>#N/A</t>
  </si>
  <si>
    <t>Trsf 14/7/23 RM10,000.00(RM3,649.70), Trsf 26/7/23 RM8,000.00(RM1,550.30)</t>
  </si>
  <si>
    <t>Trsf 26/7/23 RM8,000.00(RM937.50)</t>
  </si>
  <si>
    <t>Trsf 26/7/23 RM8,000.00(RM3,000.00)</t>
  </si>
  <si>
    <t>Trsf 26/7/23 RMRM8,000.00(RM840.00)</t>
  </si>
  <si>
    <t>Trsf 26/7/23 RM8,000.00(RM65.00)</t>
  </si>
  <si>
    <t>Trsf 23/6/23 RM2,000.00(RM154.70), Trsf 24/6/23 RM500.00, Trsf 12/7/23 RM1,000.00(RM187.70)</t>
  </si>
  <si>
    <t>Trsf 12/7/23 RM1,000.00(RM312.50)</t>
  </si>
  <si>
    <t>Trsf 12/7/23 RM1,000.00(RM499.80), Trsf 14/7/23 RM1,000.00(RM125.20)</t>
  </si>
  <si>
    <t>Trsf 14/7/23 RM1,000.00(RM38.00)</t>
  </si>
  <si>
    <t>Trsf 14/7/23 RM1,000.00(RM45.00)</t>
  </si>
  <si>
    <t>Trsf 14/7/23 RM1,000.00(RM200.00)</t>
  </si>
  <si>
    <t>Trsf 14/7/23 RM1,000.00(RM440.00)</t>
  </si>
  <si>
    <t>Cash 7/7/2023 RM7,536.00</t>
  </si>
  <si>
    <t xml:space="preserve">RHB 00679 19/6/23 cleared RM1,500.00, RHB 00680 26/6/23 cleared RM1,500.00, RHB 00681 10/7/23 cleared RM1,292.00(RM872.00) </t>
  </si>
  <si>
    <t xml:space="preserve">RHB 00681 10/7/23 cleared RM1,292.00(RM420.00) </t>
  </si>
  <si>
    <t>Chq PBB 395389, cleared110723 RM2,730.00</t>
  </si>
  <si>
    <t>Chq PBB 395390, cleared270723 RM2,475.00</t>
  </si>
  <si>
    <t>MBB 014962 cleared 200723 RM11,760.30</t>
  </si>
  <si>
    <t>MBB 015039 cleared 110723 RM144.00</t>
  </si>
  <si>
    <t>MBB 014972 cleared 220623 RM390.00</t>
  </si>
  <si>
    <t>HLB017358Cleared20/7/23-RM1,620.00</t>
  </si>
  <si>
    <t>HLB016115Cleared22/2/23-RM10,824.00</t>
  </si>
  <si>
    <t>Trsf 25/7/23 RM405.00</t>
  </si>
  <si>
    <t>Trsf 31/7/23 RM13,297.50</t>
  </si>
  <si>
    <t>Cheque MBB 852007, cleared 31/7/23 RM20,583.40</t>
  </si>
  <si>
    <t>Aumada Energy &amp; Technologies (M) Sdn Bhd Total</t>
  </si>
  <si>
    <t>Bestway Bina Sdn Bhd Total</t>
  </si>
  <si>
    <t>INV00000588</t>
  </si>
  <si>
    <t>INV00000589</t>
  </si>
  <si>
    <t xml:space="preserve">RM Pigment Super White (5Kg) </t>
  </si>
  <si>
    <t>INV00000590</t>
  </si>
  <si>
    <t>INV00000591</t>
  </si>
  <si>
    <t>RA CSM 450 1040mm(W) (30Kg)</t>
  </si>
  <si>
    <t>INV00000592</t>
  </si>
  <si>
    <t>INV00000593</t>
  </si>
  <si>
    <t>INV00000594</t>
  </si>
  <si>
    <t>RM NPG Gelcoat 9319-H (25kg)</t>
  </si>
  <si>
    <t>RM NPG Gelcoat 9319-H (22kg)</t>
  </si>
  <si>
    <t xml:space="preserve">RM Pigment Super White (5kg) High viscosity </t>
  </si>
  <si>
    <t>RM Pigment Super White (5kg) High viscosity FOC sample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</si>
  <si>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</si>
  <si>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</si>
  <si>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</si>
  <si>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</si>
  <si>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</si>
  <si>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</si>
  <si>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</si>
  <si>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</si>
  <si>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</si>
  <si>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</si>
  <si>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</si>
  <si>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15/8/2023</t>
  </si>
  <si>
    <t>INV00000606</t>
  </si>
  <si>
    <t>RJ Woven Roving E-600gm 1000mm (40g)</t>
  </si>
  <si>
    <t>RM Pigment Super White W2 (5kg)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</si>
  <si>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</si>
  <si>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</si>
  <si>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</si>
  <si>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</si>
  <si>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</si>
  <si>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</si>
  <si>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</si>
  <si>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</si>
  <si>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</si>
  <si>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</si>
  <si>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</si>
  <si>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</si>
  <si>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RA CSM 300 1040mm(W) (30Kg)</t>
  </si>
  <si>
    <t>INV00000619</t>
  </si>
  <si>
    <t>INV00000620</t>
  </si>
  <si>
    <t>INV00000621</t>
  </si>
  <si>
    <t>INV00000622</t>
  </si>
  <si>
    <t>Trsf 14/7/23 RM1,000.00(RM151.80), 16/7/23 RM1,000.00(RM1,000.00), 17/7/23 RM1,000.00(RM1,000.00), 26/7/23 RM1,000.00(RM1,000.00), 3/8/23 RM1,550.00(RM456.20)</t>
  </si>
  <si>
    <t>Trsf 3/8/23 RM1,550.00(RM842.40)</t>
  </si>
  <si>
    <t>Trsf 3/8/23 RM1,550.00(RM105.40)</t>
  </si>
  <si>
    <t>Trsf 3/8/23 RM1,550.00(RM146.40), 14/8/23 RM1,500.00(RM303.60)</t>
  </si>
  <si>
    <t>Trsf 14/8/23 RM1,500.00(RM440.00)</t>
  </si>
  <si>
    <t>Trsf 14/8/23 RM1,500.00(RM187.50)</t>
  </si>
  <si>
    <t>Cash 4/8/23 RM4,386.50</t>
  </si>
  <si>
    <t>Cash 10/8/23 RM1,088.00</t>
  </si>
  <si>
    <t>Cash 19/8/23 RM2,878.50</t>
  </si>
  <si>
    <t>Chq HL 021424 dd 10/8/23 RM5,098.40</t>
  </si>
  <si>
    <r>
      <rPr>
        <sz val="12"/>
        <rFont val="Calibri"/>
        <family val="2"/>
        <scheme val="minor"/>
      </rPr>
      <t>Trsf 13/7/23 RM1,400.00</t>
    </r>
    <r>
      <rPr>
        <sz val="12"/>
        <color rgb="FFFF0000"/>
        <rFont val="Calibri"/>
        <family val="2"/>
        <scheme val="minor"/>
      </rPr>
      <t xml:space="preserve"> (Inv 570 overpaid RM10.00 - deducted Inv 588)</t>
    </r>
    <r>
      <rPr>
        <b/>
        <i/>
        <sz val="12"/>
        <color rgb="FFC00000"/>
        <rFont val="Calibri"/>
        <family val="2"/>
        <scheme val="minor"/>
      </rPr>
      <t xml:space="preserve"> refer line 1936</t>
    </r>
  </si>
  <si>
    <r>
      <rPr>
        <sz val="12"/>
        <rFont val="Calibri"/>
        <family val="2"/>
        <scheme val="minor"/>
      </rPr>
      <t>Trsf 18/7/23 RM5,673.00</t>
    </r>
    <r>
      <rPr>
        <sz val="12"/>
        <color rgb="FFFF0000"/>
        <rFont val="Calibri"/>
        <family val="2"/>
        <scheme val="minor"/>
      </rPr>
      <t xml:space="preserve"> (Inv 573 overpaid RM100.00 - deducted Inv 588) </t>
    </r>
    <r>
      <rPr>
        <b/>
        <i/>
        <sz val="12"/>
        <color rgb="FFC00000"/>
        <rFont val="Calibri"/>
        <family val="2"/>
        <scheme val="minor"/>
      </rPr>
      <t>refer line 1936</t>
    </r>
  </si>
  <si>
    <t>Trsf 11/8/23 RM1,000.00 (RM225.00)</t>
  </si>
  <si>
    <t>Trsf 11/8/23 RM1,000.00 (RM160.00)</t>
  </si>
  <si>
    <t>Trsf 23/8/23 RM4,000.00 (RM150.00)</t>
  </si>
  <si>
    <t>Trsf 23/8/23 RM4,000.00 (RM834.00)</t>
  </si>
  <si>
    <t>Trsf 27/8/23 RM4,000.00 (RM876.00)</t>
  </si>
  <si>
    <t>Trsf 27/8/23 RM4,000.00 (RM1,095.00)</t>
  </si>
  <si>
    <t>Trsf 27/8/23 RM4,000.00 (RM708.00)</t>
  </si>
  <si>
    <t>Trsf 14/8/23 RM2,382.50</t>
  </si>
  <si>
    <t>MBB 015063 cleared 21/8/23 RM11,342.50</t>
  </si>
  <si>
    <t>MBB 015124 cleared 21/8/23 RM565.20</t>
  </si>
  <si>
    <t>Chq PBB 395391, cleared21/08/23 RM2,475.00</t>
  </si>
  <si>
    <t>Trsf 24/8/23 RM11,813.50</t>
  </si>
  <si>
    <t>Trsf 26/7/23 RM8,000.00(RM1,607.20), Trsf 27/7/23 RM7,310.00(RM7,310.00), Trsf 4/8/23 RM5,858.00(RM3,710.80)</t>
  </si>
  <si>
    <t>Trsf 15/8/23 RM5,552.00(RM420.00)</t>
  </si>
  <si>
    <t>Trsf 4/8/23 RM5,858.00(RM2,147.20), Trsf 7/8/23 RM6,110.00(RM2,892.80)</t>
  </si>
  <si>
    <t>Trsf 7/8/23 RM6,110.00(RM2,340.00)</t>
  </si>
  <si>
    <t>Trsf 7/8/23 RM6,110.00(RM312.50)</t>
  </si>
  <si>
    <t>Trsf 7/8/23 RM6,110.00(RM564.70), Trsf 15/8/23 RM5,552.00(RM435.30)</t>
  </si>
  <si>
    <t xml:space="preserve">Trsf 15/8/23 RM5,552.00(RM4,696.70), Trsf 23/8/23 RM9,000.00(RM9,000.00), Trsf 29/8/23 RM7,000.00(RM3,683.30), </t>
  </si>
  <si>
    <t>Trsf 29/8/23 RM7,000.00(RM3,316.70), Trsf 30/8/23 RM5,500.00(RM3,703.30)</t>
  </si>
  <si>
    <t>Trsf 24/7/23 RM4,940.00(RM3,652.00)</t>
  </si>
  <si>
    <t>Trsf 24/7/23 RM4,940.00(RM675.00)</t>
  </si>
  <si>
    <t>Trsf 24/7/23 RM4,940.00(236.00)</t>
  </si>
  <si>
    <t>Trsf 24/7/23 RM4,940.00(RM190.00)</t>
  </si>
  <si>
    <t>Trsf 24/7/23 RM4,940.00(RM187.00), Trsf 11/8/23 RM1,000.00 (RM0.50)</t>
  </si>
  <si>
    <r>
      <rPr>
        <sz val="12"/>
        <color rgb="FFC00000"/>
        <rFont val="Calibri"/>
        <family val="2"/>
        <scheme val="minor"/>
      </rPr>
      <t>Trsf 9/6/23 Inv542 overpayment RM0.20, Trsf 13/7/23 Inv570 overpayment RM10.00,  Trsf 18/7/23 Inv573 overpayment RM100.00,</t>
    </r>
    <r>
      <rPr>
        <sz val="12"/>
        <color theme="1"/>
        <rFont val="Calibri"/>
        <family val="2"/>
        <scheme val="minor"/>
      </rPr>
      <t xml:space="preserve"> Trsf 11/8/23 RM1,000.00 (RM309.80)</t>
    </r>
  </si>
  <si>
    <t>Trsf 11/8/23 RM1,000.00 (RM79.70), Trsf 23/8/23 RM4,000.00 (RM615.30)</t>
  </si>
  <si>
    <t>Trsf 23/8/23 RM4,000.00 (RM2,400.70), Trsf 27/8/23 RM4,000.00 (RM1,075.30)</t>
  </si>
  <si>
    <t>INV00000623</t>
  </si>
  <si>
    <t>INV00000624</t>
  </si>
  <si>
    <t>1/9/2023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</si>
  <si>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</si>
  <si>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</si>
  <si>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</si>
  <si>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</si>
  <si>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</si>
  <si>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</si>
  <si>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</si>
  <si>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RM Pigment Super White W2HV (5Kg)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</si>
  <si>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</si>
  <si>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</si>
  <si>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</si>
  <si>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</si>
  <si>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</si>
  <si>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</si>
  <si>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</si>
  <si>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RA Resin 3338W (220Kg)</t>
  </si>
  <si>
    <t xml:space="preserve">RM Paint Roller 4" 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</si>
  <si>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</si>
  <si>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</si>
  <si>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</si>
  <si>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</si>
  <si>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</si>
  <si>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</si>
  <si>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</si>
  <si>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</si>
  <si>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</si>
  <si>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</si>
  <si>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RM VE Resin 901-3 (200Kg)</t>
  </si>
  <si>
    <t>RM Pigment Riviera Blue B5 (5kg)</t>
  </si>
  <si>
    <t>RM Pigment Paste Light Grey G1 (5kg)</t>
  </si>
  <si>
    <t>INV00000649</t>
  </si>
  <si>
    <t>INV00000650</t>
  </si>
  <si>
    <t>INV00000651</t>
  </si>
  <si>
    <t>RA CSM 450 64m(L) X 1860mm(W) (54kg)</t>
  </si>
  <si>
    <t>INV00000652</t>
  </si>
  <si>
    <t>INV00000653</t>
  </si>
  <si>
    <t>22/9/2023</t>
  </si>
  <si>
    <t>INV00000654</t>
  </si>
  <si>
    <t>RM 800g/450g 1250mm (50Kg)</t>
  </si>
  <si>
    <t>RJ Woven Roving E-800gm 1120mm (45g)</t>
  </si>
  <si>
    <t>INV00000655</t>
  </si>
  <si>
    <t>INV00000656</t>
  </si>
  <si>
    <t>INV00000657</t>
  </si>
  <si>
    <t>RA Woven Roving E-600gm 1120mm (45Kg)</t>
  </si>
  <si>
    <t>INV00000658</t>
  </si>
  <si>
    <t>INV00000659</t>
  </si>
  <si>
    <t>INV00000660</t>
  </si>
  <si>
    <t>INV00000661</t>
  </si>
  <si>
    <t>Trsf 30/8/23 RM5,500.00(RM1,796.70), Trsf 1/9/23 RM6,200.00(RM2,298.30)</t>
  </si>
  <si>
    <t>Trsf 1/9/23 RM6,200.00(RM625.00)</t>
  </si>
  <si>
    <t>Trsf 1/9/23 RM6,200.00(RM380.00)</t>
  </si>
  <si>
    <t>Trsf 1/9/23 RM6,200.00(RM2,000.00)</t>
  </si>
  <si>
    <t>Trsf 1/9/23 RM6,200.00(RM896.70), Trsf 11/9/23 RM6,000.00(RM4,317.30)</t>
  </si>
  <si>
    <t>Trsf 11/9/23 RM6,000.00(RM1,682.70), Trsf 12/9/23 RM5,500.00(RM657.30)</t>
  </si>
  <si>
    <t>Trsf 12/9/23 RM5,500.00(RM1,092.00)</t>
  </si>
  <si>
    <t>Trsf 12/9/23 RM5,500.00(RM380.00)</t>
  </si>
  <si>
    <t>Trsf 12/9/23 RM5,500.00(RM187.50)</t>
  </si>
  <si>
    <t>Trsf 12/9/23 RM5,500.00(RM800.00)</t>
  </si>
  <si>
    <t>Trsf 12/9/23 RM5,500.00(RM2,383.20), Trsf 15/9/23 RM5,800.00(RM5,800.00), Trsf 21/9/23 RM6,700.00(RM506.80)</t>
  </si>
  <si>
    <t>Trsf 21/9/23 RM6,700.00(RM3,510.00)</t>
  </si>
  <si>
    <t>Trsf 21/9/23 RM6,700.00(RM1,638.00)</t>
  </si>
  <si>
    <t>Trsf 21/9/23 RM6,700.00(RM1,000.00)</t>
  </si>
  <si>
    <t>Trsf 27/9/23 RM23,000.00(RM8.690.00)</t>
  </si>
  <si>
    <t>Trsf 27/9/23 RM23,000.00(RM3,510.00)</t>
  </si>
  <si>
    <t>Trsf 27/9/23 RM23,000.00(RM1,638.00)</t>
  </si>
  <si>
    <t>Trsf 27/9/23 RM23,000.00(RM312.50)</t>
  </si>
  <si>
    <t>Trsf 21/9/23 RM6,700.00(RM45.20), Trsf 27/9/23 RM23,000.00(RM267.30)</t>
  </si>
  <si>
    <t xml:space="preserve">Trsf 27/9/23 RM23,000.00(RM420.00) </t>
  </si>
  <si>
    <t>Trsf 27/8/23 RM4,000.00 (RM245.70), Trsf 1/9/23 RM4,000.00(39.30)</t>
  </si>
  <si>
    <t>Trsf 1/9/23 RM4,000.00(RM187.50)</t>
  </si>
  <si>
    <t>Trsf 1/9/23 RM4,000.00(RM100.00)</t>
  </si>
  <si>
    <t>Trsf 1/9/23 RM4,000.00(RM160.00)</t>
  </si>
  <si>
    <t>Trsf 1/9/23 RM4,000.00(RM165.00)</t>
  </si>
  <si>
    <t>Trsf 1/9/23 RM4,000.00(RM1,738.00)</t>
  </si>
  <si>
    <t>Trsf 1/9/23 RM4,000.00(RM1,610.20), Trsf 7/9/23 RM1,100.00(RM127.80)</t>
  </si>
  <si>
    <t>Trsf 7/9/23 RM1,100.00(RM472.00)</t>
  </si>
  <si>
    <t>Trsf 7/9/23 RM1,100.00(RM599.80), Trsf 13/9/23 RM8,000.00(RM2,876.20)</t>
  </si>
  <si>
    <t>Trsf 13/9/23 RM8,000.00(RM438.00)</t>
  </si>
  <si>
    <t>Trsf 13/9/23 RM8,000.00(RM472.00)</t>
  </si>
  <si>
    <t>Trsf 13/9/23 RM8,000.00(RM190.00)</t>
  </si>
  <si>
    <t>Trsf 13/9/23 RM8,000.00(RM125.00)</t>
  </si>
  <si>
    <t>Trsf 13/9/23 RM8,000.00(RM420.00)</t>
  </si>
  <si>
    <t>Trsf 13/9/23 RM8,000.00(RM160.00)</t>
  </si>
  <si>
    <t>Trsf 13/9/23 RM8,000.00(RM100.00)</t>
  </si>
  <si>
    <t>Trsf 13/9/23 RM8,000.00(RM2,224.00)</t>
  </si>
  <si>
    <t>Trsf 13/9/23 RM8,000.00(RM994.80), Trsf 25/9/23 RM2,650.00(RM743.20)</t>
  </si>
  <si>
    <t>Trsf 25/9/23 RM2,650.00(RM62.50)</t>
  </si>
  <si>
    <t>Trsf 25/9/23 RM2,650.00(RM1,738.00)</t>
  </si>
  <si>
    <t>Trsf 14/8/23 RM1,500.00(RM568.90), Trsf 26/8/23 RM1,000.00(RM1,000.00), Trsf 1/9/23 RM1,000.00(RM1,000.00), Trsf 5/9/23 RM1,000.00(RM1,000.00), Trsf 5/9/23 RM1,000.00(39.10)</t>
  </si>
  <si>
    <t>Trsf 5/9/23 RM1,000.00(RM842.40)</t>
  </si>
  <si>
    <t>Trsf 5/9/23 RM1,000.00(RM118.50), Trsf 8/9/23 RM500.00(RM69.00)</t>
  </si>
  <si>
    <t>Trsf 8/9/23 RM500.00(RM150.00)</t>
  </si>
  <si>
    <t>Trsf 8/9/23 RM500.00(RM160.00)</t>
  </si>
  <si>
    <t>Cash 6/9/23 RM6,079.50</t>
  </si>
  <si>
    <t>Cash 15/9/23 RM8,087.00</t>
  </si>
  <si>
    <t>Cash 25/9/23 RM5,264.00</t>
  </si>
  <si>
    <t>Trsf 26/9/23 RM13,457.00</t>
  </si>
  <si>
    <t>RHB 000720 5/9/23 cleared RM1,000.00, RHB 000717 12/9/23 cleared RM1,000.00, RHB 000718 19/9/23 cleared RM1,000.00, RHB 000719 25/9/23 cleared RM960.00</t>
  </si>
  <si>
    <t>Trsf 11/9/23 RM2,126.00</t>
  </si>
  <si>
    <t>Cash 13/9/23 RM48.00</t>
  </si>
  <si>
    <t>Chq PBB 003004, cleared07/09/23 RM2,847.50</t>
  </si>
  <si>
    <t>Cheque MBB 852051, cleared 7/9/23 RM15,781.40</t>
  </si>
  <si>
    <t>Cheque MBB 852073, cleared 21/9/23 RM560.00</t>
  </si>
  <si>
    <t>MBB 015164 cleared 25/9/23 RM10,969.50</t>
  </si>
  <si>
    <t>Trsf 16/6/23 RM1,500.00(RM946.00), Trsf 15/9/23 RM5,000.00(RM990.00)</t>
  </si>
  <si>
    <t>Trsf 15/9/23 RM5,000.00(RM475.20)</t>
  </si>
  <si>
    <t>Trsf 15/9/23 RM5,000.00(RM1,892.00)</t>
  </si>
  <si>
    <t>Dynamic Builders Trading Total</t>
  </si>
  <si>
    <t>Airebus Sdn Bhd Total</t>
  </si>
  <si>
    <t>INV00000662</t>
  </si>
  <si>
    <t>RM Pigment orange (5kg)</t>
  </si>
  <si>
    <t>INV00000663</t>
  </si>
  <si>
    <t>INV00000664</t>
  </si>
  <si>
    <t>INV00000665</t>
  </si>
  <si>
    <t>INV00000666</t>
  </si>
  <si>
    <t>INV00000667</t>
  </si>
  <si>
    <t>5/10/2023</t>
  </si>
  <si>
    <t>INV00000668</t>
  </si>
  <si>
    <t>RM VE Resin 901-3P (200Kg)</t>
  </si>
  <si>
    <t>INV00000669</t>
  </si>
  <si>
    <t>INV00000670</t>
  </si>
  <si>
    <t>INV00000671</t>
  </si>
  <si>
    <t>INV00000672</t>
  </si>
  <si>
    <t>RM Pigment Grey RAL 7038 (25kg)</t>
  </si>
  <si>
    <t>INV00000673</t>
  </si>
  <si>
    <t>11/10/2023</t>
  </si>
  <si>
    <t>INV00000674</t>
  </si>
  <si>
    <t>RA Resin 9509NW (225Kg)</t>
  </si>
  <si>
    <t>INV00000675</t>
  </si>
  <si>
    <t>INV00000676</t>
  </si>
  <si>
    <t>14/10/2023</t>
  </si>
  <si>
    <t>INV00000677</t>
  </si>
  <si>
    <t>INV00000678</t>
  </si>
  <si>
    <t>Welltech (M) Sdn Bhd</t>
  </si>
  <si>
    <t>INV00000679</t>
  </si>
  <si>
    <t>INV00000680</t>
  </si>
  <si>
    <t>C00000042</t>
  </si>
  <si>
    <t>INV00000681</t>
  </si>
  <si>
    <t>INV00000682</t>
  </si>
  <si>
    <t>20/10/2023</t>
  </si>
  <si>
    <t>INV00000683</t>
  </si>
  <si>
    <t>INV00000684</t>
  </si>
  <si>
    <t>INV00000685</t>
  </si>
  <si>
    <t>Resin 3338W (20Kg)</t>
  </si>
  <si>
    <t>CSM 450  64m(L) X 1860mm(W) (54kg)</t>
  </si>
  <si>
    <t>Butanox M50 (5kg)</t>
  </si>
  <si>
    <t>Pigment Brown Mahogany (5kg)</t>
  </si>
  <si>
    <t xml:space="preserve">Transport fee </t>
  </si>
  <si>
    <t>INV00000686</t>
  </si>
  <si>
    <t>INV00000687</t>
  </si>
  <si>
    <t>RA Woven Roving E-600gm 1000mm (40Kg)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</si>
  <si>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</si>
  <si>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</si>
  <si>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</si>
  <si>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</si>
  <si>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</si>
  <si>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</si>
  <si>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</si>
  <si>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Welltech (M) Sdn Bhd Total</t>
  </si>
  <si>
    <t>Trsf 27/9/23 RM23,000.00(RM8,162.20), Trsf 1/10/23 RM14,500.00(RM527.80)</t>
  </si>
  <si>
    <t>Trsf 1/10/23 RM14,500.00(RM3,510.00)</t>
  </si>
  <si>
    <t>Trsf 1/10/23 RM14,500.00(RM1,365.00)</t>
  </si>
  <si>
    <t>Trsf 1/10/23 RM14,500.00(RM1,000.00)</t>
  </si>
  <si>
    <t xml:space="preserve">Trsf 1/10/23 RM14,500.00(RM8,097.20), Trsf 6/10/23 RM6,400.00(RM592.80) </t>
  </si>
  <si>
    <t xml:space="preserve">Trsf 6/10/23 RM6,400.00(RM702.00) </t>
  </si>
  <si>
    <t xml:space="preserve">Trsf 6/10/23 RM6,400.00(RM1,684.80) </t>
  </si>
  <si>
    <t xml:space="preserve">Trsf 6/10/23 RM6,400.00(RM1,911.00) </t>
  </si>
  <si>
    <t xml:space="preserve">Trsf 6/10/23 RM6,400.00(RM1,000.00) </t>
  </si>
  <si>
    <t xml:space="preserve">Trsf 6/10/23 RM6,400.00(RM250.00) </t>
  </si>
  <si>
    <t>Trsf 6/10/23 RM6,400.00(RM259.40), Trsf 6/10/23 RM610.00(RM120.60)</t>
  </si>
  <si>
    <t>Trsf 6/10/23 RM610.00(RM489.40), Trsf 13/10/23 RM1,025.00(RM1,025.00), Trsf 17/10/23 RM15,000.00(RM3,699.60)</t>
  </si>
  <si>
    <t>Trsf 17/10/23 RM15,000.00(RM684.00)</t>
  </si>
  <si>
    <t>Trsf 17/10/23 RM15,000.00(RM793.80)</t>
  </si>
  <si>
    <t>Trsf 17/10/23 RM15,000.00(RM285.00)</t>
  </si>
  <si>
    <t>Trsf 17/10/23 RM15,000.00(RM105.00)</t>
  </si>
  <si>
    <t>Trsf 17/10/23 RM15,000.00(RM6,952.00)</t>
  </si>
  <si>
    <t>Trsf 17/10/23 RM15,000.00(RM2,480.60), Trsf 20/10/23 RM3,000.00(RM939.40)</t>
  </si>
  <si>
    <t>Trsf 20/10/23 RM3,000.00(RM2,060.60), Trsf 25/10/23 RM8,300.00(56.20)</t>
  </si>
  <si>
    <t>Trsf 25/10/23 RM8,300.00(RM380.00)</t>
  </si>
  <si>
    <t>Trsf 25/10/23 RM8,300.00(RM1,000.00)</t>
  </si>
  <si>
    <t>Trsf 25/10/23 RM8,300.00(RM250.00)</t>
  </si>
  <si>
    <t>Trsf 31/10/23 RM9,000.00(RM3,420.00)</t>
  </si>
  <si>
    <t>Trsf 31/10/23 RM9,000.00(RM2,116.80)</t>
  </si>
  <si>
    <t>Trsf 31/10/23 RM9,000.00(RM1,000.00)</t>
  </si>
  <si>
    <t>Trsf 8/9/23 RM500.00(RM121.00), Trsf 2/10/23 RM1,000.00(RM201.50)</t>
  </si>
  <si>
    <t>Trsf 2/10/23 RM1,000.00(RM390.00)</t>
  </si>
  <si>
    <t>Bank Islam 164748 Cleared 4/10/23, RM10,000.00(RM1,059.50)</t>
  </si>
  <si>
    <t>Bank Islam 164748 Cleared 4/10/23, RM10,000.00(RM7,480.00)</t>
  </si>
  <si>
    <t>Bank Islam 164748 Cleared 4/10/23, RM10,000.00(RM1,263.60)</t>
  </si>
  <si>
    <t>Trsf 25/10/23 RM8,300.00(RM6,613.80), Trsf 27/10/23 RM1,100.00(RM1,100.00), Trsf 31/10/23 RM9,000.00(RM976.20)</t>
  </si>
  <si>
    <t>MBB 015277 cleared 27/10/23 RM15,616.90(RM10,428.00)</t>
  </si>
  <si>
    <t>MBB 015277 cleared 27/10/23 RM15,616.90(RM2,948.40)</t>
  </si>
  <si>
    <t>MBB 015277 cleared 27/10/23 RM15,616.90(RM288.00)</t>
  </si>
  <si>
    <t>MBB 015277 cleared 27/10/23 RM15,616.90(RM312.50)</t>
  </si>
  <si>
    <t>MBB 015277 cleared 27/10/23 RM15,616.90(RM520.00)</t>
  </si>
  <si>
    <t>MBB 015277 cleared 27/10/23 RM15,616.90(RM930.00)</t>
  </si>
  <si>
    <t>MBB 015277 cleared 27/10/23 RM15,616.90(RM190.00)</t>
  </si>
  <si>
    <t>RHB 000743 20/10/23 Cleared RM1,300.00 (RM255.00)</t>
  </si>
  <si>
    <t>RHB 000743 20/10/23 Cleared RM1,300.00 (RM325.00)</t>
  </si>
  <si>
    <t>RHB 000743 20/10/23 Cleared RM1,300.00 (RM50.00)</t>
  </si>
  <si>
    <t>RHB 000743 20/10/23 Cleared RM1,300.00(RM670.00), RHB 000744 31/10/23 Cleared RM1,420.00(RM1,200.00)</t>
  </si>
  <si>
    <t>RHB 000744 31/10/23 Cleared RM1,420.00(RM220.00)</t>
  </si>
  <si>
    <t>Cash  3/10/23 RM5,258.50</t>
  </si>
  <si>
    <t>Chq PBB 395392, cleared 4/10/23 RM3,240.00</t>
  </si>
  <si>
    <t>Chq PBB 395393, cleared 31/10/23 RM3,078.00</t>
  </si>
  <si>
    <t>Chq PBB 395393, cleared 31/10/23 RM3,078.50</t>
  </si>
  <si>
    <t>Cash deposit 19/10/23 RM4,821.00</t>
  </si>
  <si>
    <t>Cheque MBB 852089, cleared 9/10/23 RM1,612.00</t>
  </si>
  <si>
    <t>Chq HL 022469 dd 20/10/23 RM4,841.20</t>
  </si>
  <si>
    <t>Chq HL 022468 dd 18/10/23 RM4,461.80</t>
  </si>
  <si>
    <t>Trsf 25/10/23 RM3,535.20</t>
  </si>
  <si>
    <t>INV00000695</t>
  </si>
  <si>
    <t>INV00000696</t>
  </si>
  <si>
    <t>INV00000697</t>
  </si>
  <si>
    <t>RA CSM 450 Jushi 64m(L) 1040mm(W) (37Kg)</t>
  </si>
  <si>
    <t>RO CSM 450 Jushi 79m(L) x 1040mm(W) (37Kg)</t>
  </si>
  <si>
    <t>RO CSM 450 Jushi 1040mm(W) (37Kg)</t>
  </si>
  <si>
    <t>RO Gelcoat LB988 (22kg)</t>
  </si>
  <si>
    <t>RO Resin 8213W (225kg)</t>
  </si>
  <si>
    <t>RO Polymal LB-9888 (22kg)</t>
  </si>
  <si>
    <t>Cheque MBB 852121, cleared 2/11/23 RM3,731.80</t>
  </si>
  <si>
    <t>Trsf 3/11/23 RM1,174.00</t>
  </si>
  <si>
    <t>Trsf 2/10/23 RM1,000.00(RM408.50), 26/10/23 RM2,000.00(RM2,000.00), 3/11/23 RM1,000.00(RM1,000.00), 14/11/23 RM2,300.00(RM243.50)</t>
  </si>
  <si>
    <t>Trsf 14/11/23 RM2,300.00(RM421.20)</t>
  </si>
  <si>
    <t>Trsf 14/11/23 RM2,300.00(RM187.50)</t>
  </si>
  <si>
    <t>Trsf 14/11/23 RM2,300.00(RM420.00)</t>
  </si>
  <si>
    <t>Trsf 14/11/23 RM2,300.00(RM105.00)</t>
  </si>
  <si>
    <t>Trsf 6/11/23 RM19,500.00(RM1,587.60)</t>
  </si>
  <si>
    <t>Trsf 6/11/23 RM19,500.00(RM1,008.00)</t>
  </si>
  <si>
    <t>Trsf 6/11/23 RM19,500.00(RM1,000.00)</t>
  </si>
  <si>
    <t>Trsf 6/11/23 RM19,500.00(RM437.50)</t>
  </si>
  <si>
    <t>Trsf 6/11/23 RM19,500.00(RM3,476.00)</t>
  </si>
  <si>
    <t>Trsf 6/11/23 RM19,500.00(RM3,391.40), 15/11/23 RM7,800.00(RM436.60)</t>
  </si>
  <si>
    <t>Trsf 15/11/23 RM7,800.00(RM750.00)</t>
  </si>
  <si>
    <t>Trsf 15/11/23 RM7,800.00(RM6,613.40), 18/11/23 RM3,000.00(RM2,076.60)</t>
  </si>
  <si>
    <t>Trsf 18/11/23 RM3,000.00(RM923.40), 21/11/23 RM3,500.00(EM3,500.00), 24/11/23 RM9,500.00(RM9,500.00), 28/11/23 RM8,500.00(RM3,456.60)</t>
  </si>
  <si>
    <t>Chq PBB 395394, cleared 10/11/23 RM2,947.50</t>
  </si>
  <si>
    <t>Chq PBB 395395, cleared 30/11/23 RM3,137.50</t>
  </si>
  <si>
    <t>Cash 15/11/23 RM5,805.00</t>
  </si>
  <si>
    <t>Cash  17/10/23 RM2,909.00</t>
  </si>
  <si>
    <t>Cash 22/11/23 RM567.60</t>
  </si>
  <si>
    <t>Cash 22/11/23 RM5,844.40</t>
  </si>
  <si>
    <t>MBB 015403 cleared 30/11/23 RM15,463.40(RM8,690.00)</t>
  </si>
  <si>
    <t>MBB 015403 cleared 30/11/23 RM15,463.40(RM2,613.00)</t>
  </si>
  <si>
    <t>MBB 015403 cleared 30/11/23 RM15,463.40(RM842.40)</t>
  </si>
  <si>
    <t>MBB 015403 cleared 30/11/23 RM15,463.40(RM288.00)</t>
  </si>
  <si>
    <t>MBB 015403 cleared 30/11/23 RM15,463.40(RM625.00)</t>
  </si>
  <si>
    <t>MBB 015403 cleared 30/11/23 RM15,463.40(RM260.00)</t>
  </si>
  <si>
    <t>MBB 015403 cleared 30/11/23 RM15,463.40(RM285.00)</t>
  </si>
  <si>
    <t>MBB 015403 cleared 30/11/23 RM15,463.40(RM930.00)</t>
  </si>
  <si>
    <t>RO CSM 450 1040mm(W) (37kg)</t>
  </si>
  <si>
    <t>RP Talcum Powder (25Kg)</t>
  </si>
  <si>
    <t>RM TR104 Wax Mould Release</t>
  </si>
  <si>
    <t>RM Pigment Paste Riviera Blue B5 (5Kg)</t>
  </si>
  <si>
    <t>RM CSM 300 1860mm(W) (54Kg)</t>
  </si>
  <si>
    <t>RBD World Wide Sdn Bhd</t>
  </si>
  <si>
    <t>RP Talcum Powder (25kg)</t>
  </si>
  <si>
    <t>RM Sand Wheel 105 X 2 X 16 (30PC)</t>
  </si>
  <si>
    <t>RM PVA (5kg)</t>
  </si>
  <si>
    <t>RM Tissue Mat (250 M2)</t>
  </si>
  <si>
    <t xml:space="preserve">RD Brush 2" </t>
  </si>
  <si>
    <t>RO CSM 450 Jushi 64m(L) X 1860mm(W) (67kg)</t>
  </si>
  <si>
    <t>RO CSM 450 1860mm(W) (54kg)</t>
  </si>
  <si>
    <t>Transport Charge</t>
  </si>
  <si>
    <t>RO CSM 450 64m(L) X 1860mm(W) (67kg)</t>
  </si>
  <si>
    <t>RO Gelcoat LB9888 (22kg)</t>
  </si>
  <si>
    <t>RM Pigment Chestnut Brown C1 (5kg)</t>
  </si>
  <si>
    <t>C00000043</t>
  </si>
  <si>
    <t>C00000044</t>
  </si>
  <si>
    <t>RBD World Wide Sdn Bhd Total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</si>
  <si>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</si>
  <si>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</si>
  <si>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</si>
  <si>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</si>
  <si>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</si>
  <si>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</si>
  <si>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</si>
  <si>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</si>
  <si>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</si>
  <si>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</si>
  <si>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</si>
  <si>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</si>
  <si>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</si>
  <si>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</si>
  <si>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</si>
  <si>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</si>
  <si>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</si>
  <si>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</si>
  <si>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</si>
  <si>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</si>
  <si>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</si>
  <si>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</si>
  <si>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</si>
  <si>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</si>
  <si>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</si>
  <si>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</si>
  <si>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</si>
  <si>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</si>
  <si>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</si>
  <si>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</si>
  <si>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</si>
  <si>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</si>
  <si>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</si>
  <si>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</si>
  <si>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</si>
  <si>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</si>
  <si>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</si>
  <si>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</si>
  <si>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</si>
  <si>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</si>
  <si>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</si>
  <si>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</si>
  <si>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</si>
  <si>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</si>
  <si>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</si>
  <si>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</si>
  <si>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</si>
  <si>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</si>
  <si>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</si>
  <si>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</si>
  <si>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</si>
  <si>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</si>
  <si>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</si>
  <si>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</si>
  <si>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</si>
  <si>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</si>
  <si>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</si>
  <si>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</si>
  <si>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</si>
  <si>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</si>
  <si>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</si>
  <si>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</si>
  <si>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</si>
  <si>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</si>
  <si>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</si>
  <si>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</si>
  <si>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Trsf 01/12/23 RM237.00</t>
  </si>
  <si>
    <t>Cash 03/12/23 RM5,479.90</t>
  </si>
  <si>
    <t>Cash 19/12/23 RM5,955.90</t>
  </si>
  <si>
    <t>Trsf 14/11/23 RM2,300.00(RM922.80), 21/11/23 RM500.00(RM500.00), 29/11/23 RM1,350.00(RM1,350.00), 8/12/23 RM2,000.00(RM879.20)</t>
  </si>
  <si>
    <t>Trsf 8/12/23 RM2,000.00(RM1,045.20)</t>
  </si>
  <si>
    <t>Trsf 8/12/23 RM2,000.00(RM75.60),  19/12/23 RM3,500.00(RM111.90)</t>
  </si>
  <si>
    <t>Trsf 19/12/23 RM3,500.00(RM780.00)</t>
  </si>
  <si>
    <t>Trsf 19/12/23 RM3,500.00(RM210.00)</t>
  </si>
  <si>
    <t>Trsf 19/12/23 RM3,500.00(RM150.00)</t>
  </si>
  <si>
    <t>Trsf 19/12/23 RM3,500.00(RM260.00)</t>
  </si>
  <si>
    <t>Trsf 28/11/23 RM8,500.00(RM5,043.40), Trsf 1/12/23 RM5,000.00(RM5,000.00), Trsf 4/12/23 RM12,000.000(RM216.60)</t>
  </si>
  <si>
    <t>Trsf 4/12/23 RM12,000.000(RM5,040.00)</t>
  </si>
  <si>
    <t>Trsf 4/12/23 RM12,000.000(RM380.00)</t>
  </si>
  <si>
    <t>Trsf 4/12/23 RM12,000.000(RM2,000.00)</t>
  </si>
  <si>
    <t>Trsf 4/12/23 RM12,000.000(RM187.50)</t>
  </si>
  <si>
    <t>Trsf 4/12/23 RM12,000.000(RM1,000.00)</t>
  </si>
  <si>
    <t>Trsf 4/12/23 RM12,000.000(RM937.50)</t>
  </si>
  <si>
    <t>Trsf 4/12/23 RM12,000.000(RM1,858.40), 12/12/23 RM12,000.00(RM12,000.00), 15/12/23 RM7,000.00(RM3,521.60)</t>
  </si>
  <si>
    <t>Trsf 15/12/23 RM7,000.00(RM3,478.40), 18/12/23 RM11,000.00(RM5,211.60)</t>
  </si>
  <si>
    <t>Trsf 18/12/23 RM11,000.00(RM5,788.40), 23/12/23 RM12,300.00(RM3,331.60)</t>
  </si>
  <si>
    <t>Trsf 23/12/23 RM12,300.00(RM5,040.OO)</t>
  </si>
  <si>
    <t>Trsf 23/12/23 RM12,300.00(RM380.00)</t>
  </si>
  <si>
    <t>Trsf 23/12/23 RM12,300.00(RM2,000.00)</t>
  </si>
  <si>
    <t>Trsf 23/12/23 RM12,300.00(RM95.00)</t>
  </si>
  <si>
    <t>Trsf 23/12/23 RM12,300.00(RM105.00)</t>
  </si>
  <si>
    <t>Trsf 23/12/23 RM12,300.00(RM625.00)</t>
  </si>
  <si>
    <t>Trsf 15/9/23 RM5,000.00(RM1,642.80), Trsf 7/12/23 RM4,100.00(RM249.20)</t>
  </si>
  <si>
    <t>Trsf 7/12/23 RM4,100.00(RM110.00)</t>
  </si>
  <si>
    <t>Trsf 7/12/23 RM4,100.00(RM258.00)</t>
  </si>
  <si>
    <t>Trsf 7/12/23 RM4,100.00(RM100.00)</t>
  </si>
  <si>
    <t>Trsf 7/12/23 RM4,100.00(RM1,738.00)</t>
  </si>
  <si>
    <t>Cash deposit 12/12/23 RM5,067.00</t>
  </si>
  <si>
    <t xml:space="preserve">Cash deposit 12/12/23 RM5,067.00 </t>
  </si>
  <si>
    <r>
      <t xml:space="preserve">Cash deposit 12/12/23 RM5,067.00(RM421.00) </t>
    </r>
    <r>
      <rPr>
        <b/>
        <sz val="12"/>
        <color rgb="FFFF0000"/>
        <rFont val="Calibri"/>
        <family val="2"/>
        <scheme val="minor"/>
      </rPr>
      <t>underpaid -RM0.20</t>
    </r>
  </si>
  <si>
    <t>Chq PBB 395396, cleared 12/12/23 RM1,965.00</t>
  </si>
  <si>
    <t>Chq PBB 395397, cleared 18/12/23 RM2,475.00</t>
  </si>
  <si>
    <t>Trsf 21/12/23 RM4,728.00</t>
  </si>
  <si>
    <t>Trsf 19/12/23 RM2,131,00</t>
  </si>
  <si>
    <t>Trsf 19/12/23 RM4,700.00</t>
  </si>
  <si>
    <t>Chq HL 023618 dd 20/12/23 RM4,104.00</t>
  </si>
  <si>
    <t>Trsf 21/12/23 RM25,064.50</t>
  </si>
  <si>
    <t>Trsf 22/12/23 RM771.30</t>
  </si>
  <si>
    <t>Trsf 28/12/23 RM175.00</t>
  </si>
  <si>
    <t>Chq PBB 395398, cleared 27/12/23 RM2,475.00</t>
  </si>
  <si>
    <t>Trsf 25/9/23 RM2,650.00(RM6.70), Trsf 27/12/23 RM2,000.00(RM1,731.30)</t>
  </si>
  <si>
    <t>Trsf 27/12/23 RM2,000.00(RM219.00)</t>
  </si>
  <si>
    <t>Chq PBB 395399, cleared 29/12/23 RM2,475.00</t>
  </si>
  <si>
    <t>Trsf 15/12/23 RM5,450.80</t>
  </si>
  <si>
    <t>CN15/12/2023</t>
  </si>
  <si>
    <t>Overbill</t>
  </si>
  <si>
    <t>CN19122023</t>
  </si>
  <si>
    <t>CN15/12/2023 for Inv 742</t>
  </si>
  <si>
    <t>CN19122023 for Inv 750</t>
  </si>
  <si>
    <t>INV00000764</t>
  </si>
  <si>
    <t>INV00000765</t>
  </si>
  <si>
    <t>INV00000766</t>
  </si>
  <si>
    <t>Kelnico Sdn Bhd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</si>
  <si>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</si>
  <si>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</si>
  <si>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</si>
  <si>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</si>
  <si>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</si>
  <si>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</si>
  <si>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</si>
  <si>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RA CSM 450 1040mm(W) (37Kg)</t>
  </si>
  <si>
    <t>INV00000774</t>
  </si>
  <si>
    <t>INV00000775</t>
  </si>
  <si>
    <t>INV00000776</t>
  </si>
  <si>
    <t>INV00000777</t>
  </si>
  <si>
    <t>Berkat Fibreglass</t>
  </si>
  <si>
    <t>RF Resin 3317AW (220kg)</t>
  </si>
  <si>
    <t>INV00000778</t>
  </si>
  <si>
    <t>INV00000779</t>
  </si>
  <si>
    <t>INV00000780</t>
  </si>
  <si>
    <t>INV00000781</t>
  </si>
  <si>
    <t>INV00000782</t>
  </si>
  <si>
    <t>Resin 3338W (220kg)</t>
  </si>
  <si>
    <t>CSM 450 1040mm(W) (30kg)</t>
  </si>
  <si>
    <t>Woven Roving E-600gm 1000mm (40Kg)</t>
  </si>
  <si>
    <t>Honeycomb 12mm - 1220(W) x 2440(L)</t>
  </si>
  <si>
    <t>Pigment Red (5kg)</t>
  </si>
  <si>
    <t>Gelcoat LB988 (22kg)</t>
  </si>
  <si>
    <t>INV00000783</t>
  </si>
  <si>
    <t>INV00000784</t>
  </si>
  <si>
    <t>INV00000785</t>
  </si>
  <si>
    <t>INV00000786</t>
  </si>
  <si>
    <t>INV00000787</t>
  </si>
  <si>
    <t>C00000045</t>
  </si>
  <si>
    <t>C00000046</t>
  </si>
  <si>
    <t>Chq PBB 003001, cleared15/1/24 RM2,731.50</t>
  </si>
  <si>
    <t>Chq PBB 395400, cleared 5/1/24 RM2,668.00</t>
  </si>
  <si>
    <t>Cash 10/1/24 RM2,236.00</t>
  </si>
  <si>
    <t>Cash 26/1/24 RM3,752.30.00</t>
  </si>
  <si>
    <t>Trsf 23/12/23 RM12,300.00(RM723.40), 28/12/23 RM13,000.00(RM13,000.00), 5/1/24 RM15,000.00(RM3,656.60)</t>
  </si>
  <si>
    <t>Trsf 5/1/24 RM15,000.00(RM6,384.00)</t>
  </si>
  <si>
    <t>Trsf 5/1/24 RM15,000.00(RM3,024.00)</t>
  </si>
  <si>
    <t>Trsf 5/1/24 RM15,000.00(RM380.00)</t>
  </si>
  <si>
    <t>Trsf 5/1/24 RM15,000.00(RM1,555.40), 19/1/24 RM15,700.00(RM444.60)</t>
  </si>
  <si>
    <t>Trsf 19/1/24 RM15,700.00(RM312.50)</t>
  </si>
  <si>
    <t>Trsf 19/1/24 RM15,700.00(RM8,690.00)</t>
  </si>
  <si>
    <t>Trsf 19/1/24 RM15,700.00(RM3,420.00)</t>
  </si>
  <si>
    <t>Trsf 19/1/24 RM15,700.00(RM2,016.00)</t>
  </si>
  <si>
    <t>Trsf 19/1/24 RM15,700.00(RM380.00)</t>
  </si>
  <si>
    <t>Trsf 31/1/24 RM17,000.00(RM6,840.00)</t>
  </si>
  <si>
    <t>Trsf 22/1/24 RM15,500.00(RM312.50)</t>
  </si>
  <si>
    <t>Trsf 22/1/24 RM15,500.00(RM1,260.00)</t>
  </si>
  <si>
    <t>Trsf 22/1/24 RM15,500.00(RM380.00)</t>
  </si>
  <si>
    <t>Trsf 22/1/24 RM15,500.00(RM625.00)</t>
  </si>
  <si>
    <t>Trsf 22/1/24 RM15,500.00(RM8,690.00)</t>
  </si>
  <si>
    <t>Trsf 22/1/24 RM15,500.00(RM1,389.40), 30/1/24 RM7,000.00(RM7,000.00), 31/1/24 RM17,000.00(RM9,430.60)</t>
  </si>
  <si>
    <t>Trsf 19/1/24 RM15,700.00(RM436.90), Trsf 22/1/24 RM15,500.00(RM563.10)</t>
  </si>
  <si>
    <t>Trsf 22/1/24 RM15,500.00(RM2,280.00)</t>
  </si>
  <si>
    <t>Trsf 31/10/23 RM9,000.00(RM312.50)</t>
  </si>
  <si>
    <t>Trsf 6/11/23 RM19,500.00(RM4,560.00</t>
  </si>
  <si>
    <t>Trsf 31/10/23 RM9,000.00(RM1,174.30), Trsf 6/11/23 RM19,500.00(RM4,039.50)</t>
  </si>
  <si>
    <t>Trsf 19/12/23 RM3,500.00(RM1,988.10), 9/1/24 RM1,000.00(RM1,000.00), 10/1/24 RM1,500.00(RM663.90)</t>
  </si>
  <si>
    <t>Trsf 10/1/24 RM1,500.00(RM836.10), 11/1/24 RM500.00(RM6.30)</t>
  </si>
  <si>
    <t>Trsf 11/1/24 RM500.00(RM187.50)</t>
  </si>
  <si>
    <t>Trsf 11/1/24 RM500.00(RM306.20), 19/1/24 RM2,000.00(RM83.80)</t>
  </si>
  <si>
    <t>Trsf 19/1/24 RM2,000.00(RM258.00)</t>
  </si>
  <si>
    <t>Trsf 11/1/24 RM6,441.80</t>
  </si>
  <si>
    <t>Trsf 17/1/24 RM2,826.00.00</t>
  </si>
  <si>
    <t>Cash 26/1/24 RM5,927.00</t>
  </si>
  <si>
    <t>Trsf 23/1/24 RM13,533.50</t>
  </si>
  <si>
    <t>MBB 015597 cleared 26/1/24 RM11,904.50</t>
  </si>
  <si>
    <t>Kelnico Sdn Bhd Total</t>
  </si>
  <si>
    <t>Berkat Fibreglass Total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</si>
  <si>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</si>
  <si>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</si>
  <si>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</si>
  <si>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</si>
  <si>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</si>
  <si>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</si>
  <si>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</si>
  <si>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</si>
  <si>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</si>
  <si>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</si>
  <si>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</si>
  <si>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</si>
  <si>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</si>
  <si>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</si>
  <si>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</si>
  <si>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</si>
  <si>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</si>
  <si>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</si>
  <si>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</si>
  <si>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C00000047</t>
  </si>
  <si>
    <t xml:space="preserve">KAD Builders Sdn Bhd </t>
  </si>
  <si>
    <t>RD Bristle Roller 4"</t>
  </si>
  <si>
    <t>INV00000807</t>
  </si>
  <si>
    <t>INV00000808</t>
  </si>
  <si>
    <t>INV00000809</t>
  </si>
  <si>
    <t>RM Pigment Super White HV (5Kg)</t>
  </si>
  <si>
    <t>INV00000810</t>
  </si>
  <si>
    <t>INV00000811</t>
  </si>
  <si>
    <t>RO CSM 450 64m(L) 1040mm(W) (37Kg)</t>
  </si>
  <si>
    <t>INV00000812</t>
  </si>
  <si>
    <t>INV00000813</t>
  </si>
  <si>
    <t>Trsf 19/1/24 RM2,000.00(RM1,658.20), 25/1/24 RM1,000.00(RM1,000.00), 1/2/24 rm1,000.00(rm905.80)</t>
  </si>
  <si>
    <t>Trsf  1/2/24 RM1,000.00(RM94.20), 10/2/24 RM1,500.00(RM748.20)</t>
  </si>
  <si>
    <t>Trsf 10/2/24 RM1,500.00(RM187.50)</t>
  </si>
  <si>
    <t>Trsf 10/2/24 RM1,500.00(RM390.00)</t>
  </si>
  <si>
    <t>Trsf 10/2/24 RM1,500.00(RM105.00)</t>
  </si>
  <si>
    <t>Trsf 10/2/24 RM1,500.00(RM69.30), 15/2/24 RM1,000.00(RM80.70)</t>
  </si>
  <si>
    <t>Trsf 15/2/24 RM1,000.00(RM420.00)</t>
  </si>
  <si>
    <t>Trsf 15/2/24 RM1,000.00(RM499.30), 18/2/24 RM1,000.00 (RM1,000.00), 20/2/24 RM1,000.00 (RM238.70)</t>
  </si>
  <si>
    <t>Trsf 20/2/24 RM1,000.00 (RM125.00)</t>
  </si>
  <si>
    <t>Trsf 20/2/24 RM1,000.00 (RM390.00)</t>
  </si>
  <si>
    <t>Trsf 22/2/24 RM1,000.00 (RM160.00)</t>
  </si>
  <si>
    <t>Trsf 20/2/24 RM1,000.00 (RM246.30), 22/2/24 RM1,000.00 (RM173.70)</t>
  </si>
  <si>
    <t>Trsf 22/2/24 RM1,000.00 (RM150.00)</t>
  </si>
  <si>
    <t>Trsf 22/2/24 RM1,000.00 (RM260.00)</t>
  </si>
  <si>
    <t>Trsf 31/1/24 RM17,000.00(RM729.40), 4/2/24 RM11,500.00(RM3,050.60)</t>
  </si>
  <si>
    <t>Trsf 4/2/24 RM11,500.00(RM380.00)</t>
  </si>
  <si>
    <t>Trsf 4/2/24 RM11,500.00(RM1,000.00)</t>
  </si>
  <si>
    <t>Trsf 4/2/24 RM11,500.00(RM312.50)</t>
  </si>
  <si>
    <t>Trsf 4/2/24 RM11,500.00(RM5,756.90), 8/2/24 RM31,200.00(RM3,153.10)</t>
  </si>
  <si>
    <t>Trsf 8/2/24 RM31,200.00(RM3,420.00)</t>
  </si>
  <si>
    <t>Trsf 8/2/24 RM31,200.00(RM1,852.20)</t>
  </si>
  <si>
    <t>Trsf 8/2/24 RM31,200.00(RM1,000.00)</t>
  </si>
  <si>
    <t>Trsf 8/2/24 RM31,200.00(RM1,782.00)</t>
  </si>
  <si>
    <t>Trsf 8/2/24 RM31,200.00(RM684.00)</t>
  </si>
  <si>
    <t>Trsf 8/2/24 RM31,200.00(RM187.50)</t>
  </si>
  <si>
    <t>Trsf 8/2/24 RM31,200.00(RM5,412.00)</t>
  </si>
  <si>
    <t>Trsf 8/2/24 RM31,200.00(RM2,280.00)</t>
  </si>
  <si>
    <t>Trsf 8/2/24 RM31,200.00(RM1,587.60)</t>
  </si>
  <si>
    <t>Trsf 8/2/24 RM31,200.00(RM380.00)</t>
  </si>
  <si>
    <t>Trsf 8/2/24 RM31,200.00(RM420.00)</t>
  </si>
  <si>
    <t>Trsf 8/2/24 RM31,200.00(RM937.50)</t>
  </si>
  <si>
    <t>Chq PBB 003002, cleared6/2/24 RM2,644.00</t>
  </si>
  <si>
    <t>Cash deposit 5/2/24 RM2,413.00</t>
  </si>
  <si>
    <t>Trsf 27/12/23 RM2,000.00(RM49.70), 2/2/24 RM2,500.00(RM388.30)</t>
  </si>
  <si>
    <t>Trsf 2/2/24 RM2,500.00(RM236.00)</t>
  </si>
  <si>
    <t>Trsf 2/2/24 RM2,500.00(RM190.00)</t>
  </si>
  <si>
    <t>Trsf 2/2/24 RM2,500.00(RM125.00)</t>
  </si>
  <si>
    <t>Trsf 2/2/24 RM2,500.00(RM834.00)</t>
  </si>
  <si>
    <t>Trsf 2/2/24 RM2,500.00(RM390.00)</t>
  </si>
  <si>
    <t>Trsf 2/2/24 RM2,500.00(RM219.00)</t>
  </si>
  <si>
    <t>Trsf 2/2/24 RM2,500.00(RM117.70), 12/2/24 RM1,000.00(RM413.30)</t>
  </si>
  <si>
    <t>Trsf 12/2/24 RM1,000.00(RM95.00)</t>
  </si>
  <si>
    <t>Trsf 12/2/24 RM1,000.00(RM250.00)</t>
  </si>
  <si>
    <t>Trsf 8/2/24 RM2,607.00</t>
  </si>
  <si>
    <t>Trsf 28/2/24 RM967.00</t>
  </si>
  <si>
    <t>Chq HL 023661 dd 28/2/24 RM6,446.00</t>
  </si>
  <si>
    <t>Trsf 19/2/24 RM12,167.00</t>
  </si>
  <si>
    <t>Cash 21//2/24 RM2,249.00</t>
  </si>
  <si>
    <t>Cash 21/2/24 RM2,236.00</t>
  </si>
  <si>
    <t>Cash 21/2/24 RM623.00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</si>
  <si>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</si>
  <si>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</si>
  <si>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</si>
  <si>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</si>
  <si>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</si>
  <si>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</si>
  <si>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</si>
  <si>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</si>
  <si>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</si>
  <si>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</si>
  <si>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</si>
  <si>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RA CSM 450 1040mm(W) (37kg)</t>
  </si>
  <si>
    <t>INV00000825</t>
  </si>
  <si>
    <t>INV00000826</t>
  </si>
  <si>
    <t>RM Pigment Grey RAL 7038 (10kg)</t>
  </si>
  <si>
    <t>INV00000827</t>
  </si>
  <si>
    <t>INV00000828</t>
  </si>
  <si>
    <t xml:space="preserve">Cash - Encik Mohammad Mongal </t>
  </si>
  <si>
    <t>INV00000829</t>
  </si>
  <si>
    <t>RM Pigment Trafic Orange RAL 2009 (5Kg)</t>
  </si>
  <si>
    <t>INV00000830</t>
  </si>
  <si>
    <t>INV00000831</t>
  </si>
  <si>
    <t>INV00000832</t>
  </si>
  <si>
    <t>INV00000833</t>
  </si>
  <si>
    <t>INV00000834</t>
  </si>
  <si>
    <t>INV00000835</t>
  </si>
  <si>
    <t>RM Fume Silica HJSIL 200 (10Kg)</t>
  </si>
  <si>
    <t>RM Silicone Rubber RTV 2628 (25kg) c/w Hardener (1kg)</t>
  </si>
  <si>
    <t>INV00000836</t>
  </si>
  <si>
    <t>INV00000837</t>
  </si>
  <si>
    <t>INV00000838</t>
  </si>
  <si>
    <t>INV00000839</t>
  </si>
  <si>
    <t>INV00000840</t>
  </si>
  <si>
    <t>INV00000841</t>
  </si>
  <si>
    <t>Chq PBB 003005, cleared1/3/24 RM2,613.50</t>
  </si>
  <si>
    <t>Chq PBB 003006, cleared21/3/24 RM2,535.00</t>
  </si>
  <si>
    <t>Trsf 2/3/24 RM1,279.80</t>
  </si>
  <si>
    <t>Trsf 8/2/24 RM31,200.00(RM8,104.10), Trsf 4/3/24 RM29,000.00(RM18,955.90)</t>
  </si>
  <si>
    <t>Trsf 4/3/24 RM29,000.00(RM10,044.10), 6/3/24 RM8,000.00(RM215.90)</t>
  </si>
  <si>
    <t>Trsf 6/3/24 RM8,000.00(RM5,821.20)</t>
  </si>
  <si>
    <t>Trsf 6/3/24 RM8,000.00(RM760.00)</t>
  </si>
  <si>
    <t>Trsf 6/3/24 RM8,000.00(RM1,202.90), 19/3/24 RM6,200.00(RM797.10)</t>
  </si>
  <si>
    <t>Trsf 19/3/24 RM6,200.00(RM187.50)</t>
  </si>
  <si>
    <t>Trsf 19/3/24 RM6,200.00(RM5,215.40), 22/3/24 RM7,000.00(RM196.60)</t>
  </si>
  <si>
    <t>Trsf 22/3/24 RM7,000.00(RM2,508.00)</t>
  </si>
  <si>
    <t>Trsf 22/3/24 RM7,000.00(RM793.80)</t>
  </si>
  <si>
    <t>Trsf 22/3/24 RM7,000.00(RM2,000.00)</t>
  </si>
  <si>
    <t>Trsf 22/3/24 RM7,000.00(RM375.00)</t>
  </si>
  <si>
    <t>Trsf 22/3/24 RM7,000.00(RM1,126.60), 26/3/24 RM10,000.00(RM9,565.40)</t>
  </si>
  <si>
    <t>Trsf 26/3/24 RM10,000.00(RM434.60), 27/3/24 RM40,000.00(RM1,140.40)</t>
  </si>
  <si>
    <t>Trsf 27/3/24 RM40,000.00(RM1,620.00)</t>
  </si>
  <si>
    <t>Trsf 27/3/24 RM40,000.00(RM2,480.00)</t>
  </si>
  <si>
    <t>Trsf 27/3/24 RM40,000.00(RM62.50)</t>
  </si>
  <si>
    <t>Trsf 27/3/24 RM40,000.00(RM50.40)</t>
  </si>
  <si>
    <t>Trsf 27/3/24 RM40,000.00(RM3,080.00)</t>
  </si>
  <si>
    <t>Trsf 27/3/24 RM40,000.00(RM1,134.00)</t>
  </si>
  <si>
    <t>Trsf 27/3/24 RM40,000.00(RM600.00)</t>
  </si>
  <si>
    <t>Trsf 27/3/24 RM40,000.00(RM380.00)</t>
  </si>
  <si>
    <t>Trsf 27/3/24 RM40,000.00(RM1,000.00)</t>
  </si>
  <si>
    <t>Trsf 27/3/24 RM40,000.00(RM187.50)</t>
  </si>
  <si>
    <t>Trsf 27/3/24 RM40,000.00(RM4,620.00)</t>
  </si>
  <si>
    <t>Trsf 27/3/24 RM40,000.00(RM1,701.00)</t>
  </si>
  <si>
    <t>Trsf 27/3/24 RM40,000.00(RM800.00)</t>
  </si>
  <si>
    <t>Trsf 27/3/24 RM40,000.00(RM3,124.00)</t>
  </si>
  <si>
    <t>Trsf 27/3/24 RM40,000.00(RM250.00)</t>
  </si>
  <si>
    <t>Trsf 27/3/24 RM40,000.00(RM125.00)</t>
  </si>
  <si>
    <t>Trsf 27/3/24 RM40,000.00(RM1,323.00)</t>
  </si>
  <si>
    <t>Trsf 19/3/24 RM11,769.00</t>
  </si>
  <si>
    <t>Trsf 22/2/24 RM1,000.00 (RM256.30), 5/3/24 RM1,000.00(RM66.20)</t>
  </si>
  <si>
    <t>Trsf 5/3/24 RM1,000.00(RM933.80), 8/3/24 RM1,000.00(RM804.20)</t>
  </si>
  <si>
    <t>Trsf 8/3/24 RM1,000.00(RM195.80), 19/3/24 RM1,000.00(RM54.20)</t>
  </si>
  <si>
    <t>Trsf 22/3/24 RM1,973.00</t>
  </si>
  <si>
    <t>Cash 11/3/24 RM2,258.00</t>
  </si>
  <si>
    <t>Cash 22/3/24 RM1,500.00(RM1,500.00), 22/3/24 RM938.00(RM128.00)</t>
  </si>
  <si>
    <t>Cash 22/3/24 RM938.00(RM420.00)</t>
  </si>
  <si>
    <t>Cash 22/3/24 RM938.00(RM280.00)</t>
  </si>
  <si>
    <t>Cash 22/3/24 RM938.00(RM110.00)</t>
  </si>
  <si>
    <t>Cash 22/3/24 RM200.00</t>
  </si>
  <si>
    <t>MBB 015744 cleared 27//24 RM8,348.50</t>
  </si>
  <si>
    <t>Cash 22/3/24 RM4,877.60</t>
  </si>
  <si>
    <t>Cash deposit 19/3/24 RM2,648.00</t>
  </si>
  <si>
    <t>KAD Builders Sdn Bhd  Total</t>
  </si>
  <si>
    <t>Cash - Encik Mohammad Mongal  Total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</si>
  <si>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</si>
  <si>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</si>
  <si>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</si>
  <si>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</si>
  <si>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</si>
  <si>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</si>
  <si>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</si>
  <si>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</si>
  <si>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</si>
  <si>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</si>
  <si>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</si>
  <si>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</si>
  <si>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</si>
  <si>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RA Honeywax 250</t>
  </si>
  <si>
    <t>INV00000855</t>
  </si>
  <si>
    <t>INV00000856</t>
  </si>
  <si>
    <t>INV00000857</t>
  </si>
  <si>
    <t>RA CSM 300 1040mm(W) (30kg)</t>
  </si>
  <si>
    <t>RA Coverall PVA (1 Gallon)</t>
  </si>
  <si>
    <t>INV00000858</t>
  </si>
  <si>
    <t>INV00000859</t>
  </si>
  <si>
    <t>RQ Talcum Powder (10Kg)    F.O.C</t>
  </si>
  <si>
    <t>INV00000860</t>
  </si>
  <si>
    <t>Trsf 27/3/24 RM40,000.00(RM3,376.20), 8/4/24 RM6,000.00(RM1,309.80)</t>
  </si>
  <si>
    <t>Trsf 8/4/24 RM6,000.00(RM1,701.00)</t>
  </si>
  <si>
    <t>Trsf 8/4/24 RM6,000.00(RM200.00)</t>
  </si>
  <si>
    <t>Trsf 8/4/24 RM6,000.00(RM125.00)</t>
  </si>
  <si>
    <t>Trsf 8/4/24 RM6,000.00(RM2,664.20), 12/4/24 RM6,000.00(RM459.80)</t>
  </si>
  <si>
    <t>Trsf 12/4/24 RM6,000.00(RM1,134.00)</t>
  </si>
  <si>
    <t>Trsf 12/4/24 RM6,000.00(RM600.00)</t>
  </si>
  <si>
    <t>Trsf 12/4/24 RM6,000.00(RM1,000.00)</t>
  </si>
  <si>
    <t>Trsf 12/4/24 RM6,000.00(RM125.00)</t>
  </si>
  <si>
    <t>Chq HL 023743 dd 9/4/24 RM6,070.80</t>
  </si>
  <si>
    <t>Trsf 19/3/24 RM1,000.00(RM945.80), 19/4/24 RM1,000.00(RM792.20)</t>
  </si>
  <si>
    <t>Trsf 19/4/24 RM1,000.00(RM207.80), 25/4/24 RM1,000.00 (RM213.40)</t>
  </si>
  <si>
    <t>Trsf 25/4/24 RM1,000.00(RM390.00)</t>
  </si>
  <si>
    <t>Trsf 18/4/24 RM14,003.50</t>
  </si>
  <si>
    <t>Chq PBB 003007, cleared22/4/24 RM2,561.00</t>
  </si>
  <si>
    <t>Trsf 29/4/24 RM659.00</t>
  </si>
  <si>
    <t>Cash 29/4/24 RM3,087.80</t>
  </si>
  <si>
    <t>Cash 26/4/24 RM2,130.00</t>
  </si>
  <si>
    <t>C00000048</t>
  </si>
  <si>
    <t>INV00000861</t>
  </si>
  <si>
    <t>INV00000862</t>
  </si>
  <si>
    <t>INV00000863</t>
  </si>
  <si>
    <t>INV00000864</t>
  </si>
  <si>
    <t>RM Resin 3317W (220Kg)</t>
  </si>
  <si>
    <t>INV00000865</t>
  </si>
  <si>
    <t>INV00000866</t>
  </si>
  <si>
    <t>RM Resin 3338W (220Kg)</t>
  </si>
  <si>
    <t>RM CSM 300 64m(L) X 1860mm(W) (54kg)</t>
  </si>
  <si>
    <t>INV00000867</t>
  </si>
  <si>
    <t>RM Pigment Paste Petronas Green H4 (5kg)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</si>
  <si>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</si>
  <si>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</si>
  <si>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</si>
  <si>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</si>
  <si>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</si>
  <si>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</si>
  <si>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</si>
  <si>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</si>
  <si>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</si>
  <si>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</si>
  <si>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</si>
  <si>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RA CSM 450 1040mm (30kg)</t>
  </si>
  <si>
    <t>RC Woven Roving E-600 1000mm (40Kg)</t>
  </si>
  <si>
    <t>INV00000879</t>
  </si>
  <si>
    <t>RM PIgment Sapphire Blue B10 (5kg)</t>
  </si>
  <si>
    <t>RM CSM 300 1040mm (30Kg)</t>
  </si>
  <si>
    <t>INV00000880</t>
  </si>
  <si>
    <t>INV00000881</t>
  </si>
  <si>
    <t>INV00000882</t>
  </si>
  <si>
    <t>RA CSM 450 1040mm (30Kg)</t>
  </si>
  <si>
    <t>Chq PBB 003008, cleared2/5/24 RM2,818.50</t>
  </si>
  <si>
    <t>Trsf 12/4/24 RM6,000.00(RM2,681.20), 26/4/24 RM18,000.00(RM442.80)</t>
  </si>
  <si>
    <t>Trsf 3/5/24 RM19,000.00(RM600.00)</t>
  </si>
  <si>
    <t>Trsf 26/4/24 RM18,000.00(RM1,134.00)</t>
  </si>
  <si>
    <t>Trsf 26/4/24 RM18,000.00(RM600.00)</t>
  </si>
  <si>
    <t>Trsf 26/4/24 RM18,000.00(RM125.00)</t>
  </si>
  <si>
    <t>Trsf 26/4/24 RM18,000.00(RM3,212.00)</t>
  </si>
  <si>
    <t>Trsf 26/4/24 RM18,000.00(RM400.00)</t>
  </si>
  <si>
    <t>Trsf 26/4/24 RM18,000.00(RM1,000.00)</t>
  </si>
  <si>
    <t>Trsf 26/4/24 RM18,000.00(RM544.20), 3/5/24 RM19,000.00(RM589.80)</t>
  </si>
  <si>
    <t>Trsf 3/5/24 RM19,000.00(RM380.00)</t>
  </si>
  <si>
    <t>Trsf 3/5/24 RM19,000.00(RM125.00)</t>
  </si>
  <si>
    <t>Trsf 3/5/24 RM19,000.00(RM3,212.00)</t>
  </si>
  <si>
    <t>Trsf 3/5/24 RM19,000.00(RM1,000.00)</t>
  </si>
  <si>
    <t>Trsf 3/5/24 RM19,000.00(RM1,890.00)</t>
  </si>
  <si>
    <t>Trsf 3/5/24 RM19,000.00(RM400.00)</t>
  </si>
  <si>
    <t>Trsf 3/5/24 RM19,000.00(RM1,134.00)</t>
  </si>
  <si>
    <t>Trsf 3/5/24 RM19,000.00(RM500.00)</t>
  </si>
  <si>
    <t>Trsf 3/5/24 RM19,000.00(RM4,852.20), 8/5/24 RM21,600.00(RM7,995.80)</t>
  </si>
  <si>
    <t>Trsf 8/5/24 RM21,600.00(RM4,536.00)</t>
  </si>
  <si>
    <t>Trsf 8/5/24 RM21,600.00(RM2,808.00)</t>
  </si>
  <si>
    <t>Trsf 8/5/24 RM21,600.00(RM1,000.00)</t>
  </si>
  <si>
    <t>Trsf 8/5/24 RM21,600.00(RM380.00)</t>
  </si>
  <si>
    <t>Trsf 8/5/24 RM21,600.00(RM312.50)</t>
  </si>
  <si>
    <t>Trsf 8/5/24 RM21,600.00(RM4,567.70), 20/5/24 RM19,000.00(RM3,462.30)</t>
  </si>
  <si>
    <t>Trsf 20/5/24 RM19,000.00(RM2,835.00)</t>
  </si>
  <si>
    <t>Trsf 20/5/24 RM19,000.00(RM1,872.00)</t>
  </si>
  <si>
    <t>Trsf 20/5/24 RM19,000.00(RM1,000.00)</t>
  </si>
  <si>
    <t>Trsf 20/5/24 RM19,000.00(RM380.00)</t>
  </si>
  <si>
    <t>Trsf 20/5/24 RM19,000.00(RM125.00)</t>
  </si>
  <si>
    <t>Trsf 20/5/24 RM19,000.00(RM3,256.00)</t>
  </si>
  <si>
    <t>Trsf 20/5/24 RM19,000.00(RM1,080.00)</t>
  </si>
  <si>
    <t>Trsf 20/5/24 RM19,000.00(RM702.00)</t>
  </si>
  <si>
    <t>Trsf 20/5/24 RM19,000.00(RM250.00)</t>
  </si>
  <si>
    <t>Trsf 20/5/24 RM19,000.00(RM360.00)</t>
  </si>
  <si>
    <t>Trsf 20/5/24 RM19,000.00(RM900.00)</t>
  </si>
  <si>
    <t>Trsf 20/5/24 RM19,000.00(RM312.50)</t>
  </si>
  <si>
    <t>Trsf 20/5/24 RM19,000.00(RM1,340.20), 27/5/24 RM15,000.00(RM6,799.80</t>
  </si>
  <si>
    <t>Trsf 27/5/24 RM15,000.00(RM2,700.00)</t>
  </si>
  <si>
    <t>Trsf 27/5/24 RM15,000.00(RM1,638.00)</t>
  </si>
  <si>
    <t>Trsf 27/5/24 RM15,000.00(RM1,800.00)</t>
  </si>
  <si>
    <t>Trsf 27/5/24 RM15,000.00(RM380.00)</t>
  </si>
  <si>
    <t>Trsf 27/5/24 RM15,000.00(RM1,682.20), 28/5/24 RM1,500.00(RM1,017.80)</t>
  </si>
  <si>
    <t xml:space="preserve">Trsf 28/5/24 RM1,500.00(RM250.00), </t>
  </si>
  <si>
    <t>Trsf 27/5/24 RM13,692.40</t>
  </si>
  <si>
    <t>Cash 6/5/24 RM2,070.00</t>
  </si>
  <si>
    <t>Cash 30/5/24 RM2,412.00</t>
  </si>
  <si>
    <t>Cash 14/5/24 RM443.80</t>
  </si>
  <si>
    <t>Cash 29/5/24 RM3,373.80</t>
  </si>
  <si>
    <t>Trsf 12/2/24 RM1,000.00(RM241.70), 8/3/24 RM1,000.00, 18/5/24 RM1,000.00(RM490.80)</t>
  </si>
  <si>
    <t>Trsf 18/5/24 RM1,000.00(RM321.50)</t>
  </si>
  <si>
    <t>Cash 29/5/24 RM723.00</t>
  </si>
  <si>
    <t>Chq PBB 003009, cleared27/5/24 RM2,508.00</t>
  </si>
  <si>
    <t>Chq HL 024885 dd 27/5/24 RM6,290.80</t>
  </si>
  <si>
    <t>Trsf 25/4/24 RM1,000.00(RM396.60), 19/5/24 RM1,500.00(RM1,341.40)</t>
  </si>
  <si>
    <t>INV00000883</t>
  </si>
  <si>
    <t>RQ Talcum Powder (25kg)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</si>
  <si>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</si>
  <si>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</si>
  <si>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</si>
  <si>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</si>
  <si>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</si>
  <si>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</si>
  <si>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</si>
  <si>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</si>
  <si>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</si>
  <si>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</si>
  <si>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RQ Talcum Powder (25Kg)</t>
  </si>
  <si>
    <t>INV00000894</t>
  </si>
  <si>
    <t>INV00000895</t>
  </si>
  <si>
    <t>INV00000896</t>
  </si>
  <si>
    <t>INV00000897</t>
  </si>
  <si>
    <t>RM Catalyst measuring Instrument 555</t>
  </si>
  <si>
    <t xml:space="preserve">RM Steel Roller 4" </t>
  </si>
  <si>
    <t>RM Steel Roller 8"</t>
  </si>
  <si>
    <t>INV00000898</t>
  </si>
  <si>
    <t>C00000050</t>
  </si>
  <si>
    <t>YL Professional Fiber Trading</t>
  </si>
  <si>
    <t>INV00000899</t>
  </si>
  <si>
    <t>INV00000900</t>
  </si>
  <si>
    <t>INV00000901</t>
  </si>
  <si>
    <t>INV00000902</t>
  </si>
  <si>
    <t xml:space="preserve">RM Pigment Orange RAL 2009 (5kg) </t>
  </si>
  <si>
    <t>INV00000903</t>
  </si>
  <si>
    <t>C00000051</t>
  </si>
  <si>
    <t>INV00000904</t>
  </si>
  <si>
    <t>INV00000905</t>
  </si>
  <si>
    <t>Trsf 21/6/24 RM12,797.00</t>
  </si>
  <si>
    <t>YL Professional Fiber Trading Total</t>
  </si>
  <si>
    <t>Chq PBB 003011, cleared4/6/24 RM3,449.00</t>
  </si>
  <si>
    <t>Chq PBB 003013, cleared24/6/24 RM2,700.50</t>
  </si>
  <si>
    <t>Chq PBB 072001, cleared27/6/24 RM2,392.50</t>
  </si>
  <si>
    <t>MBB 015865 cleared 4/6/24 RM7,479.60</t>
  </si>
  <si>
    <t>Cash 5/6/24 RM2,090.00</t>
  </si>
  <si>
    <t>Cash 5/6/24 RM283.80</t>
  </si>
  <si>
    <t>Trsf 28/5/24 RM1,500.00(RM232.20), 31/5/24 RM3,500.00(RM3,500.00), 5/6/24 RM16,500.00(RM2,779.80)</t>
  </si>
  <si>
    <t>Trsf 5/6/24 RM16,500.00(RM1,404.00)</t>
  </si>
  <si>
    <t>Trsf 5/6/24 RM16,500.00(RM1,000.00)</t>
  </si>
  <si>
    <t>Trsf 5/6/24 RM16,500.00(RM187.50)</t>
  </si>
  <si>
    <t>Trsf 5/6/24 RM16,500.00(RM4,884.00)</t>
  </si>
  <si>
    <t>Trsf 5/6/24 RM16,500.00(RM1,620.00)</t>
  </si>
  <si>
    <t>Trsf 5/6/24 RM16,500.00(RM936.00)</t>
  </si>
  <si>
    <t>Trsf 5/6/24 RM16,500.00(RM437.50)</t>
  </si>
  <si>
    <t>Trsf 13/6/24 RM27,000.00(RM3,828.00)</t>
  </si>
  <si>
    <t>Trsf 13/6/24 RM27,000.00(RM2,574.00)</t>
  </si>
  <si>
    <t>Trsf 13/6/24 RM27,000.00(RM1,000.00)</t>
  </si>
  <si>
    <t>Trsf 13/6/24 RM27,000.00(RM380.00)</t>
  </si>
  <si>
    <t>Trsf 13/6/24 RM27,000.00(RM125.00)</t>
  </si>
  <si>
    <t>Trsf 13/6/24 RM27,000.00(RM3,212.00)</t>
  </si>
  <si>
    <t>Trsf 13/6/24 RM27,000.00(RM1,287.60)</t>
  </si>
  <si>
    <t>Trsf 13/6/24 RM27,000.00(RM702.00)</t>
  </si>
  <si>
    <t>Trsf 13/6/24 RM27,000.00(RM62.50)</t>
  </si>
  <si>
    <t>Trsf 13/6/24 RM27,000.00(RM1,606.00)</t>
  </si>
  <si>
    <t>Trsf 13/6/24 RM27,000.00(RM643.80)</t>
  </si>
  <si>
    <t>Trsf 13/6/24 RM27,000.00(RM468.00)</t>
  </si>
  <si>
    <t>Trsf 24/6/24 RM19,000.00(RM3,212.00)</t>
  </si>
  <si>
    <t>Trsf 24/6/24 RM19,000.00(RM4,818.00)</t>
  </si>
  <si>
    <t>Trsf 24/6/24 RM19,000.00(RM1,931.40)</t>
  </si>
  <si>
    <t>Trsf 24/6/24 RM19,000.00(RM936.00)</t>
  </si>
  <si>
    <t>Trsf 24/6/24 RM19,000.00(RM1,000.00)</t>
  </si>
  <si>
    <t>Trsf 24/6/24 RM19,000.00(RM380.00)</t>
  </si>
  <si>
    <t>Trsf 24/6/24 RM19,000.00(RM125.00)</t>
  </si>
  <si>
    <t>Trsf 27/6/24 RM23,000.00(RM380.00)</t>
  </si>
  <si>
    <t>Trsf 27/6/24 RM23,000.00(RM125.00)</t>
  </si>
  <si>
    <t>Trsf 27/6/24 RM23,000.00(RM702.00)</t>
  </si>
  <si>
    <t>Trsf 27/6/24 RM23,000.00(RM250.00)</t>
  </si>
  <si>
    <t>Trsf 27/6/24 RM23,000.00(RM2,088.00)</t>
  </si>
  <si>
    <t>Trsf 27/6/24 RM23,000.00(RM1,170.00)</t>
  </si>
  <si>
    <t>Trsf 27/6/24 RM23,000.00(RM6,424.00)</t>
  </si>
  <si>
    <t>Trsf 5/6/24 RM16,500.00(RM2,251.20), 12/6/24 RM6,500.00(RM6,500.00), 13/6/24 RM27,000.00(RM2,490.80)</t>
  </si>
  <si>
    <t>Trsf 13/6/24 RM27,000.00(RM187.50)</t>
  </si>
  <si>
    <t>Trsf 13/6/24 RM27,000.00(RM3,095.80), 24/6/24 RM19,000.00(RM1,722.20)</t>
  </si>
  <si>
    <t>Trsf 24/6/24 RM19,000.00(RM187.50</t>
  </si>
  <si>
    <t>Trsf 24/6/24 RM19,000.00(RM870.00)</t>
  </si>
  <si>
    <t>Trsf 24/6/24 RM19,000.00(RM702.00)</t>
  </si>
  <si>
    <t>Trsf 24/6/24 RM19,000.00(RM248.50, 27/6/24 RM23,000.00(RM1.50)</t>
  </si>
  <si>
    <t>Trsf 27/6/24 RM23,000.00(RM3,219.00)</t>
  </si>
  <si>
    <t>Trsf 30/5/24 RM3,000.00(RM3,000.00), 6/6/24 RM1,843.80(RM476.00)</t>
  </si>
  <si>
    <t>Trsf 6/6/24 RM1,843.80(RM405.00)</t>
  </si>
  <si>
    <t>Trsf 6/6/24 RM1,843.80(RM220.00)</t>
  </si>
  <si>
    <t>Trsf 6/6/24 RM1,843.80(RM567.60)</t>
  </si>
  <si>
    <t>Trsf 6/6/24 RM1,843.80(RM120.00)</t>
  </si>
  <si>
    <t>Trsf 6/6/24 RM1,843.80(RM55.20)</t>
  </si>
  <si>
    <t>Trsf 19/5/24 RM1,500.00(RM158.60), 27/5/24 RM1,500.00(RM1,500.00), 7/6/24 RM2,000.00(RM79.40)</t>
  </si>
  <si>
    <t>Trsf 7/6/24 RM2,000.00(RM522.60)</t>
  </si>
  <si>
    <t>Trsf 7/6/24 RM2,000.00(RM250.00)</t>
  </si>
  <si>
    <t>Trsf 7/6/24 RM2,000.00(RM105.00)</t>
  </si>
  <si>
    <t>Trsf 7/6/24 RM2,000.00(RM390.00)</t>
  </si>
  <si>
    <t>Trsf 7/6/24 RM2,000.00(RM322.50)</t>
  </si>
  <si>
    <t>DOB Engineering Solutions</t>
  </si>
  <si>
    <t>C00000049</t>
  </si>
  <si>
    <t>Trsf 20/6/24 RM12,896.00</t>
  </si>
  <si>
    <t>Cash deposit 26/6/24 RM4,151.00</t>
  </si>
  <si>
    <t>Cash 28/6/24 RM755.00</t>
  </si>
  <si>
    <t>DOB Engineering Solutions Total</t>
  </si>
  <si>
    <t>Cash - Mr Wong</t>
  </si>
  <si>
    <t>RM Nor 3338W (25Kg)</t>
  </si>
  <si>
    <t>RD Brush 3"</t>
  </si>
  <si>
    <t>RM Cobalt 5% (4kg)</t>
  </si>
  <si>
    <t>RM Honeycomb 19mm - 1220(W) x 2440(L)</t>
  </si>
  <si>
    <t>RM Pigment Paste Riviera Blue B5 (4Kg)</t>
  </si>
  <si>
    <t>Cash - Shikh House of Design</t>
  </si>
  <si>
    <t>RM Epoxy Resin (25kg)</t>
  </si>
  <si>
    <t>RM TR104 Wax Mould Release (12 Can)</t>
  </si>
  <si>
    <t xml:space="preserve">RM Pigment Orange RAL 2009 (7kg) </t>
  </si>
  <si>
    <t>RM Pigment Paste Riviera Blue B5 (25Kg)</t>
  </si>
  <si>
    <t>RA Wax Solution</t>
  </si>
  <si>
    <t>INV00000906</t>
  </si>
  <si>
    <t>C00000052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</si>
  <si>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</si>
  <si>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</si>
  <si>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</si>
  <si>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</si>
  <si>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</si>
  <si>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</si>
  <si>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</si>
  <si>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</si>
  <si>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</si>
  <si>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</si>
  <si>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</si>
  <si>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</si>
  <si>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</si>
  <si>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</si>
  <si>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</si>
  <si>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</si>
  <si>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</si>
  <si>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</si>
  <si>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</si>
  <si>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</si>
  <si>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</si>
  <si>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</si>
  <si>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</si>
  <si>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</si>
  <si>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</si>
  <si>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</si>
  <si>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</si>
  <si>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C00000053</t>
  </si>
  <si>
    <t>Trsf 7/6/24 RM2,000.00(RM330.50), 22/6/24 RM1,400.00(RM1,400.00), 1/7/24 RM1,000.00(RM7.50)</t>
  </si>
  <si>
    <t>Trsf 1/7/24 RM1,000.00(RM390.00)</t>
  </si>
  <si>
    <t>Trsf 1/7/24 RM1,000.00(RM420.00)</t>
  </si>
  <si>
    <t>Trsf 1/7/24 RM1,000.00(RM182.50), 3/7/24 RM1,000.00(RM238.70)</t>
  </si>
  <si>
    <t>Trsf 3/7/24 RM1,000.00(RM</t>
  </si>
  <si>
    <t>Trsf 3/7/24 RM1,000.00(RM406.30), 23/7/24 RM2,000.00(RM1,397.70)</t>
  </si>
  <si>
    <t>Trsf 23/7/24 RM2,000.00(RM390.00)</t>
  </si>
  <si>
    <t>Trsf 1/7/24 RM1,131.50</t>
  </si>
  <si>
    <t>Trsf 3/7/24 RM375.00</t>
  </si>
  <si>
    <t>Trsf 25/7/24 RM1,500.00, 26/7/24 RM260.00</t>
  </si>
  <si>
    <t>Bank Islam 164748 Cleared 4/10/23, RM10,000.00(RM196.90), Bank Islam 170269 Cleared 4/7/24 RM5,000.00(RM1.909.10)</t>
  </si>
  <si>
    <t>Bank Islam 170269 Cleared 4/7/24 RM5,000.00(RM260.00)</t>
  </si>
  <si>
    <t>Bank Islam 170269 Cleared 4/7/24 RM5,000.00(RM640.00)</t>
  </si>
  <si>
    <t>Bank Islam 170269 Cleared 4/7/24 RM5,000.00(RM380.00)</t>
  </si>
  <si>
    <t>Bank Islam 170269 Cleared 4/7/24 RM5,000.00(RM540.00)</t>
  </si>
  <si>
    <t>Bank Islam 170269 Cleared 4/7/24 RM5,000.00(RM1,270.00)</t>
  </si>
  <si>
    <t>Bank Islam 170269 Cleared 4/7/24 RM5,000.00(RM0.90), Bank Islam 170277 Cleared 29/7/2429/7/24 RM5,000.00(RM1,058.60)</t>
  </si>
  <si>
    <t>Bank Islam 170277 Cleared 29/7/2429/7/24 RM5,000.00(RM3,78.40)</t>
  </si>
  <si>
    <t>Trsf 24/7/24 RM43,000.00(RM2,610.00)</t>
  </si>
  <si>
    <t>Trsf 24/7/24 RM43,000.00(RM2,106.00)</t>
  </si>
  <si>
    <t>Trsf 24/7/24 RM43,000.00(RM187.50)</t>
  </si>
  <si>
    <t>Trsf 24/7/24 RM43,000.00(RM208.00)</t>
  </si>
  <si>
    <t>Trsf 24/7/24 RM43,000.00(RM380.00)</t>
  </si>
  <si>
    <t>Trsf 24/7/24 RM43,000.00(RM1,000.00)</t>
  </si>
  <si>
    <t>Trsf 24/7/24 RM43,000.00(RM9,636.00)</t>
  </si>
  <si>
    <t>Trsf 24/7/24 RM43,000.00(RM1,073.00)</t>
  </si>
  <si>
    <t>Trsf 24/7/24 RM43,000.00(RM1,740.00)</t>
  </si>
  <si>
    <t>Trsf 24/7/24 RM43,000.00(RM1,638.00)</t>
  </si>
  <si>
    <t>Trsf 24/7/24 RM43,000.00(RM375.00)</t>
  </si>
  <si>
    <t>Trsf 24/7/24 RM43,000.00(RM3,132.00)</t>
  </si>
  <si>
    <t>Trsf 24/7/24 RM43,000.00(RM1,872.00)</t>
  </si>
  <si>
    <t>Trsf 5/7/24 RM37,000.00(RM1,502.20)</t>
  </si>
  <si>
    <t>Trsf 5/7/24 RM37,000.00(RM936.00)</t>
  </si>
  <si>
    <t>Trsf 5/7/24 RM37,000.00(RM1,000.00)</t>
  </si>
  <si>
    <t>Trsf 5/7/24 RM37,000.00(RM250.00)</t>
  </si>
  <si>
    <t>Trsf 5/7/24 RM37,000.00(RM6,424.00)</t>
  </si>
  <si>
    <t>Trsf 5/7/24 RM37,000.00(RM2,331.60)</t>
  </si>
  <si>
    <t>Trsf 5/7/24 RM37,000.00(RM1,404.00)</t>
  </si>
  <si>
    <t>Trsf 5/7/24 RM37,000.00(RM380.00)</t>
  </si>
  <si>
    <t>Trsf 5/7/24 RM37,000.00(RM2,575.20)</t>
  </si>
  <si>
    <t>Trsf 5/7/24 RM37,000.00(RM312.50)</t>
  </si>
  <si>
    <t>Trsf 5/7/24 RM37,000.00(RM8,030.00)</t>
  </si>
  <si>
    <t>Trsf 5/7/24 RM37,000.00(RM1,401.00), 11/9/24 RM7,000.00(RM1,404.00)</t>
  </si>
  <si>
    <t>Trsf 11/7/24 RM7,000.00(RM513.00)</t>
  </si>
  <si>
    <t>Trsf 11/7/24 RM7,000.00(RM1,000.00)</t>
  </si>
  <si>
    <t>Trsf 11/7/24 RM7,000.00(RM625.00)</t>
  </si>
  <si>
    <t>Trsf 11/7/24 RM7,000.00(RM3,458.00), 24/7/24 RM43,000.00(RM4,572.00)</t>
  </si>
  <si>
    <t>Trsf 27/6/24 RM23,000.00(RM2,216.50), 5/7/24 RM37,000.00(RM995.50)</t>
  </si>
  <si>
    <t>Cash 7/7/24 RM1,086.00</t>
  </si>
  <si>
    <t xml:space="preserve">Trsf 6/7/24 RM1,500.00, Cash 7/7/24 RM632.00 </t>
  </si>
  <si>
    <t>Trsf 18/5/24 RM1,000.00(RM196.70), 15/7/24 RM1,000.00(RM498.30)</t>
  </si>
  <si>
    <t>Trsf 15/7/24 RM1,000.00(RM501.70)</t>
  </si>
  <si>
    <t>Trsf 15/7/24 RM625.00</t>
  </si>
  <si>
    <t>RHB 000843 15/5/24 Cleared RM2,018.00</t>
  </si>
  <si>
    <t>RHB 000858 24/5/24 Cleared RM958.00</t>
  </si>
  <si>
    <t>RHB 000881 15/7/24 Cleared RM1,000.00(RM1,000.00), RHB 000882 24/7/24 Cleared RM958.00(RM738.00)</t>
  </si>
  <si>
    <t>RHB 000882 24/7/24 Cleared RM958.00(RM220.00)</t>
  </si>
  <si>
    <t>RHB 000890 24/7/24 Cleared RM130.00</t>
  </si>
  <si>
    <t>Chq PBB 072003, cleared19/7/24 RM2,722.50</t>
  </si>
  <si>
    <t>Chq PBB 072004, cleared26/7/24 RM2,985.00</t>
  </si>
  <si>
    <t>Trsf 29/7/24 RM30,309.00</t>
  </si>
  <si>
    <t>Cash deposit 30/7/24 RM5,577.00</t>
  </si>
  <si>
    <t>Cash - Mr Wong Total</t>
  </si>
  <si>
    <t>Cash - Shikh House of Design Total</t>
  </si>
  <si>
    <t>INV00000934</t>
  </si>
  <si>
    <t>INV00000935</t>
  </si>
  <si>
    <t>INV00000936</t>
  </si>
  <si>
    <t>RM Pigment Pearl Grey G1 (5Kg)</t>
  </si>
  <si>
    <t>INV00000937</t>
  </si>
  <si>
    <t>INV00000938</t>
  </si>
  <si>
    <t>INV00000939</t>
  </si>
  <si>
    <t>INV00000940</t>
  </si>
  <si>
    <t>INV00000941</t>
  </si>
  <si>
    <t>RM Resin 3338W (25Kg)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</si>
  <si>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</si>
  <si>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</si>
  <si>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</si>
  <si>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</si>
  <si>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</si>
  <si>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</si>
  <si>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</si>
  <si>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</si>
  <si>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</si>
  <si>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RM Pigment Paste Ice Blue B1 (5kg)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</si>
  <si>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</si>
  <si>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</si>
  <si>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</si>
  <si>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</si>
  <si>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</si>
  <si>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</si>
  <si>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</si>
  <si>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</si>
  <si>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</si>
  <si>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RM Pigment Paste Tangerine Y12 (5Kg)</t>
  </si>
  <si>
    <t>INV00000960</t>
  </si>
  <si>
    <t>RM Pigment Dark Grey (5Kg)</t>
  </si>
  <si>
    <t>INV00000961</t>
  </si>
  <si>
    <t>INV00000962</t>
  </si>
  <si>
    <t>INV00000963</t>
  </si>
  <si>
    <t>INV00000964</t>
  </si>
  <si>
    <t>RM PIgment Sapphire Blue B10 (20kg)</t>
  </si>
  <si>
    <t>Chq HL 024819 dd 2/8/24 RM5,884.40</t>
  </si>
  <si>
    <t>MBB 015996 cleared 5/8/24 RM6,674.90</t>
  </si>
  <si>
    <t>Chq PBB 072005, cleared 5/8/24 RM2,722.50</t>
  </si>
  <si>
    <t>Chq PBB 072006, cleared 15/8/24 RM2,687.50</t>
  </si>
  <si>
    <t>Trsf 6/8/24 RM1,185.00</t>
  </si>
  <si>
    <t>Trsf 7/12/23 RM4,100.00(RM1,644.80), 6/8/24 RM3,970.00(RM1,955.20)</t>
  </si>
  <si>
    <t>Trsf 6/8/24 RM3,970.00(RM702.00)</t>
  </si>
  <si>
    <t>Trsf 6/8/24 RM3,970.00(RM234.00)</t>
  </si>
  <si>
    <t>Trsf 6/8/24 RM3,970.00(RM250.00)</t>
  </si>
  <si>
    <t>Trsf 6/8/24 RM3,970.00(RM175.00)</t>
  </si>
  <si>
    <t>Trsf 8/8/24 RM4,000.00(RM468.00)</t>
  </si>
  <si>
    <t>Trsf 6/8/24 RM3,970.00(RM653.80), 8/8/24 RM4,000.00(RM2,946.20)</t>
  </si>
  <si>
    <t>Trsf 8/8/24 RM4,000.00(RM234.00)</t>
  </si>
  <si>
    <t>Trsf 8/8/24 RM4,000.00(RM110.00)</t>
  </si>
  <si>
    <t>Trsf 6/8/24 RM2,878.00</t>
  </si>
  <si>
    <t>Bank Islam 170277 Cleared 29/7/24 RM5,000.00(RM157.40), Bank Islam 170293 Cleared 21/8/24 RM5,000.00(RM1,690.60)</t>
  </si>
  <si>
    <t>Bank Islam 170293 Cleared 21/8/24 RM5,000.00(RM508.00)</t>
  </si>
  <si>
    <t>Bank Islam 170293 Cleared 21/8/24 RM5,000.00(RM160.00)</t>
  </si>
  <si>
    <t>Trsf 13/8/24 RM2,143.00</t>
  </si>
  <si>
    <t>Trsf 24/7/24 RM43,000.00(RM1,267.00), 6/8/24 RM25,000.00(RM3,551.00)</t>
  </si>
  <si>
    <t>Trsf 6/8/24 RM25,000.00(RM1,044.00)</t>
  </si>
  <si>
    <t>Trsf 6/8/24 RM25,000.00(RM702.00)</t>
  </si>
  <si>
    <t>Trsf 6/8/24 RM25,000.00(RM375.00)</t>
  </si>
  <si>
    <t>Trsf 6/8/24 RM25,000.00(RM9,636.00)</t>
  </si>
  <si>
    <t>Trsf 6/8/24 RM25,000.00(RM1,740.00)</t>
  </si>
  <si>
    <t>Trsf 6/8/24 RM25,000.00(RM1,716.80)</t>
  </si>
  <si>
    <t>Trsf 6/8/24 RM25,000.00(RM1,638.00)</t>
  </si>
  <si>
    <t>Trsf 6/8/24 RM25,000.00(RM416.00)</t>
  </si>
  <si>
    <t>Trsf 6/8/24 RM25,000.00(RM1,000.00)</t>
  </si>
  <si>
    <t>Trsf 6/8/24 RM25,000.00(RM187.50)</t>
  </si>
  <si>
    <t>Trsf 6/8/24 RM25,000.00(RM2,993.70), 15/8/24 RM10,000.00(RM1,824.30)</t>
  </si>
  <si>
    <t>Trsf 15/8/24 RM10,000.00(RM174.00)</t>
  </si>
  <si>
    <t>Trsf 15/8/24 RM10,000.00(RM1,716.80)</t>
  </si>
  <si>
    <t>Trsf 15/8/24 RM10,000.00(RM1,040.00)</t>
  </si>
  <si>
    <t>Trsf 15/8/24 RM10,000.00(RM1,800.00)</t>
  </si>
  <si>
    <t>Trsf 15/8/24 RM10,000.00(RM380.00)</t>
  </si>
  <si>
    <t>Trsf 15/8/24 RM10,000.00(RM1,000.00</t>
  </si>
  <si>
    <t>Trsf 15/8/24 RM10,000.00(RM812.50)</t>
  </si>
  <si>
    <t>Trsf 15/8/24 RM10,000.00(RM1,252,40), 20/8/24 RM7,000.00, 20/10/24 RM10,000.00, 28/8/24 RM10,200.00(RM1,019.60)</t>
  </si>
  <si>
    <t>Trsf 28/8/24 RM10,200.00(RM5,742.00)</t>
  </si>
  <si>
    <t>Trsf 28/8/24 RM10,200.00(RM3,438.40), 30/8/24 RM12,000.00(RM1,475.60)</t>
  </si>
  <si>
    <t>Trsf 30/8/24 RM12,000.00(RM380.00)</t>
  </si>
  <si>
    <t>Trsf 30/8/24 RM12,000.00(RM125.00)</t>
  </si>
  <si>
    <t>Trsf 30/8/24 RM12,000.00(RM3,212.00)</t>
  </si>
  <si>
    <t>Trsf 30/8/24 RM12,000.00(RM2,610.00)</t>
  </si>
  <si>
    <t>Trsf 30/8/24 RM12,000.00(RM468.00)</t>
  </si>
  <si>
    <t>Trsf 30/8/24 RM12,000.00(RM900.00)</t>
  </si>
  <si>
    <t>Trsf 30/8/24 RM12,000.00(RM110.00)</t>
  </si>
  <si>
    <t>Trsf 30/8/24 RM12,000.00(RM437.50)</t>
  </si>
  <si>
    <t>Cash 26/8/24 RM207.00</t>
  </si>
  <si>
    <t>Trsf 29/8/24 RM30,616.50</t>
  </si>
  <si>
    <t>Cash - Hamdan</t>
  </si>
  <si>
    <t>Cash - Encik Razzak</t>
  </si>
  <si>
    <t>Cash - Hamdan Total</t>
  </si>
  <si>
    <t>Cash - Encik Razzak Total</t>
  </si>
  <si>
    <t>2024 Total</t>
  </si>
  <si>
    <t>Trsf 23/7/24 RM2,000.00(RM212.30), 14/8/24 RM1,000.00(RM208.90)</t>
  </si>
  <si>
    <t>Trsf 14/8/24 RM1,000.00(RM791.10), 23/8/24 RM1,000.00(RM946.90)</t>
  </si>
  <si>
    <t>INV00000965</t>
  </si>
  <si>
    <t>INV00000966</t>
  </si>
  <si>
    <t>INV00000967</t>
  </si>
  <si>
    <t>INV00000968</t>
  </si>
  <si>
    <t>Cash - Jamid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</si>
  <si>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</si>
  <si>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</si>
  <si>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</si>
  <si>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</si>
  <si>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</si>
  <si>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</si>
  <si>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</si>
  <si>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</si>
  <si>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</si>
  <si>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</si>
  <si>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</si>
  <si>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RA Resin 268W (225Kg)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</si>
  <si>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</si>
  <si>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</si>
  <si>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</si>
  <si>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</si>
  <si>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</si>
  <si>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</si>
  <si>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</si>
  <si>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</si>
  <si>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Trsf 6/9/24 RM2,665.50</t>
  </si>
  <si>
    <t>Trsf 3/9/24 RM530.00</t>
  </si>
  <si>
    <r>
      <rPr>
        <b/>
        <sz val="12"/>
        <color rgb="FF0070C0"/>
        <rFont val="Calibri"/>
        <family val="2"/>
        <scheme val="minor"/>
      </rPr>
      <t>Trsf 3/9/24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</si>
  <si>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C00000054</t>
  </si>
  <si>
    <t>Trsf 24/9/24 RM2,064.50</t>
  </si>
  <si>
    <t>Trsf 7/9/24 RM200.00, 24/9/24 RM2,064.50</t>
  </si>
  <si>
    <t>Trsf 30/9/24 RM420.00</t>
  </si>
  <si>
    <t>Bank Islam 170293 Cleared 21/8/24 RM5,000.00(RM2,641.40), Bank Islam 170298 Cleared 9/9/24 RM5,000.00(RM834.60)</t>
  </si>
  <si>
    <t>Bank Islam 170298 Cleared 9/9/24 RM5,000.00(RM281.60)</t>
  </si>
  <si>
    <t>Bank Islam 170298 Cleared 9/9/24 RM5,000.00(RM170.00)</t>
  </si>
  <si>
    <t>Bank Islam 170298 Cleared 9/9/24 RM5,000.00(RM1,059.50)</t>
  </si>
  <si>
    <t>Trsf 23/8/24 RM1,000.00(RM53.10), 31/8/24 RM1,500.00(RM1,500.00), 11/9/24 RM700.00(RM184.90)</t>
  </si>
  <si>
    <t>Trsf 11/9/24 RM700.00(RM184.90)</t>
  </si>
  <si>
    <t>Trsf 11/9/24 RM700.00(RM110.10), 26/9/24 RM2,000.00(RM77.40)</t>
  </si>
  <si>
    <t>Trsf 26/9/24 RM2,000.00(RM105.00)</t>
  </si>
  <si>
    <t>Trsf 26/9/24 RM2,000.00(RM100.00)</t>
  </si>
  <si>
    <t>Trsf 26/9/24 RM2,000.00(RM258.00)</t>
  </si>
  <si>
    <t>Trsf 26/9/24 RM2,000.00(RM390.00)</t>
  </si>
  <si>
    <t>Chq HL 024777 dd 20/9/24 RM3,212.00</t>
  </si>
  <si>
    <t>RHB 000386 23/9/24 Cleared RM1,000.00, RHB 000386 30/9/24 Cleared RM1,322.00</t>
  </si>
  <si>
    <t>Bank Islam 170298 Cleared 9/9/24 RM5,000.00(RM2,654.30), Bank Islam 172006 Cleared 30/9/24 RM5,000.00(RM2,625.70)</t>
  </si>
  <si>
    <t>Bank Islam 172006 Cleared 30/9/24 RM5,000.00(RM563.20)</t>
  </si>
  <si>
    <t>Bank Islam 172006 Cleared 30/9/24 RM5,000.00(RM160.00)</t>
  </si>
  <si>
    <t>Bank Islam 172006 Cleared 30/9/24 RM5,000.00(RM170.00</t>
  </si>
  <si>
    <t>Bank Islam 172006 Cleared 30/9/24 RM5,000.00(RM190.00)</t>
  </si>
  <si>
    <t>Bank Islam 172006 Cleared 30/9/24 RM5,000.00(RM260.00)</t>
  </si>
  <si>
    <t>Bank Islam 172006 Cleared 30/9/24 RM5,000.00(RM420.00)</t>
  </si>
  <si>
    <t>Cash deposit 27/9/24 RM3,120.50</t>
  </si>
  <si>
    <t>Trsf 27/9/24 RM27,539.00</t>
  </si>
  <si>
    <t>Chq PBB 072007, cleared 26/9/24 RM2,410.00</t>
  </si>
  <si>
    <t>Trsf 8/8/24 RM4,000.00(RM241.80), Trsf 26/9/25 RM5,000.00(RM1,496.20)</t>
  </si>
  <si>
    <t>Trsf 26/9/25 RM5,000.00(RM250.00)</t>
  </si>
  <si>
    <t>Trsf 30/8/24 RM12,000.00(RM1,901.90), 4/9/24 RM25,500.00(RM9,219.10)</t>
  </si>
  <si>
    <t>Trsf 4/9/24 RM25,500.00(RM4,077.40)</t>
  </si>
  <si>
    <t>Trsf 4/9/24 RM25,500.00(RM2,340.00)</t>
  </si>
  <si>
    <t>Trsf 4/9/24 RM25,500.00(RM380.00)</t>
  </si>
  <si>
    <t>Trsf 4/9/24 RM25,500.00(RM900.00)</t>
  </si>
  <si>
    <t>Trsf 4/9/24 RM25,500.00(RM1,000.00)</t>
  </si>
  <si>
    <t>Trsf 4/9/24 RM25,500.00(RM625.00)</t>
  </si>
  <si>
    <t>Trsf 4/9/24 RM25,500.00(RM6,958.50), 12/9/24 RM8,000.00(RM8,000.00), 13/9/24 RM4,700.00(RM1,101.50)</t>
  </si>
  <si>
    <t>Trsf 13/9/24 RM4,700.00(RM3,480.00)</t>
  </si>
  <si>
    <t>Trsf 13/9/24 RM4,700.00(RM118.50), 19/9/24 RM3,000.00(RM2,027.50)</t>
  </si>
  <si>
    <t>Trsf 19/9/24 RM3,000.00(RM972.50), 21/9/24 RM6,800.00(RM2,537.50)</t>
  </si>
  <si>
    <t>Trsf 21/9/24 RM6,800.00(RM380.00)</t>
  </si>
  <si>
    <t>Trsf 21/9/24 RM6,800.00(RM625.00)</t>
  </si>
  <si>
    <t>Trsf 21/9/24 RM6,800.00(RM3,257.50), 24/9/24 RM11,300.00(11,300.00), 27/9/24 RM34,000.00(RM1,502.50)</t>
  </si>
  <si>
    <t>Cash - Jamid Total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</si>
  <si>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</si>
  <si>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</si>
  <si>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</si>
  <si>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</si>
  <si>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</si>
  <si>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</si>
  <si>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</si>
  <si>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</si>
  <si>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</si>
  <si>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</si>
  <si>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</si>
  <si>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</si>
  <si>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</si>
  <si>
    <t>INV00001001</t>
  </si>
  <si>
    <t>INV00001002</t>
  </si>
  <si>
    <t>INV00001003</t>
  </si>
  <si>
    <t>INV00001004</t>
  </si>
  <si>
    <t>INV00001005</t>
  </si>
  <si>
    <t>INV00001006</t>
  </si>
  <si>
    <t>INV00001007</t>
  </si>
  <si>
    <t>INV00001008</t>
  </si>
  <si>
    <t>INV00001009</t>
  </si>
  <si>
    <t>INV00001010</t>
  </si>
  <si>
    <t>INV00001011</t>
  </si>
  <si>
    <t>INV00001012</t>
  </si>
  <si>
    <t>INV00001013</t>
  </si>
  <si>
    <t>INV00001014</t>
  </si>
  <si>
    <t>INV00001015</t>
  </si>
  <si>
    <t>Trsf 26/9/24 RM2,000.00(RM1,069.60), 30/9/24 RM500.00(RM500.00), 8/11/24 RM1,000.00 (RM168.40)</t>
  </si>
  <si>
    <t>Chq HL 025975 dd 9/10/24 RM5,594.00</t>
  </si>
  <si>
    <t>RHB 000397 10/10/24 Cleared RM1,000.00(RM1,000.00), RHB 000398 29/10/24 Cleared RM958.00(RM738.00)</t>
  </si>
  <si>
    <t>RHB 000398 29/10/24 Cleared RM958.00(RM220.00)</t>
  </si>
  <si>
    <t>Trsf 22/10/24 RM1,500.00(RM405.00)</t>
  </si>
  <si>
    <t>Trsf 22/10/24 RM1,500.00(RM105.00)</t>
  </si>
  <si>
    <t>Trsf 22/10/24 RM1,000.00(RM187.50)</t>
  </si>
  <si>
    <t>Trsf 22/10/24 RM1,500.00(RM216.10), 31/10/24 RM1,000.00(RM173.90)</t>
  </si>
  <si>
    <t>Trsf 31/10/24 RM1,000.00(RM260.00)</t>
  </si>
  <si>
    <t>Trsf 8/10/24 RM1,000.00 (RM405.00)</t>
  </si>
  <si>
    <t>Trsf 8/10/24 RM1,000.00 (RM125.00)</t>
  </si>
  <si>
    <t>Trsf 8/10/24 RM1,000.00 (RM150.00)</t>
  </si>
  <si>
    <t>Trsf 8/10/24 RM1,000.00 (RM151.60), 9/10/24 RM1,000.00(RM1,000.00), 22/10/24 RM1,500.00(RM586.40)</t>
  </si>
  <si>
    <t>Trsf 15/10/24 RM225.00</t>
  </si>
  <si>
    <t>MBB 016076 cleared 17/10/24 RM7,259.60</t>
  </si>
  <si>
    <t>Chq PBB 072008, cleared 17/10/24 RM2,388.00</t>
  </si>
  <si>
    <t>Chq PBB 072009, cleared 30/10/24 RM2,388.00</t>
  </si>
  <si>
    <t>Trsf 17/10/24 RM1,964.60</t>
  </si>
  <si>
    <t>Trsf 30/9/24 RM2,000.00(RM1,672.00)</t>
  </si>
  <si>
    <t>Trsf 21/10/24 RM2,000.00(RM1,694.00)</t>
  </si>
  <si>
    <t>Trsf 30/9/24 RM2,000.00(RM328.00), 22/10/24 RM92.00(rm92.00)</t>
  </si>
  <si>
    <t>Trsf 22/10/24 RM466.00(RM60.00)</t>
  </si>
  <si>
    <t>Trsf 22/10/24 RM466.00(RM280.00)</t>
  </si>
  <si>
    <t>Trsf 21/10/24 RM2,000.00(RM306.00)M, 22/10/24 RM466.00(RM126.00)</t>
  </si>
  <si>
    <t>Trsf 30/10/24 RM356.00</t>
  </si>
  <si>
    <t>Trsf 29/10/24 RM2,770.00</t>
  </si>
  <si>
    <t>Cash - Encik Aziz (Shikh House of Design)</t>
  </si>
  <si>
    <t>C00000055</t>
  </si>
  <si>
    <t xml:space="preserve">Cash - Encik Aziz (Sg Lang Marine Ventures) </t>
  </si>
  <si>
    <t>Trsf 23/10/24 RM231.00</t>
  </si>
  <si>
    <t>Trsf 21/10/24 RM13,338.00</t>
  </si>
  <si>
    <t>Trsf 27/9/24 RM34,000.00(RM5,220.00)</t>
  </si>
  <si>
    <t>Trsf 27/9/24 RM34,000.00(RM380.00)</t>
  </si>
  <si>
    <t>Trsf 27/9/24 RM34,000.00(RM3,510.00)</t>
  </si>
  <si>
    <t>Trsf 27/9/24 RM34,000.00(RM1,000.00)</t>
  </si>
  <si>
    <t>Trsf 27/9/24 RM34,000.00(RM360.00)</t>
  </si>
  <si>
    <t>Trsf 27/9/24 RM34,000.00(RM187.50)</t>
  </si>
  <si>
    <t>Trsf 27/9/24 RM34,000.00(RM4,818.00)</t>
  </si>
  <si>
    <t>Trsf 27/9/24 RM34,000.00(RM1,931.40)</t>
  </si>
  <si>
    <t>Trsf 27/9/24 RM34,000.00(RM1,170.00)</t>
  </si>
  <si>
    <t>Trsf 27/9/24 RM34,000.00(RM125.00)</t>
  </si>
  <si>
    <t>Trsf 27/9/24 RM34,000.00(RM3,212.00)</t>
  </si>
  <si>
    <t>Trsf 27/9/24 RM34,000.00(RM1,073.00)</t>
  </si>
  <si>
    <t>Trsf 27/9/24 RM34,000.00(RM702.00)</t>
  </si>
  <si>
    <t>Trsf 27/9/24 RM34,000.00(RM250.00)</t>
  </si>
  <si>
    <t>Trsf 27/9/24 RM34,000.00(RM6,178.60), 12/10/24 RM4,500.00(RM245.40)</t>
  </si>
  <si>
    <t>Trsf 12/10/24 RM4,500.00(RM2,2088.00)</t>
  </si>
  <si>
    <t>Trsf 12/10/24 RM4,500.00(RM1,404.00)</t>
  </si>
  <si>
    <t>Trsf 12/10/24 RM4,500.00(RM380.00)</t>
  </si>
  <si>
    <t>Trsf 12/10/24 RM4,500.00(RM382.60), 14/11/24 RM36,000.00(RM617.40)</t>
  </si>
  <si>
    <t>Trsf 14/10/24 RM36,000.00(RM375.00)</t>
  </si>
  <si>
    <t>Trsf 14/10/24 RM36,000.00(RM9,768.00)</t>
  </si>
  <si>
    <t>Trsf 14/10/24 RM36,000.00(RM3,480.00)</t>
  </si>
  <si>
    <t>Trsf 14/10/24 RM36,000.00(RM2,340.00)</t>
  </si>
  <si>
    <t>Trsf 14/10/24 RM36,000.00(RM380.00)</t>
  </si>
  <si>
    <t>Trsf 14/10/24 RM36,000.00(RM1,000.00)</t>
  </si>
  <si>
    <t>Trsf 14/10/24 RM36,000.00(RM437.50)</t>
  </si>
  <si>
    <t>Trsf 14/10/24 RM36,000.00(RM0.00)</t>
  </si>
  <si>
    <t>Trsf 14/10/24 RM36,000.00(RM11,396.00)</t>
  </si>
  <si>
    <t>Trsf 14/10/24 RM36,000.00(RM3,654.00)</t>
  </si>
  <si>
    <t>Trsf 14/10/24 RM36,000.00(RM1,872.00)</t>
  </si>
  <si>
    <t>Trsf 14/10/24 RM36,000.00(RM680.10), 30/10/24 RM25,000.00(RM319.90)</t>
  </si>
  <si>
    <t>Cash - Encik Aziz (Shikh House of Design) Total</t>
  </si>
  <si>
    <t>Cash - Encik Aziz (Sg Lang Marine Ventures)  Total</t>
  </si>
  <si>
    <t>Cancel</t>
  </si>
  <si>
    <t>Cash - Encik Aziz</t>
  </si>
  <si>
    <t>INV00001016</t>
  </si>
  <si>
    <t>INV00001017</t>
  </si>
  <si>
    <t>INV00001018</t>
  </si>
  <si>
    <t>INV00001019</t>
  </si>
  <si>
    <t>INV00001020</t>
  </si>
  <si>
    <t>Tissue Mat (250 meter)</t>
  </si>
  <si>
    <t>INV00001021</t>
  </si>
  <si>
    <t>INV00001022</t>
  </si>
  <si>
    <t>RM Pigment Gentian Blue B9 (5kg)</t>
  </si>
  <si>
    <t>INV00001023</t>
  </si>
  <si>
    <t>INV00001024</t>
  </si>
  <si>
    <t>INV00001025</t>
  </si>
  <si>
    <t>RM Resin 2100W (225Kg)</t>
  </si>
  <si>
    <t>INV00001026</t>
  </si>
  <si>
    <t>RA Resin 268BQT (220Kg)</t>
  </si>
  <si>
    <t>RO CSM 450 1040mm(W) (37Kg)</t>
  </si>
  <si>
    <t>INV00001027</t>
  </si>
  <si>
    <t>INV00001028</t>
  </si>
  <si>
    <t>RA Resin 268W (225kg)</t>
  </si>
  <si>
    <t>INV00001029</t>
  </si>
  <si>
    <t>INV00001030</t>
  </si>
  <si>
    <t>RA Resin 268BQT (225Kg)</t>
  </si>
  <si>
    <t>INV00001031</t>
  </si>
  <si>
    <t>RM Silicone Rubber (25kg) c/w Hardener</t>
  </si>
  <si>
    <r>
      <t xml:space="preserve">RM Silicone Rubber Oil (1kg)   </t>
    </r>
    <r>
      <rPr>
        <b/>
        <i/>
        <sz val="12"/>
        <color theme="8" tint="-0.249977111117893"/>
        <rFont val="Calibri"/>
        <family val="2"/>
        <scheme val="minor"/>
      </rPr>
      <t>F.O.C.</t>
    </r>
  </si>
  <si>
    <r>
      <t xml:space="preserve">RA Resin 2100W (1kg)  </t>
    </r>
    <r>
      <rPr>
        <b/>
        <i/>
        <sz val="12"/>
        <color theme="8" tint="-0.249977111117893"/>
        <rFont val="Calibri"/>
        <family val="2"/>
      </rPr>
      <t xml:space="preserve"> F.O.C.</t>
    </r>
  </si>
  <si>
    <t>INV00001032</t>
  </si>
  <si>
    <t>INV00001033</t>
  </si>
  <si>
    <t>INV00001034</t>
  </si>
  <si>
    <t>INV00001035</t>
  </si>
  <si>
    <t>INV00001036</t>
  </si>
  <si>
    <t>RM Resin 268BQTW (225Kg)</t>
  </si>
  <si>
    <t>INV00001037</t>
  </si>
  <si>
    <t>INV00001038</t>
  </si>
  <si>
    <t>INV00001039</t>
  </si>
  <si>
    <t>INV00001040</t>
  </si>
  <si>
    <t>RA Wax Solution (2KG)</t>
  </si>
  <si>
    <t>INV00001041</t>
  </si>
  <si>
    <t>INV00001042</t>
  </si>
  <si>
    <t>RM Resin 268BQT (225Kg)</t>
  </si>
  <si>
    <t>RM Steel Roller 3" 10mm</t>
  </si>
  <si>
    <t>INV00001043</t>
  </si>
  <si>
    <t>INV00001044</t>
  </si>
  <si>
    <t>RM Resin 2100BQT-L (225Kg)</t>
  </si>
  <si>
    <t>INV00001045</t>
  </si>
  <si>
    <t>INV00001046</t>
  </si>
  <si>
    <t>Trsf 27/11/24 RM35,750.50</t>
  </si>
  <si>
    <t>Trsf 1/11/24 RM20,000.00(RM3,654.00)</t>
  </si>
  <si>
    <t>Trsf 30/10/24 RM25,000.00(RM500.00)</t>
  </si>
  <si>
    <t>Trsf 30/10/24 RM25,000.00(RM13,024.00)</t>
  </si>
  <si>
    <t>Trsf 30/10/24 RM25,000.00(RM3,828.00)</t>
  </si>
  <si>
    <t>Trsf 30/10/24 RM25,000.00(RM2,808.00)</t>
  </si>
  <si>
    <t>Trsf 30/10/24 RM25,000.00(RM1,000.00)</t>
  </si>
  <si>
    <t>Trsf 30/10/24 RM25,000.00(RM380.00)</t>
  </si>
  <si>
    <t>Trsf 30/10/24 RM25,000.00(RM437.50)</t>
  </si>
  <si>
    <t>Trsf 30/10/24 RM25,000.00(RM2,702.60), 1/11/24 RM20,000.00(RM8,693.40)</t>
  </si>
  <si>
    <t>Trsf 1/11/24 RM20,000.00(RM1,000.00)</t>
  </si>
  <si>
    <t>Trsf 1/11/24 RM20,000.00(RM380.00)</t>
  </si>
  <si>
    <t>Trsf 1/11/24 RM20,000.00(RM696.00)</t>
  </si>
  <si>
    <t>Trsf 1/11/24 RM20,000.00(RM468.00)</t>
  </si>
  <si>
    <t>Trsf 1/11/24 RM20,000.00(RM312.50)</t>
  </si>
  <si>
    <t>Trsf 1/11/24 RM20,000.00(RM1,779.00), 15/11/24 RM50,000.00(RM6,361.90)</t>
  </si>
  <si>
    <t>Trsf 15/11/24 RM50,000.00(RM2,610.00)</t>
  </si>
  <si>
    <t>Trsf 15/11/24 RM50,000.00(RM1,872.00)</t>
  </si>
  <si>
    <t>Trsf 15/11/24 RM50,000.00(RM1,000.00)</t>
  </si>
  <si>
    <t>Trsf 15/11/24 RM50,000.00(RM437.50)</t>
  </si>
  <si>
    <t>Trsf 15/11/24 RM50,000.00(RM11,396.00)</t>
  </si>
  <si>
    <t>Trsf 15/11/24 RM50,000.00(RM3,480.00)</t>
  </si>
  <si>
    <t>Trsf 15/11/24 RM50,000.00(RM2,340.00)</t>
  </si>
  <si>
    <t>Trsf 15/11/24 RM50,000.00(RM2,000.00)</t>
  </si>
  <si>
    <t>Trsf 15/11/24 RM50,000.00(RM625.00)</t>
  </si>
  <si>
    <t>Trsf 15/11/24 RM50,000.00(RM16,280.00)</t>
  </si>
  <si>
    <t>Trsf 15/11/24 RM50,000.00(RM1,597.60), 20/11/24 RM30,000.00(RM3,622.40)</t>
  </si>
  <si>
    <t>Trsf 20/11/24 RM30,000.00(RM3,510.00)</t>
  </si>
  <si>
    <t>Trsf 20/11/24 RM30,000.00(RM570.00)</t>
  </si>
  <si>
    <t>Trsf 20/11/24 RM30,000.00(RM220.00)</t>
  </si>
  <si>
    <t>Trsf 20/11/24 RM30,000.00(RM937.50)</t>
  </si>
  <si>
    <t>Trsf 20/11/24 RM30,000.00(RM702.00)</t>
  </si>
  <si>
    <t>Trsf 20/11/24 RM30,000.00(RM125.00)</t>
  </si>
  <si>
    <t>Trsf 20/11/24 RM30,000.00(RM3,256.00)</t>
  </si>
  <si>
    <t>Trsf 20/11/24 RM30,000.00(RM1,218.00)</t>
  </si>
  <si>
    <t>Trsf 20/11/24 RM30,000.00(RM1,000.00)</t>
  </si>
  <si>
    <t>Trsf 20/11/24 RM30,000.00(RM14,839.10), 26/11/24 RM30,000.00(RM9,580.90)</t>
  </si>
  <si>
    <t>Trsf 26/11/24 RM30,000.00(RM7,830.00.00)</t>
  </si>
  <si>
    <t>Trsf 26/11/24 RM30,000.00(RM</t>
  </si>
  <si>
    <t>Trsf 26/11/24 RM30,000.00(RM3,211.60), 30/11/24 RM25,000.00(RM21,208.40)</t>
  </si>
  <si>
    <t>Trsf 4/11/24 RM475.00</t>
  </si>
  <si>
    <t>Cash deposit 5/11/24 RM12,250.00</t>
  </si>
  <si>
    <t>Trsf 5/11/24 RM115.00</t>
  </si>
  <si>
    <t>Trsf 6/11/24 RM3,132.00</t>
  </si>
  <si>
    <t>Trsf 31/10/24 RM1,000.00(RM566.10), 7/11/24 RM1,500.00(RM1,171.90)</t>
  </si>
  <si>
    <t>Chq PBB 072011, cleared 11/11/24 RM2,388.00</t>
  </si>
  <si>
    <t>Trsf 7/11/24 RM1,500.00(RM328.10), 12/11/24 RM1,000.00(RM76.90)</t>
  </si>
  <si>
    <t>Trsf 12/11/24 RM1,000.00(RM187.50)</t>
  </si>
  <si>
    <t>Trsf 12/11/24 RM1,000.00(RM283.80)</t>
  </si>
  <si>
    <t>Trsf 12/11/24 RM1,000.00(RM390.00)</t>
  </si>
  <si>
    <t>Chq PBB 072012, cleared 14/11/24 RM2,700.50</t>
  </si>
  <si>
    <t>Trsf 20/11/24 RM530.00</t>
  </si>
  <si>
    <r>
      <rPr>
        <b/>
        <sz val="12"/>
        <color rgb="FF0070C0"/>
        <rFont val="Calibri"/>
        <family val="2"/>
        <scheme val="minor"/>
      </rPr>
      <t>Trsf 20/11/24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</si>
  <si>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Trsf 12/11/24 RM1,000.00(RM61.80), 15/12/24 RM500.00(RM358.20)</t>
  </si>
  <si>
    <t>Chq PBB 072013, cleared 22/11/24 RM3,030.00</t>
  </si>
  <si>
    <t>Trsf 26/11/24 RM1,800.00</t>
  </si>
  <si>
    <t>Chq HL 025976 dd 26/11/24 RM6,619.30</t>
  </si>
  <si>
    <t>Trsf 23/11/24 RM2,000.00, 26/11/24 RM1,630.50</t>
  </si>
  <si>
    <t>Chq PBB 072014, cleared 28/11/24 RM2,892.50</t>
  </si>
  <si>
    <t>Cash - Encik Aziz Total</t>
  </si>
  <si>
    <t>RHB 000416 11/11/24 Cleared RM1,000.00(RM1,000.00), RHB 000417 18/11/24 Cleared RM1,153.00(RM738.00)</t>
  </si>
  <si>
    <t>RHB 000417 18/11/24 Cleared RM1,153.00(RM220.00)</t>
  </si>
  <si>
    <t>RHB 000417 18/11/24 Cleared RM1,153.00(RM195.00)</t>
  </si>
  <si>
    <t>INV00001047</t>
  </si>
  <si>
    <t>INV00001048</t>
  </si>
  <si>
    <t>INV00001049</t>
  </si>
  <si>
    <t>INV00001050</t>
  </si>
  <si>
    <t>INV00001051</t>
  </si>
  <si>
    <t>INV00001052</t>
  </si>
  <si>
    <t>INV00001053</t>
  </si>
  <si>
    <t>RA Resin 2100BQT-L (225Kg)</t>
  </si>
  <si>
    <t>INV00001054</t>
  </si>
  <si>
    <t>INV00001055</t>
  </si>
  <si>
    <t>RM Accelerator (2kg)</t>
  </si>
  <si>
    <t>INV00001056</t>
  </si>
  <si>
    <t>INV00001057</t>
  </si>
  <si>
    <t>10/12/2024</t>
  </si>
  <si>
    <t>INV00001058</t>
  </si>
  <si>
    <t>Cash Mr Tan</t>
  </si>
  <si>
    <t>RA Resin 268BQT (25Kg)</t>
  </si>
  <si>
    <t>INV00001059</t>
  </si>
  <si>
    <t>INV00001060</t>
  </si>
  <si>
    <t>INV00001061</t>
  </si>
  <si>
    <t>Cash - Shermark Resources</t>
  </si>
  <si>
    <t>RM Resin (25Kg)</t>
  </si>
  <si>
    <t>RA CSM 450 GSM 1040mm (30kg)</t>
  </si>
  <si>
    <t>11/12/2024</t>
  </si>
  <si>
    <t>INV00001062</t>
  </si>
  <si>
    <t>12/12/2024</t>
  </si>
  <si>
    <t>INV00001063</t>
  </si>
  <si>
    <t>RO CSM 450 1040mm(W) (30Kg)</t>
  </si>
  <si>
    <t>INV00001064</t>
  </si>
  <si>
    <t>INV00001065</t>
  </si>
  <si>
    <t>13/12/2024</t>
  </si>
  <si>
    <t>INV00001066</t>
  </si>
  <si>
    <t>INV00001067</t>
  </si>
  <si>
    <t>RO CSM 450 1040mm(W) (30kg)</t>
  </si>
  <si>
    <t>RM VE Resin 901-3P (25Kg)</t>
  </si>
  <si>
    <t>14/12/2024</t>
  </si>
  <si>
    <t>INV00001068</t>
  </si>
  <si>
    <t>17/12/2024</t>
  </si>
  <si>
    <t>INV00001069</t>
  </si>
  <si>
    <t>INV00001070</t>
  </si>
  <si>
    <t>INV00001071</t>
  </si>
  <si>
    <t>19/12/2024</t>
  </si>
  <si>
    <t>INV00001072</t>
  </si>
  <si>
    <t>20/12/2024</t>
  </si>
  <si>
    <t>INV00001073</t>
  </si>
  <si>
    <t>RA Honeycomb 19mm - 1220(W) x 2440(L)</t>
  </si>
  <si>
    <t>21/12/2024</t>
  </si>
  <si>
    <t>INV00001074</t>
  </si>
  <si>
    <t>RM Pigment Super White (30Kg)</t>
  </si>
  <si>
    <t>23/12/2024</t>
  </si>
  <si>
    <t>INV00001075</t>
  </si>
  <si>
    <t>RM Pigment Grey G2 (5Kg)</t>
  </si>
  <si>
    <t>24/12/2024</t>
  </si>
  <si>
    <t>INV00001076</t>
  </si>
  <si>
    <t>INV00001077</t>
  </si>
  <si>
    <t>INV00001078</t>
  </si>
  <si>
    <t>RA Wax Solution (2kg)</t>
  </si>
  <si>
    <t>INV00001079</t>
  </si>
  <si>
    <t>Cash - Kevin Wong</t>
  </si>
  <si>
    <t>RM ISO NPG Pigmented Gelcoat (Stone Grey G10) 25Kg</t>
  </si>
  <si>
    <t>RM Wax solution (8kg)</t>
  </si>
  <si>
    <t>27/12/2024</t>
  </si>
  <si>
    <t>INV00001080</t>
  </si>
  <si>
    <t>INV00001081</t>
  </si>
  <si>
    <t>28/12/2024</t>
  </si>
  <si>
    <t>INV00001082</t>
  </si>
  <si>
    <t>30/12/2024</t>
  </si>
  <si>
    <t>INV00001083</t>
  </si>
  <si>
    <t>31/12/2024</t>
  </si>
  <si>
    <t>INV00001084</t>
  </si>
  <si>
    <t>INV00001085</t>
  </si>
  <si>
    <t>INV00001086</t>
  </si>
  <si>
    <t>RM Resin (30Kg)</t>
  </si>
  <si>
    <t>C00000056</t>
  </si>
  <si>
    <t>C00000058</t>
  </si>
  <si>
    <t>Cash Mr Tan Total</t>
  </si>
  <si>
    <t>Cash - Shermark Resources Total</t>
  </si>
  <si>
    <t>Cash - Kevin Wong Total</t>
  </si>
  <si>
    <t>Trsf 26/12/24 RM17,821.50</t>
  </si>
  <si>
    <t>Trsf 30/11/24 RM25,000.00(RM3,791.60), 4/12/24 RM23,000.00(RM6,364.90)</t>
  </si>
  <si>
    <t>Trsf 4/12/24 RM23,000.00(RM702.00)</t>
  </si>
  <si>
    <t>Trsf 4/12/24 RM23,000.00(RM3,740.00)</t>
  </si>
  <si>
    <t>Trsf 4/12/24 RM23,000.00(RM760.00)</t>
  </si>
  <si>
    <t>Trsf 4/12/24 RM23,000.00(RM2,000.00)</t>
  </si>
  <si>
    <t>Trsf 4/12/24 RM23,000.00(RM937.50)</t>
  </si>
  <si>
    <t>Trsf 4/12/24 RM23,000.00(RM8,495.60), 13/12/24 RM20,000.00(RM15,495.60)</t>
  </si>
  <si>
    <t>Trsf 13/12/24 RM20,000.00(RM4,075.60), 23/12/24 RM30,000.00(RM4,952.40)</t>
  </si>
  <si>
    <t>Trsf 23/12/24 RM30,000.00(RM2,640.00)</t>
  </si>
  <si>
    <t>Trsf 23/12/24 RM30,000.00(RM3,600.00)</t>
  </si>
  <si>
    <t>Trsf 23/12/24 RM30,000.00(RM380.00)</t>
  </si>
  <si>
    <t>Trsf 23/12/24 RM30,000.00(RM1,000.00)</t>
  </si>
  <si>
    <t>Trsf 23/12/24 RM30,000.00(RM937.50)</t>
  </si>
  <si>
    <t>Trsf 23/12/24 RM30,000.00(RM16,490.10), 31/12/24 RM18,000.00(RM7,929.90)</t>
  </si>
  <si>
    <t>Trsf 31/12/24 RM18,000.00(RM7,320.00)</t>
  </si>
  <si>
    <t>Trsf 15/11/24 RM500.00(RM141.80), 22/11/24 RM1,000.00(RM1,000.00), 30/11/24 RM500.00(RM500.00), 7/12/24 RM1,500.00(RM96.20)</t>
  </si>
  <si>
    <t>Trsf 7/12/24 RM1,500.00(RM405.00)</t>
  </si>
  <si>
    <t>Trsf 7/12/24 RM1,500.00(RM160.00)</t>
  </si>
  <si>
    <t>Trsf 7/12/24 RM1,500.00(RM390.00)</t>
  </si>
  <si>
    <t>Trsf 23/12/24 RM1,300.00(RM405.00)</t>
  </si>
  <si>
    <t>Trsf 23/12/24 RM1,300.00(RM105.00)</t>
  </si>
  <si>
    <t>Trsf 7/12/24 RM1,500.00(RM448.80), 15/12/24 RM1,000.00(RM1,000.00), 23/12/24 RM1,300.00(RM289.20)</t>
  </si>
  <si>
    <t>Trsf 23/12/24 RM1,300.00(RM250.00)</t>
  </si>
  <si>
    <t>Trsf 23/12/24 RM1,300.00(RM250.80), 30/12/24 RM1,000.00(RM169.20)</t>
  </si>
  <si>
    <t xml:space="preserve">Trsf 10/12/24 RM2,682.50 </t>
  </si>
  <si>
    <t>Chq PBB 072016, cleared 12/12/24 RM2,680.00</t>
  </si>
  <si>
    <t>Chq PBB 072017, cleared 17/12/24 RM2,717.50</t>
  </si>
  <si>
    <t>Chq PBB 072019, cleared 27/12/24 RM2,750.00</t>
  </si>
  <si>
    <t>Chq PBB 072018, cleared 30/12/24 RM2,548.00</t>
  </si>
  <si>
    <t>Chq PBB 072020, cleared 30/12/24 RM2,837.50</t>
  </si>
  <si>
    <t>Trsf 10/12/24 RM913.00</t>
  </si>
  <si>
    <t>Trsf 30/12/24 RM325.00</t>
  </si>
  <si>
    <t>Trsf 12/12/24 RM685.00, Cash 28/12/24 RM1,479.50</t>
  </si>
  <si>
    <t>Cash 28/12/24 RM1,106.00</t>
  </si>
  <si>
    <t>Cash 28/12/24 RM2,337.00</t>
  </si>
  <si>
    <t>Cash 28/12/24 RM820.00</t>
  </si>
  <si>
    <t>Trsf 13/12/24 RM2,890.00, 24/12/24 RM505.00, 26/12/24 RM40.00</t>
  </si>
  <si>
    <t>MBB 016205 cleared 23/12/24 RM8,732.30</t>
  </si>
  <si>
    <t>Chq HL 027085 dd 23/12/24 RM5,042.00</t>
  </si>
  <si>
    <t>C00000057</t>
  </si>
  <si>
    <t>S&amp;J Water Tank Solotioms (KL) Sdn Bhd</t>
  </si>
  <si>
    <t>Kai Chuan Fibreglass</t>
  </si>
  <si>
    <t>C00000059</t>
  </si>
  <si>
    <t>C00000060</t>
  </si>
  <si>
    <t>INV00001087</t>
  </si>
  <si>
    <t>INV00001088</t>
  </si>
  <si>
    <t>INV00001089</t>
  </si>
  <si>
    <t>INV00001090</t>
  </si>
  <si>
    <t>INV00001091</t>
  </si>
  <si>
    <t>INV00001092</t>
  </si>
  <si>
    <t>RM PVA Solution (5KG)</t>
  </si>
  <si>
    <t>RM Cobalt 10% (2kg)</t>
  </si>
  <si>
    <t>INV00001093</t>
  </si>
  <si>
    <t>INV00001094</t>
  </si>
  <si>
    <t>INV00001095</t>
  </si>
  <si>
    <t>INV00001096</t>
  </si>
  <si>
    <t>INV00001097</t>
  </si>
  <si>
    <t>INV00001098</t>
  </si>
  <si>
    <t>INV00001099</t>
  </si>
  <si>
    <t>INV00001100</t>
  </si>
  <si>
    <t>INV00001101</t>
  </si>
  <si>
    <t>INV00001102</t>
  </si>
  <si>
    <t>INV00001103</t>
  </si>
  <si>
    <t>INV00001104</t>
  </si>
  <si>
    <t>INV00001105</t>
  </si>
  <si>
    <t>RM CSM 450 96m(L) X 1860mm(W) (54Kg)</t>
  </si>
  <si>
    <t>INV00001106</t>
  </si>
  <si>
    <t>INV00001107</t>
  </si>
  <si>
    <t>INV00001108</t>
  </si>
  <si>
    <t>INV00001109</t>
  </si>
  <si>
    <t>INV00001110</t>
  </si>
  <si>
    <t>INV00001111</t>
  </si>
  <si>
    <t>INV00001112</t>
  </si>
  <si>
    <t>INV00001113</t>
  </si>
  <si>
    <t>INV00001114</t>
  </si>
  <si>
    <t>Bank Islam 172006 Cleared 30/9/24 RM5,000.00(RM511.10), 172020 Cleared 7/11/24 RM5,000.00(RM5,000.00), 172033 Cleared 2/1/25 RM5,000.00(RM1,528.90)</t>
  </si>
  <si>
    <t>Bank Islam 172033 Cleared 2/1/25 RM5,000.00(RM1,108.40)</t>
  </si>
  <si>
    <t>Bank Islam 172033 Cleared 2/1/25 RM5,000.00(RM320.00)</t>
  </si>
  <si>
    <t>Bank Islam 172033 Cleared 2/1/25 RM5,000.00(RM360.00)</t>
  </si>
  <si>
    <t>Bank Islam 172033 Cleared 2/1/25 RM5,000.00(RM190.00)</t>
  </si>
  <si>
    <t>Bank Islam 172033 Cleared 2/1/25 RM5,000.00(RM563.20)</t>
  </si>
  <si>
    <t>Bank Islam 172033 Cleared 2/1/25 RM5,000.00(RM929.50), 172042 Cleared 22/1/25 RM5,000.00(RM755.30)</t>
  </si>
  <si>
    <t>Bank Islam 172042 Cleared 22/1/25 RM5,000.00(RM4,244.70)</t>
  </si>
  <si>
    <t>Trsf 31/12/24 RM18,000.00(RM2,750.10), 2/1/25 RM20,000.00(RM2,049.90)</t>
  </si>
  <si>
    <t>Trsf 2/1/25 RM20,000.00(RM380.00)</t>
  </si>
  <si>
    <t>Trsf 2/1/25 RM20,000.00(RM1,000.00)</t>
  </si>
  <si>
    <t>Trsf 2/1/25 RM20,000.00(RM975.00)</t>
  </si>
  <si>
    <t>Trsf 2/1/25 RM20,000.00(RM190.00)</t>
  </si>
  <si>
    <t>Trsf 2/1/25 RM20,000.00(RM220.00)</t>
  </si>
  <si>
    <t>Trsf 2/1/25 RM20,000.00(RM625.00)</t>
  </si>
  <si>
    <t>Trsf 2/1/25 RM20,000.00(RM13,560.10), 13/1/25 RM22,000.00(RM2,719.90)</t>
  </si>
  <si>
    <t>Trsf 13/1/25 RM22,000.00(RM5,490.00)</t>
  </si>
  <si>
    <t>Trsf 13/1/25 RM22,000.00(RM3,600.00)</t>
  </si>
  <si>
    <t>Trsf 13/1/25 RM22,000.00(RM380.00)</t>
  </si>
  <si>
    <t>Trsf 13/1/25 RM22,000.00(RM975.00)</t>
  </si>
  <si>
    <t>Trsf 13/1/25 RM22,000.00(RM1,000.00)</t>
  </si>
  <si>
    <t>Trsf 13/1/25 RM22,000.00(RM125.00)</t>
  </si>
  <si>
    <t>Trsf 13/1/25 RM22,000.00(RM3,256.00)</t>
  </si>
  <si>
    <t>Trsf 13/1/25 RM22,000.00(RM1,098.00)</t>
  </si>
  <si>
    <t>Trsf 13/1/25 RM22,000.00(RM187.50)</t>
  </si>
  <si>
    <t>Trsf 13/1/25 RM22,000.00(RM2,788.60), 14/1/25 RM12,000.00(RM2,095.40)</t>
  </si>
  <si>
    <t>Trsf 14/1/25 RM12,000.00(RM1,830.00)</t>
  </si>
  <si>
    <t>Trsf 14/1/25 RM12,000.00(RM1,200.00)</t>
  </si>
  <si>
    <t>Trsf 14/1/25 RM12,000.00(RM380.00)</t>
  </si>
  <si>
    <t>Trsf 14/1/25 RM12,000.00(RM975.00)</t>
  </si>
  <si>
    <t>Trsf 14/1/25 RM12,000.00(RM250.00)</t>
  </si>
  <si>
    <t>Trsf 14/1/25 RM12,000.00(RM5,269.60), 17/1/25 RM15,000.00(RM1,242.40)</t>
  </si>
  <si>
    <t>Trsf 17/1/25 RM15,000.00(RM2,196.00)</t>
  </si>
  <si>
    <t>Trsf 17/1/25 RM15,000.00(RM1,200.00)</t>
  </si>
  <si>
    <t>Trsf 17/1/25 RM15,000.00(RM250.00)</t>
  </si>
  <si>
    <t>Trsf 17/1/25 RM15,000.00(RM6,512.00)</t>
  </si>
  <si>
    <t>Trsf 17/1/25 RM15,000.00(RM2,142.00)</t>
  </si>
  <si>
    <t>Trsf 17/1/25 RM15,000.00(RM1,192.50)</t>
  </si>
  <si>
    <t>Trsf 17/1/25 RM15,000.00(RM283.10), 24/1/15 RM60,000.00(RM716.90)</t>
  </si>
  <si>
    <t>Trsf 24/1/15 RM60,000.00(RM625.00)</t>
  </si>
  <si>
    <t>Trsf 24/1/15 RM60,000.00(RM16,280.00)</t>
  </si>
  <si>
    <t>Trsf 24/1/15 RM60,000.00(RM6,372.00)</t>
  </si>
  <si>
    <t>Trsf 24/1/15 RM60,000.00(RM4,054.50)</t>
  </si>
  <si>
    <t>Trsf 24/1/15 RM60,000.00(RM1,000.00)</t>
  </si>
  <si>
    <t>Trsf 24/1/15 RM60,000.00(RM380.00)</t>
  </si>
  <si>
    <t>Trsf 24/1/15 RM60,000.00(RM312.50)</t>
  </si>
  <si>
    <t>Trsf 24/1/15 RM60,000.00(RM8,140.00)</t>
  </si>
  <si>
    <t>Trsf 24/1/15 RM60,000.00(RM2,124.00)</t>
  </si>
  <si>
    <t>Trsf 24/1/15 RM60,000.00(RM954.00)</t>
  </si>
  <si>
    <t>Trsf 24/1/15 RM60,000.00(RM187.50</t>
  </si>
  <si>
    <t>Trsf 24/1/15 RM60,000.00(RM1,642.50)</t>
  </si>
  <si>
    <t>Trsf 24/1/15 RM60,000.00(RM3,256.00)</t>
  </si>
  <si>
    <t>Trsf 24/1/15 RM60,000.00(RM1,062.00)</t>
  </si>
  <si>
    <t>Trsf 24/1/15 RM60,000.00(RM238.50)</t>
  </si>
  <si>
    <t>Trsf 24/1/15 RM60,000.00(RM250.00)</t>
  </si>
  <si>
    <t>Trsf 24/1/15 RM60,000.00(RM6,512.00)</t>
  </si>
  <si>
    <t>Trsf 24/1/15 RM60,000.00(RM1,431.00)</t>
  </si>
  <si>
    <t>Trsf 19/1/25 RM20,508.60</t>
  </si>
  <si>
    <t>Trsf 7/1/25 RR360.00</t>
  </si>
  <si>
    <t>Chq PBB 072021, cleared 15/1/25 RM2,717.50</t>
  </si>
  <si>
    <t>RHB 000445 23/12/24 Cleared RM1,500(RM1,500), 000447 19/1/25 Cleared RM1,038.00(RM238.00)</t>
  </si>
  <si>
    <t>RHB 000447 19/1/25 Cleared RM1,038.00(RM220..00)</t>
  </si>
  <si>
    <t>RHB 000447 19/1/25 Cleared RM1,038.00(RM130.00)</t>
  </si>
  <si>
    <t>Cash 21/1/25 RM2,223.50</t>
  </si>
  <si>
    <t>Trsf 25/1/25 RM2,000.00, Cash 31/1/25 RM195.00</t>
  </si>
  <si>
    <t xml:space="preserve">Trsf 25/01/24 </t>
  </si>
  <si>
    <t>RHB 000447 19/1/25 Cleared RM1,038.00(RM450.00), 000446 27/1/25 RM1,000.00</t>
  </si>
  <si>
    <t>Trsf 27/1/24, RM2,978.00</t>
  </si>
  <si>
    <t>Chq HL 028218 dd 31/1/25 RM5,702.80</t>
  </si>
  <si>
    <t>Trsf 2/1/25</t>
  </si>
  <si>
    <t>Trsf 30/12/24 RM1,000.00(RM830.80), 9/1/25 RM1,250.00(RM907.20)</t>
  </si>
  <si>
    <t>Trsf 9/1/25 RM1,250.00(RM342.80), 14/1/25 RM1,200.00(RM47.20)</t>
  </si>
  <si>
    <t>Trsf 14/1/25 RM1,200.00(RM105.00)</t>
  </si>
  <si>
    <t>Trsf 14/1/25 RM1,200.00(RM120.00)</t>
  </si>
  <si>
    <t>Trsf 14/1/25 RM1,200.00(RM927.80), 22/1/25 RM1,200.00(RM810.20)</t>
  </si>
  <si>
    <t>Trsf 22/1/25 RM1,200.00(RM150.00)</t>
  </si>
  <si>
    <t>Trsf 22/1/25 RM1,200.00(RM187.50)</t>
  </si>
  <si>
    <t>Kai Chuan Fibreglass Total</t>
  </si>
  <si>
    <t>INV00001115</t>
  </si>
  <si>
    <t>INV00001116</t>
  </si>
  <si>
    <t>INV00001117</t>
  </si>
  <si>
    <t>INV00001118</t>
  </si>
  <si>
    <t>INV00001119</t>
  </si>
  <si>
    <t>INV00001120</t>
  </si>
  <si>
    <t>INV00001121</t>
  </si>
  <si>
    <t>INV00001122</t>
  </si>
  <si>
    <t>INV00001123</t>
  </si>
  <si>
    <t>INV00001124</t>
  </si>
  <si>
    <t>INV00001125</t>
  </si>
  <si>
    <t>INV00001126</t>
  </si>
  <si>
    <t>INV00001127</t>
  </si>
  <si>
    <t>RA Resin 268BQT (20Kg)</t>
  </si>
  <si>
    <t>INV00001128</t>
  </si>
  <si>
    <t>INV00001129</t>
  </si>
  <si>
    <t>INV00001130</t>
  </si>
  <si>
    <t>INV00001131</t>
  </si>
  <si>
    <t>INV00001132</t>
  </si>
  <si>
    <t>RM Woven Roving E-800gm 1000mm (40Kg)</t>
  </si>
  <si>
    <t xml:space="preserve">RA Pigment Super White (1Kg)       </t>
  </si>
  <si>
    <t>F.O.C.</t>
  </si>
  <si>
    <t>INV00001133</t>
  </si>
  <si>
    <t>INV00001134</t>
  </si>
  <si>
    <t>INV00001135</t>
  </si>
  <si>
    <t>INV00001136</t>
  </si>
  <si>
    <t>INV00001137</t>
  </si>
  <si>
    <t>INV00001138</t>
  </si>
  <si>
    <t>Trsf 22/1/25 RM1,200.00(RM52.30), 2/2/25 RM1,400.00(RM352.70)</t>
  </si>
  <si>
    <t>Trsf 2/2/25 RM1,400.00(RM390.00)</t>
  </si>
  <si>
    <t>Trsf 2/2/25 RM1,400.00(RM657.30), 9/2/25 RM1,200.00(RM1,080.70)</t>
  </si>
  <si>
    <t>Trsf 9/9/25 RM1,200.00(RM119.30), 17/2/25 RM1,000.00(RM164.50)</t>
  </si>
  <si>
    <t>Trsf 17/2/25 RM1,000.00(RM187.50)</t>
  </si>
  <si>
    <t>Trsf 17/2/25 RM1,000.00(RM60.00)</t>
  </si>
  <si>
    <t>RHB 000470 3/2/25 Cleared RM240.00</t>
  </si>
  <si>
    <t>RHB 000471 17/2/25 Cleared RM1,000.00(RM1,000.00), 000472 26/2/25 Cleared RM1,333.00RM755.00)</t>
  </si>
  <si>
    <t>RHB 000472 26/2/25 Cleared RM1,333.00(RM228.00)</t>
  </si>
  <si>
    <t>RHB 000472 26/2/25 Cleared RM1,333.00(RM130.00)</t>
  </si>
  <si>
    <t>RHB 000472 26/2/25 Cleared RM1,333.00(RM220.00)</t>
  </si>
  <si>
    <t>Trsf 24/1/15 RM60,000.00(RM957.60), 4/2/25 RM16,000.00(RM17.40)</t>
  </si>
  <si>
    <t>Trsf 4/2/25 RM16,000.00(RM812.50)</t>
  </si>
  <si>
    <t>Trsf 4/2/25 RM16,000.00(RM15,170.10), 12/2/25 RM24,000.00(RM5,707.90)</t>
  </si>
  <si>
    <t>Trsf 12/2/25 RM24,000.00(RM6,726.00)</t>
  </si>
  <si>
    <t>Trsf 12/2/25 RM24,000.00(RM4,770.00)</t>
  </si>
  <si>
    <t>Trsf 12/2/25 RM24,000.00(RM380.00)</t>
  </si>
  <si>
    <t>Trsf 12/2/25 RM24,000.00(RM2,000.00)</t>
  </si>
  <si>
    <t>Trsf 12/2/25 RM24,000.00(RM1,000.00)</t>
  </si>
  <si>
    <t>Trsf 12/2/25 RM24,000.00(RM62.00)</t>
  </si>
  <si>
    <t>Trsf 12/2/25 RM24,000.00(RM3,353.60), 27/2/25 RM30,000.00(RM4,676.40)</t>
  </si>
  <si>
    <t>Trsf 27/2/25 RM30,000.00(RM3,219.00)</t>
  </si>
  <si>
    <t>Trsf 27/2/25 RM30,000.00(RM1,000.00)</t>
  </si>
  <si>
    <t>Trsf 27/2/25 RM30,000.00(RM125.00)</t>
  </si>
  <si>
    <t>Trsf 27/2/25 RM30,000.00(RM380.00)</t>
  </si>
  <si>
    <t>Trsf 27/2/25 RM30,000.00(RM3,212.00)</t>
  </si>
  <si>
    <t>Trsf 27/2/25 RM30,000.00(RM625.00)</t>
  </si>
  <si>
    <t>Trsf 27/2/25 RM30,000.00(RM16,060.00)</t>
  </si>
  <si>
    <t>Trsf 27/2/25 RM30,000.00(RM429.20)</t>
  </si>
  <si>
    <t>Trsf 12/2/25 RM185.00</t>
  </si>
  <si>
    <t>Trsf 18/2/25 RM1,947.00,</t>
  </si>
  <si>
    <t>Trsf 18/2/25 RM700.00</t>
  </si>
  <si>
    <t>Trsf 25/2/25 RM2,164.00</t>
  </si>
  <si>
    <t>Chq PBB 072022, Cleared 28/2/25 RM2,127.50</t>
  </si>
  <si>
    <t>INV00001139</t>
  </si>
  <si>
    <t>INV00001140</t>
  </si>
  <si>
    <t>C00000013a</t>
  </si>
  <si>
    <t>Resin 268BQT (225kg)</t>
  </si>
  <si>
    <t>Gelcoat (22kg)</t>
  </si>
  <si>
    <t>Brush 2" (12pcs)</t>
  </si>
  <si>
    <t>Accelerator (4kg)</t>
  </si>
  <si>
    <t>TR104 Hi Temp Wax</t>
  </si>
  <si>
    <t>Bosny Wax (15kg)</t>
  </si>
  <si>
    <t>Fume silica HJSIL 200(10Kg)</t>
  </si>
  <si>
    <t>Pigment Super White (1kg)</t>
  </si>
  <si>
    <t>Pigment Tangerine Y12 (5kg)</t>
  </si>
  <si>
    <t>INV00001141</t>
  </si>
  <si>
    <t>INV00001142</t>
  </si>
  <si>
    <t>INV00001143</t>
  </si>
  <si>
    <t>RM Pigment Paste Orange (5Kg)</t>
  </si>
  <si>
    <t>INV00001144</t>
  </si>
  <si>
    <t>INV00001145</t>
  </si>
  <si>
    <t>INV00001146</t>
  </si>
  <si>
    <t>INV00001147</t>
  </si>
  <si>
    <t>INV00001148</t>
  </si>
  <si>
    <t>RM Pigment Transparent Green (5Kg)</t>
  </si>
  <si>
    <t>INV00001149</t>
  </si>
  <si>
    <t>INV00001150</t>
  </si>
  <si>
    <t>INV00001151</t>
  </si>
  <si>
    <t>Woven Roing E-600gm 1120mm (45kg)</t>
  </si>
  <si>
    <t>INV00001152</t>
  </si>
  <si>
    <t>C00000061</t>
  </si>
  <si>
    <t>GK SHAANAZ ENTERPRISE</t>
  </si>
  <si>
    <t>RA Resin 268BQT (225kg)</t>
  </si>
  <si>
    <t>INV00001153</t>
  </si>
  <si>
    <t>INV00001154</t>
  </si>
  <si>
    <t>INV00001155</t>
  </si>
  <si>
    <t>INV00001156</t>
  </si>
  <si>
    <t>INV00001157</t>
  </si>
  <si>
    <t>RA Gelcoat (22kg)</t>
  </si>
  <si>
    <t>INV00001158</t>
  </si>
  <si>
    <t>RA Resin 8201WPT (225kg)</t>
  </si>
  <si>
    <t>INV00001159</t>
  </si>
  <si>
    <t>INV00001160</t>
  </si>
  <si>
    <t>INV00001161</t>
  </si>
  <si>
    <t>INV00001162</t>
  </si>
  <si>
    <t>INV00001163</t>
  </si>
  <si>
    <t>INV00001164</t>
  </si>
  <si>
    <t>INV00001165</t>
  </si>
  <si>
    <t>Protech Master Coach Sdn Bhd</t>
  </si>
  <si>
    <t>INV00001166</t>
  </si>
  <si>
    <t>INV00001167</t>
  </si>
  <si>
    <t>INV00001168</t>
  </si>
  <si>
    <t>INV00001169</t>
  </si>
  <si>
    <t>Trsf 27/2/25 RM30,000.00(RM273.40), 1/3/25 RM15,000.00(RM6,164.60)</t>
  </si>
  <si>
    <t>Trsf 1/3/25 RM15,000.00(RM3,577.50)</t>
  </si>
  <si>
    <t>Trsf 1/3/25 RM15,000.00(RM380.00)</t>
  </si>
  <si>
    <t>Trsf 1/3/25 RM15,000.00(RM1,000.00)</t>
  </si>
  <si>
    <t>Trsf 1/3/25 RM15,000.00(RM125.00)</t>
  </si>
  <si>
    <t>Trsf 1/3/25 RM15,000.00(RM3,212.00)</t>
  </si>
  <si>
    <t>Trsf 1/3/25 RM15,000.00(RM540.90), 11/3/25 RM15,000.00(RM329.10)</t>
  </si>
  <si>
    <t>Trsf 11/3/25 RM15,000.00(RM715.50)</t>
  </si>
  <si>
    <t>Trsf 11/3/25 RM15,000.00(RM380.00)</t>
  </si>
  <si>
    <t>Trsf 11/3/25 RM15,000.00(RM1,000.00)</t>
  </si>
  <si>
    <t>Trsf 11/3/25 RM15,000.00(RM625.00)</t>
  </si>
  <si>
    <t>Trsf 11/3/25 RM15,000.00(RM11,950.40), 15/3/25 RM5,000.00(RM4,109.60)</t>
  </si>
  <si>
    <t>Trsf 15/3/25 RM5,000.00(RM890.40), 19/3/25 RM10,000.00(RM5,547.60)</t>
  </si>
  <si>
    <t>Trsf 19/3/25 RM10,000.00(RM3,577.50)</t>
  </si>
  <si>
    <t>Trsf 19/3/25 RM10,000.00(RM380.00)</t>
  </si>
  <si>
    <t>Trsf 19/3/25 RM10,000.00(RM494.90), 22/3/25 RM5,000.00(RM505.10)</t>
  </si>
  <si>
    <t>Trsf 22/3/25 RM5,000.00(RM687.50)</t>
  </si>
  <si>
    <t>Trsf 22/3/25 RM5,000.00(RM3,807.40), 25/3/25 RM30,000.00(RM13,858.60)</t>
  </si>
  <si>
    <t>Trsf 25/3/25 RM30,000.00(RM4,935.80)</t>
  </si>
  <si>
    <t>Trsf 25/3/25 RM30,000.00(RM1,908.00)</t>
  </si>
  <si>
    <t>Trsf 25/3/25 RM30,000.00(RM380.00)</t>
  </si>
  <si>
    <t>Trsf 25/3/25 RM30,000.00(RM1,000.00)</t>
  </si>
  <si>
    <t>Trsf 25/3/25 RM30,000.00(RM2,000.00)</t>
  </si>
  <si>
    <t>Trsf 25/3/25 RM30,000.00(RM500.00)</t>
  </si>
  <si>
    <t>Trsf 27/3/25 RM35,000.00(RM1,642.50)</t>
  </si>
  <si>
    <t>Trsf 27/3/25 RM35,000.00(RM2,262.50)</t>
  </si>
  <si>
    <t>Trsf 27/3/25 RM35,000.00(RM1,669.50)</t>
  </si>
  <si>
    <t>Trsf 27/3/25 RM35,000.00(RM380.00)</t>
  </si>
  <si>
    <t>Trsf 27/3/25 RM35,000.00(RM625.00)</t>
  </si>
  <si>
    <t>Trsf 27/3/25 RM35,000.00(RM9,636.00)</t>
  </si>
  <si>
    <t>Trsf 27/3/25 RM35,000.00(RM6,480.00)</t>
  </si>
  <si>
    <t>Trsf 27/3/25 RM35,000.00(RM6,438.00)</t>
  </si>
  <si>
    <t>Trsf 25/3/25 RM30,000.00(RM5,417.60), 27/3/25 RM35,000.00(RM5,824.40)</t>
  </si>
  <si>
    <t>Trsf 17/2/25 RM1,000.00(RM588.00), 24/2/25 RM1,000.00(RM1,000.00), 3/3/25 RM1,000.00(RM150.00)</t>
  </si>
  <si>
    <t>Trsf 3/3/25 RM1,000.00(RM405.00)</t>
  </si>
  <si>
    <t>Trsf 3/3/25 RM1,000.00(RM110.00)</t>
  </si>
  <si>
    <t>Trsf 3/3/25 RM1,000.00(RM335.00), 10/3/25 RM1,300.00(RM55.00)</t>
  </si>
  <si>
    <t>Trsf 10/3/25 RM1,300.00(RM1,245.00), 17/3/25 RM1,500.00(RM493.00)</t>
  </si>
  <si>
    <t>Trsf 17/3/25 RM1,500.00(RM405.00)</t>
  </si>
  <si>
    <t>Trsf 17/3/25 RM1,500.00(RM390.00)</t>
  </si>
  <si>
    <t>Trsf 17/3/25 RM1,500.00(RM187.50)</t>
  </si>
  <si>
    <t>Cheque MBB 354399, Cleared 3/3/25 RM16,896.50</t>
  </si>
  <si>
    <t>Cheque MBB 852603, Cleared 28/3/25 RM6,823.20</t>
  </si>
  <si>
    <t>MBB 016393 cleared 6/3/25 RM8,742.00</t>
  </si>
  <si>
    <t>Trsf 7/3/25 RM144.00</t>
  </si>
  <si>
    <t>Chq PBB 072023, Cleared 14/3/25 RM3,127.50</t>
  </si>
  <si>
    <t>Trsf 14/3/25 RM2,023.20</t>
  </si>
  <si>
    <t>Trsf 20/3/25 RM1,900.70(RM1,597.50)</t>
  </si>
  <si>
    <t>Trsf 24/3/25 RM2,243.20</t>
  </si>
  <si>
    <t>Alliance</t>
  </si>
  <si>
    <t>AIBB 000492 19/3/25 RM1,000.00(RM1,000.00), 000493 25/3/25 RM1,105.00(RM755.00)</t>
  </si>
  <si>
    <t>Trsf 27/3/25 RM2,433.40(RM1,575.00)</t>
  </si>
  <si>
    <t>Trsf 27/3/25 RM2,433.40(RM858.40)</t>
  </si>
  <si>
    <t>Trsf 25/2/25 RM21,025.80</t>
  </si>
  <si>
    <t>Trsf 27/3/25 RM42,934.60</t>
  </si>
  <si>
    <t>GK SHAANAZ ENTERPRISE Total</t>
  </si>
  <si>
    <t>Protech Master Coach Sdn Bhd Total</t>
  </si>
  <si>
    <t>Trsf 26/9/25 RM5,000.00(RM3,253.80), Trsf 18/3/25 RM300.00(RM300.00)</t>
  </si>
  <si>
    <t xml:space="preserve">Trsf 26/7/24 RM1,000.00(RM1,000.00), 12/11/24 RM1,200.00(RM1,200.00), </t>
  </si>
  <si>
    <t>03/04/2025</t>
  </si>
  <si>
    <t>INV00001170</t>
  </si>
  <si>
    <t>RO Resin 8213WPT (225Kg)</t>
  </si>
  <si>
    <t>05/04/2025</t>
  </si>
  <si>
    <t>INV00001171</t>
  </si>
  <si>
    <t>INV00001172</t>
  </si>
  <si>
    <t>07/04/2025</t>
  </si>
  <si>
    <t>INV00001173</t>
  </si>
  <si>
    <t>RM Resin 268BQT (25Kg)</t>
  </si>
  <si>
    <t>08/04/2025</t>
  </si>
  <si>
    <t>INV00001174</t>
  </si>
  <si>
    <t>INV00001175</t>
  </si>
  <si>
    <t>09/04/2025</t>
  </si>
  <si>
    <t>INV00001176</t>
  </si>
  <si>
    <t>INV00001177</t>
  </si>
  <si>
    <t>10/04/2025</t>
  </si>
  <si>
    <t>INV00001178</t>
  </si>
  <si>
    <t>11/04/2025</t>
  </si>
  <si>
    <t>INV00001179</t>
  </si>
  <si>
    <t>INV00001180</t>
  </si>
  <si>
    <t>12/04/2025</t>
  </si>
  <si>
    <t>INV00001181</t>
  </si>
  <si>
    <t>14/04/2025</t>
  </si>
  <si>
    <t>INV00001182</t>
  </si>
  <si>
    <t>15/04/2025</t>
  </si>
  <si>
    <t>INV00001183</t>
  </si>
  <si>
    <t>RO CSM 450 1860mm(W) (67kg)</t>
  </si>
  <si>
    <t>17/04/2025</t>
  </si>
  <si>
    <t>INV00001184</t>
  </si>
  <si>
    <t>INV00001185</t>
  </si>
  <si>
    <t>18/04/2025</t>
  </si>
  <si>
    <t>INV00001186</t>
  </si>
  <si>
    <t>RO Resin 8213WPT (225kg)</t>
  </si>
  <si>
    <t>19/04/2025</t>
  </si>
  <si>
    <t>INV00001187</t>
  </si>
  <si>
    <t>INV00001188</t>
  </si>
  <si>
    <t>23/04/2025</t>
  </si>
  <si>
    <t>INV00001189</t>
  </si>
  <si>
    <t>INV00001190</t>
  </si>
  <si>
    <t>24/04/2025</t>
  </si>
  <si>
    <t>INV00001191</t>
  </si>
  <si>
    <t>25/04/2025</t>
  </si>
  <si>
    <t>INV00001192</t>
  </si>
  <si>
    <t>INV00001193</t>
  </si>
  <si>
    <t>29/04/2025</t>
  </si>
  <si>
    <t>INV00001194</t>
  </si>
  <si>
    <t>INV00001195</t>
  </si>
  <si>
    <t>Trsf 17/3/25 RM1,500.00(RM24.50), 24/3/25 RM1,500.00(RM1,500.00), 3/4/25 RM1,200.00(RM213.50)</t>
  </si>
  <si>
    <t>Trsf 3/4/25 RM1,200.00(RM405.00)</t>
  </si>
  <si>
    <t>Trsf 3/4/25 RM1,200.00(RM187.50)</t>
  </si>
  <si>
    <t>Trsf 3/4/25 RM1,200.00(RM394.00), 10/4/25 RM1,400.00(RM26.00)</t>
  </si>
  <si>
    <t>Trsf 10/4/25 RM1,400.00(RM150.00)</t>
  </si>
  <si>
    <t>Trsf 10/4/25 RM1,400.00(RM160.00)</t>
  </si>
  <si>
    <t>Trsf 16/4/25 RM2,000.00(RM110.00)</t>
  </si>
  <si>
    <t>Trsf 16/4/25 RM2,000.00(RM1,216.00), 23/4/25 RM2,000.00(RM522.00)</t>
  </si>
  <si>
    <t>Trsf 23/4/25 RM2,000.00(RM405.00)</t>
  </si>
  <si>
    <t>Trsf 23/4/25 RM2,000.00(RM187.50)</t>
  </si>
  <si>
    <t>Trsf 23/4/25 RM2,000.00(RM390.00)</t>
  </si>
  <si>
    <t>Trsf 23/4/25 RM2,000.00(RM110.00)</t>
  </si>
  <si>
    <t>Trsf 23/4/25 RM2,000.00(RM283.80)</t>
  </si>
  <si>
    <t>Trsf 10/4/25 RM1,400.00(RM1,064.00), 16/4/25 RM2,000.00(RM674.00)</t>
  </si>
  <si>
    <t>Chq PBB 072024, Cleared 2/4/25 RM3,030.00</t>
  </si>
  <si>
    <t>Chq PBB 072025, Cleared 16/4/25 RM2,265.00</t>
  </si>
  <si>
    <t>Trsf 20/3/25 RM1,900.70(RM303.20), Cash 9/4/25 RM300.00(RM10.00)</t>
  </si>
  <si>
    <t>Cash 9/4/25 RM300.00(RM115.00)</t>
  </si>
  <si>
    <t>Cash 9/4/25 RM300.00(RM60.00)</t>
  </si>
  <si>
    <t>Trsf 9/4/25 RM2,198.20</t>
  </si>
  <si>
    <t>Trsf 9/4/25 RM2,185.70</t>
  </si>
  <si>
    <t>Trsf 14/4/25 RM4,371.40</t>
  </si>
  <si>
    <t>Trsf 9/4/25 RM1,522.00</t>
  </si>
  <si>
    <t>Trsf 11/4/25 RM716.00</t>
  </si>
  <si>
    <t>AIBB 000494 11/4/25 RM1,450.00(RM1,450.00)</t>
  </si>
  <si>
    <t>AIBB 000493 25/3/25 RM1,105.00(RM220.00)</t>
  </si>
  <si>
    <t>AIBB 000493 25/3/25 RM1,105.00(RM130.00)</t>
  </si>
  <si>
    <t>AIBB 001001 16/4/25 RM1,000.00(RM1,000.00), AIBB 001002 23/4/25 RM1,333.00(RM755.00)</t>
  </si>
  <si>
    <t>AIBB 001002 23/4/25 RM1,333.00(RM228.00)</t>
  </si>
  <si>
    <t>AIBB 001002 23/4/25 RM1,333.00(RM220.00)</t>
  </si>
  <si>
    <t>AIBB 001002 23/4/25 RM1,333.00(RM130.00)</t>
  </si>
  <si>
    <t>Trsf 29/4/25 RM250.00</t>
  </si>
  <si>
    <t>Trsf 29/4/25 RM22,788.40</t>
  </si>
  <si>
    <t>Cheque MBB 852648, Cleared 11/4/25 RM19,675.00</t>
  </si>
  <si>
    <t>Trsf 27/3/25 RM35,000.00(RM42.60), 10/4/25 RM18,000.00(RM3,534.90)</t>
  </si>
  <si>
    <t>Trsf 10/4/25 RM18,000.00(RM380.00)</t>
  </si>
  <si>
    <t>Trsf 10/4/25 RM18,000.00(RM2,000.00)</t>
  </si>
  <si>
    <t>Trsf 10/4/25 RM18,000.00(RM625.00)</t>
  </si>
  <si>
    <t>Trsf 10/4/25 RM18,000.00(RM11,460.10), 17/4/25 RM10,000.00(RM4,739.90)</t>
  </si>
  <si>
    <t>Trsf 17/4/25 RM10,000.00(RM5,260.10), 18/4/25 RM22,000.00(RM1,177.90)</t>
  </si>
  <si>
    <t>02/05/2025</t>
  </si>
  <si>
    <t>INV00001196</t>
  </si>
  <si>
    <t>03/05/2025</t>
  </si>
  <si>
    <t>INV00001197</t>
  </si>
  <si>
    <t>INV00001198</t>
  </si>
  <si>
    <t>INV00001199</t>
  </si>
  <si>
    <t>INV00001200</t>
  </si>
  <si>
    <t>04/05/2025</t>
  </si>
  <si>
    <t>INV00001201</t>
  </si>
  <si>
    <t>06/05/2025</t>
  </si>
  <si>
    <t>INV00001202</t>
  </si>
  <si>
    <t>INV00001203</t>
  </si>
  <si>
    <t>INV00001204</t>
  </si>
  <si>
    <t>08/05/2025</t>
  </si>
  <si>
    <t>INV00001205</t>
  </si>
  <si>
    <t>INV00001206</t>
  </si>
  <si>
    <t>10/05/2025</t>
  </si>
  <si>
    <t>INV00001207</t>
  </si>
  <si>
    <t>INV00001208</t>
  </si>
  <si>
    <t>14/05/2025</t>
  </si>
  <si>
    <t>INV00001209</t>
  </si>
  <si>
    <t>INV00001210</t>
  </si>
  <si>
    <t>INV00001211</t>
  </si>
  <si>
    <t>15/05/2025</t>
  </si>
  <si>
    <t>INV00001212</t>
  </si>
  <si>
    <t>RO Gelcoat (22kg)</t>
  </si>
  <si>
    <t>16/05/2025</t>
  </si>
  <si>
    <t>INV00001213</t>
  </si>
  <si>
    <t>INV00001214</t>
  </si>
  <si>
    <t>17/05/2025</t>
  </si>
  <si>
    <t>INV00001215</t>
  </si>
  <si>
    <t>INV00001216</t>
  </si>
  <si>
    <t>20/05/2025</t>
  </si>
  <si>
    <t>INV00001217</t>
  </si>
  <si>
    <t>22/05/2025</t>
  </si>
  <si>
    <t>INV00001218</t>
  </si>
  <si>
    <t>23/05/2025</t>
  </si>
  <si>
    <t>INV00001219</t>
  </si>
  <si>
    <t>INV00001220</t>
  </si>
  <si>
    <t>26/05/2025</t>
  </si>
  <si>
    <t>INV00001221</t>
  </si>
  <si>
    <t>INV00001222</t>
  </si>
  <si>
    <t>27/05/2025</t>
  </si>
  <si>
    <t>INV00001223</t>
  </si>
  <si>
    <t>INV00001224</t>
  </si>
  <si>
    <t>INV00001225</t>
  </si>
  <si>
    <t>29/05/2025</t>
  </si>
  <si>
    <t>INV00001226</t>
  </si>
  <si>
    <t>INV00001227</t>
  </si>
  <si>
    <t>30/05/2025</t>
  </si>
  <si>
    <t>INV00001228</t>
  </si>
  <si>
    <t>Trsf 23/4/25 RM2,000.00(RM101.70), 2/5/25 RM2,000.00(RM158.30)</t>
  </si>
  <si>
    <t>Trsf 2/5/25 RM2,000.00(RM120.00)</t>
  </si>
  <si>
    <t>Trsf 2/5/25 RM2,000.00(RM1.721.70), 11/5/25 RM1,000.00(RM16.30)</t>
  </si>
  <si>
    <t>Trsf 11/5/25 RM2,000.00(RM405.00)</t>
  </si>
  <si>
    <t>Trsf 11/5/25 RM2,000.00(RM390.00)</t>
  </si>
  <si>
    <t>Trsf 11/5/25 RM2,000.00(RM188.70), 13/5/25 RM1,000.00(RM1,000.00). 21/5/25 RM1,400.00(RM549.30)</t>
  </si>
  <si>
    <t>Trsf 21/5/25 RM1,400.00(RM405.00)</t>
  </si>
  <si>
    <t>Trsf 21/5/25 RM1,400.00(RM395.00)</t>
  </si>
  <si>
    <t>Trsf 18/4/25 RM22,000.00(RM1,177.90)</t>
  </si>
  <si>
    <t>Trsf 18/4/25 RM22,000.00(RM380.00)</t>
  </si>
  <si>
    <t>Trsf 18/4/25 RM22,000.00(RM2,000.00)</t>
  </si>
  <si>
    <t>Trsf 18/4/25 RM22,000.00(RM187.50)</t>
  </si>
  <si>
    <t>Trsf 18/4/25 RM22,000.00(RM9.720.00)</t>
  </si>
  <si>
    <t>Trsf 18/4/25 RM22,000.00(RM2,385.00)</t>
  </si>
  <si>
    <t>Trsf 18/4/25 RM22,000.00(RM1,000.00)</t>
  </si>
  <si>
    <t>Trsf 18/4/25 RM22,000.00(RM312.50)</t>
  </si>
  <si>
    <t>Trsf 2/5/25 RM20,000.00(RM2,088.00)</t>
  </si>
  <si>
    <t>Trsf 2/5/25 RM20,000.00(RM2,146.50)</t>
  </si>
  <si>
    <t>Trsf 2/5/25 RM20,000.00(RM380.00)</t>
  </si>
  <si>
    <t>Trsf 2/5/25 RM20,000.00(RM1,000.00)</t>
  </si>
  <si>
    <t>Trsf 2/5/25 RM20,000.00(RM62.50)</t>
  </si>
  <si>
    <t>Trsf 2/5/25 RM20,000.00(RM13,482.60), 5/5/25 RM18,000.00(RM2,717.40)</t>
  </si>
  <si>
    <t>Trsf 5/5/25 RM18,000.00(RM3,480.00)</t>
  </si>
  <si>
    <t>Trsf 5/5/25 RM18,000.00(RM2,862.00)</t>
  </si>
  <si>
    <t>Trsf 5/5/25 RM18,000.00(RM460.00)</t>
  </si>
  <si>
    <t>Trsf 5/5/25 RM18,000.00(RM2,000.00)</t>
  </si>
  <si>
    <t>Trsf 5/5/25 RM18,000.00(RM975.00)</t>
  </si>
  <si>
    <t>Trsf 5/5/25 RM18,000.00(RM62.50)</t>
  </si>
  <si>
    <t>Trsf 5/5/25 RM18,000.00(RM3,240.00)</t>
  </si>
  <si>
    <t>Trsf 5/5/25 RM18,000.00(RM1,192.50)</t>
  </si>
  <si>
    <t>Trsf 5/5/25 RM18,000.00(RM488.10), 7/5/25 RM19,000.00(RM2,751.90)</t>
  </si>
  <si>
    <t>Trsf 7/5/25 RM19,000.00(RM696.00)</t>
  </si>
  <si>
    <t>Trsf 7/5/25 RM19,000.00(RM715.50)</t>
  </si>
  <si>
    <t>Trsf 7/5/25 RM19,000.00(RM345.00)</t>
  </si>
  <si>
    <t>Trsf 7/5/25 RM19,000.00(RM125.00)</t>
  </si>
  <si>
    <t>Trsf 7/5/25 RM19,000.00(RM4,860.00)</t>
  </si>
  <si>
    <t>Trsf 7/5/25 RM19,000.00(RM1,740.00)</t>
  </si>
  <si>
    <t>Trsf 7/5/25 RM19,000.00(RM954.00)</t>
  </si>
  <si>
    <t>Trsf 7/5/25 RM19,000.00(RM460.00)</t>
  </si>
  <si>
    <t>Trsf 7/5/25 RM19,000.00(RM975.00)</t>
  </si>
  <si>
    <t>Trsf 7/5/25 RM19,000.00(RM312.50)</t>
  </si>
  <si>
    <t>Trsf 7/5/25 RM19,000.00(RM5,065.10), 9/5/25 RM8,000.00(RM3,034.90)</t>
  </si>
  <si>
    <t>Trsf 9/5/25 RM8,000.00(RM460.00)</t>
  </si>
  <si>
    <t>Trsf 9/5/25 RM8,000.00(RM1,669.50)</t>
  </si>
  <si>
    <t>Trsf 9/5/25 RM8,000.00(RM2,610.00)</t>
  </si>
  <si>
    <t>Trsf 9/5/25 RM8,000.00(RM225.60), 13/5/25 RM4,500.00(RM749.40)</t>
  </si>
  <si>
    <t>Trsf 13/5/25 RM4,500.00(RM3,750.60), 16/5/25 RM18,000.00(RM5,969.40)</t>
  </si>
  <si>
    <t>Trsf 16/5/25 RM18,000.00(RM2,610.00)</t>
  </si>
  <si>
    <t>Trsf 16/5/25 RM18,000.00(RM312.50)</t>
  </si>
  <si>
    <t>Trsf 22/5/25 RM7,500.00(RM3,577.50)</t>
  </si>
  <si>
    <t>Trsf 22/5/25 RM7,500.00(RM575.00)</t>
  </si>
  <si>
    <t>Trsf 23/5/25 RM10,000.00(125.00)</t>
  </si>
  <si>
    <t>Trsf 23/5/25 RM10,000.00(RM8,100.00)</t>
  </si>
  <si>
    <t>Trsf 27/5/25 RM8,500.00(RM1,732.50)</t>
  </si>
  <si>
    <t>Trsf 27/5/25 RM8,500.00(RM690.00)</t>
  </si>
  <si>
    <t>Trsf 27/5/25 RM8,500.00(RM975.00)</t>
  </si>
  <si>
    <t>Trsf 27/5/25 RM8,500.00(RM62.50)</t>
  </si>
  <si>
    <t>Trsf 16/5/25 RM18,000.00(RM1,669.50)</t>
  </si>
  <si>
    <t>Trsf 16/5/25 RM18,000.00(RM7,438.60, 16/5/25 RM4,500.00(RM4,500.00), 20/5/25 RM2,500.00(RM1,021.40)</t>
  </si>
  <si>
    <t>Trsf 20/5/25 RM2,500.00(RM1,478.60), 20/5/25RM2,000.00(RM2,000.00), 22/5/25 RM7,500.00(RM1,741.40)</t>
  </si>
  <si>
    <t>Trsf 22/5/25 RM7,500.00(RM1,606.10), 23/5/25 RM10,000.00(RM343.90)</t>
  </si>
  <si>
    <t>Trsf 23/5/25 RM10,000.00(RM1,431.10), 27/5/25 RM8,500.00(RM1,178.90)</t>
  </si>
  <si>
    <t>Trsf 27/5/25 RM8,500.00(RM3,861.10), 30/5/25 RM13,000.00(RM998.90)</t>
  </si>
  <si>
    <t>Trsf 30/5/25 RM13,000.00(RM1,566.00)</t>
  </si>
  <si>
    <t>Trsf 30/5/25 RM13,000.00(RM990.00)</t>
  </si>
  <si>
    <t>Trsf 30/5/25 RM13,000.00(RM187.50)</t>
  </si>
  <si>
    <t>Trsf 30/5/25 RM13,000.00(RM8,100.00)</t>
  </si>
  <si>
    <t>Trsf 18/4/25 RM22,000.00(RM879.60), 22/4/25 RM8,000.00(RM8,000.00), 2/5/25 RM20,000.00(RM840.40)</t>
  </si>
  <si>
    <t>Trsf 2/5/25 RM716.00</t>
  </si>
  <si>
    <t>Trsf 6/5/25 RM775.00</t>
  </si>
  <si>
    <t>Trsf 29/5/25 RM2,234.50</t>
  </si>
  <si>
    <t>Trsf 3/5/25 RM4,967.40</t>
  </si>
  <si>
    <t>Trsf 6/5/25 RM2,166.20</t>
  </si>
  <si>
    <t>Trsf 26/5/25 RM6,958.60</t>
  </si>
  <si>
    <t>Cheque MBB 852699, Cleared 15/5/25 RM32,341.10</t>
  </si>
  <si>
    <t>AIBB 001014 29/4/25 RM1,000.00(RM1,000.00), 001016 13/5/25 RM1,170.00(RM755.00)</t>
  </si>
  <si>
    <t>AIBB 001016 13/5/25 RM1,170.00(RM195.00)</t>
  </si>
  <si>
    <t>AIBB 001016 13/5/25 RM1,170.00(RM220.00)</t>
  </si>
  <si>
    <t>Chq PBB 072027, Cleared 14/5/25 RM2,707.50</t>
  </si>
  <si>
    <t>Trsf 31/5/25 RM24,595.40</t>
  </si>
  <si>
    <t>Chq PBB 072026, Cleared 5/5/25 RM2,360.00</t>
  </si>
  <si>
    <t>03/06/2025</t>
  </si>
  <si>
    <t>INV00001229</t>
  </si>
  <si>
    <t>INV00001230</t>
  </si>
  <si>
    <t>04/06/2025</t>
  </si>
  <si>
    <t>INV00001231</t>
  </si>
  <si>
    <t>Pioneer Coachbuilders Sdn Bhd</t>
  </si>
  <si>
    <t>Gelcoat (25kg)</t>
  </si>
  <si>
    <t>Pigment Grey G1 (5kg)</t>
  </si>
  <si>
    <t>Acccelerator (4kg)</t>
  </si>
  <si>
    <t xml:space="preserve">Pigment Orange (5kg)  </t>
  </si>
  <si>
    <t>PVA (5kg)</t>
  </si>
  <si>
    <t>05/06/2025</t>
  </si>
  <si>
    <t>INV00001232</t>
  </si>
  <si>
    <t>INV00001233</t>
  </si>
  <si>
    <t>06/06/2025</t>
  </si>
  <si>
    <t>INV00001234</t>
  </si>
  <si>
    <t>INV00001235</t>
  </si>
  <si>
    <t>INV00001236</t>
  </si>
  <si>
    <t>07/06/2025</t>
  </si>
  <si>
    <t>INV00001237</t>
  </si>
  <si>
    <t>09/06/2025</t>
  </si>
  <si>
    <t>INV00001238</t>
  </si>
  <si>
    <t>RD Steel Roller 7"</t>
  </si>
  <si>
    <t>10/06/2025</t>
  </si>
  <si>
    <t>INV00001239</t>
  </si>
  <si>
    <t>INV00001240</t>
  </si>
  <si>
    <t>12/06/2025</t>
  </si>
  <si>
    <t>INV00001241</t>
  </si>
  <si>
    <t>INV00001242</t>
  </si>
  <si>
    <t>13/06/2025</t>
  </si>
  <si>
    <t>INV00001243</t>
  </si>
  <si>
    <t>INV00001244</t>
  </si>
  <si>
    <t>RA Resin 9509wax (225kg)</t>
  </si>
  <si>
    <t>16/06/2025</t>
  </si>
  <si>
    <t>INV00001245</t>
  </si>
  <si>
    <t>SK Setia Enterprise</t>
  </si>
  <si>
    <t>RM Gelcoat NPG 9319-H (225kg)</t>
  </si>
  <si>
    <t>14/06/2025</t>
  </si>
  <si>
    <t>INV00001246</t>
  </si>
  <si>
    <t>INV00001247</t>
  </si>
  <si>
    <t>INV00001248</t>
  </si>
  <si>
    <t>17/06/2025</t>
  </si>
  <si>
    <t>INV00001249</t>
  </si>
  <si>
    <t>19/06/2025</t>
  </si>
  <si>
    <t>INV00001250</t>
  </si>
  <si>
    <t>INV00001251</t>
  </si>
  <si>
    <t>INV00001252</t>
  </si>
  <si>
    <t>21/06/2025</t>
  </si>
  <si>
    <t>INV00001253</t>
  </si>
  <si>
    <t>INV00001254</t>
  </si>
  <si>
    <t>25/06/2025</t>
  </si>
  <si>
    <t>INV00001255</t>
  </si>
  <si>
    <t>INV00001256</t>
  </si>
  <si>
    <t>INV00001257</t>
  </si>
  <si>
    <t>26/06/2025</t>
  </si>
  <si>
    <t>INV00001258</t>
  </si>
  <si>
    <t>28/06/2025</t>
  </si>
  <si>
    <t>INV00001259</t>
  </si>
  <si>
    <t>30/06/2025</t>
  </si>
  <si>
    <t>INV00001260</t>
  </si>
  <si>
    <t>Pigment Grey G13 (15kg)</t>
  </si>
  <si>
    <t>C00000062</t>
  </si>
  <si>
    <t>C00000063</t>
  </si>
  <si>
    <t>Trsf 21/5/25 RM1,400.00(RM50.70), 24/5/25 RM600.00(RM99.30)</t>
  </si>
  <si>
    <t>Trsf 24/5/25 RM600.00(RM500.70), 26/5/25 RM1,000.00(1,000.00), 1/6/25 RM500.00 (RM237.30)</t>
  </si>
  <si>
    <t>Trsf 1/6/25 RM500.00 (RM187.50)</t>
  </si>
  <si>
    <t>Trsf 1/6/25 RM500.00 (RM75.20), 12/6/25 RM1,000.00(RM344.80)</t>
  </si>
  <si>
    <t>Trsf 12/6/25 RM1,000.00(RM110.00)</t>
  </si>
  <si>
    <t>Trsf 12/6/25 RM1,000.00(RM545.20), 17/7/25 RM1,000.00(RM1,000.00),  18/7/25 RM1,500.00(RM214.80)</t>
  </si>
  <si>
    <t>Trsf 18/6/25 RM1,500.00(RM405.00)</t>
  </si>
  <si>
    <t>Trsf 18/6/25 RM1,500.00(RM390.00)</t>
  </si>
  <si>
    <t>Trsf 18/6/25 RM1,500.00(RM187.50)</t>
  </si>
  <si>
    <t>Trsf 30/5/25 RM13,000.00(RM1,157.60), 4/6/25 RM14,500.00(RM408.40)</t>
  </si>
  <si>
    <t>Trsf 4/6/25 RM14,500.00(RM1,980.00)</t>
  </si>
  <si>
    <t>Trsf 4/6/25 RM14,500.00(RM460.00)</t>
  </si>
  <si>
    <t>Trsf 4/6/25 RM14,500.00(RM1,000.00)</t>
  </si>
  <si>
    <t>Trsf 4/6/25 RM14,500.00(RM3,240.00)</t>
  </si>
  <si>
    <t>Trsf 4/6/25 RM14,500.00(RM696.00)</t>
  </si>
  <si>
    <t>Trsf 4/6/25 RM14,500.00(RM495.00)</t>
  </si>
  <si>
    <t>Trsf 4/6/25 RM14,500.00(RM975.00)</t>
  </si>
  <si>
    <t>Trsf 4/6/25 RM14,500.00(RM62.50)</t>
  </si>
  <si>
    <t>Trsf 4/6/25 RM14,500.00(RM4,723.10), 5/6/25 RM10,000.00(RM136.90)</t>
  </si>
  <si>
    <t>Trsf 5/6/25 RM10,000.00(RM1,566.00)</t>
  </si>
  <si>
    <t>Trsf 5/6/25 RM10,000.00(RM990.00)</t>
  </si>
  <si>
    <t>Trsf 5/6/25 RM10,000.00(RM460.00)</t>
  </si>
  <si>
    <t>Trsf 5/6/25 RM10,000.00(RM1,000.00)</t>
  </si>
  <si>
    <t>Trsf 5/6/25 RM10,000.00(RM62.50)</t>
  </si>
  <si>
    <t>Trsf 5/6/25 RM10,000.00(RM1,620.00)</t>
  </si>
  <si>
    <t>Trsf 5/6/25 RM10,000.00(RM522.00)</t>
  </si>
  <si>
    <t>Trsf 5/6/25 RM10,000.00(RM247.50)</t>
  </si>
  <si>
    <t>Trsf 5/6/25 RM10,000.00(RM975.00)</t>
  </si>
  <si>
    <t>Trsf 5/6/25 RM10,000.00(RM187.50)</t>
  </si>
  <si>
    <t>Trsf 13/6/25 RM20,000.00(RM2,088.00)</t>
  </si>
  <si>
    <t>Trsf 13/6/25 RM20,000.00(RM1,485.00)</t>
  </si>
  <si>
    <t>Trsf 13/6/25 RM20,000.00(RM460.00)</t>
  </si>
  <si>
    <t>Trsf 13/6/25 RM20,000.00(RM1,000.00)</t>
  </si>
  <si>
    <t>Trsf 13/6/25 RM20,000.00(RM62.50)</t>
  </si>
  <si>
    <t>Trsf 13/6/25 RM20,000.00(RM4,860.00)</t>
  </si>
  <si>
    <t>Trsf 13/6/25 RM20,000.00(RM1,566.00)</t>
  </si>
  <si>
    <t>Trsf 13/6/25 RM20,000.00(RM990.00)</t>
  </si>
  <si>
    <t>Trsf 13/6/25 RM20,000.00(RM375.00)</t>
  </si>
  <si>
    <t>Trsf 20/6/25 RM21,000.00(RM6,264.00)</t>
  </si>
  <si>
    <t>Trsf 24/6/25 RM14,500.00(RM920.00)</t>
  </si>
  <si>
    <t>Trsf 24/6/25 RM14,500.00(RM1,950.00)</t>
  </si>
  <si>
    <t>Trsf 24/6/25 RM14,500.00(RM125.00)</t>
  </si>
  <si>
    <t>Trsf 24/6/25 RM14,500.00(RM6,480.00)</t>
  </si>
  <si>
    <t>Trsf 24/6/25 RM14,500.00(RM1,740.00)</t>
  </si>
  <si>
    <t>Trsf 30/6/25 RM15,000.00(RM125.00)</t>
  </si>
  <si>
    <t>Trsf 30/6/25 RM15,000.00(RM6,480.00)</t>
  </si>
  <si>
    <t>Trsf 30/6/25 RM15,000.00(RM2,088.00)</t>
  </si>
  <si>
    <t>Trsf 30/6/25 RM15,000.00(RM1,485.00)</t>
  </si>
  <si>
    <t>Trsf 30/6/25 RM15,000.00(RM690.00)</t>
  </si>
  <si>
    <t>Trsf 30/6/25 RM15,000.00(RM1,000.00)</t>
  </si>
  <si>
    <t>Trsf 30/6/25 RM15,000.00(RM312.50)</t>
  </si>
  <si>
    <t>Trsd 5/6/25 RM3,756.40</t>
  </si>
  <si>
    <t>Cash deposit 6/6/25 RM4,623.00</t>
  </si>
  <si>
    <t>Trsf 7/6/25 RM2,458.70</t>
  </si>
  <si>
    <t>Chq PBB 072029, Cleared 10/6/25 RM2,307.50</t>
  </si>
  <si>
    <t>Trsf 13/6/25 RM2,173.50</t>
  </si>
  <si>
    <t>Trsf 23/6/25 RM4,660.00</t>
  </si>
  <si>
    <t>Trsd 24/6/25 RM55.00</t>
  </si>
  <si>
    <t>Trsf 24/6/25 RM2,697.00</t>
  </si>
  <si>
    <t>Trsf 30/6/25 RM2,644.50</t>
  </si>
  <si>
    <t>Trsf 30/6/25 RM2,487.80</t>
  </si>
  <si>
    <t>Trsf 11/6/25 RM15,600.00(RM3,480.00)</t>
  </si>
  <si>
    <t>Trsf 5/6/25 RM10,000.00(RM2,232.60), 9/6/25 RM6,700.00(RM6,700.00), 11/6/25 RM15,600.00(RM2,407.40)</t>
  </si>
  <si>
    <t>Trsf 11/6/25 RM15,600.00(RM2,475.00)</t>
  </si>
  <si>
    <t>Trsf 11/6/25 RM15,600.00(RM1,000.00)</t>
  </si>
  <si>
    <t>Trsf 11/6/25 RM15,600.00(RM125.00)</t>
  </si>
  <si>
    <t>Trsf 11/6/25 RM5,600.00(RM6,112.60), 13/6/25 RM20,000.00(RM367.40)</t>
  </si>
  <si>
    <t>Trsf 13/6/25 RM20,000.00(RM6,746.10), 20/6/25 RM21,000.00(RM12,693.90)</t>
  </si>
  <si>
    <t>Trsf 20/6/25 RM21,000.00(RM2,042.10), 24/6/25 RM14,500.00(RM2,412.90)</t>
  </si>
  <si>
    <t>Trsf 24/6/25 RM14,500.00(RM872.10), 30/6/25 RM15,000.00(RM612.90)</t>
  </si>
  <si>
    <t>2025 Total</t>
  </si>
  <si>
    <t>Pioneer Coachbuilders Sdn Bhd Total</t>
  </si>
  <si>
    <t>SK Setia Enterprise Total</t>
  </si>
  <si>
    <t>Refer Cash Book 30/6/25 - Total collection = "C" &amp; "C-Trsp" &amp; C-CN-RM1,391.00</t>
  </si>
  <si>
    <t>Trsf 30/6/25 RM15,000.00(RM2,206.60), 1/7/25 RM15,000.00(RM13,993.40)</t>
  </si>
  <si>
    <t>Trsf 1/7/25 RM15,000.00(RM1,006.60), 7/7/25 RM14,000.00(RM3,343.40)</t>
  </si>
  <si>
    <t>Trsf 7/7/25 RM14,000.00(RM3,712.50)</t>
  </si>
  <si>
    <t>Trsf 7/7/25 RM14,000.00(RM460.00)</t>
  </si>
  <si>
    <t>Trsf 7/7/25 RM14,000.00(RM1,000.00)</t>
  </si>
  <si>
    <t>Trsf 7/7/25 RM14,000.00(RM312.50)</t>
  </si>
  <si>
    <t>Trsf 7/7/25 RM14,000.00(RM5,171.60), 10/7/25 RM17,000.00(RM11,028.40)</t>
  </si>
  <si>
    <t>Trsf 10/7/25 RM17,000.00(RM5,971.60), 14/7/25 RM15,000.00(RM466.40)</t>
  </si>
  <si>
    <t>Trsf 14/7/25 RM15,000.00(RM3,712.50)</t>
  </si>
  <si>
    <t>Trsf 14/7/25 RM15,000.00(RM460.00)</t>
  </si>
  <si>
    <t>Trsf 14/7/25 RM15,000.00(RM2,000.00)</t>
  </si>
  <si>
    <t>Trsf 14/7/25 RM15,000.00(RM125.00)</t>
  </si>
  <si>
    <t>Trsf 14/7/25 RM15,000.00(RM7,776.10), 17/7/25 RM17,000.00(RM323.90)</t>
  </si>
  <si>
    <t>Trsf 17/7/25 RM17,000.00(RM3,219.00)</t>
  </si>
  <si>
    <t>Trsf 17/7/25 RM17,000.00(RM1,980.00)</t>
  </si>
  <si>
    <t>Trsf 17/7/25 RM17,000.00(RM460.00)</t>
  </si>
  <si>
    <t>Trsf 17/7/25 RM17,000.00(RM1,000.00)</t>
  </si>
  <si>
    <t>Trsf 17/7/25 RM17,000.00(RM187.50)</t>
  </si>
  <si>
    <t>Trsf 17/7/25 RM17,000.00(RM8,100.00)</t>
  </si>
  <si>
    <t>Trsf 17/7/25 RM17,000.00(RM975.00)</t>
  </si>
  <si>
    <t>Trsf 17/7/25 RM17,000.00(RM567.10), 21/7/25 RM15,000.00(RM10,772.90)</t>
  </si>
  <si>
    <t>Trsf 21/7/25 RM15,000.00(RM3,862.80)</t>
  </si>
  <si>
    <t>Trsf 30/7/25 RM10,000.00(RM460.00)</t>
  </si>
  <si>
    <t>Trsf 30/7/25 RM10,000.00(RM375.00)</t>
  </si>
  <si>
    <t>Trsf 21/7/25 RM15,000.00(RM364.30), 30/7/25 RM10,000.00(RM1,863.20)</t>
  </si>
  <si>
    <t>Trsf 30/7/25 RM10,000.00(RM990.00)</t>
  </si>
  <si>
    <t>Trsf 30/7/25 RM10,000.00(RM1,000.00)</t>
  </si>
  <si>
    <t>Trsf 30/7/25 RM10,000.00(RM5,311.80)</t>
  </si>
  <si>
    <t>01/07/2025</t>
  </si>
  <si>
    <t>INV00001261</t>
  </si>
  <si>
    <t>INV00001262</t>
  </si>
  <si>
    <t>INV00001263</t>
  </si>
  <si>
    <t>02/07/2025</t>
  </si>
  <si>
    <t>INV00001264</t>
  </si>
  <si>
    <t>INV00001265</t>
  </si>
  <si>
    <t>04/07/2025</t>
  </si>
  <si>
    <t>INV00001266</t>
  </si>
  <si>
    <t>RM Resin 268 Non Wax (225Kg)</t>
  </si>
  <si>
    <t>RM CSM 450 1040mm (30kg)</t>
  </si>
  <si>
    <t>05/07/2025</t>
  </si>
  <si>
    <t>INV00001267</t>
  </si>
  <si>
    <t>INV00001268</t>
  </si>
  <si>
    <t>08/07/2025</t>
  </si>
  <si>
    <t>INV00001269</t>
  </si>
  <si>
    <t>INV00001270</t>
  </si>
  <si>
    <t>10/07/2025</t>
  </si>
  <si>
    <t>INV00001271</t>
  </si>
  <si>
    <t>INV00001272</t>
  </si>
  <si>
    <t>INV00001273</t>
  </si>
  <si>
    <t>RQ Talcum Powder (5kg)</t>
  </si>
  <si>
    <t>15/07/2025</t>
  </si>
  <si>
    <t>INV00001274</t>
  </si>
  <si>
    <t>INV00001275</t>
  </si>
  <si>
    <t>16/07/2025</t>
  </si>
  <si>
    <t>INV00001276</t>
  </si>
  <si>
    <t>17/07/2025</t>
  </si>
  <si>
    <t>INV00001277</t>
  </si>
  <si>
    <t>18/07/2025</t>
  </si>
  <si>
    <t>INV00001278</t>
  </si>
  <si>
    <t>INV00001279</t>
  </si>
  <si>
    <t>21/07/2025</t>
  </si>
  <si>
    <t>INV00001280</t>
  </si>
  <si>
    <t>INV00001281</t>
  </si>
  <si>
    <t>22/07/2025</t>
  </si>
  <si>
    <t>INV00001282</t>
  </si>
  <si>
    <t>INV00001283</t>
  </si>
  <si>
    <t>26/07/2025</t>
  </si>
  <si>
    <t>INV00001284</t>
  </si>
  <si>
    <t>28/07/2025</t>
  </si>
  <si>
    <t>INV00001285</t>
  </si>
  <si>
    <t>INV00001286</t>
  </si>
  <si>
    <t>INV00001287</t>
  </si>
  <si>
    <t>29/07/2025</t>
  </si>
  <si>
    <t>INV00001288</t>
  </si>
  <si>
    <t>INV00001289</t>
  </si>
  <si>
    <t>30/07/2025</t>
  </si>
  <si>
    <t>INV00001290</t>
  </si>
  <si>
    <t>RA CSM 300 1040mm (30kg)</t>
  </si>
  <si>
    <t>RM CSM 450 1860mm(W) (54Kg)</t>
  </si>
  <si>
    <t>31/07/2025</t>
  </si>
  <si>
    <t>INV00001291</t>
  </si>
  <si>
    <t>RA CSM 450 GSM Jushi 2080mm (60kg)</t>
  </si>
  <si>
    <t>RM Butanox M50 (5Kg)</t>
  </si>
  <si>
    <t xml:space="preserve">RD Brush 3" </t>
  </si>
  <si>
    <t>RD Brush 2"</t>
  </si>
  <si>
    <t>RA Pigment Super Black (1Kg)</t>
  </si>
  <si>
    <t>Paint Roller PR4101 (10pcs)</t>
  </si>
  <si>
    <t>Polar Modelling Glay</t>
  </si>
  <si>
    <t>INV00001292</t>
  </si>
  <si>
    <t>C00000064</t>
  </si>
  <si>
    <t>Cash - Encik Alang</t>
  </si>
  <si>
    <t>Trsf 18/6/25 RM1,500.00(RM302.70), 1/7/25 RM700.00(RM700.00), 13/7/25 RM500.00(RM500.00), 14/7/25 RM500.00(RM257.30)</t>
  </si>
  <si>
    <t>Trsf 14/7/25 RM500.00(RM242.70), 15/7/25 RM500.00(RM162.30)</t>
  </si>
  <si>
    <t>Trsf 15/7/25 RM500.00(RM187.50)</t>
  </si>
  <si>
    <t>Trsf 15/7/25 RM500.00(RM150.20), 21/7/25 RM500.00(RM9.80)</t>
  </si>
  <si>
    <t>Trsf 21/7/25 RM500.00(RM490.20), 27/7/25 RM500.00(RM500.00), 28/7/25 RM500.00(RM500.00), 29/7/25 RM500.00(269.80)</t>
  </si>
  <si>
    <t>Trsf 29/7/25 RM500(RM230.20)</t>
  </si>
  <si>
    <t>Trsf 7/7/24, RM2,145.50</t>
  </si>
  <si>
    <t>Trsf 9/7/25 RM2,279.50</t>
  </si>
  <si>
    <t>Trsf 25/7/25 RM3,553.00</t>
  </si>
  <si>
    <t>Trsf 28/7/25 RM2,119.50</t>
  </si>
  <si>
    <t>Trsf 18/7/25 RM30,481.00</t>
  </si>
  <si>
    <t>Trsf 26/7/25 RM17.60+448.60 = RM466.20</t>
  </si>
  <si>
    <t>Trsf 28/7/25 RM1,700.00</t>
  </si>
  <si>
    <t>Trsf 31/7/25 RM696.20</t>
  </si>
  <si>
    <t>AIBB 001044 28/7/25 RM1,300.00(RM1,300.00)</t>
  </si>
  <si>
    <t>Trsf 30/7/25 RM3,129.10</t>
  </si>
  <si>
    <t>Trsf 26/7/25 RM3,195.00</t>
  </si>
  <si>
    <t>Month : As of July 2025</t>
  </si>
  <si>
    <t>02/08/2025</t>
  </si>
  <si>
    <t>04/08/2025</t>
  </si>
  <si>
    <t>05/08/2025</t>
  </si>
  <si>
    <t>07/08/2025</t>
  </si>
  <si>
    <t>09/08/2025</t>
  </si>
  <si>
    <t>11/08/2025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</si>
  <si>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</si>
  <si>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</si>
  <si>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</si>
  <si>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</si>
  <si>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</si>
  <si>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</si>
  <si>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</si>
  <si>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</si>
  <si>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</si>
  <si>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26/08/2025</t>
  </si>
  <si>
    <t>30/08/2025</t>
  </si>
  <si>
    <t>INV00001293</t>
  </si>
  <si>
    <t>INV00001294</t>
  </si>
  <si>
    <t>INV00001295</t>
  </si>
  <si>
    <t>INV00001296</t>
  </si>
  <si>
    <t>INV00001297</t>
  </si>
  <si>
    <t>INV00001299</t>
  </si>
  <si>
    <t>INV00001300</t>
  </si>
  <si>
    <t>INV00001301</t>
  </si>
  <si>
    <t>INV00001302</t>
  </si>
  <si>
    <t>INV00001303</t>
  </si>
  <si>
    <t>INV00001304</t>
  </si>
  <si>
    <t>INV00001305</t>
  </si>
  <si>
    <t>INV00001306</t>
  </si>
  <si>
    <t>INV00001307</t>
  </si>
  <si>
    <t>INV00001308</t>
  </si>
  <si>
    <t>INV00001309</t>
  </si>
  <si>
    <t>INV00001311</t>
  </si>
  <si>
    <t>INV00001312</t>
  </si>
  <si>
    <t>INV00001313</t>
  </si>
  <si>
    <t>INV00001314</t>
  </si>
  <si>
    <t>INV00001315</t>
  </si>
  <si>
    <t>INV00001316</t>
  </si>
  <si>
    <t>INV00001317</t>
  </si>
  <si>
    <t>INV00001318</t>
  </si>
  <si>
    <t>INV00001319</t>
  </si>
  <si>
    <t>INV00001320</t>
  </si>
  <si>
    <t>INV00001321</t>
  </si>
  <si>
    <t>INV00001322</t>
  </si>
  <si>
    <t>INV00001323</t>
  </si>
  <si>
    <t>INV00001324</t>
  </si>
  <si>
    <t>INV00001325</t>
  </si>
  <si>
    <t>INV00001326</t>
  </si>
  <si>
    <t>INV00001327</t>
  </si>
  <si>
    <t>INV00001298</t>
  </si>
  <si>
    <t>INV00001310</t>
  </si>
  <si>
    <t>Sunfiber Enterprise</t>
  </si>
  <si>
    <t>RA Pigment Bright Green H5006 (5Kg)</t>
  </si>
  <si>
    <t>RM Gelcoat NPG 9319-H (20kg)</t>
  </si>
  <si>
    <t xml:space="preserve">RA Pigment Super White (5Kg)       </t>
  </si>
  <si>
    <t>Gelcoat LB9888 (22kg)</t>
  </si>
  <si>
    <t>RM CSM 300 GSM 1860 (54kg)</t>
  </si>
  <si>
    <t>RO CSM 450 GSM 1860 (67kg)</t>
  </si>
  <si>
    <t>RM Pigment Orange Y12 (5Kg)</t>
  </si>
  <si>
    <t>RM Pigment Ligth Grey G1 (5Kg)</t>
  </si>
  <si>
    <t>RM Steel Roller M16 X 4"</t>
  </si>
  <si>
    <t>RM Pigment Red (5kg)</t>
  </si>
  <si>
    <t>RO CSM 450 GSM 1860mm (67kg)</t>
  </si>
  <si>
    <t>RQ Gelcoat (22kg)</t>
  </si>
  <si>
    <t>RMPigment Super White W2 (25kg)</t>
  </si>
  <si>
    <t>RA Acetone (163kg)</t>
  </si>
  <si>
    <t xml:space="preserve">RA Honeywax 250 </t>
  </si>
  <si>
    <t>02/09/2025</t>
  </si>
  <si>
    <t>03/09/2025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</si>
  <si>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</si>
  <si>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</si>
  <si>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</si>
  <si>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</si>
  <si>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</si>
  <si>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</si>
  <si>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</si>
  <si>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</si>
  <si>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</si>
  <si>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</si>
  <si>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</si>
  <si>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</si>
  <si>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</si>
  <si>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</si>
  <si>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</si>
  <si>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26/09/2025</t>
  </si>
  <si>
    <t>27/09/2025</t>
  </si>
  <si>
    <t>30/09/2025</t>
  </si>
  <si>
    <t>INV00001328</t>
  </si>
  <si>
    <t>INV00001329</t>
  </si>
  <si>
    <t>INV00001330</t>
  </si>
  <si>
    <t>INV00001331</t>
  </si>
  <si>
    <t>INV00001332</t>
  </si>
  <si>
    <t>INV00001333</t>
  </si>
  <si>
    <t>INV00001334</t>
  </si>
  <si>
    <t>INV00001335</t>
  </si>
  <si>
    <t>INV00001336</t>
  </si>
  <si>
    <t>INV00001337</t>
  </si>
  <si>
    <t>INV00001338</t>
  </si>
  <si>
    <t>INV00001339</t>
  </si>
  <si>
    <t>INV00001340</t>
  </si>
  <si>
    <t>INV00001341</t>
  </si>
  <si>
    <t>INV00001342</t>
  </si>
  <si>
    <t>INV00001343</t>
  </si>
  <si>
    <t>INV00001344</t>
  </si>
  <si>
    <t>INV00001345</t>
  </si>
  <si>
    <t>INV00001346</t>
  </si>
  <si>
    <t>INV00001347</t>
  </si>
  <si>
    <t>INV00001348</t>
  </si>
  <si>
    <t>INV00001349</t>
  </si>
  <si>
    <t>INV00001350</t>
  </si>
  <si>
    <t>INV00001351</t>
  </si>
  <si>
    <t>INV00001352</t>
  </si>
  <si>
    <t>INV00001353</t>
  </si>
  <si>
    <t>INV00001354</t>
  </si>
  <si>
    <t>INV00001355</t>
  </si>
  <si>
    <t>INV00001356</t>
  </si>
  <si>
    <t>INV00001357</t>
  </si>
  <si>
    <t>INV00001358</t>
  </si>
  <si>
    <t>INV00001359</t>
  </si>
  <si>
    <t>Pioneer Coachbuilder Sdn Bhd</t>
  </si>
  <si>
    <t>RA Tooling Gelcoat (20kg)</t>
  </si>
  <si>
    <t>RO CSM 450 1860mm(W) (67Kg)</t>
  </si>
  <si>
    <t>Resin 268Non Wax (225kg)</t>
  </si>
  <si>
    <t>CSM 300 GSM 1860 (54kg)</t>
  </si>
  <si>
    <t>CSM 450 GSM 1860 (67kg)</t>
  </si>
  <si>
    <t xml:space="preserve">RM Pigment Super White (5Kg)       </t>
  </si>
  <si>
    <t>RA Woven Roving E-800gm 1120mm (45Kg)</t>
  </si>
  <si>
    <t>CSM 450 GSM 1860mm (67kg)</t>
  </si>
  <si>
    <t>Pigment Super White W2 (1kg)   Delivered on 29/8/25</t>
  </si>
  <si>
    <t>INV00001360</t>
  </si>
  <si>
    <t>INV00001361</t>
  </si>
  <si>
    <t>INV00001362</t>
  </si>
  <si>
    <t>INV00001363</t>
  </si>
  <si>
    <t>INV00001364</t>
  </si>
  <si>
    <t>INV00001365</t>
  </si>
  <si>
    <t>INV00001366</t>
  </si>
  <si>
    <t>INV00001367</t>
  </si>
  <si>
    <t>INV00001368</t>
  </si>
  <si>
    <t>INV00001369</t>
  </si>
  <si>
    <t>INV00001370</t>
  </si>
  <si>
    <t>INV00001371</t>
  </si>
  <si>
    <t>INV00001372</t>
  </si>
  <si>
    <t>INV00001373</t>
  </si>
  <si>
    <t>INV00001374</t>
  </si>
  <si>
    <t>INV00001375</t>
  </si>
  <si>
    <t>INV00001376</t>
  </si>
  <si>
    <t>INV00001377</t>
  </si>
  <si>
    <t>INV00001378</t>
  </si>
  <si>
    <t>INV00001379</t>
  </si>
  <si>
    <t>INV00001380</t>
  </si>
  <si>
    <t>INV00001381</t>
  </si>
  <si>
    <t>INV00001382</t>
  </si>
  <si>
    <t>INV00001383</t>
  </si>
  <si>
    <t>INV00001384</t>
  </si>
  <si>
    <t>INV00001385</t>
  </si>
  <si>
    <t>INV00001386</t>
  </si>
  <si>
    <t>INV00001387</t>
  </si>
  <si>
    <t>INV00001388</t>
  </si>
  <si>
    <t>INV00001389</t>
  </si>
  <si>
    <t>INV00001390</t>
  </si>
  <si>
    <t>INV00001391</t>
  </si>
  <si>
    <t>INV00001392</t>
  </si>
  <si>
    <t>INV00001393</t>
  </si>
  <si>
    <t>INV00001394</t>
  </si>
  <si>
    <t>INV00001395</t>
  </si>
  <si>
    <t>01/10/2025</t>
  </si>
  <si>
    <t>02/10/2025</t>
  </si>
  <si>
    <t>03/10/2025</t>
  </si>
  <si>
    <t>04/10/2025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</si>
  <si>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</si>
  <si>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</si>
  <si>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</si>
  <si>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</si>
  <si>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</si>
  <si>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</si>
  <si>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</si>
  <si>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</si>
  <si>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</si>
  <si>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</si>
  <si>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</si>
  <si>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</si>
  <si>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</si>
  <si>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</si>
  <si>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</si>
  <si>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29/10/2025</t>
  </si>
  <si>
    <t>30/10/2025</t>
  </si>
  <si>
    <t>ChemFiber Industries Sdn Bhd</t>
  </si>
  <si>
    <t>Sam Ching Kong Temple BC</t>
  </si>
  <si>
    <t>Brush 3" (12Pc)</t>
  </si>
  <si>
    <t xml:space="preserve">Steel Roller 16mm 4" </t>
  </si>
  <si>
    <t>RA Resin 9539 Non Wax (225Kg)</t>
  </si>
  <si>
    <t>RA Wax-TR Wax</t>
  </si>
  <si>
    <t>RA Resin 9539 Non Wax (225kg)</t>
  </si>
  <si>
    <t>RA Woven Roving E-600gm 1120mm (45kg)</t>
  </si>
  <si>
    <t>RA Resin 268BQTN-TW Non Wax (225kg)</t>
  </si>
  <si>
    <t xml:space="preserve">RA Pigment Super White H1002 (5kg)       </t>
  </si>
  <si>
    <t>Pigment Super White W2 (4kg)   Delivered on 29/8/25</t>
  </si>
  <si>
    <t>RO CSM 300 1040mm(W) (30Kg)</t>
  </si>
  <si>
    <t>RM Steel Roller 3"</t>
  </si>
  <si>
    <t>CSM 450 GSM 1860 (54kg)</t>
  </si>
  <si>
    <t>RA Resin 268BQT (20kg)</t>
  </si>
  <si>
    <t>RM VE Resin 901-3P (10Kg)</t>
  </si>
  <si>
    <t>RA Pigment Light Grey H2001 (1Kg)</t>
  </si>
  <si>
    <t>RA Pigment Super White H1002 (1Kg)</t>
  </si>
  <si>
    <t>INV00001396</t>
  </si>
  <si>
    <t>INV00001397</t>
  </si>
  <si>
    <t>INV00001398</t>
  </si>
  <si>
    <t>INV00001399</t>
  </si>
  <si>
    <t>INV00001400</t>
  </si>
  <si>
    <t>INV00001401</t>
  </si>
  <si>
    <t>INV00001402</t>
  </si>
  <si>
    <t>INV00001403</t>
  </si>
  <si>
    <t>INV00001404</t>
  </si>
  <si>
    <t>INV00001405</t>
  </si>
  <si>
    <t>INV00001406</t>
  </si>
  <si>
    <t>INV00001407</t>
  </si>
  <si>
    <t>INV00001408</t>
  </si>
  <si>
    <t>INV00001409</t>
  </si>
  <si>
    <t>INV00001410</t>
  </si>
  <si>
    <t>INV00001411</t>
  </si>
  <si>
    <t>INV00001412</t>
  </si>
  <si>
    <t>INV00001413</t>
  </si>
  <si>
    <t>INV00001414</t>
  </si>
  <si>
    <t>INV00001415</t>
  </si>
  <si>
    <t>INV00001416</t>
  </si>
  <si>
    <t>INV00001417</t>
  </si>
  <si>
    <t>INV00001418</t>
  </si>
  <si>
    <t>INV000001419</t>
  </si>
  <si>
    <t>INV00001420</t>
  </si>
  <si>
    <t>INV00001421</t>
  </si>
  <si>
    <t>INV00001422</t>
  </si>
  <si>
    <t>INV00001423</t>
  </si>
  <si>
    <t>INV00001424</t>
  </si>
  <si>
    <t>INV00001425</t>
  </si>
  <si>
    <t>INV00001426</t>
  </si>
  <si>
    <t>INV00001427</t>
  </si>
  <si>
    <t>INV00001428</t>
  </si>
  <si>
    <t>INV00001429</t>
  </si>
  <si>
    <t>INV00001430</t>
  </si>
  <si>
    <t>INV00001431</t>
  </si>
  <si>
    <t>INV00001432</t>
  </si>
  <si>
    <t>INV00001433</t>
  </si>
  <si>
    <t>INV00001434</t>
  </si>
  <si>
    <t>INV00001435</t>
  </si>
  <si>
    <t>INV00001436</t>
  </si>
  <si>
    <t>01/11/2025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</si>
  <si>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</si>
  <si>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</si>
  <si>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</si>
  <si>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</si>
  <si>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</si>
  <si>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</si>
  <si>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</si>
  <si>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</si>
  <si>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</si>
  <si>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</si>
  <si>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</si>
  <si>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</si>
  <si>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</si>
  <si>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</si>
  <si>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</si>
  <si>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</si>
  <si>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</si>
  <si>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</si>
  <si>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</si>
  <si>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</si>
  <si>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</si>
  <si>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Cash - Encik Rosnan</t>
  </si>
  <si>
    <t>Cash - Jailani Muse</t>
  </si>
  <si>
    <t>RA TR104 Hi Temp Wax</t>
  </si>
  <si>
    <t>RM Pigment Cream (5kg)</t>
  </si>
  <si>
    <t>RM ISO NPG Gelcoat 9359-H (20kg)</t>
  </si>
  <si>
    <t>VE Resin 7110nc (200kg)</t>
  </si>
  <si>
    <t>RM Pigment Pale Cream M1 (5kg)</t>
  </si>
  <si>
    <t>RA Pigment Super White H1002 (5Kg)</t>
  </si>
  <si>
    <t>Fume Silica HJSIL 200(10Kg)</t>
  </si>
  <si>
    <t xml:space="preserve">Pigment Super White W2 (5kg) </t>
  </si>
  <si>
    <t>RM CSM 450 1040mm(W) (37kg)</t>
  </si>
  <si>
    <t>RM Pigment Paste Post Office Red R14 (5kg)</t>
  </si>
  <si>
    <t>RM VE Resin 901-3P (40Kg)</t>
  </si>
  <si>
    <t>INV00001437</t>
  </si>
  <si>
    <t>INV00001438</t>
  </si>
  <si>
    <t>INV00001439</t>
  </si>
  <si>
    <t>INV00001440</t>
  </si>
  <si>
    <t>INV00001441</t>
  </si>
  <si>
    <t>INV00001442</t>
  </si>
  <si>
    <t>INV00001443</t>
  </si>
  <si>
    <t>INV00001444</t>
  </si>
  <si>
    <t>INV00001445</t>
  </si>
  <si>
    <t>INV00001446</t>
  </si>
  <si>
    <t>INV00001447</t>
  </si>
  <si>
    <t>INV00001448</t>
  </si>
  <si>
    <t>INV00001449</t>
  </si>
  <si>
    <t>INV00001450</t>
  </si>
  <si>
    <t>INV00001451</t>
  </si>
  <si>
    <t>INV00001452</t>
  </si>
  <si>
    <t>INV00001453</t>
  </si>
  <si>
    <t>INV00001454</t>
  </si>
  <si>
    <t>INV00001455</t>
  </si>
  <si>
    <t>INV00001456</t>
  </si>
  <si>
    <t>INV00001457</t>
  </si>
  <si>
    <t>INV00001458</t>
  </si>
  <si>
    <t>INV00001459</t>
  </si>
  <si>
    <t>INV00001460</t>
  </si>
  <si>
    <t>INV00001461</t>
  </si>
  <si>
    <t>INV00001462</t>
  </si>
  <si>
    <t>INV00001463</t>
  </si>
  <si>
    <t>INV00001464</t>
  </si>
  <si>
    <t>INV00001465</t>
  </si>
  <si>
    <t>INV00001466</t>
  </si>
  <si>
    <t>INV00001467</t>
  </si>
  <si>
    <t>INV00001468</t>
  </si>
  <si>
    <t>INV00001469</t>
  </si>
  <si>
    <t>INV00001470</t>
  </si>
  <si>
    <t>INV00001471</t>
  </si>
  <si>
    <t>INV00001472</t>
  </si>
  <si>
    <t>INV00001473</t>
  </si>
  <si>
    <t>INV00001474</t>
  </si>
  <si>
    <t>INV00001475</t>
  </si>
  <si>
    <t>INV00001476</t>
  </si>
  <si>
    <t>INV00001477</t>
  </si>
  <si>
    <t>01/12/2025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</si>
  <si>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</si>
  <si>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</si>
  <si>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</si>
  <si>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</si>
  <si>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</si>
  <si>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</si>
  <si>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</si>
  <si>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12/12/2025</t>
  </si>
  <si>
    <t>13/12/2025</t>
  </si>
  <si>
    <t>15/12/2025</t>
  </si>
  <si>
    <t>18/12/2025</t>
  </si>
  <si>
    <t>19/12/2025</t>
  </si>
  <si>
    <t>20/12/2025</t>
  </si>
  <si>
    <t>22/12/2025</t>
  </si>
  <si>
    <t>23/12/2025</t>
  </si>
  <si>
    <t>26/12/2025</t>
  </si>
  <si>
    <t>27/12/2025</t>
  </si>
  <si>
    <t>29/12/2025</t>
  </si>
  <si>
    <t>30/12/2025</t>
  </si>
  <si>
    <t>31/12/2025</t>
  </si>
  <si>
    <t>Brush 2" (12Pc)</t>
  </si>
  <si>
    <t xml:space="preserve">Steel Roller 10mm 2" </t>
  </si>
  <si>
    <t>RA Pigment H4004 Royal Blue (1kg)</t>
  </si>
  <si>
    <t>RA Pigment H4002 Ocean Blue (5kg)</t>
  </si>
  <si>
    <t>RM VE Resin 901-3P (20Kg)</t>
  </si>
  <si>
    <t>Carbon Fiber 37.5 Square meter
1.5meter(width) X  25meter(Length)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</si>
  <si>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</si>
  <si>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</si>
  <si>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</si>
  <si>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</si>
  <si>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</si>
  <si>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</si>
  <si>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</si>
  <si>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</si>
  <si>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</si>
  <si>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</si>
  <si>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16/01/2026</t>
  </si>
  <si>
    <t>19/01/2026</t>
  </si>
  <si>
    <t>20/01/2026</t>
  </si>
  <si>
    <t>23/01/2026</t>
  </si>
  <si>
    <t>24/01/2026</t>
  </si>
  <si>
    <t>26/01/2026</t>
  </si>
  <si>
    <t>27/01/2026</t>
  </si>
  <si>
    <t>28/01/2026</t>
  </si>
  <si>
    <t>30/01/2026</t>
  </si>
  <si>
    <t>31/01/2026</t>
  </si>
  <si>
    <t>INV00001478</t>
  </si>
  <si>
    <t>INV00001479</t>
  </si>
  <si>
    <t>INV000001480</t>
  </si>
  <si>
    <t>INV00001481</t>
  </si>
  <si>
    <t>INV00001482</t>
  </si>
  <si>
    <t>INV00001483</t>
  </si>
  <si>
    <t>INV00001484</t>
  </si>
  <si>
    <t>INV00001485</t>
  </si>
  <si>
    <t>INV00001486</t>
  </si>
  <si>
    <t>INV00001487</t>
  </si>
  <si>
    <t>INV00001488</t>
  </si>
  <si>
    <t>INV00001489</t>
  </si>
  <si>
    <t>INV00001490</t>
  </si>
  <si>
    <t>INV00001491</t>
  </si>
  <si>
    <t>INV00001492</t>
  </si>
  <si>
    <t>INV00001493</t>
  </si>
  <si>
    <t>INV00001494</t>
  </si>
  <si>
    <t>INV00001495</t>
  </si>
  <si>
    <t>INV00001496</t>
  </si>
  <si>
    <t>INV00001497</t>
  </si>
  <si>
    <t>INV00001498</t>
  </si>
  <si>
    <t>INV00001499</t>
  </si>
  <si>
    <t>INV00001500</t>
  </si>
  <si>
    <t>INV00001501</t>
  </si>
  <si>
    <t>INV00001502</t>
  </si>
  <si>
    <t>INV00001503</t>
  </si>
  <si>
    <t>INV00001504</t>
  </si>
  <si>
    <t>INV00001505</t>
  </si>
  <si>
    <t>INV00001506</t>
  </si>
  <si>
    <t>INV00001507</t>
  </si>
  <si>
    <t>INV00001508</t>
  </si>
  <si>
    <t>INV00001509</t>
  </si>
  <si>
    <t>INV00001510</t>
  </si>
  <si>
    <t>INV00001511</t>
  </si>
  <si>
    <t>INV00001512</t>
  </si>
  <si>
    <t>INV00001513</t>
  </si>
  <si>
    <t>INV00001514</t>
  </si>
  <si>
    <t xml:space="preserve">RA Pigment Super White (1kg)       </t>
  </si>
  <si>
    <t xml:space="preserve">RA Pigment Chestnut Brown (1kg)    </t>
  </si>
  <si>
    <t>RA Woven Roving E-600gm 1000mm (45Kg)</t>
  </si>
  <si>
    <t>RA Acetone (160kg)</t>
  </si>
  <si>
    <t xml:space="preserve">RA Pigment Super White (5kg)       </t>
  </si>
  <si>
    <t>RM Pigment Cream H6001 (1kg)</t>
  </si>
  <si>
    <t>INV00001515</t>
  </si>
  <si>
    <t>INV00001516</t>
  </si>
  <si>
    <t>INV00001517</t>
  </si>
  <si>
    <t>INV00001518</t>
  </si>
  <si>
    <t>INV00001519</t>
  </si>
  <si>
    <t>INV00001520</t>
  </si>
  <si>
    <t>INV00001521</t>
  </si>
  <si>
    <t>INV00001522</t>
  </si>
  <si>
    <t>INV00001523</t>
  </si>
  <si>
    <t>INV00001524</t>
  </si>
  <si>
    <t>INV00001525</t>
  </si>
  <si>
    <t>INV00001526</t>
  </si>
  <si>
    <t>INV00001527</t>
  </si>
  <si>
    <t>INV00001528</t>
  </si>
  <si>
    <t>INV00001529</t>
  </si>
  <si>
    <t>INV00001530</t>
  </si>
  <si>
    <t>INV00001531</t>
  </si>
  <si>
    <t>INV00001532</t>
  </si>
  <si>
    <t>INV00001533</t>
  </si>
  <si>
    <t>INV00001534</t>
  </si>
  <si>
    <t>INV00001535</t>
  </si>
  <si>
    <t>INV00001536</t>
  </si>
  <si>
    <t>INV00001537</t>
  </si>
  <si>
    <t>INV00001538</t>
  </si>
  <si>
    <t>INV00001539</t>
  </si>
  <si>
    <t>02/02/2026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</si>
  <si>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</si>
  <si>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</si>
  <si>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</si>
  <si>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</si>
  <si>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</si>
  <si>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</si>
  <si>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</si>
  <si>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</si>
  <si>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14/02/2026</t>
  </si>
  <si>
    <t>23/02/2026</t>
  </si>
  <si>
    <t>25/02/2026</t>
  </si>
  <si>
    <t>26/02/2026</t>
  </si>
  <si>
    <t>27/02/2026</t>
  </si>
  <si>
    <t xml:space="preserve">Pigment White (5kg)  </t>
  </si>
  <si>
    <t xml:space="preserve">Pigment Super Black (5kg) </t>
  </si>
  <si>
    <t>PVA</t>
  </si>
  <si>
    <t>RM VE Resin 901-3P (200kg)</t>
  </si>
  <si>
    <t xml:space="preserve">RM Pigment Super White (5kg)       </t>
  </si>
  <si>
    <t>RM Pigment Paste Riviera Blue B5 (5kg)</t>
  </si>
  <si>
    <t>RM Resin 268BQT (20kg)</t>
  </si>
  <si>
    <t>RM Wax Solution (5kg)</t>
  </si>
  <si>
    <t>RM Woven Roving E-600gm 1000mm (45Kg)</t>
  </si>
  <si>
    <t>04/03/2026</t>
  </si>
  <si>
    <t>05/03/2026</t>
  </si>
  <si>
    <t>07/03/2026</t>
  </si>
  <si>
    <t>09/03/2026</t>
  </si>
  <si>
    <t>10/03/2026</t>
  </si>
  <si>
    <t>13/03/2026</t>
  </si>
  <si>
    <t>18/03/2026</t>
  </si>
  <si>
    <t>19/03/2026</t>
  </si>
  <si>
    <t>24/03/2026</t>
  </si>
  <si>
    <t>26/03/2026</t>
  </si>
  <si>
    <t>27/03/2026</t>
  </si>
  <si>
    <t>30/03/2026</t>
  </si>
  <si>
    <t>31/03/2026</t>
  </si>
  <si>
    <t>INV00001540</t>
  </si>
  <si>
    <t>INV00001541</t>
  </si>
  <si>
    <t>INV000001542</t>
  </si>
  <si>
    <t>INV00001543</t>
  </si>
  <si>
    <t>INV00001544</t>
  </si>
  <si>
    <t>INV00001545</t>
  </si>
  <si>
    <t>INV00001546</t>
  </si>
  <si>
    <t>INV00001547</t>
  </si>
  <si>
    <t>INV00001548</t>
  </si>
  <si>
    <t>INV00001549</t>
  </si>
  <si>
    <t>INV00001550</t>
  </si>
  <si>
    <t>INV00001551</t>
  </si>
  <si>
    <t>INV00001552</t>
  </si>
  <si>
    <t>INV00001554</t>
  </si>
  <si>
    <t>INV00001555</t>
  </si>
  <si>
    <t>INV00001556</t>
  </si>
  <si>
    <t>INV00001557</t>
  </si>
  <si>
    <t>INV00001558</t>
  </si>
  <si>
    <t>INV00001559</t>
  </si>
  <si>
    <t>INV00001560</t>
  </si>
  <si>
    <t>INV00001561</t>
  </si>
  <si>
    <t>INV00001562</t>
  </si>
  <si>
    <t>INV00001563</t>
  </si>
  <si>
    <t>INV00001564</t>
  </si>
  <si>
    <t>INV00001565</t>
  </si>
  <si>
    <t>INV00001566</t>
  </si>
  <si>
    <t>INV00001567</t>
  </si>
  <si>
    <t>INV00001568</t>
  </si>
  <si>
    <t xml:space="preserve">Pigment Super White W2 (25kg) </t>
  </si>
  <si>
    <t xml:space="preserve">RM Pigment Paste Riviera Blue B5 (25Kg) </t>
  </si>
  <si>
    <t>INV00001553</t>
  </si>
  <si>
    <t>17/03/2026</t>
  </si>
  <si>
    <t>INV00001569</t>
  </si>
  <si>
    <t>INV00001570</t>
  </si>
  <si>
    <t>INV00001571</t>
  </si>
  <si>
    <t>INV00001572</t>
  </si>
  <si>
    <t>INV00001573</t>
  </si>
  <si>
    <t>INV00001574</t>
  </si>
  <si>
    <t>INV00001575</t>
  </si>
  <si>
    <t>INV00001576</t>
  </si>
  <si>
    <t>INV00001577</t>
  </si>
  <si>
    <t>INV000001578</t>
  </si>
  <si>
    <t>INV00001579</t>
  </si>
  <si>
    <t>INV00001580</t>
  </si>
  <si>
    <t>INV00001581</t>
  </si>
  <si>
    <t>INV00001582</t>
  </si>
  <si>
    <t>INV00001583</t>
  </si>
  <si>
    <t>INV00001584</t>
  </si>
  <si>
    <t>INV00001585</t>
  </si>
  <si>
    <t>INV00001586</t>
  </si>
  <si>
    <t>INV00001587</t>
  </si>
  <si>
    <t>INV00001588</t>
  </si>
  <si>
    <t>INV00001589</t>
  </si>
  <si>
    <t>INV00001590</t>
  </si>
  <si>
    <t>INV00001591</t>
  </si>
  <si>
    <t>INV00001592</t>
  </si>
  <si>
    <t>INV00001593</t>
  </si>
  <si>
    <t>INV00001594</t>
  </si>
  <si>
    <t>INV00001595</t>
  </si>
  <si>
    <t>INV00001596</t>
  </si>
  <si>
    <t>INV00001597</t>
  </si>
  <si>
    <t>INV00001598</t>
  </si>
  <si>
    <t>01/04/2026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</si>
  <si>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</si>
  <si>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</si>
  <si>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</si>
  <si>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</si>
  <si>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</si>
  <si>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</si>
  <si>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</si>
  <si>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14/04/2026</t>
  </si>
  <si>
    <t>15/04/2026</t>
  </si>
  <si>
    <t>16/04/2026</t>
  </si>
  <si>
    <t>17/04/2026</t>
  </si>
  <si>
    <t>18/04/2026</t>
  </si>
  <si>
    <t>20/04/2026</t>
  </si>
  <si>
    <t>21/04/2026</t>
  </si>
  <si>
    <t>25/04/2026</t>
  </si>
  <si>
    <t>28/04/2026</t>
  </si>
  <si>
    <t>30/04/2026</t>
  </si>
  <si>
    <t>Hydro One Manufactuting Sdn Bhd</t>
  </si>
  <si>
    <t>RA Resin 268BQTN (225Kg)</t>
  </si>
  <si>
    <t>RA CSM 450 64m(L) X 1860mm(W) (67kg)</t>
  </si>
  <si>
    <t>RA Resin Kaliba 268wax (225Kg)</t>
  </si>
  <si>
    <t>RA Resin HPC 268BQT (225Kg)</t>
  </si>
  <si>
    <t>RA Resin HCP 268BQT (225Kg)</t>
  </si>
  <si>
    <t>RA CSM 600 1040mm(W) (37kg)</t>
  </si>
  <si>
    <t>04/05/2026</t>
  </si>
  <si>
    <t>05/05/2026</t>
  </si>
  <si>
    <t>06/05/2026</t>
  </si>
  <si>
    <t>07/05/2026</t>
  </si>
  <si>
    <t>09/05/2026</t>
  </si>
  <si>
    <t>11/05/2026</t>
  </si>
  <si>
    <t>13/05/2026</t>
  </si>
  <si>
    <t>14/05/2026</t>
  </si>
  <si>
    <t>15/05/2026</t>
  </si>
  <si>
    <t>16/05/2026</t>
  </si>
  <si>
    <t>18/05/2026</t>
  </si>
  <si>
    <t>19/05/2026</t>
  </si>
  <si>
    <t>21/05/2026</t>
  </si>
  <si>
    <t>23/05/2026</t>
  </si>
  <si>
    <t>25/05/2026</t>
  </si>
  <si>
    <t>26/05/2026</t>
  </si>
  <si>
    <t>28/05/2026</t>
  </si>
  <si>
    <t>29/05/2026</t>
  </si>
  <si>
    <t>INV00001599</t>
  </si>
  <si>
    <t>INV00001600</t>
  </si>
  <si>
    <t>INV00001601</t>
  </si>
  <si>
    <t>INV00001602</t>
  </si>
  <si>
    <t>INV00001603</t>
  </si>
  <si>
    <t>INV00001604</t>
  </si>
  <si>
    <t>INV00001605</t>
  </si>
  <si>
    <t>INV00001606</t>
  </si>
  <si>
    <t>INV00001607</t>
  </si>
  <si>
    <t>INV00001608</t>
  </si>
  <si>
    <t>INV00001609</t>
  </si>
  <si>
    <t>INV00001610</t>
  </si>
  <si>
    <t>INV00001611</t>
  </si>
  <si>
    <t>INV00001612</t>
  </si>
  <si>
    <t>INV00001613</t>
  </si>
  <si>
    <t>INV00001614</t>
  </si>
  <si>
    <t>INV00001615</t>
  </si>
  <si>
    <t>INV00001616</t>
  </si>
  <si>
    <t>INV00001617</t>
  </si>
  <si>
    <t>INV00001618</t>
  </si>
  <si>
    <t>INV00001619</t>
  </si>
  <si>
    <t>INV00001620</t>
  </si>
  <si>
    <t>INV00001621</t>
  </si>
  <si>
    <t>INV00001622</t>
  </si>
  <si>
    <t>INV00001623</t>
  </si>
  <si>
    <t>INV00001624</t>
  </si>
  <si>
    <t>INV00001625</t>
  </si>
  <si>
    <t>INV00001626</t>
  </si>
  <si>
    <t>INV00001627</t>
  </si>
  <si>
    <t>INV00001628</t>
  </si>
  <si>
    <t>INV00001629</t>
  </si>
  <si>
    <t>INV00001630</t>
  </si>
  <si>
    <t>INV00001631</t>
  </si>
  <si>
    <t>INV00001632</t>
  </si>
  <si>
    <t>INV00001633</t>
  </si>
  <si>
    <t>RM Pigment Light Grey G1 (25kg)</t>
  </si>
  <si>
    <t>RS Talcum Powder (25kg)</t>
  </si>
  <si>
    <t>RM Resin HPC 268BQT (50Kg)</t>
  </si>
  <si>
    <t>RA Butanox M90 (5Kg)</t>
  </si>
  <si>
    <t>RA Hardnox M90 (5Kg)</t>
  </si>
  <si>
    <t>Pigment Chestnut Brown C1 (1kg)</t>
  </si>
  <si>
    <t>Resin 9539Wax (225Kg)</t>
  </si>
  <si>
    <t>RM Resin 268BQT (25kg)</t>
  </si>
  <si>
    <t>RM Wax solution (5kg)</t>
  </si>
  <si>
    <t xml:space="preserve">RM Pigment Paste Riviera Blue B5 (5Kg) </t>
  </si>
  <si>
    <t>Tissue Mat 250/M2</t>
  </si>
  <si>
    <t>Pigment Silver Grey H2002 (5kg)</t>
  </si>
  <si>
    <t>RA Resin 9539 Wax (225Kg)</t>
  </si>
  <si>
    <t>RM  VE Resin 901-3P (20Kg)</t>
  </si>
  <si>
    <t>Artomoto Designs</t>
  </si>
  <si>
    <t>Cash - Throne Engineering Sdn Bhd</t>
  </si>
  <si>
    <t>Minsec Engineering Sdn Bhd</t>
  </si>
  <si>
    <t>02/06/2026</t>
  </si>
  <si>
    <t>04/06/2026</t>
  </si>
  <si>
    <t>05/06/2026</t>
  </si>
  <si>
    <t>06/06/2026</t>
  </si>
  <si>
    <t>09/06/2026</t>
  </si>
  <si>
    <t>12/06/2026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</si>
  <si>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</si>
  <si>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</si>
  <si>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</si>
  <si>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</si>
  <si>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</si>
  <si>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</si>
  <si>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</si>
  <si>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</si>
  <si>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</si>
  <si>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</si>
  <si>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</si>
  <si>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</si>
  <si>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</si>
  <si>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29/06/2026</t>
  </si>
  <si>
    <t>30/06/2026</t>
  </si>
  <si>
    <t>INV00001634</t>
  </si>
  <si>
    <t>INV00001635</t>
  </si>
  <si>
    <t>INV00001636</t>
  </si>
  <si>
    <t>INV00001637</t>
  </si>
  <si>
    <t>INV00001638</t>
  </si>
  <si>
    <t>INV00001639</t>
  </si>
  <si>
    <t>INV00001640</t>
  </si>
  <si>
    <t>INV00001641</t>
  </si>
  <si>
    <t>INV00001642</t>
  </si>
  <si>
    <t>INV00001643</t>
  </si>
  <si>
    <t>INV00001644</t>
  </si>
  <si>
    <t>INV00001645</t>
  </si>
  <si>
    <t>INV00001646</t>
  </si>
  <si>
    <t>INV00001647</t>
  </si>
  <si>
    <t>INV00001649</t>
  </si>
  <si>
    <t>INV00001650</t>
  </si>
  <si>
    <t>INV00001651</t>
  </si>
  <si>
    <t>INV00001652</t>
  </si>
  <si>
    <t>INV00001653</t>
  </si>
  <si>
    <t>INV00001654</t>
  </si>
  <si>
    <t>INV00001655</t>
  </si>
  <si>
    <t>INV00001656</t>
  </si>
  <si>
    <t>INV00001657</t>
  </si>
  <si>
    <t>INV00001658</t>
  </si>
  <si>
    <t>INV00001659</t>
  </si>
  <si>
    <t>INV00001660</t>
  </si>
  <si>
    <t>INV00001648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</si>
</sst>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_ ;[Red]\-#,##0.00\ "/>
    <numFmt numFmtId="165" formatCode="#,##0.00_ ;\-#,##0.00\ "/>
    <numFmt numFmtId="166" formatCode="#,##0.00&quot; &quot;;#,##0.00&quot; &quot;;&quot;-&quot;#&quot; &quot;;&quot; &quot;@"/>
    <numFmt numFmtId="167" formatCode="[$-4409]dd/mm/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9"/>
      <color indexed="81"/>
      <name val="Tahoma"/>
      <family val="2"/>
    </font>
    <font>
      <sz val="11"/>
      <color rgb="FF000000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</font>
    <font>
      <b/>
      <i/>
      <sz val="12"/>
      <color rgb="FF0070C0"/>
      <name val="Calibri"/>
      <family val="2"/>
    </font>
    <font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BEB3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theme="4" tint="0.79998168889431442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43" fontId="12" fillId="0" borderId="0" applyFont="0" applyFill="0" applyBorder="0" applyAlignment="0" applyProtection="0"/>
    <xf numFmtId="0" fontId="26" fillId="13" borderId="0" applyNumberFormat="0" applyBorder="0" applyAlignment="0" applyProtection="0"/>
  </cellStyleXfs>
  <cellXfs count="173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43" fontId="3" fillId="0" borderId="0" xfId="0" applyNumberFormat="1" applyFont="1"/>
    <xf numFmtId="16" fontId="3" fillId="0" borderId="0" xfId="0" applyNumberFormat="1" applyFont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4" borderId="0" xfId="0" applyFont="1" applyFill="1"/>
    <xf numFmtId="0" fontId="0" fillId="0" borderId="0" xfId="0" pivotButton="1"/>
    <xf numFmtId="0" fontId="3" fillId="5" borderId="0" xfId="0" applyFont="1" applyFill="1"/>
    <xf numFmtId="43" fontId="0" fillId="0" borderId="0" xfId="1" applyFont="1"/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0" fontId="3" fillId="7" borderId="0" xfId="0" applyFont="1" applyFill="1"/>
    <xf numFmtId="14" fontId="3" fillId="7" borderId="0" xfId="0" applyNumberFormat="1" applyFont="1" applyFill="1"/>
    <xf numFmtId="43" fontId="0" fillId="4" borderId="0" xfId="1" applyFont="1" applyFill="1" applyBorder="1"/>
    <xf numFmtId="43" fontId="0" fillId="4" borderId="0" xfId="1" applyFont="1" applyFill="1"/>
    <xf numFmtId="43" fontId="3" fillId="0" borderId="0" xfId="1" applyFont="1" applyBorder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43" fontId="3" fillId="0" borderId="0" xfId="1" quotePrefix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right"/>
    </xf>
    <xf numFmtId="43" fontId="3" fillId="9" borderId="0" xfId="1" applyFont="1" applyFill="1" applyAlignment="1">
      <alignment horizontal="right"/>
    </xf>
    <xf numFmtId="43" fontId="3" fillId="9" borderId="0" xfId="1" applyFont="1" applyFill="1" applyAlignment="1">
      <alignment horizontal="center"/>
    </xf>
    <xf numFmtId="43" fontId="3" fillId="8" borderId="0" xfId="1" applyFont="1" applyFill="1" applyAlignment="1">
      <alignment horizontal="right"/>
    </xf>
    <xf numFmtId="43" fontId="3" fillId="8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0" fillId="10" borderId="0" xfId="0" applyFill="1"/>
    <xf numFmtId="4" fontId="0" fillId="10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3" fillId="0" borderId="0" xfId="0" applyFont="1" applyAlignment="1">
      <alignment wrapText="1"/>
    </xf>
    <xf numFmtId="165" fontId="8" fillId="0" borderId="0" xfId="1" applyNumberFormat="1" applyFont="1" applyBorder="1"/>
    <xf numFmtId="164" fontId="8" fillId="0" borderId="0" xfId="1" applyNumberFormat="1" applyFont="1" applyAlignment="1">
      <alignment horizontal="right"/>
    </xf>
    <xf numFmtId="0" fontId="8" fillId="0" borderId="0" xfId="0" applyFont="1" applyAlignment="1">
      <alignment horizontal="left"/>
    </xf>
    <xf numFmtId="43" fontId="3" fillId="0" borderId="0" xfId="0" applyNumberFormat="1" applyFont="1" applyAlignment="1">
      <alignment horizontal="center"/>
    </xf>
    <xf numFmtId="43" fontId="0" fillId="0" borderId="0" xfId="1" applyFont="1" applyFill="1"/>
    <xf numFmtId="43" fontId="3" fillId="0" borderId="0" xfId="1" applyFont="1" applyBorder="1" applyAlignment="1">
      <alignment horizontal="right"/>
    </xf>
    <xf numFmtId="43" fontId="0" fillId="0" borderId="0" xfId="1" applyFont="1" applyFill="1" applyBorder="1"/>
    <xf numFmtId="43" fontId="5" fillId="0" borderId="0" xfId="1" applyFont="1" applyAlignment="1">
      <alignment horizontal="right"/>
    </xf>
    <xf numFmtId="43" fontId="3" fillId="0" borderId="0" xfId="1" applyFont="1" applyAlignment="1">
      <alignment horizontal="left"/>
    </xf>
    <xf numFmtId="43" fontId="5" fillId="0" borderId="0" xfId="1" applyFont="1" applyFill="1" applyAlignment="1">
      <alignment horizontal="left"/>
    </xf>
    <xf numFmtId="43" fontId="3" fillId="0" borderId="0" xfId="1" applyFont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43" fontId="9" fillId="8" borderId="0" xfId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/>
    <xf numFmtId="0" fontId="0" fillId="8" borderId="0" xfId="0" applyFill="1"/>
    <xf numFmtId="43" fontId="0" fillId="8" borderId="0" xfId="1" applyFont="1" applyFill="1"/>
    <xf numFmtId="43" fontId="0" fillId="0" borderId="0" xfId="0" applyNumberFormat="1"/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43" fontId="0" fillId="11" borderId="4" xfId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43" fontId="0" fillId="11" borderId="3" xfId="1" applyFont="1" applyFill="1" applyBorder="1" applyAlignment="1">
      <alignment horizontal="center"/>
    </xf>
    <xf numFmtId="43" fontId="11" fillId="0" borderId="0" xfId="1" applyFont="1" applyBorder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43" fontId="3" fillId="0" borderId="0" xfId="1" quotePrefix="1" applyFont="1" applyAlignment="1">
      <alignment horizontal="right"/>
    </xf>
    <xf numFmtId="14" fontId="12" fillId="0" borderId="0" xfId="0" applyNumberFormat="1" applyFont="1"/>
    <xf numFmtId="0" fontId="12" fillId="0" borderId="0" xfId="0" applyFont="1"/>
    <xf numFmtId="14" fontId="10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1" fillId="0" borderId="0" xfId="0" applyNumberFormat="1" applyFont="1" applyAlignment="1">
      <alignment horizontal="left" wrapText="1"/>
    </xf>
    <xf numFmtId="14" fontId="11" fillId="0" borderId="0" xfId="0" applyNumberFormat="1" applyFont="1"/>
    <xf numFmtId="0" fontId="0" fillId="5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left" wrapText="1"/>
    </xf>
    <xf numFmtId="0" fontId="11" fillId="0" borderId="0" xfId="0" applyFont="1"/>
    <xf numFmtId="14" fontId="0" fillId="0" borderId="0" xfId="0" applyNumberFormat="1" applyAlignment="1">
      <alignment wrapText="1"/>
    </xf>
    <xf numFmtId="17" fontId="0" fillId="4" borderId="0" xfId="0" applyNumberFormat="1" applyFill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/>
    <xf numFmtId="43" fontId="8" fillId="0" borderId="0" xfId="1" applyFont="1" applyAlignment="1">
      <alignment horizontal="right"/>
    </xf>
    <xf numFmtId="0" fontId="0" fillId="0" borderId="0" xfId="0" applyAlignment="1">
      <alignment horizontal="left"/>
    </xf>
    <xf numFmtId="17" fontId="0" fillId="0" borderId="0" xfId="0" applyNumberFormat="1"/>
    <xf numFmtId="17" fontId="0" fillId="0" borderId="0" xfId="0" quotePrefix="1" applyNumberFormat="1" applyAlignment="1">
      <alignment horizontal="right"/>
    </xf>
    <xf numFmtId="14" fontId="14" fillId="0" borderId="5" xfId="0" applyNumberFormat="1" applyFont="1" applyBorder="1" applyAlignment="1">
      <alignment horizontal="left"/>
    </xf>
    <xf numFmtId="166" fontId="15" fillId="0" borderId="0" xfId="0" applyNumberFormat="1" applyFont="1"/>
    <xf numFmtId="167" fontId="14" fillId="0" borderId="0" xfId="0" quotePrefix="1" applyNumberFormat="1" applyFont="1" applyAlignment="1">
      <alignment horizontal="center"/>
    </xf>
    <xf numFmtId="166" fontId="14" fillId="0" borderId="0" xfId="0" applyNumberFormat="1" applyFont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4" fillId="12" borderId="3" xfId="0" applyFont="1" applyFill="1" applyBorder="1"/>
    <xf numFmtId="4" fontId="0" fillId="8" borderId="0" xfId="0" applyNumberFormat="1" applyFill="1"/>
    <xf numFmtId="0" fontId="14" fillId="0" borderId="0" xfId="1" applyNumberFormat="1" applyFont="1" applyAlignment="1">
      <alignment horizontal="left"/>
    </xf>
    <xf numFmtId="43" fontId="9" fillId="0" borderId="0" xfId="1" applyFont="1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0" fillId="0" borderId="0" xfId="0" applyFont="1"/>
    <xf numFmtId="2" fontId="3" fillId="0" borderId="0" xfId="1" applyNumberFormat="1" applyFont="1" applyAlignment="1">
      <alignment horizontal="right"/>
    </xf>
    <xf numFmtId="14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43" fontId="3" fillId="10" borderId="0" xfId="1" applyFont="1" applyFill="1" applyAlignment="1">
      <alignment horizontal="right"/>
    </xf>
    <xf numFmtId="43" fontId="8" fillId="10" borderId="0" xfId="1" applyFont="1" applyFill="1" applyAlignment="1">
      <alignment horizontal="right"/>
    </xf>
    <xf numFmtId="0" fontId="8" fillId="0" borderId="0" xfId="0" applyFont="1"/>
    <xf numFmtId="0" fontId="9" fillId="0" borderId="0" xfId="0" applyFont="1"/>
    <xf numFmtId="14" fontId="15" fillId="0" borderId="5" xfId="2" applyNumberFormat="1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4" fillId="0" borderId="0" xfId="1" applyNumberFormat="1" applyFont="1" applyBorder="1" applyAlignment="1">
      <alignment horizontal="left"/>
    </xf>
    <xf numFmtId="14" fontId="15" fillId="0" borderId="0" xfId="2" applyNumberFormat="1" applyFont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1" applyNumberFormat="1" applyFont="1"/>
    <xf numFmtId="0" fontId="14" fillId="0" borderId="0" xfId="3" applyNumberFormat="1" applyFont="1" applyAlignment="1">
      <alignment horizontal="left"/>
    </xf>
    <xf numFmtId="43" fontId="5" fillId="0" borderId="0" xfId="1" applyFont="1" applyFill="1" applyAlignment="1">
      <alignment horizontal="right"/>
    </xf>
    <xf numFmtId="0" fontId="5" fillId="0" borderId="0" xfId="0" applyFont="1"/>
    <xf numFmtId="0" fontId="22" fillId="0" borderId="0" xfId="0" applyFont="1" applyAlignment="1">
      <alignment horizontal="center"/>
    </xf>
    <xf numFmtId="0" fontId="3" fillId="0" borderId="0" xfId="1" applyNumberFormat="1" applyFont="1"/>
    <xf numFmtId="0" fontId="15" fillId="0" borderId="0" xfId="1" applyNumberFormat="1" applyFont="1" applyAlignment="1"/>
    <xf numFmtId="166" fontId="15" fillId="0" borderId="0" xfId="2" applyNumberFormat="1" applyFont="1"/>
    <xf numFmtId="2" fontId="15" fillId="0" borderId="0" xfId="0" applyNumberFormat="1" applyFont="1"/>
    <xf numFmtId="2" fontId="3" fillId="0" borderId="0" xfId="0" applyNumberFormat="1" applyFont="1"/>
    <xf numFmtId="0" fontId="1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43" fontId="15" fillId="0" borderId="0" xfId="1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43" fontId="15" fillId="2" borderId="0" xfId="1" applyFont="1" applyFill="1"/>
    <xf numFmtId="0" fontId="3" fillId="10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15" fillId="0" borderId="0" xfId="0" applyNumberFormat="1" applyFont="1" applyFill="1" applyAlignment="1" applyProtection="1">
      <alignment horizontal="center"/>
    </xf>
    <xf numFmtId="0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2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/>
    <xf numFmtId="2" fontId="15" fillId="2" borderId="0" xfId="0" applyNumberFormat="1" applyFont="1" applyFill="1" applyAlignment="1" applyProtection="1"/>
    <xf numFmtId="0" fontId="26" fillId="13" borderId="0" xfId="4" applyNumberFormat="1" applyAlignment="1" applyProtection="1">
      <alignment horizontal="center"/>
    </xf>
    <xf numFmtId="0" fontId="26" fillId="13" borderId="0" xfId="4" applyAlignment="1">
      <alignment horizontal="center"/>
    </xf>
    <xf numFmtId="0" fontId="26" fillId="13" borderId="0" xfId="4" applyNumberFormat="1" applyAlignment="1" applyProtection="1"/>
    <xf numFmtId="14" fontId="26" fillId="13" borderId="0" xfId="4" applyNumberFormat="1" applyAlignment="1">
      <alignment horizontal="center"/>
    </xf>
    <xf numFmtId="2" fontId="26" fillId="13" borderId="0" xfId="4" applyNumberFormat="1" applyAlignment="1" applyProtection="1"/>
    <xf numFmtId="43" fontId="26" fillId="13" borderId="0" xfId="4" applyNumberFormat="1" applyAlignment="1">
      <alignment horizontal="right"/>
    </xf>
    <xf numFmtId="43" fontId="26" fillId="13" borderId="0" xfId="4" applyNumberFormat="1"/>
    <xf numFmtId="43" fontId="26" fillId="13" borderId="0" xfId="4" applyNumberFormat="1" applyAlignment="1">
      <alignment horizontal="center"/>
    </xf>
    <xf numFmtId="0" fontId="26" fillId="13" borderId="0" xfId="4"/>
    <xf numFmtId="2" fontId="15" fillId="0" borderId="0" xfId="0" applyNumberFormat="1" applyFont="1" applyFill="1" applyAlignment="1" applyProtection="1">
      <alignment horizontal="right"/>
    </xf>
    <xf numFmtId="0" fontId="26" fillId="13" borderId="0" xfId="4" applyNumberFormat="1" applyAlignment="1" applyProtection="1">
      <alignment wrapText="1"/>
    </xf>
    <xf numFmtId="0" fontId="15" fillId="0" borderId="0" xfId="0" applyNumberFormat="1" applyFont="1" applyFill="1" applyAlignment="1" applyProtection="1">
      <alignment horizontal="center" vertical="center"/>
    </xf>
    <xf numFmtId="167" fontId="15" fillId="0" borderId="0" xfId="0" quotePrefix="1" applyNumberFormat="1" applyFont="1" applyAlignment="1"/>
    <xf numFmtId="166" fontId="15" fillId="0" borderId="5" xfId="0" applyNumberFormat="1" applyFont="1" applyBorder="1"/>
  </cellXfs>
  <cellStyles count="5">
    <cellStyle name="Comma" xfId="1" builtinId="3"/>
    <cellStyle name="Comma 2" xfId="3"/>
    <cellStyle name="Neutral" xfId="4" builtinId="28"/>
    <cellStyle name="Normal" xfId="0" builtinId="0"/>
    <cellStyle name="Normal 2" xfId="2"/>
  </cellStyles>
  <dxfs count="35"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alignment wrapText="1"/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fill>
        <patternFill>
          <bgColor rgb="FF66FF66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numFmt numFmtId="4" formatCode="#,##0.00"/>
    </dxf>
    <dxf>
      <fill>
        <patternFill patternType="solid">
          <bgColor rgb="FF99FF99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Light16"/>
  <colors>
    <mruColors>
      <color rgb="FF99FF99"/>
      <color rgb="FFFF99FF"/>
      <color rgb="FF66FF99"/>
      <color rgb="FFFFFF00"/>
      <color rgb="FFFFFF99"/>
      <color rgb="FF66FF66"/>
      <color rgb="FF33CC33"/>
      <color rgb="FFD9E1F2"/>
      <color rgb="FFCCFFCC"/>
      <color rgb="FF4B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drinayoo" refreshedDate="45863.57041226852" createdVersion="8" refreshedVersion="8" minRefreshableVersion="3" recordCount="4124">
  <cacheSource type="worksheet">
    <worksheetSource ref="A1:T4125" sheet="Raw Sales"/>
  </cacheSource>
  <cacheFields count="20">
    <cacheField name="Invoice Date" numFmtId="0">
      <sharedItems containsDate="1" containsMixedTypes="1" minDate="2019-12-23T00:00:00" maxDate="2025-03-30T00:00:00" count="78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Invoice No" numFmtId="0">
      <sharedItems count="1262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0-25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833569.750000002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drinayoo" refreshedDate="45863.570413310183" createdVersion="8" refreshedVersion="8" minRefreshableVersion="3" recordCount="988">
  <cacheSource type="worksheet">
    <worksheetSource ref="A1:T989" sheet="Raw Sales"/>
  </cacheSource>
  <cacheFields count="20">
    <cacheField name="Invoice Date" numFmtId="14">
      <sharedItems containsDate="1" containsMixedTypes="1" minDate="2019-12-23T00:00:00" maxDate="2022-08-27T00:00:00" count="238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 count="32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</sharedItems>
    </cacheField>
    <cacheField name="Customer Code" numFmtId="0">
      <sharedItems/>
    </cacheField>
    <cacheField name="Customer Name" numFmtId="0">
      <sharedItems count="32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Aumada Energy &amp; Technologies(M) Sdn Bhd" u="1"/>
        <s v="-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20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2-12-24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2"/>
    </cacheField>
    <cacheField name="Sales Amount" numFmtId="0">
      <sharedItems containsSemiMixedTypes="0" containsString="0" containsNumber="1" minValue="0" maxValue="20680"/>
    </cacheField>
    <cacheField name="Collection" numFmtId="0">
      <sharedItems containsString="0" containsBlank="1" containsNumber="1" minValue="-2068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1768365.8500000006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drinayoo" refreshedDate="45863.570413541667" createdVersion="8" refreshedVersion="8" minRefreshableVersion="3" recordCount="1181">
  <cacheSource type="worksheet">
    <worksheetSource ref="A1:T1182" sheet="Raw Sales"/>
  </cacheSource>
  <cacheFields count="20">
    <cacheField name="Invoice Date" numFmtId="0">
      <sharedItems containsDate="1" containsMixedTypes="1" minDate="2019-12-23T00:00:00" maxDate="2022-11-16T00:00:00"/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 count="34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Aumada Energy &amp; Technologies(M) Sdn Bhd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45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 count="5">
        <n v="0"/>
        <n v="45"/>
        <n v="120"/>
        <n v="60"/>
        <e v="#N/A"/>
      </sharedItems>
    </cacheField>
    <cacheField name="Due date" numFmtId="14">
      <sharedItems containsDate="1" containsMixedTypes="1" minDate="2019-12-23T00:00:00" maxDate="2023-03-02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3"/>
    </cacheField>
    <cacheField name="Sales Amount" numFmtId="0">
      <sharedItems containsSemiMixedTypes="0" containsString="0" containsNumber="1" minValue="0" maxValue="27060"/>
    </cacheField>
    <cacheField name="Collection" numFmtId="0">
      <sharedItems containsString="0" containsBlank="1" containsNumber="1" minValue="-2706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2143909.9500000011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drinayoo" refreshedDate="45863.57041388889" createdVersion="8" refreshedVersion="8" minRefreshableVersion="3" recordCount="2503">
  <cacheSource type="worksheet">
    <worksheetSource ref="A1:T2504" sheet="Raw Sales"/>
  </cacheSource>
  <cacheFields count="20">
    <cacheField name="Invoice Date" numFmtId="0">
      <sharedItems containsDate="1" containsMixedTypes="1" minDate="2019-12-23T00:00:00" maxDate="2023-12-31T00:00:00" count="50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voice No" numFmtId="0">
      <sharedItems count="83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DO00000698" u="1"/>
        <s v="DO00000699" u="1"/>
        <s v="DO00000700" u="1"/>
        <s v="DO00000701" u="1"/>
        <s v="DO00000702" u="1"/>
        <s v="DO00000703" u="1"/>
        <s v="DO00000704" u="1"/>
        <s v="DO00000705" u="1"/>
        <s v="DO00000706" u="1"/>
        <s v="DO00000707" u="1"/>
        <s v="DO00000708" u="1"/>
        <s v="DO00000709" u="1"/>
        <s v="DO00000710" u="1"/>
        <s v="DO00000711" u="1"/>
        <s v="DO00000712" u="1"/>
        <s v="DO00000713" u="1"/>
        <s v="DO00000714" u="1"/>
        <s v="DO00000715" u="1"/>
        <s v="DO00000716" u="1"/>
        <s v="DO00000717" u="1"/>
        <s v="DO00000718" u="1"/>
        <s v="DO00000719" u="1"/>
        <s v="DO00000720" u="1"/>
        <s v="DO00000721" u="1"/>
        <s v="DO00000722" u="1"/>
        <s v="DO00000723" u="1"/>
        <s v="DO00000724" u="1"/>
        <s v="DO00000725" u="1"/>
        <s v="DO00000726" u="1"/>
        <s v="DO00000727" u="1"/>
        <s v="DO00000728" u="1"/>
        <s v="DO00000729" u="1"/>
        <s v="DO00000730" u="1"/>
        <s v="DO00000731" u="1"/>
        <s v="DO00000732" u="1"/>
        <s v="DO00000733" u="1"/>
        <s v="DO00000734" u="1"/>
        <s v="DO00000735" u="1"/>
        <s v="DO00000736" u="1"/>
        <s v="DO00000737" u="1"/>
        <s v="DO00000738" u="1"/>
        <s v="DO00000739" u="1"/>
        <s v="DO00000740" u="1"/>
        <s v="DO00000741" u="1"/>
        <s v="DO00000742" u="1"/>
        <s v="DO00000743" u="1"/>
        <s v="DO00000744" u="1"/>
        <s v="DO00000745" u="1"/>
        <s v="DO00000746" u="1"/>
        <s v="DO00000747" u="1"/>
        <s v="DO00000748" u="1"/>
        <s v="DO00000749" u="1"/>
        <s v="DO00000750" u="1"/>
        <s v="DO00000751" u="1"/>
        <s v="DO00000752" u="1"/>
        <s v="DO00000753" u="1"/>
        <s v="DO00000754" u="1"/>
        <s v="DO00000755" u="1"/>
        <s v="DO00000756" u="1"/>
        <s v="DO00000757" u="1"/>
        <s v="DO00000758" u="1"/>
        <s v="DO00000759" u="1"/>
        <s v="DO00000760" u="1"/>
        <s v="DO00000761" u="1"/>
        <s v="DO00000762" u="1"/>
        <s v="DO00000763" u="1"/>
      </sharedItems>
    </cacheField>
    <cacheField name="Customer Code" numFmtId="0">
      <sharedItems/>
    </cacheField>
    <cacheField name="Customer Name" numFmtId="0">
      <sharedItems count="49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Cash Hamdan" u="1"/>
        <s v="Cash - Encik Razak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04-17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738"/>
    </cacheField>
    <cacheField name="Total Sales " numFmtId="43">
      <sharedItems containsSemiMixedTypes="0" containsString="0" containsNumber="1" minValue="1530" maxValue="4081515.150000001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drinayoo" refreshedDate="45863.570414236114" createdVersion="8" refreshedVersion="8" minRefreshableVersion="3" recordCount="3184">
  <cacheSource type="worksheet">
    <worksheetSource ref="A1:T3185" sheet="Raw Sales"/>
  </cacheSource>
  <cacheFields count="20">
    <cacheField name="Invoice Date" numFmtId="0">
      <sharedItems containsDate="1" containsMixedTypes="1" minDate="2019-12-23T00:00:00" maxDate="2024-08-31T00:00:00" count="621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 count="966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 u="1"/>
      </sharedItems>
    </cacheField>
    <cacheField name="Customer Code" numFmtId="0">
      <sharedItems/>
    </cacheField>
    <cacheField name="Customer Name" numFmtId="0">
      <sharedItems count="5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Encik Aziz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12-2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179996.25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drinayoo" refreshedDate="45863.570415624999" createdVersion="8" refreshedVersion="8" minRefreshableVersion="3" recordCount="3254">
  <cacheSource type="worksheet">
    <worksheetSource ref="A1:T3255" sheet="Raw Sales"/>
  </cacheSource>
  <cacheFields count="20">
    <cacheField name="Invoice Date" numFmtId="0">
      <sharedItems containsDate="1" containsMixedTypes="1" minDate="2019-12-23T00:00:00" maxDate="2024-10-01T00:00:00"/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/>
    </cacheField>
    <cacheField name="Product" numFmtId="0">
      <sharedItems containsBlank="1" count="377">
        <s v="RA Resin SHCP 268W (225kg)"/>
        <s v="RA CSM 450 GSM JUSHI 37kg 79m(L) X 1040mm(W)"/>
        <s v="RA Gelcoat GS-S ISO (20kg)"/>
        <s v="RB Acetone (160Kg)"/>
        <s v="RA Butanox M50 (5Kg)"/>
        <s v="RA Gelcoat GP-H (20Kg)"/>
        <s v="RA Silicone Rubber (25Kg)"/>
        <s v="RA Nor 3338W (220Kg)"/>
        <s v="RC Woven Roving E-800 40Kg 1000mm"/>
        <s v="RA CSM 300 GSM TWL 30kg 64m(L) x 1040mm(W)"/>
        <s v="RA CSM 450 GSM 54kg 64m(L) X 1860mm(W)"/>
        <s v="RA Gelcoat GS-H (20kg)"/>
        <s v="RA Talcum Powder (25Kg)"/>
        <s v="RA Norsodyne 3338NW (220Kg)"/>
        <s v="RA Bosny Wax (15kg)"/>
        <s v="RA Resin 3317AW (220Kg)"/>
        <s v="RA CSM 300 GSM 54Kg 96m(L) X 1860mm(W)"/>
        <s v="RA Accelerator (5kg)"/>
        <s v="RA Mirror Glaze"/>
        <s v="RA Pigment Super White (25Kg)"/>
        <s v="Brush 2 1/2&quot; (12 pc)"/>
        <s v="RA Pigment Black (5Kg)"/>
        <s v="RA GP Resin (225Kg)"/>
        <s v="Alkaline resistance Chopped Strand 24MM (18Kgs)"/>
        <s v="Transport charge"/>
        <s v="RA Miracle Gloss Wax"/>
        <s v="RA CSM 450 GSM TWL 30kg 64m(L) X 1040mm(W)"/>
        <s v="RA Norsodyne 3338W (220Kg)"/>
        <s v="RA CSM 450 30kg 79m(L) X 1040mm(W)"/>
        <s v="RA Tooling Gelcoat RP92 (22Kg)"/>
        <s v="RA CSM 450 54kg 64m(L) X 1860mm(W)"/>
        <s v="RA Vinlyeter Resin (200Kg)"/>
        <s v="RA Mirror Glaze Mold Release "/>
        <s v="RA Pigment H 2006 Dark Grey (5Kg)"/>
        <s v="RA Deawa DW-5213"/>
        <s v="RA Pigment H 7001 Bright Orange (5Kg)"/>
        <s v="RA Steel Roller 3&quot;"/>
        <s v="RA Aerosil (Silica Fume) (10Kg)"/>
        <s v="RA Accelerator (4Kg)"/>
        <s v="RA Styrene Monomer (6Kg)"/>
        <s v="RA Steel Roller 4&quot;"/>
        <s v="RC Woven Roving E-800 1000mm (40Kg)"/>
        <s v="RA Pigment Super White (5Kg)"/>
        <s v="RA Nor 3338NW (220Kg)"/>
        <s v="RA Resin 8201W (225Kg)"/>
        <s v="RA Resin 3338AW (220Kg)"/>
        <s v="RA Resin 9539NW (225Kg)"/>
        <s v="RD Paint Brush 3&quot;(12Pc/Ctr)"/>
        <s v="RH Bosny Wax (15kg)"/>
        <s v="RF Nor 3338NW (220Kg)"/>
        <s v="RG CSM 450 GSM 54kg 64m(L) X 1860mm(W)"/>
        <s v="Mould Released"/>
        <s v="RE Frekote 770NC (1 Gallon)"/>
        <s v="RD Steel Roller 4&quot;"/>
        <s v="RD Steel Roller 3&quot;"/>
        <s v="RD Brush 1.1/2 (12 PC)"/>
        <s v="RD Brush 3&quot; (12 PC)"/>
        <s v="RA CSM 450 TWL 60kg 64m(L) X 2080mm(W)"/>
        <s v="RA CSM 300 GSM 54kg 64m(L) X 1860mm(W)"/>
        <s v="RA Resin (25kg)"/>
        <s v="RA Mepoxe M (5kg)"/>
        <s v="RA Resin 3338NW (220kg)"/>
        <s v="RF Resin 3317AW (220Kg)"/>
        <s v="RI Silicone Rubber (25kg)"/>
        <s v="RA Resin SHCP268W (225kg)"/>
        <s v="RA CSM 450 TWL (37Kg) 1040mm"/>
        <s v="RA Woven Roving E-600 (45kg) 1120mm"/>
        <s v="RG CSM 450 CQ 54kg 64m(L) X 1860mm(W)"/>
        <s v="RJ TR104 Hi Temp Wax"/>
        <s v="RA VE Resin (25kg)"/>
        <s v="RA GP ResinW (225Kg)"/>
        <s v="RK Smooth Cream (25kg)"/>
        <s v="RA CSM 450 37kg 79m(L) X 1040mm(W)"/>
        <s v="RA Pigment Black (1kg)"/>
        <s v="RA Resin 3317AW (20Kg)"/>
        <s v="RD Paint Brush 1.1/2&quot;(12Pc/Ctr)"/>
        <s v="RA Tissue Mat (300M2) 30G/M2 1Meter (9Kg) Soft"/>
        <s v="RA Resin 9539W (225Kg)"/>
        <s v="RA CSM 450 GSM 51kg 64m(L) X 1860mm(W)"/>
        <s v="RF Resin 3338NW (220Kg)"/>
        <s v="RA CSM 300 TWL 54Kg 96m(L) X 1860mm(W)"/>
        <s v="RL CSM 450 Jushi 64kg 1800mm(W)"/>
        <s v="RL CSM 450 Jushi 37kg 1040mm(W)"/>
        <s v="RA CSM 450 (30Kg) 64m(L) x 1040mm(W)"/>
        <s v="RF Woven Roving E-600 (45kg) 1120mm"/>
        <s v="RG Resin 3317AW (220Kg)"/>
        <s v="RG TR104 Hi Temp Wax"/>
        <s v="RG CSM 300 (30Kg) 64m(L) x 1040mm(W)"/>
        <s v="RG Resin 3338AW (220kg)"/>
        <s v="RG CSM 450 30kg 79m(L) X 1040mm(W)"/>
        <s v="RA CSM 450 (60Kg) 64m(L) x 2080mm(W)"/>
        <s v="RG Woven Roving E-600 (45kg) 1120mm"/>
        <s v="RG Nor 3338W (220Kg)"/>
        <s v="RA Butanox M50"/>
        <s v="RG Nor 3338NW (220Kg)"/>
        <s v="RG CSM 450 (30Kg) 64m(L) x 1040mm(W)"/>
        <s v="RM Nor 3338NW (220Kg)"/>
        <s v="RM Wax Solution 54-56 (10L)"/>
        <s v="RM NPG Gelcoat 9319-H (25Kg)"/>
        <s v="RM Pgment Paste Riviera Blue B5 (5Kg)"/>
        <s v="RM CSM 450 64m(L) 1040mm(W) (30Kg)"/>
        <s v="RM Woven Roving E-600gm 1000mm (40Kg)"/>
        <s v="RA Pigment Super Black (5kg)"/>
        <s v="RM Cobalt (5kg)"/>
        <s v="RM Acetone (163Kg)"/>
        <s v="RM Pigment Smooth Cream (25kg)"/>
        <s v="RJ Mepoxe (5kg)"/>
        <s v="RM Gelcoat GSH"/>
        <s v="RM CSM 450 (60Kg) 64m(L) x 2080mm(W)"/>
        <s v="RA CSM 300 (54Kg) 1860mm"/>
        <s v="RA Resin 3317AW (25Kg)"/>
        <s v="RM NPG Gelcoat 9319-H (5Kg)"/>
        <s v="RM CSM 450 64m(L) X 1860mm(W) (54kg)"/>
        <s v="RA Nor 3317W (220Kg)"/>
        <s v="Resin 3317AW (25Kg)"/>
        <s v="CSM 450 64m(L) 1040mm(W) (30Kg)"/>
        <s v="Mepoxe (5kg)"/>
        <s v="Talcum Powder (25kg)"/>
        <s v="RM Resin 3317AW (220Kg)"/>
        <s v="RM Butanox M50"/>
        <s v="RM Nor 3338W (220Kg)"/>
        <s v="RM Resin 3338AW (220kg)"/>
        <s v="Epoxy primer 15kg + Hardener 7.5kg "/>
        <s v="RM Pigment Super Black (5kg)"/>
        <s v="RM Pgment Opaline (10Kg)"/>
        <s v="RM Gelcoat GPH (20Kg)"/>
        <s v="RM Catalyst Despender"/>
        <s v="RM Resin Nor 3317AW (220Kg)"/>
        <s v="RJ Woven Roving E-600gm 1000mm (40Kg)"/>
        <s v="RA Miracle Gloss Wax No. 8 (311g/Can)"/>
        <s v="RM Dark Gray (5Kg)"/>
        <s v="RM Fume silica HJSIL 200(10Kg)"/>
        <s v="RM Talcum Powder (25kg)"/>
        <s v="RA  Woven Roing 600 1120mm (45kg)"/>
        <s v="RA Sand Wheel 105 X 2 X 16 (30PC)"/>
        <s v="RM Woven Roving E-800 1000mm (40Kg)"/>
        <s v="RA/RM Pigment Super White (5Kg)"/>
        <s v="RM TR104 Hi Temp Wax (12Can)"/>
        <s v="RM PVA (5Kg)"/>
        <s v="RM CSM 450 Jushi 64m(L) X 1860mm(W) (67Kg)"/>
        <s v="RA CSM 300 96m(L) X 1860mm(W) (54Kg)"/>
        <s v="RM Pigment Super White (5Kg)"/>
        <s v="RA CSM 450 GSM JUSHI 79m(L) X 1040mm(W) (37kg)"/>
        <s v="-"/>
        <s v="RM Resin Nor 3338W (220Kg)"/>
        <s v="RM Resin 268BQTN (225Kg)"/>
        <s v="RM Cobalt 10% (5Kg)"/>
        <s v="RA CSM 450 Jushi 64m(L) x 1040mm(W) (37Kg)"/>
        <s v="RA CSM 450 64m(L) 1040mm(W) (30Kg)"/>
        <s v="RM Vinyl Ester Resin (20Kg)"/>
        <s v="RM Butanox M50 (5kg)"/>
        <s v="RD Brush 3&quot; (12Pc)"/>
        <s v="RJ Butonox M50 (5kg)"/>
        <s v="RM TR104 Hi Temp Wax"/>
        <s v="RJ Woven Roving E-600 (42kg) 1120mm"/>
        <s v="RA CSM 300 (30Kg) 64m(L) x 1040mm(W)"/>
        <s v="RA Woven Roing 600 1120mm (45kg)"/>
        <s v="RA CSM 450 79m(L) x 1040mm(W) (30Kg)"/>
        <s v="RA Woven Roving 600 1120mm (45kg)"/>
        <s v="RM Pigment Paste Smooth Cream M19 (25kg)"/>
        <s v="RJ Butanox M50 (5kg)"/>
        <s v="RD Brush 2&quot; (12Pc)"/>
        <s v="RM Pigment Orange (5Kg)"/>
        <s v="RM CSM 300 96m(L) X 1860mm(W) (54Kg)"/>
        <s v="RA Woven Roving 600 1000mm (40kg)"/>
        <s v="RM Gelcoat GSH (20Kg)"/>
        <s v="Transportation fee "/>
        <s v="RM Nor 3338W (20Kg)"/>
        <s v="RM Resin 3338W (22.50kg)"/>
        <s v="RM VE Resin (22.50kg)"/>
        <s v="RM CSM 450 GSM 1040mm (30kg)"/>
        <s v="RA Mepoxe (5kg)"/>
        <s v="RM Woven Roving 600 1000mm (40Kg)"/>
        <s v="RM MEKP-9 (3.6Kg)"/>
        <s v="RM Brush 3&quot; (12Pc)"/>
        <s v="RA CSM 300  64m(L) x 1040mm(W) (30Kg)"/>
        <s v="RA Woven Roving 600 1020mm (45Kg)"/>
        <s v="RM Steel Roller 4&quot; 10mm"/>
        <s v="RM Steel Roller 4&quot; 16mm"/>
        <s v="Transport fee for DO00000389-1"/>
        <s v="RM Pgment Paste Riviera Blue B5 (1Kg)"/>
        <s v="RM CSM 450 CQ 54kg 64m(L) X 1860mm(W)"/>
        <s v="RM Aerosil (Silica Fume) (10Kg)"/>
        <s v="RN Bosny Wax (12Kg)"/>
        <s v="RM CSM 450 79m(L) x 1040mm(W) (30Kg)"/>
        <s v="RJ Woven Roving E-600gm 1000mm (42Kg)"/>
        <s v="RM Pigment Paste Smooth Cream M19 (5Kg)"/>
        <s v="RM Pigment Paste Smooth Cream M19 (20Kg)"/>
        <s v="RA Resin 3338W (220kg)"/>
        <s v="RA Nor 3338NonWax (220Kg)"/>
        <s v="RA CSM 300 64m(L) 1040mm(W) (30Kg)"/>
        <s v="RJ Woven Roving E-600gm 1000mm (42Kg) (offer price)*"/>
        <s v="RM Pigment Pearl Grey (2Kg)"/>
        <s v="RM Pigment Light Grey (2Kg)"/>
        <s v="RA CSM 300 64m(L) x 1040mm(W) (30Kg) "/>
        <s v="RA Nor 9539NonWax (225Kg)"/>
        <s v="RJ Woven Roving E-600gm 1000mm (42Kg) (offer price)"/>
        <s v="RA Honeycomb 12mm - 1220(W) x 2440(L)"/>
        <s v="RA Honeycomb 9mm - 1220(W) x 2440(L)"/>
        <s v="RM GP NPG 9319-H (25kg)"/>
        <s v="RM Resin 3338W (20Kg)"/>
        <s v="Brush 1.1/2&quot;(12Pc)"/>
        <s v="RM Resin 3330W (220Kg)"/>
        <s v="Pgment Paste Riviera Blue B5 (2Kg)"/>
        <s v="Pgment Paste Navy Blue B15 (2Kg)"/>
        <s v="RM VE Tooling Gelcoat 14 (Unpromoted) (orange) 25kg "/>
        <s v="RM VE Resin SW901-3 (unpromoted) 25kg "/>
        <s v="RM Cobalt 10% (0.06kg) Free of Charge"/>
        <s v="RM Tissue Mat (250 meter)"/>
        <s v="RM Steel Roller 3&quot; 16mm"/>
        <s v="RM Pigment Super White (2Kg)"/>
        <s v="RM Pigment Signal Red (2kg)"/>
        <s v="RM Pigment Light Grey (5kg)"/>
        <s v="RM Pigment Signal Red (5kg)"/>
        <s v="RM Honeycomb 12mm - 1220(W) x 2440(L)"/>
        <s v="RM CSM 450 1040mm(W) (30Kg)"/>
        <s v="RM Nor 3338NonWax (220Kg)"/>
        <s v="RM Pigment Super White (25kg)"/>
        <s v="RM CSM 300 1860mm(W) (54kg)"/>
        <s v="RM CSM 300 1040mm(W) (30kg)"/>
        <s v="Pigment Light Grey G1 (2kg)"/>
        <s v="Pigment Signal Red R13 (2kg)"/>
        <s v="RM Resin 3338W (220kg)"/>
        <s v="RM Miracle Gloss Wax No. 8 (311g/Can)"/>
        <s v="RM Nor 3317W (220Kg)"/>
        <s v="RM CSM 450 1860mm(W) (54kg)"/>
        <s v="RM Mepoxe M (MEKP) (5kg)"/>
        <s v="RM Miracle Gloss Wax No. 8 (311g/Can) "/>
        <s v="RM Woven Roving E-600gm 1000mm (42Kg)"/>
        <s v="Resin 3317AW (220kg)"/>
        <s v="CSM 450 GSM 1860mm (54kg)"/>
        <s v="CSM 300 GSM 1860mm (54kg)"/>
        <s v="Gelcoat GP-H (20kg)"/>
        <s v="TR104 Wax Mould Release"/>
        <s v="Pigment Grey G13 (25kg)"/>
        <s v="Frekote 770NC (1 Gallon)"/>
        <s v="Butanox M50 (5Kg)"/>
        <s v="Brush 3&quot; (12pcs)"/>
        <s v="Brush 1.1/2&quot; (12pcs)"/>
        <s v="Acetone (163kg)"/>
        <s v="RM Pigment White (5Kg)"/>
        <s v="RM Pigment Black (5Kg)"/>
        <s v="RM Gelcoat NPG 9319-H (25kg)"/>
        <s v="RM Chemlease 71-90 EZ (1 gallon)"/>
        <s v="RM Pigment Paste Grey (12Kg)"/>
        <s v="RM Pigment Super White (5Kg)  **Or 20kg x 1 pail"/>
        <s v="RA CSM 450 1040mm(W) (30kg)"/>
        <s v="RM CSM 450 64m(L) X 1860mm(W) (67kg)"/>
        <s v="RM Pigment Super White (30kg)"/>
        <s v="RM Resin 3338W (20g)"/>
        <s v="RM Resin 3338W (25g)"/>
        <s v="RM Resin 3338NW (220kg)"/>
        <s v="RM CLiQSPERSE PB (5kg)"/>
        <s v="RM CSM 450 1860mm(W) (67kg)"/>
        <s v="RM Nor 3338W (30Kg)"/>
        <s v="RM Pigment Paste Smooth Cream M19 (2Kg)"/>
        <s v="RM Woven Roving E-600gm 1000mm (42g)"/>
        <s v="RM Woven Roving E-600gm 1000mm (40g)"/>
        <s v="RM Pigment Yellow Orange Y11 (5Kg)"/>
        <s v="RM Resin 3338W (25kg)"/>
        <s v="Transportation Charge"/>
        <s v="Chemlease 71-90 EZ (1 gallon)"/>
        <s v="Pigment Super White W2 (5kg)  "/>
        <s v="Woven Roving 600 1000mm (40kg)"/>
        <s v="Pigment Super Black PE30 (5kg)"/>
        <s v="Pigment Super White W2 (5kg)"/>
        <s v="RM Resin 3310W (220kg)"/>
        <s v="RM Gelcoat GP-H (20kg)"/>
        <s v="RM Brush 3&quot; "/>
        <s v="RM Brush 2&quot;"/>
        <s v="RM Pigment Super White (2kg)  "/>
        <s v="RM Pigment Super Black (2kg)  "/>
        <s v="RM Pigment Orange (2kg)  "/>
        <s v="RM Pigment Super Black PE30 (5kg)"/>
        <s v="RM Pigment Pearl Grey G2 (5Kg)"/>
        <s v="Transportation fee"/>
        <s v="RM Pigment Paste Riviera Blue B5 (2Kg)"/>
        <s v="RM Pigment Light Grey G1 (5kg)"/>
        <s v="RA Resin 3317W (220Kg)"/>
        <s v="RM CSM 450 GSM 1860mm (54kg)"/>
        <s v="RM CSM 300 GSM 1860mm (54kg)"/>
        <s v="RM Pigment Grey G13 (25kg)"/>
        <s v="RD Brush 3&quot; (12pcs)"/>
        <s v="RD Brush 2&quot; (12pcs)"/>
        <s v="RJ Woven Roing 600 1000mm (40kg)"/>
        <s v="RM Accelerator (4kg)"/>
        <s v="RM Pigment Super White (5Kg) "/>
        <s v="RM NPG Gelcoat 9319-H (22kg)"/>
        <s v="RM Pigment Super White (5kg) High viscosity "/>
        <s v="RM Pigment Super White (5kg) High viscosity FOC sample"/>
        <s v="RJ Woven Roving E-600gm 1000mm (40g)"/>
        <s v="RM Pigment Super White W2 (5kg)"/>
        <s v="RA CSM 300 1040mm(W) (30Kg)"/>
        <s v="RM Pigment Super White W2HV (5Kg)"/>
        <s v="RM Paint Roller 4&quot; "/>
        <s v="RM VE Resin 901-3 (200Kg)"/>
        <s v="RM Pigment Riviera Blue B5 (5kg)"/>
        <s v="RM Pigment Paste Light Grey G1 (5kg)"/>
        <s v="RA CSM 450 64m(L) X 1860mm(W) (54kg)"/>
        <s v="RM 800g/450g 1250mm (50Kg)"/>
        <s v="RJ Woven Roving E-800gm 1120mm (45g)"/>
        <s v="RA Woven Roving E-600gm 1120mm (45Kg)"/>
        <s v="RM VE Resin 901-3P (200Kg)"/>
        <s v="RM Pigment Grey RAL 7038 (25kg)"/>
        <s v="RA Resin 9509NW (225Kg)"/>
        <m/>
        <s v="CANCELLED INVOICE"/>
        <s v="Resin 3338W (20Kg)"/>
        <s v="CSM 450  64m(L) X 1860mm(W) (54kg)"/>
        <s v="Pigment Brown Mahogany (5kg)"/>
        <s v="Transport fee "/>
        <s v="RA Woven Roving E-600gm 1000mm (40Kg)"/>
        <s v="RA CSM 450 Jushi 64m(L) 1040mm(W) (37Kg)"/>
        <s v="RO CSM 450 Jushi 79m(L) x 1040mm(W) (37Kg)"/>
        <s v="RO CSM 450 Jushi 1040mm(W) (37Kg)"/>
        <s v="RO Gelcoat LB988 (22kg)"/>
        <s v="RO Resin 8213W (225kg)"/>
        <s v="RO Polymal LB-9888 (22kg)"/>
        <s v="RO CSM 450 1040mm(W) (37kg)"/>
        <s v="RP Talcum Powder (25Kg)"/>
        <s v="RM TR104 Wax Mould Release"/>
        <s v="RM Pigment Paste Riviera Blue B5 (5Kg)"/>
        <s v="RM Sand Wheel 105 X 2 X 16 (30PC)"/>
        <s v="RM Tissue Mat (250 M2)"/>
        <s v="Overbill"/>
        <s v="RD Brush 2&quot; "/>
        <s v="RO CSM 450 Jushi 64m(L) X 1860mm(W) (67kg)"/>
        <s v="RO CSM 450 1860mm(W) (54kg)"/>
        <s v="RO CSM 450 64m(L) X 1860mm(W) (67kg)"/>
        <s v="RO Gelcoat LB9888 (22kg)"/>
        <s v="RM Pigment Chestnut Brown C1 (5kg)"/>
        <s v="RA CSM 450 1040mm(W) (37Kg)"/>
        <s v="Resin 3338W (220kg)"/>
        <s v="CSM 450 1040mm(W) (30kg)"/>
        <s v="Woven Roving E-600gm 1000mm (40Kg)"/>
        <s v="Honeycomb 12mm - 1220(W) x 2440(L)"/>
        <s v="Pigment Red (5kg)"/>
        <s v="Gelcoat LB988 (22kg)"/>
        <s v="RD Bristle Roller 4&quot;"/>
        <s v="RM Pigment Super White HV (5Kg)"/>
        <s v="RO CSM 450 64m(L) 1040mm(W) (37Kg)"/>
        <s v="RM Pigment Grey RAL 7038 (10kg)"/>
        <s v="RM Pigment Trafic Orange RAL 2009 (5Kg)"/>
        <s v="RM Fume Silica HJSIL 200 (10Kg)"/>
        <s v="RM Silicone Rubber RTV 2628 (25kg) c/w Hardener (1kg)"/>
        <s v="RA Honeywax 250"/>
        <s v="RA Coverall PVA (1 Gallon)"/>
        <s v="RQ Talcum Powder (10Kg)    F.O.C"/>
        <s v="RM Resin 3317W (220Kg)"/>
        <s v="RM CSM 300 64m(L) X 1860mm(W) (54kg)"/>
        <s v="RM Pigment Paste Petronas Green H4 (5kg)"/>
        <s v="RA CSM 450 1040mm (30kg)"/>
        <s v="RC Woven Roving E-600 1000mm (40Kg)"/>
        <s v="RM PIgment Sapphire Blue B10 (5kg)"/>
        <s v="RM CSM 300 1040mm (30Kg)"/>
        <s v="RQ Talcum Powder (25kg)"/>
        <s v="RM Catalyst measuring Instrument 555"/>
        <s v="RM Steel Roller 4&quot; "/>
        <s v="RM Steel Roller 8&quot;"/>
        <s v="RM Pigment Orange RAL 2009 (5kg) "/>
        <s v="RM Nor 3338W (25Kg)"/>
        <s v="RD Brush 3&quot;"/>
        <s v="RM Cobalt 5% (4kg)"/>
        <s v="RM Honeycomb 19mm - 1220(W) x 2440(L)"/>
        <s v="RM Pigment Paste Riviera Blue B5 (4Kg)"/>
        <s v="RM Epoxy Resin (25kg)"/>
        <s v="RM TR104 Wax Mould Release (12 Can)"/>
        <s v="RM Pigment Orange RAL 2009 (7kg) "/>
        <s v="RM Pigment Paste Riviera Blue B5 (25Kg)"/>
        <s v="RA Wax Solution"/>
        <s v="RM Pigment Pearl Grey G1 (5Kg)"/>
        <s v="RM Pigment Paste Ice Blue B1 (5kg)"/>
        <s v="RM Pigment Paste Tangerine Y12 (5Kg)"/>
        <s v="RM Pigment Dark Grey (5Kg)"/>
        <s v="RM PIgment Sapphire Blue B10 (20kg)"/>
        <s v="RA Resin 268W (225Kg)"/>
        <s v="Desuki Affela Empire Enterprise" u="1"/>
      </sharedItems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5-01-0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5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315158.9499999993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drinayoo" refreshedDate="45871.739062962966" createdVersion="8" refreshedVersion="8" minRefreshableVersion="3" recordCount="4228">
  <cacheSource type="worksheet">
    <worksheetSource ref="A1:T4229" sheet="Raw Sales"/>
  </cacheSource>
  <cacheFields count="20">
    <cacheField name="Invoice Date" numFmtId="0">
      <sharedItems containsDate="1" containsMixedTypes="1" minDate="2019-12-23T00:00:00" maxDate="1900-01-04T06:51:04" count="800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  <s v="01/07/2025"/>
        <s v="02/07/2025"/>
        <s v="04/07/2025"/>
        <s v="05/07/2025"/>
        <s v="08/07/2025"/>
        <s v="10/07/2025"/>
        <n v="45849"/>
        <s v="15/07/2025"/>
        <s v="16/07/2025"/>
        <s v="17/07/2025"/>
        <s v="18/07/2025"/>
        <s v="21/07/2025"/>
        <s v="22/07/2025"/>
        <s v="26/07/2025"/>
        <s v="28/07/2025"/>
        <s v="29/07/2025"/>
        <s v="30/07/2025"/>
        <s v="31/07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/>
    </cacheField>
    <cacheField name="Invoice No" numFmtId="0">
      <sharedItems count="1294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  <s v="INV00001261"/>
        <s v="INV00001262"/>
        <s v="INV00001263"/>
        <s v="INV00001264"/>
        <s v="INV00001265"/>
        <s v="INV00001266"/>
        <s v="INV00001267"/>
        <s v="INV00001268"/>
        <s v="INV00001269"/>
        <s v="INV00001270"/>
        <s v="INV00001271"/>
        <s v="INV00001272"/>
        <s v="INV00001273"/>
        <s v="INV00001274"/>
        <s v="INV00001275"/>
        <s v="INV00001276"/>
        <s v="INV00001277"/>
        <s v="INV00001278"/>
        <s v="INV00001279"/>
        <s v="INV00001280"/>
        <s v="INV00001281"/>
        <s v="INV00001282"/>
        <s v="INV00001283"/>
        <s v="INV00001284"/>
        <s v="INV00001285"/>
        <s v="INV00001286"/>
        <s v="INV00001287"/>
        <s v="INV00001288"/>
        <s v="INV00001289"/>
        <s v="INV00001290"/>
        <s v="INV00001291"/>
        <s v="INV00001292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1-19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995384.2500000037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4">
  <r>
    <x v="0"/>
    <n v="12"/>
    <x v="0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x v="0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x v="1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x v="1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x v="1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x v="1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x v="1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x v="1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x v="1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x v="1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x v="1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x v="1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x v="1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x v="1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x v="1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x v="1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x v="1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x v="1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x v="1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x v="1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x v="1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x v="1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x v="1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x v="1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x v="1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x v="1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x v="1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x v="1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x v="1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x v="1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x v="1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x v="1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x v="1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x v="1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x v="1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x v="1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x v="1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x v="1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x v="1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x v="1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x v="1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x v="1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x v="1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x v="1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x v="1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x v="1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x v="1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x v="1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x v="1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x v="1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x v="1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x v="1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x v="1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x v="1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x v="1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x v="1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x v="1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x v="1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x v="1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x v="1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x v="1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x v="1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x v="1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x v="1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x v="1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x v="1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x v="1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x v="1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x v="1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x v="1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x v="1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x v="1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x v="1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x v="1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x v="1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x v="1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x v="1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x v="1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x v="1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x v="1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x v="1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x v="1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x v="1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x v="1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x v="1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x v="1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x v="1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x v="1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x v="1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x v="1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x v="1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x v="1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x v="1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x v="1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x v="1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x v="1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x v="1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x v="1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x v="1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x v="1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x v="1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x v="1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x v="1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x v="1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x v="1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x v="1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x v="1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x v="1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x v="1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x v="1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x v="1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x v="1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x v="1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x v="1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x v="1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x v="1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x v="1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x v="1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x v="1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x v="1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x v="1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x v="1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x v="1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x v="1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x v="1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x v="1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x v="1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x v="1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x v="1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x v="1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x v="1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x v="1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x v="1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x v="1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x v="1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x v="1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x v="1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x v="1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x v="1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x v="1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x v="1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x v="1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x v="1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x v="1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x v="1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x v="1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x v="1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x v="1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x v="1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x v="1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x v="1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x v="1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x v="1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x v="2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x v="2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x v="2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x v="2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x v="2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x v="2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x v="2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x v="2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x v="2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x v="2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x v="2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x v="2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x v="2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x v="2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x v="2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x v="2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x v="2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x v="2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x v="2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x v="2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x v="2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x v="2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x v="2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x v="2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x v="2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x v="2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x v="2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x v="2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x v="2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x v="2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x v="2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x v="2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x v="2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x v="2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x v="2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x v="2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x v="2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x v="2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x v="2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x v="2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x v="2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x v="2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x v="2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x v="2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x v="2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x v="2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x v="2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x v="2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x v="2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x v="2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x v="2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x v="2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x v="2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x v="2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x v="2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x v="2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x v="2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x v="2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x v="2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x v="2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x v="2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x v="2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x v="2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x v="2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x v="2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x v="2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x v="2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x v="2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x v="2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x v="2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x v="2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x v="2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x v="2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x v="2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x v="2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x v="2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x v="2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x v="2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x v="2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x v="2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x v="2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x v="2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x v="2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x v="2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x v="2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x v="2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x v="2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x v="2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x v="2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x v="2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x v="2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x v="2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x v="2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x v="2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x v="2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x v="2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x v="2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x v="2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x v="2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x v="2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x v="2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x v="2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x v="2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x v="2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x v="2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x v="2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x v="2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x v="2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x v="2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x v="2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x v="2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x v="2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x v="2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x v="2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x v="2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x v="2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x v="2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x v="2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x v="2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x v="2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x v="2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x v="2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x v="2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x v="2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x v="2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x v="2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x v="2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x v="2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x v="2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x v="2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x v="2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x v="2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x v="2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x v="2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x v="2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x v="2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x v="2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x v="2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x v="2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x v="2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x v="2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x v="2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x v="2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x v="2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x v="2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x v="2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x v="2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x v="2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x v="2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x v="2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x v="2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x v="2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x v="2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x v="2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x v="2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x v="2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x v="2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x v="2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x v="2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x v="2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x v="2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x v="2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x v="2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x v="2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x v="2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x v="2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x v="2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x v="2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x v="2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x v="2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x v="2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x v="2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x v="2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x v="2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x v="2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x v="2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x v="2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x v="2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x v="2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x v="2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x v="2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x v="2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x v="2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x v="2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x v="2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x v="2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x v="2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x v="2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x v="2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x v="2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x v="2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x v="2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x v="2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x v="2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x v="2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x v="2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x v="2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x v="2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x v="2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x v="2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x v="2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x v="2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x v="2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x v="2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x v="2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x v="2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x v="2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x v="2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x v="2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x v="2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x v="2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x v="2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x v="2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x v="2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x v="2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x v="2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x v="2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x v="2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x v="2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x v="2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x v="2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x v="2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x v="2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x v="2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x v="2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x v="2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x v="2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x v="2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x v="2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x v="2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x v="2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x v="2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x v="2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x v="2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x v="2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x v="2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x v="2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x v="2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x v="2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x v="2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x v="2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x v="2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x v="2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x v="2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x v="2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x v="2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x v="2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x v="2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x v="2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x v="2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x v="2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x v="2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x v="2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x v="2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x v="2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x v="2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x v="2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x v="2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x v="2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x v="2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x v="2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x v="2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x v="2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x v="2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x v="2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x v="2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x v="2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x v="2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x v="2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x v="2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x v="2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x v="2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x v="2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x v="2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x v="2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x v="2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x v="2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x v="2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x v="2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x v="2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x v="2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x v="2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x v="2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x v="2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x v="2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x v="2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x v="2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x v="2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x v="2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x v="2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x v="2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x v="2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x v="2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x v="2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x v="2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x v="2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x v="2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x v="2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x v="2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x v="2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x v="2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x v="2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x v="2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x v="2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x v="2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x v="2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x v="2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x v="2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x v="2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x v="2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x v="2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x v="2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x v="2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x v="2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x v="2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x v="2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x v="2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x v="2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x v="2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x v="2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x v="2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x v="2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x v="2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x v="2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x v="2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x v="2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x v="2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x v="2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x v="2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x v="2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x v="2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x v="2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x v="2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x v="2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x v="2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x v="2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x v="2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x v="2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x v="2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x v="2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x v="3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x v="3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x v="3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x v="3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x v="3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x v="3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x v="3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x v="3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x v="3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x v="3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x v="3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x v="3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x v="3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x v="3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x v="3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x v="3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x v="3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x v="3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x v="3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x v="3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x v="3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x v="3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x v="3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x v="3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x v="3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x v="3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x v="3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x v="3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x v="3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x v="3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x v="3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x v="3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x v="3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x v="3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x v="3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x v="3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x v="3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x v="3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x v="3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x v="3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x v="3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x v="3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x v="3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x v="3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x v="3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x v="3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x v="3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x v="3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x v="3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x v="3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x v="3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x v="3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x v="3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x v="3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x v="3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x v="3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x v="3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x v="3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x v="3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x v="3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x v="3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x v="3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x v="3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x v="3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x v="3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x v="3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x v="3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x v="3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x v="3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x v="3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x v="3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x v="3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x v="3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x v="3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x v="3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x v="3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x v="3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x v="3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x v="3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x v="3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x v="3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x v="3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x v="3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x v="3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x v="3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x v="3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x v="3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x v="3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x v="3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x v="3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x v="3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x v="3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x v="3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x v="3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x v="3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x v="3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x v="3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x v="3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x v="3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x v="3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x v="3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x v="3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x v="3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x v="3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x v="3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x v="3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x v="3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x v="3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x v="3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x v="3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x v="3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x v="3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x v="3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x v="3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x v="3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x v="3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x v="3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x v="3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x v="3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x v="3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x v="3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x v="3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x v="3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x v="3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x v="3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x v="3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x v="3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x v="3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x v="3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x v="3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x v="3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x v="3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x v="3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x v="3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x v="3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x v="3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x v="3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x v="3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x v="3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x v="3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x v="3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x v="3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x v="3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x v="3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x v="3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x v="3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x v="3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x v="3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x v="3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x v="3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x v="3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x v="3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x v="3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x v="3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x v="3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x v="3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x v="3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x v="3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x v="3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x v="3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x v="3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x v="3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x v="3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x v="3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x v="3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x v="3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x v="3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x v="3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x v="3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x v="3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x v="3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x v="3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x v="3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x v="3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x v="3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x v="3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x v="3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x v="3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x v="3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x v="3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x v="3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x v="3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x v="3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x v="3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x v="3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x v="3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x v="3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x v="3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x v="3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x v="3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x v="3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x v="3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x v="3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x v="3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x v="3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x v="3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x v="3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x v="3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x v="3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x v="3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x v="3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x v="3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x v="3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x v="3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x v="3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x v="3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x v="3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x v="3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x v="3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x v="3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x v="3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x v="3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x v="3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x v="3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x v="3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x v="3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x v="3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x v="3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x v="3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x v="3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x v="3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x v="3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x v="3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x v="3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x v="3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x v="3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x v="3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x v="3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x v="3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x v="3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x v="3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x v="3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x v="3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x v="3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x v="3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x v="3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x v="3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x v="3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x v="3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x v="3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x v="3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x v="3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x v="3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x v="3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x v="3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x v="3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x v="3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x v="3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x v="3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x v="3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x v="3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x v="3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x v="3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x v="3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x v="3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x v="3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x v="3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x v="3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x v="3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x v="3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x v="3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x v="3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x v="3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x v="3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x v="3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x v="3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x v="3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x v="3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x v="3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x v="3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x v="3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x v="3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x v="3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x v="3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x v="3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x v="3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x v="3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x v="3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x v="3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x v="3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x v="3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x v="3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x v="3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x v="3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x v="3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x v="3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x v="3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x v="3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x v="3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x v="3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x v="3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x v="3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x v="3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x v="3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x v="3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x v="3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x v="3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x v="3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x v="3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x v="3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x v="3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x v="3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x v="3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x v="3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x v="3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x v="3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x v="3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x v="3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x v="3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x v="3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x v="3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x v="3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x v="3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x v="3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x v="3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x v="3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x v="3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x v="3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x v="3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x v="3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x v="3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x v="3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x v="3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x v="3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x v="3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x v="3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x v="3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x v="3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x v="3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x v="3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x v="3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x v="3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x v="3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x v="3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x v="3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x v="3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x v="3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x v="3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x v="3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x v="3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x v="3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x v="3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x v="3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x v="3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x v="3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x v="3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x v="3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x v="3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x v="3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x v="3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x v="3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x v="3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x v="3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x v="3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x v="3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x v="3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x v="3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x v="3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x v="3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x v="3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x v="3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x v="3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x v="3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x v="3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x v="3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x v="3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x v="3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x v="3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x v="3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x v="3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x v="3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x v="3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x v="3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x v="3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x v="3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x v="3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x v="3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x v="3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x v="3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x v="3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x v="3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x v="3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x v="3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x v="3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x v="3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x v="3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x v="3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x v="3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x v="3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x v="3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x v="3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x v="3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x v="3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x v="3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x v="3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x v="3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x v="3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x v="3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x v="3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x v="3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x v="3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x v="3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x v="3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x v="3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x v="3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x v="3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x v="3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x v="3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x v="3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x v="3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x v="3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x v="3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x v="3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x v="3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x v="3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x v="3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x v="3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x v="3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x v="3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x v="3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x v="3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x v="3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x v="3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x v="3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x v="3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x v="3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x v="3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x v="3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x v="3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x v="3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x v="3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x v="3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x v="3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x v="3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x v="3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x v="3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x v="3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x v="3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x v="3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x v="3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x v="3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x v="3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x v="3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x v="3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x v="3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x v="3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x v="3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x v="3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x v="3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x v="3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x v="3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x v="3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x v="3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x v="3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x v="3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x v="3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x v="3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x v="3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x v="3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x v="3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x v="3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x v="3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x v="3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x v="3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x v="3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x v="3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x v="3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x v="3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x v="3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x v="3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x v="3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x v="3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x v="3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x v="3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x v="3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x v="3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x v="3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x v="3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x v="3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x v="3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x v="3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x v="3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x v="3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x v="3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x v="3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x v="3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x v="3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x v="3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x v="3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x v="3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x v="3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x v="3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x v="3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x v="3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x v="3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x v="3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x v="3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x v="3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x v="3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x v="3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x v="3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x v="3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x v="3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x v="3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x v="3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x v="3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x v="3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x v="3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x v="3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x v="3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x v="3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x v="3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x v="3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x v="3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x v="3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x v="3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x v="3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x v="3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x v="3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x v="3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x v="3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x v="3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x v="3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x v="3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x v="3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x v="3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x v="3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x v="3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x v="3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x v="3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x v="3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x v="3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x v="3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x v="3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x v="3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x v="3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x v="3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x v="3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x v="3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x v="3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x v="3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x v="3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x v="3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x v="3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x v="3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x v="3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x v="3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x v="3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x v="3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x v="3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x v="3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x v="3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x v="3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x v="3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x v="3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x v="3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x v="3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x v="3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x v="3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x v="3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x v="3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x v="3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x v="3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x v="3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x v="3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x v="3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x v="3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x v="3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x v="3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x v="3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x v="3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x v="3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x v="3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x v="3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x v="3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x v="3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x v="3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x v="3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x v="3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x v="3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x v="3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x v="3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x v="3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x v="3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x v="3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x v="3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x v="3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x v="3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x v="3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x v="3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x v="3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x v="3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x v="3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x v="3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x v="3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x v="3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x v="3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x v="3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x v="3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x v="3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x v="3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x v="3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x v="3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x v="3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x v="3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x v="3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x v="3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x v="3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x v="3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x v="3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x v="3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x v="3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x v="3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x v="3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x v="3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x v="3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x v="3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x v="3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x v="3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x v="3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x v="3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x v="3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x v="3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x v="3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x v="3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x v="3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x v="3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x v="3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x v="3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x v="3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x v="3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x v="3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x v="3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x v="3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x v="3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x v="3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x v="3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x v="3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x v="3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x v="3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x v="3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x v="3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x v="3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x v="3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x v="3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x v="3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x v="3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x v="3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x v="3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x v="3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x v="3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x v="3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x v="3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x v="3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x v="3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x v="3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x v="3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x v="3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x v="3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x v="3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x v="3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x v="3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x v="3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x v="3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x v="3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x v="3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x v="3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x v="3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x v="3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x v="3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x v="3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x v="3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x v="3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x v="3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x v="3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x v="3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x v="3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x v="3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x v="3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x v="3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x v="3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x v="3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x v="3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x v="3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x v="3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x v="3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x v="3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x v="3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x v="3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x v="3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x v="3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x v="3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x v="3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x v="3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x v="3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x v="3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x v="3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x v="3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x v="3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x v="3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x v="3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x v="3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x v="3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x v="3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x v="3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x v="3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x v="3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x v="3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x v="3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x v="3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x v="3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x v="3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x v="3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x v="3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x v="3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x v="3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x v="3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x v="3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x v="3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x v="3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x v="3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x v="3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x v="3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x v="3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x v="3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x v="3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x v="3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x v="3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x v="3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x v="3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x v="3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x v="3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x v="3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x v="3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x v="3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x v="3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x v="3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x v="3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x v="3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x v="3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x v="3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x v="3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x v="3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x v="3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x v="3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x v="3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x v="3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x v="3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x v="3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x v="3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x v="3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x v="3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x v="3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x v="3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x v="3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x v="3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x v="3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x v="3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x v="3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x v="3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x v="3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x v="3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x v="3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x v="3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x v="3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x v="3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x v="3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x v="3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x v="3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x v="3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x v="3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x v="3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x v="3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x v="3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x v="3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x v="4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x v="4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x v="4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x v="4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x v="4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x v="4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x v="4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x v="4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x v="4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x v="4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x v="4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x v="4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x v="4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x v="4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x v="4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x v="4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x v="4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x v="4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x v="4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x v="4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x v="4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x v="4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x v="4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x v="4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x v="4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x v="4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x v="4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x v="4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x v="4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x v="4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x v="4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x v="4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x v="4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x v="4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x v="4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x v="4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x v="4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x v="4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x v="4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x v="4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x v="4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x v="4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x v="4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x v="4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x v="4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x v="4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x v="4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x v="4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x v="4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x v="4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x v="4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x v="4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x v="4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x v="4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x v="4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x v="4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x v="4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x v="4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x v="4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x v="4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x v="4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x v="4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x v="4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x v="4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x v="4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x v="4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x v="4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x v="4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x v="4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x v="4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x v="4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x v="4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x v="4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x v="4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x v="4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x v="4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x v="4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x v="4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x v="4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x v="4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x v="4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x v="4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x v="4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x v="4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x v="4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x v="4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x v="4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x v="4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x v="4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x v="4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x v="4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x v="4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x v="4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x v="4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x v="4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x v="4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x v="4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x v="4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x v="4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x v="4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x v="4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x v="4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x v="4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x v="4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x v="4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x v="4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x v="4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x v="4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x v="4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x v="4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x v="4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x v="4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x v="4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x v="4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x v="4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x v="4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x v="4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x v="4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x v="4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x v="4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x v="4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x v="4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x v="4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x v="4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x v="4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x v="4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x v="4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x v="4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x v="4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x v="4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x v="4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x v="4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x v="4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x v="4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x v="4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x v="4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x v="4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x v="4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x v="4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x v="4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x v="4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x v="4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x v="4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x v="4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x v="4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x v="4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x v="4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x v="4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x v="4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x v="4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x v="4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x v="4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x v="4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x v="4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x v="4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x v="4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x v="4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x v="4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x v="4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x v="4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x v="4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x v="4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x v="4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x v="4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x v="4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x v="4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x v="4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x v="4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x v="4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x v="4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x v="4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x v="4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x v="4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x v="4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x v="4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x v="4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x v="4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x v="4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x v="4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x v="4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x v="4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x v="4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x v="4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x v="4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x v="4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x v="4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x v="4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x v="4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x v="4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x v="4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x v="4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x v="4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x v="4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x v="4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x v="4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x v="4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x v="4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x v="4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x v="4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x v="4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x v="4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x v="4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x v="4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x v="4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x v="4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x v="4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x v="4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x v="4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x v="4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x v="4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x v="4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x v="4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x v="4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x v="4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x v="4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x v="4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x v="4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x v="4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x v="4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x v="4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x v="4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x v="4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x v="4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x v="4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x v="4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x v="4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x v="4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x v="4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x v="4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x v="4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x v="4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x v="4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x v="4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x v="4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x v="4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x v="4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x v="4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x v="4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x v="4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x v="4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x v="4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x v="4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x v="4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x v="4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x v="4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x v="4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x v="4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x v="4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x v="4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x v="4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x v="4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x v="4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x v="4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x v="4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x v="4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x v="4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x v="4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x v="4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x v="4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x v="4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x v="4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x v="4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x v="4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x v="4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x v="4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x v="4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x v="4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x v="4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x v="4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x v="4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x v="4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x v="4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x v="4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x v="4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x v="4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x v="4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x v="4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x v="4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x v="4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x v="4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x v="4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x v="4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x v="4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x v="4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x v="4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x v="4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x v="4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x v="4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x v="4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x v="4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x v="4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x v="4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x v="4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x v="4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x v="4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x v="4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x v="4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x v="4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x v="4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x v="4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x v="4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x v="4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x v="4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x v="4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x v="4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x v="4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x v="4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x v="4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x v="4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x v="4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x v="4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x v="4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x v="4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x v="4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x v="4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x v="4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x v="4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x v="4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x v="4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x v="4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x v="4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x v="4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x v="4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x v="4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x v="4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x v="4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x v="4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x v="4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x v="4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x v="4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x v="4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x v="4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x v="4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x v="4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x v="4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x v="4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x v="4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x v="4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x v="4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x v="4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x v="4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x v="4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x v="4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x v="4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x v="4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x v="4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x v="4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x v="4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x v="4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x v="4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x v="4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x v="4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x v="4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x v="4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x v="4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x v="4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x v="4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x v="4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x v="4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x v="4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x v="4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x v="4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x v="4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x v="4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x v="4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x v="4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x v="4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x v="4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x v="4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x v="4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x v="4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x v="4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x v="4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x v="4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x v="4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x v="4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x v="4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x v="4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x v="4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x v="4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x v="4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x v="4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x v="4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x v="4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x v="4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x v="4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x v="4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x v="4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x v="4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x v="4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x v="4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x v="4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x v="4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x v="4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x v="4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x v="4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x v="4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x v="4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x v="4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x v="4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x v="4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x v="4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x v="4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x v="4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x v="4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x v="4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x v="4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x v="4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x v="4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x v="4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x v="4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x v="4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x v="4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x v="4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x v="4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x v="4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x v="4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x v="4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x v="4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x v="4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x v="4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x v="4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x v="4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x v="4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x v="4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x v="4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x v="4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x v="4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x v="4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x v="4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x v="4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x v="4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x v="4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x v="4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x v="4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x v="4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x v="4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x v="4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x v="4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x v="4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x v="4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x v="4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x v="4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x v="4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x v="4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x v="4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x v="4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x v="4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x v="4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x v="4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x v="4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x v="4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x v="4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x v="4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x v="4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x v="4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x v="4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x v="4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x v="4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x v="4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x v="4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x v="4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x v="4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x v="4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x v="4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x v="4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x v="4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x v="4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x v="4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x v="4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x v="4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x v="4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x v="4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x v="4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x v="4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x v="4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x v="4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x v="4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x v="4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x v="4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x v="4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x v="4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x v="4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x v="4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x v="4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x v="4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x v="4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x v="4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x v="4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x v="4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x v="4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x v="4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x v="4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x v="4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x v="4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x v="4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x v="4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x v="4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x v="4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x v="4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x v="4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x v="4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x v="4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x v="4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x v="4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x v="4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x v="4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x v="4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x v="4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x v="4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x v="4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x v="4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x v="4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x v="4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x v="4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x v="4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x v="4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x v="4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x v="4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x v="4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x v="4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x v="4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x v="4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x v="4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x v="4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x v="4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x v="4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x v="4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x v="4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x v="4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x v="4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x v="4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x v="4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x v="4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x v="4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x v="4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x v="4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x v="4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x v="4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x v="4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x v="4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x v="4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x v="4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x v="4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x v="4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x v="4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x v="4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x v="4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x v="4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x v="4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x v="4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x v="4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x v="4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x v="4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x v="4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x v="4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x v="4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x v="4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x v="4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x v="4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x v="4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x v="4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x v="4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x v="4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x v="4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x v="4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x v="4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x v="4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x v="4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x v="4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x v="4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x v="4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x v="4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x v="4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x v="4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x v="4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x v="4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x v="4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x v="4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x v="4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x v="4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x v="4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x v="4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x v="4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x v="4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x v="4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x v="4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x v="4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x v="4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x v="4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x v="4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x v="4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x v="4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x v="4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x v="4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x v="4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x v="4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x v="4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x v="4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x v="4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x v="4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x v="4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x v="4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x v="4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x v="4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x v="4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x v="4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x v="4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x v="4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x v="4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x v="4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x v="4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x v="4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x v="4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x v="4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x v="4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x v="4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x v="4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x v="4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x v="4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x v="4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x v="4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x v="4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x v="4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x v="4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x v="4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x v="4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x v="4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x v="4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x v="4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x v="4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x v="4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x v="4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x v="4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x v="4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x v="4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x v="4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x v="4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x v="4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x v="4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x v="4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x v="4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x v="4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x v="4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x v="4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x v="4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x v="4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x v="4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x v="4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x v="4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x v="4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x v="4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x v="4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x v="4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x v="4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x v="4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x v="4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x v="4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x v="4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x v="4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x v="4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x v="4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x v="4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x v="4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x v="4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x v="4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x v="4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x v="4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x v="4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x v="4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x v="4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x v="4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x v="4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x v="4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x v="4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x v="4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x v="4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x v="4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x v="4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x v="4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x v="4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x v="4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x v="4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x v="4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x v="4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x v="4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x v="4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x v="4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x v="4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x v="4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x v="4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x v="4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x v="4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x v="4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x v="4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x v="4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x v="4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x v="4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x v="4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x v="4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x v="4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x v="4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x v="4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x v="4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x v="4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x v="4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x v="4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x v="4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x v="4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x v="4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x v="4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x v="4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x v="4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x v="4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x v="4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x v="4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x v="4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x v="4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x v="4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x v="4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x v="4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x v="4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x v="4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x v="4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x v="4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x v="4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x v="4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x v="4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x v="4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x v="4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x v="4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x v="4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x v="4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x v="4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x v="4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x v="4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x v="4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x v="4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x v="4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x v="4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x v="4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x v="4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x v="4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x v="4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x v="4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x v="4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x v="4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x v="4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x v="4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x v="4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x v="4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x v="4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x v="4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x v="4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x v="4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x v="4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x v="4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x v="4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x v="4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x v="4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x v="4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x v="4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x v="4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x v="4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x v="4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x v="4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x v="4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x v="4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x v="4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x v="4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x v="4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x v="4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x v="4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x v="4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x v="4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x v="4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x v="4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x v="4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x v="4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x v="4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x v="4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x v="4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x v="4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x v="4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x v="4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x v="4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x v="4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x v="4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x v="4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x v="4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x v="4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x v="4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x v="4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x v="4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x v="4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x v="4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x v="4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x v="4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x v="4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x v="4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x v="4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x v="4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x v="4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x v="4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x v="4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x v="4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x v="4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x v="4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x v="4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x v="4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x v="4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x v="4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x v="4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x v="4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x v="4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x v="4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x v="4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x v="4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x v="4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x v="4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x v="4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x v="4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x v="4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x v="4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x v="4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x v="4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x v="4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x v="4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x v="4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x v="4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x v="4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x v="4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x v="4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x v="4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x v="4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x v="4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x v="4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x v="4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x v="4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x v="4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x v="4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x v="4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x v="4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x v="4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x v="4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x v="4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x v="4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x v="4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x v="4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x v="4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x v="4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x v="4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x v="4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x v="4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x v="4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x v="4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x v="4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x v="4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x v="4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x v="4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x v="4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x v="4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x v="4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x v="4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x v="4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x v="4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x v="4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x v="4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x v="4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x v="4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x v="4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x v="4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x v="4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x v="4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x v="4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x v="4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x v="4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x v="4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x v="4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x v="4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x v="4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x v="4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x v="4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x v="4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x v="4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x v="4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x v="4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x v="4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x v="4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x v="4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x v="4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x v="4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x v="4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x v="4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x v="4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x v="4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x v="4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x v="4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x v="4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x v="4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x v="4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x v="4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x v="4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x v="4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x v="4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x v="4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x v="4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x v="4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x v="4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x v="4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x v="4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x v="4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x v="4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x v="4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x v="4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x v="4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x v="4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x v="4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x v="4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x v="4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x v="4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x v="4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x v="4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x v="4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x v="4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x v="4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x v="4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x v="4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x v="4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x v="4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x v="4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x v="4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x v="4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x v="4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x v="4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x v="4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x v="4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x v="4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x v="4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x v="4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x v="4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x v="4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x v="4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x v="4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x v="4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x v="4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x v="4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x v="4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x v="4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x v="4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x v="4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x v="4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x v="4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x v="4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x v="4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x v="4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x v="4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x v="4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x v="4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x v="4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x v="4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x v="4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x v="4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x v="4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x v="4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x v="4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x v="4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x v="4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x v="4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x v="4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x v="4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x v="4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x v="4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x v="4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x v="4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x v="4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x v="4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x v="4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x v="4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x v="4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x v="4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x v="4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x v="4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x v="4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x v="4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x v="4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x v="4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x v="4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x v="4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x v="4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x v="4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x v="4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x v="4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x v="4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x v="4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x v="4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x v="4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x v="4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x v="4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x v="4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x v="4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x v="4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x v="4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x v="4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x v="4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x v="4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x v="4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x v="4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x v="4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x v="4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x v="4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x v="4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x v="4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x v="4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x v="4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x v="4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x v="4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x v="4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x v="4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x v="4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x v="4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x v="4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x v="4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x v="4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x v="4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x v="4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x v="4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x v="4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x v="4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x v="4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x v="4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x v="4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x v="4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x v="4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x v="4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x v="4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x v="4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x v="4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x v="4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x v="4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x v="4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x v="4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x v="4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x v="4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x v="4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x v="4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x v="4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x v="4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x v="4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x v="4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x v="4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x v="4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x v="4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x v="4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x v="4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x v="4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x v="4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x v="4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x v="4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x v="4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x v="4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x v="4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x v="4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x v="4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x v="4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x v="4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x v="4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x v="4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x v="4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x v="4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x v="4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x v="4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x v="4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x v="4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x v="4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x v="4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x v="4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x v="4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x v="4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x v="4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x v="4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x v="4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x v="4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x v="4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x v="4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x v="4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x v="4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x v="4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x v="4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x v="4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x v="4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x v="4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x v="4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x v="4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x v="4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x v="4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x v="4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x v="4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x v="4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x v="4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x v="4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x v="4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x v="4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x v="4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x v="4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x v="4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x v="4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x v="4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x v="4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x v="4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x v="4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x v="4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x v="4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x v="4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x v="4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x v="4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x v="4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x v="4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x v="4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x v="4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x v="4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x v="4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x v="4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x v="4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x v="4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x v="4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x v="4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x v="4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x v="4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x v="4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x v="4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x v="4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x v="4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x v="4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x v="4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x v="4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x v="4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x v="4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x v="4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x v="4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x v="4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x v="4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x v="4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x v="4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x v="4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x v="4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x v="4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x v="4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x v="4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x v="4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x v="4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x v="4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x v="4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x v="4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x v="4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x v="4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x v="4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x v="4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x v="4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x v="4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x v="4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x v="4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x v="4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x v="4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x v="4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x v="4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x v="4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x v="4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x v="4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x v="4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x v="4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x v="4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x v="4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x v="4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x v="4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x v="4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x v="4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x v="4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x v="4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x v="4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x v="4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x v="4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x v="4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x v="4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x v="4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x v="4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x v="4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x v="4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x v="4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x v="4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x v="4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x v="4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x v="4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x v="4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x v="4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x v="4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x v="4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x v="4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x v="4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x v="4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x v="4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x v="4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x v="4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x v="4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x v="4"/>
    <x v="757"/>
    <s v="C00000021"/>
    <x v="21"/>
    <s v="RA Resin 3317AW (220Kg)"/>
    <n v="1"/>
    <s v="Cash"/>
    <x v="0"/>
    <d v="2023-12-22T00:00:00"/>
    <x v="0"/>
    <x v="5"/>
    <n v="1738"/>
    <m/>
    <n v="1738"/>
    <n v="4048712.1500000018"/>
    <s v="PD Chq"/>
    <m/>
    <m/>
  </r>
  <r>
    <x v="499"/>
    <n v="12"/>
    <x v="4"/>
    <x v="757"/>
    <s v="C00000021"/>
    <x v="21"/>
    <s v="RA Mepoxe (5kg)"/>
    <n v="1"/>
    <s v="Cash"/>
    <x v="0"/>
    <d v="2023-12-22T00:00:00"/>
    <x v="0"/>
    <x v="5"/>
    <n v="95"/>
    <m/>
    <n v="95"/>
    <n v="4048807.1500000018"/>
    <s v="PD Chq"/>
    <m/>
    <m/>
  </r>
  <r>
    <x v="499"/>
    <n v="12"/>
    <x v="4"/>
    <x v="757"/>
    <s v="C00000021"/>
    <x v="21"/>
    <s v="RP Talcum Powder (25Kg)"/>
    <n v="5"/>
    <s v="Cash"/>
    <x v="0"/>
    <d v="2023-12-22T00:00:00"/>
    <x v="0"/>
    <x v="5"/>
    <n v="312.5"/>
    <m/>
    <n v="312.5"/>
    <n v="4049119.6500000018"/>
    <s v="PD Chq"/>
    <m/>
    <m/>
  </r>
  <r>
    <x v="500"/>
    <n v="12"/>
    <x v="4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x v="4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x v="4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x v="4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x v="4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x v="4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x v="4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x v="4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x v="4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x v="4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x v="4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x v="4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x v="4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x v="4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x v="4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x v="4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x v="4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x v="4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x v="4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x v="4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x v="5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x v="5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x v="5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x v="5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x v="5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x v="5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x v="5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x v="5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x v="5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x v="5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x v="5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x v="5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x v="5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x v="5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x v="5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x v="5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x v="5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x v="5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x v="5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x v="5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x v="5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x v="5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x v="5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x v="5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x v="5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x v="5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x v="5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x v="5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x v="5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x v="5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x v="5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x v="5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x v="5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x v="5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x v="5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x v="5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x v="5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x v="5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x v="5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x v="5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x v="5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x v="5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x v="5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x v="5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x v="5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x v="5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x v="5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x v="5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x v="5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x v="5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x v="5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x v="5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x v="5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x v="5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x v="5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x v="5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x v="5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x v="5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x v="5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x v="5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x v="5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x v="5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x v="5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x v="5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x v="5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x v="5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x v="5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x v="5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x v="5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x v="5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x v="5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x v="5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x v="5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x v="5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x v="5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x v="5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x v="5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x v="5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x v="5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x v="5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x v="5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x v="5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x v="5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x v="5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x v="5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x v="5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x v="5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x v="5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x v="5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x v="5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x v="5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x v="5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x v="5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x v="5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x v="5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x v="5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x v="5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x v="5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x v="5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x v="5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x v="5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x v="5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x v="5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x v="5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x v="5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x v="5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x v="5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x v="5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x v="5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x v="5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x v="5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x v="5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x v="5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x v="5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x v="5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x v="5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x v="5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x v="5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x v="5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x v="5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x v="5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x v="5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x v="5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x v="5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x v="5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x v="5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x v="5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x v="5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x v="5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x v="5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x v="5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x v="5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x v="5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x v="5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x v="5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x v="5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x v="5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x v="5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x v="5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x v="5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x v="5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x v="5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x v="5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x v="5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x v="5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x v="5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x v="5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x v="5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x v="5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x v="5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x v="5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x v="5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x v="5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x v="5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x v="5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x v="5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x v="5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x v="5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x v="5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x v="5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x v="5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x v="5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x v="5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x v="5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x v="5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x v="5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x v="5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x v="5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x v="5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x v="5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x v="5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x v="5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x v="5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x v="5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x v="5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x v="5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x v="5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x v="5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x v="5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x v="5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x v="5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x v="5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x v="5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x v="5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x v="5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x v="5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x v="5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x v="5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x v="5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x v="5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x v="5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x v="5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x v="5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x v="5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x v="5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x v="5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x v="5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x v="5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x v="5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x v="5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x v="5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x v="5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x v="5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x v="5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x v="5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x v="5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x v="5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x v="5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x v="5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x v="5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x v="5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x v="5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x v="5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x v="5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x v="5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x v="5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x v="5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x v="5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x v="5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x v="5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x v="5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x v="5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x v="5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x v="5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x v="5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x v="5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x v="5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x v="5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x v="5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x v="5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x v="5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x v="5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x v="5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x v="5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x v="5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x v="5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x v="5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x v="5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x v="5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x v="5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x v="5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x v="5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x v="5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x v="5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x v="5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x v="5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x v="5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x v="5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x v="5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x v="5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x v="5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x v="5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x v="5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x v="5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x v="5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x v="5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x v="5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x v="5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x v="5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x v="5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x v="5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x v="5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x v="5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x v="5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x v="5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x v="5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x v="5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x v="5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x v="5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x v="5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x v="5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x v="5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x v="5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x v="5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x v="5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x v="5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x v="5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x v="5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x v="5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x v="5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x v="5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x v="5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x v="5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x v="5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x v="5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x v="5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x v="5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x v="5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x v="5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x v="5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x v="5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x v="5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x v="5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x v="5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x v="5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x v="5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x v="5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x v="5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x v="5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x v="5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x v="5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x v="5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x v="5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x v="5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x v="5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x v="5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x v="5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x v="5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x v="5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x v="5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x v="5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x v="5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x v="5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x v="5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x v="5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x v="5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x v="5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x v="5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x v="5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x v="5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x v="5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x v="5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x v="5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x v="5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x v="5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x v="5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x v="5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x v="5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x v="5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x v="5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x v="5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x v="5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x v="5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x v="5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x v="5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x v="5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x v="5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x v="5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x v="5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x v="5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x v="5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x v="5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x v="5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x v="5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x v="5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x v="5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x v="5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x v="5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x v="5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x v="5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x v="5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x v="5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x v="5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x v="5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x v="5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x v="5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x v="5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x v="5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x v="5"/>
    <x v="870"/>
    <s v="C00000019"/>
    <x v="18"/>
    <s v="RA Nor 3338W (220Kg)"/>
    <n v="1"/>
    <s v="Cash"/>
    <x v="0"/>
    <d v="2024-05-10T00:00:00"/>
    <x v="12"/>
    <x v="6"/>
    <n v="1760"/>
    <n v="-302.7"/>
    <n v="1457.3"/>
    <n v="4570933.75"/>
    <s v="Trsf"/>
    <s v="Trsf 18/6/25 RM1,500.00(RM302.70)"/>
    <m/>
  </r>
  <r>
    <x v="566"/>
    <n v="5"/>
    <x v="5"/>
    <x v="870"/>
    <s v="C00000019"/>
    <x v="18"/>
    <s v="RO CSM 450 1860mm(W) (54kg)"/>
    <n v="1"/>
    <s v="Cash"/>
    <x v="0"/>
    <d v="2024-05-10T00:00:00"/>
    <x v="12"/>
    <x v="6"/>
    <n v="405"/>
    <m/>
    <n v="405"/>
    <n v="4573232.75"/>
    <s v="Trsf"/>
    <m/>
    <m/>
  </r>
  <r>
    <x v="566"/>
    <n v="5"/>
    <x v="5"/>
    <x v="870"/>
    <s v="C00000019"/>
    <x v="18"/>
    <s v="RM Talcum Powder (25kg)"/>
    <n v="3"/>
    <s v="Cash"/>
    <x v="0"/>
    <d v="2024-05-10T00:00:00"/>
    <x v="12"/>
    <x v="6"/>
    <n v="187.5"/>
    <m/>
    <n v="187.5"/>
    <n v="4574887.25"/>
    <s v="Trsf"/>
    <m/>
    <m/>
  </r>
  <r>
    <x v="566"/>
    <n v="5"/>
    <x v="5"/>
    <x v="870"/>
    <s v="C00000019"/>
    <x v="18"/>
    <s v="RM Pigment Super Black PE30 (5kg)"/>
    <n v="1"/>
    <s v="Cash"/>
    <x v="0"/>
    <d v="2024-05-10T00:00:00"/>
    <x v="12"/>
    <x v="6"/>
    <n v="160"/>
    <m/>
    <n v="160"/>
    <n v="4575859.75"/>
    <s v="Trsf"/>
    <m/>
    <m/>
  </r>
  <r>
    <x v="566"/>
    <n v="5"/>
    <x v="5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x v="5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x v="5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x v="5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x v="5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x v="5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x v="5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x v="5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x v="5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x v="5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x v="5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x v="5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x v="5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x v="5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x v="5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x v="5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x v="5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x v="5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x v="5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x v="5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x v="5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x v="5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x v="5"/>
    <x v="877"/>
    <s v="C00000019"/>
    <x v="18"/>
    <s v="RM Nor 3338W (220Kg)"/>
    <n v="1"/>
    <s v="Cash"/>
    <x v="0"/>
    <d v="2024-05-28T00:00:00"/>
    <x v="12"/>
    <x v="6"/>
    <n v="1760"/>
    <m/>
    <n v="1760"/>
    <n v="4550759.75"/>
    <s v="Trsf"/>
    <m/>
    <m/>
  </r>
  <r>
    <x v="571"/>
    <n v="5"/>
    <x v="5"/>
    <x v="877"/>
    <s v="C00000019"/>
    <x v="18"/>
    <s v="RM CSM 450 1860mm(W) (54kg)"/>
    <n v="1"/>
    <s v="Cash"/>
    <x v="0"/>
    <d v="2024-05-28T00:00:00"/>
    <x v="12"/>
    <x v="6"/>
    <n v="405"/>
    <m/>
    <n v="405"/>
    <n v="4554218.25"/>
    <s v="Trsf"/>
    <m/>
    <m/>
  </r>
  <r>
    <x v="571"/>
    <n v="5"/>
    <x v="5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x v="5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x v="5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x v="5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x v="5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x v="5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x v="5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x v="5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x v="5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x v="5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x v="5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x v="5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x v="5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x v="5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x v="5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x v="5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x v="5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x v="5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x v="5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x v="5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x v="5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x v="5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x v="5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x v="5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x v="5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x v="5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x v="5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x v="5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x v="5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x v="5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x v="5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x v="5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x v="5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x v="5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x v="5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x v="5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x v="5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x v="5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x v="5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x v="5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x v="5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x v="5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x v="5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x v="5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x v="5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x v="5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x v="5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x v="5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x v="5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x v="5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x v="5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x v="5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x v="5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x v="5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x v="5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x v="5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x v="5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x v="5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x v="5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x v="5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x v="5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x v="5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x v="5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x v="5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x v="5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x v="5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x v="5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x v="5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x v="5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x v="5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x v="5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x v="5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x v="5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x v="5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x v="5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x v="5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x v="5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x v="5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x v="5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x v="5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x v="5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x v="5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x v="5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x v="5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x v="5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x v="5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x v="5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x v="5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x v="5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x v="5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x v="5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x v="5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x v="5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x v="5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x v="5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x v="5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x v="5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x v="5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x v="5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x v="5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x v="5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x v="5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x v="5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x v="5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x v="5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x v="5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x v="5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x v="5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x v="5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x v="5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x v="5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x v="5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x v="5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x v="5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x v="5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x v="5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x v="5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x v="5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x v="5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x v="5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x v="5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x v="5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x v="5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x v="5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x v="5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x v="5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x v="5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x v="5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x v="5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x v="5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x v="5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x v="5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x v="5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x v="5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x v="5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x v="5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x v="5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x v="5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x v="5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x v="5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x v="5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x v="5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x v="5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x v="5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x v="5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x v="5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x v="5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x v="5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x v="5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x v="5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x v="5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x v="5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x v="5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x v="5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x v="5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x v="5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x v="5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x v="5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x v="5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x v="5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x v="5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x v="5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x v="5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x v="5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x v="5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x v="5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x v="5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x v="5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x v="5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x v="5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x v="5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x v="5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x v="5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x v="5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x v="5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x v="5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x v="5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x v="5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x v="5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x v="5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x v="5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x v="5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x v="5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x v="5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x v="5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x v="5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x v="5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x v="5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x v="5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x v="5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x v="5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x v="5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x v="5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x v="5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x v="5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x v="5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x v="5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x v="5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x v="5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x v="5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x v="5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x v="5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x v="5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x v="5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x v="5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x v="5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x v="5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x v="5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x v="5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x v="5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x v="5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x v="5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x v="5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x v="5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x v="5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x v="5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x v="5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x v="5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x v="5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x v="5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x v="5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x v="5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x v="5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x v="5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x v="5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x v="5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x v="5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x v="5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x v="5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x v="5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x v="5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x v="5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x v="5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x v="5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x v="5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x v="5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x v="5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x v="5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x v="5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x v="5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x v="5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x v="5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x v="5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x v="5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x v="5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x v="5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x v="5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x v="5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x v="5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x v="5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x v="5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x v="5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x v="5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x v="5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x v="5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x v="5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x v="5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x v="5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x v="5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x v="5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x v="5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x v="5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x v="5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x v="5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x v="5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x v="5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x v="5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x v="5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x v="5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x v="5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x v="5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x v="5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x v="5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x v="5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x v="5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x v="5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x v="5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x v="5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x v="5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x v="5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x v="5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x v="5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x v="5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x v="5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x v="5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x v="5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x v="5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x v="5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x v="5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x v="5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x v="5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x v="5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x v="5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x v="5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x v="5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x v="5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x v="5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x v="5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x v="5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x v="5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x v="5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x v="5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x v="5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x v="5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x v="5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x v="5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x v="5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x v="5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x v="5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x v="5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x v="5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x v="5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x v="5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x v="5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x v="5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x v="5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x v="5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x v="5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x v="5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x v="5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x v="5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x v="5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x v="5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x v="5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x v="5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x v="5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x v="5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x v="5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x v="5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x v="5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x v="5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x v="5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x v="5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x v="5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x v="5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x v="5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x v="5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x v="5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x v="5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x v="5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x v="5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x v="5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x v="5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x v="5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x v="5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x v="5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x v="5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x v="5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x v="5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x v="5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x v="5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x v="5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x v="5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x v="5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x v="5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x v="5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x v="5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x v="5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x v="5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x v="5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x v="5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x v="5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x v="5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x v="5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x v="5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x v="5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x v="5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x v="5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x v="5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x v="5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x v="5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x v="5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x v="5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x v="5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x v="5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x v="5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x v="5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x v="5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x v="5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x v="5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x v="5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x v="5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x v="5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x v="5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x v="5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x v="5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x v="5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x v="5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x v="5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x v="5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x v="5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x v="5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x v="5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x v="5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x v="5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x v="5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x v="5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x v="5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x v="5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x v="5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x v="5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x v="5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x v="5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x v="5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x v="5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x v="5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x v="5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x v="5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x v="5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x v="5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x v="5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x v="5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x v="5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x v="5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x v="5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x v="5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x v="5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x v="5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x v="5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x v="5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x v="5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x v="5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x v="5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x v="5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x v="5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x v="5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x v="5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x v="5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x v="5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x v="5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x v="5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x v="5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x v="5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x v="5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x v="5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x v="5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x v="5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x v="5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x v="5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x v="5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x v="5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x v="5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x v="5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x v="5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x v="5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x v="5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x v="5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x v="5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x v="5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x v="5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x v="5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x v="5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x v="5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x v="5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x v="5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x v="5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x v="5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x v="5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x v="5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x v="5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x v="5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x v="5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x v="5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x v="5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x v="5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x v="5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x v="5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x v="5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x v="5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x v="5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x v="5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x v="5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x v="5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x v="5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x v="5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x v="5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x v="5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x v="5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x v="5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x v="5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x v="5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x v="5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x v="5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x v="5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x v="5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x v="5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x v="5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x v="5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x v="5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x v="5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x v="5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x v="5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x v="5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x v="5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x v="5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x v="5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x v="5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x v="5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x v="5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x v="5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x v="5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x v="5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x v="5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x v="5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x v="5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x v="5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x v="5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x v="5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x v="5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x v="5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x v="5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x v="5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x v="5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x v="5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x v="5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x v="5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x v="5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x v="5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x v="5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x v="5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x v="5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x v="5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x v="5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x v="5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x v="5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x v="5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x v="5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x v="5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x v="5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x v="5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x v="5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x v="5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x v="5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x v="5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x v="5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x v="5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x v="5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x v="5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x v="5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x v="5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x v="5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x v="5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x v="5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x v="5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x v="5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x v="5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x v="5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x v="5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x v="5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x v="5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x v="5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x v="5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x v="5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x v="5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x v="5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x v="5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x v="5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x v="5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x v="5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x v="5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x v="5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x v="5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x v="5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x v="5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x v="5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x v="5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x v="5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x v="5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x v="5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x v="5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x v="5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x v="5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x v="5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x v="5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x v="5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x v="5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x v="5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x v="5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x v="5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x v="5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x v="5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x v="5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x v="5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x v="5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x v="5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x v="5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x v="5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x v="5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x v="5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x v="5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x v="5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x v="5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x v="5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x v="5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x v="5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x v="5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x v="5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x v="5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x v="5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x v="5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x v="5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x v="5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x v="5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x v="5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x v="5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x v="5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x v="5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x v="5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x v="5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x v="5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x v="5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x v="5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x v="5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x v="5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x v="5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x v="5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x v="5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x v="5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x v="5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x v="5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x v="5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x v="5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x v="5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x v="5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x v="5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x v="5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x v="5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x v="5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x v="5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x v="5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x v="5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x v="5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x v="5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x v="5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x v="5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x v="5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x v="5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x v="5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x v="5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x v="5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x v="5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x v="5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x v="5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x v="5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x v="5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x v="5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x v="5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x v="5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x v="5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x v="5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x v="5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x v="5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x v="5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x v="5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x v="5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x v="5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x v="5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x v="5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x v="5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x v="5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x v="6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x v="6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x v="6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x v="6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x v="6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x v="6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x v="6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x v="6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x v="6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x v="6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x v="6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x v="6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x v="6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x v="6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x v="6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x v="6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x v="6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x v="6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x v="6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x v="6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x v="6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x v="6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x v="6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x v="6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x v="6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x v="6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x v="6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x v="6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x v="6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x v="6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x v="6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x v="6"/>
    <x v="1098"/>
    <s v="C00000010"/>
    <x v="9"/>
    <s v="RA Resin 268W (225kg)"/>
    <n v="8"/>
    <n v="120"/>
    <x v="2"/>
    <d v="2025-05-11T00:00:00"/>
    <x v="12"/>
    <x v="7"/>
    <n v="12960"/>
    <m/>
    <n v="12960"/>
    <n v="5899312.6500000004"/>
    <s v="Trsf"/>
    <m/>
    <m/>
  </r>
  <r>
    <x v="693"/>
    <n v="1"/>
    <x v="6"/>
    <x v="1098"/>
    <s v="C00000010"/>
    <x v="9"/>
    <s v="RA CSM 450 1040mm(W) (30kg)"/>
    <n v="10"/>
    <n v="120"/>
    <x v="2"/>
    <d v="2025-05-11T00:00:00"/>
    <x v="12"/>
    <x v="7"/>
    <n v="1740"/>
    <m/>
    <n v="1740"/>
    <n v="5901052.6500000004"/>
    <s v="Trsf"/>
    <m/>
    <m/>
  </r>
  <r>
    <x v="693"/>
    <n v="1"/>
    <x v="6"/>
    <x v="1098"/>
    <s v="C00000010"/>
    <x v="9"/>
    <s v="RQ Talcum Powder (25kg)"/>
    <n v="20"/>
    <n v="120"/>
    <x v="2"/>
    <d v="2025-05-11T00:00:00"/>
    <x v="12"/>
    <x v="7"/>
    <n v="1150"/>
    <m/>
    <n v="1150"/>
    <n v="5902202.6500000004"/>
    <s v="Trsf"/>
    <m/>
    <m/>
  </r>
  <r>
    <x v="693"/>
    <n v="1"/>
    <x v="6"/>
    <x v="1098"/>
    <s v="C00000010"/>
    <x v="9"/>
    <s v="RA Butanox M50 (5kg)"/>
    <n v="8"/>
    <n v="120"/>
    <x v="2"/>
    <d v="2025-05-11T00:00:00"/>
    <x v="12"/>
    <x v="7"/>
    <n v="880"/>
    <m/>
    <n v="880"/>
    <n v="5903082.6500000004"/>
    <s v="Trsf"/>
    <m/>
    <m/>
  </r>
  <r>
    <x v="693"/>
    <n v="1"/>
    <x v="6"/>
    <x v="1098"/>
    <s v="C00000010"/>
    <x v="9"/>
    <s v="RM Fume Silica HJSIL 200 (10Kg)"/>
    <n v="1"/>
    <n v="120"/>
    <x v="2"/>
    <d v="2025-05-11T00:00:00"/>
    <x v="12"/>
    <x v="7"/>
    <n v="420"/>
    <m/>
    <n v="420"/>
    <n v="5903502.6500000004"/>
    <s v="Trsf"/>
    <m/>
    <m/>
  </r>
  <r>
    <x v="693"/>
    <n v="1"/>
    <x v="6"/>
    <x v="1098"/>
    <s v="C00000010"/>
    <x v="9"/>
    <s v="RM Pigment Super Black (5kg)"/>
    <n v="1"/>
    <n v="120"/>
    <x v="2"/>
    <d v="2025-05-11T00:00:00"/>
    <x v="12"/>
    <x v="7"/>
    <n v="160"/>
    <m/>
    <n v="160"/>
    <n v="5903662.6500000004"/>
    <s v="Trsf"/>
    <m/>
    <m/>
  </r>
  <r>
    <x v="694"/>
    <n v="1"/>
    <x v="6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x v="6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x v="6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x v="6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x v="6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x v="6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x v="6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x v="6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x v="6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x v="6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x v="6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x v="6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x v="6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x v="6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x v="6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x v="6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x v="6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x v="6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x v="6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x v="6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x v="6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x v="6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x v="6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x v="6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x v="6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x v="6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x v="6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x v="6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x v="6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x v="6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x v="6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x v="6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x v="6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x v="6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x v="6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x v="6"/>
    <x v="1109"/>
    <s v="C00000010"/>
    <x v="9"/>
    <s v="RA Resin 268W (225kg)"/>
    <n v="6"/>
    <n v="120"/>
    <x v="2"/>
    <d v="2025-05-22T00:00:00"/>
    <x v="12"/>
    <x v="7"/>
    <n v="9720"/>
    <m/>
    <n v="9720"/>
    <n v="5955516.8500000006"/>
    <s v="Trsf"/>
    <m/>
    <m/>
  </r>
  <r>
    <x v="699"/>
    <n v="1"/>
    <x v="6"/>
    <x v="1109"/>
    <s v="C00000010"/>
    <x v="9"/>
    <s v="RA CSM 450 1040mm(W) (30kg)"/>
    <n v="10"/>
    <n v="120"/>
    <x v="2"/>
    <d v="2025-05-22T00:00:00"/>
    <x v="12"/>
    <x v="7"/>
    <n v="1740"/>
    <m/>
    <n v="1740"/>
    <n v="5957256.8500000006"/>
    <s v="Trsf"/>
    <m/>
    <m/>
  </r>
  <r>
    <x v="699"/>
    <n v="1"/>
    <x v="6"/>
    <x v="1109"/>
    <s v="C00000010"/>
    <x v="9"/>
    <s v="RQ Talcum Powder (25kg)"/>
    <n v="10"/>
    <n v="120"/>
    <x v="2"/>
    <d v="2025-05-22T00:00:00"/>
    <x v="12"/>
    <x v="7"/>
    <n v="575"/>
    <m/>
    <n v="575"/>
    <n v="5957831.8500000006"/>
    <s v="Trsf"/>
    <m/>
    <m/>
  </r>
  <r>
    <x v="699"/>
    <n v="1"/>
    <x v="6"/>
    <x v="1109"/>
    <s v="C00000010"/>
    <x v="9"/>
    <s v="RA Butanox M50 (5kg)"/>
    <n v="4"/>
    <n v="120"/>
    <x v="2"/>
    <d v="2025-05-22T00:00:00"/>
    <x v="12"/>
    <x v="7"/>
    <n v="440"/>
    <m/>
    <n v="440"/>
    <n v="5958271.8500000006"/>
    <s v="Trsf"/>
    <m/>
    <m/>
  </r>
  <r>
    <x v="699"/>
    <n v="1"/>
    <x v="6"/>
    <x v="1109"/>
    <s v="C00000010"/>
    <x v="9"/>
    <s v="RM TR104 Hi Temp Wax"/>
    <n v="12"/>
    <n v="120"/>
    <x v="2"/>
    <d v="2025-05-22T00:00:00"/>
    <x v="12"/>
    <x v="7"/>
    <n v="696"/>
    <m/>
    <n v="696"/>
    <n v="5958967.8500000006"/>
    <s v="Trsf"/>
    <m/>
    <m/>
  </r>
  <r>
    <x v="700"/>
    <n v="1"/>
    <x v="6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x v="6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x v="6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x v="6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x v="6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x v="6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x v="6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x v="6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x v="6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x v="6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x v="6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x v="6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x v="6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x v="6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x v="6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x v="6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x v="6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x v="6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x v="6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x v="6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x v="6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x v="6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x v="6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x v="6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x v="6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x v="6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x v="6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x v="6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x v="6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x v="6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x v="6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x v="6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x v="6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x v="6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x v="6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x v="6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x v="6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x v="6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x v="6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x v="6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x v="6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x v="6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x v="6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x v="6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x v="6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x v="6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x v="6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x v="6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x v="6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x v="6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x v="6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x v="6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x v="6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x v="6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x v="6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x v="6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x v="6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x v="6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x v="6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x v="6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x v="6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x v="6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x v="6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x v="6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x v="6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x v="6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x v="6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x v="6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x v="6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x v="6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x v="6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x v="6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x v="6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x v="6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x v="6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x v="6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x v="6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x v="6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x v="6"/>
    <x v="1137"/>
    <s v="C00000042"/>
    <x v="43"/>
    <s v="RA Resin 2100BQT-L (225Kg)"/>
    <n v="10"/>
    <s v="Cash"/>
    <x v="0"/>
    <d v="2025-02-24T00:00:00"/>
    <x v="8"/>
    <x v="7"/>
    <n v="16200"/>
    <n v="-2206.6"/>
    <n v="13993.4"/>
    <n v="6097274.8500000006"/>
    <s v="Trsf"/>
    <s v="Trsf 30/6/25 RM15,000.00(RM2,206.60)"/>
    <m/>
  </r>
  <r>
    <x v="711"/>
    <n v="2"/>
    <x v="6"/>
    <x v="1137"/>
    <s v="C00000042"/>
    <x v="43"/>
    <s v="RO CSM 450 1040mm(W) (30kg)"/>
    <n v="25"/>
    <s v="Cash"/>
    <x v="0"/>
    <d v="2025-02-24T00:00:00"/>
    <x v="8"/>
    <x v="7"/>
    <n v="4350"/>
    <m/>
    <n v="4350"/>
    <n v="6101624.8500000006"/>
    <s v="Trsf"/>
    <m/>
    <m/>
  </r>
  <r>
    <x v="711"/>
    <n v="2"/>
    <x v="6"/>
    <x v="1137"/>
    <s v="C00000042"/>
    <x v="43"/>
    <s v="RA Woven Roving E-600gm 1120mm (45Kg)"/>
    <n v="15"/>
    <s v="Cash"/>
    <x v="0"/>
    <d v="2025-02-24T00:00:00"/>
    <x v="8"/>
    <x v="7"/>
    <n v="3712.5"/>
    <m/>
    <n v="3712.5"/>
    <n v="6105337.3500000006"/>
    <s v="Trsf"/>
    <m/>
    <m/>
  </r>
  <r>
    <x v="711"/>
    <n v="2"/>
    <x v="6"/>
    <x v="1137"/>
    <s v="C00000042"/>
    <x v="43"/>
    <s v="RA Butanox M50 (5kg)"/>
    <n v="4"/>
    <s v="Cash"/>
    <x v="0"/>
    <d v="2025-02-24T00:00:00"/>
    <x v="8"/>
    <x v="7"/>
    <n v="460"/>
    <m/>
    <n v="460"/>
    <n v="6105797.3500000006"/>
    <s v="Trsf"/>
    <m/>
    <m/>
  </r>
  <r>
    <x v="711"/>
    <n v="2"/>
    <x v="6"/>
    <x v="1137"/>
    <s v="C00000042"/>
    <x v="43"/>
    <s v="RM Pigment Paste Smooth Cream M19 (25Kg)"/>
    <n v="1"/>
    <s v="Cash"/>
    <x v="0"/>
    <d v="2025-02-24T00:00:00"/>
    <x v="8"/>
    <x v="7"/>
    <n v="1000"/>
    <m/>
    <n v="1000"/>
    <n v="6106797.3500000006"/>
    <s v="Trsf"/>
    <m/>
    <m/>
  </r>
  <r>
    <x v="711"/>
    <n v="2"/>
    <x v="6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x v="6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x v="6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x v="6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x v="6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x v="6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x v="6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x v="6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x v="6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x v="6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x v="6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x v="6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x v="6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x v="6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x v="6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x v="6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x v="6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x v="6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x v="6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x v="6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x v="6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x v="6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x v="6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x v="6"/>
    <x v="1142"/>
    <s v="C00000042"/>
    <x v="43"/>
    <s v="RQ Talcum Powder (25Kg)"/>
    <n v="5"/>
    <s v="Cash"/>
    <x v="0"/>
    <d v="2025-03-04T00:00:00"/>
    <x v="9"/>
    <x v="7"/>
    <n v="312.5"/>
    <m/>
    <n v="312.5"/>
    <n v="6131708.3500000015"/>
    <s v="Trsf"/>
    <m/>
    <m/>
  </r>
  <r>
    <x v="714"/>
    <n v="3"/>
    <x v="6"/>
    <x v="1143"/>
    <s v="C00000042"/>
    <x v="43"/>
    <s v="RA Resin 2100BQT-L (225Kg)"/>
    <n v="10"/>
    <s v="Cash"/>
    <x v="0"/>
    <d v="2025-03-04T00:00:00"/>
    <x v="9"/>
    <x v="7"/>
    <n v="16200"/>
    <m/>
    <n v="16200"/>
    <n v="6147908.3500000015"/>
    <s v="Trsf"/>
    <m/>
    <m/>
  </r>
  <r>
    <x v="714"/>
    <n v="3"/>
    <x v="6"/>
    <x v="1143"/>
    <s v="C00000042"/>
    <x v="43"/>
    <s v="RO CSM 450 1040mm(W) (37kg)"/>
    <n v="30"/>
    <s v="Cash"/>
    <x v="0"/>
    <d v="2025-03-04T00:00:00"/>
    <x v="9"/>
    <x v="7"/>
    <n v="6438"/>
    <m/>
    <n v="6438"/>
    <n v="6154346.3500000015"/>
    <s v="Trsf"/>
    <m/>
    <m/>
  </r>
  <r>
    <x v="714"/>
    <n v="3"/>
    <x v="6"/>
    <x v="1143"/>
    <s v="C00000042"/>
    <x v="43"/>
    <s v="RA Woven Roving E-600gm 1120mm (45Kg)"/>
    <n v="15"/>
    <s v="Cash"/>
    <x v="0"/>
    <d v="2025-03-04T00:00:00"/>
    <x v="9"/>
    <x v="7"/>
    <n v="3712.5"/>
    <m/>
    <n v="3712.5"/>
    <n v="6158058.8500000015"/>
    <s v="Trsf"/>
    <m/>
    <m/>
  </r>
  <r>
    <x v="714"/>
    <n v="3"/>
    <x v="6"/>
    <x v="1143"/>
    <s v="C00000042"/>
    <x v="43"/>
    <s v="RA Butanox M50 (5kg)"/>
    <n v="4"/>
    <s v="Cash"/>
    <x v="0"/>
    <d v="2025-03-04T00:00:00"/>
    <x v="9"/>
    <x v="7"/>
    <n v="460"/>
    <m/>
    <n v="460"/>
    <n v="6158518.8500000015"/>
    <s v="Trsf"/>
    <m/>
    <m/>
  </r>
  <r>
    <x v="714"/>
    <n v="3"/>
    <x v="6"/>
    <x v="1143"/>
    <s v="C00000042"/>
    <x v="43"/>
    <s v="RM Pigment Paste Smooth Cream M19 (25Kg)"/>
    <n v="2"/>
    <s v="Cash"/>
    <x v="0"/>
    <d v="2025-03-04T00:00:00"/>
    <x v="9"/>
    <x v="7"/>
    <n v="2000"/>
    <m/>
    <n v="2000"/>
    <n v="6160518.8500000015"/>
    <s v="Trsf"/>
    <m/>
    <m/>
  </r>
  <r>
    <x v="715"/>
    <n v="3"/>
    <x v="6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x v="6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x v="6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x v="6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x v="6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x v="6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x v="6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x v="6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x v="6"/>
    <x v="1146"/>
    <s v="C00000042"/>
    <x v="43"/>
    <s v="RA Butanox M50 (5kg)"/>
    <n v="4"/>
    <s v="Cash"/>
    <x v="0"/>
    <d v="2025-03-07T00:00:00"/>
    <x v="9"/>
    <x v="7"/>
    <n v="460"/>
    <m/>
    <n v="460"/>
    <n v="6164380.3500000015"/>
    <s v="Trsf"/>
    <m/>
    <m/>
  </r>
  <r>
    <x v="717"/>
    <n v="3"/>
    <x v="6"/>
    <x v="1147"/>
    <s v="C00000042"/>
    <x v="43"/>
    <s v="RQ Talcum Powder (25Kg)"/>
    <n v="2"/>
    <s v="Cash"/>
    <x v="0"/>
    <d v="2025-03-10T00:00:00"/>
    <x v="9"/>
    <x v="7"/>
    <n v="125"/>
    <m/>
    <n v="125"/>
    <n v="6164505.3500000015"/>
    <s v="Trsf"/>
    <m/>
    <m/>
  </r>
  <r>
    <x v="717"/>
    <n v="3"/>
    <x v="6"/>
    <x v="1148"/>
    <s v="C00000042"/>
    <x v="43"/>
    <s v="RA Resin 2100BQT-L (225Kg)"/>
    <n v="5"/>
    <s v="Cash"/>
    <x v="0"/>
    <d v="2025-03-10T00:00:00"/>
    <x v="9"/>
    <x v="7"/>
    <n v="8100"/>
    <m/>
    <n v="8100"/>
    <n v="6172605.3500000015"/>
    <s v="Trsf"/>
    <m/>
    <m/>
  </r>
  <r>
    <x v="717"/>
    <n v="3"/>
    <x v="6"/>
    <x v="1148"/>
    <s v="C00000042"/>
    <x v="43"/>
    <s v="RO CSM 450 1040mm(W) (37kg)"/>
    <n v="15"/>
    <s v="Cash"/>
    <x v="0"/>
    <d v="2025-03-10T00:00:00"/>
    <x v="9"/>
    <x v="7"/>
    <n v="3219"/>
    <m/>
    <n v="3219"/>
    <n v="6175824.3500000015"/>
    <s v="Trsf"/>
    <m/>
    <m/>
  </r>
  <r>
    <x v="717"/>
    <n v="3"/>
    <x v="6"/>
    <x v="1148"/>
    <s v="C00000042"/>
    <x v="43"/>
    <s v="RA Woven Roving E-600gm 1120mm (45Kg)"/>
    <n v="8"/>
    <s v="Cash"/>
    <x v="0"/>
    <d v="2025-03-10T00:00:00"/>
    <x v="9"/>
    <x v="7"/>
    <n v="1980"/>
    <m/>
    <n v="1980"/>
    <n v="6177804.3500000015"/>
    <s v="Trsf"/>
    <m/>
    <m/>
  </r>
  <r>
    <x v="717"/>
    <n v="3"/>
    <x v="6"/>
    <x v="1148"/>
    <s v="C00000042"/>
    <x v="43"/>
    <s v="RA Butanox M50 (5kg)"/>
    <n v="4"/>
    <s v="Cash"/>
    <x v="0"/>
    <d v="2025-03-10T00:00:00"/>
    <x v="9"/>
    <x v="7"/>
    <n v="460"/>
    <m/>
    <n v="460"/>
    <n v="6178264.3500000015"/>
    <s v="Trsf"/>
    <m/>
    <m/>
  </r>
  <r>
    <x v="717"/>
    <n v="3"/>
    <x v="6"/>
    <x v="1148"/>
    <s v="C00000042"/>
    <x v="43"/>
    <s v="RM Pigment Paste Smooth Cream M19 (25Kg)"/>
    <n v="1"/>
    <s v="Cash"/>
    <x v="0"/>
    <d v="2025-03-10T00:00:00"/>
    <x v="9"/>
    <x v="7"/>
    <n v="1000"/>
    <m/>
    <n v="1000"/>
    <n v="6179264.3500000015"/>
    <s v="Trsf"/>
    <m/>
    <m/>
  </r>
  <r>
    <x v="718"/>
    <n v="3"/>
    <x v="6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x v="6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x v="6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x v="6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x v="6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x v="6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x v="6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x v="6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x v="6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x v="6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x v="6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x v="6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x v="6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x v="6"/>
    <x v="1154"/>
    <s v="C00000042"/>
    <x v="43"/>
    <s v="RQ Talcum Powder (25Kg)"/>
    <n v="3"/>
    <s v="Cash"/>
    <x v="0"/>
    <d v="2025-03-15T00:00:00"/>
    <x v="9"/>
    <x v="7"/>
    <n v="187.5"/>
    <m/>
    <n v="187.5"/>
    <n v="6191561.450000002"/>
    <s v="Trsf"/>
    <m/>
    <m/>
  </r>
  <r>
    <x v="721"/>
    <n v="3"/>
    <x v="6"/>
    <x v="1155"/>
    <s v="C00000042"/>
    <x v="43"/>
    <s v="RA Resin 2100BQT-L (225Kg)"/>
    <n v="5"/>
    <s v="Cash"/>
    <x v="0"/>
    <d v="2025-03-15T00:00:00"/>
    <x v="9"/>
    <x v="7"/>
    <n v="8100"/>
    <m/>
    <n v="8100"/>
    <n v="6199661.450000002"/>
    <s v="Trsf"/>
    <m/>
    <m/>
  </r>
  <r>
    <x v="721"/>
    <n v="3"/>
    <x v="6"/>
    <x v="1155"/>
    <s v="C00000042"/>
    <x v="43"/>
    <s v="RM Pigment Paste Riviera Blue B5 (25Kg)"/>
    <n v="1"/>
    <s v="Cash"/>
    <x v="0"/>
    <d v="2025-03-15T00:00:00"/>
    <x v="9"/>
    <x v="7"/>
    <n v="975"/>
    <m/>
    <n v="975"/>
    <n v="6200636.450000002"/>
    <s v="Trsf"/>
    <m/>
    <m/>
  </r>
  <r>
    <x v="722"/>
    <n v="3"/>
    <x v="6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x v="6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x v="6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x v="6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x v="6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x v="6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x v="6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x v="6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x v="6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x v="6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x v="6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x v="6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x v="6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x v="6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x v="6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x v="6"/>
    <x v="1160"/>
    <s v="C00000042"/>
    <x v="43"/>
    <s v="RQ Talcum Powder (25Kg)"/>
    <n v="3"/>
    <s v="Cash"/>
    <x v="0"/>
    <d v="2025-03-20T00:00:00"/>
    <x v="9"/>
    <x v="7"/>
    <n v="187.5"/>
    <m/>
    <n v="187.5"/>
    <n v="6208399.6500000022"/>
    <s v="Trsf"/>
    <m/>
    <m/>
  </r>
  <r>
    <x v="724"/>
    <n v="3"/>
    <x v="6"/>
    <x v="1161"/>
    <s v="C00000042"/>
    <x v="43"/>
    <s v="RA Resin 2100BQT-L (225Kg)"/>
    <n v="7"/>
    <s v="Cash"/>
    <x v="0"/>
    <d v="2025-03-20T00:00:00"/>
    <x v="9"/>
    <x v="7"/>
    <n v="11340"/>
    <m/>
    <n v="11340"/>
    <n v="6219739.6500000022"/>
    <s v="Trsf"/>
    <m/>
    <m/>
  </r>
  <r>
    <x v="724"/>
    <n v="3"/>
    <x v="6"/>
    <x v="1161"/>
    <s v="C00000042"/>
    <x v="43"/>
    <s v="RO CSM 450 1040mm(W) (37kg)"/>
    <n v="18"/>
    <s v="Cash"/>
    <x v="0"/>
    <d v="2025-03-20T00:00:00"/>
    <x v="9"/>
    <x v="7"/>
    <n v="3862.8"/>
    <m/>
    <n v="3862.8"/>
    <n v="6223602.450000002"/>
    <s v="Trsf"/>
    <m/>
    <m/>
  </r>
  <r>
    <x v="724"/>
    <n v="3"/>
    <x v="6"/>
    <x v="1161"/>
    <s v="C00000042"/>
    <x v="43"/>
    <s v="RA Woven Roving E-600gm 1120mm (45Kg)"/>
    <n v="9"/>
    <s v="Cash"/>
    <x v="0"/>
    <d v="2025-03-20T00:00:00"/>
    <x v="9"/>
    <x v="7"/>
    <n v="2227.5"/>
    <m/>
    <n v="2227.5"/>
    <n v="6225829.950000002"/>
    <s v="Trsf"/>
    <m/>
    <m/>
  </r>
  <r>
    <x v="724"/>
    <n v="3"/>
    <x v="6"/>
    <x v="1161"/>
    <s v="C00000042"/>
    <x v="43"/>
    <s v="RA Butanox M50 (5kg)"/>
    <n v="4"/>
    <s v="Cash"/>
    <x v="0"/>
    <d v="2025-03-20T00:00:00"/>
    <x v="9"/>
    <x v="7"/>
    <n v="460"/>
    <m/>
    <n v="460"/>
    <n v="6226289.950000002"/>
    <s v="Trsf"/>
    <m/>
    <m/>
  </r>
  <r>
    <x v="725"/>
    <n v="3"/>
    <x v="6"/>
    <x v="1162"/>
    <s v="C00000042"/>
    <x v="43"/>
    <s v="RA Woven Roving E-600gm 1120mm (45Kg)"/>
    <n v="4"/>
    <s v="Cash"/>
    <x v="0"/>
    <d v="2025-03-22T00:00:00"/>
    <x v="9"/>
    <x v="7"/>
    <n v="990"/>
    <m/>
    <n v="990"/>
    <n v="6227279.950000002"/>
    <s v="Trsf"/>
    <m/>
    <m/>
  </r>
  <r>
    <x v="725"/>
    <n v="3"/>
    <x v="6"/>
    <x v="1162"/>
    <s v="C00000042"/>
    <x v="43"/>
    <s v="RM Pigment Paste Smooth Cream M19 (25Kg)"/>
    <n v="1"/>
    <s v="Cash"/>
    <x v="0"/>
    <d v="2025-03-22T00:00:00"/>
    <x v="9"/>
    <x v="7"/>
    <n v="1000"/>
    <m/>
    <n v="1000"/>
    <n v="6228279.950000002"/>
    <s v="Trsf"/>
    <m/>
    <m/>
  </r>
  <r>
    <x v="726"/>
    <n v="3"/>
    <x v="6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x v="6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x v="6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x v="6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x v="6"/>
    <x v="1164"/>
    <s v="C00000042"/>
    <x v="43"/>
    <s v="RQ Talcum Powder (25Kg)"/>
    <n v="6"/>
    <s v="Cash"/>
    <x v="0"/>
    <d v="2025-03-24T00:00:00"/>
    <x v="9"/>
    <x v="7"/>
    <n v="375"/>
    <m/>
    <n v="375"/>
    <n v="6230898.1500000022"/>
    <s v="Trsf"/>
    <m/>
    <m/>
  </r>
  <r>
    <x v="726"/>
    <n v="3"/>
    <x v="6"/>
    <x v="1165"/>
    <s v="C00000042"/>
    <x v="43"/>
    <s v="RA Resin 2100BQT-L (225Kg)"/>
    <n v="12"/>
    <s v="Cash"/>
    <x v="0"/>
    <d v="2025-03-24T00:00:00"/>
    <x v="9"/>
    <x v="7"/>
    <n v="19440"/>
    <m/>
    <n v="19440"/>
    <n v="6250338.1500000022"/>
    <s v="Trsf"/>
    <m/>
    <m/>
  </r>
  <r>
    <x v="726"/>
    <n v="3"/>
    <x v="6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x v="6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x v="6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x v="6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x v="6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x v="6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x v="6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x v="6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x v="6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x v="6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x v="6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x v="6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x v="6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x v="6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x v="6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x v="6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x v="6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x v="6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x v="6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x v="6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x v="6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x v="6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x v="6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x v="6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x v="6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x v="6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x v="6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x v="6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x v="6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x v="6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x v="6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x v="6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x v="6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x v="6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x v="6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x v="6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x v="6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x v="6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x v="6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x v="6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x v="6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x v="6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x v="6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x v="6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x v="6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x v="6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x v="6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x v="6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x v="6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x v="6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x v="6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x v="6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x v="6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x v="6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x v="6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x v="6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x v="6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x v="6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x v="6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x v="6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x v="6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x v="6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x v="6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x v="6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x v="6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x v="6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x v="6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x v="6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x v="6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x v="6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x v="6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x v="6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x v="6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x v="6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x v="6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x v="6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x v="6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x v="6"/>
    <x v="1187"/>
    <s v="C00000010"/>
    <x v="9"/>
    <s v="RO Resin 8213WPT (225kg)"/>
    <n v="2"/>
    <n v="120"/>
    <x v="2"/>
    <d v="2025-08-16T00:00:00"/>
    <x v="2"/>
    <x v="7"/>
    <n v="3195"/>
    <m/>
    <n v="3195"/>
    <n v="6410338.3500000024"/>
    <s v="Trsf"/>
    <m/>
    <m/>
  </r>
  <r>
    <x v="742"/>
    <n v="4"/>
    <x v="6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x v="6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x v="6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x v="6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x v="6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x v="6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x v="6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x v="6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x v="6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x v="6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x v="6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x v="6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x v="6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x v="6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x v="6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x v="6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x v="6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x v="6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x v="6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x v="6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x v="6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x v="6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x v="6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x v="6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x v="6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x v="6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x v="6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x v="6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x v="6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x v="6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x v="6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x v="6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x v="6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x v="6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x v="6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x v="6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x v="6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x v="6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x v="6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x v="6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x v="6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x v="6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x v="6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x v="6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x v="6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x v="6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x v="6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x v="6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x v="6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x v="6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x v="6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x v="6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x v="6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x v="6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x v="6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x v="6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x v="6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x v="6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x v="6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x v="6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x v="6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x v="6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x v="6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x v="6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x v="6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x v="6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x v="6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x v="6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x v="6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x v="6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x v="6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x v="6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x v="6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x v="6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x v="6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x v="6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x v="6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x v="6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x v="6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x v="6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x v="6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x v="6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x v="6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x v="6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x v="6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x v="6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x v="6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x v="6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x v="6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x v="6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x v="6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x v="6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x v="6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x v="6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x v="6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x v="6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x v="6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x v="6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x v="6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x v="6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x v="6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x v="6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x v="6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x v="6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x v="6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x v="6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x v="6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x v="6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x v="6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x v="6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x v="6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x v="6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x v="6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x v="6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x v="6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x v="6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x v="6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x v="6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x v="6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x v="6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x v="6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x v="6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x v="6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x v="6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x v="6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x v="6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x v="6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x v="6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x v="6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x v="6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x v="6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x v="6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x v="6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x v="6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x v="6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x v="6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x v="6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x v="6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x v="6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x v="6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x v="6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x v="6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x v="6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x v="6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x v="6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x v="6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x v="6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x v="6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x v="6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x v="6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x v="6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x v="6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x v="6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x v="6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x v="6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x v="6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x v="6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x v="6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x v="6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x v="6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x v="6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x v="6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x v="6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x v="6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x v="6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x v="6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x v="6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x v="6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x v="6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x v="6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x v="6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x v="6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x v="6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x v="6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x v="6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x v="6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x v="6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x v="6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x v="6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x v="6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x v="6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x v="6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x v="6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x v="6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x v="6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x v="6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x v="6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x v="6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x v="6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x v="6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x v="6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x v="6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x v="6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x v="6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x v="6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x v="6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x v="6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x v="6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x v="6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x v="6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x v="6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x v="6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x v="6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x v="6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x v="6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x v="6"/>
    <x v="1250"/>
    <s v="C00000003"/>
    <x v="2"/>
    <s v="RA Resin 2100BQT-L (225Kg)"/>
    <n v="1"/>
    <n v="45"/>
    <x v="1"/>
    <d v="2025-08-01T00:00:00"/>
    <x v="2"/>
    <x v="7"/>
    <n v="1687.5"/>
    <m/>
    <n v="1687.5"/>
    <n v="6769612.2500000028"/>
    <s v="PD Chq"/>
    <m/>
    <m/>
  </r>
  <r>
    <x v="775"/>
    <n v="6"/>
    <x v="6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x v="6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x v="6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x v="6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x v="6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x v="6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x v="6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x v="6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x v="6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x v="6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x v="6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x v="6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x v="6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x v="6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x v="6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x v="6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x v="6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x v="6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x v="6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x v="6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x v="6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x v="6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x v="6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x v="6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x v="6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x v="6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x v="6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x v="6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x v="6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x v="6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x v="6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x v="6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x v="6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x v="6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x v="6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x v="6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x v="6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x v="6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d v="2019-12-23T00:00:00"/>
    <n v="12"/>
    <x v="0"/>
    <s v="INV2019/00000001"/>
    <s v="C00000001"/>
    <x v="0"/>
    <s v="RA Resin SHCP 268W (225kg)"/>
    <n v="1"/>
    <s v="Cash"/>
    <x v="0"/>
    <d v="2019-12-23T00:00:00"/>
    <n v="12"/>
    <n v="2019"/>
    <n v="1530"/>
    <n v="-1530"/>
    <n v="0"/>
    <n v="1530"/>
    <s v="Trsf"/>
    <s v="Trsf 29/5"/>
    <m/>
  </r>
  <r>
    <d v="2019-12-23T00:00:00"/>
    <n v="12"/>
    <x v="0"/>
    <s v="INV2019/00000001"/>
    <s v="C00000001"/>
    <x v="0"/>
    <s v="RA CSM 450 GSM JUSHI 37kg 79m(L) X 1040mm(W)"/>
    <n v="6"/>
    <s v="Cash"/>
    <x v="0"/>
    <d v="2019-12-23T00:00:00"/>
    <n v="12"/>
    <n v="2019"/>
    <n v="1443"/>
    <n v="-1443"/>
    <n v="0"/>
    <n v="2973"/>
    <s v="Trsf"/>
    <s v="Trsf 29/5"/>
    <m/>
  </r>
  <r>
    <d v="2020-06-02T00:00:00"/>
    <n v="6"/>
    <x v="1"/>
    <s v="INV2020/00000002"/>
    <s v="C00000001"/>
    <x v="0"/>
    <s v="RA Gelcoat GS-S ISO (20kg)"/>
    <n v="2"/>
    <s v="Cash"/>
    <x v="0"/>
    <d v="2020-06-02T00:00:00"/>
    <n v="6"/>
    <n v="2020"/>
    <n v="480"/>
    <n v="-480"/>
    <n v="0"/>
    <n v="3453"/>
    <s v="Trsf"/>
    <s v="Trsf 24/6"/>
    <m/>
  </r>
  <r>
    <d v="2020-06-11T00:00:00"/>
    <n v="6"/>
    <x v="1"/>
    <s v="INV2020/00000003"/>
    <s v="C00000002"/>
    <x v="1"/>
    <s v="RA Resin SHCP 268W (225kg)"/>
    <n v="1"/>
    <s v="Cash"/>
    <x v="0"/>
    <d v="2020-06-11T00:00:00"/>
    <n v="6"/>
    <n v="2020"/>
    <n v="1395"/>
    <n v="-1395"/>
    <n v="0"/>
    <n v="4848"/>
    <s v="Chq"/>
    <s v="Chq 13/6"/>
    <m/>
  </r>
  <r>
    <d v="2020-06-11T00:00:00"/>
    <n v="6"/>
    <x v="1"/>
    <s v="INV2020/00000003"/>
    <s v="C00000002"/>
    <x v="1"/>
    <s v="RB Acetone (160Kg)"/>
    <n v="1"/>
    <s v="Cash"/>
    <x v="0"/>
    <d v="2020-06-11T00:00:00"/>
    <n v="6"/>
    <n v="2020"/>
    <n v="672"/>
    <n v="-672"/>
    <n v="0"/>
    <n v="5520"/>
    <s v="Chq"/>
    <s v="Chq 13/6"/>
    <m/>
  </r>
  <r>
    <d v="2020-06-17T00:00:00"/>
    <n v="6"/>
    <x v="1"/>
    <s v="INV2020/00000004"/>
    <s v="C00000001"/>
    <x v="0"/>
    <s v="RA Resin SHCP 268W (225kg)"/>
    <n v="1"/>
    <s v="Cash"/>
    <x v="0"/>
    <d v="2020-06-17T00:00:00"/>
    <n v="6"/>
    <n v="2020"/>
    <n v="1530"/>
    <n v="-1530"/>
    <n v="0"/>
    <n v="7050"/>
    <s v="Trsf"/>
    <s v="Trsf 24/6"/>
    <m/>
  </r>
  <r>
    <d v="2020-06-17T00:00:00"/>
    <n v="6"/>
    <x v="1"/>
    <s v="INV2020/00000004"/>
    <s v="C00000001"/>
    <x v="0"/>
    <s v="RA CSM 450 GSM JUSHI 37kg 79m(L) X 1040mm(W)"/>
    <n v="3"/>
    <s v="Cash"/>
    <x v="0"/>
    <d v="2020-06-17T00:00:00"/>
    <n v="6"/>
    <n v="2020"/>
    <n v="720"/>
    <n v="-720"/>
    <n v="0"/>
    <n v="7770"/>
    <s v="Trsf"/>
    <s v="Trsf 24/6"/>
    <m/>
  </r>
  <r>
    <d v="2020-06-17T00:00:00"/>
    <n v="6"/>
    <x v="1"/>
    <s v="INV2020/00000004"/>
    <s v="C00000001"/>
    <x v="0"/>
    <s v="RA Butanox M50 (5Kg)"/>
    <n v="2"/>
    <s v="Cash"/>
    <x v="0"/>
    <d v="2020-06-17T00:00:00"/>
    <n v="6"/>
    <n v="2020"/>
    <n v="185"/>
    <n v="-185"/>
    <n v="0"/>
    <n v="7955"/>
    <s v="Trsf"/>
    <s v="Trsf 24/6"/>
    <m/>
  </r>
  <r>
    <d v="2020-06-22T00:00:00"/>
    <n v="6"/>
    <x v="1"/>
    <s v="INV2020/00000005"/>
    <s v="C00000003"/>
    <x v="2"/>
    <s v="RA Resin SHCP 268W (225kg)"/>
    <n v="1"/>
    <n v="45"/>
    <x v="1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n v="6"/>
    <x v="1"/>
    <s v="INV2020/00000005"/>
    <s v="C00000003"/>
    <x v="2"/>
    <s v="RA Butanox M50 (5Kg)"/>
    <n v="2"/>
    <n v="45"/>
    <x v="1"/>
    <d v="2020-08-06T00:00:00"/>
    <n v="8"/>
    <n v="2020"/>
    <n v="185"/>
    <n v="-185"/>
    <n v="0"/>
    <n v="9782.5"/>
    <s v="PD Chq"/>
    <s v="PD chq 8/8, RM1,827.00 &amp; Cash RM0.50"/>
    <m/>
  </r>
  <r>
    <d v="2020-07-01T00:00:00"/>
    <n v="7"/>
    <x v="1"/>
    <s v="INV2020/00000006"/>
    <s v="C00000004"/>
    <x v="3"/>
    <s v="RA Gelcoat GP-H (20Kg)"/>
    <n v="9"/>
    <n v="120"/>
    <x v="2"/>
    <d v="2020-10-29T00:00:00"/>
    <n v="10"/>
    <n v="2020"/>
    <n v="1836"/>
    <n v="-1836"/>
    <n v="0"/>
    <n v="11618.5"/>
    <s v="Chq"/>
    <s v="Chq 16/11/2020"/>
    <m/>
  </r>
  <r>
    <d v="2020-07-14T00:00:00"/>
    <n v="7"/>
    <x v="1"/>
    <s v="INV2020/00000007"/>
    <s v="C00000003"/>
    <x v="2"/>
    <s v="RA Silicone Rubber (25Kg)"/>
    <n v="1"/>
    <n v="45"/>
    <x v="1"/>
    <d v="2020-08-28T00:00:00"/>
    <n v="8"/>
    <n v="2020"/>
    <n v="1200"/>
    <n v="-1200"/>
    <n v="0"/>
    <n v="12818.5"/>
    <s v="PD Chq"/>
    <s v="PD chq 16/8"/>
    <m/>
  </r>
  <r>
    <d v="2020-07-15T00:00:00"/>
    <n v="7"/>
    <x v="1"/>
    <s v="INV2020/00000008"/>
    <s v="C00000001"/>
    <x v="0"/>
    <s v="RA Nor 3338W (220Kg)"/>
    <n v="1"/>
    <s v="Cash"/>
    <x v="0"/>
    <d v="2020-07-15T00:00:00"/>
    <n v="7"/>
    <n v="2020"/>
    <n v="1496"/>
    <n v="-1496"/>
    <n v="0"/>
    <n v="14314.5"/>
    <s v="Trsf"/>
    <s v="Trsf 28/7"/>
    <m/>
  </r>
  <r>
    <d v="2020-07-15T00:00:00"/>
    <n v="7"/>
    <x v="1"/>
    <s v="INV2020/00000008"/>
    <s v="C00000001"/>
    <x v="0"/>
    <s v="RA Butanox M50 (5Kg)"/>
    <n v="4"/>
    <s v="Cash"/>
    <x v="0"/>
    <d v="2020-07-15T00:00:00"/>
    <n v="7"/>
    <n v="2020"/>
    <n v="370"/>
    <n v="-370"/>
    <n v="0"/>
    <n v="14684.5"/>
    <s v="Trsf"/>
    <s v="Trsf 28/7"/>
    <m/>
  </r>
  <r>
    <d v="2020-07-15T00:00:00"/>
    <n v="7"/>
    <x v="1"/>
    <s v="INV2020/00000008"/>
    <s v="C00000001"/>
    <x v="0"/>
    <s v="RC Woven Roving E-800 40Kg 1000mm"/>
    <n v="1"/>
    <s v="Cash"/>
    <x v="0"/>
    <d v="2020-07-15T00:00:00"/>
    <n v="7"/>
    <n v="2020"/>
    <n v="232"/>
    <n v="-232"/>
    <n v="0"/>
    <n v="14916.5"/>
    <s v="Trsf"/>
    <s v="Trsf 28/7"/>
    <s v="Delivered 22/7/20"/>
  </r>
  <r>
    <d v="2020-08-01T00:00:00"/>
    <n v="8"/>
    <x v="1"/>
    <s v="INV2020/00000009"/>
    <s v="C00000004"/>
    <x v="3"/>
    <s v="RA Nor 3338W (220Kg)"/>
    <n v="2"/>
    <n v="120"/>
    <x v="2"/>
    <d v="2020-11-29T00:00:00"/>
    <n v="11"/>
    <n v="2020"/>
    <n v="2508"/>
    <n v="-2508"/>
    <n v="0"/>
    <n v="17424.5"/>
    <s v="Chq"/>
    <s v="Chq 1/12/2020"/>
    <m/>
  </r>
  <r>
    <d v="2020-08-08T00:00:00"/>
    <n v="8"/>
    <x v="1"/>
    <s v="INV2020/00000010"/>
    <s v="C00000004"/>
    <x v="3"/>
    <s v="RA Nor 3338W (220Kg)"/>
    <n v="2"/>
    <n v="120"/>
    <x v="2"/>
    <d v="2020-12-06T00:00:00"/>
    <n v="12"/>
    <n v="2020"/>
    <n v="2508"/>
    <n v="-2508"/>
    <n v="0"/>
    <n v="19932.5"/>
    <s v="Chq"/>
    <s v="Chq 1/12/2020"/>
    <m/>
  </r>
  <r>
    <d v="2020-08-08T00:00:00"/>
    <n v="8"/>
    <x v="1"/>
    <s v="INV2020/00000011"/>
    <s v="C00000004"/>
    <x v="3"/>
    <s v="RA CSM 300 GSM TWL 30kg 64m(L) x 1040mm(W)"/>
    <n v="2"/>
    <n v="120"/>
    <x v="2"/>
    <d v="2020-12-06T00:00:00"/>
    <n v="12"/>
    <n v="2020"/>
    <n v="324"/>
    <n v="-324"/>
    <n v="0"/>
    <n v="20256.5"/>
    <s v="Chq"/>
    <s v="Chq 1/12/2020"/>
    <m/>
  </r>
  <r>
    <d v="2020-08-10T00:00:00"/>
    <n v="8"/>
    <x v="1"/>
    <s v="INV2020/00000012"/>
    <s v="C00000005"/>
    <x v="4"/>
    <s v="RA Nor 3338W (220Kg)"/>
    <n v="1"/>
    <s v="Cash"/>
    <x v="0"/>
    <d v="2020-08-10T00:00:00"/>
    <n v="8"/>
    <n v="2020"/>
    <n v="1496"/>
    <n v="-1496"/>
    <n v="0"/>
    <n v="21752.5"/>
    <s v="Chq"/>
    <s v="Chq 10/8"/>
    <m/>
  </r>
  <r>
    <d v="2020-08-10T00:00:00"/>
    <n v="8"/>
    <x v="1"/>
    <s v="INV2020/00000012"/>
    <s v="C00000005"/>
    <x v="4"/>
    <s v="RA Butanox M50 (5Kg)"/>
    <n v="1"/>
    <s v="Cash"/>
    <x v="0"/>
    <d v="2020-08-10T00:00:00"/>
    <n v="8"/>
    <n v="2020"/>
    <n v="90"/>
    <n v="-90"/>
    <n v="0"/>
    <n v="21842.5"/>
    <s v="Chq"/>
    <s v="Chq 10/8"/>
    <m/>
  </r>
  <r>
    <d v="2020-08-10T00:00:00"/>
    <n v="8"/>
    <x v="1"/>
    <s v="INV2020/00000013"/>
    <s v="C00000003"/>
    <x v="2"/>
    <s v="RA Nor 3338W (220Kg)"/>
    <n v="2"/>
    <n v="45"/>
    <x v="1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n v="8"/>
    <x v="1"/>
    <s v="INV2020/00000013"/>
    <s v="C00000003"/>
    <x v="2"/>
    <s v="RA Butanox M50 (5Kg)"/>
    <n v="4"/>
    <n v="45"/>
    <x v="1"/>
    <d v="2020-09-24T00:00:00"/>
    <n v="9"/>
    <n v="2020"/>
    <n v="370"/>
    <n v="-370"/>
    <n v="0"/>
    <n v="25248.5"/>
    <s v="PD Chq"/>
    <s v="PD chq 13/9, RM1,700/- &amp; 20/9, RM1,706/-"/>
    <m/>
  </r>
  <r>
    <d v="2020-08-12T00:00:00"/>
    <n v="8"/>
    <x v="1"/>
    <s v="INV2020/00000014"/>
    <s v="C00000001"/>
    <x v="0"/>
    <s v="RA Nor 3338W (220Kg)"/>
    <n v="1"/>
    <s v="Cash"/>
    <x v="0"/>
    <d v="2020-08-12T00:00:00"/>
    <n v="8"/>
    <n v="2020"/>
    <n v="1496"/>
    <n v="-1496"/>
    <n v="0"/>
    <n v="26744.5"/>
    <s v="Trsf"/>
    <s v="Trsf 23/8"/>
    <m/>
  </r>
  <r>
    <d v="2020-08-12T00:00:00"/>
    <n v="8"/>
    <x v="1"/>
    <s v="INV2020/00000014"/>
    <s v="C00000001"/>
    <x v="0"/>
    <s v="RA CSM 450 GSM JUSHI 37kg 79m(L) X 1040mm(W)"/>
    <n v="4"/>
    <s v="Cash"/>
    <x v="0"/>
    <d v="2020-08-12T00:00:00"/>
    <n v="8"/>
    <n v="2020"/>
    <n v="962"/>
    <n v="-962"/>
    <n v="0"/>
    <n v="27706.5"/>
    <s v="Trsf"/>
    <s v="Trsf 23/8"/>
    <m/>
  </r>
  <r>
    <d v="2020-08-12T00:00:00"/>
    <n v="8"/>
    <x v="1"/>
    <s v="INV2020/00000014"/>
    <s v="C00000001"/>
    <x v="0"/>
    <s v="RC Woven Roving E-800 40Kg 1000mm"/>
    <n v="2"/>
    <s v="Cash"/>
    <x v="0"/>
    <d v="2020-08-12T00:00:00"/>
    <n v="8"/>
    <n v="2020"/>
    <n v="464"/>
    <n v="-464"/>
    <n v="0"/>
    <n v="28170.5"/>
    <s v="Trsf"/>
    <s v="Trsf 23/8"/>
    <m/>
  </r>
  <r>
    <d v="2020-08-13T00:00:00"/>
    <n v="8"/>
    <x v="1"/>
    <s v="INV2020/00000015"/>
    <s v="C00000001"/>
    <x v="0"/>
    <s v="RA Gelcoat GS-S ISO (20kg)"/>
    <n v="4"/>
    <s v="Cash"/>
    <x v="0"/>
    <d v="2020-08-13T00:00:00"/>
    <n v="8"/>
    <n v="2020"/>
    <n v="960"/>
    <n v="-960"/>
    <n v="0"/>
    <n v="29130.5"/>
    <s v="Trsf"/>
    <s v="Trsf 23/8"/>
    <m/>
  </r>
  <r>
    <d v="2020-08-19T00:00:00"/>
    <n v="8"/>
    <x v="1"/>
    <s v="INV2020/00000016"/>
    <s v="C00000003"/>
    <x v="2"/>
    <s v="RA CSM 450 GSM 54kg 64m(L) X 1860mm(W)"/>
    <n v="1"/>
    <n v="45"/>
    <x v="1"/>
    <d v="2020-10-03T00:00:00"/>
    <n v="10"/>
    <n v="2020"/>
    <n v="367.2"/>
    <n v="-367.2"/>
    <n v="0"/>
    <n v="29497.7"/>
    <s v="PD Chq"/>
    <s v="PD Chq 27/9, RM1,270.20"/>
    <m/>
  </r>
  <r>
    <d v="2020-08-19T00:00:00"/>
    <n v="8"/>
    <x v="1"/>
    <s v="INV2020/00000017"/>
    <s v="C00000006"/>
    <x v="5"/>
    <s v="RA Nor 3338W (220Kg)"/>
    <n v="1"/>
    <s v="Cash"/>
    <x v="0"/>
    <d v="2020-08-19T00:00:00"/>
    <n v="8"/>
    <n v="2020"/>
    <n v="1496"/>
    <n v="-1496"/>
    <n v="0"/>
    <n v="30993.7"/>
    <s v="Chq"/>
    <s v="Chq 19/8"/>
    <m/>
  </r>
  <r>
    <d v="2020-08-19T00:00:00"/>
    <n v="8"/>
    <x v="1"/>
    <s v="INV2020/00000017"/>
    <s v="C00000006"/>
    <x v="5"/>
    <s v="RA Gelcoat GP-H (20Kg)"/>
    <n v="1"/>
    <s v="Cash"/>
    <x v="0"/>
    <d v="2020-08-19T00:00:00"/>
    <n v="8"/>
    <n v="2020"/>
    <n v="210"/>
    <n v="-210"/>
    <n v="0"/>
    <n v="31203.7"/>
    <s v="Chq"/>
    <s v="Chq 19/8"/>
    <m/>
  </r>
  <r>
    <d v="2020-08-22T00:00:00"/>
    <n v="8"/>
    <x v="1"/>
    <s v="INV2020/00000018"/>
    <s v="C00000007"/>
    <x v="6"/>
    <s v="RA CSM 450 GSM 54kg 64m(L) X 1860mm(W)"/>
    <n v="4"/>
    <s v="Cash"/>
    <x v="0"/>
    <d v="2020-08-22T00:00:00"/>
    <n v="8"/>
    <n v="2020"/>
    <n v="1296"/>
    <n v="-1296"/>
    <n v="0"/>
    <n v="32499.7"/>
    <s v="Trsf"/>
    <s v="Due 30/9/2020, Trsf IBG 1/10/2020"/>
    <m/>
  </r>
  <r>
    <d v="2020-08-22T00:00:00"/>
    <n v="8"/>
    <x v="1"/>
    <s v="INV2020/00000018"/>
    <s v="C00000007"/>
    <x v="6"/>
    <s v="RA Gelcoat GP-H (20Kg)"/>
    <n v="4"/>
    <s v="Cash"/>
    <x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n v="8"/>
    <x v="1"/>
    <s v="INV2020/00000018"/>
    <s v="C00000007"/>
    <x v="6"/>
    <s v="RA Gelcoat GS-H (20kg)"/>
    <n v="2"/>
    <s v="Cash"/>
    <x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n v="8"/>
    <x v="1"/>
    <s v="INV2020/00000018"/>
    <s v="C00000007"/>
    <x v="6"/>
    <s v="RA Butanox M50 (5Kg)"/>
    <n v="4"/>
    <s v="Cash"/>
    <x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n v="8"/>
    <x v="1"/>
    <s v="INV2020/00000019"/>
    <s v="C00000008"/>
    <x v="7"/>
    <s v="RA Nor 3338W (220Kg)"/>
    <n v="1"/>
    <s v="Cash"/>
    <x v="0"/>
    <d v="2020-08-22T00:00:00"/>
    <n v="8"/>
    <n v="2020"/>
    <n v="1452"/>
    <n v="-1452"/>
    <n v="0"/>
    <n v="35611.699999999997"/>
    <s v="Trsf"/>
    <s v="Trsf 24/8"/>
    <m/>
  </r>
  <r>
    <d v="2020-08-24T00:00:00"/>
    <n v="8"/>
    <x v="1"/>
    <s v="INV2020/00000020"/>
    <s v="C00000003"/>
    <x v="2"/>
    <s v="RA Nor 3338W (220Kg)"/>
    <n v="1"/>
    <n v="45"/>
    <x v="1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n v="8"/>
    <x v="1"/>
    <s v="INV2020/00000020"/>
    <s v="C00000003"/>
    <x v="2"/>
    <s v="RA Talcum Powder (25Kg)"/>
    <n v="4"/>
    <n v="45"/>
    <x v="1"/>
    <d v="2020-10-08T00:00:00"/>
    <n v="10"/>
    <n v="2020"/>
    <n v="200"/>
    <n v="-200"/>
    <n v="0"/>
    <n v="37329.699999999997"/>
    <s v="PD Chq"/>
    <s v="PD Chq 11/10, RM1,000/-"/>
    <m/>
  </r>
  <r>
    <d v="2020-08-24T00:00:00"/>
    <n v="8"/>
    <x v="1"/>
    <s v="INV2020/00000020"/>
    <s v="C00000003"/>
    <x v="2"/>
    <s v="RA Butanox M50 (5Kg)"/>
    <n v="2"/>
    <n v="45"/>
    <x v="1"/>
    <d v="2020-10-08T00:00:00"/>
    <n v="10"/>
    <n v="2020"/>
    <n v="185"/>
    <n v="-185"/>
    <n v="0"/>
    <n v="37514.699999999997"/>
    <s v="PD Chq"/>
    <s v="PD Chq 11/10, RM1,000/-"/>
    <m/>
  </r>
  <r>
    <d v="2020-08-25T00:00:00"/>
    <n v="8"/>
    <x v="1"/>
    <s v="INV2020/00000021"/>
    <s v="C00000009"/>
    <x v="8"/>
    <s v="RA Nor 3338W (220Kg)"/>
    <n v="1"/>
    <n v="60"/>
    <x v="3"/>
    <d v="2020-10-24T00:00:00"/>
    <n v="10"/>
    <n v="2020"/>
    <n v="1276"/>
    <n v="-1276"/>
    <n v="0"/>
    <n v="38790.699999999997"/>
    <s v="Chq"/>
    <s v="HLIB Chq No 008781, 28/11/20"/>
    <m/>
  </r>
  <r>
    <d v="2020-08-25T00:00:00"/>
    <n v="8"/>
    <x v="1"/>
    <s v="INV2020/00000021"/>
    <s v="C00000009"/>
    <x v="8"/>
    <s v="RA Norsodyne 3338NW (220Kg)"/>
    <n v="1"/>
    <n v="60"/>
    <x v="3"/>
    <d v="2020-10-24T00:00:00"/>
    <n v="10"/>
    <n v="2020"/>
    <n v="1276"/>
    <n v="-1276"/>
    <n v="0"/>
    <n v="40066.699999999997"/>
    <s v="Chq"/>
    <s v="HLIB Chq No 008781, 28/11/20"/>
    <m/>
  </r>
  <r>
    <d v="2020-08-25T00:00:00"/>
    <n v="8"/>
    <x v="1"/>
    <s v="INV2020/00000022"/>
    <s v="C00000001"/>
    <x v="0"/>
    <s v="RA Nor 3338W (220Kg)"/>
    <n v="1"/>
    <s v="Cash"/>
    <x v="0"/>
    <d v="2020-08-25T00:00:00"/>
    <n v="8"/>
    <n v="2020"/>
    <n v="1496"/>
    <n v="-1496"/>
    <n v="0"/>
    <n v="41562.699999999997"/>
    <s v="Trsf"/>
    <s v="Trsf 1/9/2020"/>
    <m/>
  </r>
  <r>
    <d v="2020-08-27T00:00:00"/>
    <n v="8"/>
    <x v="1"/>
    <s v="INV2020/00000023"/>
    <s v="C00000010"/>
    <x v="9"/>
    <s v="RA Nor 3338W (220Kg)"/>
    <n v="4"/>
    <n v="120"/>
    <x v="2"/>
    <d v="2020-12-25T00:00:00"/>
    <n v="12"/>
    <n v="2020"/>
    <n v="5280"/>
    <n v="-5280"/>
    <n v="0"/>
    <n v="46842.7"/>
    <s v="Trsf"/>
    <s v="Trsf 23/12/2020"/>
    <m/>
  </r>
  <r>
    <d v="2020-08-27T00:00:00"/>
    <n v="8"/>
    <x v="1"/>
    <s v="INV2020/00000023"/>
    <s v="C00000010"/>
    <x v="9"/>
    <s v="RA CSM 450 GSM JUSHI 37kg 79m(L) X 1040mm(W)"/>
    <n v="2"/>
    <n v="120"/>
    <x v="2"/>
    <d v="2020-12-25T00:00:00"/>
    <n v="12"/>
    <n v="2020"/>
    <n v="444"/>
    <n v="-444"/>
    <n v="0"/>
    <n v="47286.7"/>
    <s v="Trsf"/>
    <s v="Trsf 23/12/2020"/>
    <m/>
  </r>
  <r>
    <d v="2020-08-27T00:00:00"/>
    <n v="8"/>
    <x v="1"/>
    <s v="INV2020/00000023"/>
    <s v="C00000010"/>
    <x v="9"/>
    <s v="RA Talcum Powder (25Kg)"/>
    <n v="5"/>
    <n v="120"/>
    <x v="2"/>
    <d v="2020-12-25T00:00:00"/>
    <n v="12"/>
    <n v="2020"/>
    <n v="275"/>
    <n v="-275"/>
    <n v="0"/>
    <n v="47561.7"/>
    <s v="Trsf"/>
    <s v="Trsf 23/12/2020"/>
    <m/>
  </r>
  <r>
    <d v="2020-08-27T00:00:00"/>
    <n v="8"/>
    <x v="1"/>
    <s v="INV2020/00000023"/>
    <s v="C00000010"/>
    <x v="9"/>
    <s v="RA Butanox M50 (5Kg)"/>
    <n v="4"/>
    <n v="120"/>
    <x v="2"/>
    <d v="2020-12-25T00:00:00"/>
    <n v="12"/>
    <n v="2020"/>
    <n v="360"/>
    <n v="-360"/>
    <n v="0"/>
    <n v="47921.7"/>
    <s v="Trsf"/>
    <s v="Trsf 23/12/2020"/>
    <m/>
  </r>
  <r>
    <d v="2020-08-27T00:00:00"/>
    <n v="8"/>
    <x v="1"/>
    <s v="INV2020/00000023"/>
    <s v="C00000010"/>
    <x v="9"/>
    <s v="RA Bosny Wax (15kg)"/>
    <n v="1"/>
    <n v="120"/>
    <x v="2"/>
    <d v="2020-12-25T00:00:00"/>
    <n v="12"/>
    <n v="2020"/>
    <n v="375"/>
    <n v="-375"/>
    <n v="0"/>
    <n v="48296.7"/>
    <s v="Trsf"/>
    <s v="Trsf 23/12/2020"/>
    <m/>
  </r>
  <r>
    <d v="2020-09-01T00:00:00"/>
    <n v="9"/>
    <x v="1"/>
    <s v="INV2020/00000024"/>
    <s v="C00000008"/>
    <x v="7"/>
    <s v="RA Resin 3317AW (220Kg)"/>
    <n v="2"/>
    <s v="Cash"/>
    <x v="0"/>
    <d v="2020-09-01T00:00:00"/>
    <n v="9"/>
    <n v="2020"/>
    <n v="2948"/>
    <n v="-2948"/>
    <n v="0"/>
    <n v="51244.7"/>
    <s v="Trsf"/>
    <s v="Trsf 7/9/2020"/>
    <m/>
  </r>
  <r>
    <d v="2020-09-01T00:00:00"/>
    <n v="9"/>
    <x v="1"/>
    <s v="INV2020/00000024"/>
    <s v="C00000008"/>
    <x v="7"/>
    <s v="RA Gelcoat GP-H (20Kg)"/>
    <n v="4"/>
    <s v="Cash"/>
    <x v="0"/>
    <d v="2020-09-01T00:00:00"/>
    <n v="9"/>
    <n v="2020"/>
    <n v="840"/>
    <n v="-840"/>
    <n v="0"/>
    <n v="52084.7"/>
    <s v="Trsf"/>
    <s v="Trsf 7/9/2020"/>
    <m/>
  </r>
  <r>
    <d v="2020-09-01T00:00:00"/>
    <n v="9"/>
    <x v="1"/>
    <s v="INV2020/00000024"/>
    <s v="C00000008"/>
    <x v="7"/>
    <s v="RA Butanox M50 (5Kg)"/>
    <n v="2"/>
    <s v="Cash"/>
    <x v="0"/>
    <d v="2020-09-01T00:00:00"/>
    <n v="9"/>
    <n v="2020"/>
    <n v="180"/>
    <n v="-180"/>
    <n v="0"/>
    <n v="52264.7"/>
    <s v="Trsf"/>
    <s v="Trsf 7/9/2020"/>
    <m/>
  </r>
  <r>
    <d v="2020-09-02T00:00:00"/>
    <n v="9"/>
    <x v="1"/>
    <s v="INV2020/00000025"/>
    <s v="C00000001"/>
    <x v="0"/>
    <s v="RA Silicone Rubber (25Kg)"/>
    <n v="1"/>
    <s v="Cash"/>
    <x v="0"/>
    <d v="2020-09-02T00:00:00"/>
    <n v="9"/>
    <n v="2020"/>
    <n v="1250"/>
    <n v="-1250"/>
    <n v="0"/>
    <n v="53514.7"/>
    <s v="Trsf"/>
    <s v="Trsf 5/9/2020"/>
    <s v="Delived on 3/9/2020"/>
  </r>
  <r>
    <d v="2020-09-05T00:00:00"/>
    <n v="9"/>
    <x v="1"/>
    <s v="INV2020/00000026"/>
    <s v="C00000001"/>
    <x v="0"/>
    <s v="RA Resin 3317AW (220Kg)"/>
    <n v="1"/>
    <s v="Cash"/>
    <x v="0"/>
    <d v="2020-09-05T00:00:00"/>
    <n v="9"/>
    <n v="2020"/>
    <n v="1496"/>
    <n v="-1496"/>
    <n v="0"/>
    <n v="55010.7"/>
    <s v="Trsf"/>
    <s v="Trsf 5/9/2020"/>
    <m/>
  </r>
  <r>
    <d v="2020-09-05T00:00:00"/>
    <n v="9"/>
    <x v="1"/>
    <s v="INV2020/00000026"/>
    <s v="C00000001"/>
    <x v="0"/>
    <s v="RA CSM 450 GSM JUSHI 37kg 79m(L) X 1040mm(W)"/>
    <n v="4"/>
    <s v="Cash"/>
    <x v="0"/>
    <d v="2020-09-05T00:00:00"/>
    <n v="9"/>
    <n v="2020"/>
    <n v="962"/>
    <n v="-962"/>
    <n v="0"/>
    <n v="55972.7"/>
    <s v="Trsf"/>
    <s v="Trsf 5/9/2020"/>
    <m/>
  </r>
  <r>
    <d v="2020-09-17T00:00:00"/>
    <n v="9"/>
    <x v="1"/>
    <s v="INV2020/00000027"/>
    <s v="C00000004"/>
    <x v="3"/>
    <s v="RA Nor 3338W (220Kg)"/>
    <n v="5"/>
    <n v="120"/>
    <x v="2"/>
    <d v="2021-01-15T00:00:00"/>
    <n v="1"/>
    <n v="2021"/>
    <n v="6270"/>
    <n v="-6270"/>
    <n v="0"/>
    <n v="62242.7"/>
    <s v="Chq"/>
    <s v="PD HLB 004649, 25/1/2021"/>
    <m/>
  </r>
  <r>
    <d v="2020-09-17T00:00:00"/>
    <n v="9"/>
    <x v="1"/>
    <s v="INV2020/00000027"/>
    <s v="C00000004"/>
    <x v="3"/>
    <s v="RA Norsodyne 3338NW (220Kg)"/>
    <n v="1"/>
    <n v="120"/>
    <x v="2"/>
    <d v="2021-01-15T00:00:00"/>
    <n v="1"/>
    <n v="2021"/>
    <n v="1254"/>
    <n v="-1254"/>
    <n v="0"/>
    <n v="63496.7"/>
    <s v="Chq"/>
    <s v="PD HLB 004649, 25/1/2021"/>
    <m/>
  </r>
  <r>
    <d v="2020-09-17T00:00:00"/>
    <n v="9"/>
    <x v="1"/>
    <s v="INV2020/00000027"/>
    <s v="C00000004"/>
    <x v="3"/>
    <s v="RA CSM 450 GSM 54kg 64m(L) X 1860mm(W)"/>
    <n v="3"/>
    <n v="120"/>
    <x v="2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n v="9"/>
    <x v="1"/>
    <s v="INV2020/00000027"/>
    <s v="C00000004"/>
    <x v="3"/>
    <s v="RA CSM 300 GSM 54Kg 96m(L) X 1860mm(W)"/>
    <n v="3"/>
    <n v="120"/>
    <x v="2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n v="9"/>
    <x v="1"/>
    <s v="INV2020/00000027"/>
    <s v="C00000004"/>
    <x v="3"/>
    <s v="RA Gelcoat GP-H (20Kg)"/>
    <n v="6"/>
    <n v="120"/>
    <x v="2"/>
    <d v="2021-01-15T00:00:00"/>
    <n v="1"/>
    <n v="2021"/>
    <n v="1224"/>
    <n v="-1224"/>
    <n v="0"/>
    <n v="66470.3"/>
    <s v="Chq"/>
    <s v="PD HLB 004649, 25/1/2021"/>
    <m/>
  </r>
  <r>
    <d v="2020-09-17T00:00:00"/>
    <n v="9"/>
    <x v="1"/>
    <s v="INV2020/00000027"/>
    <s v="C00000004"/>
    <x v="3"/>
    <s v="RA Butanox M50 (5Kg)"/>
    <n v="4"/>
    <n v="120"/>
    <x v="2"/>
    <d v="2021-01-15T00:00:00"/>
    <n v="1"/>
    <n v="2021"/>
    <n v="360"/>
    <n v="-360"/>
    <n v="0"/>
    <n v="66830.3"/>
    <s v="Chq"/>
    <s v="PD HLB 004649, 25/1/2021"/>
    <m/>
  </r>
  <r>
    <d v="2020-09-17T00:00:00"/>
    <n v="9"/>
    <x v="1"/>
    <s v="INV2020/00000027"/>
    <s v="C00000004"/>
    <x v="3"/>
    <s v="RA Accelerator (5kg)"/>
    <n v="1"/>
    <n v="120"/>
    <x v="2"/>
    <d v="2021-01-15T00:00:00"/>
    <n v="1"/>
    <n v="2021"/>
    <n v="390"/>
    <n v="-390"/>
    <n v="0"/>
    <n v="67220.3"/>
    <s v="Chq"/>
    <s v="PD HLB 004649, 25/1/2021"/>
    <m/>
  </r>
  <r>
    <d v="2020-09-17T00:00:00"/>
    <n v="9"/>
    <x v="1"/>
    <s v="INV2020/00000028"/>
    <s v="C00000001"/>
    <x v="0"/>
    <s v="RA Resin 3317AW (220Kg)"/>
    <n v="1"/>
    <s v="Cash"/>
    <x v="0"/>
    <d v="2020-09-17T00:00:00"/>
    <n v="9"/>
    <n v="2020"/>
    <n v="1496"/>
    <n v="-1496"/>
    <n v="0"/>
    <n v="68716.3"/>
    <s v="Trsf"/>
    <s v="Trst 22/9/2020"/>
    <m/>
  </r>
  <r>
    <d v="2020-09-17T00:00:00"/>
    <n v="9"/>
    <x v="1"/>
    <s v="INV2020/00000028"/>
    <s v="C00000001"/>
    <x v="0"/>
    <s v="RA CSM 450 GSM JUSHI 37kg 79m(L) X 1040mm(W)"/>
    <n v="2"/>
    <s v="Cash"/>
    <x v="0"/>
    <d v="2020-09-17T00:00:00"/>
    <n v="9"/>
    <n v="2020"/>
    <n v="481"/>
    <n v="-481"/>
    <n v="0"/>
    <n v="69197.3"/>
    <s v="Trsf"/>
    <s v="Trst 22/9/2020"/>
    <m/>
  </r>
  <r>
    <d v="2020-09-22T00:00:00"/>
    <n v="9"/>
    <x v="1"/>
    <s v="INV2020/00000029"/>
    <s v="C00000004"/>
    <x v="3"/>
    <s v="RA Nor 3338W (220Kg)"/>
    <n v="5"/>
    <n v="120"/>
    <x v="2"/>
    <d v="2021-01-20T00:00:00"/>
    <n v="1"/>
    <n v="2021"/>
    <n v="6270"/>
    <n v="-6270"/>
    <n v="0"/>
    <n v="75467.3"/>
    <s v="Chq"/>
    <s v="PD HLB 004649, 25/1/2021"/>
    <m/>
  </r>
  <r>
    <d v="2020-09-22T00:00:00"/>
    <n v="9"/>
    <x v="1"/>
    <s v="INV2020/00000029"/>
    <s v="C00000004"/>
    <x v="3"/>
    <s v="RA Norsodyne 3338NW (220Kg)"/>
    <n v="1"/>
    <n v="120"/>
    <x v="2"/>
    <d v="2021-01-20T00:00:00"/>
    <n v="1"/>
    <n v="2021"/>
    <n v="1254"/>
    <n v="-1254"/>
    <n v="0"/>
    <n v="76721.3"/>
    <s v="Chq"/>
    <s v="PD HLB 004649, 25/1/2021"/>
    <m/>
  </r>
  <r>
    <d v="2020-09-22T00:00:00"/>
    <n v="9"/>
    <x v="1"/>
    <s v="INV2020/00000029"/>
    <s v="C00000004"/>
    <x v="3"/>
    <s v="RA CSM 450 GSM 54kg 64m(L) X 1860mm(W)"/>
    <n v="5"/>
    <n v="120"/>
    <x v="2"/>
    <d v="2021-01-20T00:00:00"/>
    <n v="1"/>
    <n v="2021"/>
    <n v="1458"/>
    <n v="-1458"/>
    <n v="0"/>
    <n v="78179.3"/>
    <s v="Chq"/>
    <s v="PD HLB 004649, 25/1/2021"/>
    <m/>
  </r>
  <r>
    <d v="2020-09-22T00:00:00"/>
    <n v="9"/>
    <x v="1"/>
    <s v="INV2020/00000029"/>
    <s v="C00000004"/>
    <x v="3"/>
    <s v="RA CSM 300 GSM 54Kg 96m(L) X 1860mm(W)"/>
    <n v="2"/>
    <n v="120"/>
    <x v="2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n v="9"/>
    <x v="1"/>
    <s v="INV2020/00000029"/>
    <s v="C00000004"/>
    <x v="3"/>
    <s v="RA Gelcoat GP-H (20Kg)"/>
    <n v="10"/>
    <n v="120"/>
    <x v="2"/>
    <d v="2021-01-20T00:00:00"/>
    <n v="1"/>
    <n v="2021"/>
    <n v="2040"/>
    <n v="-2040"/>
    <n v="0"/>
    <n v="80802.5"/>
    <s v="Chq"/>
    <s v="PD HLB 004649, 25/1/2021"/>
    <m/>
  </r>
  <r>
    <d v="2020-09-23T00:00:00"/>
    <n v="9"/>
    <x v="1"/>
    <s v="INV2020/00000030"/>
    <s v="C00000010"/>
    <x v="9"/>
    <s v="RA Nor 3338W (220Kg)"/>
    <n v="5"/>
    <n v="120"/>
    <x v="2"/>
    <d v="2021-01-21T00:00:00"/>
    <n v="1"/>
    <n v="2021"/>
    <n v="6600"/>
    <n v="-6600"/>
    <n v="0"/>
    <n v="87402.5"/>
    <s v="Trsf"/>
    <s v="Trsf 20/1/2021"/>
    <m/>
  </r>
  <r>
    <d v="2020-09-23T00:00:00"/>
    <n v="9"/>
    <x v="1"/>
    <s v="INV2020/00000030"/>
    <s v="C00000010"/>
    <x v="9"/>
    <s v="RA CSM 450 GSM JUSHI 37kg 79m(L) X 1040mm(W)"/>
    <n v="4"/>
    <n v="120"/>
    <x v="2"/>
    <d v="2021-01-21T00:00:00"/>
    <n v="1"/>
    <n v="2021"/>
    <n v="888"/>
    <n v="-888"/>
    <n v="0"/>
    <n v="88290.5"/>
    <s v="Trsf"/>
    <s v="Trsf 20/1/2021"/>
    <m/>
  </r>
  <r>
    <d v="2020-09-23T00:00:00"/>
    <n v="9"/>
    <x v="1"/>
    <s v="INV2020/00000030"/>
    <s v="C00000010"/>
    <x v="9"/>
    <s v="RA Talcum Powder (25Kg)"/>
    <n v="5"/>
    <n v="120"/>
    <x v="2"/>
    <d v="2021-01-21T00:00:00"/>
    <n v="1"/>
    <n v="2021"/>
    <n v="275"/>
    <n v="-275"/>
    <n v="0"/>
    <n v="88565.5"/>
    <s v="Trsf"/>
    <s v="Trsf 20/1/2021"/>
    <m/>
  </r>
  <r>
    <d v="2020-09-23T00:00:00"/>
    <n v="9"/>
    <x v="1"/>
    <s v="INV2020/00000030"/>
    <s v="C00000010"/>
    <x v="9"/>
    <s v="RA Butanox M50 (5Kg)"/>
    <n v="4"/>
    <n v="120"/>
    <x v="2"/>
    <d v="2021-01-21T00:00:00"/>
    <n v="1"/>
    <n v="2021"/>
    <n v="360"/>
    <n v="-360"/>
    <n v="0"/>
    <n v="88925.5"/>
    <s v="Trsf"/>
    <s v="Trsf 20/1/2021"/>
    <m/>
  </r>
  <r>
    <d v="2020-09-23T00:00:00"/>
    <n v="9"/>
    <x v="1"/>
    <s v="INV2020/00000031"/>
    <s v="C00000001"/>
    <x v="0"/>
    <s v="RC Woven Roving E-800 40Kg 1000mm"/>
    <n v="6"/>
    <s v="Cash"/>
    <x v="0"/>
    <d v="2020-09-23T00:00:00"/>
    <n v="9"/>
    <n v="2020"/>
    <n v="1392"/>
    <n v="-1392"/>
    <n v="0"/>
    <n v="90317.5"/>
    <s v="Trsf"/>
    <s v="Trst 01/10/2020"/>
    <m/>
  </r>
  <r>
    <d v="2020-09-26T00:00:00"/>
    <n v="9"/>
    <x v="1"/>
    <s v="INV2020/00000032"/>
    <s v="C00000001"/>
    <x v="0"/>
    <s v="RA Nor 3338W (220Kg)"/>
    <n v="1"/>
    <s v="Cash"/>
    <x v="0"/>
    <d v="2020-09-26T00:00:00"/>
    <n v="9"/>
    <n v="2020"/>
    <n v="1496"/>
    <n v="-1496"/>
    <n v="0"/>
    <n v="91813.5"/>
    <s v="Trsf"/>
    <s v="Trst 01/10/2020"/>
    <m/>
  </r>
  <r>
    <d v="2020-10-05T00:00:00"/>
    <n v="10"/>
    <x v="1"/>
    <s v="INV2020/00000033"/>
    <s v="C00000005"/>
    <x v="4"/>
    <s v="RA Resin 3317AW (220Kg)"/>
    <n v="1"/>
    <s v="Cash"/>
    <x v="0"/>
    <d v="2020-10-05T00:00:00"/>
    <n v="10"/>
    <n v="2020"/>
    <n v="1496"/>
    <n v="-1496"/>
    <n v="0"/>
    <n v="93309.5"/>
    <s v="Chq"/>
    <s v="Chq 5/10 (Bank in 19/10/2020)"/>
    <m/>
  </r>
  <r>
    <d v="2020-10-05T00:00:00"/>
    <n v="10"/>
    <x v="1"/>
    <s v="INV2020/00000034"/>
    <s v="C00000003"/>
    <x v="2"/>
    <s v="RA Resin 3317AW (220Kg)"/>
    <n v="3"/>
    <n v="45"/>
    <x v="1"/>
    <d v="2020-11-19T00:00:00"/>
    <n v="11"/>
    <n v="2020"/>
    <n v="4554"/>
    <n v="-4554"/>
    <n v="0"/>
    <n v="97863.5"/>
    <s v="PD Chq"/>
    <s v="PD Chq 14/11, RM2,713/-"/>
    <m/>
  </r>
  <r>
    <d v="2020-10-05T00:00:00"/>
    <n v="10"/>
    <x v="1"/>
    <s v="INV2020/00000034"/>
    <s v="C00000003"/>
    <x v="2"/>
    <s v="RA Talcum Powder (25Kg)"/>
    <n v="8"/>
    <n v="45"/>
    <x v="1"/>
    <d v="2020-11-19T00:00:00"/>
    <n v="11"/>
    <n v="2020"/>
    <n v="400"/>
    <n v="-400"/>
    <n v="0"/>
    <n v="98263.5"/>
    <s v="PD Chq"/>
    <s v="PD Chq 21/11, RM1,500/-"/>
    <m/>
  </r>
  <r>
    <d v="2020-10-05T00:00:00"/>
    <n v="10"/>
    <x v="1"/>
    <s v="INV2020/00000034"/>
    <s v="C00000003"/>
    <x v="2"/>
    <s v="RA Butanox M50 (5Kg)"/>
    <n v="6"/>
    <n v="45"/>
    <x v="1"/>
    <d v="2020-11-19T00:00:00"/>
    <n v="11"/>
    <n v="2020"/>
    <n v="555"/>
    <n v="-555"/>
    <n v="0"/>
    <n v="98818.5"/>
    <s v="PD Chq"/>
    <s v="PD Chq 29/11, RM1,500/-"/>
    <m/>
  </r>
  <r>
    <d v="2020-10-05T00:00:00"/>
    <n v="10"/>
    <x v="1"/>
    <s v="INV2020/00000034"/>
    <s v="C00000003"/>
    <x v="2"/>
    <s v="RA CSM 300 GSM TWL 30kg 64m(L) x 1040mm(W)"/>
    <n v="1"/>
    <n v="45"/>
    <x v="1"/>
    <d v="2020-11-19T00:00:00"/>
    <n v="11"/>
    <n v="2020"/>
    <n v="204"/>
    <n v="-204"/>
    <n v="0"/>
    <n v="99022.5"/>
    <s v="PD Chq"/>
    <s v="PD Chq 29/11, RM1,500/-"/>
    <m/>
  </r>
  <r>
    <d v="2020-10-08T00:00:00"/>
    <n v="10"/>
    <x v="1"/>
    <s v="INV2020/00000035"/>
    <s v="C00000004"/>
    <x v="3"/>
    <s v="RA Nor 3338W (220Kg)"/>
    <n v="5"/>
    <n v="120"/>
    <x v="2"/>
    <d v="2021-02-05T00:00:00"/>
    <n v="2"/>
    <n v="2021"/>
    <n v="6270"/>
    <n v="-6270"/>
    <n v="0"/>
    <n v="105292.5"/>
    <s v="Chq"/>
    <s v="PD HLB 5704, 22/2/2021"/>
    <m/>
  </r>
  <r>
    <d v="2020-10-08T00:00:00"/>
    <n v="10"/>
    <x v="1"/>
    <s v="INV2020/00000035"/>
    <s v="C00000004"/>
    <x v="3"/>
    <s v="RA Norsodyne 3338NW (220Kg)"/>
    <n v="1"/>
    <n v="120"/>
    <x v="2"/>
    <d v="2021-02-05T00:00:00"/>
    <n v="2"/>
    <n v="2021"/>
    <n v="1254"/>
    <n v="-1254"/>
    <n v="0"/>
    <n v="106546.5"/>
    <s v="Chq"/>
    <s v="PD HLB 5704, 22/2/2021"/>
    <m/>
  </r>
  <r>
    <d v="2020-10-08T00:00:00"/>
    <n v="10"/>
    <x v="1"/>
    <s v="INV2020/00000035"/>
    <s v="C00000004"/>
    <x v="3"/>
    <s v="RA CSM 300 GSM 54Kg 96m(L) X 1860mm(W)"/>
    <n v="3"/>
    <n v="120"/>
    <x v="2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n v="10"/>
    <x v="1"/>
    <s v="INV2020/00000035"/>
    <s v="C00000004"/>
    <x v="3"/>
    <s v="RA Gelcoat GP-H (20Kg)"/>
    <n v="10"/>
    <n v="120"/>
    <x v="2"/>
    <d v="2021-02-05T00:00:00"/>
    <n v="2"/>
    <n v="2021"/>
    <n v="2040"/>
    <n v="-2040"/>
    <n v="0"/>
    <n v="109461.3"/>
    <s v="Chq"/>
    <s v="PD HLB 5704, 22/2/2021"/>
    <m/>
  </r>
  <r>
    <d v="2020-10-08T00:00:00"/>
    <n v="10"/>
    <x v="1"/>
    <s v="INV2020/00000035"/>
    <s v="C00000004"/>
    <x v="3"/>
    <s v="RA Butanox M50 (5Kg)"/>
    <n v="2"/>
    <n v="120"/>
    <x v="2"/>
    <d v="2021-02-05T00:00:00"/>
    <n v="2"/>
    <n v="2021"/>
    <n v="180"/>
    <n v="-180"/>
    <n v="0"/>
    <n v="109641.3"/>
    <s v="Chq"/>
    <s v="PD HLB 5704, 22/2/2021"/>
    <m/>
  </r>
  <r>
    <d v="2020-10-12T00:00:00"/>
    <n v="10"/>
    <x v="1"/>
    <s v="INV2020/00000036"/>
    <s v="C00000004"/>
    <x v="3"/>
    <s v="RA Nor 3338W (220Kg)"/>
    <n v="6"/>
    <n v="120"/>
    <x v="2"/>
    <d v="2021-02-09T00:00:00"/>
    <n v="2"/>
    <n v="2021"/>
    <n v="7524"/>
    <n v="-7524"/>
    <n v="0"/>
    <n v="117165.3"/>
    <s v="Chq"/>
    <s v="PD HLB 5704, 22/2/2021"/>
    <m/>
  </r>
  <r>
    <d v="2020-10-12T00:00:00"/>
    <n v="10"/>
    <x v="1"/>
    <s v="INV2020/00000036"/>
    <s v="C00000004"/>
    <x v="3"/>
    <s v="RA Norsodyne 3338NW (220Kg)"/>
    <n v="1"/>
    <n v="120"/>
    <x v="2"/>
    <d v="2021-02-09T00:00:00"/>
    <n v="2"/>
    <n v="2021"/>
    <n v="1254"/>
    <n v="-1254"/>
    <n v="0"/>
    <n v="118419.3"/>
    <s v="Chq"/>
    <s v="PD HLB 5704, 22/2/2021"/>
    <m/>
  </r>
  <r>
    <d v="2020-10-12T00:00:00"/>
    <n v="10"/>
    <x v="1"/>
    <s v="INV2020/00000037"/>
    <s v="C00000001"/>
    <x v="0"/>
    <s v="RA Resin 3317AW (220Kg)"/>
    <n v="1"/>
    <s v="Cash"/>
    <x v="0"/>
    <d v="2020-10-12T00:00:00"/>
    <n v="10"/>
    <n v="2020"/>
    <n v="1496"/>
    <n v="-1496"/>
    <n v="0"/>
    <n v="119915.3"/>
    <s v="Trsf"/>
    <s v="Trsf 19/10/2020"/>
    <m/>
  </r>
  <r>
    <d v="2020-10-12T00:00:00"/>
    <n v="10"/>
    <x v="1"/>
    <s v="INV2020/00000037"/>
    <s v="C00000001"/>
    <x v="0"/>
    <s v="RA CSM 450 GSM JUSHI 37kg 79m(L) X 1040mm(W)"/>
    <n v="4"/>
    <s v="Cash"/>
    <x v="0"/>
    <d v="2020-10-12T00:00:00"/>
    <n v="10"/>
    <n v="2020"/>
    <n v="962"/>
    <n v="-962"/>
    <n v="0"/>
    <n v="120877.3"/>
    <s v="Trsf"/>
    <s v="Trsf 19/10/2020"/>
    <m/>
  </r>
  <r>
    <d v="2020-10-14T00:00:00"/>
    <n v="10"/>
    <x v="1"/>
    <s v="INV2020/00000038"/>
    <s v="C00000007"/>
    <x v="6"/>
    <s v="RA Gelcoat GP-H (20Kg)"/>
    <n v="7"/>
    <s v="Cash"/>
    <x v="0"/>
    <d v="2020-10-14T00:00:00"/>
    <n v="10"/>
    <n v="2020"/>
    <n v="1470"/>
    <n v="-1470"/>
    <n v="0"/>
    <n v="122347.3"/>
    <s v="Trsf"/>
    <s v="Due 30/11/2020"/>
    <m/>
  </r>
  <r>
    <d v="2020-10-14T00:00:00"/>
    <n v="10"/>
    <x v="1"/>
    <s v="INV2020/00000038"/>
    <s v="C00000007"/>
    <x v="6"/>
    <s v="RA Butanox M50 (5Kg)"/>
    <n v="8"/>
    <s v="Cash"/>
    <x v="0"/>
    <d v="2020-10-14T00:00:00"/>
    <n v="10"/>
    <n v="2020"/>
    <n v="720"/>
    <n v="-720"/>
    <n v="0"/>
    <n v="123067.3"/>
    <s v="Trsf"/>
    <s v="Due 30/11/2020"/>
    <m/>
  </r>
  <r>
    <d v="2020-10-19T00:00:00"/>
    <n v="10"/>
    <x v="1"/>
    <s v="INV2020/00000038"/>
    <s v="C00000007"/>
    <x v="6"/>
    <s v="RA Gelcoat GS-H (20kg)"/>
    <n v="2"/>
    <s v="Cash"/>
    <x v="0"/>
    <d v="2020-10-19T00:00:00"/>
    <n v="10"/>
    <n v="2020"/>
    <n v="460"/>
    <n v="-460"/>
    <n v="0"/>
    <n v="123527.3"/>
    <s v="Trsf"/>
    <s v="Due 30/11/2020"/>
    <m/>
  </r>
  <r>
    <d v="2020-10-17T00:00:00"/>
    <n v="10"/>
    <x v="1"/>
    <s v="INV2020/00000039"/>
    <s v="C00000003"/>
    <x v="2"/>
    <s v="RA Mirror Glaze"/>
    <n v="4"/>
    <n v="45"/>
    <x v="1"/>
    <d v="2020-12-01T00:00:00"/>
    <n v="12"/>
    <n v="2020"/>
    <n v="180"/>
    <n v="-180"/>
    <n v="0"/>
    <n v="123707.3"/>
    <s v="PD Chq"/>
    <s v="PD Chq 22/10, RM384/-"/>
    <m/>
  </r>
  <r>
    <d v="2020-10-17T00:00:00"/>
    <n v="10"/>
    <x v="1"/>
    <s v="INV2020/00000040"/>
    <s v="C00000003"/>
    <x v="2"/>
    <s v="RA CSM 300 GSM TWL 30kg 64m(L) x 1040mm(W)"/>
    <n v="1"/>
    <n v="45"/>
    <x v="1"/>
    <d v="2020-12-01T00:00:00"/>
    <n v="12"/>
    <n v="2020"/>
    <n v="204"/>
    <n v="-204"/>
    <n v="0"/>
    <n v="123911.3"/>
    <s v="PD Chq"/>
    <s v="PD Chq 22/10, RM384/-"/>
    <m/>
  </r>
  <r>
    <d v="2020-10-19T00:00:00"/>
    <n v="10"/>
    <x v="1"/>
    <s v="INV2020/00000041"/>
    <s v="C00000001"/>
    <x v="0"/>
    <s v="RA Gelcoat GS-S ISO (20kg)"/>
    <n v="4"/>
    <s v="Cash"/>
    <x v="0"/>
    <d v="2020-10-19T00:00:00"/>
    <n v="10"/>
    <n v="2020"/>
    <n v="960"/>
    <n v="-960"/>
    <n v="0"/>
    <n v="124871.3"/>
    <s v="Trsf"/>
    <s v="Trsf 9/11/2020"/>
    <m/>
  </r>
  <r>
    <d v="2020-10-19T00:00:00"/>
    <n v="10"/>
    <x v="1"/>
    <s v="INV2020/00000041"/>
    <s v="C00000001"/>
    <x v="0"/>
    <s v="RA Pigment Super White (25Kg)"/>
    <n v="1"/>
    <s v="Cash"/>
    <x v="0"/>
    <d v="2020-10-19T00:00:00"/>
    <n v="10"/>
    <n v="2020"/>
    <n v="625"/>
    <n v="-625"/>
    <n v="0"/>
    <n v="125496.3"/>
    <s v="Trsf"/>
    <s v="Trsf 9/11/2020"/>
    <m/>
  </r>
  <r>
    <d v="2020-10-19T00:00:00"/>
    <n v="10"/>
    <x v="1"/>
    <s v="INV2020/00000041"/>
    <s v="C00000001"/>
    <x v="0"/>
    <s v="Brush 2 1/2&quot; (12 pc)"/>
    <n v="1"/>
    <s v="Cash"/>
    <x v="0"/>
    <d v="2020-10-19T00:00:00"/>
    <n v="10"/>
    <n v="2020"/>
    <n v="60"/>
    <n v="-60"/>
    <n v="0"/>
    <n v="125556.3"/>
    <s v="Trsf"/>
    <s v="Trsf 9/11/2020"/>
    <m/>
  </r>
  <r>
    <d v="2020-10-19T00:00:00"/>
    <n v="10"/>
    <x v="1"/>
    <s v="INV2020/00000042"/>
    <s v="C00000005"/>
    <x v="4"/>
    <s v="RA Butanox M50 (5Kg)"/>
    <n v="1"/>
    <s v="Cash"/>
    <x v="0"/>
    <d v="2020-10-19T00:00:00"/>
    <n v="10"/>
    <n v="2020"/>
    <n v="90"/>
    <n v="-90"/>
    <n v="0"/>
    <n v="125646.3"/>
    <s v="Chq"/>
    <s v="Chq CIMB 000054 28/10/2019"/>
    <m/>
  </r>
  <r>
    <d v="2020-10-21T00:00:00"/>
    <n v="10"/>
    <x v="1"/>
    <s v="INV2020/00000043"/>
    <s v="C00000005"/>
    <x v="4"/>
    <s v="RA Resin 3317AW (220Kg)"/>
    <n v="1"/>
    <s v="Cash"/>
    <x v="0"/>
    <d v="2020-10-21T00:00:00"/>
    <n v="10"/>
    <n v="2020"/>
    <n v="1496"/>
    <n v="-1496"/>
    <n v="0"/>
    <n v="127142.3"/>
    <s v="Chq"/>
    <s v="Chq CIMB 000050 21/10/2020"/>
    <m/>
  </r>
  <r>
    <d v="2020-10-21T00:00:00"/>
    <n v="10"/>
    <x v="1"/>
    <s v="INV2020/00000044"/>
    <s v="C00000010"/>
    <x v="9"/>
    <s v="RA Nor 3338W (220Kg)"/>
    <n v="5"/>
    <n v="120"/>
    <x v="2"/>
    <d v="2021-02-18T00:00:00"/>
    <n v="2"/>
    <n v="2021"/>
    <n v="6600"/>
    <n v="-6600"/>
    <n v="0"/>
    <n v="133742.29999999999"/>
    <s v="Trsf"/>
    <s v="Trsf 19/3/2021"/>
    <m/>
  </r>
  <r>
    <d v="2020-10-21T00:00:00"/>
    <n v="10"/>
    <x v="1"/>
    <s v="INV2020/00000044"/>
    <s v="C00000010"/>
    <x v="9"/>
    <s v="RA CSM 450 GSM JUSHI 37kg 79m(L) X 1040mm(W)"/>
    <n v="4"/>
    <n v="120"/>
    <x v="2"/>
    <d v="2021-02-18T00:00:00"/>
    <n v="2"/>
    <n v="2021"/>
    <n v="888"/>
    <n v="-888"/>
    <n v="0"/>
    <n v="134630.29999999999"/>
    <s v="Trsf"/>
    <s v="Trsf 19/3/2021"/>
    <m/>
  </r>
  <r>
    <d v="2020-10-21T00:00:00"/>
    <n v="10"/>
    <x v="1"/>
    <s v="INV2020/00000044"/>
    <s v="C00000010"/>
    <x v="9"/>
    <s v="RA Talcum Powder (25Kg)"/>
    <n v="5"/>
    <n v="120"/>
    <x v="2"/>
    <d v="2021-02-18T00:00:00"/>
    <n v="2"/>
    <n v="2021"/>
    <n v="275"/>
    <n v="-275"/>
    <n v="0"/>
    <n v="134905.29999999999"/>
    <s v="Trsf"/>
    <s v="Trsf 19/3/2021"/>
    <m/>
  </r>
  <r>
    <d v="2020-10-21T00:00:00"/>
    <n v="10"/>
    <x v="1"/>
    <s v="INV2020/00000044"/>
    <s v="C00000010"/>
    <x v="9"/>
    <s v="RA Butanox M50 (5Kg)"/>
    <n v="4"/>
    <n v="120"/>
    <x v="2"/>
    <d v="2021-02-18T00:00:00"/>
    <n v="2"/>
    <n v="2021"/>
    <n v="360"/>
    <n v="-360"/>
    <n v="0"/>
    <n v="135265.29999999999"/>
    <s v="Trsf"/>
    <s v="Trsf 19/3/2021"/>
    <m/>
  </r>
  <r>
    <d v="2020-10-26T00:00:00"/>
    <n v="10"/>
    <x v="1"/>
    <s v="INV2020/00000045"/>
    <s v="C00000003"/>
    <x v="2"/>
    <s v="RA Resin 3317AW (220Kg)"/>
    <n v="3"/>
    <n v="45"/>
    <x v="1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n v="10"/>
    <x v="1"/>
    <s v="INV2020/00000045"/>
    <s v="C00000003"/>
    <x v="2"/>
    <s v="RA Butanox M50 (5Kg)"/>
    <n v="6"/>
    <n v="45"/>
    <x v="1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n v="10"/>
    <x v="1"/>
    <s v="INV2020/00000046"/>
    <s v="C00000001"/>
    <x v="0"/>
    <s v="RA Resin 3317AW (220Kg)"/>
    <n v="1"/>
    <s v="Cash"/>
    <x v="0"/>
    <d v="2020-10-31T00:00:00"/>
    <n v="10"/>
    <n v="2020"/>
    <n v="1496"/>
    <n v="-1496"/>
    <n v="0"/>
    <n v="141870.29999999999"/>
    <s v="Trsf"/>
    <s v="Trsf 9/11/2020"/>
    <m/>
  </r>
  <r>
    <d v="2020-10-31T00:00:00"/>
    <n v="10"/>
    <x v="1"/>
    <s v="INV2020/00000046"/>
    <s v="C00000001"/>
    <x v="0"/>
    <s v="RA CSM 450 GSM JUSHI 37kg 79m(L) X 1040mm(W)"/>
    <n v="4"/>
    <s v="Cash"/>
    <x v="0"/>
    <d v="2020-10-31T00:00:00"/>
    <n v="10"/>
    <n v="2020"/>
    <n v="962"/>
    <n v="-962"/>
    <n v="0"/>
    <n v="142832.29999999999"/>
    <s v="Trsf"/>
    <s v="Trsf 9/11/2020"/>
    <m/>
  </r>
  <r>
    <d v="2020-10-31T00:00:00"/>
    <n v="10"/>
    <x v="1"/>
    <s v="INV2020/00000047"/>
    <s v="C00000005"/>
    <x v="4"/>
    <s v="RA Resin 3317AW (220Kg)"/>
    <n v="1"/>
    <s v="Cash"/>
    <x v="0"/>
    <d v="2020-10-31T00:00:00"/>
    <n v="10"/>
    <n v="2020"/>
    <n v="1496"/>
    <n v="-1496"/>
    <n v="0"/>
    <n v="144328.29999999999"/>
    <s v="Chq"/>
    <s v="Chq CIMB 000056, 31/10/2020"/>
    <m/>
  </r>
  <r>
    <d v="2020-11-09T00:00:00"/>
    <n v="11"/>
    <x v="1"/>
    <s v="INV2020/00000048"/>
    <s v="C00000006"/>
    <x v="5"/>
    <s v="RA Nor 3338W (220Kg)"/>
    <n v="1"/>
    <s v="Cash"/>
    <x v="0"/>
    <d v="2020-11-09T00:00:00"/>
    <n v="11"/>
    <n v="2020"/>
    <n v="1584"/>
    <n v="-1584"/>
    <n v="0"/>
    <n v="145912.29999999999"/>
    <s v="Chq"/>
    <s v="Bank in 16/12/2020"/>
    <m/>
  </r>
  <r>
    <d v="2020-11-09T00:00:00"/>
    <n v="11"/>
    <x v="1"/>
    <s v="INV2020/00000048"/>
    <s v="C00000006"/>
    <x v="5"/>
    <s v="RA Gelcoat GP-H (20Kg)"/>
    <n v="1"/>
    <s v="Cash"/>
    <x v="0"/>
    <d v="2020-11-09T00:00:00"/>
    <n v="11"/>
    <n v="2020"/>
    <n v="210"/>
    <n v="-210"/>
    <n v="0"/>
    <n v="146122.29999999999"/>
    <s v="Chq"/>
    <s v="Bank in 16/12/2020"/>
    <m/>
  </r>
  <r>
    <d v="2020-11-09T00:00:00"/>
    <n v="11"/>
    <x v="1"/>
    <s v="INV2020/00000048"/>
    <s v="C00000006"/>
    <x v="5"/>
    <s v="RA CSM 300 GSM 54Kg 96m(L) X 1860mm(W)"/>
    <n v="1"/>
    <s v="Cash"/>
    <x v="0"/>
    <d v="2020-11-09T00:00:00"/>
    <n v="11"/>
    <n v="2020"/>
    <n v="378"/>
    <n v="-378"/>
    <n v="0"/>
    <n v="146500.29999999999"/>
    <s v="Chq"/>
    <s v="Bank in 16/12/2020"/>
    <m/>
  </r>
  <r>
    <d v="2020-11-09T00:00:00"/>
    <n v="11"/>
    <x v="1"/>
    <s v="INV2020/00000048"/>
    <s v="C00000006"/>
    <x v="5"/>
    <s v="RA Pigment Black (5Kg)"/>
    <n v="1"/>
    <s v="Cash"/>
    <x v="0"/>
    <d v="2020-11-09T00:00:00"/>
    <n v="11"/>
    <n v="2020"/>
    <n v="130"/>
    <n v="-130"/>
    <n v="0"/>
    <n v="146630.29999999999"/>
    <s v="Chq"/>
    <s v="Bank in 16/12/2020"/>
    <m/>
  </r>
  <r>
    <d v="2020-11-10T00:00:00"/>
    <n v="11"/>
    <x v="1"/>
    <s v="INV2020/00000049"/>
    <s v="C00000001"/>
    <x v="0"/>
    <s v="RA Resin 3317AW (220Kg)"/>
    <n v="1"/>
    <s v="Cash"/>
    <x v="0"/>
    <d v="2020-11-10T00:00:00"/>
    <n v="11"/>
    <n v="2020"/>
    <n v="1584"/>
    <n v="-1584"/>
    <n v="0"/>
    <n v="148214.29999999999"/>
    <s v="Trsf"/>
    <s v="Trsf 20/11/2020"/>
    <m/>
  </r>
  <r>
    <d v="2020-11-10T00:00:00"/>
    <n v="11"/>
    <x v="1"/>
    <s v="INV2020/00000049"/>
    <s v="C00000001"/>
    <x v="0"/>
    <s v="RA Butanox M50 (5Kg)"/>
    <n v="4"/>
    <s v="Cash"/>
    <x v="0"/>
    <d v="2020-11-10T00:00:00"/>
    <n v="11"/>
    <n v="2020"/>
    <n v="370"/>
    <n v="-370"/>
    <n v="0"/>
    <n v="148584.29999999999"/>
    <s v="Trsf"/>
    <s v="Trsf 20/11/2020"/>
    <m/>
  </r>
  <r>
    <d v="2020-11-10T00:00:00"/>
    <n v="11"/>
    <x v="1"/>
    <s v="INV2020/00000050"/>
    <s v="C00000005"/>
    <x v="4"/>
    <s v="RA Resin 3317AW (220Kg)"/>
    <n v="1"/>
    <s v="Cash"/>
    <x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n v="11"/>
    <x v="1"/>
    <s v="INV2020/00000050"/>
    <s v="C00000005"/>
    <x v="4"/>
    <s v="RA Butanox M50 (5Kg)"/>
    <n v="1"/>
    <s v="Cash"/>
    <x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n v="11"/>
    <x v="1"/>
    <s v="INV2020/00000051"/>
    <s v="C00000009"/>
    <x v="8"/>
    <s v="RA CSM 450 GSM 54kg 64m(L) X 1860mm(W)"/>
    <n v="3"/>
    <n v="60"/>
    <x v="3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n v="11"/>
    <x v="1"/>
    <s v="INV2020/00000051"/>
    <s v="C00000009"/>
    <x v="8"/>
    <s v="RA CSM 300 GSM 54Kg 96m(L) X 1860mm(W)"/>
    <n v="1"/>
    <n v="60"/>
    <x v="3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n v="11"/>
    <x v="1"/>
    <s v="INV2020/00000052"/>
    <s v="C00000001"/>
    <x v="0"/>
    <s v="RA Resin 3317AW (220Kg)"/>
    <n v="1"/>
    <s v="Cash"/>
    <x v="0"/>
    <d v="2020-11-18T00:00:00"/>
    <n v="11"/>
    <n v="2020"/>
    <n v="1584"/>
    <n v="-1584"/>
    <n v="0"/>
    <n v="153029.49999999997"/>
    <s v="Trsf"/>
    <s v="Trsf 20/11/2020"/>
    <m/>
  </r>
  <r>
    <d v="2020-11-24T00:00:00"/>
    <n v="11"/>
    <x v="1"/>
    <s v="INV2020/00000053"/>
    <s v="C00000001"/>
    <x v="0"/>
    <s v="RC Woven Roving E-800 40Kg 1000mm"/>
    <n v="2"/>
    <s v="Cash"/>
    <x v="0"/>
    <d v="2020-11-24T00:00:00"/>
    <n v="11"/>
    <n v="2020"/>
    <n v="520"/>
    <n v="-520"/>
    <n v="0"/>
    <n v="153549.49999999997"/>
    <s v="Trsf"/>
    <s v="Trsf 5/12/2020"/>
    <m/>
  </r>
  <r>
    <d v="2020-11-20T00:00:00"/>
    <n v="11"/>
    <x v="1"/>
    <s v="INV2020/00000054"/>
    <s v="C00000010"/>
    <x v="9"/>
    <s v="RA GP Resin (225Kg)"/>
    <n v="3"/>
    <n v="120"/>
    <x v="2"/>
    <d v="2021-03-20T00:00:00"/>
    <n v="3"/>
    <n v="2021"/>
    <n v="4050"/>
    <n v="-4050"/>
    <n v="0"/>
    <n v="157599.49999999997"/>
    <s v="Trsf"/>
    <s v="Due 28/2/2020"/>
    <m/>
  </r>
  <r>
    <d v="2020-11-20T00:00:00"/>
    <n v="11"/>
    <x v="1"/>
    <s v="INV2020/00000054"/>
    <s v="C00000010"/>
    <x v="9"/>
    <s v="RA Nor 3338W (220Kg)"/>
    <n v="2"/>
    <n v="120"/>
    <x v="2"/>
    <d v="2021-03-20T00:00:00"/>
    <n v="3"/>
    <n v="2021"/>
    <n v="2640"/>
    <n v="-2640"/>
    <n v="0"/>
    <n v="160239.49999999997"/>
    <s v="Trsf"/>
    <s v="Due 28/2/2020"/>
    <m/>
  </r>
  <r>
    <d v="2020-11-20T00:00:00"/>
    <n v="11"/>
    <x v="1"/>
    <s v="INV2020/00000054"/>
    <s v="C00000010"/>
    <x v="9"/>
    <s v="RA CSM 450 GSM JUSHI 37kg 79m(L) X 1040mm(W)"/>
    <n v="8"/>
    <n v="120"/>
    <x v="2"/>
    <d v="2021-03-20T00:00:00"/>
    <n v="3"/>
    <n v="2021"/>
    <n v="1776"/>
    <n v="-1776"/>
    <n v="0"/>
    <n v="162015.49999999997"/>
    <s v="Trsf"/>
    <s v="Due 28/2/2020"/>
    <m/>
  </r>
  <r>
    <d v="2020-11-20T00:00:00"/>
    <n v="11"/>
    <x v="1"/>
    <s v="INV2020/00000054"/>
    <s v="C00000010"/>
    <x v="9"/>
    <s v="RA Talcum Powder (25Kg)"/>
    <n v="5"/>
    <n v="120"/>
    <x v="2"/>
    <d v="2021-03-20T00:00:00"/>
    <n v="3"/>
    <n v="2021"/>
    <n v="275"/>
    <n v="-275"/>
    <n v="0"/>
    <n v="162290.49999999997"/>
    <s v="Trsf"/>
    <s v="Due 28/2/2020"/>
    <m/>
  </r>
  <r>
    <d v="2020-11-20T00:00:00"/>
    <n v="11"/>
    <x v="1"/>
    <s v="INV2020/00000054"/>
    <s v="C00000010"/>
    <x v="9"/>
    <s v="RA Butanox M50 (5Kg)"/>
    <n v="2"/>
    <n v="120"/>
    <x v="2"/>
    <d v="2021-03-20T00:00:00"/>
    <n v="3"/>
    <n v="2021"/>
    <n v="180"/>
    <n v="-180"/>
    <n v="0"/>
    <n v="162470.49999999997"/>
    <s v="Trsf"/>
    <s v="Due 28/2/2020"/>
    <m/>
  </r>
  <r>
    <d v="2020-11-20T00:00:00"/>
    <n v="11"/>
    <x v="1"/>
    <s v="INV2020/00000054"/>
    <s v="C00000010"/>
    <x v="9"/>
    <s v="RA Bosny Wax (15kg)"/>
    <n v="1"/>
    <n v="120"/>
    <x v="2"/>
    <d v="2021-03-20T00:00:00"/>
    <n v="3"/>
    <n v="2021"/>
    <n v="375"/>
    <n v="-375"/>
    <n v="0"/>
    <n v="162845.49999999997"/>
    <s v="Trsf"/>
    <s v="Due 28/2/2020"/>
    <m/>
  </r>
  <r>
    <d v="2020-11-21T00:00:00"/>
    <n v="11"/>
    <x v="1"/>
    <s v="INV2020/00000055"/>
    <s v="C00000008"/>
    <x v="7"/>
    <s v="RA Nor 3338W (220Kg)"/>
    <n v="1"/>
    <s v="Cash"/>
    <x v="0"/>
    <d v="2020-11-21T00:00:00"/>
    <n v="11"/>
    <n v="2020"/>
    <n v="1584"/>
    <n v="-1584"/>
    <n v="0"/>
    <n v="164429.49999999997"/>
    <s v="Trsf"/>
    <m/>
    <m/>
  </r>
  <r>
    <d v="2020-11-21T00:00:00"/>
    <n v="11"/>
    <x v="1"/>
    <s v="INV2020/00000055"/>
    <s v="C00000008"/>
    <x v="7"/>
    <s v="RA Gelcoat GP-H (20Kg)"/>
    <n v="2"/>
    <s v="Cash"/>
    <x v="0"/>
    <d v="2020-11-21T00:00:00"/>
    <n v="11"/>
    <n v="2020"/>
    <n v="420"/>
    <n v="-420"/>
    <n v="0"/>
    <n v="164849.49999999997"/>
    <s v="Trsf"/>
    <m/>
    <m/>
  </r>
  <r>
    <d v="2020-11-21T00:00:00"/>
    <n v="11"/>
    <x v="1"/>
    <s v="INV2020/00000055"/>
    <s v="C00000008"/>
    <x v="7"/>
    <s v="RA Butanox M50 (5Kg)"/>
    <n v="1"/>
    <s v="Cash"/>
    <x v="0"/>
    <d v="2020-11-21T00:00:00"/>
    <n v="11"/>
    <n v="2020"/>
    <n v="90"/>
    <n v="-90"/>
    <n v="0"/>
    <n v="164939.49999999997"/>
    <s v="Trsf"/>
    <m/>
    <m/>
  </r>
  <r>
    <d v="2020-11-21T00:00:00"/>
    <n v="11"/>
    <x v="1"/>
    <s v="INV2020/00000055"/>
    <s v="C00000008"/>
    <x v="7"/>
    <s v="RA CSM 450 GSM JUSHI 37kg 79m(L) X 1040mm(W)"/>
    <n v="2"/>
    <s v="Cash"/>
    <x v="0"/>
    <d v="2020-11-21T00:00:00"/>
    <n v="11"/>
    <n v="2020"/>
    <n v="518"/>
    <n v="-518"/>
    <n v="0"/>
    <n v="165457.49999999997"/>
    <s v="Trsf"/>
    <m/>
    <m/>
  </r>
  <r>
    <d v="2020-11-23T00:00:00"/>
    <n v="11"/>
    <x v="1"/>
    <s v="INV2020/00000056"/>
    <s v="C00000005"/>
    <x v="4"/>
    <s v="RA Resin 3317AW (220Kg)"/>
    <n v="1"/>
    <s v="Cash"/>
    <x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n v="11"/>
    <x v="1"/>
    <s v="INV2020/00000057"/>
    <s v="C00000011"/>
    <x v="10"/>
    <s v="Alkaline resistance Chopped Strand 24MM (18Kgs)"/>
    <n v="3"/>
    <s v="Cash"/>
    <x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n v="11"/>
    <x v="1"/>
    <s v="INV2020/00000057"/>
    <s v="C00000011"/>
    <x v="10"/>
    <s v="Transport charge"/>
    <n v="1"/>
    <s v="Cash"/>
    <x v="0"/>
    <d v="2020-11-24T00:00:00"/>
    <n v="11"/>
    <n v="2020"/>
    <n v="100"/>
    <n v="-100"/>
    <n v="0"/>
    <n v="168080.29999999996"/>
    <s v="Trsf"/>
    <s v="Trsf 23/11/2020"/>
    <m/>
  </r>
  <r>
    <d v="2020-11-24T00:00:00"/>
    <n v="11"/>
    <x v="1"/>
    <s v="INV2020/00000058"/>
    <s v="C00000003"/>
    <x v="2"/>
    <s v="RA Resin 3317AW (220Kg)"/>
    <n v="1"/>
    <n v="45"/>
    <x v="1"/>
    <d v="2021-01-08T00:00:00"/>
    <n v="1"/>
    <n v="2021"/>
    <n v="1628"/>
    <n v="-1628"/>
    <n v="0"/>
    <n v="169708.29999999996"/>
    <s v="PD Chq"/>
    <s v="PD Chq 10/1/21, RM2,008/-"/>
    <m/>
  </r>
  <r>
    <d v="2020-11-24T00:00:00"/>
    <n v="11"/>
    <x v="1"/>
    <s v="INV2020/00000058"/>
    <s v="C00000003"/>
    <x v="2"/>
    <s v="RA Talcum Powder (25Kg)"/>
    <n v="3"/>
    <n v="45"/>
    <x v="1"/>
    <d v="2021-01-08T00:00:00"/>
    <n v="1"/>
    <n v="2021"/>
    <n v="150"/>
    <n v="-150"/>
    <n v="0"/>
    <n v="169858.29999999996"/>
    <s v="PD Chq"/>
    <s v="PD Chq 10/1/21, RM2,008/-"/>
    <m/>
  </r>
  <r>
    <d v="2020-11-24T00:00:00"/>
    <n v="11"/>
    <x v="1"/>
    <s v="INV2020/00000058"/>
    <s v="C00000003"/>
    <x v="2"/>
    <s v="RA Butanox M50 (5Kg)"/>
    <n v="2"/>
    <n v="45"/>
    <x v="1"/>
    <d v="2021-01-08T00:00:00"/>
    <n v="1"/>
    <n v="2021"/>
    <n v="185"/>
    <n v="-185"/>
    <n v="0"/>
    <n v="170043.29999999996"/>
    <s v="PD Chq"/>
    <s v="PD Chq 10/1/21, RM2,008/-"/>
    <m/>
  </r>
  <r>
    <d v="2020-11-24T00:00:00"/>
    <n v="11"/>
    <x v="1"/>
    <s v="INV2020/00000058"/>
    <s v="C00000003"/>
    <x v="2"/>
    <s v="RA Miracle Gloss Wax"/>
    <n v="1"/>
    <n v="45"/>
    <x v="1"/>
    <d v="2021-01-08T00:00:00"/>
    <n v="1"/>
    <n v="2021"/>
    <n v="45"/>
    <n v="-45"/>
    <n v="0"/>
    <n v="170088.29999999996"/>
    <s v="PD Chq"/>
    <s v="PD Chq 10/1/21, RM2,008/-"/>
    <m/>
  </r>
  <r>
    <d v="2020-11-27T00:00:00"/>
    <n v="11"/>
    <x v="1"/>
    <s v="INV2020/00000059"/>
    <s v="C00000001"/>
    <x v="0"/>
    <s v="RA Nor 3338W (220Kg)"/>
    <n v="1"/>
    <s v="Cash"/>
    <x v="0"/>
    <d v="2020-11-27T00:00:00"/>
    <n v="11"/>
    <n v="2020"/>
    <n v="1584"/>
    <n v="-1584"/>
    <n v="0"/>
    <n v="171672.29999999996"/>
    <s v="Trsf"/>
    <s v="Trsf 5/12/2020"/>
    <m/>
  </r>
  <r>
    <d v="2020-11-27T00:00:00"/>
    <n v="11"/>
    <x v="1"/>
    <s v="INV2020/00000059"/>
    <s v="C00000001"/>
    <x v="0"/>
    <s v="RA CSM 450 GSM TWL 30kg 64m(L) X 1040mm(W)"/>
    <n v="4"/>
    <s v="Cash"/>
    <x v="0"/>
    <d v="2020-11-27T00:00:00"/>
    <n v="11"/>
    <n v="2020"/>
    <n v="840"/>
    <n v="-840"/>
    <n v="0"/>
    <n v="172512.29999999996"/>
    <s v="Trsf"/>
    <s v="Trsf 5/12/2020"/>
    <m/>
  </r>
  <r>
    <d v="2020-11-28T00:00:00"/>
    <n v="11"/>
    <x v="1"/>
    <s v="INV2020/00000060"/>
    <s v="C00000009"/>
    <x v="8"/>
    <s v="RA Gelcoat GP-H (20Kg)"/>
    <n v="2"/>
    <n v="60"/>
    <x v="3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n v="11"/>
    <x v="1"/>
    <s v="INV2020/00000061"/>
    <s v="C00000008"/>
    <x v="7"/>
    <s v="RA Gelcoat GP-H (20Kg)"/>
    <n v="5"/>
    <s v="Cash"/>
    <x v="0"/>
    <d v="2020-11-30T00:00:00"/>
    <n v="11"/>
    <n v="2020"/>
    <n v="1050"/>
    <n v="-1050"/>
    <n v="0"/>
    <n v="173970.29999999996"/>
    <s v="Trsf"/>
    <m/>
    <m/>
  </r>
  <r>
    <d v="2020-11-30T00:00:00"/>
    <n v="11"/>
    <x v="1"/>
    <s v="INV2020/00000062"/>
    <s v="C00000010"/>
    <x v="9"/>
    <s v="RA Nor 3338W (220Kg)"/>
    <n v="5"/>
    <n v="120"/>
    <x v="2"/>
    <d v="2021-03-30T00:00:00"/>
    <n v="3"/>
    <n v="2021"/>
    <n v="6600"/>
    <n v="-6600"/>
    <n v="0"/>
    <n v="180570.29999999996"/>
    <s v="Trsf"/>
    <s v="Due 28/2/2020"/>
    <m/>
  </r>
  <r>
    <d v="2020-11-30T00:00:00"/>
    <n v="11"/>
    <x v="1"/>
    <s v="INV2020/00000062"/>
    <s v="C00000010"/>
    <x v="9"/>
    <s v="RA CSM 450 GSM TWL 30kg 64m(L) X 1040mm(W)"/>
    <n v="4"/>
    <n v="120"/>
    <x v="2"/>
    <d v="2021-03-30T00:00:00"/>
    <n v="3"/>
    <n v="2021"/>
    <n v="720"/>
    <n v="-720"/>
    <n v="0"/>
    <n v="181290.29999999996"/>
    <s v="Trsf"/>
    <s v="Due 28/2/2020"/>
    <m/>
  </r>
  <r>
    <d v="2020-11-30T00:00:00"/>
    <n v="11"/>
    <x v="1"/>
    <s v="INV2020/00000062"/>
    <s v="C00000010"/>
    <x v="9"/>
    <s v="RA Talcum Powder (25Kg)"/>
    <n v="5"/>
    <n v="120"/>
    <x v="2"/>
    <d v="2021-03-30T00:00:00"/>
    <n v="3"/>
    <n v="2021"/>
    <n v="275"/>
    <n v="-275"/>
    <n v="0"/>
    <n v="181565.29999999996"/>
    <s v="Trsf"/>
    <s v="Due 28/2/2020"/>
    <m/>
  </r>
  <r>
    <d v="2020-11-30T00:00:00"/>
    <n v="11"/>
    <x v="1"/>
    <s v="INV2020/00000062"/>
    <s v="C00000010"/>
    <x v="9"/>
    <s v="RA Butanox M50 (5Kg)"/>
    <n v="2"/>
    <n v="120"/>
    <x v="2"/>
    <d v="2021-03-30T00:00:00"/>
    <n v="3"/>
    <n v="2021"/>
    <n v="180"/>
    <n v="-180"/>
    <n v="0"/>
    <n v="181745.29999999996"/>
    <s v="Trsf"/>
    <s v="Due 28/2/2020"/>
    <m/>
  </r>
  <r>
    <d v="2020-11-30T00:00:00"/>
    <n v="11"/>
    <x v="1"/>
    <s v="INV2020/00000063"/>
    <s v="C00000010"/>
    <x v="9"/>
    <s v="RA Talcum Powder (25Kg)"/>
    <n v="5"/>
    <n v="120"/>
    <x v="2"/>
    <d v="2021-03-30T00:00:00"/>
    <n v="3"/>
    <n v="2021"/>
    <n v="275"/>
    <n v="-275"/>
    <n v="0"/>
    <n v="182020.29999999996"/>
    <s v="Trsf"/>
    <s v="Due 28/2/2020"/>
    <m/>
  </r>
  <r>
    <d v="2020-12-05T00:00:00"/>
    <n v="12"/>
    <x v="1"/>
    <s v="INV2020/00000064"/>
    <e v="#N/A"/>
    <x v="11"/>
    <s v="RA CSM 450 GSM 54kg 64m(L) X 1860mm(W)"/>
    <n v="2"/>
    <e v="#N/A"/>
    <x v="4"/>
    <e v="#N/A"/>
    <e v="#N/A"/>
    <e v="#N/A"/>
    <n v="799.2"/>
    <n v="-799.2"/>
    <n v="0"/>
    <n v="182819.49999999997"/>
    <e v="#N/A"/>
    <s v="Trsf 5/12/2020"/>
    <m/>
  </r>
  <r>
    <d v="2020-12-15T00:00:00"/>
    <n v="12"/>
    <x v="1"/>
    <s v="INV2020/00000065"/>
    <s v="C00000001"/>
    <x v="0"/>
    <s v="RA Resin 3317AW (220Kg)"/>
    <n v="1"/>
    <s v="Cash"/>
    <x v="0"/>
    <d v="2020-12-15T00:00:00"/>
    <n v="12"/>
    <n v="2020"/>
    <n v="1716"/>
    <n v="-1716"/>
    <n v="0"/>
    <n v="184535.49999999997"/>
    <s v="Trsf"/>
    <s v="Trsf 18/12/2020"/>
    <m/>
  </r>
  <r>
    <d v="2020-12-15T00:00:00"/>
    <n v="12"/>
    <x v="1"/>
    <s v="INV2020/00000065"/>
    <s v="C00000001"/>
    <x v="0"/>
    <s v="RA Gelcoat GS-S ISO (20kg)"/>
    <n v="2"/>
    <s v="Cash"/>
    <x v="0"/>
    <d v="2020-12-15T00:00:00"/>
    <n v="12"/>
    <n v="2020"/>
    <n v="512"/>
    <n v="-512"/>
    <n v="0"/>
    <n v="185047.49999999997"/>
    <s v="Trsf"/>
    <s v="Trsf 18/12/2020"/>
    <m/>
  </r>
  <r>
    <d v="2020-12-26T00:00:00"/>
    <n v="12"/>
    <x v="1"/>
    <s v="INV2020/00000066"/>
    <s v="C00000004"/>
    <x v="3"/>
    <s v="RA Norsodyne 3338NW (220Kg)"/>
    <n v="2"/>
    <n v="120"/>
    <x v="2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n v="12"/>
    <x v="1"/>
    <s v="INV2020/00000067"/>
    <s v="C00000003"/>
    <x v="2"/>
    <s v="RA Resin 3317AW (220Kg)"/>
    <n v="3"/>
    <n v="45"/>
    <x v="1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CSM 450 GSM 54kg 64m(L) X 1860mm(W)"/>
    <n v="1"/>
    <n v="45"/>
    <x v="1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Butanox M50 (5Kg)"/>
    <n v="6"/>
    <n v="45"/>
    <x v="1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n v="12"/>
    <x v="1"/>
    <s v="INV2020/00000068"/>
    <s v="C00000010"/>
    <x v="9"/>
    <s v="RA Norsodyne 3338W (220Kg)"/>
    <n v="5"/>
    <n v="120"/>
    <x v="2"/>
    <d v="2021-04-30T00:00:00"/>
    <n v="4"/>
    <n v="2021"/>
    <n v="7700"/>
    <n v="-7700"/>
    <n v="0"/>
    <n v="201715.49999999997"/>
    <s v="Trsf"/>
    <s v="Trsf 20/04/21"/>
    <m/>
  </r>
  <r>
    <d v="2020-12-31T00:00:00"/>
    <n v="12"/>
    <x v="1"/>
    <s v="INV2020/00000068"/>
    <s v="C00000010"/>
    <x v="9"/>
    <s v="RA CSM 450 30kg 79m(L) X 1040mm(W)"/>
    <n v="8"/>
    <n v="120"/>
    <x v="2"/>
    <d v="2021-04-30T00:00:00"/>
    <n v="4"/>
    <n v="2021"/>
    <n v="1680"/>
    <n v="-1680"/>
    <n v="0"/>
    <n v="203395.49999999997"/>
    <s v="Trsf"/>
    <s v="Trsf 20/04/21"/>
    <m/>
  </r>
  <r>
    <d v="2020-12-31T00:00:00"/>
    <n v="12"/>
    <x v="1"/>
    <s v="INV2020/00000068"/>
    <s v="C00000010"/>
    <x v="9"/>
    <s v="RA Talcum Powder (25Kg)"/>
    <n v="10"/>
    <n v="120"/>
    <x v="2"/>
    <d v="2021-04-30T00:00:00"/>
    <n v="4"/>
    <n v="2021"/>
    <n v="550"/>
    <n v="-550"/>
    <n v="0"/>
    <n v="203945.49999999997"/>
    <s v="Trsf"/>
    <s v="Trsf 20/04/21"/>
    <m/>
  </r>
  <r>
    <d v="2020-12-31T00:00:00"/>
    <n v="12"/>
    <x v="1"/>
    <s v="INV2020/00000068"/>
    <s v="C00000010"/>
    <x v="9"/>
    <s v="RA Butanox M50 (5Kg)"/>
    <n v="2"/>
    <n v="120"/>
    <x v="2"/>
    <d v="2021-04-30T00:00:00"/>
    <n v="4"/>
    <n v="2021"/>
    <n v="190"/>
    <n v="-190"/>
    <n v="0"/>
    <n v="204135.49999999997"/>
    <s v="Trsf"/>
    <s v="Trsf 20/04/21"/>
    <m/>
  </r>
  <r>
    <d v="2021-01-04T00:00:00"/>
    <n v="1"/>
    <x v="2"/>
    <s v="INV2020/00000069"/>
    <s v="C00000013a"/>
    <x v="12"/>
    <s v="RA Tooling Gelcoat RP92 (22Kg)"/>
    <n v="2"/>
    <s v="Cash"/>
    <x v="0"/>
    <d v="2021-01-04T00:00:00"/>
    <n v="1"/>
    <n v="2021"/>
    <n v="1540"/>
    <n v="-1540"/>
    <n v="0"/>
    <n v="205675.49999999997"/>
    <s v="Chq"/>
    <s v="Bank in 2-5/1/2021"/>
    <m/>
  </r>
  <r>
    <d v="2021-01-04T00:00:00"/>
    <n v="1"/>
    <x v="2"/>
    <s v="INV2020/00000069"/>
    <s v="C00000013a"/>
    <x v="12"/>
    <s v="RA CSM 450 54kg 64m(L) X 1860mm(W)"/>
    <n v="2"/>
    <s v="Cash"/>
    <x v="0"/>
    <d v="2021-01-04T00:00:00"/>
    <n v="1"/>
    <n v="2021"/>
    <n v="810"/>
    <n v="-810"/>
    <n v="0"/>
    <n v="206485.49999999997"/>
    <s v="Chq"/>
    <s v="Bank in 2-5/1/2021"/>
    <m/>
  </r>
  <r>
    <d v="2021-01-04T00:00:00"/>
    <n v="1"/>
    <x v="2"/>
    <s v="INV2020/00000069"/>
    <s v="C00000013a"/>
    <x v="12"/>
    <s v="RA CSM 300 GSM 54Kg 96m(L) X 1860mm(W)"/>
    <n v="1"/>
    <s v="Cash"/>
    <x v="0"/>
    <d v="2021-01-04T00:00:00"/>
    <n v="1"/>
    <n v="2021"/>
    <n v="405"/>
    <n v="-405"/>
    <n v="0"/>
    <n v="206890.49999999997"/>
    <s v="Chq"/>
    <s v="Bank in 2-5/1/2021"/>
    <m/>
  </r>
  <r>
    <d v="2021-01-04T00:00:00"/>
    <n v="1"/>
    <x v="2"/>
    <s v="INV2020/00000069"/>
    <s v="C00000013a"/>
    <x v="12"/>
    <s v="RA Vinlyeter Resin (200Kg)"/>
    <n v="2"/>
    <s v="Cash"/>
    <x v="0"/>
    <d v="2021-01-04T00:00:00"/>
    <n v="1"/>
    <n v="2021"/>
    <n v="5920"/>
    <n v="-5920"/>
    <n v="0"/>
    <n v="212810.49999999997"/>
    <s v="Chq"/>
    <s v="Bank in 2-5/1/2021"/>
    <m/>
  </r>
  <r>
    <d v="2021-01-04T00:00:00"/>
    <n v="1"/>
    <x v="2"/>
    <s v="INV2020/00000069"/>
    <s v="C00000013a"/>
    <x v="12"/>
    <s v="RA Mirror Glaze Mold Release "/>
    <n v="3"/>
    <s v="Cash"/>
    <x v="0"/>
    <d v="2021-01-04T00:00:00"/>
    <n v="1"/>
    <n v="2021"/>
    <n v="135"/>
    <n v="-135"/>
    <n v="0"/>
    <n v="212945.49999999997"/>
    <s v="Chq"/>
    <s v="Bank in 2-5/1/2021"/>
    <m/>
  </r>
  <r>
    <d v="2021-01-04T00:00:00"/>
    <n v="1"/>
    <x v="2"/>
    <s v="INV2020/00000069"/>
    <s v="C00000013a"/>
    <x v="12"/>
    <s v="RA Pigment H 2006 Dark Grey (5Kg)"/>
    <n v="1"/>
    <s v="Cash"/>
    <x v="0"/>
    <d v="2021-01-04T00:00:00"/>
    <n v="1"/>
    <n v="2021"/>
    <n v="130"/>
    <n v="-130"/>
    <n v="0"/>
    <n v="213075.49999999997"/>
    <s v="Chq"/>
    <s v="Bank in 2-5/1/2021"/>
    <m/>
  </r>
  <r>
    <d v="2021-01-04T00:00:00"/>
    <n v="1"/>
    <x v="2"/>
    <s v="INV2020/00000069"/>
    <s v="C00000013a"/>
    <x v="12"/>
    <s v="RA Deawa DW-5213"/>
    <n v="1"/>
    <s v="Cash"/>
    <x v="0"/>
    <d v="2021-01-04T00:00:00"/>
    <n v="1"/>
    <n v="2021"/>
    <n v="380"/>
    <n v="-380"/>
    <n v="0"/>
    <n v="213455.49999999997"/>
    <s v="Chq"/>
    <s v="Bank in 2-5/1/2021"/>
    <m/>
  </r>
  <r>
    <d v="2021-01-04T00:00:00"/>
    <n v="1"/>
    <x v="2"/>
    <s v="INV2020/00000069"/>
    <s v="C00000013a"/>
    <x v="12"/>
    <s v="RA Pigment H 7001 Bright Orange (5Kg)"/>
    <n v="1"/>
    <s v="Cash"/>
    <x v="0"/>
    <d v="2021-01-04T00:00:00"/>
    <n v="1"/>
    <n v="2021"/>
    <n v="180"/>
    <n v="-180"/>
    <n v="0"/>
    <n v="213635.49999999997"/>
    <s v="Chq"/>
    <s v="Bank in 2-5/1/2021"/>
    <m/>
  </r>
  <r>
    <d v="2021-01-04T00:00:00"/>
    <n v="1"/>
    <x v="2"/>
    <s v="INV2020/00000069"/>
    <s v="C00000013a"/>
    <x v="12"/>
    <s v="RA Steel Roller 3&quot;"/>
    <n v="3"/>
    <s v="Cash"/>
    <x v="0"/>
    <d v="2021-01-04T00:00:00"/>
    <n v="1"/>
    <n v="2021"/>
    <n v="144"/>
    <n v="-144"/>
    <n v="0"/>
    <n v="213779.49999999997"/>
    <s v="Chq"/>
    <s v="Bank in 2-5/1/2021"/>
    <m/>
  </r>
  <r>
    <d v="2021-01-04T00:00:00"/>
    <n v="1"/>
    <x v="2"/>
    <s v="INV2020/00000069"/>
    <s v="C00000013a"/>
    <x v="12"/>
    <s v="RA Aerosil (Silica Fume) (10Kg)"/>
    <n v="1"/>
    <s v="Cash"/>
    <x v="0"/>
    <d v="2021-01-04T00:00:00"/>
    <n v="1"/>
    <n v="2021"/>
    <n v="360"/>
    <n v="-360"/>
    <n v="0"/>
    <n v="214139.49999999997"/>
    <s v="Chq"/>
    <s v="Bank in 2-5/1/2021"/>
    <m/>
  </r>
  <r>
    <d v="2021-01-04T00:00:00"/>
    <n v="1"/>
    <x v="2"/>
    <s v="INV2020/00000069"/>
    <s v="C00000013a"/>
    <x v="12"/>
    <s v="RA Butanox M50 (5Kg)"/>
    <n v="1"/>
    <s v="Cash"/>
    <x v="0"/>
    <d v="2021-01-04T00:00:00"/>
    <n v="1"/>
    <n v="2021"/>
    <n v="95"/>
    <n v="-95"/>
    <n v="0"/>
    <n v="214234.49999999997"/>
    <s v="Chq"/>
    <s v="Bank in 2-5/1/2021"/>
    <m/>
  </r>
  <r>
    <d v="2021-01-04T00:00:00"/>
    <n v="1"/>
    <x v="2"/>
    <s v="INV2020/00000069"/>
    <s v="C00000013a"/>
    <x v="12"/>
    <s v="RA Accelerator (4Kg)"/>
    <n v="1"/>
    <s v="Cash"/>
    <x v="0"/>
    <d v="2021-01-04T00:00:00"/>
    <n v="1"/>
    <n v="2021"/>
    <n v="300"/>
    <n v="-300"/>
    <n v="0"/>
    <n v="214534.49999999997"/>
    <s v="Chq"/>
    <s v="Bank in 2-5/1/2021"/>
    <m/>
  </r>
  <r>
    <d v="2021-01-11T00:00:00"/>
    <n v="1"/>
    <x v="2"/>
    <s v="INV2020/00000070"/>
    <s v="C00000010"/>
    <x v="9"/>
    <s v="RA Styrene Monomer (6Kg)"/>
    <n v="1"/>
    <n v="120"/>
    <x v="2"/>
    <d v="2021-05-11T00:00:00"/>
    <n v="5"/>
    <n v="2021"/>
    <n v="0"/>
    <n v="0"/>
    <n v="0"/>
    <n v="214534.49999999997"/>
    <s v="Trsf"/>
    <s v="FOC"/>
    <m/>
  </r>
  <r>
    <d v="2021-01-08T00:00:00"/>
    <n v="1"/>
    <x v="2"/>
    <s v="INV2020/00000071"/>
    <s v="C00000013a"/>
    <x v="12"/>
    <s v="RA Steel Roller 4&quot;"/>
    <n v="3"/>
    <s v="Cash"/>
    <x v="0"/>
    <d v="2021-01-08T00:00:00"/>
    <n v="1"/>
    <n v="2021"/>
    <n v="49"/>
    <n v="-49"/>
    <n v="0"/>
    <n v="214583.49999999997"/>
    <s v="Chq"/>
    <s v="Bank in 18-19/1/2021"/>
    <m/>
  </r>
  <r>
    <d v="2021-01-09T00:00:00"/>
    <n v="1"/>
    <x v="2"/>
    <s v="INV2020/00000072"/>
    <s v="C00000003"/>
    <x v="2"/>
    <s v="RA Talcum Powder (25Kg)"/>
    <n v="5"/>
    <n v="45"/>
    <x v="1"/>
    <d v="2021-02-23T00:00:00"/>
    <n v="2"/>
    <n v="2021"/>
    <n v="250"/>
    <n v="-250"/>
    <n v="0"/>
    <n v="214833.49999999997"/>
    <s v="PD Chq"/>
    <s v="Cash 9/1/2021"/>
    <m/>
  </r>
  <r>
    <d v="2021-01-09T00:00:00"/>
    <n v="1"/>
    <x v="2"/>
    <s v="INV2020/00000072"/>
    <s v="C00000003"/>
    <x v="2"/>
    <s v="RA Miracle Gloss Wax"/>
    <n v="2"/>
    <n v="45"/>
    <x v="1"/>
    <d v="2021-02-23T00:00:00"/>
    <n v="2"/>
    <n v="2021"/>
    <n v="90"/>
    <n v="-90"/>
    <n v="0"/>
    <n v="214923.49999999997"/>
    <s v="PD Chq"/>
    <s v="Cash 9/1/2021"/>
    <m/>
  </r>
  <r>
    <d v="2021-01-18T00:00:00"/>
    <n v="1"/>
    <x v="2"/>
    <s v="INV2020/00000073"/>
    <s v="C00000013a"/>
    <x v="12"/>
    <s v="RA Gelcoat GP-H (20Kg)"/>
    <n v="2"/>
    <s v="Cash"/>
    <x v="0"/>
    <d v="2021-01-18T00:00:00"/>
    <n v="1"/>
    <n v="2021"/>
    <n v="472"/>
    <n v="-472"/>
    <n v="0"/>
    <n v="215395.49999999997"/>
    <s v="Chq"/>
    <s v="Bank in 18-19/1/2021"/>
    <m/>
  </r>
  <r>
    <d v="2021-01-18T00:00:00"/>
    <n v="1"/>
    <x v="2"/>
    <s v="INV2020/00000073"/>
    <s v="C00000013a"/>
    <x v="12"/>
    <s v="RA CSM 450 54kg 64m(L) X 1860mm(W)"/>
    <n v="1"/>
    <s v="Cash"/>
    <x v="0"/>
    <d v="2021-01-18T00:00:00"/>
    <n v="1"/>
    <n v="2021"/>
    <n v="405"/>
    <n v="-405"/>
    <n v="0"/>
    <n v="215800.49999999997"/>
    <s v="Chq"/>
    <s v="Bank in 18-19/1/2021"/>
    <m/>
  </r>
  <r>
    <d v="2021-01-18T00:00:00"/>
    <n v="1"/>
    <x v="2"/>
    <s v="INV2020/00000073"/>
    <s v="C00000013a"/>
    <x v="12"/>
    <s v="RA CSM 300 GSM 54Kg 96m(L) X 1860mm(W)"/>
    <n v="1"/>
    <s v="Cash"/>
    <x v="0"/>
    <d v="2021-01-18T00:00:00"/>
    <n v="1"/>
    <n v="2021"/>
    <n v="405"/>
    <n v="-405"/>
    <n v="0"/>
    <n v="216205.49999999997"/>
    <s v="Chq"/>
    <s v="Bank in 18-19/1/2021"/>
    <m/>
  </r>
  <r>
    <d v="2021-01-18T00:00:00"/>
    <n v="1"/>
    <x v="2"/>
    <s v="INV2020/00000073"/>
    <s v="C00000013a"/>
    <x v="12"/>
    <s v="RA Pigment H 2006 Dark Grey (5Kg)"/>
    <n v="1"/>
    <s v="Cash"/>
    <x v="0"/>
    <d v="2021-01-18T00:00:00"/>
    <n v="1"/>
    <n v="2021"/>
    <n v="130"/>
    <n v="-130"/>
    <n v="0"/>
    <n v="216335.49999999997"/>
    <s v="Chq"/>
    <s v="Bank in 18-19/1/2021"/>
    <m/>
  </r>
  <r>
    <d v="2021-01-18T00:00:00"/>
    <n v="1"/>
    <x v="2"/>
    <s v="INV2020/00000073"/>
    <s v="C00000013a"/>
    <x v="12"/>
    <s v="RA Miracle Gloss Wax"/>
    <n v="2"/>
    <s v="Cash"/>
    <x v="0"/>
    <d v="2021-01-18T00:00:00"/>
    <n v="1"/>
    <n v="2021"/>
    <n v="90"/>
    <n v="-90"/>
    <n v="0"/>
    <n v="216425.49999999997"/>
    <s v="Chq"/>
    <s v="Bank in 18-19/1/2021"/>
    <m/>
  </r>
  <r>
    <d v="2021-01-18T00:00:00"/>
    <n v="1"/>
    <x v="2"/>
    <s v="INV2020/00000073"/>
    <s v="C00000013a"/>
    <x v="12"/>
    <s v="RA Butanox M50 (5Kg)"/>
    <n v="2"/>
    <s v="Cash"/>
    <x v="0"/>
    <d v="2021-01-18T00:00:00"/>
    <n v="1"/>
    <n v="2021"/>
    <n v="190"/>
    <n v="-190"/>
    <n v="0"/>
    <n v="216615.49999999997"/>
    <s v="Chq"/>
    <s v="Bank in 18-19/1/2021"/>
    <m/>
  </r>
  <r>
    <d v="2021-01-18T00:00:00"/>
    <n v="1"/>
    <x v="2"/>
    <s v="INV2020/00000073"/>
    <s v="C00000013a"/>
    <x v="12"/>
    <s v="RA Norsodyne 3338W (220Kg)"/>
    <n v="1"/>
    <s v="Cash"/>
    <x v="0"/>
    <d v="2021-01-18T00:00:00"/>
    <n v="1"/>
    <n v="2021"/>
    <n v="1716"/>
    <n v="-1716"/>
    <n v="0"/>
    <n v="218331.49999999997"/>
    <s v="Chq"/>
    <s v="Bank in 18-19/1/2021"/>
    <m/>
  </r>
  <r>
    <d v="2021-01-27T00:00:00"/>
    <n v="1"/>
    <x v="2"/>
    <s v="INV2020/00000074"/>
    <s v="C00000003"/>
    <x v="2"/>
    <s v="RA Resin 3317AW (220Kg)"/>
    <n v="3"/>
    <n v="45"/>
    <x v="1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Talcum Powder (25Kg)"/>
    <n v="5"/>
    <n v="45"/>
    <x v="1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Butanox M50 (5kg)"/>
    <n v="6"/>
    <n v="45"/>
    <x v="1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n v="1"/>
    <x v="2"/>
    <s v="INV2020/00000075"/>
    <s v="C00000001"/>
    <x v="0"/>
    <s v="RA Nor 3338W (220Kg)"/>
    <n v="1"/>
    <s v="Cash"/>
    <x v="0"/>
    <d v="2021-01-29T00:00:00"/>
    <n v="1"/>
    <n v="2021"/>
    <n v="1694"/>
    <n v="-1694"/>
    <n v="0"/>
    <n v="225912.49999999997"/>
    <s v="Trsf"/>
    <s v="Trsf 1/2/2021"/>
    <m/>
  </r>
  <r>
    <d v="2021-01-29T00:00:00"/>
    <n v="1"/>
    <x v="2"/>
    <s v="INV2020/00000075"/>
    <s v="C00000001"/>
    <x v="0"/>
    <s v="RA CSM 450 GSM TWL 30kg 64m(L) X 1040mm(W)"/>
    <n v="4"/>
    <s v="Cash"/>
    <x v="0"/>
    <d v="2021-01-29T00:00:00"/>
    <n v="1"/>
    <n v="2021"/>
    <n v="900"/>
    <n v="-900"/>
    <n v="0"/>
    <n v="226812.49999999997"/>
    <s v="Trsf"/>
    <s v="Trsf 1/2/2021"/>
    <m/>
  </r>
  <r>
    <d v="2021-01-29T00:00:00"/>
    <n v="1"/>
    <x v="2"/>
    <s v="INV2020/00000075"/>
    <s v="C00000001"/>
    <x v="0"/>
    <s v="RC Woven Roving E-800 40Kg 1000mm"/>
    <n v="1"/>
    <s v="Cash"/>
    <x v="0"/>
    <d v="2021-01-29T00:00:00"/>
    <n v="1"/>
    <n v="2021"/>
    <n v="272"/>
    <n v="-272"/>
    <n v="0"/>
    <n v="227084.49999999997"/>
    <s v="Trsf"/>
    <s v="Trsf 1/2/2021"/>
    <m/>
  </r>
  <r>
    <d v="2021-01-29T00:00:00"/>
    <n v="1"/>
    <x v="2"/>
    <s v="INV2020/00000076"/>
    <s v="C00000010"/>
    <x v="9"/>
    <s v="RA Norsodyne 3338W (220Kg)"/>
    <n v="5"/>
    <n v="120"/>
    <x v="2"/>
    <d v="2021-05-29T00:00:00"/>
    <n v="5"/>
    <n v="2021"/>
    <n v="7700"/>
    <n v="-7700"/>
    <n v="0"/>
    <n v="234784.49999999997"/>
    <s v="Trsf"/>
    <s v="Trsf 21/5/2021"/>
    <m/>
  </r>
  <r>
    <d v="2021-01-29T00:00:00"/>
    <n v="1"/>
    <x v="2"/>
    <s v="INV2020/00000076"/>
    <s v="C00000010"/>
    <x v="9"/>
    <s v="RA CSM 450 30kg 79m(L) X 1040mm(W)"/>
    <n v="8"/>
    <n v="120"/>
    <x v="2"/>
    <d v="2021-05-29T00:00:00"/>
    <n v="5"/>
    <n v="2021"/>
    <n v="1680"/>
    <n v="-1680"/>
    <n v="0"/>
    <n v="236464.49999999997"/>
    <s v="Trsf"/>
    <s v="Trsf 21/5/2021"/>
    <m/>
  </r>
  <r>
    <d v="2021-01-29T00:00:00"/>
    <n v="1"/>
    <x v="2"/>
    <s v="INV2020/00000076"/>
    <s v="C00000010"/>
    <x v="9"/>
    <s v="RA Talcum Powder (25kg)"/>
    <n v="10"/>
    <n v="120"/>
    <x v="2"/>
    <d v="2021-05-29T00:00:00"/>
    <n v="5"/>
    <n v="2021"/>
    <n v="550"/>
    <n v="-550"/>
    <n v="0"/>
    <n v="237014.49999999997"/>
    <s v="Trsf"/>
    <s v="Trsf 21/5/2021"/>
    <m/>
  </r>
  <r>
    <d v="2021-01-29T00:00:00"/>
    <n v="1"/>
    <x v="2"/>
    <s v="INV2020/00000076"/>
    <s v="C00000010"/>
    <x v="9"/>
    <s v="RA Butanox M50 (5kg)"/>
    <n v="4"/>
    <n v="120"/>
    <x v="2"/>
    <d v="2021-05-29T00:00:00"/>
    <n v="5"/>
    <n v="2021"/>
    <n v="380"/>
    <n v="-380"/>
    <n v="0"/>
    <n v="237394.49999999997"/>
    <s v="Trsf"/>
    <s v="Trsf 21/5/2021"/>
    <m/>
  </r>
  <r>
    <d v="2021-02-03T00:00:00"/>
    <n v="2"/>
    <x v="2"/>
    <s v="INV2020/00000077"/>
    <s v="C00000014"/>
    <x v="13"/>
    <s v="RA Resin 3317AW (220Kg)"/>
    <n v="2"/>
    <s v="Cash"/>
    <x v="0"/>
    <d v="2021-02-03T00:00:00"/>
    <n v="2"/>
    <n v="2021"/>
    <n v="3344"/>
    <n v="-3344"/>
    <n v="0"/>
    <n v="240738.49999999997"/>
    <s v="Cash"/>
    <s v="Cash 3/2/2021"/>
    <m/>
  </r>
  <r>
    <d v="2021-02-03T00:00:00"/>
    <n v="2"/>
    <x v="2"/>
    <s v="INV2020/00000077"/>
    <s v="C00000014"/>
    <x v="13"/>
    <s v="RA CSM 450 GSM TWL 30kg 64m(L) X 1040mm(W)"/>
    <n v="5"/>
    <s v="Cash"/>
    <x v="0"/>
    <d v="2021-02-03T00:00:00"/>
    <n v="2"/>
    <n v="2021"/>
    <n v="1125"/>
    <n v="-1125"/>
    <n v="0"/>
    <n v="241863.49999999997"/>
    <s v="Cash"/>
    <s v="Cash 3/2/2021"/>
    <m/>
  </r>
  <r>
    <d v="2021-02-03T00:00:00"/>
    <n v="2"/>
    <x v="2"/>
    <s v="INV2020/00000077"/>
    <s v="C00000014"/>
    <x v="13"/>
    <s v="RC Woven Roving E-800 1000mm (40Kg)"/>
    <n v="1"/>
    <s v="Cash"/>
    <x v="0"/>
    <d v="2021-02-03T00:00:00"/>
    <n v="2"/>
    <n v="2021"/>
    <n v="280"/>
    <n v="-280"/>
    <n v="0"/>
    <n v="242143.49999999997"/>
    <s v="Cash"/>
    <s v="Cash 3/2/2021"/>
    <m/>
  </r>
  <r>
    <d v="2021-02-03T00:00:00"/>
    <n v="2"/>
    <x v="2"/>
    <s v="INV2020/00000077"/>
    <s v="C00000014"/>
    <x v="13"/>
    <s v="RA Butanox M50 (5kg)"/>
    <n v="2"/>
    <s v="Cash"/>
    <x v="0"/>
    <d v="2021-02-03T00:00:00"/>
    <n v="2"/>
    <n v="2021"/>
    <n v="195"/>
    <n v="-195"/>
    <n v="0"/>
    <n v="242338.49999999997"/>
    <s v="Cash"/>
    <s v="Cash 3/2/2021"/>
    <m/>
  </r>
  <r>
    <d v="2021-02-03T00:00:00"/>
    <n v="2"/>
    <x v="2"/>
    <s v="INV2020/00000077"/>
    <s v="C00000014"/>
    <x v="13"/>
    <s v="RA Miracle Gloss Wax"/>
    <n v="4"/>
    <s v="Cash"/>
    <x v="0"/>
    <d v="2021-02-03T00:00:00"/>
    <n v="2"/>
    <n v="2021"/>
    <n v="180"/>
    <n v="-180"/>
    <n v="0"/>
    <n v="242518.49999999997"/>
    <s v="Cash"/>
    <s v="Cash 3/2/2021"/>
    <m/>
  </r>
  <r>
    <d v="2021-02-03T00:00:00"/>
    <n v="2"/>
    <x v="2"/>
    <s v="INV2020/00000077"/>
    <s v="C00000014"/>
    <x v="13"/>
    <s v="RA Gelcoat GP-H (20kg)"/>
    <n v="1"/>
    <s v="Cash"/>
    <x v="0"/>
    <d v="2021-02-03T00:00:00"/>
    <n v="2"/>
    <n v="2021"/>
    <n v="232"/>
    <n v="-232"/>
    <n v="0"/>
    <n v="242750.49999999997"/>
    <s v="Cash"/>
    <s v="Cash 3/2/2021"/>
    <m/>
  </r>
  <r>
    <d v="2021-02-02T00:00:00"/>
    <n v="2"/>
    <x v="2"/>
    <s v="INV2020/00000078"/>
    <s v="C00000005"/>
    <x v="4"/>
    <s v="RA Resin 3317AW (220Kg)"/>
    <n v="1"/>
    <s v="Cash"/>
    <x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n v="2"/>
    <x v="2"/>
    <s v="INV2020/00000078"/>
    <s v="C00000005"/>
    <x v="4"/>
    <s v="RA Butanox M50 (5kg)"/>
    <n v="1"/>
    <s v="Cash"/>
    <x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n v="2"/>
    <x v="2"/>
    <s v="INV2020/00000079"/>
    <s v="C00000014"/>
    <x v="13"/>
    <s v="RA Pigment Super White (5Kg)"/>
    <n v="1"/>
    <s v="Cash"/>
    <x v="0"/>
    <d v="2021-02-06T00:00:00"/>
    <n v="2"/>
    <n v="2021"/>
    <n v="130"/>
    <n v="-130"/>
    <n v="0"/>
    <n v="244630.49999999997"/>
    <s v="Cash"/>
    <s v="Cash 3/2/2021"/>
    <m/>
  </r>
  <r>
    <d v="2021-02-09T00:00:00"/>
    <n v="2"/>
    <x v="2"/>
    <s v="INV2020/00000080"/>
    <s v="C00000013a"/>
    <x v="12"/>
    <s v="RA Deawa DW-5213"/>
    <n v="1"/>
    <s v="Cash"/>
    <x v="0"/>
    <d v="2021-02-09T00:00:00"/>
    <n v="2"/>
    <n v="2021"/>
    <n v="380"/>
    <n v="-380"/>
    <n v="0"/>
    <n v="245010.49999999997"/>
    <s v="Chq"/>
    <s v="Trsf 8/2/2021"/>
    <m/>
  </r>
  <r>
    <d v="2021-02-09T00:00:00"/>
    <n v="2"/>
    <x v="2"/>
    <s v="INV2020/00000080"/>
    <s v="C00000013a"/>
    <x v="12"/>
    <s v="RA Gelcoat GP-H (20Kg)"/>
    <n v="2"/>
    <s v="Cash"/>
    <x v="0"/>
    <d v="2021-02-09T00:00:00"/>
    <n v="2"/>
    <n v="2021"/>
    <n v="472"/>
    <n v="-472"/>
    <n v="0"/>
    <n v="245482.49999999997"/>
    <s v="Chq"/>
    <s v="Trsf 8/2/2021"/>
    <m/>
  </r>
  <r>
    <d v="2021-02-09T00:00:00"/>
    <n v="2"/>
    <x v="2"/>
    <s v="INV2020/00000080"/>
    <s v="C00000013a"/>
    <x v="12"/>
    <s v="RA Resin 3317AW (220Kg)"/>
    <n v="1"/>
    <s v="Cash"/>
    <x v="0"/>
    <d v="2021-02-09T00:00:00"/>
    <n v="2"/>
    <n v="2021"/>
    <n v="1716"/>
    <n v="-1716"/>
    <n v="0"/>
    <n v="247198.49999999997"/>
    <s v="Chq"/>
    <s v="Trsf 8/2/2021"/>
    <m/>
  </r>
  <r>
    <d v="2021-02-09T00:00:00"/>
    <n v="2"/>
    <x v="2"/>
    <s v="INV2020/00000080"/>
    <s v="C00000013a"/>
    <x v="12"/>
    <s v="RA CSM 450 54kg 64m(L) X 1860mm(W)"/>
    <n v="1"/>
    <s v="Cash"/>
    <x v="0"/>
    <d v="2021-02-09T00:00:00"/>
    <n v="2"/>
    <n v="2021"/>
    <n v="405"/>
    <n v="-405"/>
    <n v="0"/>
    <n v="247603.49999999997"/>
    <s v="Chq"/>
    <s v="Trsf 8/2/2021"/>
    <m/>
  </r>
  <r>
    <d v="2021-02-09T00:00:00"/>
    <n v="2"/>
    <x v="2"/>
    <s v="INV2020/00000080"/>
    <s v="C00000013a"/>
    <x v="12"/>
    <s v="RA Butanox M50 (5Kg)"/>
    <n v="1"/>
    <s v="Cash"/>
    <x v="0"/>
    <d v="2021-02-09T00:00:00"/>
    <n v="2"/>
    <n v="2021"/>
    <n v="95"/>
    <n v="-95"/>
    <n v="0"/>
    <n v="247698.49999999997"/>
    <s v="Chq"/>
    <s v="Trsf 9/2/2021"/>
    <m/>
  </r>
  <r>
    <d v="2021-02-09T00:00:00"/>
    <n v="2"/>
    <x v="2"/>
    <s v="INV2020/00000080"/>
    <s v="C00000013a"/>
    <x v="12"/>
    <s v="RA Pigment H 2006 Dark Grey (5Kg)"/>
    <n v="1"/>
    <s v="Cash"/>
    <x v="0"/>
    <d v="2021-02-09T00:00:00"/>
    <n v="2"/>
    <n v="2021"/>
    <n v="130"/>
    <n v="-130"/>
    <n v="0"/>
    <n v="247828.49999999997"/>
    <s v="Chq"/>
    <s v="Trsf 9/2/2021"/>
    <m/>
  </r>
  <r>
    <d v="2021-02-17T00:00:00"/>
    <n v="2"/>
    <x v="2"/>
    <s v="INV2020/00000081"/>
    <s v="C00000005"/>
    <x v="4"/>
    <s v="RA CSM 450 GSM TWL 30kg 64m(L) X 1040mm(W)"/>
    <n v="1"/>
    <s v="Cash"/>
    <x v="0"/>
    <d v="2021-02-17T00:00:00"/>
    <n v="2"/>
    <n v="2021"/>
    <n v="225"/>
    <n v="-225"/>
    <n v="0"/>
    <n v="248053.49999999997"/>
    <s v="Chq"/>
    <m/>
    <m/>
  </r>
  <r>
    <d v="2021-02-19T00:00:00"/>
    <n v="2"/>
    <x v="2"/>
    <s v="INV2020/00000082"/>
    <s v="C00000001"/>
    <x v="0"/>
    <s v="RA Resin 3317AW (220Kg)"/>
    <n v="1"/>
    <s v="Cash"/>
    <x v="0"/>
    <d v="2021-02-19T00:00:00"/>
    <n v="2"/>
    <n v="2021"/>
    <n v="1694"/>
    <n v="-1694"/>
    <n v="0"/>
    <n v="249747.49999999997"/>
    <s v="Trsf"/>
    <s v="Trsf 26/2/2021"/>
    <m/>
  </r>
  <r>
    <d v="2021-02-24T00:00:00"/>
    <n v="2"/>
    <x v="2"/>
    <s v="INV2020/00000083"/>
    <s v="C00000004"/>
    <x v="3"/>
    <s v="RA Nor 3338W (220Kg)"/>
    <n v="5"/>
    <n v="120"/>
    <x v="2"/>
    <d v="2021-06-24T00:00:00"/>
    <n v="6"/>
    <n v="2021"/>
    <n v="7370"/>
    <n v="-7370"/>
    <n v="0"/>
    <n v="257117.49999999997"/>
    <s v="Chq"/>
    <s v="Chq Cleared 2/8/2021"/>
    <m/>
  </r>
  <r>
    <d v="2021-02-24T00:00:00"/>
    <n v="2"/>
    <x v="2"/>
    <s v="INV2020/00000083"/>
    <s v="C00000004"/>
    <x v="3"/>
    <s v="RA CSM 450 54kg 64m(L) X 1860mm(W)"/>
    <n v="3"/>
    <n v="120"/>
    <x v="2"/>
    <d v="2021-06-24T00:00:00"/>
    <n v="6"/>
    <n v="2021"/>
    <n v="1069.2"/>
    <n v="-1069.2"/>
    <n v="0"/>
    <n v="258186.69999999998"/>
    <s v="Chq"/>
    <s v="Chq Cleared 2/8/2021"/>
    <m/>
  </r>
  <r>
    <d v="2021-02-24T00:00:00"/>
    <n v="2"/>
    <x v="2"/>
    <s v="INV2020/00000083"/>
    <s v="C00000004"/>
    <x v="3"/>
    <s v="RA Butanox M50 (5Kg)"/>
    <n v="1"/>
    <n v="120"/>
    <x v="2"/>
    <d v="2021-06-24T00:00:00"/>
    <n v="6"/>
    <n v="2021"/>
    <n v="360"/>
    <n v="-360"/>
    <n v="0"/>
    <n v="258546.69999999998"/>
    <s v="Chq"/>
    <s v="Chq Cleared 2/8/2021"/>
    <m/>
  </r>
  <r>
    <d v="2021-02-24T00:00:00"/>
    <n v="2"/>
    <x v="2"/>
    <s v="INV2020/00000083"/>
    <s v="C00000004"/>
    <x v="3"/>
    <s v="RA Accelerator (4Kg)"/>
    <n v="1"/>
    <n v="120"/>
    <x v="2"/>
    <d v="2021-06-24T00:00:00"/>
    <n v="6"/>
    <n v="2021"/>
    <n v="312"/>
    <n v="-312"/>
    <n v="0"/>
    <n v="258858.69999999998"/>
    <s v="Chq"/>
    <s v="Chq Cleared 2/8/2021"/>
    <m/>
  </r>
  <r>
    <d v="2021-02-23T00:00:00"/>
    <n v="2"/>
    <x v="2"/>
    <s v="INV2020/00000084"/>
    <s v="C00000008"/>
    <x v="7"/>
    <s v="RA Gelcoat GP-H (20Kg)"/>
    <n v="4"/>
    <s v="Cash"/>
    <x v="0"/>
    <d v="2021-02-23T00:00:00"/>
    <n v="2"/>
    <n v="2021"/>
    <n v="920"/>
    <n v="-920"/>
    <n v="0"/>
    <n v="259778.69999999998"/>
    <s v="Trsf"/>
    <s v="Trsf 11/3/3021"/>
    <m/>
  </r>
  <r>
    <d v="2021-02-23T00:00:00"/>
    <n v="2"/>
    <x v="2"/>
    <s v="INV2020/00000084"/>
    <s v="C00000008"/>
    <x v="7"/>
    <s v="RA Butanox M50 (5Kg)"/>
    <n v="1"/>
    <s v="Cash"/>
    <x v="0"/>
    <d v="2021-02-23T00:00:00"/>
    <n v="2"/>
    <n v="2021"/>
    <n v="100"/>
    <n v="-100"/>
    <n v="0"/>
    <n v="259878.69999999998"/>
    <s v="Trsf"/>
    <s v="Trsf 11/3/3021"/>
    <m/>
  </r>
  <r>
    <d v="2021-02-23T00:00:00"/>
    <n v="2"/>
    <x v="2"/>
    <s v="INV2020/00000084"/>
    <s v="C00000008"/>
    <x v="7"/>
    <s v="Brush 2 1/2&quot; (12 pc)"/>
    <n v="3"/>
    <s v="Cash"/>
    <x v="0"/>
    <d v="2021-02-23T00:00:00"/>
    <n v="2"/>
    <n v="2021"/>
    <n v="180"/>
    <n v="-180"/>
    <n v="0"/>
    <n v="260058.69999999998"/>
    <s v="Trsf"/>
    <s v="Trsf 11/3/3021"/>
    <m/>
  </r>
  <r>
    <d v="2021-02-26T00:00:00"/>
    <n v="2"/>
    <x v="2"/>
    <s v="INV2020/00000085"/>
    <s v="C00000015"/>
    <x v="14"/>
    <s v="RA Nor 3338W (220Kg)"/>
    <n v="1"/>
    <s v="Cash"/>
    <x v="0"/>
    <d v="2021-02-26T00:00:00"/>
    <n v="2"/>
    <n v="2021"/>
    <n v="1694"/>
    <n v="-1694"/>
    <n v="0"/>
    <n v="261752.69999999998"/>
    <s v="Trsf"/>
    <s v="Trsf 27/2/2021"/>
    <m/>
  </r>
  <r>
    <d v="2021-02-26T00:00:00"/>
    <n v="2"/>
    <x v="2"/>
    <s v="INV2020/00000085"/>
    <s v="C00000015"/>
    <x v="14"/>
    <s v="RA CSM 450 GSM TWL 30kg 64m(L) X 1040mm(W)"/>
    <n v="1"/>
    <s v="Cash"/>
    <x v="0"/>
    <d v="2021-02-26T00:00:00"/>
    <n v="2"/>
    <n v="2021"/>
    <n v="228"/>
    <n v="-228"/>
    <n v="0"/>
    <n v="261980.69999999998"/>
    <s v="Trsf"/>
    <s v="Trsf 27/2/2021"/>
    <m/>
  </r>
  <r>
    <d v="2021-02-26T00:00:00"/>
    <n v="2"/>
    <x v="2"/>
    <s v="INV2020/00000085"/>
    <s v="C00000015"/>
    <x v="14"/>
    <s v="RA Butanox M50 (5kg)"/>
    <n v="1"/>
    <s v="Cash"/>
    <x v="0"/>
    <d v="2021-02-26T00:00:00"/>
    <n v="2"/>
    <n v="2021"/>
    <n v="100"/>
    <n v="-100"/>
    <n v="0"/>
    <n v="262080.69999999998"/>
    <s v="Trsf"/>
    <s v="Trsf 27/2/2021"/>
    <m/>
  </r>
  <r>
    <d v="2021-03-08T00:00:00"/>
    <n v="3"/>
    <x v="2"/>
    <s v="INV2020/00000086"/>
    <s v="C00000004"/>
    <x v="3"/>
    <s v="RA Nor 3338W (220Kg)"/>
    <n v="6"/>
    <n v="120"/>
    <x v="2"/>
    <d v="2021-07-06T00:00:00"/>
    <n v="7"/>
    <n v="2021"/>
    <n v="8976"/>
    <n v="-8976"/>
    <n v="0"/>
    <n v="271056.69999999995"/>
    <s v="Chq"/>
    <s v="Chq Cleared 13/9/2021"/>
    <m/>
  </r>
  <r>
    <d v="2021-03-08T00:00:00"/>
    <n v="3"/>
    <x v="2"/>
    <s v="INV2020/00000086"/>
    <s v="C00000004"/>
    <x v="3"/>
    <s v="RA Nor 3338NW (220Kg)"/>
    <n v="1"/>
    <n v="120"/>
    <x v="2"/>
    <d v="2021-07-06T00:00:00"/>
    <n v="7"/>
    <n v="2021"/>
    <n v="1496"/>
    <n v="-1496"/>
    <n v="0"/>
    <n v="272552.69999999995"/>
    <s v="Chq"/>
    <s v="Chq Cleared 13/9/2021"/>
    <m/>
  </r>
  <r>
    <d v="2021-03-08T00:00:00"/>
    <n v="3"/>
    <x v="2"/>
    <s v="INV2020/00000086"/>
    <s v="C00000004"/>
    <x v="3"/>
    <s v="RA CSM 450 GSM 54kg 64m(L) X 1860mm(W)"/>
    <n v="7"/>
    <n v="120"/>
    <x v="2"/>
    <d v="2021-07-06T00:00:00"/>
    <n v="7"/>
    <n v="2021"/>
    <n v="2532.6"/>
    <n v="-2532.6"/>
    <n v="0"/>
    <n v="275085.29999999993"/>
    <s v="Chq"/>
    <s v="Chq Cleared 13/9/2021"/>
    <m/>
  </r>
  <r>
    <d v="2021-03-08T00:00:00"/>
    <n v="3"/>
    <x v="2"/>
    <s v="INV2020/00000086"/>
    <s v="C00000004"/>
    <x v="3"/>
    <s v="RA CSM 300 GSM 54Kg 96m(L) X 1860mm(W)"/>
    <n v="5"/>
    <n v="120"/>
    <x v="2"/>
    <d v="2021-07-06T00:00:00"/>
    <n v="7"/>
    <n v="2021"/>
    <n v="1809"/>
    <n v="-1809"/>
    <n v="0"/>
    <n v="276894.29999999993"/>
    <s v="Chq"/>
    <s v="Chq Cleared 13/9/2021"/>
    <m/>
  </r>
  <r>
    <d v="2021-03-10T00:00:00"/>
    <n v="3"/>
    <x v="2"/>
    <s v="INV00000087"/>
    <s v="C00000016"/>
    <x v="15"/>
    <s v="RA Nor 3338W (220Kg)"/>
    <n v="2"/>
    <s v="Cash"/>
    <x v="0"/>
    <d v="2021-03-10T00:00:00"/>
    <n v="3"/>
    <n v="2021"/>
    <n v="3058"/>
    <n v="-3058"/>
    <n v="0"/>
    <n v="279952.29999999993"/>
    <s v="Trsf"/>
    <s v="Trsf 10/3/2021"/>
    <m/>
  </r>
  <r>
    <d v="2021-03-10T00:00:00"/>
    <n v="3"/>
    <x v="2"/>
    <s v="INV00000087"/>
    <s v="C00000016"/>
    <x v="15"/>
    <s v="RA Resin 3317AW (220Kg)"/>
    <n v="2"/>
    <s v="Cash"/>
    <x v="0"/>
    <d v="2021-03-10T00:00:00"/>
    <n v="3"/>
    <n v="2021"/>
    <n v="3058"/>
    <n v="-3058"/>
    <n v="0"/>
    <n v="283010.29999999993"/>
    <s v="Trsf"/>
    <s v="Trsf 10/3/2021"/>
    <m/>
  </r>
  <r>
    <d v="2021-03-10T00:00:00"/>
    <n v="3"/>
    <x v="2"/>
    <s v="INV00000087"/>
    <s v="C00000016"/>
    <x v="15"/>
    <s v="RA Resin 8201W (225Kg)"/>
    <n v="3"/>
    <s v="Cash"/>
    <x v="0"/>
    <d v="2021-03-10T00:00:00"/>
    <n v="3"/>
    <n v="2021"/>
    <n v="4691.25"/>
    <n v="-4691.25"/>
    <n v="0"/>
    <n v="287701.54999999993"/>
    <s v="Trsf"/>
    <s v="Trsf 10/3/2021"/>
    <m/>
  </r>
  <r>
    <d v="2021-03-11T00:00:00"/>
    <n v="3"/>
    <x v="2"/>
    <s v="INV00000088"/>
    <s v="C00000009"/>
    <x v="8"/>
    <s v="RA Nor 3338NW (220Kg)"/>
    <n v="2"/>
    <n v="60"/>
    <x v="3"/>
    <d v="2021-05-10T00:00:00"/>
    <n v="5"/>
    <n v="2021"/>
    <n v="3212"/>
    <n v="-3212"/>
    <n v="0"/>
    <n v="290913.54999999993"/>
    <s v="Chq"/>
    <s v="Chq HL 012137 dd 20/10/21"/>
    <m/>
  </r>
  <r>
    <d v="2021-03-11T00:00:00"/>
    <n v="3"/>
    <x v="2"/>
    <s v="INV00000088"/>
    <s v="C00000009"/>
    <x v="8"/>
    <s v="RA Nor 3338NW (220Kg)"/>
    <n v="1"/>
    <n v="60"/>
    <x v="3"/>
    <d v="2021-05-10T00:00:00"/>
    <n v="5"/>
    <n v="2021"/>
    <n v="1606"/>
    <n v="-1606"/>
    <n v="0"/>
    <n v="292519.54999999993"/>
    <s v="Chq"/>
    <s v="Chq HL 012137 dd 20/10/21"/>
    <m/>
  </r>
  <r>
    <d v="2021-03-11T00:00:00"/>
    <n v="3"/>
    <x v="2"/>
    <s v="INV00000088"/>
    <s v="C00000009"/>
    <x v="8"/>
    <s v="RA CSM 450 GSM 54kg 64m(L) X 1860mm(W)"/>
    <n v="2"/>
    <n v="60"/>
    <x v="3"/>
    <d v="2021-05-10T00:00:00"/>
    <n v="5"/>
    <n v="2021"/>
    <n v="820.8"/>
    <n v="-820.8"/>
    <n v="0"/>
    <n v="293340.34999999992"/>
    <s v="Chq"/>
    <s v="Chq HL 012137 dd 20/10/21"/>
    <m/>
  </r>
  <r>
    <d v="2021-03-11T00:00:00"/>
    <n v="3"/>
    <x v="2"/>
    <s v="INV00000088"/>
    <s v="C00000009"/>
    <x v="8"/>
    <s v="RA CSM 300 GSM 54Kg 96m(L) X 1860mm(W)"/>
    <n v="2"/>
    <n v="60"/>
    <x v="3"/>
    <d v="2021-05-10T00:00:00"/>
    <n v="5"/>
    <n v="2021"/>
    <n v="820.8"/>
    <n v="-820.8"/>
    <n v="0"/>
    <n v="294161.14999999991"/>
    <s v="Chq"/>
    <s v="Chq HL 012137 dd 20/10/21"/>
    <m/>
  </r>
  <r>
    <d v="2021-03-23T00:00:00"/>
    <n v="3"/>
    <x v="2"/>
    <s v="INV00000090"/>
    <s v="C00000004"/>
    <x v="3"/>
    <s v="RA Nor 3338W (220Kg)"/>
    <n v="5"/>
    <n v="120"/>
    <x v="2"/>
    <d v="2021-07-21T00:00:00"/>
    <n v="7"/>
    <n v="2021"/>
    <n v="8140"/>
    <n v="-8140"/>
    <n v="0"/>
    <n v="302301.14999999991"/>
    <s v="Chq"/>
    <s v="Chq Cleared 13/9/2021"/>
    <m/>
  </r>
  <r>
    <d v="2021-03-23T00:00:00"/>
    <n v="3"/>
    <x v="2"/>
    <s v="INV00000090"/>
    <s v="C00000004"/>
    <x v="3"/>
    <s v="RA CSM 450 GSM 54kg 64m(L) X 1860mm(W)"/>
    <n v="4"/>
    <n v="120"/>
    <x v="2"/>
    <d v="2021-07-21T00:00:00"/>
    <n v="7"/>
    <n v="2021"/>
    <n v="1641.6"/>
    <n v="-1641.6"/>
    <n v="0"/>
    <n v="303942.74999999988"/>
    <s v="Chq"/>
    <s v="Chq Cleared 13/9/2021"/>
    <m/>
  </r>
  <r>
    <d v="2021-03-23T00:00:00"/>
    <n v="3"/>
    <x v="2"/>
    <s v="INV00000090"/>
    <s v="C00000004"/>
    <x v="3"/>
    <s v="RA CSM 300 GSM 54Kg 96m(L) X 1860mm(W)"/>
    <n v="4"/>
    <n v="120"/>
    <x v="2"/>
    <d v="2021-07-21T00:00:00"/>
    <n v="7"/>
    <n v="2021"/>
    <n v="1641.6"/>
    <n v="-1641.6"/>
    <n v="0"/>
    <n v="305584.34999999986"/>
    <s v="Chq"/>
    <s v="Chq Cleared 13/9/2021"/>
    <m/>
  </r>
  <r>
    <d v="2021-03-23T00:00:00"/>
    <n v="3"/>
    <x v="2"/>
    <s v="INV00000090"/>
    <s v="C00000004"/>
    <x v="3"/>
    <s v="RA Butanox M50 (5kg)"/>
    <n v="4"/>
    <n v="120"/>
    <x v="2"/>
    <d v="2021-07-21T00:00:00"/>
    <n v="7"/>
    <n v="2021"/>
    <n v="380"/>
    <n v="-380"/>
    <n v="0"/>
    <n v="305964.34999999986"/>
    <s v="Chq"/>
    <s v="Chq Cleared 13/9/2021"/>
    <m/>
  </r>
  <r>
    <d v="2021-03-24T00:00:00"/>
    <n v="3"/>
    <x v="2"/>
    <s v="INV00000091"/>
    <s v="C00000009"/>
    <x v="8"/>
    <s v="RA Miracle Gloss Wax"/>
    <n v="2"/>
    <n v="60"/>
    <x v="3"/>
    <d v="2021-05-23T00:00:00"/>
    <n v="5"/>
    <n v="2021"/>
    <n v="90"/>
    <n v="-90"/>
    <n v="0"/>
    <n v="306054.34999999986"/>
    <s v="Chq"/>
    <s v="Chq HL 012137 dd 20/10/21"/>
    <m/>
  </r>
  <r>
    <d v="2021-03-24T00:00:00"/>
    <n v="3"/>
    <x v="2"/>
    <s v="INV00000092"/>
    <s v="C00000010"/>
    <x v="9"/>
    <s v="RA Resin 3338AW (220Kg)"/>
    <n v="5"/>
    <n v="120"/>
    <x v="2"/>
    <d v="2021-07-22T00:00:00"/>
    <n v="7"/>
    <n v="2021"/>
    <n v="8250"/>
    <n v="-8250"/>
    <n v="0"/>
    <n v="314304.34999999986"/>
    <s v="Trsf"/>
    <s v="Trsf 26/7/21"/>
    <m/>
  </r>
  <r>
    <d v="2021-03-24T00:00:00"/>
    <n v="3"/>
    <x v="2"/>
    <s v="INV00000092"/>
    <s v="C00000010"/>
    <x v="9"/>
    <s v="RA CSM 450 30kg 79m(L) X 1040mm(W)"/>
    <n v="5"/>
    <n v="120"/>
    <x v="2"/>
    <d v="2021-07-22T00:00:00"/>
    <n v="7"/>
    <n v="2021"/>
    <n v="1170"/>
    <n v="-1170"/>
    <n v="0"/>
    <n v="315474.34999999986"/>
    <s v="Trsf"/>
    <s v="Trsf 26/7/21"/>
    <m/>
  </r>
  <r>
    <d v="2021-03-24T00:00:00"/>
    <n v="3"/>
    <x v="2"/>
    <s v="INV00000092"/>
    <s v="C00000010"/>
    <x v="9"/>
    <s v="RA Talcum Powder (25kg)"/>
    <n v="5"/>
    <n v="120"/>
    <x v="2"/>
    <d v="2021-07-22T00:00:00"/>
    <n v="7"/>
    <n v="2021"/>
    <n v="275"/>
    <n v="-275"/>
    <n v="0"/>
    <n v="315749.34999999986"/>
    <s v="Trsf"/>
    <s v="Trsf 26/7/21"/>
    <m/>
  </r>
  <r>
    <d v="2021-03-24T00:00:00"/>
    <n v="3"/>
    <x v="2"/>
    <s v="INV00000092"/>
    <s v="C00000010"/>
    <x v="9"/>
    <s v="RA Butanox M50 (5kg)"/>
    <n v="4"/>
    <n v="120"/>
    <x v="2"/>
    <d v="2021-07-22T00:00:00"/>
    <n v="7"/>
    <n v="2021"/>
    <n v="380"/>
    <n v="-380"/>
    <n v="0"/>
    <n v="316129.34999999986"/>
    <s v="Trsf"/>
    <s v="Trsf 26/7/21"/>
    <m/>
  </r>
  <r>
    <d v="2021-03-25T00:00:00"/>
    <n v="3"/>
    <x v="2"/>
    <s v="INV00000093"/>
    <s v="C00000014"/>
    <x v="13"/>
    <s v="RA Gelcoat GP-H (20Kg)"/>
    <n v="1"/>
    <s v="Cash"/>
    <x v="0"/>
    <d v="2021-03-25T00:00:00"/>
    <n v="3"/>
    <n v="2021"/>
    <n v="240"/>
    <n v="-240"/>
    <n v="0"/>
    <n v="316369.34999999986"/>
    <s v="Cash"/>
    <s v="Bank in Cash 18/4/2021"/>
    <m/>
  </r>
  <r>
    <d v="2021-03-30T00:00:00"/>
    <n v="3"/>
    <x v="2"/>
    <s v="INV00000094"/>
    <s v="C00000004"/>
    <x v="3"/>
    <s v="RA Resin 9539NW (225Kg)"/>
    <n v="2"/>
    <n v="120"/>
    <x v="2"/>
    <d v="2021-07-28T00:00:00"/>
    <n v="7"/>
    <n v="2021"/>
    <n v="3510"/>
    <n v="-3510"/>
    <n v="0"/>
    <n v="319879.34999999986"/>
    <s v="Chq"/>
    <s v="Chq Cleared 13/9/2021"/>
    <m/>
  </r>
  <r>
    <d v="2021-04-01T00:00:00"/>
    <n v="4"/>
    <x v="2"/>
    <s v="INV00000095"/>
    <s v="C00000003"/>
    <x v="2"/>
    <s v="RA Resin 3317AW (220Kg)"/>
    <n v="3"/>
    <n v="45"/>
    <x v="1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n v="4"/>
    <x v="2"/>
    <s v="INV00000095"/>
    <s v="C00000003"/>
    <x v="2"/>
    <s v="RA CSM 300 GSM 54Kg 96m(L) X 1860mm(W)"/>
    <n v="1"/>
    <n v="45"/>
    <x v="1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Talcum Powder (25Kg)"/>
    <n v="5"/>
    <n v="45"/>
    <x v="1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Butanox M50 (5kg)"/>
    <n v="5"/>
    <n v="45"/>
    <x v="1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n v="4"/>
    <x v="2"/>
    <s v="INV00000096"/>
    <s v="C00000003"/>
    <x v="2"/>
    <s v="RA Miracle Gloss Wax"/>
    <n v="2"/>
    <n v="45"/>
    <x v="1"/>
    <d v="2021-05-16T00:00:00"/>
    <n v="5"/>
    <n v="2021"/>
    <n v="90"/>
    <n v="-90"/>
    <n v="0"/>
    <n v="326590.34999999986"/>
    <s v="PD Chq"/>
    <s v="Bank in Cash 18/4/2021"/>
    <m/>
  </r>
  <r>
    <d v="2021-04-08T00:00:00"/>
    <n v="4"/>
    <x v="2"/>
    <s v="INV00000097"/>
    <s v="C00000015"/>
    <x v="14"/>
    <s v="RA Nor 3338W (220Kg)"/>
    <n v="1"/>
    <s v="Cash"/>
    <x v="0"/>
    <d v="2021-04-08T00:00:00"/>
    <n v="4"/>
    <n v="2021"/>
    <n v="1870"/>
    <n v="-1870"/>
    <n v="0"/>
    <n v="328460.34999999986"/>
    <s v="Trsf"/>
    <s v="Trsf 13/4/2021"/>
    <m/>
  </r>
  <r>
    <d v="2021-04-08T00:00:00"/>
    <n v="4"/>
    <x v="2"/>
    <s v="INV00000097"/>
    <s v="C00000015"/>
    <x v="14"/>
    <s v="RA CSM 450 GSM TWL 30kg 64m(L) X 1040mm(W)"/>
    <n v="1"/>
    <s v="Cash"/>
    <x v="0"/>
    <d v="2021-04-08T00:00:00"/>
    <n v="4"/>
    <n v="2021"/>
    <n v="255"/>
    <n v="-255"/>
    <n v="0"/>
    <n v="328715.34999999986"/>
    <s v="Trsf"/>
    <s v="Trsf 13/4/2021"/>
    <m/>
  </r>
  <r>
    <d v="2021-04-08T00:00:00"/>
    <n v="4"/>
    <x v="2"/>
    <s v="INV00000097"/>
    <s v="C00000015"/>
    <x v="14"/>
    <s v="RA Butanox M50 (5kg)"/>
    <n v="1"/>
    <s v="Cash"/>
    <x v="0"/>
    <d v="2021-04-08T00:00:00"/>
    <n v="4"/>
    <n v="2021"/>
    <n v="100"/>
    <n v="-100"/>
    <n v="0"/>
    <n v="328815.34999999986"/>
    <s v="Trsf"/>
    <s v="Trsf 13/4/2021"/>
    <m/>
  </r>
  <r>
    <d v="2021-04-08T00:00:00"/>
    <n v="4"/>
    <x v="2"/>
    <s v="INV00000098"/>
    <s v="C00000010"/>
    <x v="9"/>
    <s v="RA Resin 3338AW (220kg)"/>
    <n v="5"/>
    <n v="120"/>
    <x v="2"/>
    <d v="2021-08-06T00:00:00"/>
    <n v="8"/>
    <n v="2021"/>
    <n v="8690"/>
    <n v="-8690"/>
    <n v="0"/>
    <n v="337505.34999999986"/>
    <s v="Trsf"/>
    <s v="Trsf 17/8/2021"/>
    <m/>
  </r>
  <r>
    <d v="2021-04-08T00:00:00"/>
    <n v="4"/>
    <x v="2"/>
    <s v="INV00000098"/>
    <s v="C00000010"/>
    <x v="9"/>
    <s v="RA CSM 450 GSM JUSHI 37kg 79m(L) X 1040mm(W)"/>
    <n v="6"/>
    <n v="120"/>
    <x v="2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n v="4"/>
    <x v="2"/>
    <s v="INV00000098"/>
    <s v="C00000010"/>
    <x v="9"/>
    <s v="RA Talcum Powder (25kg)"/>
    <n v="10"/>
    <n v="120"/>
    <x v="2"/>
    <d v="2021-08-06T00:00:00"/>
    <n v="8"/>
    <n v="2021"/>
    <n v="550"/>
    <n v="-550"/>
    <n v="0"/>
    <n v="339786.94999999984"/>
    <s v="Trsf"/>
    <s v="Trsf 17/8/2021"/>
    <m/>
  </r>
  <r>
    <d v="2021-04-08T00:00:00"/>
    <n v="4"/>
    <x v="2"/>
    <s v="INV00000098"/>
    <s v="C00000010"/>
    <x v="9"/>
    <s v="RA Butanox M50 (5kg)"/>
    <n v="2"/>
    <n v="120"/>
    <x v="2"/>
    <d v="2021-08-06T00:00:00"/>
    <n v="8"/>
    <n v="2021"/>
    <n v="190"/>
    <n v="-190"/>
    <n v="0"/>
    <n v="339976.94999999984"/>
    <s v="Trsf"/>
    <s v="Trsf 17/8/2021"/>
    <m/>
  </r>
  <r>
    <d v="2021-04-08T00:00:00"/>
    <n v="4"/>
    <x v="2"/>
    <s v="INV00000098"/>
    <s v="C00000010"/>
    <x v="9"/>
    <s v="RA Aerosil (Silica Fume) (10Kg)"/>
    <n v="2"/>
    <n v="120"/>
    <x v="2"/>
    <d v="2021-08-06T00:00:00"/>
    <n v="8"/>
    <n v="2021"/>
    <n v="720"/>
    <n v="-720"/>
    <n v="0"/>
    <n v="340696.94999999984"/>
    <s v="Trsf"/>
    <s v="Trsf 17/8/2021"/>
    <m/>
  </r>
  <r>
    <d v="2021-04-08T00:00:00"/>
    <n v="4"/>
    <x v="2"/>
    <s v="INV00000098"/>
    <s v="C00000010"/>
    <x v="9"/>
    <s v="RD Paint Brush 3&quot;(12Pc/Ctr)"/>
    <n v="4"/>
    <n v="120"/>
    <x v="2"/>
    <d v="2021-08-06T00:00:00"/>
    <n v="8"/>
    <n v="2021"/>
    <n v="220"/>
    <n v="-220"/>
    <n v="0"/>
    <n v="340916.94999999984"/>
    <s v="Trsf"/>
    <s v="Trsf 17/8/2021"/>
    <m/>
  </r>
  <r>
    <d v="2021-04-09T00:00:00"/>
    <n v="4"/>
    <x v="2"/>
    <s v="INV00000099"/>
    <s v="C00000001"/>
    <x v="0"/>
    <s v="RA Gelcoat GS-S ISO (20Kg)"/>
    <n v="2"/>
    <s v="Cash"/>
    <x v="0"/>
    <d v="2021-04-09T00:00:00"/>
    <n v="4"/>
    <n v="2021"/>
    <n v="520"/>
    <n v="-520"/>
    <n v="0"/>
    <n v="341436.94999999984"/>
    <s v="Trsf"/>
    <s v="Trsf 9/4/21"/>
    <m/>
  </r>
  <r>
    <d v="2021-04-27T00:00:00"/>
    <n v="4"/>
    <x v="2"/>
    <s v="INV00000100"/>
    <s v="C00000009"/>
    <x v="8"/>
    <s v="RA Nor 3338W (220Kg)"/>
    <n v="2"/>
    <n v="60"/>
    <x v="3"/>
    <d v="2021-06-26T00:00:00"/>
    <n v="6"/>
    <n v="2021"/>
    <n v="3476"/>
    <n v="-3476"/>
    <n v="0"/>
    <n v="344912.94999999984"/>
    <s v="Chq"/>
    <s v="HLB 012122, dd101121"/>
    <m/>
  </r>
  <r>
    <d v="2021-04-27T00:00:00"/>
    <n v="4"/>
    <x v="2"/>
    <s v="INV00000100"/>
    <s v="C00000009"/>
    <x v="8"/>
    <s v="RA Nor 3338NW (220Kg)"/>
    <n v="1"/>
    <n v="60"/>
    <x v="3"/>
    <d v="2021-06-26T00:00:00"/>
    <n v="6"/>
    <n v="2021"/>
    <n v="1738"/>
    <n v="-1738"/>
    <n v="0"/>
    <n v="346650.94999999984"/>
    <s v="Chq"/>
    <s v="HLB 012122, dd101121"/>
    <m/>
  </r>
  <r>
    <d v="2021-04-27T00:00:00"/>
    <n v="4"/>
    <x v="2"/>
    <s v="INV00000100"/>
    <s v="C00000009"/>
    <x v="8"/>
    <s v="RA CSM 450 GSM 54kg 64m(L) X 1860mm(W)"/>
    <n v="5"/>
    <n v="60"/>
    <x v="3"/>
    <d v="2021-06-26T00:00:00"/>
    <n v="6"/>
    <n v="2021"/>
    <n v="2268"/>
    <n v="-2268"/>
    <n v="0"/>
    <n v="348918.94999999984"/>
    <s v="Chq"/>
    <s v="HLB 012122, dd101121"/>
    <m/>
  </r>
  <r>
    <d v="2021-04-29T00:00:00"/>
    <n v="4"/>
    <x v="2"/>
    <s v="INV00000102"/>
    <s v="C00000010"/>
    <x v="9"/>
    <s v="RA Resin 3338AW (220kg)"/>
    <n v="5"/>
    <n v="120"/>
    <x v="2"/>
    <d v="2021-08-27T00:00:00"/>
    <n v="8"/>
    <n v="2021"/>
    <n v="8690"/>
    <n v="-8690"/>
    <n v="0"/>
    <n v="357608.94999999984"/>
    <s v="Trsf"/>
    <s v="Trsf 17/8/2021"/>
    <m/>
  </r>
  <r>
    <d v="2021-04-29T00:00:00"/>
    <n v="4"/>
    <x v="2"/>
    <s v="INV00000102"/>
    <s v="C00000010"/>
    <x v="9"/>
    <s v="RA CSM 450 30kg 79m(L) X 1040mm(W)"/>
    <n v="5"/>
    <n v="120"/>
    <x v="2"/>
    <d v="2021-08-27T00:00:00"/>
    <n v="8"/>
    <n v="2021"/>
    <n v="1230"/>
    <n v="-1230"/>
    <n v="0"/>
    <n v="358838.94999999984"/>
    <s v="Trsf"/>
    <s v="Trsf 17/8/2021"/>
    <m/>
  </r>
  <r>
    <d v="2021-04-29T00:00:00"/>
    <n v="4"/>
    <x v="2"/>
    <s v="INV00000102"/>
    <s v="C00000010"/>
    <x v="9"/>
    <s v="RA Talcum Powder (25kg)"/>
    <n v="10"/>
    <n v="120"/>
    <x v="2"/>
    <d v="2021-08-27T00:00:00"/>
    <n v="8"/>
    <n v="2021"/>
    <n v="550"/>
    <n v="-550"/>
    <n v="0"/>
    <n v="359388.94999999984"/>
    <s v="Trsf"/>
    <s v="Trsf 17/8/2021"/>
    <m/>
  </r>
  <r>
    <d v="2021-04-29T00:00:00"/>
    <n v="4"/>
    <x v="2"/>
    <s v="INV00000102"/>
    <s v="C00000010"/>
    <x v="9"/>
    <s v="RA Butanox M50 (5kg)"/>
    <n v="4"/>
    <n v="120"/>
    <x v="2"/>
    <d v="2021-08-27T00:00:00"/>
    <n v="8"/>
    <n v="2021"/>
    <n v="380"/>
    <n v="-380"/>
    <n v="0"/>
    <n v="359768.94999999984"/>
    <s v="Trsf"/>
    <s v="Trsf 17/8/2021"/>
    <m/>
  </r>
  <r>
    <d v="2021-04-29T00:00:00"/>
    <n v="4"/>
    <x v="2"/>
    <s v="INV00000102"/>
    <s v="C00000010"/>
    <x v="9"/>
    <s v="RA Aerosil (Silica Fume) (10Kg)"/>
    <n v="1"/>
    <n v="120"/>
    <x v="2"/>
    <d v="2021-08-27T00:00:00"/>
    <n v="8"/>
    <n v="2021"/>
    <n v="360"/>
    <n v="-360"/>
    <n v="0"/>
    <n v="360128.94999999984"/>
    <s v="Trsf"/>
    <s v="Trsf 17/8/2021"/>
    <m/>
  </r>
  <r>
    <d v="2021-04-29T00:00:00"/>
    <n v="4"/>
    <x v="2"/>
    <s v="INV00000102"/>
    <s v="C00000010"/>
    <x v="9"/>
    <s v="RH Bosny Wax (15kg)"/>
    <n v="1"/>
    <n v="120"/>
    <x v="2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n v="5"/>
    <x v="2"/>
    <s v="INV00000101"/>
    <s v="C00000004"/>
    <x v="3"/>
    <s v="RA Nor 3338W (220Kg)"/>
    <n v="5"/>
    <n v="120"/>
    <x v="2"/>
    <d v="2021-08-31T00:00:00"/>
    <n v="8"/>
    <n v="2021"/>
    <n v="8690"/>
    <n v="-8690"/>
    <n v="0"/>
    <n v="369193.94999999984"/>
    <s v="Chq"/>
    <s v="Chq 008127, cleared 22/11/21"/>
    <m/>
  </r>
  <r>
    <d v="2021-05-03T00:00:00"/>
    <n v="5"/>
    <x v="2"/>
    <s v="INV00000101"/>
    <s v="C00000004"/>
    <x v="3"/>
    <s v="RF Nor 3338NW (220Kg)"/>
    <n v="1"/>
    <n v="120"/>
    <x v="2"/>
    <d v="2021-08-31T00:00:00"/>
    <n v="8"/>
    <n v="2021"/>
    <n v="1716"/>
    <n v="-1716"/>
    <n v="0"/>
    <n v="370909.94999999984"/>
    <s v="Chq"/>
    <s v="Chq 008127, cleared 22/11/21"/>
    <m/>
  </r>
  <r>
    <d v="2021-05-03T00:00:00"/>
    <n v="5"/>
    <x v="2"/>
    <s v="INV00000101"/>
    <s v="C00000004"/>
    <x v="3"/>
    <s v="RG CSM 450 GSM 54kg 64m(L) X 1860mm(W)"/>
    <n v="4"/>
    <n v="120"/>
    <x v="2"/>
    <d v="2021-08-31T00:00:00"/>
    <n v="8"/>
    <n v="2021"/>
    <n v="1814.4"/>
    <n v="-1814.4"/>
    <n v="0"/>
    <n v="372724.34999999986"/>
    <s v="Chq"/>
    <s v="Chq 008127, cleared 22/11/21"/>
    <m/>
  </r>
  <r>
    <d v="2021-05-03T00:00:00"/>
    <n v="5"/>
    <x v="2"/>
    <s v="INV00000101"/>
    <s v="C00000004"/>
    <x v="3"/>
    <s v="RA CSM 300 GSM 54Kg 96m(L) X 1860mm(W)"/>
    <n v="4"/>
    <n v="120"/>
    <x v="2"/>
    <d v="2021-08-31T00:00:00"/>
    <n v="8"/>
    <n v="2021"/>
    <n v="1814.4"/>
    <n v="-1814.4"/>
    <n v="0"/>
    <n v="374538.74999999988"/>
    <s v="Chq"/>
    <s v="Chq 008127, cleared 22/11/21"/>
    <m/>
  </r>
  <r>
    <d v="2021-05-06T00:00:00"/>
    <n v="5"/>
    <x v="2"/>
    <s v="INV00000103"/>
    <s v="C00000005"/>
    <x v="4"/>
    <s v="RA Resin 3317AW (220Kg)"/>
    <n v="1"/>
    <s v="Cash"/>
    <x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n v="5"/>
    <x v="2"/>
    <s v="INV00000103"/>
    <s v="C00000005"/>
    <x v="4"/>
    <s v="Mould Released"/>
    <n v="1"/>
    <s v="Cash"/>
    <x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n v="5"/>
    <x v="2"/>
    <s v="INV00000104"/>
    <s v="C00000001"/>
    <x v="0"/>
    <s v="RA Resin 3317AW (220Kg)"/>
    <n v="1"/>
    <s v="Cash"/>
    <x v="0"/>
    <d v="2021-05-07T00:00:00"/>
    <n v="5"/>
    <n v="2021"/>
    <n v="1826"/>
    <n v="-1826"/>
    <n v="0"/>
    <n v="378240.74999999988"/>
    <s v="Trsf"/>
    <s v="Trsf 8/5/2021"/>
    <m/>
  </r>
  <r>
    <d v="2021-05-07T00:00:00"/>
    <n v="5"/>
    <x v="2"/>
    <s v="INV00000104"/>
    <s v="C00000001"/>
    <x v="0"/>
    <s v="RA CSM 450 GSM TWL 30kg 64m(L) X 1040mm(W)"/>
    <n v="4"/>
    <s v="Cash"/>
    <x v="0"/>
    <d v="2021-05-07T00:00:00"/>
    <n v="5"/>
    <n v="2021"/>
    <n v="1020"/>
    <n v="-1020"/>
    <n v="0"/>
    <n v="379260.74999999988"/>
    <s v="Trsf"/>
    <s v="Trsf 8/5/2021"/>
    <m/>
  </r>
  <r>
    <d v="2021-05-19T00:00:00"/>
    <n v="5"/>
    <x v="2"/>
    <s v="INV00000105"/>
    <s v="C00000005"/>
    <x v="4"/>
    <s v="RA Resin 3317AW (220Kg)"/>
    <n v="1"/>
    <s v="Cash"/>
    <x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n v="5"/>
    <x v="2"/>
    <s v="INV00000106"/>
    <s v="C00000003"/>
    <x v="2"/>
    <s v="RA Resin 3317AW (220Kg)"/>
    <n v="3"/>
    <n v="45"/>
    <x v="1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Talcum Powder (25Kg)"/>
    <n v="5"/>
    <n v="45"/>
    <x v="1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Butanox M50 (5kg)"/>
    <n v="5"/>
    <n v="45"/>
    <x v="1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Miracle Gloss Wax"/>
    <n v="2"/>
    <n v="45"/>
    <x v="1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n v="5"/>
    <x v="2"/>
    <s v="INV00000089"/>
    <s v="C00000013a"/>
    <x v="12"/>
    <s v="RA CSM 450 GSM 54kg 64m(L) X 1860mm(W)"/>
    <n v="1"/>
    <s v="Cash"/>
    <x v="0"/>
    <d v="2021-05-25T00:00:00"/>
    <n v="5"/>
    <n v="2021"/>
    <n v="459"/>
    <n v="-459"/>
    <n v="0"/>
    <n v="387995.74999999988"/>
    <s v="Chq"/>
    <s v="Trsf 21 &amp; 22/5/2021"/>
    <m/>
  </r>
  <r>
    <d v="2021-05-25T00:00:00"/>
    <n v="5"/>
    <x v="2"/>
    <s v="INV00000089"/>
    <s v="C00000013a"/>
    <x v="12"/>
    <s v="RA CSM 300 GSM 54Kg 96m(L) X 1860mm(W)"/>
    <n v="1"/>
    <s v="Cash"/>
    <x v="0"/>
    <d v="2021-05-25T00:00:00"/>
    <n v="5"/>
    <n v="2021"/>
    <n v="459"/>
    <n v="-459"/>
    <n v="0"/>
    <n v="388454.74999999988"/>
    <s v="Chq"/>
    <s v="Trsf 21 &amp; 22/5/2021"/>
    <m/>
  </r>
  <r>
    <d v="2021-05-25T00:00:00"/>
    <n v="5"/>
    <x v="2"/>
    <s v="INV00000089"/>
    <s v="C00000013a"/>
    <x v="12"/>
    <s v="RA Butanox M50 (5Kg)"/>
    <n v="1"/>
    <s v="Cash"/>
    <x v="0"/>
    <d v="2021-05-25T00:00:00"/>
    <n v="5"/>
    <n v="2021"/>
    <n v="100"/>
    <n v="-100"/>
    <n v="0"/>
    <n v="388554.74999999988"/>
    <s v="Chq"/>
    <s v="Trsf 21 &amp; 22/5/2021"/>
    <m/>
  </r>
  <r>
    <d v="2021-05-25T00:00:00"/>
    <n v="5"/>
    <x v="2"/>
    <s v="INV00000089"/>
    <s v="C00000013a"/>
    <x v="12"/>
    <s v="RE Frekote 770NC (1 Gallon)"/>
    <n v="1"/>
    <s v="Cash"/>
    <x v="0"/>
    <d v="2021-05-25T00:00:00"/>
    <n v="5"/>
    <n v="2021"/>
    <n v="380"/>
    <n v="-380"/>
    <n v="0"/>
    <n v="388934.74999999988"/>
    <s v="Chq"/>
    <s v="Trsf 21 &amp; 22/5/2021"/>
    <m/>
  </r>
  <r>
    <d v="2021-05-25T00:00:00"/>
    <n v="5"/>
    <x v="2"/>
    <s v="INV00000089"/>
    <s v="C00000013a"/>
    <x v="12"/>
    <s v="RA Gelcoat GP-H (20Kg)"/>
    <n v="1"/>
    <s v="Cash"/>
    <x v="0"/>
    <d v="2021-05-25T00:00:00"/>
    <n v="5"/>
    <n v="2021"/>
    <n v="246"/>
    <n v="-246"/>
    <n v="0"/>
    <n v="389180.74999999988"/>
    <s v="Chq"/>
    <s v="Trsf 21 &amp; 22/5/2021"/>
    <m/>
  </r>
  <r>
    <d v="2021-05-25T00:00:00"/>
    <n v="5"/>
    <x v="2"/>
    <s v="INV00000089"/>
    <s v="C00000013a"/>
    <x v="12"/>
    <s v="RA Miracle Gloss Wax"/>
    <n v="2"/>
    <s v="Cash"/>
    <x v="0"/>
    <d v="2021-05-25T00:00:00"/>
    <n v="5"/>
    <n v="2021"/>
    <n v="90"/>
    <n v="-90"/>
    <n v="0"/>
    <n v="389270.74999999988"/>
    <s v="Chq"/>
    <s v="Trsf 21 &amp; 22/5/2021"/>
    <m/>
  </r>
  <r>
    <d v="2021-05-25T00:00:00"/>
    <n v="5"/>
    <x v="2"/>
    <s v="INV00000089"/>
    <s v="C00000013a"/>
    <x v="12"/>
    <s v="RD Steel Roller 4&quot;"/>
    <n v="1"/>
    <s v="Cash"/>
    <x v="0"/>
    <d v="2021-05-25T00:00:00"/>
    <n v="5"/>
    <n v="2021"/>
    <n v="68"/>
    <n v="-68"/>
    <n v="0"/>
    <n v="389338.74999999988"/>
    <s v="Chq"/>
    <s v="Trsf 21 &amp; 22/5/2021"/>
    <m/>
  </r>
  <r>
    <d v="2021-05-25T00:00:00"/>
    <n v="5"/>
    <x v="2"/>
    <s v="INV00000089"/>
    <s v="C00000013a"/>
    <x v="12"/>
    <s v="RD Steel Roller 3&quot;"/>
    <n v="2"/>
    <s v="Cash"/>
    <x v="0"/>
    <d v="2021-05-25T00:00:00"/>
    <n v="5"/>
    <n v="2021"/>
    <n v="130"/>
    <n v="-130"/>
    <n v="0"/>
    <n v="389468.74999999988"/>
    <s v="Chq"/>
    <s v="Trsf 21 &amp; 22/5/2021"/>
    <m/>
  </r>
  <r>
    <d v="2021-05-25T00:00:00"/>
    <n v="5"/>
    <x v="2"/>
    <s v="INV00000089"/>
    <s v="C00000013a"/>
    <x v="12"/>
    <s v="RD Brush 1.1/2 (12 PC)"/>
    <n v="1"/>
    <s v="Cash"/>
    <x v="0"/>
    <d v="2021-05-25T00:00:00"/>
    <n v="5"/>
    <n v="2021"/>
    <n v="42"/>
    <n v="-42"/>
    <n v="0"/>
    <n v="389510.74999999988"/>
    <s v="Chq"/>
    <s v="Trsf 21 &amp; 22/5/2021"/>
    <m/>
  </r>
  <r>
    <d v="2021-05-25T00:00:00"/>
    <n v="5"/>
    <x v="2"/>
    <s v="INV00000089"/>
    <s v="C00000013a"/>
    <x v="12"/>
    <s v="RD Brush 3&quot; (12 PC)"/>
    <n v="1"/>
    <s v="Cash"/>
    <x v="0"/>
    <d v="2021-05-25T00:00:00"/>
    <n v="5"/>
    <n v="2021"/>
    <n v="60"/>
    <n v="-60"/>
    <n v="0"/>
    <n v="389570.74999999988"/>
    <s v="Chq"/>
    <s v="Trsf 21 &amp; 22/5/2021"/>
    <m/>
  </r>
  <r>
    <d v="2021-05-25T00:00:00"/>
    <n v="5"/>
    <x v="2"/>
    <s v="INV00000089"/>
    <s v="C00000013a"/>
    <x v="12"/>
    <s v="RA Resin 3317AW (220Kg)"/>
    <n v="1"/>
    <s v="Cash"/>
    <x v="0"/>
    <d v="2021-05-25T00:00:00"/>
    <n v="5"/>
    <n v="2021"/>
    <n v="1870"/>
    <n v="-1870"/>
    <n v="0"/>
    <n v="391440.74999999988"/>
    <s v="Chq"/>
    <s v="Trsf 21 &amp; 22/5/2021"/>
    <m/>
  </r>
  <r>
    <d v="2021-05-25T00:00:00"/>
    <n v="5"/>
    <x v="2"/>
    <s v="INV00000089"/>
    <s v="C00000013a"/>
    <x v="12"/>
    <s v="RA Talcum Powder (25kg)"/>
    <n v="1"/>
    <s v="Cash"/>
    <x v="0"/>
    <d v="2021-05-25T00:00:00"/>
    <n v="5"/>
    <n v="2021"/>
    <n v="55"/>
    <n v="-55"/>
    <n v="0"/>
    <n v="391495.74999999988"/>
    <s v="Chq"/>
    <s v="Trsf 21 &amp; 22/5/2021"/>
    <m/>
  </r>
  <r>
    <d v="2021-05-25T00:00:00"/>
    <n v="5"/>
    <x v="2"/>
    <s v="INV00000107"/>
    <s v="C00000005"/>
    <x v="4"/>
    <s v="RA Butanox M50 (5Kg)"/>
    <n v="1"/>
    <s v="Cash"/>
    <x v="0"/>
    <d v="2021-05-25T00:00:00"/>
    <n v="5"/>
    <n v="2021"/>
    <n v="100"/>
    <n v="-100"/>
    <n v="0"/>
    <n v="391595.74999999988"/>
    <s v="Chq"/>
    <s v="Bank in Cash 27/5/2021"/>
    <m/>
  </r>
  <r>
    <d v="2021-06-01T00:00:00"/>
    <n v="6"/>
    <x v="2"/>
    <s v="INV00000108"/>
    <s v="C00000010"/>
    <x v="9"/>
    <s v="RA Resin 3338AW (220kg)"/>
    <n v="4"/>
    <n v="120"/>
    <x v="2"/>
    <d v="2021-09-29T00:00:00"/>
    <n v="9"/>
    <n v="2021"/>
    <n v="6952"/>
    <n v="-6952"/>
    <n v="0"/>
    <n v="398547.74999999988"/>
    <s v="Trsf"/>
    <s v="Trsf 20/10/2021"/>
    <m/>
  </r>
  <r>
    <d v="2021-06-01T00:00:00"/>
    <n v="6"/>
    <x v="2"/>
    <s v="INV00000109"/>
    <s v="C00000009"/>
    <x v="8"/>
    <s v="RA CSM 450 TWL 60kg 64m(L) X 2080mm(W)"/>
    <n v="3"/>
    <n v="60"/>
    <x v="3"/>
    <d v="2021-07-31T00:00:00"/>
    <n v="7"/>
    <n v="2021"/>
    <n v="1530"/>
    <n v="-1530"/>
    <n v="0"/>
    <n v="400077.74999999988"/>
    <s v="Chq"/>
    <s v="HLB 012142, cleared20/12/21"/>
    <m/>
  </r>
  <r>
    <d v="2021-06-01T00:00:00"/>
    <n v="6"/>
    <x v="2"/>
    <s v="INV00000109"/>
    <s v="C00000009"/>
    <x v="8"/>
    <s v="RA CSM 300 GSM 54kg 64m(L) X 1860mm(W)"/>
    <n v="5"/>
    <n v="60"/>
    <x v="3"/>
    <d v="2021-07-31T00:00:00"/>
    <n v="7"/>
    <n v="2021"/>
    <n v="2295"/>
    <n v="-2295"/>
    <n v="0"/>
    <n v="402372.74999999988"/>
    <s v="Chq"/>
    <s v="HLB 012142, cleared20/12/21"/>
    <m/>
  </r>
  <r>
    <d v="2021-06-01T00:00:00"/>
    <n v="6"/>
    <x v="2"/>
    <s v="INV00000110"/>
    <s v="C00000009"/>
    <x v="8"/>
    <s v="RA Gelcoat GP-H (20kg)"/>
    <n v="3"/>
    <n v="60"/>
    <x v="3"/>
    <d v="2021-07-31T00:00:00"/>
    <n v="7"/>
    <n v="2021"/>
    <n v="690"/>
    <n v="-690"/>
    <n v="0"/>
    <n v="403062.74999999988"/>
    <s v="Chq"/>
    <s v="HLB 012142, cleared20/12/21"/>
    <m/>
  </r>
  <r>
    <d v="2021-06-01T00:00:00"/>
    <n v="6"/>
    <x v="2"/>
    <s v="INV00000111"/>
    <s v="C00000010"/>
    <x v="9"/>
    <s v="RA Talcum Powder (25kg)"/>
    <n v="10"/>
    <n v="120"/>
    <x v="2"/>
    <d v="2021-09-29T00:00:00"/>
    <n v="9"/>
    <n v="2021"/>
    <n v="550"/>
    <n v="-550"/>
    <n v="0"/>
    <n v="403612.74999999988"/>
    <s v="Trsf"/>
    <s v="Trsf 20/10/2021"/>
    <m/>
  </r>
  <r>
    <d v="2021-06-01T00:00:00"/>
    <n v="6"/>
    <x v="2"/>
    <s v="INV00000111"/>
    <s v="C00000010"/>
    <x v="9"/>
    <s v="RA Butanox M50 (5kg)"/>
    <n v="4"/>
    <n v="120"/>
    <x v="2"/>
    <d v="2021-09-29T00:00:00"/>
    <n v="9"/>
    <n v="2021"/>
    <n v="380"/>
    <n v="-380"/>
    <n v="0"/>
    <n v="403992.74999999988"/>
    <s v="Trsf"/>
    <s v="Trsf 20/10/2021"/>
    <m/>
  </r>
  <r>
    <d v="2021-09-01T00:00:00"/>
    <n v="9"/>
    <x v="2"/>
    <s v="INV00000112"/>
    <s v="C00000017"/>
    <x v="16"/>
    <s v="RA Resin (25kg)"/>
    <n v="2"/>
    <s v="Cash"/>
    <x v="0"/>
    <d v="2021-09-01T00:00:00"/>
    <n v="9"/>
    <n v="2021"/>
    <n v="600"/>
    <n v="-600"/>
    <n v="0"/>
    <n v="404592.74999999988"/>
    <s v="Trsf"/>
    <s v="Advance payment 26/7/2021"/>
    <m/>
  </r>
  <r>
    <d v="2021-09-01T00:00:00"/>
    <n v="9"/>
    <x v="2"/>
    <s v="INV00000112"/>
    <s v="C00000017"/>
    <x v="16"/>
    <s v="RA CSM 450 GSM TWL 30kg 64m(L) X 1040mm(W)"/>
    <n v="1"/>
    <s v="Cash"/>
    <x v="0"/>
    <d v="2021-09-01T00:00:00"/>
    <n v="9"/>
    <n v="2021"/>
    <n v="255"/>
    <n v="-255"/>
    <n v="0"/>
    <n v="404847.74999999988"/>
    <s v="Trsf"/>
    <s v="Advance payment 26/7/2021"/>
    <m/>
  </r>
  <r>
    <d v="2021-09-01T00:00:00"/>
    <n v="9"/>
    <x v="2"/>
    <s v="INV00000113"/>
    <s v="C00000005"/>
    <x v="4"/>
    <s v="RA Resin 3317AW (220Kg)"/>
    <n v="1"/>
    <s v="Cash"/>
    <x v="0"/>
    <d v="2021-09-01T00:00:00"/>
    <n v="9"/>
    <n v="2021"/>
    <n v="1826"/>
    <n v="-1826"/>
    <n v="0"/>
    <n v="406673.74999999988"/>
    <s v="Chq"/>
    <s v="Advance payment 20/8/2021"/>
    <m/>
  </r>
  <r>
    <d v="2021-09-01T00:00:00"/>
    <n v="9"/>
    <x v="2"/>
    <s v="INV00000114"/>
    <s v="C00000005"/>
    <x v="4"/>
    <s v="RA Resin 3317AW (220Kg)"/>
    <n v="1"/>
    <s v="Cash"/>
    <x v="0"/>
    <d v="2021-09-01T00:00:00"/>
    <n v="9"/>
    <n v="2021"/>
    <n v="1826"/>
    <n v="-1826"/>
    <n v="0"/>
    <n v="408499.74999999988"/>
    <s v="Chq"/>
    <s v="Advance payment 9/9/2021"/>
    <m/>
  </r>
  <r>
    <d v="2021-09-01T00:00:00"/>
    <n v="9"/>
    <x v="2"/>
    <s v="INV00000114"/>
    <s v="C00000005"/>
    <x v="4"/>
    <s v="RA Butanox M50 (5kg)"/>
    <n v="1"/>
    <s v="Cash"/>
    <x v="0"/>
    <d v="2021-09-01T00:00:00"/>
    <n v="9"/>
    <n v="2021"/>
    <n v="100"/>
    <n v="-100"/>
    <n v="0"/>
    <n v="408599.74999999988"/>
    <s v="Chq"/>
    <s v="Advance payment 9/9/2021"/>
    <m/>
  </r>
  <r>
    <d v="2021-09-01T00:00:00"/>
    <n v="9"/>
    <x v="2"/>
    <s v="INV00000115"/>
    <s v="C00000004"/>
    <x v="3"/>
    <s v="RA CSM 450 TWL 60kg 64m(L) X 2080mm(W)"/>
    <n v="4"/>
    <n v="120"/>
    <x v="2"/>
    <d v="2021-12-30T00:00:00"/>
    <n v="12"/>
    <n v="2021"/>
    <n v="2016"/>
    <n v="-2016"/>
    <n v="0"/>
    <n v="410615.74999999988"/>
    <s v="Chq"/>
    <s v="Chq HLB009259 dd 170122"/>
    <m/>
  </r>
  <r>
    <d v="2021-09-01T00:00:00"/>
    <n v="9"/>
    <x v="2"/>
    <s v="INV00000115"/>
    <s v="C00000004"/>
    <x v="3"/>
    <s v="RA CSM 300 GSM 54kg 64m(L) X 1860mm(W)"/>
    <n v="4"/>
    <n v="120"/>
    <x v="2"/>
    <d v="2021-12-30T00:00:00"/>
    <n v="12"/>
    <n v="2021"/>
    <n v="1814.4"/>
    <n v="-1814.4"/>
    <n v="0"/>
    <n v="412430.14999999991"/>
    <s v="Chq"/>
    <s v="Chq HLB009259 dd 170122"/>
    <m/>
  </r>
  <r>
    <d v="2021-09-01T00:00:00"/>
    <n v="9"/>
    <x v="2"/>
    <s v="INV00000116"/>
    <s v="C00000002"/>
    <x v="1"/>
    <s v="RA Resin 3338AW (220kg)"/>
    <n v="2"/>
    <s v="Cash"/>
    <x v="0"/>
    <d v="2021-09-01T00:00:00"/>
    <n v="9"/>
    <n v="2021"/>
    <n v="3432"/>
    <n v="-3432"/>
    <n v="0"/>
    <n v="415862.14999999991"/>
    <s v="Chq"/>
    <s v="Chq 494585,  Cleared 13/10/21"/>
    <m/>
  </r>
  <r>
    <d v="2021-09-14T00:00:00"/>
    <n v="9"/>
    <x v="2"/>
    <s v="INV00000117"/>
    <s v="C00000003"/>
    <x v="2"/>
    <s v="RA Resin 3317AW (220Kg)"/>
    <n v="3"/>
    <n v="45"/>
    <x v="1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n v="9"/>
    <x v="2"/>
    <s v="INV00000117"/>
    <s v="C00000003"/>
    <x v="2"/>
    <s v="RA Talcum Powder (25Kg)"/>
    <n v="4"/>
    <n v="45"/>
    <x v="1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n v="9"/>
    <x v="2"/>
    <s v="INV00000117"/>
    <s v="C00000003"/>
    <x v="2"/>
    <s v="RA Butanox M50 (5kg)"/>
    <n v="6"/>
    <n v="45"/>
    <x v="1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n v="9"/>
    <x v="2"/>
    <s v="INV00000117"/>
    <s v="C00000003"/>
    <x v="2"/>
    <s v="RA Miracle Gloss Wax"/>
    <n v="1"/>
    <n v="45"/>
    <x v="1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n v="9"/>
    <x v="2"/>
    <s v="INV00000117"/>
    <s v="C00000003"/>
    <x v="2"/>
    <s v="RA CSM 300 GSM 54Kg 96m(L) X 1860mm(W)"/>
    <n v="1"/>
    <n v="45"/>
    <x v="1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n v="9"/>
    <x v="2"/>
    <s v="INV00000118"/>
    <s v="C00000010"/>
    <x v="9"/>
    <s v="RA Resin 3338AW (220kg)"/>
    <n v="6"/>
    <n v="120"/>
    <x v="2"/>
    <d v="2022-01-12T00:00:00"/>
    <n v="1"/>
    <n v="2022"/>
    <n v="10428"/>
    <n v="-10428"/>
    <n v="0"/>
    <n v="433204.14999999991"/>
    <s v="Trsf"/>
    <s v="Trsf 13/12/2021"/>
    <m/>
  </r>
  <r>
    <d v="2021-09-14T00:00:00"/>
    <n v="9"/>
    <x v="2"/>
    <s v="INV00000118"/>
    <s v="C00000010"/>
    <x v="9"/>
    <s v="RA CSM 450 30kg 79m(L) X 1040mm(W)"/>
    <n v="10"/>
    <n v="120"/>
    <x v="2"/>
    <d v="2022-01-12T00:00:00"/>
    <n v="1"/>
    <n v="2022"/>
    <n v="2550"/>
    <n v="-2550"/>
    <n v="0"/>
    <n v="435754.14999999991"/>
    <s v="Trsf"/>
    <s v="Trsf 13/12/2021"/>
    <m/>
  </r>
  <r>
    <d v="2021-09-14T00:00:00"/>
    <n v="9"/>
    <x v="2"/>
    <s v="INV00000118"/>
    <s v="C00000010"/>
    <x v="9"/>
    <s v="RA Talcum Powder (25kg)"/>
    <n v="10"/>
    <n v="120"/>
    <x v="2"/>
    <d v="2022-01-12T00:00:00"/>
    <n v="1"/>
    <n v="2022"/>
    <n v="550"/>
    <n v="-550"/>
    <n v="0"/>
    <n v="436304.14999999991"/>
    <s v="Trsf"/>
    <s v="Trsf 13/12/2021"/>
    <m/>
  </r>
  <r>
    <d v="2021-09-14T00:00:00"/>
    <n v="9"/>
    <x v="2"/>
    <s v="INV00000118"/>
    <s v="C00000010"/>
    <x v="9"/>
    <s v="RA Mepoxe M (5kg)"/>
    <n v="4"/>
    <n v="120"/>
    <x v="2"/>
    <d v="2022-01-12T00:00:00"/>
    <n v="1"/>
    <n v="2022"/>
    <n v="320"/>
    <n v="-320"/>
    <n v="0"/>
    <n v="436624.14999999991"/>
    <s v="Trsf"/>
    <s v="Trsf 13/12/2021"/>
    <m/>
  </r>
  <r>
    <d v="2021-09-14T00:00:00"/>
    <n v="9"/>
    <x v="2"/>
    <s v="INV00000118"/>
    <s v="C00000010"/>
    <x v="9"/>
    <s v="RA Aerosil (Silica Fume) (10Kg)"/>
    <n v="1"/>
    <n v="120"/>
    <x v="2"/>
    <d v="2022-01-12T00:00:00"/>
    <n v="1"/>
    <n v="2022"/>
    <n v="360"/>
    <n v="-360"/>
    <n v="0"/>
    <n v="436984.14999999991"/>
    <s v="Trsf"/>
    <s v="Trsf 13/12/2021"/>
    <m/>
  </r>
  <r>
    <d v="2021-09-21T00:00:00"/>
    <n v="9"/>
    <x v="2"/>
    <s v="INV00000119"/>
    <s v="C00000018"/>
    <x v="17"/>
    <s v="RA Resin 3317AW (220Kg)"/>
    <n v="4"/>
    <s v="Cash"/>
    <x v="0"/>
    <d v="2021-09-21T00:00:00"/>
    <n v="9"/>
    <n v="2021"/>
    <n v="6952"/>
    <n v="-6952"/>
    <n v="0"/>
    <n v="443936.14999999991"/>
    <s v="Trsf"/>
    <s v="Trsf 21/9/2021"/>
    <m/>
  </r>
  <r>
    <d v="2021-09-21T00:00:00"/>
    <n v="9"/>
    <x v="2"/>
    <s v="INV00000119"/>
    <s v="C00000018"/>
    <x v="17"/>
    <s v="RA CSM 450 30kg 79m(L) X 1040mm(W)"/>
    <n v="10"/>
    <s v="Cash"/>
    <x v="0"/>
    <d v="2021-09-21T00:00:00"/>
    <n v="9"/>
    <n v="2021"/>
    <n v="2400"/>
    <n v="-2400"/>
    <n v="0"/>
    <n v="446336.14999999991"/>
    <s v="Trsf"/>
    <s v="Trsf 21/9/2021"/>
    <m/>
  </r>
  <r>
    <d v="2021-09-21T00:00:00"/>
    <n v="9"/>
    <x v="2"/>
    <s v="INV00000119"/>
    <s v="C00000018"/>
    <x v="17"/>
    <s v="RA Mepoxe M (5kg)"/>
    <n v="3"/>
    <s v="Cash"/>
    <x v="0"/>
    <d v="2021-09-21T00:00:00"/>
    <n v="9"/>
    <n v="2021"/>
    <n v="240"/>
    <n v="-240"/>
    <n v="0"/>
    <n v="446576.14999999991"/>
    <s v="Trsf"/>
    <s v="Trsf 21/9/2021"/>
    <m/>
  </r>
  <r>
    <d v="2021-09-25T00:00:00"/>
    <n v="9"/>
    <x v="2"/>
    <s v="INV00000120"/>
    <s v="C00000001"/>
    <x v="0"/>
    <s v="RA Resin 3317AW (220Kg)"/>
    <n v="1"/>
    <s v="Cash"/>
    <x v="0"/>
    <d v="2021-09-25T00:00:00"/>
    <n v="9"/>
    <n v="2021"/>
    <n v="1870"/>
    <n v="-1870"/>
    <n v="0"/>
    <n v="448446.14999999991"/>
    <s v="Trsf"/>
    <s v="Trsf 4/10/2021"/>
    <m/>
  </r>
  <r>
    <d v="2021-09-27T00:00:00"/>
    <n v="9"/>
    <x v="2"/>
    <s v="INV00000121"/>
    <s v="C00000004"/>
    <x v="3"/>
    <s v="RA Resin 3338AW (220kg)"/>
    <n v="5"/>
    <n v="120"/>
    <x v="2"/>
    <d v="2022-01-25T00:00:00"/>
    <n v="1"/>
    <n v="2022"/>
    <n v="8690"/>
    <n v="-8690"/>
    <n v="0"/>
    <n v="457136.14999999991"/>
    <s v="Chq"/>
    <s v="Chq HLB009259 dd 170122"/>
    <m/>
  </r>
  <r>
    <d v="2021-09-27T00:00:00"/>
    <n v="9"/>
    <x v="2"/>
    <s v="INV00000121"/>
    <s v="C00000004"/>
    <x v="3"/>
    <s v="RA Resin 3338NW (220kg)"/>
    <n v="1"/>
    <n v="120"/>
    <x v="2"/>
    <d v="2022-01-25T00:00:00"/>
    <n v="1"/>
    <n v="2022"/>
    <n v="1738"/>
    <n v="-1738"/>
    <n v="0"/>
    <n v="458874.14999999991"/>
    <s v="Chq"/>
    <s v="Chq HLB009259 dd 170122"/>
    <m/>
  </r>
  <r>
    <d v="2021-09-27T00:00:00"/>
    <n v="9"/>
    <x v="2"/>
    <s v="INV00000121"/>
    <s v="C00000004"/>
    <x v="3"/>
    <s v="RA CSM 450 TWL 60kg 64m(L) X 2080mm(W)"/>
    <n v="4"/>
    <n v="120"/>
    <x v="2"/>
    <d v="2022-01-25T00:00:00"/>
    <n v="1"/>
    <n v="2022"/>
    <n v="2016"/>
    <n v="-2016"/>
    <n v="0"/>
    <n v="460890.14999999991"/>
    <s v="Chq"/>
    <s v="Chq HLB009259 dd 170122"/>
    <m/>
  </r>
  <r>
    <d v="2021-09-27T00:00:00"/>
    <n v="9"/>
    <x v="2"/>
    <s v="INV00000121"/>
    <s v="C00000004"/>
    <x v="3"/>
    <s v="RA Mepoxe M (5kg)"/>
    <n v="1"/>
    <n v="120"/>
    <x v="2"/>
    <d v="2022-01-25T00:00:00"/>
    <n v="1"/>
    <n v="2022"/>
    <n v="80"/>
    <n v="-80"/>
    <n v="0"/>
    <n v="460970.14999999991"/>
    <s v="Chq"/>
    <s v="Chq HLB009259 dd 170122"/>
    <m/>
  </r>
  <r>
    <d v="2021-09-28T00:00:00"/>
    <n v="9"/>
    <x v="2"/>
    <s v="INV00000122"/>
    <s v="C00000005"/>
    <x v="4"/>
    <s v="RA Resin 3317AW (220Kg)"/>
    <n v="1"/>
    <s v="Cash"/>
    <x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n v="9"/>
    <x v="2"/>
    <s v="INV00000123"/>
    <s v="C00000004"/>
    <x v="3"/>
    <s v="RA Butanox M50 (5Kg)"/>
    <n v="3"/>
    <n v="120"/>
    <x v="2"/>
    <d v="2022-01-28T00:00:00"/>
    <n v="1"/>
    <n v="2022"/>
    <n v="240"/>
    <n v="-240"/>
    <n v="0"/>
    <n v="463036.14999999991"/>
    <s v="Chq"/>
    <s v="Chq HLB009259 dd 170122"/>
    <m/>
  </r>
  <r>
    <d v="2021-10-01T00:00:00"/>
    <n v="10"/>
    <x v="2"/>
    <s v="INV00000124"/>
    <s v="C00000006"/>
    <x v="5"/>
    <s v="RA Gelcoat GP-H (20Kg)"/>
    <n v="1"/>
    <s v="Cash"/>
    <x v="0"/>
    <d v="2021-10-01T00:00:00"/>
    <n v="10"/>
    <n v="2021"/>
    <n v="240"/>
    <n v="-240"/>
    <n v="0"/>
    <n v="463276.14999999991"/>
    <s v="Chq"/>
    <s v="chq 934897 5/11/2021"/>
    <m/>
  </r>
  <r>
    <d v="2021-10-02T00:00:00"/>
    <n v="10"/>
    <x v="2"/>
    <s v="INV00000125"/>
    <s v="C00000019"/>
    <x v="18"/>
    <s v="RA Resin 3338AW (220kg)"/>
    <n v="2"/>
    <s v="Cash"/>
    <x v="0"/>
    <d v="2021-10-02T00:00:00"/>
    <n v="10"/>
    <n v="2021"/>
    <n v="3696"/>
    <n v="-3696"/>
    <n v="0"/>
    <n v="466972.14999999991"/>
    <s v="Trsf"/>
    <s v="Trsf 2/10/2021"/>
    <m/>
  </r>
  <r>
    <d v="2021-10-02T00:00:00"/>
    <n v="10"/>
    <x v="2"/>
    <s v="INV00000125"/>
    <s v="C00000019"/>
    <x v="18"/>
    <s v="RA CSM 450 GSM 54kg 64m(L) X 1860mm(W)"/>
    <n v="1"/>
    <s v="Cash"/>
    <x v="0"/>
    <d v="2021-10-02T00:00:00"/>
    <n v="10"/>
    <n v="2021"/>
    <n v="475.2"/>
    <n v="-475.2"/>
    <n v="0"/>
    <n v="467447.34999999992"/>
    <s v="Trsf"/>
    <s v="Trsf 2/10/2021"/>
    <m/>
  </r>
  <r>
    <d v="2021-10-02T00:00:00"/>
    <n v="10"/>
    <x v="2"/>
    <s v="INV00000125"/>
    <s v="C00000019"/>
    <x v="18"/>
    <s v="RE Frekote 770NC (1 Gallon)"/>
    <n v="2"/>
    <s v="Cash"/>
    <x v="0"/>
    <d v="2021-10-02T00:00:00"/>
    <n v="10"/>
    <n v="2021"/>
    <n v="720"/>
    <n v="-720"/>
    <n v="0"/>
    <n v="468167.34999999992"/>
    <s v="Trsf"/>
    <s v="Trsf 2/10/2021"/>
    <m/>
  </r>
  <r>
    <d v="2021-10-02T00:00:00"/>
    <n v="10"/>
    <x v="2"/>
    <s v="INV00000125"/>
    <s v="C00000019"/>
    <x v="18"/>
    <s v="RA Talcum Powder (25kg)"/>
    <n v="3"/>
    <s v="Cash"/>
    <x v="0"/>
    <d v="2021-10-02T00:00:00"/>
    <n v="10"/>
    <n v="2021"/>
    <n v="165"/>
    <n v="-165"/>
    <n v="0"/>
    <n v="468332.34999999992"/>
    <s v="Trsf"/>
    <s v="Trsf 2/10/2021"/>
    <m/>
  </r>
  <r>
    <d v="2021-10-05T00:00:00"/>
    <n v="10"/>
    <x v="2"/>
    <s v="INV00000126"/>
    <s v="C00000019"/>
    <x v="18"/>
    <s v="RA Butanox M50 (5kg)"/>
    <n v="1"/>
    <s v="Cash"/>
    <x v="0"/>
    <d v="2021-10-05T00:00:00"/>
    <n v="10"/>
    <n v="2021"/>
    <n v="100"/>
    <n v="-100"/>
    <n v="0"/>
    <n v="468432.34999999992"/>
    <s v="Trsf"/>
    <s v="Trsf 11/10/2021"/>
    <m/>
  </r>
  <r>
    <d v="2021-10-05T00:00:00"/>
    <n v="10"/>
    <x v="2"/>
    <s v="INV00000127"/>
    <s v="C00000010"/>
    <x v="9"/>
    <s v="RA Resin 3338AW (220kg)"/>
    <n v="6"/>
    <n v="120"/>
    <x v="2"/>
    <d v="2022-02-02T00:00:00"/>
    <n v="2"/>
    <n v="2022"/>
    <n v="10428"/>
    <n v="-10428"/>
    <n v="0"/>
    <n v="478860.34999999992"/>
    <s v="Trsf"/>
    <s v="Trsf 10/2/2022 RM35,864.00"/>
    <m/>
  </r>
  <r>
    <d v="2021-10-05T00:00:00"/>
    <n v="10"/>
    <x v="2"/>
    <s v="INV00000127"/>
    <s v="C00000010"/>
    <x v="9"/>
    <s v="RA CSM 450 30kg 79m(L) X 1040mm(W)"/>
    <n v="4"/>
    <n v="120"/>
    <x v="2"/>
    <d v="2022-02-02T00:00:00"/>
    <n v="2"/>
    <n v="2022"/>
    <n v="1258"/>
    <n v="-1258"/>
    <n v="0"/>
    <n v="480118.34999999992"/>
    <s v="Trsf"/>
    <s v="Trsf 10/2/2022 RM35,864.00"/>
    <m/>
  </r>
  <r>
    <d v="2021-10-05T00:00:00"/>
    <n v="10"/>
    <x v="2"/>
    <s v="INV00000127"/>
    <s v="C00000010"/>
    <x v="9"/>
    <s v="RA Talcum Powder (25kg)"/>
    <n v="5"/>
    <n v="120"/>
    <x v="2"/>
    <d v="2022-02-02T00:00:00"/>
    <n v="2"/>
    <n v="2022"/>
    <n v="275"/>
    <n v="-275"/>
    <n v="0"/>
    <n v="480393.34999999992"/>
    <s v="Trsf"/>
    <s v="Trsf 10/2/2022 RM35,864.00"/>
    <m/>
  </r>
  <r>
    <d v="2021-10-05T00:00:00"/>
    <n v="10"/>
    <x v="2"/>
    <s v="INV00000127"/>
    <s v="C00000010"/>
    <x v="9"/>
    <s v="RA Mepoxe M (5kg)"/>
    <n v="2"/>
    <n v="120"/>
    <x v="2"/>
    <d v="2022-02-02T00:00:00"/>
    <n v="2"/>
    <n v="2022"/>
    <n v="160"/>
    <n v="-160"/>
    <n v="0"/>
    <n v="480553.34999999992"/>
    <s v="Trsf"/>
    <s v="Trsf 10/2/2022 RM35,864.00"/>
    <m/>
  </r>
  <r>
    <d v="2021-10-07T00:00:00"/>
    <n v="10"/>
    <x v="2"/>
    <s v="INV00000128"/>
    <s v="C00000003"/>
    <x v="2"/>
    <s v="RF Resin 3317AW (220Kg)"/>
    <n v="1"/>
    <n v="45"/>
    <x v="1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n v="10"/>
    <x v="2"/>
    <s v="INV00000128"/>
    <s v="C00000003"/>
    <x v="2"/>
    <s v="RA Talcum Powder (25Kg)"/>
    <n v="6"/>
    <n v="45"/>
    <x v="1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n v="10"/>
    <x v="2"/>
    <s v="INV00000128"/>
    <s v="C00000003"/>
    <x v="2"/>
    <s v="RA Mepoxe M (5kg)"/>
    <n v="2"/>
    <n v="45"/>
    <x v="1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n v="10"/>
    <x v="2"/>
    <s v="INV00000129"/>
    <s v="C00000003"/>
    <x v="2"/>
    <s v="RI Silicone Rubber (25kg)"/>
    <n v="1"/>
    <n v="45"/>
    <x v="1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n v="10"/>
    <x v="2"/>
    <s v="INV00000130"/>
    <s v="C00000020"/>
    <x v="19"/>
    <s v="RA Nor 3338NW (220Kg)"/>
    <n v="1"/>
    <s v="Cash"/>
    <x v="0"/>
    <d v="2021-10-09T00:00:00"/>
    <n v="10"/>
    <n v="2021"/>
    <n v="1760"/>
    <n v="-1760"/>
    <n v="0"/>
    <n v="485943.34999999992"/>
    <s v="Trsf"/>
    <s v="Trsf 11/10/2021"/>
    <m/>
  </r>
  <r>
    <d v="2021-10-11T00:00:00"/>
    <n v="10"/>
    <x v="2"/>
    <s v="INV00000131"/>
    <s v="C00000013a"/>
    <x v="12"/>
    <s v="RA Talcum Powder (25kg)"/>
    <n v="2"/>
    <s v="Cash"/>
    <x v="0"/>
    <d v="2021-10-11T00:00:00"/>
    <n v="10"/>
    <n v="2021"/>
    <n v="125"/>
    <n v="-125"/>
    <n v="0"/>
    <n v="486068.34999999992"/>
    <s v="Chq"/>
    <s v="Trsf 11/10/2021"/>
    <m/>
  </r>
  <r>
    <d v="2021-10-11T00:00:00"/>
    <n v="10"/>
    <x v="2"/>
    <s v="INV00000131"/>
    <s v="C00000013a"/>
    <x v="12"/>
    <s v="RA Mepoxe M (5kg)"/>
    <n v="1"/>
    <s v="Cash"/>
    <x v="0"/>
    <d v="2021-10-11T00:00:00"/>
    <n v="10"/>
    <n v="2021"/>
    <n v="80"/>
    <n v="-80"/>
    <n v="0"/>
    <n v="486148.34999999992"/>
    <s v="Chq"/>
    <s v="Trsf 11/10/2021"/>
    <m/>
  </r>
  <r>
    <d v="2021-10-12T00:00:00"/>
    <n v="10"/>
    <x v="2"/>
    <s v="INV00000132"/>
    <s v="C00000020"/>
    <x v="19"/>
    <s v="RA Resin SHCP268W (225kg)"/>
    <n v="4"/>
    <s v="Cash"/>
    <x v="0"/>
    <d v="2021-10-12T00:00:00"/>
    <n v="10"/>
    <n v="2021"/>
    <n v="7650"/>
    <n v="-7650"/>
    <n v="0"/>
    <n v="493798.34999999992"/>
    <s v="Trsf"/>
    <s v="Trsf 13/10/2021"/>
    <m/>
  </r>
  <r>
    <d v="2021-10-12T00:00:00"/>
    <n v="10"/>
    <x v="2"/>
    <s v="INV00000132"/>
    <s v="C00000020"/>
    <x v="19"/>
    <s v="RA CSM 450 TWL (37Kg) 1040mm"/>
    <n v="10"/>
    <s v="Cash"/>
    <x v="0"/>
    <d v="2021-10-12T00:00:00"/>
    <n v="10"/>
    <n v="2021"/>
    <n v="3182"/>
    <n v="-3182"/>
    <n v="0"/>
    <n v="496980.34999999992"/>
    <s v="Trsf"/>
    <s v="Trsf 13/10/2021"/>
    <m/>
  </r>
  <r>
    <d v="2021-10-12T00:00:00"/>
    <n v="10"/>
    <x v="2"/>
    <s v="INV00000132"/>
    <s v="C00000020"/>
    <x v="19"/>
    <s v="RA Talcum Powder (25kg)"/>
    <n v="2"/>
    <s v="Cash"/>
    <x v="0"/>
    <d v="2021-10-12T00:00:00"/>
    <n v="10"/>
    <n v="2021"/>
    <n v="125"/>
    <n v="-125"/>
    <n v="0"/>
    <n v="497105.34999999992"/>
    <s v="Trsf"/>
    <s v="Trsf 13/10/2021"/>
    <m/>
  </r>
  <r>
    <d v="2021-10-12T00:00:00"/>
    <n v="10"/>
    <x v="2"/>
    <s v="INV00000132"/>
    <s v="C00000020"/>
    <x v="19"/>
    <s v="RA Mepoxe M (5kg)"/>
    <n v="4"/>
    <s v="Cash"/>
    <x v="0"/>
    <d v="2021-10-12T00:00:00"/>
    <n v="10"/>
    <n v="2021"/>
    <n v="320"/>
    <n v="-320"/>
    <n v="0"/>
    <n v="497425.34999999992"/>
    <s v="Trsf"/>
    <s v="Trsf 13/10/2021"/>
    <m/>
  </r>
  <r>
    <d v="2021-10-12T00:00:00"/>
    <n v="10"/>
    <x v="2"/>
    <s v="INV00000132"/>
    <s v="C00000020"/>
    <x v="19"/>
    <s v="RA Woven Roving E-600 (45kg) 1120mm"/>
    <n v="4"/>
    <s v="Cash"/>
    <x v="0"/>
    <d v="2021-10-12T00:00:00"/>
    <n v="10"/>
    <n v="2021"/>
    <n v="1350"/>
    <n v="-1350"/>
    <n v="0"/>
    <n v="498775.34999999992"/>
    <s v="Trsf"/>
    <s v="Trsf 13/10/2021"/>
    <m/>
  </r>
  <r>
    <d v="2021-10-13T00:00:00"/>
    <n v="10"/>
    <x v="2"/>
    <s v="INV00000133"/>
    <s v="C00000019"/>
    <x v="18"/>
    <s v="RA Resin 3338AW (220kg)"/>
    <n v="2"/>
    <s v="Cash"/>
    <x v="0"/>
    <d v="2021-10-13T00:00:00"/>
    <n v="10"/>
    <n v="2021"/>
    <n v="3696"/>
    <n v="-3696"/>
    <n v="0"/>
    <n v="502471.34999999992"/>
    <s v="Trsf"/>
    <s v="Trsf 14/10/2021"/>
    <m/>
  </r>
  <r>
    <d v="2021-10-13T00:00:00"/>
    <n v="10"/>
    <x v="2"/>
    <s v="INV00000133"/>
    <s v="C00000019"/>
    <x v="18"/>
    <s v="RG CSM 450 CQ 54kg 64m(L) X 1860mm(W)"/>
    <n v="2"/>
    <s v="Cash"/>
    <x v="0"/>
    <d v="2021-10-13T00:00:00"/>
    <n v="10"/>
    <n v="2021"/>
    <n v="950.4"/>
    <n v="-950.4"/>
    <n v="0"/>
    <n v="503421.74999999994"/>
    <s v="Trsf"/>
    <s v="Trsf 14/10/2021"/>
    <m/>
  </r>
  <r>
    <d v="2021-10-13T00:00:00"/>
    <n v="10"/>
    <x v="2"/>
    <s v="INV00000133"/>
    <s v="C00000019"/>
    <x v="18"/>
    <s v="RA Aerosil (Silica Fume) (10Kg)"/>
    <n v="1"/>
    <s v="Cash"/>
    <x v="0"/>
    <d v="2021-10-13T00:00:00"/>
    <n v="10"/>
    <n v="2021"/>
    <n v="360"/>
    <n v="-360"/>
    <n v="0"/>
    <n v="503781.74999999994"/>
    <s v="Trsf"/>
    <s v="Trsf 14/10/2021"/>
    <m/>
  </r>
  <r>
    <d v="2021-10-14T00:00:00"/>
    <n v="10"/>
    <x v="2"/>
    <s v="INV00000134"/>
    <s v="C00000019"/>
    <x v="18"/>
    <s v="RJ TR104 Hi Temp Wax"/>
    <n v="6"/>
    <s v="Cash"/>
    <x v="0"/>
    <d v="2021-10-14T00:00:00"/>
    <n v="10"/>
    <n v="2021"/>
    <n v="300"/>
    <n v="-300"/>
    <n v="0"/>
    <n v="504081.74999999994"/>
    <s v="Trsf"/>
    <s v="Trsf 14/10/2021"/>
    <m/>
  </r>
  <r>
    <d v="2021-10-14T00:00:00"/>
    <n v="10"/>
    <x v="2"/>
    <s v="INV00000134"/>
    <s v="C00000019"/>
    <x v="18"/>
    <s v="RA Butanox M50 (5kg)"/>
    <n v="1"/>
    <s v="Cash"/>
    <x v="0"/>
    <d v="2021-10-14T00:00:00"/>
    <n v="10"/>
    <n v="2021"/>
    <n v="100"/>
    <n v="-100"/>
    <n v="0"/>
    <n v="504181.74999999994"/>
    <s v="Trsf"/>
    <s v="Trsf 14/10/2021"/>
    <m/>
  </r>
  <r>
    <d v="2021-10-14T00:00:00"/>
    <n v="10"/>
    <x v="2"/>
    <s v="INV00000135"/>
    <s v="C00000009"/>
    <x v="8"/>
    <s v="RA CSM 450 TWL 60kg 64m(L) X 2080mm(W)"/>
    <n v="10"/>
    <n v="60"/>
    <x v="3"/>
    <d v="2021-12-13T00:00:00"/>
    <n v="12"/>
    <n v="2021"/>
    <n v="5100"/>
    <n v="-5100"/>
    <n v="0"/>
    <n v="509281.74999999994"/>
    <s v="Chq"/>
    <s v="Chq HLB013309 dd 260122"/>
    <m/>
  </r>
  <r>
    <d v="2021-10-15T00:00:00"/>
    <n v="10"/>
    <x v="2"/>
    <s v="INV00000136"/>
    <s v="C00000014"/>
    <x v="13"/>
    <s v="RA VE Resin (25kg)"/>
    <n v="3"/>
    <s v="Cash"/>
    <x v="0"/>
    <d v="2021-10-15T00:00:00"/>
    <n v="10"/>
    <n v="2021"/>
    <n v="2025"/>
    <n v="-2025"/>
    <n v="0"/>
    <n v="511306.74999999994"/>
    <s v="Cash"/>
    <s v="Cash 17/10/2021"/>
    <m/>
  </r>
  <r>
    <d v="2021-10-15T00:00:00"/>
    <n v="10"/>
    <x v="2"/>
    <s v="INV00000136"/>
    <s v="C00000014"/>
    <x v="13"/>
    <s v="RA CSM 450 TWL (37Kg) 1040mm"/>
    <n v="2"/>
    <s v="Cash"/>
    <x v="0"/>
    <d v="2021-10-15T00:00:00"/>
    <n v="10"/>
    <n v="2021"/>
    <n v="516"/>
    <n v="-516"/>
    <n v="0"/>
    <n v="511822.74999999994"/>
    <s v="Cash"/>
    <s v="Cash 17/10/2021"/>
    <m/>
  </r>
  <r>
    <d v="2021-10-15T00:00:00"/>
    <n v="10"/>
    <x v="2"/>
    <s v="INV00000136"/>
    <s v="C00000014"/>
    <x v="13"/>
    <s v="RA Talcum Powder (25kg)"/>
    <n v="1"/>
    <s v="Cash"/>
    <x v="0"/>
    <d v="2021-10-15T00:00:00"/>
    <n v="10"/>
    <n v="2021"/>
    <n v="55"/>
    <n v="-55"/>
    <n v="0"/>
    <n v="511877.74999999994"/>
    <s v="Cash"/>
    <s v="Cash 17/10/2021"/>
    <m/>
  </r>
  <r>
    <d v="2021-10-15T00:00:00"/>
    <n v="10"/>
    <x v="2"/>
    <s v="INV00000136"/>
    <s v="C00000014"/>
    <x v="13"/>
    <s v="RA Mepoxe M (5kg)"/>
    <n v="1"/>
    <s v="Cash"/>
    <x v="0"/>
    <d v="2021-10-15T00:00:00"/>
    <n v="10"/>
    <n v="2021"/>
    <n v="80"/>
    <n v="-80"/>
    <n v="0"/>
    <n v="511957.74999999994"/>
    <s v="Cash"/>
    <s v="Cash 17/10/2021"/>
    <m/>
  </r>
  <r>
    <d v="2021-10-15T00:00:00"/>
    <n v="10"/>
    <x v="2"/>
    <s v="INV00000137"/>
    <s v="C00000005"/>
    <x v="4"/>
    <s v="RA Resin 3317AW (220Kg)"/>
    <n v="1"/>
    <s v="Cash"/>
    <x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n v="10"/>
    <x v="2"/>
    <s v="INV00000137"/>
    <s v="C00000005"/>
    <x v="4"/>
    <s v="RA Butanox M50 (5kg)"/>
    <n v="1"/>
    <s v="Cash"/>
    <x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n v="10"/>
    <x v="2"/>
    <s v="INV00000138"/>
    <s v="C00000020"/>
    <x v="19"/>
    <s v="RA CSM 450 30kg 79m(L) X 1040mm(W)"/>
    <n v="2"/>
    <s v="Cash"/>
    <x v="0"/>
    <d v="2021-10-15T00:00:00"/>
    <n v="10"/>
    <n v="2021"/>
    <n v="636.4"/>
    <n v="-636.4"/>
    <n v="0"/>
    <n v="514520.14999999997"/>
    <s v="Trsf"/>
    <s v="Trsf 16/10/2021"/>
    <m/>
  </r>
  <r>
    <d v="2021-10-15T00:00:00"/>
    <n v="10"/>
    <x v="2"/>
    <s v="INV00000138"/>
    <s v="C00000020"/>
    <x v="19"/>
    <s v="RA Woven Roving E-600 (45kg) 1120mm"/>
    <n v="2"/>
    <s v="Cash"/>
    <x v="0"/>
    <d v="2021-10-15T00:00:00"/>
    <n v="10"/>
    <n v="2021"/>
    <n v="675"/>
    <n v="-675"/>
    <n v="0"/>
    <n v="515195.14999999997"/>
    <s v="Trsf"/>
    <s v="Trsf 16/10/2021"/>
    <m/>
  </r>
  <r>
    <d v="2021-10-18T00:00:00"/>
    <n v="10"/>
    <x v="2"/>
    <s v="INV00000139"/>
    <s v="C00000020"/>
    <x v="19"/>
    <s v="RA GP ResinW (225Kg)"/>
    <n v="2"/>
    <s v="Cash"/>
    <x v="0"/>
    <d v="2021-10-18T00:00:00"/>
    <n v="10"/>
    <n v="2021"/>
    <n v="3825"/>
    <n v="-3825"/>
    <n v="0"/>
    <n v="519020.14999999997"/>
    <s v="Trsf"/>
    <s v="Trsf 1/11/2021"/>
    <m/>
  </r>
  <r>
    <d v="2021-10-18T00:00:00"/>
    <n v="10"/>
    <x v="2"/>
    <s v="INV00000139"/>
    <s v="C00000020"/>
    <x v="19"/>
    <s v="RA Nor 3338W (220Kg)"/>
    <n v="2"/>
    <s v="Cash"/>
    <x v="0"/>
    <d v="2021-10-18T00:00:00"/>
    <n v="10"/>
    <n v="2021"/>
    <n v="3740"/>
    <n v="-3740"/>
    <n v="0"/>
    <n v="522760.14999999997"/>
    <s v="Trsf"/>
    <s v="Trsf 1/11/2021"/>
    <m/>
  </r>
  <r>
    <d v="2021-10-18T00:00:00"/>
    <n v="10"/>
    <x v="2"/>
    <s v="INV00000139"/>
    <s v="C00000020"/>
    <x v="19"/>
    <s v="RA CSM 450 TWL (37Kg) 1040mm"/>
    <n v="6"/>
    <s v="Cash"/>
    <x v="0"/>
    <d v="2021-10-18T00:00:00"/>
    <n v="10"/>
    <n v="2021"/>
    <n v="1909.2"/>
    <n v="-1909.2"/>
    <n v="0"/>
    <n v="524669.35"/>
    <s v="Trsf"/>
    <s v="Trsf 1/11/2021"/>
    <m/>
  </r>
  <r>
    <d v="2021-10-18T00:00:00"/>
    <n v="10"/>
    <x v="2"/>
    <s v="INV00000139"/>
    <s v="C00000020"/>
    <x v="19"/>
    <s v="RA Talcum Powder (25kg)"/>
    <n v="7"/>
    <s v="Cash"/>
    <x v="0"/>
    <d v="2021-10-18T00:00:00"/>
    <n v="10"/>
    <n v="2021"/>
    <n v="437.5"/>
    <n v="-437.5"/>
    <n v="0"/>
    <n v="525106.85"/>
    <s v="Trsf"/>
    <s v="Trsf 1/11/2021"/>
    <m/>
  </r>
  <r>
    <d v="2021-10-18T00:00:00"/>
    <n v="10"/>
    <x v="2"/>
    <s v="INV00000139"/>
    <s v="C00000020"/>
    <x v="19"/>
    <s v="RA Mepoxe M (5kg)"/>
    <n v="2"/>
    <s v="Cash"/>
    <x v="0"/>
    <d v="2021-10-18T00:00:00"/>
    <n v="10"/>
    <n v="2021"/>
    <n v="160"/>
    <n v="-160"/>
    <n v="0"/>
    <n v="525266.85"/>
    <s v="Trsf"/>
    <s v="Trsf 1/11/2021"/>
    <m/>
  </r>
  <r>
    <d v="2021-10-18T00:00:00"/>
    <n v="10"/>
    <x v="2"/>
    <s v="INV00000139"/>
    <s v="C00000020"/>
    <x v="19"/>
    <s v="RA Woven Roving E-600 (45kg) 1120mm"/>
    <n v="9"/>
    <s v="Cash"/>
    <x v="0"/>
    <d v="2021-10-18T00:00:00"/>
    <n v="10"/>
    <n v="2021"/>
    <n v="3037.5"/>
    <n v="-3037.5"/>
    <n v="0"/>
    <n v="528304.35"/>
    <s v="Trsf"/>
    <s v="Trsf 1/11/2021"/>
    <m/>
  </r>
  <r>
    <d v="2021-10-19T00:00:00"/>
    <n v="10"/>
    <x v="2"/>
    <s v="INV00000140"/>
    <s v="C00000020"/>
    <x v="19"/>
    <s v="RK Smooth Cream (25kg)"/>
    <n v="1"/>
    <s v="Cash"/>
    <x v="0"/>
    <d v="2021-10-19T00:00:00"/>
    <n v="10"/>
    <n v="2021"/>
    <n v="1000"/>
    <n v="-1000"/>
    <n v="0"/>
    <n v="529304.35"/>
    <s v="Trsf"/>
    <s v="Trsf 1/11/2021"/>
    <m/>
  </r>
  <r>
    <d v="2021-10-20T00:00:00"/>
    <n v="10"/>
    <x v="2"/>
    <s v="INV00000141"/>
    <s v="C00000020"/>
    <x v="19"/>
    <s v="RA GP ResinW (225Kg)"/>
    <n v="2"/>
    <s v="Cash"/>
    <x v="0"/>
    <d v="2021-10-20T00:00:00"/>
    <n v="10"/>
    <n v="2021"/>
    <n v="3825"/>
    <n v="-3825"/>
    <n v="0"/>
    <n v="533129.35"/>
    <s v="Trsf"/>
    <s v="Trsf 10/11/21"/>
    <m/>
  </r>
  <r>
    <d v="2021-10-20T00:00:00"/>
    <n v="10"/>
    <x v="2"/>
    <s v="INV00000141"/>
    <s v="C00000020"/>
    <x v="19"/>
    <s v="RA Nor 3338W (220Kg)"/>
    <n v="1"/>
    <s v="Cash"/>
    <x v="0"/>
    <d v="2021-10-20T00:00:00"/>
    <n v="10"/>
    <n v="2021"/>
    <n v="1870"/>
    <n v="-1870"/>
    <n v="0"/>
    <n v="534999.35"/>
    <s v="Trsf"/>
    <s v="Trsf 10/11/21"/>
    <m/>
  </r>
  <r>
    <d v="2021-10-20T00:00:00"/>
    <n v="10"/>
    <x v="2"/>
    <s v="INV00000141"/>
    <s v="C00000020"/>
    <x v="19"/>
    <s v="RA CSM 450 TWL (37Kg) 1040mm"/>
    <n v="12"/>
    <s v="Cash"/>
    <x v="0"/>
    <d v="2021-10-20T00:00:00"/>
    <n v="10"/>
    <n v="2021"/>
    <n v="3818.4"/>
    <n v="-3818.4"/>
    <n v="0"/>
    <n v="538817.75"/>
    <s v="Trsf"/>
    <s v="Trsf 10/11/21"/>
    <m/>
  </r>
  <r>
    <d v="2021-10-20T00:00:00"/>
    <n v="10"/>
    <x v="2"/>
    <s v="INV00000141"/>
    <s v="C00000020"/>
    <x v="19"/>
    <s v="RA Mepoxe M (5kg)"/>
    <n v="2"/>
    <s v="Cash"/>
    <x v="0"/>
    <d v="2021-10-20T00:00:00"/>
    <n v="10"/>
    <n v="2021"/>
    <n v="160"/>
    <n v="-160"/>
    <n v="0"/>
    <n v="538977.75"/>
    <s v="Trsf"/>
    <s v="Trsf 10/11/21"/>
    <m/>
  </r>
  <r>
    <d v="2021-10-23T00:00:00"/>
    <n v="10"/>
    <x v="2"/>
    <s v="INV00000142"/>
    <s v="C00000008"/>
    <x v="7"/>
    <s v="RA Resin 3317AW (220Kg)"/>
    <n v="1"/>
    <s v="Cash"/>
    <x v="0"/>
    <d v="2021-10-23T00:00:00"/>
    <n v="10"/>
    <n v="2021"/>
    <n v="1892"/>
    <n v="-1892"/>
    <n v="0"/>
    <n v="540869.75"/>
    <s v="Trsf"/>
    <s v="Trsf 25/10/21"/>
    <m/>
  </r>
  <r>
    <d v="2021-10-23T00:00:00"/>
    <n v="10"/>
    <x v="2"/>
    <s v="INV00000142"/>
    <s v="C00000008"/>
    <x v="7"/>
    <s v="RA CSM 450 30kg 79m(L) X 1040mm(W)"/>
    <n v="2"/>
    <s v="Cash"/>
    <x v="0"/>
    <d v="2021-10-23T00:00:00"/>
    <n v="10"/>
    <n v="2021"/>
    <n v="510"/>
    <n v="-510"/>
    <n v="0"/>
    <n v="541379.75"/>
    <s v="Trsf"/>
    <s v="Trsf 25/10/21"/>
    <m/>
  </r>
  <r>
    <d v="2021-10-23T00:00:00"/>
    <n v="10"/>
    <x v="2"/>
    <s v="INV00000142"/>
    <s v="C00000008"/>
    <x v="7"/>
    <s v="RA Gelcoat GP-H (20Kg)"/>
    <n v="4"/>
    <s v="Cash"/>
    <x v="0"/>
    <d v="2021-10-23T00:00:00"/>
    <n v="10"/>
    <n v="2021"/>
    <n v="960"/>
    <n v="-960"/>
    <n v="0"/>
    <n v="542339.75"/>
    <s v="Trsf"/>
    <s v="Trsf 25/10/21"/>
    <m/>
  </r>
  <r>
    <d v="2021-10-26T00:00:00"/>
    <n v="10"/>
    <x v="2"/>
    <s v="INV00000143"/>
    <s v="C00000001"/>
    <x v="0"/>
    <s v="RA Resin 3317AW (220Kg)"/>
    <n v="2"/>
    <s v="Cash"/>
    <x v="0"/>
    <d v="2021-10-26T00:00:00"/>
    <n v="10"/>
    <n v="2021"/>
    <n v="3740"/>
    <n v="-3740"/>
    <n v="0"/>
    <n v="546079.75"/>
    <s v="Trsf"/>
    <s v="Trsf 27/10/21"/>
    <m/>
  </r>
  <r>
    <d v="2021-10-26T00:00:00"/>
    <n v="10"/>
    <x v="2"/>
    <s v="INV00000143"/>
    <s v="C00000001"/>
    <x v="0"/>
    <s v="RA CSM 450 30kg 79m(L) X 1040mm(W)"/>
    <n v="8"/>
    <s v="Cash"/>
    <x v="0"/>
    <d v="2021-10-26T00:00:00"/>
    <n v="10"/>
    <n v="2021"/>
    <n v="2516"/>
    <n v="-2516"/>
    <n v="0"/>
    <n v="548595.75"/>
    <s v="Trsf"/>
    <s v="Trsf 27/10/21"/>
    <m/>
  </r>
  <r>
    <d v="2021-10-26T00:00:00"/>
    <n v="10"/>
    <x v="2"/>
    <s v="INV00000143"/>
    <s v="C00000001"/>
    <x v="0"/>
    <s v="RA Butanox M50 (5kg)"/>
    <n v="4"/>
    <s v="Cash"/>
    <x v="0"/>
    <d v="2021-10-26T00:00:00"/>
    <n v="10"/>
    <n v="2021"/>
    <n v="400"/>
    <n v="-400"/>
    <n v="0"/>
    <n v="548995.75"/>
    <s v="Trsf"/>
    <s v="Trsf 27/10/21"/>
    <m/>
  </r>
  <r>
    <d v="2021-10-26T00:00:00"/>
    <n v="10"/>
    <x v="2"/>
    <s v="INV00000143"/>
    <s v="C00000001"/>
    <x v="0"/>
    <s v="RA Styrene Monomer (6Kg)"/>
    <n v="1"/>
    <s v="Cash"/>
    <x v="0"/>
    <d v="2021-10-26T00:00:00"/>
    <n v="10"/>
    <n v="2021"/>
    <n v="0"/>
    <n v="0"/>
    <n v="0"/>
    <n v="548995.75"/>
    <s v="Trsf"/>
    <m/>
    <m/>
  </r>
  <r>
    <d v="2021-10-26T00:00:00"/>
    <n v="10"/>
    <x v="2"/>
    <s v="INV00000144"/>
    <s v="C00000020"/>
    <x v="19"/>
    <s v="RA Resin 3317AW (220Kg)"/>
    <n v="2"/>
    <s v="Cash"/>
    <x v="0"/>
    <d v="2021-10-26T00:00:00"/>
    <n v="10"/>
    <n v="2021"/>
    <n v="3916"/>
    <n v="-3916"/>
    <n v="0"/>
    <n v="552911.75"/>
    <s v="Trsf"/>
    <s v="Trsf 13/11/21, RM7,000.00"/>
    <m/>
  </r>
  <r>
    <d v="2021-10-26T00:00:00"/>
    <n v="10"/>
    <x v="2"/>
    <s v="INV00000144"/>
    <s v="C00000020"/>
    <x v="19"/>
    <s v="RA Nor 3338W (220Kg)"/>
    <n v="2"/>
    <s v="Cash"/>
    <x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n v="10"/>
    <x v="2"/>
    <s v="INV00000144"/>
    <s v="C00000020"/>
    <x v="19"/>
    <s v="RA CSM 450 30kg 79m(L) X 1040mm(W)"/>
    <n v="14"/>
    <s v="Cash"/>
    <x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n v="10"/>
    <x v="2"/>
    <s v="INV00000144"/>
    <s v="C00000020"/>
    <x v="19"/>
    <s v="RA Talcum Powder (25kg)"/>
    <n v="6"/>
    <s v="Cash"/>
    <x v="0"/>
    <d v="2021-10-26T00:00:00"/>
    <n v="10"/>
    <n v="2021"/>
    <n v="375"/>
    <n v="-375"/>
    <n v="0"/>
    <n v="561812.94999999995"/>
    <s v="Trsf"/>
    <s v="Trsf 10/12/21-RM20,000.00"/>
    <m/>
  </r>
  <r>
    <d v="2021-10-26T00:00:00"/>
    <n v="10"/>
    <x v="2"/>
    <s v="INV00000144"/>
    <s v="C00000020"/>
    <x v="19"/>
    <s v="RA Woven Roving E-600 (45kg) 1120mm"/>
    <n v="9"/>
    <s v="Cash"/>
    <x v="0"/>
    <d v="2021-10-26T00:00:00"/>
    <n v="10"/>
    <n v="2021"/>
    <n v="3159"/>
    <n v="-3159"/>
    <n v="0"/>
    <n v="564971.94999999995"/>
    <s v="Trsf"/>
    <s v="Trsf 10/12/21-RM20,000.00"/>
    <m/>
  </r>
  <r>
    <d v="2021-10-26T00:00:00"/>
    <n v="10"/>
    <x v="2"/>
    <s v="INV00000144"/>
    <s v="C00000020"/>
    <x v="19"/>
    <s v="RK Smooth Cream (25kg)"/>
    <n v="1"/>
    <s v="Cash"/>
    <x v="0"/>
    <d v="2021-10-26T00:00:00"/>
    <n v="10"/>
    <n v="2021"/>
    <n v="1000"/>
    <n v="-1000"/>
    <n v="0"/>
    <n v="565971.94999999995"/>
    <s v="Trsf"/>
    <s v="Trsf 10/12/21-RM20,000.00"/>
    <m/>
  </r>
  <r>
    <d v="2021-10-28T00:00:00"/>
    <n v="10"/>
    <x v="2"/>
    <s v="INV00000145"/>
    <s v="C00000008"/>
    <x v="7"/>
    <s v="RA CSM 450 30kg 79m(L) X 1040mm(W)"/>
    <n v="2"/>
    <s v="Cash"/>
    <x v="0"/>
    <d v="2021-10-28T00:00:00"/>
    <n v="10"/>
    <n v="2021"/>
    <n v="510"/>
    <n v="-510"/>
    <n v="0"/>
    <n v="566481.94999999995"/>
    <s v="Trsf"/>
    <s v="Trsf 21/1/2022, RM4,006.00"/>
    <m/>
  </r>
  <r>
    <d v="2021-10-27T00:00:00"/>
    <n v="10"/>
    <x v="2"/>
    <s v="INV00000146"/>
    <s v="C00000020"/>
    <x v="19"/>
    <s v="RA Resin 3317AW (220Kg)"/>
    <n v="3"/>
    <s v="Cash"/>
    <x v="0"/>
    <d v="2021-10-27T00:00:00"/>
    <n v="10"/>
    <n v="2021"/>
    <n v="5874"/>
    <n v="-5874"/>
    <n v="0"/>
    <n v="572355.94999999995"/>
    <s v="Trsf"/>
    <s v="Trsf 10/12/21-RM20,000.00"/>
    <m/>
  </r>
  <r>
    <d v="2021-10-28T00:00:00"/>
    <n v="10"/>
    <x v="2"/>
    <s v="INV00000147"/>
    <s v="C00000010"/>
    <x v="9"/>
    <s v="RA Resin 3338AW (220kg)"/>
    <n v="6"/>
    <n v="120"/>
    <x v="2"/>
    <d v="2022-02-25T00:00:00"/>
    <n v="2"/>
    <n v="2022"/>
    <n v="11748"/>
    <n v="-11748"/>
    <n v="0"/>
    <n v="584103.94999999995"/>
    <s v="Trsf"/>
    <s v="Trsf 10/2/2022 RM35,864.00"/>
    <m/>
  </r>
  <r>
    <d v="2021-10-28T00:00:00"/>
    <n v="10"/>
    <x v="2"/>
    <s v="INV00000147"/>
    <s v="C00000010"/>
    <x v="9"/>
    <s v="RA CSM 450 37kg 79m(L) X 1040mm(W)"/>
    <n v="6"/>
    <n v="120"/>
    <x v="2"/>
    <d v="2022-02-25T00:00:00"/>
    <n v="2"/>
    <n v="2022"/>
    <n v="1975.8"/>
    <n v="-1975.8"/>
    <n v="0"/>
    <n v="586079.75"/>
    <s v="Trsf"/>
    <s v="Trsf 10/2/2022 RM35,864.00"/>
    <m/>
  </r>
  <r>
    <d v="2021-10-28T00:00:00"/>
    <n v="10"/>
    <x v="2"/>
    <s v="INV00000148"/>
    <s v="C00000019"/>
    <x v="18"/>
    <s v="RE Frekote 770NC (1 Gallon)"/>
    <n v="2"/>
    <s v="Cash"/>
    <x v="0"/>
    <d v="2021-10-28T00:00:00"/>
    <n v="10"/>
    <n v="2021"/>
    <n v="720"/>
    <n v="-720"/>
    <n v="0"/>
    <n v="586799.75"/>
    <s v="Trsf"/>
    <s v="Trsf 30/10/21"/>
    <m/>
  </r>
  <r>
    <d v="2021-10-30T00:00:00"/>
    <n v="10"/>
    <x v="2"/>
    <s v="INV00000149"/>
    <s v="C00000010"/>
    <x v="9"/>
    <s v="RA Resin 3338AW (220kg)"/>
    <n v="4"/>
    <n v="120"/>
    <x v="2"/>
    <d v="2022-02-27T00:00:00"/>
    <n v="2"/>
    <n v="2022"/>
    <n v="7832"/>
    <n v="-7832"/>
    <n v="0"/>
    <n v="594631.75"/>
    <s v="Trsf"/>
    <s v="Trsf 10/2/2022 RM35,864.00"/>
    <m/>
  </r>
  <r>
    <d v="2021-10-30T00:00:00"/>
    <n v="10"/>
    <x v="2"/>
    <s v="INV00000149"/>
    <s v="C00000010"/>
    <x v="9"/>
    <s v="RA CSM 450 37kg 79m(L) X 1040mm(W)"/>
    <n v="4"/>
    <n v="120"/>
    <x v="2"/>
    <d v="2022-02-27T00:00:00"/>
    <n v="2"/>
    <n v="2022"/>
    <n v="1317.2"/>
    <n v="-1317.2"/>
    <n v="0"/>
    <n v="595948.94999999995"/>
    <s v="Trsf"/>
    <s v="Trsf 10/2/2022 RM35,864.00"/>
    <m/>
  </r>
  <r>
    <d v="2021-10-30T00:00:00"/>
    <n v="10"/>
    <x v="2"/>
    <s v="INV00000149"/>
    <s v="C00000010"/>
    <x v="9"/>
    <s v="RA Talcum Powder (25kg)"/>
    <n v="10"/>
    <n v="120"/>
    <x v="2"/>
    <d v="2022-02-27T00:00:00"/>
    <n v="2"/>
    <n v="2022"/>
    <n v="550"/>
    <n v="-550"/>
    <n v="0"/>
    <n v="596498.94999999995"/>
    <s v="Trsf"/>
    <s v="Trsf 10/2/2022 RM35,864.00"/>
    <m/>
  </r>
  <r>
    <d v="2021-10-30T00:00:00"/>
    <n v="10"/>
    <x v="2"/>
    <s v="INV00000149"/>
    <s v="C00000010"/>
    <x v="9"/>
    <s v="RA Mepoxe M (5kg)"/>
    <n v="4"/>
    <n v="120"/>
    <x v="2"/>
    <d v="2022-02-27T00:00:00"/>
    <n v="2"/>
    <n v="2022"/>
    <n v="320"/>
    <n v="-320"/>
    <n v="0"/>
    <n v="596818.94999999995"/>
    <s v="Trsf"/>
    <s v="Trsf 10/2/2022 RM35,864.00"/>
    <m/>
  </r>
  <r>
    <d v="2021-11-01T00:00:00"/>
    <n v="11"/>
    <x v="2"/>
    <s v="INV00000150"/>
    <s v="C00000005"/>
    <x v="4"/>
    <s v="RA CSM 450 37kg 79m(L) X 1040mm(W)"/>
    <n v="1"/>
    <s v="Cash"/>
    <x v="0"/>
    <d v="2021-11-01T00:00:00"/>
    <n v="11"/>
    <n v="2021"/>
    <n v="340.4"/>
    <n v="-340.4"/>
    <n v="0"/>
    <n v="597159.35"/>
    <s v="Chq"/>
    <s v="Chq 000090, cleared 19/11/21"/>
    <m/>
  </r>
  <r>
    <d v="2021-11-01T00:00:00"/>
    <n v="11"/>
    <x v="2"/>
    <s v="INV00000150"/>
    <s v="C00000005"/>
    <x v="4"/>
    <s v="RA Pigment Black (1kg)"/>
    <n v="1"/>
    <s v="Cash"/>
    <x v="0"/>
    <d v="2021-11-01T00:00:00"/>
    <n v="11"/>
    <n v="2021"/>
    <n v="40"/>
    <n v="-40"/>
    <n v="0"/>
    <n v="597199.35"/>
    <s v="Chq"/>
    <s v="Chq 000090, cleared 19/11/21"/>
    <m/>
  </r>
  <r>
    <d v="2021-11-02T00:00:00"/>
    <n v="11"/>
    <x v="2"/>
    <s v="INV00000151"/>
    <s v="C00000019"/>
    <x v="18"/>
    <s v="RA Resin 3338AW (220kg)"/>
    <n v="2"/>
    <s v="Cash"/>
    <x v="0"/>
    <d v="2021-11-02T00:00:00"/>
    <n v="11"/>
    <n v="2021"/>
    <n v="3960"/>
    <n v="-3960"/>
    <n v="0"/>
    <n v="601159.35"/>
    <s v="Trsf"/>
    <s v="Trsf 3/11/21"/>
    <m/>
  </r>
  <r>
    <d v="2021-11-02T00:00:00"/>
    <n v="11"/>
    <x v="2"/>
    <s v="INV00000151"/>
    <s v="C00000019"/>
    <x v="18"/>
    <s v="RA Talcum Powder (25kg)"/>
    <n v="6"/>
    <s v="Cash"/>
    <x v="0"/>
    <d v="2021-11-02T00:00:00"/>
    <n v="11"/>
    <n v="2021"/>
    <n v="360"/>
    <n v="-360"/>
    <n v="0"/>
    <n v="601519.35"/>
    <s v="Trsf"/>
    <s v="Trsf 3/11/21"/>
    <m/>
  </r>
  <r>
    <d v="2021-11-02T00:00:00"/>
    <n v="11"/>
    <x v="2"/>
    <s v="INV00000151"/>
    <s v="C00000019"/>
    <x v="18"/>
    <s v="RA Aerosil (Silica Fume) (10Kg)"/>
    <n v="1"/>
    <s v="Cash"/>
    <x v="0"/>
    <d v="2021-11-02T00:00:00"/>
    <n v="11"/>
    <n v="2021"/>
    <n v="440"/>
    <n v="-440"/>
    <n v="0"/>
    <n v="601959.35"/>
    <s v="Trsf"/>
    <s v="Trsf 3/11/21"/>
    <m/>
  </r>
  <r>
    <d v="2021-11-02T00:00:00"/>
    <n v="11"/>
    <x v="2"/>
    <s v="INV00000151"/>
    <s v="C00000019"/>
    <x v="18"/>
    <s v="RE Frekote 770NC (1 Gallon)"/>
    <n v="1"/>
    <s v="Cash"/>
    <x v="0"/>
    <d v="2021-11-02T00:00:00"/>
    <n v="11"/>
    <n v="2021"/>
    <n v="360"/>
    <n v="-360"/>
    <n v="0"/>
    <n v="602319.35"/>
    <s v="Trsf"/>
    <s v="Trsf 3/11/21"/>
    <m/>
  </r>
  <r>
    <d v="2021-11-02T00:00:00"/>
    <n v="11"/>
    <x v="2"/>
    <s v="INV00000152"/>
    <s v="C00000003"/>
    <x v="2"/>
    <s v="RF Resin 3317AW (220Kg)"/>
    <n v="1"/>
    <n v="45"/>
    <x v="1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n v="11"/>
    <x v="2"/>
    <s v="INV00000152"/>
    <s v="C00000003"/>
    <x v="2"/>
    <s v="RA Mepoxe M (5kg)"/>
    <n v="2"/>
    <n v="45"/>
    <x v="1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n v="11"/>
    <x v="2"/>
    <s v="INV00000153"/>
    <s v="C00000020"/>
    <x v="19"/>
    <s v="RA Resin 3317AW (220Kg)"/>
    <n v="2"/>
    <s v="Cash"/>
    <x v="0"/>
    <d v="2021-11-03T00:00:00"/>
    <n v="11"/>
    <n v="2021"/>
    <n v="4048"/>
    <n v="-4048"/>
    <n v="0"/>
    <n v="608551.35"/>
    <s v="Trsf"/>
    <s v="Trsf 10/12/21-RM20,000.00"/>
    <m/>
  </r>
  <r>
    <d v="2021-11-03T00:00:00"/>
    <n v="11"/>
    <x v="2"/>
    <s v="INV00000153"/>
    <s v="C00000020"/>
    <x v="19"/>
    <s v="RA Nor 3338W (220Kg)"/>
    <n v="3"/>
    <s v="Cash"/>
    <x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n v="11"/>
    <x v="2"/>
    <s v="INV00000153"/>
    <s v="C00000020"/>
    <x v="19"/>
    <s v="RA CSM 450 37kg 79m(L) X 1040mm(W)"/>
    <n v="15"/>
    <s v="Cash"/>
    <x v="0"/>
    <d v="2021-11-03T00:00:00"/>
    <n v="11"/>
    <n v="2021"/>
    <n v="5106"/>
    <n v="-5106"/>
    <n v="0"/>
    <n v="619729.35"/>
    <s v="Trsf"/>
    <s v="Trsf 20/12/21-RM10,000.00"/>
    <m/>
  </r>
  <r>
    <d v="2021-11-03T00:00:00"/>
    <n v="11"/>
    <x v="2"/>
    <s v="INV00000153"/>
    <s v="C00000020"/>
    <x v="19"/>
    <s v="RA Talcum Powder (25kg)"/>
    <n v="5"/>
    <s v="Cash"/>
    <x v="0"/>
    <d v="2021-11-03T00:00:00"/>
    <n v="11"/>
    <n v="2021"/>
    <n v="312.5"/>
    <n v="-312.5"/>
    <n v="0"/>
    <n v="620041.85"/>
    <s v="Trsf"/>
    <s v="Trsf 20/12/21-RM10,000.00"/>
    <m/>
  </r>
  <r>
    <d v="2021-11-03T00:00:00"/>
    <n v="11"/>
    <x v="2"/>
    <s v="INV00000153"/>
    <s v="C00000020"/>
    <x v="19"/>
    <s v="RA Woven Roving E-600 (45kg) 1120mm"/>
    <n v="9"/>
    <s v="Cash"/>
    <x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n v="11"/>
    <x v="2"/>
    <s v="INV00000153"/>
    <s v="C00000020"/>
    <x v="19"/>
    <s v="RA Mepoxe M (5kg)"/>
    <n v="4"/>
    <s v="Cash"/>
    <x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n v="11"/>
    <x v="2"/>
    <s v="INV00000154"/>
    <s v="C00000010"/>
    <x v="9"/>
    <s v="RA Talcum Powder (25kg)"/>
    <n v="5"/>
    <n v="120"/>
    <x v="2"/>
    <d v="2022-03-03T00:00:00"/>
    <n v="3"/>
    <n v="2022"/>
    <n v="275"/>
    <n v="-275"/>
    <n v="0"/>
    <n v="623795.85"/>
    <s v="Trsf"/>
    <s v="Trsf 15/2/2022 RM16,388.00"/>
    <m/>
  </r>
  <r>
    <d v="2021-11-03T00:00:00"/>
    <n v="11"/>
    <x v="2"/>
    <s v="INV00000154"/>
    <s v="C00000010"/>
    <x v="9"/>
    <s v="RA Mepoxe M (5kg)"/>
    <n v="4"/>
    <n v="120"/>
    <x v="2"/>
    <d v="2022-03-03T00:00:00"/>
    <n v="3"/>
    <n v="2022"/>
    <n v="320"/>
    <n v="-320"/>
    <n v="0"/>
    <n v="624115.85"/>
    <s v="Trsf"/>
    <s v="Trsf 15/2/2022 RM16,388.00"/>
    <m/>
  </r>
  <r>
    <d v="2021-11-03T00:00:00"/>
    <n v="11"/>
    <x v="2"/>
    <s v="INV00000154"/>
    <s v="C00000010"/>
    <x v="9"/>
    <s v="RA Aerosil (Silica Fume) (10Kg)"/>
    <n v="3"/>
    <n v="120"/>
    <x v="2"/>
    <d v="2022-03-03T00:00:00"/>
    <n v="3"/>
    <n v="2022"/>
    <n v="1320"/>
    <n v="-1320"/>
    <n v="0"/>
    <n v="625435.85"/>
    <s v="Trsf"/>
    <s v="Trsf 15/2/2022 RM16,388.00"/>
    <m/>
  </r>
  <r>
    <d v="2021-11-03T00:00:00"/>
    <n v="11"/>
    <x v="2"/>
    <s v="INV00000154"/>
    <s v="C00000010"/>
    <x v="9"/>
    <s v="RD Paint Brush 3&quot;(12Pc/Ctr)"/>
    <n v="4"/>
    <n v="120"/>
    <x v="2"/>
    <d v="2022-03-03T00:00:00"/>
    <n v="3"/>
    <n v="2022"/>
    <n v="220"/>
    <n v="-220"/>
    <n v="0"/>
    <n v="625655.85"/>
    <s v="Trsf"/>
    <s v="Trsf 15/2/2022 RM16,388.00"/>
    <m/>
  </r>
  <r>
    <d v="2021-11-06T00:00:00"/>
    <n v="11"/>
    <x v="2"/>
    <s v="INV00000155"/>
    <s v="C00000020"/>
    <x v="19"/>
    <s v="RA Resin 3317AW (220Kg)"/>
    <n v="2"/>
    <s v="Cash"/>
    <x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n v="11"/>
    <x v="2"/>
    <s v="INV00000155"/>
    <s v="C00000020"/>
    <x v="19"/>
    <s v="RA Nor 3338W (220Kg)"/>
    <n v="3"/>
    <s v="Cash"/>
    <x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n v="11"/>
    <x v="2"/>
    <s v="INV00000155"/>
    <s v="C00000020"/>
    <x v="19"/>
    <s v="RA CSM 450 37kg 79m(L) X 1040mm(W)"/>
    <n v="15"/>
    <s v="Cash"/>
    <x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n v="11"/>
    <x v="2"/>
    <s v="INV00000155"/>
    <s v="C00000020"/>
    <x v="19"/>
    <s v="RA Talcum Powder (25kg)"/>
    <n v="5"/>
    <s v="Cash"/>
    <x v="0"/>
    <d v="2021-11-06T00:00:00"/>
    <n v="11"/>
    <n v="2021"/>
    <n v="312.5"/>
    <n v="-312.5"/>
    <n v="0"/>
    <n v="641194.35"/>
    <s v="Trsf"/>
    <s v="Trsf 13/1/21-37,500.00 "/>
    <m/>
  </r>
  <r>
    <d v="2021-11-06T00:00:00"/>
    <n v="11"/>
    <x v="2"/>
    <s v="INV00000155"/>
    <s v="C00000020"/>
    <x v="19"/>
    <s v="RA Woven Roving E-600 (45kg) 1120mm"/>
    <n v="7"/>
    <s v="Cash"/>
    <x v="0"/>
    <d v="2021-11-06T00:00:00"/>
    <n v="11"/>
    <n v="2021"/>
    <n v="2457"/>
    <n v="-2457"/>
    <n v="0"/>
    <n v="643651.35"/>
    <s v="Trsf"/>
    <s v="Trsf 13/1/21-37,500.00 "/>
    <m/>
  </r>
  <r>
    <d v="2021-11-06T00:00:00"/>
    <n v="11"/>
    <x v="2"/>
    <s v="INV00000155"/>
    <s v="C00000020"/>
    <x v="19"/>
    <s v="RA Mepoxe M (5kg)"/>
    <n v="4"/>
    <s v="Cash"/>
    <x v="0"/>
    <d v="2021-11-06T00:00:00"/>
    <n v="11"/>
    <n v="2021"/>
    <n v="320"/>
    <n v="-320"/>
    <n v="0"/>
    <n v="643971.35"/>
    <s v="Trsf"/>
    <s v="Trsf 13/1/21-37,500.00 "/>
    <m/>
  </r>
  <r>
    <d v="2021-11-06T00:00:00"/>
    <n v="11"/>
    <x v="2"/>
    <s v="INV00000155"/>
    <s v="C00000020"/>
    <x v="19"/>
    <s v="RK Smooth Cream (25kg)"/>
    <n v="1"/>
    <s v="Cash"/>
    <x v="0"/>
    <d v="2021-11-06T00:00:00"/>
    <n v="11"/>
    <n v="2021"/>
    <n v="1000"/>
    <n v="-1000"/>
    <n v="0"/>
    <n v="644971.35"/>
    <s v="Trsf"/>
    <s v="Trsf 13/1/21-37,500.00 "/>
    <m/>
  </r>
  <r>
    <d v="2021-11-08T00:00:00"/>
    <n v="11"/>
    <x v="2"/>
    <s v="INV00000156"/>
    <s v="C00000010"/>
    <x v="9"/>
    <s v="RA Resin 3338AW (220kg)"/>
    <n v="6"/>
    <n v="120"/>
    <x v="2"/>
    <d v="2022-03-08T00:00:00"/>
    <n v="3"/>
    <n v="2022"/>
    <n v="12144"/>
    <n v="-12144"/>
    <n v="0"/>
    <n v="657115.35"/>
    <s v="Trsf"/>
    <s v="Trsf 15/2/2022 RM16,388.00"/>
    <m/>
  </r>
  <r>
    <d v="2021-11-08T00:00:00"/>
    <n v="11"/>
    <x v="2"/>
    <s v="INV00000156"/>
    <s v="C00000010"/>
    <x v="9"/>
    <s v="RA CSM 450 37kg 79m(L) X 1040mm(W)"/>
    <n v="6"/>
    <n v="120"/>
    <x v="2"/>
    <d v="2022-03-08T00:00:00"/>
    <n v="3"/>
    <n v="2022"/>
    <n v="2109"/>
    <n v="-2109"/>
    <n v="0"/>
    <n v="659224.35"/>
    <s v="Trsf"/>
    <s v="Trsf 15/2/2022 RM16,388.00"/>
    <m/>
  </r>
  <r>
    <d v="2021-11-09T00:00:00"/>
    <n v="11"/>
    <x v="2"/>
    <s v="INV00000157"/>
    <e v="#N/A"/>
    <x v="20"/>
    <s v="RA Resin 3317AW (20Kg)"/>
    <n v="1"/>
    <e v="#N/A"/>
    <x v="4"/>
    <e v="#N/A"/>
    <e v="#N/A"/>
    <e v="#N/A"/>
    <n v="240"/>
    <n v="-240"/>
    <n v="0"/>
    <n v="659464.35"/>
    <e v="#N/A"/>
    <s v="Cash in 9/11/21"/>
    <m/>
  </r>
  <r>
    <d v="2021-11-10T00:00:00"/>
    <n v="11"/>
    <x v="2"/>
    <s v="INV00000158"/>
    <s v="C00000021"/>
    <x v="21"/>
    <s v="RA Resin 3317AW (220Kg)"/>
    <n v="1"/>
    <s v="Cash"/>
    <x v="0"/>
    <d v="2021-11-10T00:00:00"/>
    <n v="11"/>
    <n v="2021"/>
    <n v="2024"/>
    <n v="-2024"/>
    <n v="0"/>
    <n v="661488.35"/>
    <s v="PD Chq"/>
    <s v="Chq PBB 395353, dd 301121"/>
    <m/>
  </r>
  <r>
    <d v="2021-11-11T00:00:00"/>
    <n v="11"/>
    <x v="2"/>
    <s v="INV00000159"/>
    <s v="C00000020"/>
    <x v="19"/>
    <s v="RA Resin 3338AW (220kg)"/>
    <n v="10"/>
    <s v="Cash"/>
    <x v="0"/>
    <d v="2021-11-11T00:00:00"/>
    <n v="11"/>
    <n v="2021"/>
    <n v="20680"/>
    <n v="-20680"/>
    <n v="0"/>
    <n v="682168.35"/>
    <s v="Trsf"/>
    <s v="Trsf 13/1/21-37,500.00 "/>
    <m/>
  </r>
  <r>
    <d v="2021-11-11T00:00:00"/>
    <n v="11"/>
    <x v="2"/>
    <s v="INV00000159"/>
    <s v="C00000020"/>
    <x v="19"/>
    <s v="RA CSM 450 37kg 79m(L) X 1040mm(W)"/>
    <n v="15"/>
    <s v="Cash"/>
    <x v="0"/>
    <d v="2021-11-11T00:00:00"/>
    <n v="11"/>
    <n v="2021"/>
    <n v="5328"/>
    <n v="-5328"/>
    <n v="0"/>
    <n v="687496.35"/>
    <s v="Trsf"/>
    <s v="Trsf 13/1/21-37,500.00 "/>
    <m/>
  </r>
  <r>
    <d v="2021-11-11T00:00:00"/>
    <n v="11"/>
    <x v="2"/>
    <s v="INV00000159"/>
    <s v="C00000020"/>
    <x v="19"/>
    <s v="RA Woven Roving E-600 (45kg) 1120mm"/>
    <n v="14"/>
    <s v="Cash"/>
    <x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n v="11"/>
    <x v="2"/>
    <s v="INV00000159"/>
    <s v="C00000020"/>
    <x v="19"/>
    <s v="RA Talcum Powder (25kg)"/>
    <n v="4"/>
    <s v="Cash"/>
    <x v="0"/>
    <d v="2021-11-11T00:00:00"/>
    <n v="11"/>
    <n v="2021"/>
    <n v="250"/>
    <n v="-250"/>
    <n v="0"/>
    <n v="692660.35"/>
    <s v="Trsf"/>
    <s v="Trsf 21/1/2021-RM5,000.00"/>
    <m/>
  </r>
  <r>
    <d v="2021-11-11T00:00:00"/>
    <n v="11"/>
    <x v="2"/>
    <s v="INV00000159"/>
    <s v="C00000020"/>
    <x v="19"/>
    <s v="RK Smooth Cream (25kg)"/>
    <n v="2"/>
    <s v="Cash"/>
    <x v="0"/>
    <d v="2021-11-11T00:00:00"/>
    <n v="11"/>
    <n v="2021"/>
    <n v="2000"/>
    <n v="-2000"/>
    <n v="0"/>
    <n v="694660.35"/>
    <s v="Trsf"/>
    <s v="Trsf 21/1/2021-RM5,000.00"/>
    <m/>
  </r>
  <r>
    <d v="2021-11-11T00:00:00"/>
    <n v="11"/>
    <x v="2"/>
    <s v="INV00000160"/>
    <s v="C00000020"/>
    <x v="19"/>
    <s v="RA Talcum Powder (25kg)"/>
    <n v="5"/>
    <s v="Cash"/>
    <x v="0"/>
    <d v="2021-11-11T00:00:00"/>
    <n v="11"/>
    <n v="2021"/>
    <n v="312.5"/>
    <n v="-312.5"/>
    <n v="0"/>
    <n v="694972.85"/>
    <s v="Trsf"/>
    <s v="Trsf 21/1/2021-RM5,000.00"/>
    <m/>
  </r>
  <r>
    <d v="2021-11-13T00:00:00"/>
    <n v="11"/>
    <x v="2"/>
    <s v="INV00000161"/>
    <e v="#N/A"/>
    <x v="22"/>
    <s v="RA Resin 3317AW (220Kg)"/>
    <n v="1"/>
    <e v="#N/A"/>
    <x v="4"/>
    <e v="#N/A"/>
    <e v="#N/A"/>
    <e v="#N/A"/>
    <n v="2090"/>
    <n v="-2090"/>
    <n v="0"/>
    <n v="697062.85"/>
    <e v="#N/A"/>
    <s v="Trsf 11/11/21 RM2,070.00"/>
    <m/>
  </r>
  <r>
    <d v="2021-11-13T00:00:00"/>
    <n v="11"/>
    <x v="2"/>
    <s v="INV00000161"/>
    <e v="#N/A"/>
    <x v="22"/>
    <s v="RJ TR104 Hi Temp Wax"/>
    <n v="2"/>
    <e v="#N/A"/>
    <x v="4"/>
    <e v="#N/A"/>
    <e v="#N/A"/>
    <e v="#N/A"/>
    <n v="120"/>
    <n v="-120"/>
    <n v="0"/>
    <n v="697182.85"/>
    <e v="#N/A"/>
    <s v="Trsf 12/11/21 RM1,000.00"/>
    <m/>
  </r>
  <r>
    <d v="2021-11-13T00:00:00"/>
    <n v="11"/>
    <x v="2"/>
    <s v="INV00000161"/>
    <e v="#N/A"/>
    <x v="22"/>
    <s v="RA Gelcoat GP-H (20Kg)"/>
    <n v="2"/>
    <e v="#N/A"/>
    <x v="4"/>
    <e v="#N/A"/>
    <e v="#N/A"/>
    <e v="#N/A"/>
    <n v="540"/>
    <n v="-540"/>
    <n v="0"/>
    <n v="697722.85"/>
    <e v="#N/A"/>
    <s v="Trsf 12/11/21 RM1,000.00"/>
    <m/>
  </r>
  <r>
    <d v="2021-11-13T00:00:00"/>
    <n v="11"/>
    <x v="2"/>
    <s v="INV00000161"/>
    <e v="#N/A"/>
    <x v="22"/>
    <s v="RA Pigment H 2006 Dark Grey (5Kg)"/>
    <n v="2"/>
    <e v="#N/A"/>
    <x v="4"/>
    <e v="#N/A"/>
    <e v="#N/A"/>
    <e v="#N/A"/>
    <n v="320"/>
    <n v="-320"/>
    <n v="0"/>
    <n v="698042.85"/>
    <e v="#N/A"/>
    <s v="Trsf 12/11/21 RM1,000.00"/>
    <m/>
  </r>
  <r>
    <d v="2021-11-13T00:00:00"/>
    <n v="11"/>
    <x v="2"/>
    <s v="INV00000162"/>
    <s v="C00000019"/>
    <x v="18"/>
    <s v="RA Resin 3338AW (220kg)"/>
    <n v="2"/>
    <s v="Cash"/>
    <x v="0"/>
    <d v="2021-11-13T00:00:00"/>
    <n v="11"/>
    <n v="2021"/>
    <n v="4048"/>
    <n v="-4048"/>
    <n v="0"/>
    <n v="702090.85"/>
    <s v="Trsf"/>
    <s v="Trsf 13/11/21, RM5,366.60"/>
    <m/>
  </r>
  <r>
    <d v="2021-11-13T00:00:00"/>
    <n v="11"/>
    <x v="2"/>
    <s v="INV00000162"/>
    <s v="C00000019"/>
    <x v="18"/>
    <s v="RG CSM 450 CQ 54kg 64m(L) X 1860mm(W)"/>
    <n v="2"/>
    <s v="Cash"/>
    <x v="0"/>
    <d v="2021-11-13T00:00:00"/>
    <n v="11"/>
    <n v="2021"/>
    <n v="993.6"/>
    <n v="-993.6"/>
    <n v="0"/>
    <n v="703084.45"/>
    <s v="Trsf"/>
    <s v="Trsf 13/11/21, RM5,366.60"/>
    <m/>
  </r>
  <r>
    <d v="2021-11-13T00:00:00"/>
    <n v="11"/>
    <x v="2"/>
    <s v="INV00000162"/>
    <s v="C00000019"/>
    <x v="18"/>
    <s v="RA Talcum Powder (25kg)"/>
    <n v="2"/>
    <s v="Cash"/>
    <x v="0"/>
    <d v="2021-11-13T00:00:00"/>
    <n v="11"/>
    <n v="2021"/>
    <n v="125"/>
    <n v="-125"/>
    <n v="0"/>
    <n v="703209.45"/>
    <s v="Trsf"/>
    <s v="Trsf 13/11/21, RM5,366.60"/>
    <m/>
  </r>
  <r>
    <d v="2021-11-13T00:00:00"/>
    <n v="11"/>
    <x v="2"/>
    <s v="INV00000162"/>
    <s v="C00000019"/>
    <x v="18"/>
    <s v="RA Butanox M50 (5kg)"/>
    <n v="2"/>
    <s v="Cash"/>
    <x v="0"/>
    <d v="2021-11-13T00:00:00"/>
    <n v="11"/>
    <n v="2021"/>
    <n v="200"/>
    <n v="-200"/>
    <n v="0"/>
    <n v="703409.45"/>
    <s v="Trsf"/>
    <s v="Trsf 13/11/21, RM5,366.60"/>
    <m/>
  </r>
  <r>
    <d v="2021-11-23T00:00:00"/>
    <n v="11"/>
    <x v="2"/>
    <s v="INV00000163"/>
    <s v="C00000003"/>
    <x v="2"/>
    <s v="RA Resin 3317AW (220Kg)"/>
    <n v="1"/>
    <n v="45"/>
    <x v="1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n v="11"/>
    <x v="2"/>
    <s v="INV00000163"/>
    <s v="C00000003"/>
    <x v="2"/>
    <s v="RA Mepoxe M (5kg)"/>
    <n v="2"/>
    <n v="45"/>
    <x v="1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n v="11"/>
    <x v="2"/>
    <s v="INV00000163"/>
    <s v="C00000003"/>
    <x v="2"/>
    <s v="RA Talcum Powder (25kg)"/>
    <n v="3"/>
    <n v="45"/>
    <x v="1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n v="11"/>
    <x v="2"/>
    <s v="INV00000164"/>
    <s v="C00000019"/>
    <x v="18"/>
    <s v="RA Resin 3338AW (220kg)"/>
    <n v="1"/>
    <s v="Cash"/>
    <x v="0"/>
    <d v="2021-11-26T00:00:00"/>
    <n v="11"/>
    <n v="2021"/>
    <n v="2024"/>
    <n v="-2024"/>
    <n v="0"/>
    <n v="707799.95"/>
    <s v="Trsf"/>
    <s v="Trsf 28/11/21"/>
    <m/>
  </r>
  <r>
    <d v="2021-11-26T00:00:00"/>
    <n v="11"/>
    <x v="2"/>
    <s v="INV00000164"/>
    <s v="C00000019"/>
    <x v="18"/>
    <s v="RA Talcum Powder (25kg)"/>
    <n v="4"/>
    <s v="Cash"/>
    <x v="0"/>
    <d v="2021-11-26T00:00:00"/>
    <n v="11"/>
    <n v="2021"/>
    <n v="250"/>
    <n v="-250"/>
    <n v="0"/>
    <n v="708049.95"/>
    <s v="Trsf"/>
    <s v="Trsf 28/11/21"/>
    <m/>
  </r>
  <r>
    <d v="2021-11-26T00:00:00"/>
    <n v="11"/>
    <x v="2"/>
    <s v="INV00000164"/>
    <s v="C00000019"/>
    <x v="18"/>
    <s v="RA Butanox M50 (5kg)"/>
    <n v="1"/>
    <s v="Cash"/>
    <x v="0"/>
    <d v="2021-11-26T00:00:00"/>
    <n v="11"/>
    <n v="2021"/>
    <n v="100"/>
    <n v="-100"/>
    <n v="0"/>
    <n v="708149.95"/>
    <s v="Trsf"/>
    <s v="Trsf 28/11/21"/>
    <m/>
  </r>
  <r>
    <d v="2021-11-26T00:00:00"/>
    <n v="11"/>
    <x v="2"/>
    <s v="INV00000165"/>
    <s v="C00000019"/>
    <x v="18"/>
    <s v="RA Resin 3338AW (220kg)"/>
    <n v="1"/>
    <s v="Cash"/>
    <x v="0"/>
    <d v="2021-11-26T00:00:00"/>
    <n v="11"/>
    <n v="2021"/>
    <n v="2024"/>
    <n v="-2024"/>
    <n v="0"/>
    <n v="710173.95"/>
    <s v="Trsf"/>
    <s v="Trsf 28/11/21"/>
    <m/>
  </r>
  <r>
    <d v="2021-11-29T00:00:00"/>
    <n v="11"/>
    <x v="2"/>
    <s v="INV00000166"/>
    <s v="C00000008"/>
    <x v="7"/>
    <s v="RA Resin 3317AW (220Kg)"/>
    <n v="1"/>
    <s v="Cash"/>
    <x v="0"/>
    <d v="2021-11-29T00:00:00"/>
    <n v="11"/>
    <n v="2021"/>
    <n v="2090"/>
    <n v="-2090"/>
    <n v="0"/>
    <n v="712263.95"/>
    <s v="Trsf"/>
    <s v="Trsf 21/1/2022, RM4,006.00"/>
    <m/>
  </r>
  <r>
    <d v="2021-11-29T00:00:00"/>
    <n v="11"/>
    <x v="2"/>
    <s v="INV00000166"/>
    <s v="C00000008"/>
    <x v="7"/>
    <s v="RA CSM 450 30kg 79m(L) X 1040mm(W)"/>
    <n v="4"/>
    <s v="Cash"/>
    <x v="0"/>
    <d v="2021-11-29T00:00:00"/>
    <n v="11"/>
    <n v="2021"/>
    <n v="1406"/>
    <n v="-1406"/>
    <n v="0"/>
    <n v="713669.95"/>
    <s v="Trsf"/>
    <s v="Trsf 21/1/2022, RM4,006.00"/>
    <m/>
  </r>
  <r>
    <d v="2021-12-07T00:00:00"/>
    <n v="12"/>
    <x v="2"/>
    <s v="INV00000167"/>
    <s v="C00000020"/>
    <x v="19"/>
    <s v="RA Resin 3317AW (220Kg)"/>
    <n v="3"/>
    <s v="Cash"/>
    <x v="0"/>
    <d v="2021-12-07T00:00:00"/>
    <n v="12"/>
    <n v="2021"/>
    <n v="6138"/>
    <n v="-6138"/>
    <n v="0"/>
    <n v="719807.95"/>
    <s v="Trsf"/>
    <s v="Trsf 7/12/21"/>
    <m/>
  </r>
  <r>
    <d v="2021-12-07T00:00:00"/>
    <n v="12"/>
    <x v="2"/>
    <s v="INV00000167"/>
    <s v="C00000020"/>
    <x v="19"/>
    <s v="RA CSM 450 37kg 79m(L) X 1040mm(W)"/>
    <n v="9"/>
    <s v="Cash"/>
    <x v="0"/>
    <d v="2021-12-07T00:00:00"/>
    <n v="12"/>
    <n v="2021"/>
    <n v="3263.4"/>
    <n v="-3263.4"/>
    <n v="0"/>
    <n v="723071.35"/>
    <s v="Trsf"/>
    <s v="Trsf 7/12/21"/>
    <m/>
  </r>
  <r>
    <d v="2021-12-07T00:00:00"/>
    <n v="12"/>
    <x v="2"/>
    <s v="INV00000167"/>
    <s v="C00000020"/>
    <x v="19"/>
    <s v="RA Woven Roving E-600 (45kg) 1120mm"/>
    <n v="6"/>
    <s v="Cash"/>
    <x v="0"/>
    <d v="2021-12-07T00:00:00"/>
    <n v="12"/>
    <n v="2021"/>
    <n v="2430"/>
    <n v="-2430"/>
    <n v="0"/>
    <n v="725501.35"/>
    <s v="Trsf"/>
    <s v="Trsf 7/12/21"/>
    <m/>
  </r>
  <r>
    <d v="2021-12-07T00:00:00"/>
    <n v="12"/>
    <x v="2"/>
    <s v="INV00000167"/>
    <s v="C00000020"/>
    <x v="19"/>
    <s v="RA Talcum Powder (25kg)"/>
    <n v="3"/>
    <s v="Cash"/>
    <x v="0"/>
    <d v="2021-12-07T00:00:00"/>
    <n v="12"/>
    <n v="2021"/>
    <n v="187.5"/>
    <n v="-187.5"/>
    <n v="0"/>
    <n v="725688.85"/>
    <s v="Trsf"/>
    <s v="Trsf 7/12/21"/>
    <m/>
  </r>
  <r>
    <d v="2021-12-07T00:00:00"/>
    <n v="12"/>
    <x v="2"/>
    <s v="INV00000167"/>
    <s v="C00000020"/>
    <x v="19"/>
    <s v="RA Mepoxe M (5kg)"/>
    <n v="2"/>
    <s v="Cash"/>
    <x v="0"/>
    <d v="2021-12-07T00:00:00"/>
    <n v="12"/>
    <n v="2021"/>
    <n v="170"/>
    <n v="-170"/>
    <n v="0"/>
    <n v="725858.85"/>
    <s v="Trsf"/>
    <s v="Trsf 7/12/21"/>
    <m/>
  </r>
  <r>
    <d v="2021-12-10T00:00:00"/>
    <n v="12"/>
    <x v="2"/>
    <s v="INV00000168"/>
    <s v="C00000013a"/>
    <x v="12"/>
    <s v="RA Resin 3317AW (220Kg)"/>
    <n v="1"/>
    <s v="Cash"/>
    <x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n v="12"/>
    <x v="2"/>
    <s v="INV00000168"/>
    <s v="C00000013a"/>
    <x v="12"/>
    <s v="RJ TR104 Hi Temp Wax"/>
    <n v="1"/>
    <s v="Cash"/>
    <x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n v="12"/>
    <x v="2"/>
    <s v="INV00000168"/>
    <s v="C00000013a"/>
    <x v="12"/>
    <s v="RA Gelcoat GP-H (20Kg)"/>
    <n v="1"/>
    <s v="Cash"/>
    <x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n v="12"/>
    <x v="2"/>
    <s v="INV00000168"/>
    <s v="C00000013a"/>
    <x v="12"/>
    <s v="RA Pigment H 2006 Dark Grey (5Kg)"/>
    <n v="2"/>
    <s v="Cash"/>
    <x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n v="12"/>
    <x v="2"/>
    <s v="INV00000168"/>
    <s v="C00000013a"/>
    <x v="12"/>
    <s v="RE Frekote 770NC (1 Gallon)"/>
    <n v="1"/>
    <s v="Cash"/>
    <x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n v="12"/>
    <x v="2"/>
    <s v="INV00000168"/>
    <s v="C00000013a"/>
    <x v="12"/>
    <s v="RA Mepoxe M (5kg)"/>
    <n v="2"/>
    <s v="Cash"/>
    <x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n v="12"/>
    <x v="2"/>
    <s v="INV00000168"/>
    <s v="C00000013a"/>
    <x v="12"/>
    <s v="RD Paint Brush 1.1/2&quot;(12Pc/Ctr)"/>
    <n v="1"/>
    <s v="Cash"/>
    <x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n v="12"/>
    <x v="2"/>
    <s v="INV00000168"/>
    <s v="C00000013a"/>
    <x v="12"/>
    <s v="RA CSM 450 GSM 54kg 64m(L) X 1860mm(W)"/>
    <n v="1"/>
    <s v="Cash"/>
    <x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n v="12"/>
    <x v="2"/>
    <s v="INV00000168"/>
    <s v="C00000013a"/>
    <x v="12"/>
    <s v="RA CSM 300 GSM 54Kg 96m(L) X 1860mm(W)"/>
    <n v="1"/>
    <s v="Cash"/>
    <x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n v="12"/>
    <x v="2"/>
    <s v="INV00000168"/>
    <s v="C00000013a"/>
    <x v="12"/>
    <s v="RA Tissue Mat (300M2) 30G/M2 1Meter (9Kg) Soft"/>
    <n v="1"/>
    <s v="Cash"/>
    <x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n v="12"/>
    <x v="2"/>
    <s v="INV00000169"/>
    <s v="C00000020"/>
    <x v="19"/>
    <s v="RA Resin 9539W (225Kg)"/>
    <n v="5"/>
    <s v="Cash"/>
    <x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n v="12"/>
    <x v="2"/>
    <s v="INV00000169"/>
    <s v="C00000020"/>
    <x v="19"/>
    <s v="RA CSM 450 TWL 60kg 64m(L) X 2080mm(W)"/>
    <n v="6"/>
    <s v="Cash"/>
    <x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n v="12"/>
    <x v="2"/>
    <s v="INV00000169"/>
    <s v="C00000020"/>
    <x v="19"/>
    <s v="RA Woven Roving E-600 (45kg) 1120mm"/>
    <n v="7"/>
    <s v="Cash"/>
    <x v="0"/>
    <d v="2021-12-10T00:00:00"/>
    <n v="12"/>
    <n v="2021"/>
    <n v="2835"/>
    <n v="-2835"/>
    <n v="0"/>
    <n v="747751.74999999988"/>
    <s v="Trsf"/>
    <s v="Trsf 15/3/22-RM16,000.00"/>
    <m/>
  </r>
  <r>
    <d v="2021-12-10T00:00:00"/>
    <n v="12"/>
    <x v="2"/>
    <s v="INV00000169"/>
    <s v="C00000020"/>
    <x v="19"/>
    <s v="RA Talcum Powder (25kg)"/>
    <n v="5"/>
    <s v="Cash"/>
    <x v="0"/>
    <d v="2021-12-10T00:00:00"/>
    <n v="12"/>
    <n v="2021"/>
    <n v="312.5"/>
    <n v="-312.5"/>
    <n v="0"/>
    <n v="748064.24999999988"/>
    <s v="Trsf"/>
    <s v="Trsf 15/3/22-RM16,000.00"/>
    <m/>
  </r>
  <r>
    <d v="2021-12-10T00:00:00"/>
    <n v="12"/>
    <x v="2"/>
    <s v="INV00000169"/>
    <s v="C00000020"/>
    <x v="19"/>
    <s v="RK Smooth Cream (25kg)"/>
    <n v="1"/>
    <s v="Cash"/>
    <x v="0"/>
    <d v="2021-12-10T00:00:00"/>
    <n v="12"/>
    <n v="2021"/>
    <n v="1000"/>
    <n v="-1000"/>
    <n v="0"/>
    <n v="749064.24999999988"/>
    <s v="Trsf"/>
    <s v="Trsf 15/3/22-RM16,000.00"/>
    <m/>
  </r>
  <r>
    <d v="2021-12-10T00:00:00"/>
    <n v="12"/>
    <x v="2"/>
    <s v="INV00000169"/>
    <s v="C00000020"/>
    <x v="19"/>
    <s v="RA Mepoxe M (5kg)"/>
    <n v="2"/>
    <s v="Cash"/>
    <x v="0"/>
    <d v="2021-12-10T00:00:00"/>
    <n v="12"/>
    <n v="2021"/>
    <n v="170"/>
    <n v="-170"/>
    <n v="0"/>
    <n v="749234.24999999988"/>
    <s v="Trsf"/>
    <s v="Trsf 15/3/22-RM16,000.00"/>
    <m/>
  </r>
  <r>
    <d v="2021-12-10T00:00:00"/>
    <n v="12"/>
    <x v="2"/>
    <s v="INV00000169"/>
    <s v="C00000020"/>
    <x v="19"/>
    <s v="RA CSM 450 GSM 51kg 64m(L) X 1860mm(W)"/>
    <n v="1"/>
    <s v="Cash"/>
    <x v="0"/>
    <d v="2021-12-10T00:00:00"/>
    <n v="12"/>
    <n v="2021"/>
    <n v="484.5"/>
    <n v="-484.5"/>
    <n v="0"/>
    <n v="749718.74999999988"/>
    <s v="Trsf"/>
    <s v="Trsf 15/3/22-RM16,000.00"/>
    <m/>
  </r>
  <r>
    <d v="2021-12-15T00:00:00"/>
    <n v="12"/>
    <x v="2"/>
    <s v="INV00000170"/>
    <s v="C00000010"/>
    <x v="9"/>
    <s v="RA Resin 3338AW (220kg)"/>
    <n v="6"/>
    <n v="120"/>
    <x v="2"/>
    <d v="2022-04-14T00:00:00"/>
    <n v="4"/>
    <n v="2022"/>
    <n v="12144"/>
    <n v="-12144"/>
    <n v="0"/>
    <n v="761862.74999999988"/>
    <s v="Trsf"/>
    <s v="Trsf 14/3/2022 RM22,264.00"/>
    <m/>
  </r>
  <r>
    <d v="2021-12-15T00:00:00"/>
    <n v="12"/>
    <x v="2"/>
    <s v="INV00000171"/>
    <s v="C00000004"/>
    <x v="3"/>
    <s v="RA Resin 3338AW (220kg)"/>
    <n v="5"/>
    <n v="120"/>
    <x v="2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n v="12"/>
    <x v="2"/>
    <s v="INV00000171"/>
    <s v="C00000004"/>
    <x v="3"/>
    <s v="RF Resin 3338NW (220Kg)"/>
    <n v="1"/>
    <n v="120"/>
    <x v="2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n v="12"/>
    <x v="2"/>
    <s v="INV00000171"/>
    <s v="C00000004"/>
    <x v="3"/>
    <s v="RA Mepoxe M (5kg)"/>
    <n v="4"/>
    <n v="120"/>
    <x v="2"/>
    <d v="2022-04-14T00:00:00"/>
    <n v="4"/>
    <n v="2022"/>
    <n v="340"/>
    <n v="-340"/>
    <n v="0"/>
    <n v="774346.74999999988"/>
    <s v="Chq"/>
    <s v="HLB010464Cleared21/4/22-RM15,895.80"/>
    <m/>
  </r>
  <r>
    <d v="2021-12-16T00:00:00"/>
    <n v="12"/>
    <x v="2"/>
    <s v="INV00000172"/>
    <s v="C00000004"/>
    <x v="3"/>
    <s v="RA Accelerator (5kg)"/>
    <n v="1"/>
    <n v="120"/>
    <x v="2"/>
    <d v="2022-04-15T00:00:00"/>
    <n v="4"/>
    <n v="2022"/>
    <n v="390"/>
    <n v="-390"/>
    <n v="0"/>
    <n v="774736.74999999988"/>
    <s v="Chq"/>
    <s v="HLB010464Cleared21/4/22-RM15,895.80"/>
    <m/>
  </r>
  <r>
    <d v="2021-12-20T00:00:00"/>
    <n v="12"/>
    <x v="2"/>
    <s v="INV00000173"/>
    <s v="C00000020"/>
    <x v="19"/>
    <s v="RA Resin 3317AW (220Kg)"/>
    <n v="3"/>
    <s v="Cash"/>
    <x v="0"/>
    <d v="2021-12-20T00:00:00"/>
    <n v="12"/>
    <n v="2021"/>
    <n v="6270"/>
    <n v="-6270"/>
    <n v="0"/>
    <n v="781006.74999999988"/>
    <s v="Trsf"/>
    <s v="Trsf 15/3/22-RM16,000.00"/>
    <m/>
  </r>
  <r>
    <d v="2021-12-20T00:00:00"/>
    <n v="12"/>
    <x v="2"/>
    <s v="INV00000173"/>
    <s v="C00000020"/>
    <x v="19"/>
    <s v="RK Smooth Cream (25kg)"/>
    <n v="1"/>
    <s v="Cash"/>
    <x v="0"/>
    <d v="2021-12-20T00:00:00"/>
    <n v="12"/>
    <n v="2021"/>
    <n v="1000"/>
    <n v="-1000"/>
    <n v="0"/>
    <n v="782006.74999999988"/>
    <s v="Trsf"/>
    <s v="Trsf 15/3/22-RM16,000.00"/>
    <m/>
  </r>
  <r>
    <d v="2021-12-20T00:00:00"/>
    <n v="12"/>
    <x v="2"/>
    <s v="INV00000173"/>
    <s v="C00000020"/>
    <x v="19"/>
    <s v="RA Talcum Powder (25kg)"/>
    <n v="3"/>
    <s v="Cash"/>
    <x v="0"/>
    <d v="2021-12-20T00:00:00"/>
    <n v="12"/>
    <n v="2021"/>
    <n v="187.5"/>
    <n v="-187.5"/>
    <n v="0"/>
    <n v="782194.24999999988"/>
    <s v="Trsf"/>
    <s v="Trsf 15/3/22-RM16,000.00"/>
    <m/>
  </r>
  <r>
    <d v="2021-12-21T00:00:00"/>
    <n v="12"/>
    <x v="2"/>
    <s v="INV00000174"/>
    <s v="C00000004"/>
    <x v="3"/>
    <s v="RA CSM 300 TWL 54Kg 96m(L) X 1860mm(W)"/>
    <n v="1"/>
    <n v="120"/>
    <x v="2"/>
    <d v="2022-04-20T00:00:00"/>
    <n v="4"/>
    <n v="2022"/>
    <n v="513"/>
    <n v="-513"/>
    <n v="0"/>
    <n v="782707.24999999988"/>
    <s v="Chq"/>
    <s v="HLB010464Cleared21/4/22-RM15,895.80"/>
    <m/>
  </r>
  <r>
    <d v="2021-12-21T00:00:00"/>
    <n v="12"/>
    <x v="2"/>
    <s v="INV00000174"/>
    <s v="C00000004"/>
    <x v="3"/>
    <s v="RL CSM 450 Jushi 64kg 1800mm(W)"/>
    <n v="4"/>
    <n v="120"/>
    <x v="2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n v="12"/>
    <x v="2"/>
    <s v="INV00000175"/>
    <s v="C00000020"/>
    <x v="19"/>
    <s v="RA Resin 3317AW (220Kg)"/>
    <n v="3"/>
    <s v="Cash"/>
    <x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n v="12"/>
    <x v="2"/>
    <s v="INV00000175"/>
    <s v="C00000020"/>
    <x v="19"/>
    <s v="RK Smooth Cream (25kg)"/>
    <n v="1"/>
    <s v="Cash"/>
    <x v="0"/>
    <d v="2021-12-22T00:00:00"/>
    <n v="12"/>
    <n v="2021"/>
    <n v="1000"/>
    <n v="-1000"/>
    <n v="0"/>
    <n v="792486.04999999993"/>
    <s v="Trsf"/>
    <s v="Trsf 23/3/22-RM4,800.00"/>
    <m/>
  </r>
  <r>
    <d v="2021-12-22T00:00:00"/>
    <n v="12"/>
    <x v="2"/>
    <s v="INV00000175"/>
    <s v="C00000020"/>
    <x v="19"/>
    <s v="RA Talcum Powder (25kg)"/>
    <n v="3"/>
    <s v="Cash"/>
    <x v="0"/>
    <d v="2021-12-22T00:00:00"/>
    <n v="12"/>
    <n v="2021"/>
    <n v="187.5"/>
    <n v="-187.5"/>
    <n v="0"/>
    <n v="792673.54999999993"/>
    <s v="Trsf"/>
    <s v="Trsf 23/3/22-RM4,800.00"/>
    <m/>
  </r>
  <r>
    <d v="2021-12-22T00:00:00"/>
    <n v="12"/>
    <x v="2"/>
    <s v="INV00000175"/>
    <s v="C00000020"/>
    <x v="19"/>
    <s v="RL CSM 450 Jushi 37kg 1040mm(W)"/>
    <n v="8"/>
    <s v="Cash"/>
    <x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n v="12"/>
    <x v="2"/>
    <s v="INV00000176"/>
    <s v="C00000020"/>
    <x v="19"/>
    <s v="RL CSM 450 Jushi 37kg 1040mm(W)"/>
    <n v="2"/>
    <s v="Cash"/>
    <x v="0"/>
    <d v="2021-12-24T00:00:00"/>
    <n v="12"/>
    <n v="2021"/>
    <n v="777"/>
    <n v="-777"/>
    <n v="0"/>
    <n v="796558.54999999993"/>
    <s v="Trsf"/>
    <s v="Trsf 25/3/22-RM6,000.00"/>
    <m/>
  </r>
  <r>
    <d v="2021-12-27T00:00:00"/>
    <n v="12"/>
    <x v="2"/>
    <s v="INV00000177"/>
    <s v="C00000020"/>
    <x v="19"/>
    <s v="RL CSM 450 Jushi 37kg 1040mm(W)"/>
    <n v="2"/>
    <s v="Cash"/>
    <x v="0"/>
    <d v="2021-12-27T00:00:00"/>
    <n v="12"/>
    <n v="2021"/>
    <n v="777"/>
    <n v="-777"/>
    <n v="0"/>
    <n v="797335.54999999993"/>
    <s v="Trsf"/>
    <s v="Trsf 25/3/22-RM6,000.00"/>
    <m/>
  </r>
  <r>
    <d v="2021-12-27T00:00:00"/>
    <n v="12"/>
    <x v="2"/>
    <s v="INV00000177"/>
    <s v="C00000020"/>
    <x v="19"/>
    <s v="RC Woven Roving E-800 1000mm (40Kg)"/>
    <n v="1"/>
    <s v="Cash"/>
    <x v="0"/>
    <d v="2021-12-27T00:00:00"/>
    <n v="12"/>
    <n v="2021"/>
    <n v="300"/>
    <n v="-300"/>
    <n v="0"/>
    <n v="797635.54999999993"/>
    <s v="Trsf"/>
    <s v="Trsf 25/3/22-RM6,000.00"/>
    <m/>
  </r>
  <r>
    <d v="2021-12-28T00:00:00"/>
    <n v="12"/>
    <x v="2"/>
    <s v="INV00000178"/>
    <s v="C00000001"/>
    <x v="0"/>
    <s v="RA Resin 3317AW (220Kg)"/>
    <n v="2"/>
    <s v="Cash"/>
    <x v="0"/>
    <d v="2021-12-28T00:00:00"/>
    <n v="12"/>
    <n v="2021"/>
    <n v="4136"/>
    <n v="-4136"/>
    <n v="0"/>
    <n v="801771.54999999993"/>
    <s v="Trsf"/>
    <s v="Trsf 31/12/21, "/>
    <m/>
  </r>
  <r>
    <d v="2021-12-28T00:00:00"/>
    <n v="12"/>
    <x v="2"/>
    <s v="INV00000178"/>
    <s v="C00000001"/>
    <x v="0"/>
    <s v="RA CSM 450 (30Kg) 64m(L) x 1040mm(W)"/>
    <n v="5"/>
    <s v="Cash"/>
    <x v="0"/>
    <d v="2021-12-28T00:00:00"/>
    <n v="12"/>
    <n v="2021"/>
    <n v="1455"/>
    <n v="-1455"/>
    <n v="0"/>
    <n v="803226.54999999993"/>
    <s v="Trsf"/>
    <s v="Trsf 31/12/21, "/>
    <m/>
  </r>
  <r>
    <d v="2021-12-30T00:00:00"/>
    <n v="12"/>
    <x v="2"/>
    <s v="INV00000179"/>
    <s v="C00000020"/>
    <x v="19"/>
    <s v="RA Resin 3317AW (220Kg)"/>
    <n v="5"/>
    <s v="Cash"/>
    <x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n v="12"/>
    <x v="2"/>
    <s v="INV00000179"/>
    <s v="C00000020"/>
    <x v="19"/>
    <s v="RA CSM 450 (30Kg) 64m(L) x 1040mm(W)"/>
    <n v="15"/>
    <s v="Cash"/>
    <x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n v="12"/>
    <x v="2"/>
    <s v="INV00000179"/>
    <s v="C00000020"/>
    <x v="19"/>
    <s v="RF Woven Roving E-600 (45kg) 1120mm"/>
    <n v="8"/>
    <s v="Cash"/>
    <x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n v="12"/>
    <x v="2"/>
    <s v="INV00000179"/>
    <s v="C00000020"/>
    <x v="19"/>
    <s v="RA Talcum Powder (25kg)"/>
    <n v="5"/>
    <s v="Cash"/>
    <x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n v="12"/>
    <x v="2"/>
    <s v="INV00000179"/>
    <s v="C00000020"/>
    <x v="19"/>
    <s v="RK Smooth Cream (25kg)"/>
    <n v="1"/>
    <s v="Cash"/>
    <x v="0"/>
    <d v="2021-12-30T00:00:00"/>
    <n v="12"/>
    <n v="2021"/>
    <n v="1000"/>
    <n v="-1000"/>
    <n v="0"/>
    <n v="822207.04999999993"/>
    <s v="Trsf"/>
    <s v="Trsf 8/4/22-RM5,000.00"/>
    <m/>
  </r>
  <r>
    <d v="2021-12-30T00:00:00"/>
    <n v="12"/>
    <x v="2"/>
    <s v="INV00000179"/>
    <s v="C00000020"/>
    <x v="19"/>
    <s v="RA Mepoxe M (5kg)"/>
    <n v="4"/>
    <s v="Cash"/>
    <x v="0"/>
    <d v="2021-12-30T00:00:00"/>
    <n v="12"/>
    <n v="2021"/>
    <n v="340"/>
    <n v="-340"/>
    <n v="0"/>
    <n v="822547.04999999993"/>
    <s v="Trsf"/>
    <s v="Trsf 8/4/22-RM5,000.00"/>
    <m/>
  </r>
  <r>
    <d v="2021-12-31T00:00:00"/>
    <n v="12"/>
    <x v="2"/>
    <s v="INV00000180"/>
    <s v="C00000010"/>
    <x v="9"/>
    <s v="RA Resin 3338AW (220kg)"/>
    <n v="4"/>
    <n v="120"/>
    <x v="2"/>
    <d v="2022-04-30T00:00:00"/>
    <n v="4"/>
    <n v="2022"/>
    <n v="8096"/>
    <n v="-8096"/>
    <n v="0"/>
    <n v="830643.04999999993"/>
    <s v="Trsf"/>
    <s v="Trsf 14/3/2022 RM22,264.00"/>
    <m/>
  </r>
  <r>
    <d v="2021-12-31T00:00:00"/>
    <n v="12"/>
    <x v="2"/>
    <s v="INV00000180"/>
    <s v="C00000010"/>
    <x v="9"/>
    <s v="RA Resin 3317AW (220Kg)"/>
    <n v="1"/>
    <n v="120"/>
    <x v="2"/>
    <d v="2022-04-30T00:00:00"/>
    <n v="4"/>
    <n v="2022"/>
    <n v="2024"/>
    <n v="-2024"/>
    <n v="0"/>
    <n v="832667.04999999993"/>
    <s v="Trsf"/>
    <s v="Trsf 14/3/2022 RM22,264.00"/>
    <m/>
  </r>
  <r>
    <d v="2021-12-31T00:00:00"/>
    <n v="12"/>
    <x v="2"/>
    <s v="INV00000181"/>
    <s v="C00000019"/>
    <x v="18"/>
    <s v="RA Resin 3338AW (220kg)"/>
    <n v="2"/>
    <s v="Cash"/>
    <x v="0"/>
    <d v="2021-12-31T00:00:00"/>
    <n v="12"/>
    <n v="2021"/>
    <n v="4136"/>
    <n v="-4136"/>
    <n v="0"/>
    <n v="836803.04999999993"/>
    <s v="Trsf"/>
    <s v="Trsf 1/1/2022 RM5,014.80"/>
    <m/>
  </r>
  <r>
    <d v="2021-12-31T00:00:00"/>
    <n v="12"/>
    <x v="2"/>
    <s v="INV00000181"/>
    <s v="C00000019"/>
    <x v="18"/>
    <s v="RA Talcum Powder (25kg)"/>
    <n v="4"/>
    <s v="Cash"/>
    <x v="0"/>
    <d v="2021-12-31T00:00:00"/>
    <n v="12"/>
    <n v="2021"/>
    <n v="250"/>
    <n v="-250"/>
    <n v="0"/>
    <n v="837053.04999999993"/>
    <s v="Trsf"/>
    <s v="Trsf 1/1/2022 RM5,014.80"/>
    <m/>
  </r>
  <r>
    <d v="2021-12-31T00:00:00"/>
    <n v="12"/>
    <x v="2"/>
    <s v="INV00000181"/>
    <s v="C00000019"/>
    <x v="18"/>
    <s v="RA Butanox M50 (5kg)"/>
    <n v="1"/>
    <s v="Cash"/>
    <x v="0"/>
    <d v="2021-12-31T00:00:00"/>
    <n v="12"/>
    <n v="2021"/>
    <n v="105"/>
    <n v="-105"/>
    <n v="0"/>
    <n v="837158.04999999993"/>
    <s v="Trsf"/>
    <s v="Trsf 1/1/2022 RM5,014.80"/>
    <m/>
  </r>
  <r>
    <d v="2021-12-31T00:00:00"/>
    <n v="12"/>
    <x v="2"/>
    <s v="INV00000181"/>
    <s v="C00000019"/>
    <x v="18"/>
    <s v="RG CSM 450 CQ 54kg 64m(L) X 1860mm(W)"/>
    <n v="1"/>
    <s v="Cash"/>
    <x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n v="1"/>
    <x v="3"/>
    <s v="INV00000182"/>
    <s v="C00000020"/>
    <x v="19"/>
    <s v="RG Resin 3317AW (220Kg)"/>
    <n v="3"/>
    <s v="Cash"/>
    <x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n v="1"/>
    <x v="3"/>
    <s v="INV00000182"/>
    <s v="C00000020"/>
    <x v="19"/>
    <s v="RA CSM 450 (30Kg) 64m(L) x 1040mm(W)"/>
    <n v="4"/>
    <s v="Cash"/>
    <x v="0"/>
    <d v="2022-01-03T00:00:00"/>
    <n v="1"/>
    <n v="2022"/>
    <n v="1176"/>
    <n v="-1176"/>
    <n v="0"/>
    <n v="845127.85"/>
    <s v="Trsf"/>
    <s v="Trsf 12/4/22-RM10,000.00"/>
    <m/>
  </r>
  <r>
    <d v="2022-01-03T00:00:00"/>
    <n v="1"/>
    <x v="3"/>
    <s v="INV00000182"/>
    <s v="C00000020"/>
    <x v="19"/>
    <s v="RF Woven Roving E-600 (45kg) 1120mm"/>
    <n v="2"/>
    <s v="Cash"/>
    <x v="0"/>
    <d v="2022-01-03T00:00:00"/>
    <n v="1"/>
    <n v="2022"/>
    <n v="702"/>
    <n v="-702"/>
    <n v="0"/>
    <n v="845829.85"/>
    <s v="Trsf"/>
    <s v="Trsf 12/4/22-RM10,000.00"/>
    <m/>
  </r>
  <r>
    <d v="2022-01-03T00:00:00"/>
    <n v="1"/>
    <x v="3"/>
    <s v="INV00000182"/>
    <s v="C00000020"/>
    <x v="19"/>
    <s v="RA Talcum Powder (25kg)"/>
    <n v="2"/>
    <s v="Cash"/>
    <x v="0"/>
    <d v="2022-01-03T00:00:00"/>
    <n v="1"/>
    <n v="2022"/>
    <n v="125"/>
    <n v="-125"/>
    <n v="0"/>
    <n v="845954.85"/>
    <s v="Trsf"/>
    <s v="Trsf 12/4/22-RM10,000.00"/>
    <m/>
  </r>
  <r>
    <d v="2022-01-06T00:00:00"/>
    <n v="1"/>
    <x v="3"/>
    <s v="INV00000183"/>
    <s v="C00000019"/>
    <x v="18"/>
    <s v="RG TR104 Hi Temp Wax"/>
    <n v="6"/>
    <s v="Cash"/>
    <x v="0"/>
    <d v="2022-01-06T00:00:00"/>
    <n v="1"/>
    <n v="2022"/>
    <n v="360"/>
    <n v="-360"/>
    <n v="0"/>
    <n v="846314.85"/>
    <s v="Trsf"/>
    <s v="Trsf 6/1/2022 RM1,080.00"/>
    <m/>
  </r>
  <r>
    <d v="2022-01-06T00:00:00"/>
    <n v="1"/>
    <x v="3"/>
    <s v="INV00000183"/>
    <s v="C00000019"/>
    <x v="18"/>
    <s v="RE Frekote 770NC (1 Gallon)"/>
    <n v="2"/>
    <s v="Cash"/>
    <x v="0"/>
    <d v="2022-01-06T00:00:00"/>
    <n v="1"/>
    <n v="2022"/>
    <n v="720"/>
    <n v="-720"/>
    <n v="0"/>
    <n v="847034.85"/>
    <s v="Trsf"/>
    <s v="Trsf 6/1/2022 RM1,080.00"/>
    <m/>
  </r>
  <r>
    <d v="2022-01-07T00:00:00"/>
    <n v="1"/>
    <x v="3"/>
    <s v="INV00000184"/>
    <s v="C00000020"/>
    <x v="19"/>
    <s v="RA CSM 450 (30Kg) 64m(L) x 1040mm(W)"/>
    <n v="3"/>
    <s v="Cash"/>
    <x v="0"/>
    <d v="2022-01-07T00:00:00"/>
    <n v="1"/>
    <n v="2022"/>
    <n v="882"/>
    <n v="-882"/>
    <n v="0"/>
    <n v="847916.85"/>
    <s v="Trsf"/>
    <s v="Trsf 7/1/22 RMRM1,223.00"/>
    <m/>
  </r>
  <r>
    <d v="2022-01-07T00:00:00"/>
    <n v="1"/>
    <x v="3"/>
    <s v="INV00000184"/>
    <s v="C00000020"/>
    <x v="19"/>
    <s v="RF Woven Roving E-600 (45kg) 1120mm"/>
    <n v="1"/>
    <s v="Cash"/>
    <x v="0"/>
    <d v="2022-01-07T00:00:00"/>
    <n v="1"/>
    <n v="2022"/>
    <n v="351"/>
    <n v="-351"/>
    <n v="0"/>
    <n v="848267.85"/>
    <s v="Trsf"/>
    <s v="Trsf 7/1/22 RMRM1,223.00"/>
    <m/>
  </r>
  <r>
    <d v="2022-01-08T00:00:00"/>
    <n v="1"/>
    <x v="3"/>
    <s v="INV00000185"/>
    <s v="C00000020"/>
    <x v="19"/>
    <s v="RG Resin 3317AW (220Kg)"/>
    <n v="2"/>
    <s v="Cash"/>
    <x v="0"/>
    <d v="2022-01-08T00:00:00"/>
    <n v="1"/>
    <n v="2022"/>
    <n v="4180"/>
    <n v="-4180"/>
    <n v="0"/>
    <n v="852447.85"/>
    <s v="Trsf"/>
    <s v="Trsf 12/4/22-RM10,000.00"/>
    <m/>
  </r>
  <r>
    <d v="2022-01-08T00:00:00"/>
    <n v="1"/>
    <x v="3"/>
    <s v="INV00000185"/>
    <s v="C00000020"/>
    <x v="19"/>
    <s v="RA CSM 450 (30Kg) 64m(L) x 1040mm(W)"/>
    <n v="7"/>
    <s v="Cash"/>
    <x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n v="1"/>
    <x v="3"/>
    <s v="INV00000185"/>
    <s v="C00000020"/>
    <x v="19"/>
    <s v="RC Woven Roving E-800 1000mm (40Kg)"/>
    <n v="1"/>
    <s v="Cash"/>
    <x v="0"/>
    <d v="2022-01-08T00:00:00"/>
    <n v="1"/>
    <n v="2022"/>
    <n v="312"/>
    <n v="-312"/>
    <n v="0"/>
    <n v="854817.85"/>
    <s v="Trsf"/>
    <s v="Trsf 15/4/22-RM3,500.00"/>
    <m/>
  </r>
  <r>
    <d v="2022-01-08T00:00:00"/>
    <n v="1"/>
    <x v="3"/>
    <s v="INV00000185"/>
    <s v="C00000020"/>
    <x v="19"/>
    <s v="RF Woven Roving E-600 (45kg) 1120mm"/>
    <n v="2"/>
    <s v="Cash"/>
    <x v="0"/>
    <d v="2022-01-08T00:00:00"/>
    <n v="1"/>
    <n v="2022"/>
    <n v="702"/>
    <n v="-702"/>
    <n v="0"/>
    <n v="855519.85"/>
    <s v="Trsf"/>
    <s v="Trsf 15/4/22-RM3,500.00"/>
    <m/>
  </r>
  <r>
    <d v="2022-01-08T00:00:00"/>
    <n v="1"/>
    <x v="3"/>
    <s v="INV00000185"/>
    <s v="C00000020"/>
    <x v="19"/>
    <s v="RA Talcum Powder (25kg)"/>
    <n v="2"/>
    <s v="Cash"/>
    <x v="0"/>
    <d v="2022-01-08T00:00:00"/>
    <n v="1"/>
    <n v="2022"/>
    <n v="125"/>
    <n v="-125"/>
    <n v="0"/>
    <n v="855644.85"/>
    <s v="Trsf"/>
    <s v="Trsf 15/4/22-RM3,500.00"/>
    <m/>
  </r>
  <r>
    <d v="2022-01-10T00:00:00"/>
    <n v="1"/>
    <x v="3"/>
    <s v="INV00000186"/>
    <s v="C00000003"/>
    <x v="2"/>
    <s v="RG Resin 3317AW (220Kg)"/>
    <n v="3"/>
    <n v="45"/>
    <x v="1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n v="1"/>
    <x v="3"/>
    <s v="INV00000186"/>
    <s v="C00000003"/>
    <x v="2"/>
    <s v="RG CSM 300 (30Kg) 64m(L) x 1040mm(W)"/>
    <n v="1"/>
    <n v="45"/>
    <x v="1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n v="1"/>
    <x v="3"/>
    <s v="INV00000186"/>
    <s v="C00000003"/>
    <x v="2"/>
    <s v="RA Butanox M50 (5Kg)"/>
    <n v="6"/>
    <n v="45"/>
    <x v="1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n v="1"/>
    <x v="3"/>
    <s v="INV00000186"/>
    <s v="C00000003"/>
    <x v="2"/>
    <s v="RA Miracle Gloss Wax"/>
    <n v="2"/>
    <n v="45"/>
    <x v="1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n v="1"/>
    <x v="3"/>
    <s v="INV00000187"/>
    <s v="C00000010"/>
    <x v="9"/>
    <s v="RG Resin 3338AW (220kg)"/>
    <n v="4"/>
    <n v="120"/>
    <x v="2"/>
    <d v="2022-05-11T00:00:00"/>
    <n v="5"/>
    <n v="2022"/>
    <n v="8096"/>
    <n v="-8096"/>
    <n v="0"/>
    <n v="871075.85"/>
    <s v="Trsf"/>
    <s v="Trsf 21/4/2022 RM28,820.00"/>
    <m/>
  </r>
  <r>
    <d v="2022-01-11T00:00:00"/>
    <n v="1"/>
    <x v="3"/>
    <s v="INV00000187"/>
    <s v="C00000010"/>
    <x v="9"/>
    <s v="RG CSM 450 30kg 79m(L) X 1040mm(W)"/>
    <n v="20"/>
    <n v="120"/>
    <x v="2"/>
    <d v="2022-05-11T00:00:00"/>
    <n v="5"/>
    <n v="2022"/>
    <n v="5700"/>
    <n v="-5700"/>
    <n v="0"/>
    <n v="876775.85"/>
    <s v="Trsf"/>
    <s v="Trsf 21/4/2022 RM28,820.00"/>
    <m/>
  </r>
  <r>
    <d v="2022-01-11T00:00:00"/>
    <n v="1"/>
    <x v="3"/>
    <s v="INV00000187"/>
    <s v="C00000010"/>
    <x v="9"/>
    <s v="RA Talcum Powder (25kg)"/>
    <n v="10"/>
    <n v="120"/>
    <x v="2"/>
    <d v="2022-05-11T00:00:00"/>
    <n v="5"/>
    <n v="2022"/>
    <n v="550"/>
    <n v="-550"/>
    <n v="0"/>
    <n v="877325.85"/>
    <s v="Trsf"/>
    <s v="Trsf 21/4/2022 RM28,820.00"/>
    <m/>
  </r>
  <r>
    <d v="2022-01-11T00:00:00"/>
    <n v="1"/>
    <x v="3"/>
    <s v="INV00000187"/>
    <s v="C00000010"/>
    <x v="9"/>
    <s v="RA Mepoxe M (5kg)"/>
    <n v="4"/>
    <n v="120"/>
    <x v="2"/>
    <d v="2022-05-11T00:00:00"/>
    <n v="5"/>
    <n v="2022"/>
    <n v="340"/>
    <n v="-340"/>
    <n v="0"/>
    <n v="877665.85"/>
    <s v="Trsf"/>
    <s v="Trsf 21/4/2022 RM28,820.00"/>
    <m/>
  </r>
  <r>
    <d v="2022-01-11T00:00:00"/>
    <n v="1"/>
    <x v="3"/>
    <s v="INV00000187"/>
    <s v="C00000010"/>
    <x v="9"/>
    <s v="RA Aerosil (Silica Fume) (10Kg)"/>
    <n v="1"/>
    <n v="120"/>
    <x v="2"/>
    <d v="2022-05-11T00:00:00"/>
    <n v="5"/>
    <n v="2022"/>
    <n v="440"/>
    <n v="-440"/>
    <n v="0"/>
    <n v="878105.85"/>
    <s v="Trsf"/>
    <s v="Trsf 21/4/2022 RM28,820.00"/>
    <m/>
  </r>
  <r>
    <d v="2022-01-11T00:00:00"/>
    <n v="1"/>
    <x v="3"/>
    <s v="INV00000187"/>
    <s v="C00000010"/>
    <x v="9"/>
    <s v="RD Brush 3&quot; (12 PC)"/>
    <n v="4"/>
    <n v="120"/>
    <x v="2"/>
    <d v="2022-05-11T00:00:00"/>
    <n v="5"/>
    <n v="2022"/>
    <n v="220"/>
    <n v="-220"/>
    <n v="0"/>
    <n v="878325.85"/>
    <s v="Trsf"/>
    <s v="Trsf 21/4/2022 RM28,820.00"/>
    <m/>
  </r>
  <r>
    <d v="2022-01-13T00:00:00"/>
    <n v="1"/>
    <x v="3"/>
    <s v="INV00000188"/>
    <s v="C00000019"/>
    <x v="18"/>
    <s v="RA Resin 3338AW (220kg)"/>
    <n v="2"/>
    <s v="Cash"/>
    <x v="0"/>
    <d v="2022-01-13T00:00:00"/>
    <n v="1"/>
    <n v="2022"/>
    <n v="4136"/>
    <n v="-4136"/>
    <n v="0"/>
    <n v="882461.85"/>
    <s v="Trsf"/>
    <s v="Trsf 14/1/22 RM5,183.60"/>
    <m/>
  </r>
  <r>
    <d v="2022-01-13T00:00:00"/>
    <n v="1"/>
    <x v="3"/>
    <s v="INV00000188"/>
    <s v="C00000019"/>
    <x v="18"/>
    <s v="RG CSM 450 CQ 54kg 64m(L) X 1860mm(W)"/>
    <n v="2"/>
    <s v="Cash"/>
    <x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n v="1"/>
    <x v="3"/>
    <s v="INV00000189"/>
    <s v="C00000020"/>
    <x v="19"/>
    <s v="RG Resin 3317AW (220Kg)"/>
    <n v="8"/>
    <s v="Cash"/>
    <x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n v="1"/>
    <x v="3"/>
    <s v="INV00000189"/>
    <s v="C00000020"/>
    <x v="19"/>
    <s v="RA CSM 450 (60Kg) 64m(L) x 2080mm(W)"/>
    <n v="11"/>
    <s v="Cash"/>
    <x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n v="1"/>
    <x v="3"/>
    <s v="INV00000189"/>
    <s v="C00000020"/>
    <x v="19"/>
    <s v="RG Woven Roving E-600 (45kg) 1120mm"/>
    <n v="11"/>
    <s v="Cash"/>
    <x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n v="1"/>
    <x v="3"/>
    <s v="INV00000189"/>
    <s v="C00000020"/>
    <x v="19"/>
    <s v="RK Smooth Cream (25kg)"/>
    <n v="1"/>
    <s v="Cash"/>
    <x v="0"/>
    <d v="2022-01-13T00:00:00"/>
    <n v="1"/>
    <n v="2022"/>
    <n v="1000"/>
    <n v="-1000"/>
    <n v="0"/>
    <n v="911558.45"/>
    <s v="Trsf"/>
    <s v="Trsf 11/5/22 RM16,000.00"/>
    <m/>
  </r>
  <r>
    <d v="2022-01-13T00:00:00"/>
    <n v="1"/>
    <x v="3"/>
    <s v="INV00000189"/>
    <s v="C00000020"/>
    <x v="19"/>
    <s v="RA Talcum Powder (25kg)"/>
    <n v="8"/>
    <s v="Cash"/>
    <x v="0"/>
    <d v="2022-01-13T00:00:00"/>
    <n v="1"/>
    <n v="2022"/>
    <n v="500"/>
    <n v="-500"/>
    <n v="0"/>
    <n v="912058.45"/>
    <s v="Trsf"/>
    <s v="Trsf 11/5/22 RM16,000.00"/>
    <m/>
  </r>
  <r>
    <d v="2022-01-14T00:00:00"/>
    <n v="1"/>
    <x v="3"/>
    <s v="INV00000190"/>
    <s v="C00000004"/>
    <x v="3"/>
    <s v="RG Nor 3338W (220Kg)"/>
    <n v="2"/>
    <n v="120"/>
    <x v="2"/>
    <d v="2022-05-14T00:00:00"/>
    <n v="5"/>
    <n v="2022"/>
    <n v="4048"/>
    <n v="-4048"/>
    <n v="0"/>
    <n v="916106.45"/>
    <s v="Chq"/>
    <s v="HLB010490Cleared30/5/22-RM31,599.50"/>
    <m/>
  </r>
  <r>
    <d v="2022-01-14T00:00:00"/>
    <n v="1"/>
    <x v="3"/>
    <s v="INV00000190"/>
    <s v="C00000004"/>
    <x v="3"/>
    <s v="RA CSM 450 (60Kg) 64m(L) x 2080mm(W)"/>
    <n v="2"/>
    <n v="120"/>
    <x v="2"/>
    <d v="2022-05-14T00:00:00"/>
    <n v="5"/>
    <n v="2022"/>
    <n v="1140"/>
    <n v="-1140"/>
    <n v="0"/>
    <n v="917246.45"/>
    <s v="Chq"/>
    <s v="HLB010490Cleared30/5/22-RM31,599.50"/>
    <m/>
  </r>
  <r>
    <d v="2022-01-14T00:00:00"/>
    <n v="1"/>
    <x v="3"/>
    <s v="INV00000190"/>
    <s v="C00000004"/>
    <x v="3"/>
    <s v="RA Aerosil (Silica Fume) (10Kg)"/>
    <n v="1"/>
    <n v="120"/>
    <x v="2"/>
    <d v="2022-05-14T00:00:00"/>
    <n v="5"/>
    <n v="2022"/>
    <n v="450"/>
    <n v="-450"/>
    <n v="0"/>
    <n v="917696.45"/>
    <s v="Chq"/>
    <s v="HLB010490Cleared30/5/22-RM31,599.50"/>
    <m/>
  </r>
  <r>
    <d v="2022-01-14T00:00:00"/>
    <n v="1"/>
    <x v="3"/>
    <s v="INV00000190"/>
    <s v="C00000004"/>
    <x v="3"/>
    <s v="RA Mepoxe M (5kg)"/>
    <n v="4"/>
    <n v="120"/>
    <x v="2"/>
    <d v="2022-05-14T00:00:00"/>
    <n v="5"/>
    <n v="2022"/>
    <n v="340"/>
    <n v="-340"/>
    <n v="0"/>
    <n v="918036.45"/>
    <s v="Chq"/>
    <s v="HLB010490Cleared30/5/22-RM31,599.50"/>
    <m/>
  </r>
  <r>
    <d v="2022-01-14T00:00:00"/>
    <n v="1"/>
    <x v="3"/>
    <s v="INV00000190"/>
    <s v="C00000004"/>
    <x v="3"/>
    <s v="RA Gelcoat GP-H (20kg)"/>
    <n v="2"/>
    <n v="120"/>
    <x v="2"/>
    <d v="2022-05-14T00:00:00"/>
    <n v="5"/>
    <n v="2022"/>
    <n v="540"/>
    <n v="-540"/>
    <n v="0"/>
    <n v="918576.45"/>
    <s v="Chq"/>
    <s v="HLB010490Cleared30/5/22-RM31,599.50"/>
    <m/>
  </r>
  <r>
    <d v="2022-01-14T00:00:00"/>
    <n v="1"/>
    <x v="3"/>
    <s v="INV00000190"/>
    <s v="C00000004"/>
    <x v="3"/>
    <s v="RG CSM 300 (30Kg) 64m(L) x 1040mm(W)"/>
    <n v="1"/>
    <n v="120"/>
    <x v="2"/>
    <d v="2022-05-14T00:00:00"/>
    <n v="5"/>
    <n v="2022"/>
    <n v="285"/>
    <n v="-285"/>
    <n v="0"/>
    <n v="918861.45"/>
    <s v="Chq"/>
    <s v="HLB010490Cleared30/5/22-RM31,599.50"/>
    <m/>
  </r>
  <r>
    <d v="2022-01-14T00:00:00"/>
    <n v="1"/>
    <x v="3"/>
    <s v="INV00000191"/>
    <s v="C00000004"/>
    <x v="3"/>
    <s v="RG CSM 300 (30Kg) 64m(L) x 1040mm(W)"/>
    <n v="4"/>
    <n v="120"/>
    <x v="2"/>
    <d v="2022-05-14T00:00:00"/>
    <n v="5"/>
    <n v="2022"/>
    <n v="1140"/>
    <n v="-1140"/>
    <n v="0"/>
    <n v="920001.45"/>
    <s v="Chq"/>
    <s v="HLB010490Cleared30/5/22-RM31,599.50"/>
    <m/>
  </r>
  <r>
    <d v="2022-01-14T00:00:00"/>
    <n v="1"/>
    <x v="3"/>
    <s v="INV00000191"/>
    <s v="C00000004"/>
    <x v="3"/>
    <s v="RA Talcum Powder (25kg)"/>
    <n v="1"/>
    <n v="120"/>
    <x v="2"/>
    <d v="2022-05-14T00:00:00"/>
    <n v="5"/>
    <n v="2022"/>
    <n v="62.5"/>
    <n v="-62.5"/>
    <n v="0"/>
    <n v="920063.95"/>
    <s v="Chq"/>
    <s v="HLB010490Cleared30/5/22-RM31,599.50"/>
    <m/>
  </r>
  <r>
    <d v="2022-01-17T00:00:00"/>
    <n v="1"/>
    <x v="3"/>
    <s v="INV00000192"/>
    <s v="C00000004"/>
    <x v="3"/>
    <s v="RA Nor 3338W (220Kg)"/>
    <n v="3"/>
    <n v="120"/>
    <x v="2"/>
    <d v="2022-05-17T00:00:00"/>
    <n v="5"/>
    <n v="2022"/>
    <n v="6072"/>
    <n v="-6072"/>
    <n v="0"/>
    <n v="926135.95"/>
    <s v="Chq"/>
    <s v="HLB010490Cleared30/5/22-RM31,599.50"/>
    <m/>
  </r>
  <r>
    <d v="2022-01-17T00:00:00"/>
    <n v="1"/>
    <x v="3"/>
    <s v="INV00000192"/>
    <s v="C00000004"/>
    <x v="3"/>
    <s v="RF Nor 3338NW (220Kg)"/>
    <n v="1"/>
    <n v="120"/>
    <x v="2"/>
    <d v="2022-05-17T00:00:00"/>
    <n v="5"/>
    <n v="2022"/>
    <n v="2024"/>
    <n v="-2024"/>
    <n v="0"/>
    <n v="928159.95"/>
    <s v="Chq"/>
    <s v="HLB010490Cleared30/5/22-RM31,599.50"/>
    <m/>
  </r>
  <r>
    <d v="2022-01-17T00:00:00"/>
    <n v="1"/>
    <x v="3"/>
    <s v="INV00000192"/>
    <s v="C00000004"/>
    <x v="3"/>
    <s v="RA Accelerator (5Kg)"/>
    <n v="1"/>
    <n v="120"/>
    <x v="2"/>
    <d v="2022-05-17T00:00:00"/>
    <n v="5"/>
    <n v="2022"/>
    <n v="390"/>
    <n v="-390"/>
    <n v="0"/>
    <n v="928549.95"/>
    <s v="Chq"/>
    <s v="HLB010490Cleared30/5/22-RM31,599.50"/>
    <m/>
  </r>
  <r>
    <d v="2022-01-18T00:00:00"/>
    <n v="1"/>
    <x v="3"/>
    <s v="INV00000193"/>
    <s v="C00000020"/>
    <x v="19"/>
    <s v="RG Resin 3317AW (220Kg)"/>
    <n v="3"/>
    <s v="Cash"/>
    <x v="0"/>
    <d v="2022-01-18T00:00:00"/>
    <n v="1"/>
    <n v="2022"/>
    <n v="6270"/>
    <n v="-6270"/>
    <n v="0"/>
    <n v="934819.95"/>
    <s v="Trsf"/>
    <s v="Trsf 11/5/22 RM16,000.00"/>
    <m/>
  </r>
  <r>
    <d v="2022-01-18T00:00:00"/>
    <n v="1"/>
    <x v="3"/>
    <s v="INV00000193"/>
    <s v="C00000020"/>
    <x v="19"/>
    <s v="RA CSM 450 (60Kg) 64m(L) x 2080mm(W)"/>
    <n v="4"/>
    <s v="Cash"/>
    <x v="0"/>
    <d v="2022-01-18T00:00:00"/>
    <n v="1"/>
    <n v="2022"/>
    <n v="2352"/>
    <n v="-2352"/>
    <n v="0"/>
    <n v="937171.95"/>
    <s v="Trsf"/>
    <s v="Trsf 11/5/22 RM16,000.00"/>
    <m/>
  </r>
  <r>
    <d v="2022-01-18T00:00:00"/>
    <n v="1"/>
    <x v="3"/>
    <s v="INV00000193"/>
    <s v="C00000020"/>
    <x v="19"/>
    <s v="RG Woven Roving E-600 (45kg) 1120mm"/>
    <n v="5"/>
    <s v="Cash"/>
    <x v="0"/>
    <d v="2022-01-18T00:00:00"/>
    <n v="1"/>
    <n v="2022"/>
    <n v="1755"/>
    <n v="-1755"/>
    <n v="0"/>
    <n v="938926.95"/>
    <s v="Trsf"/>
    <s v="Trsf 11/5/22 RM16,000.00"/>
    <m/>
  </r>
  <r>
    <d v="2022-01-18T00:00:00"/>
    <n v="1"/>
    <x v="3"/>
    <s v="INV00000193"/>
    <s v="C00000020"/>
    <x v="19"/>
    <s v="RK Smooth Cream (25kg)"/>
    <n v="1"/>
    <s v="Cash"/>
    <x v="0"/>
    <d v="2022-01-18T00:00:00"/>
    <n v="1"/>
    <n v="2022"/>
    <n v="1000"/>
    <n v="-1000"/>
    <n v="0"/>
    <n v="939926.95"/>
    <s v="Trsf"/>
    <s v="Trsf 11/5/22 RM16,000.00"/>
    <m/>
  </r>
  <r>
    <d v="2022-01-18T00:00:00"/>
    <n v="1"/>
    <x v="3"/>
    <s v="INV00000193"/>
    <s v="C00000020"/>
    <x v="19"/>
    <s v="RA Talcum Powder (25kg)"/>
    <n v="2"/>
    <s v="Cash"/>
    <x v="0"/>
    <d v="2022-01-18T00:00:00"/>
    <n v="1"/>
    <n v="2022"/>
    <n v="125"/>
    <n v="-125"/>
    <n v="0"/>
    <n v="940051.95"/>
    <s v="Trsf"/>
    <s v="Trsf 11/5/22 RM16,000.00"/>
    <m/>
  </r>
  <r>
    <d v="2022-01-22T00:00:00"/>
    <n v="1"/>
    <x v="3"/>
    <s v="INV00000194"/>
    <s v="C00000019"/>
    <x v="18"/>
    <s v="RG Nor 3338W (220Kg)"/>
    <n v="1"/>
    <s v="Cash"/>
    <x v="0"/>
    <d v="2022-01-22T00:00:00"/>
    <n v="1"/>
    <n v="2022"/>
    <n v="2068"/>
    <n v="-2068"/>
    <n v="0"/>
    <n v="942119.95"/>
    <s v="Trsf"/>
    <s v="Trsf  23/1/22 RM2,696.80"/>
    <m/>
  </r>
  <r>
    <d v="2022-01-22T00:00:00"/>
    <n v="1"/>
    <x v="3"/>
    <s v="INV00000194"/>
    <s v="C00000019"/>
    <x v="18"/>
    <s v="RG CSM 450 CQ 54kg 64m(L) X 1860mm(W)"/>
    <n v="1"/>
    <s v="Cash"/>
    <x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n v="1"/>
    <x v="3"/>
    <s v="INV00000194"/>
    <s v="C00000019"/>
    <x v="18"/>
    <s v="RA Butanox M50"/>
    <n v="1"/>
    <s v="Cash"/>
    <x v="0"/>
    <d v="2022-01-22T00:00:00"/>
    <n v="1"/>
    <n v="2022"/>
    <n v="105"/>
    <n v="-105"/>
    <n v="0"/>
    <n v="942748.75"/>
    <s v="Trsf"/>
    <s v="Trsf  23/1/22 RM2,696.80"/>
    <m/>
  </r>
  <r>
    <d v="2022-01-24T00:00:00"/>
    <n v="1"/>
    <x v="3"/>
    <s v="INV00000195"/>
    <s v="C00000010"/>
    <x v="9"/>
    <s v="RA Resin 3338AW (220kg)"/>
    <n v="6"/>
    <n v="120"/>
    <x v="2"/>
    <d v="2022-05-24T00:00:00"/>
    <n v="5"/>
    <n v="2022"/>
    <n v="12144"/>
    <n v="-12144"/>
    <n v="0"/>
    <n v="954892.75"/>
    <s v="Trsf"/>
    <s v="Trsf 21/4/2022 RM28,820.00"/>
    <m/>
  </r>
  <r>
    <d v="2022-01-24T00:00:00"/>
    <n v="1"/>
    <x v="3"/>
    <s v="INV00000195"/>
    <s v="C00000010"/>
    <x v="9"/>
    <s v="RA Talcum Powder (25kg)"/>
    <n v="10"/>
    <n v="120"/>
    <x v="2"/>
    <d v="2022-05-24T00:00:00"/>
    <n v="5"/>
    <n v="2022"/>
    <n v="550"/>
    <n v="-550"/>
    <n v="0"/>
    <n v="955442.75"/>
    <s v="Trsf"/>
    <s v="Trsf 21/4/2022 RM28,820.00"/>
    <m/>
  </r>
  <r>
    <d v="2022-01-24T00:00:00"/>
    <n v="1"/>
    <x v="3"/>
    <s v="INV00000195"/>
    <s v="C00000010"/>
    <x v="9"/>
    <s v="RA Mepoxe M (5kg)"/>
    <n v="4"/>
    <n v="120"/>
    <x v="2"/>
    <d v="2022-05-24T00:00:00"/>
    <n v="5"/>
    <n v="2022"/>
    <n v="340"/>
    <n v="-340"/>
    <n v="0"/>
    <n v="955782.75"/>
    <s v="Trsf"/>
    <s v="Trsf 21/4/2022 RM28,820.00"/>
    <m/>
  </r>
  <r>
    <d v="2022-01-24T00:00:00"/>
    <n v="1"/>
    <x v="3"/>
    <s v="INV00000195"/>
    <s v="C00000010"/>
    <x v="9"/>
    <s v="RA Aerosil (Silica Fume) (10Kg)"/>
    <n v="1"/>
    <n v="120"/>
    <x v="2"/>
    <d v="2022-05-24T00:00:00"/>
    <n v="5"/>
    <n v="2022"/>
    <n v="440"/>
    <n v="-440"/>
    <n v="0"/>
    <n v="956222.75"/>
    <s v="Trsf"/>
    <s v="Trsf 21/4/2022 RM28,820.00"/>
    <m/>
  </r>
  <r>
    <d v="2022-01-25T00:00:00"/>
    <n v="1"/>
    <x v="3"/>
    <s v="INV00000196"/>
    <s v="C00000006"/>
    <x v="5"/>
    <s v="RG Nor 3338W (220Kg)"/>
    <n v="1"/>
    <s v="Cash"/>
    <x v="0"/>
    <d v="2022-01-25T00:00:00"/>
    <n v="1"/>
    <n v="2022"/>
    <n v="2024"/>
    <n v="-2024"/>
    <n v="0"/>
    <n v="958246.75"/>
    <s v="Chq"/>
    <s v="chq 934918 21/02/2022"/>
    <m/>
  </r>
  <r>
    <d v="2022-01-25T00:00:00"/>
    <n v="1"/>
    <x v="3"/>
    <s v="INV00000196"/>
    <s v="C00000006"/>
    <x v="5"/>
    <s v="RG CSM 300 (30Kg) 64m(L) x 1040mm(W)"/>
    <n v="1"/>
    <s v="Cash"/>
    <x v="0"/>
    <d v="2022-01-25T00:00:00"/>
    <n v="1"/>
    <n v="2022"/>
    <n v="285"/>
    <n v="-285"/>
    <n v="0"/>
    <n v="958531.75"/>
    <s v="Chq"/>
    <s v="chq 934918 21/02/2022"/>
    <m/>
  </r>
  <r>
    <d v="2022-01-26T00:00:00"/>
    <n v="1"/>
    <x v="3"/>
    <s v="INV00000197"/>
    <s v="C00000004"/>
    <x v="3"/>
    <s v="RG Nor 3338W (220Kg)"/>
    <n v="5"/>
    <n v="120"/>
    <x v="2"/>
    <d v="2022-05-26T00:00:00"/>
    <n v="5"/>
    <n v="2022"/>
    <n v="10120"/>
    <n v="-10120"/>
    <n v="0"/>
    <n v="968651.75"/>
    <s v="Chq"/>
    <s v="HLB010490Cleared30/5/22-RM31,599.50"/>
    <m/>
  </r>
  <r>
    <d v="2022-01-26T00:00:00"/>
    <n v="1"/>
    <x v="3"/>
    <s v="INV00000197"/>
    <s v="C00000004"/>
    <x v="3"/>
    <s v="RG Nor 3338NW (220Kg)"/>
    <n v="1"/>
    <n v="120"/>
    <x v="2"/>
    <d v="2022-05-26T00:00:00"/>
    <n v="5"/>
    <n v="2022"/>
    <n v="2024"/>
    <n v="-2024"/>
    <n v="0"/>
    <n v="970675.75"/>
    <s v="Chq"/>
    <s v="HLB010490Cleared30/5/22-RM31,599.50"/>
    <m/>
  </r>
  <r>
    <d v="2022-01-26T00:00:00"/>
    <n v="1"/>
    <x v="3"/>
    <s v="INV00000197"/>
    <s v="C00000004"/>
    <x v="3"/>
    <s v="RG CSM 300 (30Kg) 64m(L) x 1040mm(W)"/>
    <n v="5"/>
    <n v="120"/>
    <x v="2"/>
    <d v="2022-05-26T00:00:00"/>
    <n v="5"/>
    <n v="2022"/>
    <n v="1425"/>
    <n v="-1425"/>
    <n v="0"/>
    <n v="972100.75"/>
    <s v="Chq"/>
    <s v="HLB010490Cleared30/5/22-RM31,599.50"/>
    <m/>
  </r>
  <r>
    <d v="2022-01-26T00:00:00"/>
    <n v="1"/>
    <x v="3"/>
    <s v="INV00000197"/>
    <s v="C00000004"/>
    <x v="3"/>
    <s v="RG CSM 450 CQ 54kg 64m(L) X 1860mm(W)"/>
    <n v="3"/>
    <n v="120"/>
    <x v="2"/>
    <d v="2022-05-26T00:00:00"/>
    <n v="5"/>
    <n v="2022"/>
    <n v="1539"/>
    <n v="-1539"/>
    <n v="0"/>
    <n v="973639.75"/>
    <s v="Chq"/>
    <s v="HLB010490Cleared30/5/22-RM31,599.50"/>
    <m/>
  </r>
  <r>
    <d v="2022-02-10T00:00:00"/>
    <n v="2"/>
    <x v="3"/>
    <s v="INV00000198"/>
    <s v="C00000019"/>
    <x v="18"/>
    <s v="RG Nor 3338W (220Kg)"/>
    <n v="2"/>
    <s v="Cash"/>
    <x v="0"/>
    <d v="2022-02-10T00:00:00"/>
    <n v="2"/>
    <n v="2022"/>
    <n v="4136"/>
    <n v="-4136"/>
    <n v="0"/>
    <n v="977775.75"/>
    <s v="Trsf"/>
    <s v="Trsf 12/2/22 RM6,532.40"/>
    <m/>
  </r>
  <r>
    <d v="2022-02-10T00:00:00"/>
    <n v="2"/>
    <x v="3"/>
    <s v="INV00000198"/>
    <s v="C00000019"/>
    <x v="18"/>
    <s v="RG CSM 450 CQ 54kg 64m(L) X 1860mm(W)"/>
    <n v="3"/>
    <s v="Cash"/>
    <x v="0"/>
    <d v="2022-02-10T00:00:00"/>
    <n v="2"/>
    <n v="2022"/>
    <n v="1571.4"/>
    <n v="-1571.4"/>
    <n v="0"/>
    <n v="979347.15"/>
    <s v="Trsf"/>
    <s v="Trsf 12/2/22 RM6,532.40"/>
    <m/>
  </r>
  <r>
    <d v="2022-02-10T00:00:00"/>
    <n v="2"/>
    <x v="3"/>
    <s v="INV00000198"/>
    <s v="C00000019"/>
    <x v="18"/>
    <s v="RA Butanox M50 (5Kg)"/>
    <n v="1"/>
    <s v="Cash"/>
    <x v="0"/>
    <d v="2022-02-10T00:00:00"/>
    <n v="2"/>
    <n v="2022"/>
    <n v="105"/>
    <n v="-105"/>
    <n v="0"/>
    <n v="979452.15"/>
    <s v="Trsf"/>
    <s v="Trsf 12/2/22 RM6,532.40"/>
    <m/>
  </r>
  <r>
    <d v="2022-02-10T00:00:00"/>
    <n v="2"/>
    <x v="3"/>
    <s v="INV00000198"/>
    <s v="C00000019"/>
    <x v="18"/>
    <s v="RE Frekote 770NC (1 Gallon)"/>
    <n v="2"/>
    <s v="Cash"/>
    <x v="0"/>
    <d v="2022-02-10T00:00:00"/>
    <n v="2"/>
    <n v="2022"/>
    <n v="720"/>
    <n v="-720"/>
    <n v="0"/>
    <n v="980172.15"/>
    <s v="Trsf"/>
    <s v="Trsf 12/2/22 RM6,532.40"/>
    <m/>
  </r>
  <r>
    <d v="2022-02-15T00:00:00"/>
    <n v="2"/>
    <x v="3"/>
    <s v="INV00000199"/>
    <s v="C00000004"/>
    <x v="3"/>
    <s v="RA Mepoxe M (5kg)"/>
    <n v="4"/>
    <n v="120"/>
    <x v="2"/>
    <d v="2022-06-15T00:00:00"/>
    <n v="6"/>
    <n v="2022"/>
    <n v="340"/>
    <n v="-340"/>
    <n v="0"/>
    <n v="980512.15"/>
    <s v="Chq"/>
    <s v="HLB011600Cleared23/6/22-RM1,480.00"/>
    <m/>
  </r>
  <r>
    <d v="2022-02-15T00:00:00"/>
    <n v="2"/>
    <x v="3"/>
    <s v="INV00000199"/>
    <s v="C00000004"/>
    <x v="3"/>
    <s v="RG CSM 300 (30Kg) 64m(L) x 1040mm(W)"/>
    <n v="4"/>
    <n v="120"/>
    <x v="2"/>
    <d v="2022-06-15T00:00:00"/>
    <n v="6"/>
    <n v="2022"/>
    <n v="1140"/>
    <n v="-1140"/>
    <n v="0"/>
    <n v="981652.15"/>
    <s v="Chq"/>
    <s v="HLB011600Cleared23/6/22-RM1,480.00"/>
    <m/>
  </r>
  <r>
    <d v="2022-02-17T00:00:00"/>
    <n v="2"/>
    <x v="3"/>
    <s v="INV00000200"/>
    <s v="C00000010"/>
    <x v="9"/>
    <s v="RG Resin 3338AW (220kg)"/>
    <n v="6"/>
    <n v="120"/>
    <x v="2"/>
    <d v="2022-06-17T00:00:00"/>
    <n v="6"/>
    <n v="2022"/>
    <n v="11880"/>
    <n v="-11880"/>
    <n v="0"/>
    <n v="993532.15"/>
    <s v="Trsf"/>
    <s v="Trsf 23/5/22 RM14,395.00"/>
    <m/>
  </r>
  <r>
    <d v="2022-02-17T00:00:00"/>
    <n v="2"/>
    <x v="3"/>
    <s v="INV00000200"/>
    <s v="C00000010"/>
    <x v="9"/>
    <s v="RG CSM 450 (30Kg) 64m(L) x 1040mm(W)"/>
    <n v="5"/>
    <n v="120"/>
    <x v="2"/>
    <d v="2022-06-17T00:00:00"/>
    <n v="6"/>
    <n v="2022"/>
    <n v="1425"/>
    <n v="-1425"/>
    <n v="0"/>
    <n v="994957.15"/>
    <s v="Trsf"/>
    <s v="Trsf 23/5/22 RM14,395.00"/>
    <m/>
  </r>
  <r>
    <d v="2022-02-17T00:00:00"/>
    <n v="2"/>
    <x v="3"/>
    <s v="INV00000200"/>
    <s v="C00000010"/>
    <x v="9"/>
    <s v="RA Talcum Powder (25kg)"/>
    <n v="5"/>
    <n v="120"/>
    <x v="2"/>
    <d v="2022-06-17T00:00:00"/>
    <n v="6"/>
    <n v="2022"/>
    <n v="275"/>
    <n v="-275"/>
    <n v="0"/>
    <n v="995232.15"/>
    <s v="Trsf"/>
    <s v="Trsf 23/5/22 RM14,395.00"/>
    <m/>
  </r>
  <r>
    <d v="2022-02-17T00:00:00"/>
    <n v="2"/>
    <x v="3"/>
    <s v="INV00000200"/>
    <s v="C00000010"/>
    <x v="9"/>
    <s v="RH Bosny Wax (15Kg)"/>
    <n v="1"/>
    <n v="120"/>
    <x v="2"/>
    <d v="2022-06-17T00:00:00"/>
    <n v="6"/>
    <n v="2022"/>
    <n v="375"/>
    <n v="-375"/>
    <n v="0"/>
    <n v="995607.15"/>
    <s v="Trsf"/>
    <s v="Trsf 23/5/22 RM14,395.00"/>
    <m/>
  </r>
  <r>
    <d v="2022-02-17T00:00:00"/>
    <n v="2"/>
    <x v="3"/>
    <s v="INV00000200"/>
    <s v="C00000010"/>
    <x v="9"/>
    <s v="RA Aerosil (Silica Fume) (10Kg)"/>
    <n v="1"/>
    <n v="120"/>
    <x v="2"/>
    <d v="2022-06-17T00:00:00"/>
    <n v="6"/>
    <n v="2022"/>
    <n v="440"/>
    <n v="-440"/>
    <n v="0"/>
    <n v="996047.15"/>
    <s v="Trsf"/>
    <s v="Trsf 23/5/22 RM14,395.00"/>
    <m/>
  </r>
  <r>
    <d v="2022-02-18T00:00:00"/>
    <n v="2"/>
    <x v="3"/>
    <s v="INV00000201"/>
    <s v="C00000009"/>
    <x v="8"/>
    <s v="RG Nor 3338W (220Kg)"/>
    <n v="2"/>
    <n v="60"/>
    <x v="3"/>
    <d v="2022-04-19T00:00:00"/>
    <n v="4"/>
    <n v="2022"/>
    <n v="3960"/>
    <n v="-3960"/>
    <n v="0"/>
    <n v="1000007.15"/>
    <s v="Chq"/>
    <s v="HLIB 015672dd250522 RM5,940,00"/>
    <m/>
  </r>
  <r>
    <d v="2022-02-18T00:00:00"/>
    <n v="2"/>
    <x v="3"/>
    <s v="INV00000201"/>
    <s v="C00000009"/>
    <x v="8"/>
    <s v="RM Nor 3338NW (220Kg)"/>
    <n v="1"/>
    <n v="60"/>
    <x v="3"/>
    <d v="2022-04-19T00:00:00"/>
    <n v="4"/>
    <n v="2022"/>
    <n v="1980"/>
    <n v="-1980"/>
    <n v="0"/>
    <n v="1001987.15"/>
    <s v="Chq"/>
    <s v="HLIB 015672dd250522 RM5,940,00"/>
    <m/>
  </r>
  <r>
    <d v="2022-02-19T00:00:00"/>
    <n v="2"/>
    <x v="3"/>
    <s v="INV00000202"/>
    <s v="C00000003"/>
    <x v="2"/>
    <s v="RG Resin 3317AW (220Kg)"/>
    <n v="3"/>
    <n v="45"/>
    <x v="1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n v="2"/>
    <x v="3"/>
    <s v="INV00000202"/>
    <s v="C00000003"/>
    <x v="2"/>
    <s v="RA Talcum Powder (25kg)"/>
    <n v="4"/>
    <n v="45"/>
    <x v="1"/>
    <d v="2022-04-05T00:00:00"/>
    <n v="4"/>
    <n v="2022"/>
    <n v="260"/>
    <n v="-260"/>
    <n v="0"/>
    <n v="1008583.15"/>
    <s v="PD Chq"/>
    <s v="RHB001569cleared11/4/22-RM1,586.00"/>
    <m/>
  </r>
  <r>
    <d v="2022-02-19T00:00:00"/>
    <n v="2"/>
    <x v="3"/>
    <s v="INV00000202"/>
    <s v="C00000003"/>
    <x v="2"/>
    <s v="RA Butanox M50 (5Kg)"/>
    <n v="6"/>
    <n v="45"/>
    <x v="1"/>
    <d v="2022-04-05T00:00:00"/>
    <n v="4"/>
    <n v="2022"/>
    <n v="630"/>
    <n v="-630"/>
    <n v="0"/>
    <n v="1009213.15"/>
    <s v="PD Chq"/>
    <s v="RHB001569cleared11/4/22-RM1,586.00"/>
    <m/>
  </r>
  <r>
    <d v="2022-02-19T00:00:00"/>
    <n v="2"/>
    <x v="3"/>
    <s v="INV00000202"/>
    <s v="C00000003"/>
    <x v="2"/>
    <s v="RA Miracle Gloss Wax"/>
    <n v="1"/>
    <n v="45"/>
    <x v="1"/>
    <d v="2022-04-05T00:00:00"/>
    <n v="4"/>
    <n v="2022"/>
    <n v="45"/>
    <n v="-45"/>
    <n v="0"/>
    <n v="1009258.15"/>
    <s v="PD Chq"/>
    <s v="RHB001569cleared11/4/22-RM1,586.00"/>
    <m/>
  </r>
  <r>
    <d v="2022-02-21T00:00:00"/>
    <n v="2"/>
    <x v="3"/>
    <s v="INV00000203"/>
    <s v="C00000021"/>
    <x v="21"/>
    <s v="RG Resin 3317AW (220Kg)"/>
    <n v="2"/>
    <s v="Cash"/>
    <x v="0"/>
    <d v="2022-02-21T00:00:00"/>
    <n v="2"/>
    <n v="2022"/>
    <n v="3960"/>
    <n v="-3960"/>
    <n v="0"/>
    <n v="1013218.15"/>
    <s v="PD Chq"/>
    <s v="PBB395355cleared31/3/22 RM5,822.00"/>
    <m/>
  </r>
  <r>
    <d v="2022-02-21T00:00:00"/>
    <n v="2"/>
    <x v="3"/>
    <s v="INV00000203"/>
    <s v="C00000021"/>
    <x v="21"/>
    <s v="RG CSM 450 (30Kg) 64m(L) x 1040mm(W)"/>
    <n v="6"/>
    <s v="Cash"/>
    <x v="0"/>
    <d v="2022-02-21T00:00:00"/>
    <n v="2"/>
    <n v="2022"/>
    <n v="1692"/>
    <n v="-1692"/>
    <n v="0"/>
    <n v="1014910.15"/>
    <s v="PD Chq"/>
    <s v="PBB395355cleared31/3/22 RM5,822.01"/>
    <m/>
  </r>
  <r>
    <d v="2022-02-21T00:00:00"/>
    <n v="2"/>
    <x v="3"/>
    <s v="INV00000203"/>
    <s v="C00000021"/>
    <x v="21"/>
    <s v="RA Mepoxe M (5kg)"/>
    <n v="2"/>
    <s v="Cash"/>
    <x v="0"/>
    <d v="2022-02-21T00:00:00"/>
    <n v="2"/>
    <n v="2022"/>
    <n v="170"/>
    <n v="-170"/>
    <n v="0"/>
    <n v="1015080.15"/>
    <s v="PD Chq"/>
    <s v="PBB395355cleared31/3/22 RM5,822.02"/>
    <m/>
  </r>
  <r>
    <d v="2022-02-21T00:00:00"/>
    <n v="2"/>
    <x v="3"/>
    <s v="INV00000204"/>
    <s v="C00000006"/>
    <x v="5"/>
    <s v="RA Pigment Super White (5kg)"/>
    <n v="1"/>
    <s v="Cash"/>
    <x v="0"/>
    <d v="2022-02-21T00:00:00"/>
    <n v="2"/>
    <n v="2022"/>
    <n v="175"/>
    <n v="-175"/>
    <n v="0"/>
    <n v="1015255.15"/>
    <s v="Chq"/>
    <s v="RHB 934926 cleared18/4/22-RM2,580.50"/>
    <m/>
  </r>
  <r>
    <d v="2022-02-22T00:00:00"/>
    <n v="2"/>
    <x v="3"/>
    <s v="INV00000205"/>
    <s v="C00000019"/>
    <x v="18"/>
    <s v="RG Nor 3338W (220Kg)"/>
    <n v="2"/>
    <s v="Cash"/>
    <x v="0"/>
    <d v="2022-02-22T00:00:00"/>
    <n v="2"/>
    <n v="2022"/>
    <n v="4136"/>
    <n v="-4136"/>
    <n v="0"/>
    <n v="1019391.15"/>
    <s v="Trsf"/>
    <s v="Trsf 22/2/22 RM5,877.30"/>
    <m/>
  </r>
  <r>
    <d v="2022-02-22T00:00:00"/>
    <n v="2"/>
    <x v="3"/>
    <s v="INV00000205"/>
    <s v="C00000019"/>
    <x v="18"/>
    <s v="RG CSM 450 CQ 54kg 64m(L) X 1860mm(W)"/>
    <n v="1"/>
    <s v="Cash"/>
    <x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n v="2"/>
    <x v="3"/>
    <s v="INV00000205"/>
    <s v="C00000019"/>
    <x v="18"/>
    <s v="RA Butanox M50"/>
    <n v="1"/>
    <s v="Cash"/>
    <x v="0"/>
    <d v="2022-02-22T00:00:00"/>
    <n v="2"/>
    <n v="2022"/>
    <n v="105"/>
    <n v="-105"/>
    <n v="0"/>
    <n v="1020019.9500000001"/>
    <s v="Trsf"/>
    <s v="Trsf 22/2/22 RM5,877.30"/>
    <m/>
  </r>
  <r>
    <d v="2022-02-22T00:00:00"/>
    <n v="2"/>
    <x v="3"/>
    <s v="INV00000205"/>
    <s v="C00000019"/>
    <x v="18"/>
    <s v="RE Frekote 770NC (1 Gallon)"/>
    <n v="1"/>
    <s v="Cash"/>
    <x v="0"/>
    <d v="2022-02-22T00:00:00"/>
    <n v="2"/>
    <n v="2022"/>
    <n v="360"/>
    <n v="-360"/>
    <n v="0"/>
    <n v="1020379.9500000001"/>
    <s v="Trsf"/>
    <s v="Trsf 22/2/22 RM5,877.30"/>
    <m/>
  </r>
  <r>
    <d v="2022-02-22T00:00:00"/>
    <n v="2"/>
    <x v="3"/>
    <s v="INV00000205"/>
    <s v="C00000019"/>
    <x v="18"/>
    <s v="RA Talcum Powder (25kg)"/>
    <n v="5"/>
    <s v="Cash"/>
    <x v="0"/>
    <d v="2022-02-22T00:00:00"/>
    <n v="2"/>
    <n v="2022"/>
    <n v="312.5"/>
    <n v="-312.5"/>
    <n v="0"/>
    <n v="1020692.4500000001"/>
    <s v="Trsf"/>
    <s v="Trsf 22/2/22 RM5,877.30"/>
    <m/>
  </r>
  <r>
    <d v="2022-02-22T00:00:00"/>
    <n v="2"/>
    <x v="3"/>
    <s v="INV00000205"/>
    <s v="C00000019"/>
    <x v="18"/>
    <s v="RA Aerosil (Silica Fume) (10Kg)"/>
    <n v="1"/>
    <s v="Cash"/>
    <x v="0"/>
    <d v="2022-02-22T00:00:00"/>
    <n v="2"/>
    <n v="2022"/>
    <n v="440"/>
    <n v="-440"/>
    <n v="0"/>
    <n v="1021132.4500000001"/>
    <s v="Trsf"/>
    <s v="Trsf 22/2/22 RM5,877.30"/>
    <m/>
  </r>
  <r>
    <d v="2022-02-24T00:00:00"/>
    <n v="2"/>
    <x v="3"/>
    <s v="INV00000206"/>
    <s v="C00000020"/>
    <x v="19"/>
    <s v="RG Resin 3317AW (220Kg)"/>
    <n v="2"/>
    <s v="Cash"/>
    <x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n v="2"/>
    <x v="3"/>
    <s v="INV00000206"/>
    <s v="C00000020"/>
    <x v="19"/>
    <s v="RG Nor 3338W (220Kg)"/>
    <n v="1"/>
    <s v="Cash"/>
    <x v="0"/>
    <d v="2022-02-24T00:00:00"/>
    <n v="2"/>
    <n v="2022"/>
    <n v="2090"/>
    <n v="-2090"/>
    <n v="0"/>
    <n v="1027402.4500000001"/>
    <s v="Trsf"/>
    <s v="Trsf 17/5/22 RM10,000.00"/>
    <m/>
  </r>
  <r>
    <d v="2022-02-24T00:00:00"/>
    <n v="2"/>
    <x v="3"/>
    <s v="INV00000206"/>
    <s v="C00000020"/>
    <x v="19"/>
    <s v="RG Woven Roving E-600 (45kg) 1120mm"/>
    <n v="1"/>
    <s v="Cash"/>
    <x v="0"/>
    <d v="2022-02-24T00:00:00"/>
    <n v="2"/>
    <n v="2022"/>
    <n v="351"/>
    <n v="-351"/>
    <n v="0"/>
    <n v="1027753.4500000001"/>
    <s v="Trsf"/>
    <s v="Trsf 17/5/22 RM10,000.00"/>
    <m/>
  </r>
  <r>
    <d v="2022-02-24T00:00:00"/>
    <n v="2"/>
    <x v="3"/>
    <s v="INV00000206"/>
    <s v="C00000020"/>
    <x v="19"/>
    <s v="RK Smooth Cream (25kg)"/>
    <n v="1"/>
    <s v="Cash"/>
    <x v="0"/>
    <d v="2022-02-24T00:00:00"/>
    <n v="2"/>
    <n v="2022"/>
    <n v="1000"/>
    <n v="-1000"/>
    <n v="0"/>
    <n v="1028753.4500000001"/>
    <s v="Trsf"/>
    <s v="Trsf 17/5/22 RM10,000.00"/>
    <m/>
  </r>
  <r>
    <d v="2022-02-24T00:00:00"/>
    <n v="2"/>
    <x v="3"/>
    <s v="INV00000206"/>
    <s v="C00000020"/>
    <x v="19"/>
    <s v="RA Mepoxe M (5kg)"/>
    <n v="4"/>
    <s v="Cash"/>
    <x v="0"/>
    <d v="2022-02-24T00:00:00"/>
    <n v="2"/>
    <n v="2022"/>
    <n v="340"/>
    <n v="-340"/>
    <n v="0"/>
    <n v="1029093.4500000001"/>
    <s v="Trsf"/>
    <s v="Trsf 17/5/22 RM10,000.00"/>
    <m/>
  </r>
  <r>
    <d v="2022-02-26T00:00:00"/>
    <n v="2"/>
    <x v="3"/>
    <s v="INV00000207"/>
    <s v="C00000020"/>
    <x v="19"/>
    <s v="RG Resin 3317AW (220Kg)"/>
    <n v="1"/>
    <s v="Cash"/>
    <x v="0"/>
    <d v="2022-02-26T00:00:00"/>
    <n v="2"/>
    <n v="2022"/>
    <n v="2090"/>
    <n v="-2090"/>
    <n v="0"/>
    <n v="1031183.4500000001"/>
    <s v="Trsf"/>
    <s v="Trsf 17/5/22 RM10,000.00"/>
    <m/>
  </r>
  <r>
    <d v="2022-02-26T00:00:00"/>
    <n v="2"/>
    <x v="3"/>
    <s v="INV00000207"/>
    <s v="C00000020"/>
    <x v="19"/>
    <s v="RA CSM 450 (60Kg) 64m(L) x 2080mm(W)"/>
    <n v="1"/>
    <s v="Cash"/>
    <x v="0"/>
    <d v="2022-02-26T00:00:00"/>
    <n v="2"/>
    <n v="2022"/>
    <n v="588"/>
    <n v="-588"/>
    <n v="0"/>
    <n v="1031771.4500000001"/>
    <s v="Trsf"/>
    <s v="Trsf 17/5/22 RM10,000.00"/>
    <m/>
  </r>
  <r>
    <d v="2022-02-26T00:00:00"/>
    <n v="2"/>
    <x v="3"/>
    <s v="INV00000208"/>
    <s v="C00000003"/>
    <x v="2"/>
    <s v="RG CSM 300 (30Kg) 64m(L) x 1040mm(W)"/>
    <n v="1"/>
    <n v="45"/>
    <x v="1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n v="3"/>
    <x v="3"/>
    <s v="INV00000209"/>
    <s v="C00000021"/>
    <x v="21"/>
    <s v="RG Resin 3317AW (220Kg)"/>
    <n v="2"/>
    <s v="Cash"/>
    <x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n v="3"/>
    <x v="3"/>
    <s v="INV00000209"/>
    <s v="C00000021"/>
    <x v="21"/>
    <s v="RG CSM 450 (30Kg) 64m(L) x 1040mm(W)"/>
    <n v="8"/>
    <s v="Cash"/>
    <x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n v="3"/>
    <x v="3"/>
    <s v="INV00000209"/>
    <s v="C00000021"/>
    <x v="21"/>
    <s v="RA Mepoxe M (5kg)"/>
    <n v="1"/>
    <s v="Cash"/>
    <x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n v="3"/>
    <x v="3"/>
    <s v="INV00000210"/>
    <s v="C00000022"/>
    <x v="23"/>
    <s v="RM Nor 3338NW (220Kg)"/>
    <n v="1"/>
    <s v="Cash"/>
    <x v="0"/>
    <d v="2022-03-08T00:00:00"/>
    <n v="3"/>
    <n v="2022"/>
    <n v="2112"/>
    <n v="-2112"/>
    <n v="0"/>
    <n v="1040499.4500000001"/>
    <s v="Trsf"/>
    <s v="Trsf 23/3/22 RM5,328.00"/>
    <m/>
  </r>
  <r>
    <d v="2022-03-08T00:00:00"/>
    <n v="3"/>
    <x v="3"/>
    <s v="INV00000210"/>
    <s v="C00000022"/>
    <x v="23"/>
    <s v="RM Wax Solution 54-56 (10L)"/>
    <n v="1"/>
    <s v="Cash"/>
    <x v="0"/>
    <d v="2022-03-08T00:00:00"/>
    <n v="3"/>
    <n v="2022"/>
    <n v="320"/>
    <n v="-320"/>
    <n v="0"/>
    <n v="1040819.4500000001"/>
    <s v="Trsf"/>
    <s v="Trsf 23/3/22 RM5,328.00"/>
    <m/>
  </r>
  <r>
    <d v="2022-03-08T00:00:00"/>
    <n v="3"/>
    <x v="3"/>
    <s v="INV00000210"/>
    <s v="C00000022"/>
    <x v="23"/>
    <s v="RM NPG Gelcoat 9319-H (25Kg)"/>
    <n v="1"/>
    <s v="Cash"/>
    <x v="0"/>
    <d v="2022-03-08T00:00:00"/>
    <n v="3"/>
    <n v="2022"/>
    <n v="337.5"/>
    <n v="-337.5"/>
    <n v="0"/>
    <n v="1041156.9500000001"/>
    <s v="Trsf"/>
    <s v="Trsf 23/3/22 RM5,328.00"/>
    <m/>
  </r>
  <r>
    <d v="2022-03-08T00:00:00"/>
    <n v="3"/>
    <x v="3"/>
    <s v="INV00000210"/>
    <s v="C00000022"/>
    <x v="23"/>
    <s v="RM Pgment Paste Riviera Blue B5 (5Kg)"/>
    <n v="2"/>
    <s v="Cash"/>
    <x v="0"/>
    <d v="2022-03-08T00:00:00"/>
    <n v="3"/>
    <n v="2022"/>
    <n v="480"/>
    <n v="-480"/>
    <n v="0"/>
    <n v="1041636.9500000001"/>
    <s v="Trsf"/>
    <s v="Trsf 23/3/22 RM5,328.00"/>
    <m/>
  </r>
  <r>
    <d v="2022-03-08T00:00:00"/>
    <n v="3"/>
    <x v="3"/>
    <s v="INV00000210"/>
    <s v="C00000022"/>
    <x v="23"/>
    <s v="RA CSM 450 (60Kg) 64m(L) x 2080mm(W)"/>
    <n v="1"/>
    <s v="Cash"/>
    <x v="0"/>
    <d v="2022-03-08T00:00:00"/>
    <n v="3"/>
    <n v="2022"/>
    <n v="588"/>
    <n v="-588"/>
    <n v="0"/>
    <n v="1042224.9500000001"/>
    <s v="Trsf"/>
    <s v="Trsf 23/3/22 RM5,328.00"/>
    <m/>
  </r>
  <r>
    <d v="2022-03-08T00:00:00"/>
    <n v="3"/>
    <x v="3"/>
    <s v="INV00000210"/>
    <s v="C00000022"/>
    <x v="23"/>
    <s v="RG CSM 300 (30Kg) 64m(L) x 1040mm(W)"/>
    <n v="2"/>
    <s v="Cash"/>
    <x v="0"/>
    <d v="2022-03-08T00:00:00"/>
    <n v="3"/>
    <n v="2022"/>
    <n v="588"/>
    <n v="-588"/>
    <n v="0"/>
    <n v="1042812.9500000001"/>
    <s v="Trsf"/>
    <s v="Trsf 23/3/22 RM5,328.00"/>
    <m/>
  </r>
  <r>
    <d v="2022-03-08T00:00:00"/>
    <n v="3"/>
    <x v="3"/>
    <s v="INV00000210"/>
    <s v="C00000022"/>
    <x v="23"/>
    <s v="RG Woven Roving E-600 (45kg) 1120mm"/>
    <n v="1"/>
    <s v="Cash"/>
    <x v="0"/>
    <d v="2022-03-08T00:00:00"/>
    <n v="3"/>
    <n v="2022"/>
    <n v="337.5"/>
    <n v="-337.5"/>
    <n v="0"/>
    <n v="1043150.4500000001"/>
    <s v="Trsf"/>
    <s v="Trsf 23/3/22 RM5,328.00"/>
    <m/>
  </r>
  <r>
    <d v="2022-03-08T00:00:00"/>
    <n v="3"/>
    <x v="3"/>
    <s v="INV00000210"/>
    <s v="C00000022"/>
    <x v="23"/>
    <s v="RA Butanox M50 (5kg)"/>
    <n v="1"/>
    <s v="Cash"/>
    <x v="0"/>
    <d v="2022-03-08T00:00:00"/>
    <n v="3"/>
    <n v="2022"/>
    <n v="110"/>
    <n v="-110"/>
    <n v="0"/>
    <n v="1043260.4500000001"/>
    <s v="Trsf"/>
    <s v="Trsf 23/3/22 RM5,328.00"/>
    <m/>
  </r>
  <r>
    <d v="2022-03-08T00:00:00"/>
    <n v="3"/>
    <x v="3"/>
    <s v="INV00000211"/>
    <s v="C00000010"/>
    <x v="9"/>
    <s v="RG Resin 3338AW (220kg)"/>
    <n v="6"/>
    <n v="120"/>
    <x v="2"/>
    <d v="2022-07-06T00:00:00"/>
    <n v="7"/>
    <n v="2022"/>
    <n v="11880"/>
    <n v="-11880"/>
    <n v="0"/>
    <n v="1055140.4500000002"/>
    <s v="Trsf"/>
    <s v="Trsf 27/6/22 RM29,465.00"/>
    <m/>
  </r>
  <r>
    <d v="2022-03-08T00:00:00"/>
    <n v="3"/>
    <x v="3"/>
    <s v="INV00000211"/>
    <s v="C00000010"/>
    <x v="9"/>
    <s v="RG CSM 450 (30Kg) 64m(L) x 1040mm(W)"/>
    <n v="10"/>
    <n v="120"/>
    <x v="2"/>
    <d v="2022-07-06T00:00:00"/>
    <n v="7"/>
    <n v="2022"/>
    <n v="2850"/>
    <n v="-2850"/>
    <n v="0"/>
    <n v="1057990.4500000002"/>
    <s v="Trsf"/>
    <s v="Trsf 27/6/22 RM29,465.00"/>
    <m/>
  </r>
  <r>
    <d v="2022-03-08T00:00:00"/>
    <n v="3"/>
    <x v="3"/>
    <s v="INV00000211"/>
    <s v="C00000010"/>
    <x v="9"/>
    <s v="RA Talcum Powder (25kg)"/>
    <n v="10"/>
    <n v="120"/>
    <x v="2"/>
    <d v="2022-07-06T00:00:00"/>
    <n v="7"/>
    <n v="2022"/>
    <n v="550"/>
    <n v="-550"/>
    <n v="0"/>
    <n v="1058540.4500000002"/>
    <s v="Trsf"/>
    <s v="Trsf 27/6/22 RM29,465.00"/>
    <m/>
  </r>
  <r>
    <d v="2022-03-09T00:00:00"/>
    <n v="3"/>
    <x v="3"/>
    <s v="INV00000212"/>
    <s v="C00000022"/>
    <x v="23"/>
    <s v="RA Talcum Powder (25kg)"/>
    <n v="1"/>
    <s v="Cash"/>
    <x v="0"/>
    <d v="2022-03-09T00:00:00"/>
    <n v="3"/>
    <n v="2022"/>
    <n v="65"/>
    <n v="-65"/>
    <n v="0"/>
    <n v="1058605.4500000002"/>
    <s v="Trsf"/>
    <s v="Trsf 23/3/22 RM5,328.00"/>
    <m/>
  </r>
  <r>
    <d v="2022-03-11T00:00:00"/>
    <n v="3"/>
    <x v="3"/>
    <s v="INV00000213"/>
    <s v="C00000019"/>
    <x v="18"/>
    <s v="RG Nor 3338W (220Kg)"/>
    <n v="2"/>
    <s v="Cash"/>
    <x v="0"/>
    <d v="2022-03-11T00:00:00"/>
    <n v="3"/>
    <n v="2022"/>
    <n v="4136"/>
    <n v="-4136"/>
    <n v="0"/>
    <n v="1062741.4500000002"/>
    <s v="Trsf"/>
    <s v="Trsf 11/3/22 RM6,379.90"/>
    <m/>
  </r>
  <r>
    <d v="2022-03-11T00:00:00"/>
    <n v="3"/>
    <x v="3"/>
    <s v="INV00000213"/>
    <s v="C00000019"/>
    <x v="18"/>
    <s v="RG CSM 450 CQ 54kg 64m(L) X 1860mm(W)"/>
    <n v="3"/>
    <s v="Cash"/>
    <x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n v="3"/>
    <x v="3"/>
    <s v="INV00000213"/>
    <s v="C00000019"/>
    <x v="18"/>
    <s v="RA Talcum Powder (25kg)"/>
    <n v="5"/>
    <s v="Cash"/>
    <x v="0"/>
    <d v="2022-03-11T00:00:00"/>
    <n v="3"/>
    <n v="2022"/>
    <n v="312.5"/>
    <n v="-312.5"/>
    <n v="0"/>
    <n v="1064625.3500000001"/>
    <s v="Trsf"/>
    <s v="Trsf 11/3/22 RM6,379.90"/>
    <m/>
  </r>
  <r>
    <d v="2022-03-11T00:00:00"/>
    <n v="3"/>
    <x v="3"/>
    <s v="INV00000213"/>
    <s v="C00000019"/>
    <x v="18"/>
    <s v="RE Frekote 770NC (1 Gallon)"/>
    <n v="1"/>
    <s v="Cash"/>
    <x v="0"/>
    <d v="2022-03-11T00:00:00"/>
    <n v="3"/>
    <n v="2022"/>
    <n v="360"/>
    <n v="-360"/>
    <n v="0"/>
    <n v="1064985.3500000001"/>
    <s v="Trsf"/>
    <s v="Trsf 11/3/22 RM6,379.90"/>
    <m/>
  </r>
  <r>
    <d v="2022-03-12T00:00:00"/>
    <n v="3"/>
    <x v="3"/>
    <s v="INV00000214"/>
    <s v="C00000022"/>
    <x v="23"/>
    <s v="RE Frekote 770NC (1 Gallon)"/>
    <n v="1"/>
    <s v="Cash"/>
    <x v="0"/>
    <d v="2022-03-12T00:00:00"/>
    <n v="3"/>
    <n v="2022"/>
    <n v="390"/>
    <n v="-390"/>
    <n v="0"/>
    <n v="1065375.3500000001"/>
    <s v="Trsf"/>
    <s v="Trsf 23/3/22 RM5,328.00"/>
    <m/>
  </r>
  <r>
    <d v="2022-03-12T00:00:00"/>
    <n v="3"/>
    <x v="3"/>
    <s v="INV00000215"/>
    <s v="C00000006"/>
    <x v="5"/>
    <s v="RG Resin 3338AW (220kg)"/>
    <n v="1"/>
    <s v="Cash"/>
    <x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n v="3"/>
    <x v="3"/>
    <s v="INV00000216"/>
    <s v="C00000020"/>
    <x v="19"/>
    <s v="RG Resin 3317AW (220Kg)"/>
    <n v="1"/>
    <s v="Cash"/>
    <x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n v="3"/>
    <x v="3"/>
    <s v="INV00000216"/>
    <s v="C00000020"/>
    <x v="19"/>
    <s v="RA CSM 450 (60Kg) 64m(L) x 2080mm(W)"/>
    <n v="1"/>
    <s v="Cash"/>
    <x v="0"/>
    <d v="2022-03-14T00:00:00"/>
    <n v="3"/>
    <n v="2022"/>
    <n v="588"/>
    <n v="-588"/>
    <n v="0"/>
    <n v="1070121.3500000001"/>
    <s v="Trsf"/>
    <s v="Trsf 19/5/22 RM10,000.00"/>
    <m/>
  </r>
  <r>
    <d v="2022-03-14T00:00:00"/>
    <n v="3"/>
    <x v="3"/>
    <s v="INV00000216"/>
    <s v="C00000020"/>
    <x v="19"/>
    <s v="RG Woven Roving E-600 (45kg) 1120mm"/>
    <n v="1"/>
    <s v="Cash"/>
    <x v="0"/>
    <d v="2022-03-14T00:00:00"/>
    <n v="3"/>
    <n v="2022"/>
    <n v="351"/>
    <n v="-351"/>
    <n v="0"/>
    <n v="1070472.3500000001"/>
    <s v="Trsf"/>
    <s v="Trsf 19/5/22 RM10,000.00"/>
    <m/>
  </r>
  <r>
    <d v="2022-03-15T00:00:00"/>
    <n v="3"/>
    <x v="3"/>
    <s v="INV00000217"/>
    <s v="C00000010"/>
    <x v="9"/>
    <s v="RG Resin 3338AW (220kg)"/>
    <n v="6"/>
    <n v="120"/>
    <x v="2"/>
    <d v="2022-07-13T00:00:00"/>
    <n v="7"/>
    <n v="2022"/>
    <n v="11880"/>
    <n v="-11880"/>
    <n v="0"/>
    <n v="1082352.3500000001"/>
    <s v="Trsf"/>
    <s v="Trsf 27/6/22 RM29,465.00"/>
    <m/>
  </r>
  <r>
    <d v="2022-03-15T00:00:00"/>
    <n v="3"/>
    <x v="3"/>
    <s v="INV00000217"/>
    <s v="C00000010"/>
    <x v="9"/>
    <s v="RG CSM 450 (30Kg) 64m(L) x 1040mm(W)"/>
    <n v="5"/>
    <n v="120"/>
    <x v="2"/>
    <d v="2022-07-13T00:00:00"/>
    <n v="7"/>
    <n v="2022"/>
    <n v="1425"/>
    <n v="-1425"/>
    <n v="0"/>
    <n v="1083777.3500000001"/>
    <s v="Trsf"/>
    <s v="Trsf 27/6/22 RM29,465.00"/>
    <m/>
  </r>
  <r>
    <d v="2022-03-15T00:00:00"/>
    <n v="3"/>
    <x v="3"/>
    <s v="INV00000217"/>
    <s v="C00000010"/>
    <x v="9"/>
    <s v="RA Aerosil (Silica Fume) (10Kg)"/>
    <n v="2"/>
    <n v="120"/>
    <x v="2"/>
    <d v="2022-07-13T00:00:00"/>
    <n v="7"/>
    <n v="2022"/>
    <n v="880"/>
    <n v="-880"/>
    <n v="0"/>
    <n v="1084657.3500000001"/>
    <s v="Trsf"/>
    <s v="Trsf 27/6/22 RM29,465.00"/>
    <m/>
  </r>
  <r>
    <d v="2022-03-15T00:00:00"/>
    <n v="3"/>
    <x v="3"/>
    <s v="INV00000218"/>
    <s v="C00000020"/>
    <x v="19"/>
    <s v="RG Resin 3317AW (220Kg)"/>
    <n v="3"/>
    <s v="Cash"/>
    <x v="0"/>
    <d v="2022-03-15T00:00:00"/>
    <n v="3"/>
    <n v="2022"/>
    <n v="6270"/>
    <n v="-6270"/>
    <n v="0"/>
    <n v="1090927.3500000001"/>
    <s v="Trsf"/>
    <s v="Trsf 19/5/22 RM10,000.00"/>
    <m/>
  </r>
  <r>
    <d v="2022-03-15T00:00:00"/>
    <n v="3"/>
    <x v="3"/>
    <s v="INV00000218"/>
    <s v="C00000020"/>
    <x v="19"/>
    <s v="RA CSM 450 (60Kg) 64m(L) x 2080mm(W)"/>
    <n v="6"/>
    <s v="Cash"/>
    <x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n v="3"/>
    <x v="3"/>
    <s v="INV00000218"/>
    <s v="C00000020"/>
    <x v="19"/>
    <s v="RG Woven Roving E-600 (45kg) 1120mm"/>
    <n v="1"/>
    <s v="Cash"/>
    <x v="0"/>
    <d v="2022-03-15T00:00:00"/>
    <n v="3"/>
    <n v="2022"/>
    <n v="351"/>
    <n v="-351"/>
    <n v="0"/>
    <n v="1094806.3500000001"/>
    <s v="Trsf"/>
    <s v="Trsf 20/5/22 RM9,000.00"/>
    <m/>
  </r>
  <r>
    <d v="2022-03-15T00:00:00"/>
    <n v="3"/>
    <x v="3"/>
    <s v="INV00000218"/>
    <s v="C00000020"/>
    <x v="19"/>
    <s v="RC Woven Roving E-800 1000mm (40Kg)"/>
    <n v="3"/>
    <s v="Cash"/>
    <x v="0"/>
    <d v="2022-03-15T00:00:00"/>
    <n v="3"/>
    <n v="2022"/>
    <n v="936"/>
    <n v="-936"/>
    <n v="0"/>
    <n v="1095742.3500000001"/>
    <s v="Trsf"/>
    <s v="Trsf 20/5/22 RM9,000.00"/>
    <m/>
  </r>
  <r>
    <d v="2022-03-15T00:00:00"/>
    <n v="3"/>
    <x v="3"/>
    <s v="INV00000218"/>
    <s v="C00000020"/>
    <x v="19"/>
    <s v="RA Mepoxe M (5kg)"/>
    <n v="4"/>
    <s v="Cash"/>
    <x v="0"/>
    <d v="2022-03-15T00:00:00"/>
    <n v="3"/>
    <n v="2022"/>
    <n v="340"/>
    <n v="-340"/>
    <n v="0"/>
    <n v="1096082.3500000001"/>
    <s v="Trsf"/>
    <s v="Trsf 20/5/22 RM9,000.00"/>
    <m/>
  </r>
  <r>
    <d v="2022-03-17T00:00:00"/>
    <n v="3"/>
    <x v="3"/>
    <s v="INV00000219"/>
    <s v="C00000019"/>
    <x v="18"/>
    <s v="RA Butanox M50"/>
    <n v="3"/>
    <s v="Cash"/>
    <x v="0"/>
    <d v="2022-03-17T00:00:00"/>
    <n v="3"/>
    <n v="2022"/>
    <n v="315"/>
    <n v="-315"/>
    <n v="0"/>
    <n v="1096397.3500000001"/>
    <s v="Trsf"/>
    <s v="Trsf 17/3/22 RM315.00"/>
    <m/>
  </r>
  <r>
    <d v="2022-03-18T00:00:00"/>
    <n v="3"/>
    <x v="3"/>
    <s v="INV00000220"/>
    <s v="C00000020"/>
    <x v="19"/>
    <s v="RA Resin 3317AW (220Kg)"/>
    <n v="3"/>
    <s v="Cash"/>
    <x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n v="3"/>
    <x v="3"/>
    <s v="INV00000220"/>
    <s v="C00000020"/>
    <x v="19"/>
    <s v="RM CSM 450 64m(L) 1040mm(W) (30Kg)"/>
    <n v="7"/>
    <s v="Cash"/>
    <x v="0"/>
    <d v="2022-03-18T00:00:00"/>
    <n v="3"/>
    <n v="2022"/>
    <n v="2058"/>
    <n v="-2058"/>
    <n v="0"/>
    <n v="1104725.3500000001"/>
    <s v="Trsf"/>
    <s v="Trsf 1/6/22 RM27,000.00"/>
    <m/>
  </r>
  <r>
    <d v="2022-03-18T00:00:00"/>
    <n v="3"/>
    <x v="3"/>
    <s v="INV00000220"/>
    <s v="C00000020"/>
    <x v="19"/>
    <s v="RM Woven Roving E-600gm 1000mm (40Kg)"/>
    <n v="5"/>
    <s v="Cash"/>
    <x v="0"/>
    <d v="2022-03-18T00:00:00"/>
    <n v="3"/>
    <n v="2022"/>
    <n v="1560"/>
    <n v="-1560"/>
    <n v="0"/>
    <n v="1106285.3500000001"/>
    <s v="Trsf"/>
    <s v="Trsf 1/6/22 RM27,000.00"/>
    <m/>
  </r>
  <r>
    <d v="2022-03-19T00:00:00"/>
    <n v="3"/>
    <x v="3"/>
    <s v="INV00000221"/>
    <s v="C00000021"/>
    <x v="21"/>
    <s v="RA Resin 3317AW (220Kg)"/>
    <n v="2"/>
    <s v="Cash"/>
    <x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n v="3"/>
    <x v="3"/>
    <s v="INV00000221"/>
    <s v="C00000021"/>
    <x v="21"/>
    <s v="RM CSM 450 64m(L) 1040mm(W) (30Kg)"/>
    <n v="6"/>
    <s v="Cash"/>
    <x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n v="3"/>
    <x v="3"/>
    <s v="INV00000221"/>
    <s v="C00000021"/>
    <x v="21"/>
    <s v="RA Mepoxe M (5kg)"/>
    <n v="2"/>
    <s v="Cash"/>
    <x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n v="3"/>
    <x v="3"/>
    <s v="INV00000221"/>
    <s v="C00000021"/>
    <x v="21"/>
    <s v="RA Pigment Super Black (5kg)"/>
    <n v="1"/>
    <s v="Cash"/>
    <x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n v="3"/>
    <x v="3"/>
    <s v="INV00000221"/>
    <s v="C00000021"/>
    <x v="21"/>
    <s v="RM Cobalt (5kg)"/>
    <n v="1"/>
    <s v="Cash"/>
    <x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n v="3"/>
    <x v="3"/>
    <s v="INV00000221"/>
    <s v="C00000021"/>
    <x v="21"/>
    <s v="RA Talcum Powder (25kg)"/>
    <n v="10"/>
    <s v="Cash"/>
    <x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n v="3"/>
    <x v="3"/>
    <s v="INV00000221"/>
    <s v="C00000021"/>
    <x v="21"/>
    <s v="RM Acetone (163Kg)"/>
    <n v="1"/>
    <s v="Cash"/>
    <x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n v="3"/>
    <x v="3"/>
    <s v="INV00000222"/>
    <s v="C00000006"/>
    <x v="5"/>
    <s v="RM NPG Gelcoat 9319-H (25Kg)"/>
    <n v="1"/>
    <s v="Cash"/>
    <x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n v="3"/>
    <x v="3"/>
    <s v="INV00000223"/>
    <s v="C00000020"/>
    <x v="19"/>
    <s v="RA Resin 3317AW (220Kg)"/>
    <n v="3"/>
    <s v="Cash"/>
    <x v="0"/>
    <d v="2022-03-23T00:00:00"/>
    <n v="3"/>
    <n v="2022"/>
    <n v="6270"/>
    <n v="-6270"/>
    <n v="0"/>
    <n v="1121020.3500000001"/>
    <s v="Trsf"/>
    <s v="Trsf 1/6/22 RM27,000.00"/>
    <m/>
  </r>
  <r>
    <d v="2022-03-23T00:00:00"/>
    <n v="3"/>
    <x v="3"/>
    <s v="INV00000223"/>
    <s v="C00000020"/>
    <x v="19"/>
    <s v="RM CSM 450 64m(L) 1040mm(W) (30Kg)"/>
    <n v="4"/>
    <s v="Cash"/>
    <x v="0"/>
    <d v="2022-03-23T00:00:00"/>
    <n v="3"/>
    <n v="2022"/>
    <n v="1176"/>
    <n v="-1176"/>
    <n v="0"/>
    <n v="1122196.3500000001"/>
    <s v="Trsf"/>
    <s v="Trsf 1/6/22 RM27,000.00"/>
    <m/>
  </r>
  <r>
    <d v="2022-03-23T00:00:00"/>
    <n v="3"/>
    <x v="3"/>
    <s v="INV00000223"/>
    <s v="C00000020"/>
    <x v="19"/>
    <s v="RM Woven Roving E-600gm 1000mm (40Kg)"/>
    <n v="4"/>
    <s v="Cash"/>
    <x v="0"/>
    <d v="2022-03-23T00:00:00"/>
    <n v="3"/>
    <n v="2022"/>
    <n v="1248"/>
    <n v="-1248"/>
    <n v="0"/>
    <n v="1123444.3500000001"/>
    <s v="Trsf"/>
    <s v="Trsf 1/6/22 RM27,000.00"/>
    <m/>
  </r>
  <r>
    <d v="2022-03-23T00:00:00"/>
    <n v="3"/>
    <x v="3"/>
    <s v="INV00000223"/>
    <s v="C00000020"/>
    <x v="19"/>
    <s v="RA Talcum Powder (25kg)"/>
    <n v="2"/>
    <s v="Cash"/>
    <x v="0"/>
    <d v="2022-03-23T00:00:00"/>
    <n v="3"/>
    <n v="2022"/>
    <n v="125"/>
    <n v="-125"/>
    <n v="0"/>
    <n v="1123569.3500000001"/>
    <s v="Trsf"/>
    <s v="Trsf 1/6/22 RM27,000.00"/>
    <m/>
  </r>
  <r>
    <d v="2022-03-25T00:00:00"/>
    <n v="3"/>
    <x v="3"/>
    <s v="INV00000224"/>
    <s v="C00000020"/>
    <x v="19"/>
    <s v="RA Nor 3338W (220Kg)"/>
    <n v="4"/>
    <s v="Cash"/>
    <x v="0"/>
    <d v="2022-03-25T00:00:00"/>
    <n v="3"/>
    <n v="2022"/>
    <n v="8360"/>
    <n v="-8360"/>
    <n v="0"/>
    <n v="1131929.3500000001"/>
    <s v="Trsf"/>
    <s v="Trsf 1/6/22 RM27,000.00"/>
    <m/>
  </r>
  <r>
    <d v="2022-03-25T00:00:00"/>
    <n v="3"/>
    <x v="3"/>
    <s v="INV00000224"/>
    <s v="C00000020"/>
    <x v="19"/>
    <s v="RM CSM 450 64m(L) 1040mm(W) (30Kg)"/>
    <n v="10"/>
    <s v="Cash"/>
    <x v="0"/>
    <d v="2022-03-25T00:00:00"/>
    <n v="3"/>
    <n v="2022"/>
    <n v="2940"/>
    <n v="-2940"/>
    <n v="0"/>
    <n v="1134869.3500000001"/>
    <s v="Trsf"/>
    <s v="Trsf 1/6/22 RM27,000.00"/>
    <m/>
  </r>
  <r>
    <d v="2022-03-25T00:00:00"/>
    <n v="3"/>
    <x v="3"/>
    <s v="INV00000224"/>
    <s v="C00000020"/>
    <x v="19"/>
    <s v="RM Woven Roving E-600gm 1000mm (40Kg)"/>
    <n v="6"/>
    <s v="Cash"/>
    <x v="0"/>
    <d v="2022-03-25T00:00:00"/>
    <n v="3"/>
    <n v="2022"/>
    <n v="1872"/>
    <n v="-1872"/>
    <n v="0"/>
    <n v="1136741.3500000001"/>
    <s v="Trsf"/>
    <s v="Trsf 1/6/22 RM27,000.00"/>
    <m/>
  </r>
  <r>
    <d v="2022-03-25T00:00:00"/>
    <n v="3"/>
    <x v="3"/>
    <s v="INV00000224"/>
    <s v="C00000020"/>
    <x v="19"/>
    <s v="RA Talcum Powder (25kg)"/>
    <n v="4"/>
    <s v="Cash"/>
    <x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n v="3"/>
    <x v="3"/>
    <s v="INV00000224"/>
    <s v="C00000020"/>
    <x v="19"/>
    <s v="RM Pigment Smooth Cream (25kg)"/>
    <n v="1"/>
    <s v="Cash"/>
    <x v="0"/>
    <d v="2022-03-25T00:00:00"/>
    <n v="3"/>
    <n v="2022"/>
    <n v="1000"/>
    <n v="-1000"/>
    <n v="0"/>
    <n v="1137991.3500000001"/>
    <s v="Trsf"/>
    <s v="Trsf23/6/22 RM7,000.00"/>
    <m/>
  </r>
  <r>
    <d v="2022-03-29T00:00:00"/>
    <n v="3"/>
    <x v="3"/>
    <s v="INV00000225"/>
    <s v="C00000001"/>
    <x v="0"/>
    <s v="RA Resin 3317AW (220Kg)"/>
    <n v="1"/>
    <s v="Cash"/>
    <x v="0"/>
    <d v="2022-03-29T00:00:00"/>
    <n v="3"/>
    <n v="2022"/>
    <n v="2068"/>
    <n v="-2068"/>
    <n v="0"/>
    <n v="1140059.3500000001"/>
    <s v="Trsf"/>
    <s v="Trsf 30/3/22 RM3,232.00"/>
    <m/>
  </r>
  <r>
    <d v="2022-03-29T00:00:00"/>
    <n v="3"/>
    <x v="3"/>
    <s v="INV00000225"/>
    <s v="C00000001"/>
    <x v="0"/>
    <s v="RM CSM 450 64m(L) 1040mm(W) (30Kg)"/>
    <n v="4"/>
    <s v="Cash"/>
    <x v="0"/>
    <d v="2022-03-29T00:00:00"/>
    <n v="3"/>
    <n v="2022"/>
    <n v="1164"/>
    <n v="-1164"/>
    <n v="0"/>
    <n v="1141223.3500000001"/>
    <s v="Trsf"/>
    <s v="Trsf 30/3/22 RM3,232.00"/>
    <m/>
  </r>
  <r>
    <d v="2022-03-29T00:00:00"/>
    <n v="3"/>
    <x v="3"/>
    <s v="INV00000226"/>
    <s v="C00000020"/>
    <x v="19"/>
    <s v="RA Nor 3338W (220Kg)"/>
    <n v="2"/>
    <s v="Cash"/>
    <x v="0"/>
    <d v="2022-03-29T00:00:00"/>
    <n v="3"/>
    <n v="2022"/>
    <n v="4180"/>
    <n v="-4180"/>
    <n v="0"/>
    <n v="1145403.3500000001"/>
    <s v="Trsf"/>
    <s v="Trsf23/6/22 RM7,000.00"/>
    <m/>
  </r>
  <r>
    <d v="2022-03-29T00:00:00"/>
    <n v="3"/>
    <x v="3"/>
    <s v="INV00000226"/>
    <s v="C00000020"/>
    <x v="19"/>
    <s v="RM CSM 450 64m(L) 1040mm(W) (30Kg)"/>
    <n v="8"/>
    <s v="Cash"/>
    <x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n v="3"/>
    <x v="3"/>
    <s v="INV00000226"/>
    <s v="C00000020"/>
    <x v="19"/>
    <s v="RM Woven Roving E-600gm 1000mm (40Kg)"/>
    <n v="3"/>
    <s v="Cash"/>
    <x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n v="3"/>
    <x v="3"/>
    <s v="INV00000226"/>
    <s v="C00000020"/>
    <x v="19"/>
    <s v="RA Talcum Powder (25kg)"/>
    <n v="2"/>
    <s v="Cash"/>
    <x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n v="3"/>
    <x v="3"/>
    <s v="INV00000227"/>
    <s v="C00000023"/>
    <x v="24"/>
    <s v="RA Nor 3338W (220Kg)"/>
    <n v="1"/>
    <s v="Cash"/>
    <x v="0"/>
    <d v="2022-03-31T00:00:00"/>
    <n v="3"/>
    <n v="2022"/>
    <n v="2090"/>
    <n v="-2090"/>
    <n v="0"/>
    <n v="1150906.3500000001"/>
    <s v="Trsf"/>
    <s v="Trsf 31/3/22 RM3,555.00"/>
    <m/>
  </r>
  <r>
    <d v="2022-03-31T00:00:00"/>
    <n v="3"/>
    <x v="3"/>
    <s v="INV00000227"/>
    <s v="C00000023"/>
    <x v="24"/>
    <s v="RJ Mepoxe (5kg)"/>
    <n v="4"/>
    <s v="Cash"/>
    <x v="0"/>
    <d v="2022-03-31T00:00:00"/>
    <n v="3"/>
    <n v="2022"/>
    <n v="340"/>
    <n v="-340"/>
    <n v="0"/>
    <n v="1151246.3500000001"/>
    <s v="Trsf"/>
    <s v="Trsf 31/3/22 RM3,555.00"/>
    <m/>
  </r>
  <r>
    <d v="2022-03-31T00:00:00"/>
    <n v="3"/>
    <x v="3"/>
    <s v="INV00000227"/>
    <s v="C00000023"/>
    <x v="24"/>
    <s v="RM Pigment Smooth Cream (25kg)"/>
    <n v="1"/>
    <s v="Cash"/>
    <x v="0"/>
    <d v="2022-03-31T00:00:00"/>
    <n v="3"/>
    <n v="2022"/>
    <n v="1000"/>
    <n v="-1000"/>
    <n v="0"/>
    <n v="1152246.3500000001"/>
    <s v="Trsf"/>
    <s v="Trsf 31/3/22 RM3,555.00"/>
    <m/>
  </r>
  <r>
    <d v="2022-03-31T00:00:00"/>
    <n v="3"/>
    <x v="3"/>
    <s v="INV00000227"/>
    <s v="C00000023"/>
    <x v="24"/>
    <s v="RA Talcum Powder (25kg)"/>
    <n v="2"/>
    <s v="Cash"/>
    <x v="0"/>
    <d v="2022-03-31T00:00:00"/>
    <n v="3"/>
    <n v="2022"/>
    <n v="125"/>
    <n v="-125"/>
    <n v="0"/>
    <n v="1152371.3500000001"/>
    <s v="Trsf"/>
    <s v="Trsf 31/3/22 RM3,555.00"/>
    <m/>
  </r>
  <r>
    <d v="2022-04-01T00:00:00"/>
    <n v="4"/>
    <x v="3"/>
    <s v="INV00000228"/>
    <s v="C00000021"/>
    <x v="21"/>
    <s v="RA Resin 3317AW (220Kg)"/>
    <n v="2"/>
    <s v="Cash"/>
    <x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n v="4"/>
    <x v="3"/>
    <s v="INV00000228"/>
    <s v="C00000021"/>
    <x v="21"/>
    <s v="RM CSM 450 64m(L) 1040mm(W) (30Kg)"/>
    <n v="3"/>
    <s v="Cash"/>
    <x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n v="4"/>
    <x v="3"/>
    <s v="INV00000228"/>
    <s v="C00000021"/>
    <x v="21"/>
    <s v="RJ Mepoxe (5kg)"/>
    <n v="2"/>
    <s v="Cash"/>
    <x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n v="4"/>
    <x v="3"/>
    <s v="INV00000228"/>
    <s v="C00000021"/>
    <x v="21"/>
    <s v="RA Talcum Powder (25kg)"/>
    <n v="10"/>
    <s v="Cash"/>
    <x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n v="4"/>
    <x v="3"/>
    <s v="INV00000228"/>
    <s v="C00000021"/>
    <x v="21"/>
    <s v="RM Gelcoat GSH"/>
    <n v="1"/>
    <s v="Cash"/>
    <x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n v="4"/>
    <x v="3"/>
    <s v="INV00000229"/>
    <s v="C00000020"/>
    <x v="19"/>
    <s v="RA Resin 3317AW (220Kg)"/>
    <n v="1"/>
    <s v="Cash"/>
    <x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n v="4"/>
    <x v="3"/>
    <s v="INV00000229"/>
    <s v="C00000020"/>
    <x v="19"/>
    <s v="RA Nor 3338W (220Kg)"/>
    <n v="2"/>
    <s v="Cash"/>
    <x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n v="4"/>
    <x v="3"/>
    <s v="INV00000229"/>
    <s v="C00000020"/>
    <x v="19"/>
    <s v="RM CSM 450 (60Kg) 64m(L) x 2080mm(W)"/>
    <n v="3"/>
    <s v="Cash"/>
    <x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n v="4"/>
    <x v="3"/>
    <s v="INV00000229"/>
    <s v="C00000020"/>
    <x v="19"/>
    <s v="RM Woven Roving E-600gm 1000mm (40Kg)"/>
    <n v="3"/>
    <s v="Cash"/>
    <x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n v="4"/>
    <x v="3"/>
    <s v="INV00000229"/>
    <s v="C00000020"/>
    <x v="19"/>
    <s v="RA Talcum Powder (25kg)"/>
    <n v="3"/>
    <s v="Cash"/>
    <x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n v="4"/>
    <x v="3"/>
    <s v="INV00000230"/>
    <s v="C00000022"/>
    <x v="23"/>
    <s v="RA Nor 3338W (220Kg)"/>
    <n v="1"/>
    <s v="Cash"/>
    <x v="0"/>
    <d v="2022-04-01T00:00:00"/>
    <n v="4"/>
    <n v="2022"/>
    <n v="2112"/>
    <n v="-2112"/>
    <n v="0"/>
    <n v="1169724.3500000001"/>
    <s v="Trsf"/>
    <s v="Trsf 9/5/22 RM4,070.00"/>
    <m/>
  </r>
  <r>
    <d v="2022-04-01T00:00:00"/>
    <n v="4"/>
    <x v="3"/>
    <s v="INV00000230"/>
    <s v="C00000022"/>
    <x v="23"/>
    <s v="RG CSM 300 (30Kg) 64m(L) x 1040mm(W)"/>
    <n v="2"/>
    <s v="Cash"/>
    <x v="0"/>
    <d v="2022-04-01T00:00:00"/>
    <n v="4"/>
    <n v="2022"/>
    <n v="588"/>
    <n v="-588"/>
    <n v="0"/>
    <n v="1170312.3500000001"/>
    <s v="Trsf"/>
    <s v="Trsf 9/5/22 RM4,070.00"/>
    <m/>
  </r>
  <r>
    <d v="2022-04-01T00:00:00"/>
    <n v="4"/>
    <x v="3"/>
    <s v="INV00000230"/>
    <s v="C00000022"/>
    <x v="23"/>
    <s v="RM Woven Roving E-600gm 1000mm (40Kg)"/>
    <n v="1"/>
    <s v="Cash"/>
    <x v="0"/>
    <d v="2022-04-01T00:00:00"/>
    <n v="4"/>
    <n v="2022"/>
    <n v="300"/>
    <n v="-300"/>
    <n v="0"/>
    <n v="1170612.3500000001"/>
    <s v="Trsf"/>
    <s v="Trsf 9/5/22 RM4,070.00"/>
    <m/>
  </r>
  <r>
    <d v="2022-04-01T00:00:00"/>
    <n v="4"/>
    <x v="3"/>
    <s v="INV00000230"/>
    <s v="C00000022"/>
    <x v="23"/>
    <s v="RM Pgment Paste Riviera Blue B5 (5Kg)"/>
    <n v="2"/>
    <s v="Cash"/>
    <x v="0"/>
    <d v="2022-04-01T00:00:00"/>
    <n v="4"/>
    <n v="2022"/>
    <n v="480"/>
    <n v="-480"/>
    <n v="0"/>
    <n v="1171092.3500000001"/>
    <s v="Trsf"/>
    <s v="Trsf 9/5/22 RM4,070.00"/>
    <m/>
  </r>
  <r>
    <d v="2022-04-05T00:00:00"/>
    <n v="4"/>
    <x v="3"/>
    <s v="INV00000231"/>
    <s v="C00000020"/>
    <x v="19"/>
    <s v="RA Nor 3338W (220Kg)"/>
    <n v="3"/>
    <s v="Cash"/>
    <x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n v="4"/>
    <x v="3"/>
    <s v="INV00000231"/>
    <s v="C00000020"/>
    <x v="19"/>
    <s v="RM CSM 450 64m(L) 1040mm(W) (30Kg)"/>
    <n v="6"/>
    <s v="Cash"/>
    <x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n v="4"/>
    <x v="3"/>
    <s v="INV00000231"/>
    <s v="C00000020"/>
    <x v="19"/>
    <s v="RM Woven Roving E-600gm 1000mm (40Kg)"/>
    <n v="3"/>
    <s v="Cash"/>
    <x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n v="4"/>
    <x v="3"/>
    <s v="INV00000231"/>
    <s v="C00000020"/>
    <x v="19"/>
    <s v="RA Talcum Powder (25kg)"/>
    <n v="3"/>
    <s v="Cash"/>
    <x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n v="4"/>
    <x v="3"/>
    <s v="INV00000231"/>
    <s v="C00000020"/>
    <x v="19"/>
    <s v="RM Pigment Smooth Cream (25kg)"/>
    <n v="1"/>
    <s v="Cash"/>
    <x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n v="4"/>
    <x v="3"/>
    <s v="INV00000231"/>
    <s v="C00000020"/>
    <x v="19"/>
    <s v="RJ Mepoxe (5kg)"/>
    <n v="4"/>
    <s v="Cash"/>
    <x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n v="4"/>
    <x v="3"/>
    <s v="INV00000232"/>
    <s v="C00000019"/>
    <x v="18"/>
    <s v="RA Nor 3338W (220Kg)"/>
    <n v="2"/>
    <s v="Cash"/>
    <x v="0"/>
    <d v="2022-04-08T00:00:00"/>
    <n v="4"/>
    <n v="2022"/>
    <n v="4136"/>
    <n v="-4136"/>
    <n v="0"/>
    <n v="1185725.8500000001"/>
    <s v="Trsf"/>
    <s v="Trsf 10/4/22 RM6,361.10"/>
    <m/>
  </r>
  <r>
    <d v="2022-04-08T00:00:00"/>
    <n v="4"/>
    <x v="3"/>
    <s v="INV00000232"/>
    <s v="C00000019"/>
    <x v="18"/>
    <s v="RG CSM 450 CQ 54kg 64m(L) X 1860mm(W)"/>
    <n v="2"/>
    <s v="Cash"/>
    <x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n v="4"/>
    <x v="3"/>
    <s v="INV00000232"/>
    <s v="C00000019"/>
    <x v="18"/>
    <s v="RA Talcum Powder (25kg)"/>
    <n v="3"/>
    <s v="Cash"/>
    <x v="0"/>
    <d v="2022-04-08T00:00:00"/>
    <n v="4"/>
    <n v="2022"/>
    <n v="187.5"/>
    <n v="-187.5"/>
    <n v="0"/>
    <n v="1186960.9500000002"/>
    <s v="Trsf"/>
    <s v="Trsf 10/4/22 RM6,361.10"/>
    <m/>
  </r>
  <r>
    <d v="2022-04-08T00:00:00"/>
    <n v="4"/>
    <x v="3"/>
    <s v="INV00000232"/>
    <s v="C00000019"/>
    <x v="18"/>
    <s v="RE Frekote 770NC (1 Gallon)"/>
    <n v="2"/>
    <s v="Cash"/>
    <x v="0"/>
    <d v="2022-04-08T00:00:00"/>
    <n v="4"/>
    <n v="2022"/>
    <n v="780"/>
    <n v="-780"/>
    <n v="0"/>
    <n v="1187740.9500000002"/>
    <s v="Trsf"/>
    <s v="Trsf 10/4/22 RM6,361.10"/>
    <m/>
  </r>
  <r>
    <d v="2022-04-08T00:00:00"/>
    <n v="4"/>
    <x v="3"/>
    <s v="INV00000232"/>
    <s v="C00000019"/>
    <x v="18"/>
    <s v="RA Butanox M50"/>
    <n v="2"/>
    <s v="Cash"/>
    <x v="0"/>
    <d v="2022-04-08T00:00:00"/>
    <n v="4"/>
    <n v="2022"/>
    <n v="210"/>
    <n v="-210"/>
    <n v="0"/>
    <n v="1187950.9500000002"/>
    <s v="Trsf"/>
    <s v="Trsf 10/4/22 RM6,361.10"/>
    <m/>
  </r>
  <r>
    <d v="2022-04-08T00:00:00"/>
    <n v="4"/>
    <x v="3"/>
    <s v="INV00000233"/>
    <s v="C00000003"/>
    <x v="2"/>
    <s v="RA Resin 3317AW (220Kg)"/>
    <n v="3"/>
    <n v="45"/>
    <x v="1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n v="4"/>
    <x v="3"/>
    <s v="INV00000233"/>
    <s v="C00000003"/>
    <x v="2"/>
    <s v="RA Talcum Powder (25kg)"/>
    <n v="4"/>
    <n v="45"/>
    <x v="1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n v="4"/>
    <x v="3"/>
    <s v="INV00000233"/>
    <s v="C00000003"/>
    <x v="2"/>
    <s v="RA Butanox M50 (5Kg)"/>
    <n v="6"/>
    <n v="45"/>
    <x v="1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n v="4"/>
    <x v="3"/>
    <s v="INV00000233"/>
    <s v="C00000003"/>
    <x v="2"/>
    <s v="RA Miracle Gloss Wax"/>
    <n v="2"/>
    <n v="45"/>
    <x v="1"/>
    <d v="2022-05-23T00:00:00"/>
    <n v="5"/>
    <n v="2022"/>
    <n v="90"/>
    <n v="-90"/>
    <n v="0"/>
    <n v="1195266.9500000002"/>
    <s v="PD Chq"/>
    <s v="RHB 001605cleared13/6/22-RM2,000.00"/>
    <m/>
  </r>
  <r>
    <d v="2022-04-09T00:00:00"/>
    <n v="4"/>
    <x v="3"/>
    <s v="INV00000234"/>
    <s v="C00000009"/>
    <x v="8"/>
    <s v="RA Nor 3338W (220Kg)"/>
    <n v="2"/>
    <n v="60"/>
    <x v="3"/>
    <d v="2022-06-08T00:00:00"/>
    <n v="6"/>
    <n v="2022"/>
    <n v="3960"/>
    <n v="-3960"/>
    <n v="0"/>
    <n v="1199226.9500000002"/>
    <s v="Chq"/>
    <s v="Chq HL 015688 dd 24/8/22"/>
    <m/>
  </r>
  <r>
    <d v="2022-04-09T00:00:00"/>
    <n v="4"/>
    <x v="3"/>
    <s v="INV00000234"/>
    <s v="C00000009"/>
    <x v="8"/>
    <s v="RM CSM 450 (60Kg) 64m(L) x 2080mm(W)"/>
    <n v="1"/>
    <n v="60"/>
    <x v="3"/>
    <d v="2022-06-08T00:00:00"/>
    <n v="6"/>
    <n v="2022"/>
    <n v="570"/>
    <n v="-570"/>
    <n v="0"/>
    <n v="1199796.9500000002"/>
    <s v="Chq"/>
    <s v="Chq HL 015688 dd 24/8/22"/>
    <m/>
  </r>
  <r>
    <d v="2022-04-09T00:00:00"/>
    <n v="4"/>
    <x v="3"/>
    <s v="INV00000234"/>
    <s v="C00000009"/>
    <x v="8"/>
    <s v="RA CSM 300 (54Kg) 1860mm"/>
    <n v="1"/>
    <n v="60"/>
    <x v="3"/>
    <d v="2022-06-08T00:00:00"/>
    <n v="6"/>
    <n v="2022"/>
    <n v="513"/>
    <n v="-513"/>
    <n v="0"/>
    <n v="1200309.9500000002"/>
    <s v="Chq"/>
    <s v="Chq HL 015688 dd 24/8/22"/>
    <m/>
  </r>
  <r>
    <d v="2022-04-09T00:00:00"/>
    <n v="4"/>
    <x v="3"/>
    <s v="INV00000235"/>
    <s v="C00000020"/>
    <x v="19"/>
    <s v="RA Resin 3317AW (220Kg)"/>
    <n v="3"/>
    <s v="Cash"/>
    <x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n v="4"/>
    <x v="3"/>
    <s v="INV00000235"/>
    <s v="C00000020"/>
    <x v="19"/>
    <s v="RM CSM 450 64m(L) 1040mm(W) (30Kg)"/>
    <n v="4"/>
    <s v="Cash"/>
    <x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n v="4"/>
    <x v="3"/>
    <s v="INV00000235"/>
    <s v="C00000020"/>
    <x v="19"/>
    <s v="RM Woven Roving E-600gm 1000mm (40Kg)"/>
    <n v="3"/>
    <s v="Cash"/>
    <x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n v="4"/>
    <x v="3"/>
    <s v="INV00000235"/>
    <s v="C00000020"/>
    <x v="19"/>
    <s v="RA Talcum Powder (25kg)"/>
    <n v="3"/>
    <s v="Cash"/>
    <x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n v="4"/>
    <x v="3"/>
    <s v="INV00000236"/>
    <s v="C00000024"/>
    <x v="25"/>
    <s v="RA Resin 3317AW (220Kg)"/>
    <n v="1"/>
    <s v="Cash"/>
    <x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n v="4"/>
    <x v="3"/>
    <s v="INV00000236"/>
    <s v="C00000024"/>
    <x v="25"/>
    <s v="RA Resin 3317AW (25Kg)"/>
    <n v="1"/>
    <s v="Cash"/>
    <x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n v="4"/>
    <x v="3"/>
    <s v="INV00000236"/>
    <s v="C00000024"/>
    <x v="25"/>
    <s v="RM CSM 450 64m(L) 1040mm(W) (30Kg)"/>
    <n v="1"/>
    <s v="Cash"/>
    <x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n v="4"/>
    <x v="3"/>
    <s v="INV00000236"/>
    <s v="C00000024"/>
    <x v="25"/>
    <s v="RA Talcum Powder (25kg)"/>
    <n v="1"/>
    <s v="Cash"/>
    <x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n v="4"/>
    <x v="3"/>
    <s v="INV00000236"/>
    <s v="C00000024"/>
    <x v="25"/>
    <s v="RM Pigment Smooth Cream (25kg)"/>
    <n v="1"/>
    <s v="Cash"/>
    <x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n v="4"/>
    <x v="3"/>
    <s v="INV00000236"/>
    <s v="C00000024"/>
    <x v="25"/>
    <s v="RJ Mepoxe (5kg)"/>
    <n v="1"/>
    <s v="Cash"/>
    <x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n v="4"/>
    <x v="3"/>
    <s v="INV00000237"/>
    <s v="C00000022"/>
    <x v="23"/>
    <s v="RM NPG Gelcoat 9319-H (5Kg)"/>
    <n v="2"/>
    <s v="Cash"/>
    <x v="0"/>
    <d v="2022-04-12T00:00:00"/>
    <n v="4"/>
    <n v="2022"/>
    <n v="200"/>
    <n v="-200"/>
    <n v="0"/>
    <n v="1212960.9500000002"/>
    <s v="Trsf"/>
    <s v="Trsf 9/5/22 RM4,070.00"/>
    <m/>
  </r>
  <r>
    <d v="2022-04-12T00:00:00"/>
    <n v="4"/>
    <x v="3"/>
    <s v="INV00000237"/>
    <s v="C00000022"/>
    <x v="23"/>
    <s v="RE Frekote 770NC (1 Gallon)"/>
    <n v="1"/>
    <s v="Cash"/>
    <x v="0"/>
    <d v="2022-04-12T00:00:00"/>
    <n v="4"/>
    <n v="2022"/>
    <n v="390"/>
    <n v="-390"/>
    <n v="0"/>
    <n v="1213350.9500000002"/>
    <s v="Trsf"/>
    <s v="Trsf 9/5/22 RM4,070.00"/>
    <m/>
  </r>
  <r>
    <d v="2022-04-13T00:00:00"/>
    <n v="4"/>
    <x v="3"/>
    <s v="INV00000238"/>
    <s v="C00000024"/>
    <x v="25"/>
    <s v="RM CSM 450 64m(L) 1040mm(W) (30Kg)"/>
    <n v="2"/>
    <s v="Cash"/>
    <x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n v="4"/>
    <x v="3"/>
    <s v="INV00000239"/>
    <s v="C00000020"/>
    <x v="19"/>
    <s v="RA Nor 3338W (220Kg)"/>
    <n v="3"/>
    <s v="Cash"/>
    <x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n v="4"/>
    <x v="3"/>
    <s v="INV00000239"/>
    <s v="C00000020"/>
    <x v="19"/>
    <s v="RM CSM 450 64m(L) X 1860mm(W) (54kg)"/>
    <n v="5"/>
    <s v="Cash"/>
    <x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n v="4"/>
    <x v="3"/>
    <s v="INV00000239"/>
    <s v="C00000020"/>
    <x v="19"/>
    <s v="RM Woven Roving E-600gm 1000mm (40Kg)"/>
    <n v="6"/>
    <s v="Cash"/>
    <x v="0"/>
    <d v="2022-04-13T00:00:00"/>
    <n v="4"/>
    <n v="2022"/>
    <n v="1872"/>
    <n v="-1872"/>
    <n v="0"/>
    <n v="1224726.9500000002"/>
    <s v="Trsf"/>
    <s v="Trsf 28/9/22 RM13,000.00"/>
    <m/>
  </r>
  <r>
    <d v="2022-04-13T00:00:00"/>
    <n v="4"/>
    <x v="3"/>
    <s v="INV00000239"/>
    <s v="C00000020"/>
    <x v="19"/>
    <s v="RA Talcum Powder (25kg)"/>
    <n v="3"/>
    <s v="Cash"/>
    <x v="0"/>
    <d v="2022-04-13T00:00:00"/>
    <n v="4"/>
    <n v="2022"/>
    <n v="187.5"/>
    <n v="-187.5"/>
    <n v="0"/>
    <n v="1224914.4500000002"/>
    <s v="Trsf"/>
    <s v="Trsf 28/9/22 RM13,000.00"/>
    <m/>
  </r>
  <r>
    <d v="2022-04-14T00:00:00"/>
    <n v="4"/>
    <x v="3"/>
    <s v="INV00000240"/>
    <s v="C00000021"/>
    <x v="21"/>
    <s v="RA Resin 3317AW (220Kg)"/>
    <n v="2"/>
    <s v="Cash"/>
    <x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n v="4"/>
    <x v="3"/>
    <s v="INV00000240"/>
    <s v="C00000021"/>
    <x v="21"/>
    <s v="RM CSM 450 64m(L) 1040mm(W) (30Kg)"/>
    <n v="5"/>
    <s v="Cash"/>
    <x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n v="4"/>
    <x v="3"/>
    <s v="INV00000240"/>
    <s v="C00000021"/>
    <x v="21"/>
    <s v="RJ Mepoxe (5kg)"/>
    <n v="2"/>
    <s v="Cash"/>
    <x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n v="4"/>
    <x v="3"/>
    <s v="INV00000241"/>
    <s v="C00000024"/>
    <x v="25"/>
    <s v="RA Resin 3317AW (220Kg)"/>
    <n v="1"/>
    <s v="Cash"/>
    <x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n v="4"/>
    <x v="3"/>
    <s v="INV00000241"/>
    <s v="C00000024"/>
    <x v="25"/>
    <s v="RJ Mepoxe (5kg)"/>
    <n v="1"/>
    <s v="Cash"/>
    <x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n v="4"/>
    <x v="3"/>
    <s v="INV00000242"/>
    <s v="C00000020"/>
    <x v="19"/>
    <s v="RA Nor 3338W (220Kg)"/>
    <n v="3"/>
    <s v="Cash"/>
    <x v="0"/>
    <d v="2022-04-16T00:00:00"/>
    <n v="4"/>
    <n v="2022"/>
    <n v="6270"/>
    <n v="-6270"/>
    <n v="0"/>
    <n v="1239105.4500000002"/>
    <s v="Trsf"/>
    <s v="Trsf 28/9/22 RM13,000.00"/>
    <m/>
  </r>
  <r>
    <d v="2022-04-16T00:00:00"/>
    <n v="4"/>
    <x v="3"/>
    <s v="INV00000242"/>
    <s v="C00000020"/>
    <x v="19"/>
    <s v="RM CSM 450 64m(L) 1040mm(W) (30Kg)"/>
    <n v="7"/>
    <s v="Cash"/>
    <x v="0"/>
    <d v="2022-04-16T00:00:00"/>
    <n v="4"/>
    <n v="2022"/>
    <n v="2058"/>
    <n v="-2058"/>
    <n v="0"/>
    <n v="1241163.4500000002"/>
    <s v="Trsf"/>
    <s v="Trsf 28/9/22 RM13,000.00"/>
    <m/>
  </r>
  <r>
    <d v="2022-04-16T00:00:00"/>
    <n v="4"/>
    <x v="3"/>
    <s v="INV00000242"/>
    <s v="C00000020"/>
    <x v="19"/>
    <s v="RM Woven Roving E-600gm 1000mm (40Kg)"/>
    <n v="4"/>
    <s v="Cash"/>
    <x v="0"/>
    <d v="2022-04-16T00:00:00"/>
    <n v="4"/>
    <n v="2022"/>
    <n v="1248"/>
    <n v="-1248"/>
    <n v="0"/>
    <n v="1242411.4500000002"/>
    <s v="Trsf"/>
    <s v="Trsf 28/9/22 RM13,000.00"/>
    <m/>
  </r>
  <r>
    <d v="2022-04-16T00:00:00"/>
    <n v="4"/>
    <x v="3"/>
    <s v="INV00000242"/>
    <s v="C00000020"/>
    <x v="19"/>
    <s v="RA Talcum Powder (25kg)"/>
    <n v="3"/>
    <s v="Cash"/>
    <x v="0"/>
    <d v="2022-04-16T00:00:00"/>
    <n v="4"/>
    <n v="2022"/>
    <n v="187.5"/>
    <n v="-187.5"/>
    <n v="0"/>
    <n v="1242598.9500000002"/>
    <s v="Trsf"/>
    <s v="Trsf 28/9/22 RM13,000.00"/>
    <m/>
  </r>
  <r>
    <d v="2022-04-16T00:00:00"/>
    <n v="4"/>
    <x v="3"/>
    <s v="INV00000242"/>
    <s v="C00000020"/>
    <x v="19"/>
    <s v="RJ Mepoxe (5kg)"/>
    <n v="4"/>
    <s v="Cash"/>
    <x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n v="4"/>
    <x v="3"/>
    <s v="INV00000243"/>
    <s v="C00000023"/>
    <x v="24"/>
    <s v="RA Nor 3317W (220Kg)"/>
    <n v="5"/>
    <s v="Cash"/>
    <x v="0"/>
    <d v="2022-04-16T00:00:00"/>
    <n v="4"/>
    <n v="2022"/>
    <n v="10450"/>
    <n v="-10450"/>
    <n v="0"/>
    <n v="1253388.9500000002"/>
    <s v="Trsf"/>
    <s v="Trsf 17/5/22 RM14,088.50"/>
    <m/>
  </r>
  <r>
    <d v="2022-04-16T00:00:00"/>
    <n v="4"/>
    <x v="3"/>
    <s v="INV00000243"/>
    <s v="C00000023"/>
    <x v="24"/>
    <s v="RM CSM 450 64m(L) 1040mm(W) (30Kg)"/>
    <n v="9"/>
    <s v="Cash"/>
    <x v="0"/>
    <d v="2022-04-16T00:00:00"/>
    <n v="4"/>
    <n v="2022"/>
    <n v="2646"/>
    <n v="-2646"/>
    <n v="0"/>
    <n v="1256034.9500000002"/>
    <s v="Trsf"/>
    <s v="Trsf 17/5/22 RM14,088.50"/>
    <m/>
  </r>
  <r>
    <d v="2022-04-16T00:00:00"/>
    <n v="4"/>
    <x v="3"/>
    <s v="INV00000243"/>
    <s v="C00000023"/>
    <x v="24"/>
    <s v="RJ Mepoxe (5kg)"/>
    <n v="8"/>
    <s v="Cash"/>
    <x v="0"/>
    <d v="2022-04-16T00:00:00"/>
    <n v="4"/>
    <n v="2022"/>
    <n v="680"/>
    <n v="-680"/>
    <n v="0"/>
    <n v="1256714.9500000002"/>
    <s v="Trsf"/>
    <s v="Trsf 17/5/22 RM14,088.50"/>
    <m/>
  </r>
  <r>
    <d v="2022-04-16T00:00:00"/>
    <n v="4"/>
    <x v="3"/>
    <s v="INV00000243"/>
    <s v="C00000023"/>
    <x v="24"/>
    <s v="RA Talcum Powder (25kg)"/>
    <n v="5"/>
    <s v="Cash"/>
    <x v="0"/>
    <d v="2022-04-16T00:00:00"/>
    <n v="4"/>
    <n v="2022"/>
    <n v="312.5"/>
    <n v="-312.5"/>
    <n v="0"/>
    <n v="1257027.4500000002"/>
    <s v="Trsf"/>
    <s v="Trsf 17/5/22 RM14,088.50"/>
    <m/>
  </r>
  <r>
    <d v="2022-04-19T00:00:00"/>
    <n v="4"/>
    <x v="3"/>
    <s v="INV00000244"/>
    <s v="C00000020"/>
    <x v="19"/>
    <s v="RM Pigment Smooth Cream (25kg)"/>
    <n v="1"/>
    <s v="Cash"/>
    <x v="0"/>
    <d v="2022-04-19T00:00:00"/>
    <n v="4"/>
    <n v="2022"/>
    <n v="1000"/>
    <n v="-1000"/>
    <n v="0"/>
    <n v="1258027.4500000002"/>
    <s v="Trsf"/>
    <s v="Trsf 5/10/22 RM5,000.00"/>
    <m/>
  </r>
  <r>
    <d v="2022-04-19T00:00:00"/>
    <n v="4"/>
    <x v="3"/>
    <s v="INV00000244"/>
    <s v="C00000020"/>
    <x v="19"/>
    <s v="RM CSM 450 64m(L) 1040mm(W) (30Kg)"/>
    <n v="6"/>
    <s v="Cash"/>
    <x v="0"/>
    <d v="2022-04-19T00:00:00"/>
    <n v="4"/>
    <n v="2022"/>
    <n v="1764"/>
    <n v="-1764"/>
    <n v="0"/>
    <n v="1259791.4500000002"/>
    <s v="Trsf"/>
    <s v="Trsf 5/10/22 RM5,000.00"/>
    <m/>
  </r>
  <r>
    <d v="2022-04-19T00:00:00"/>
    <n v="4"/>
    <x v="3"/>
    <s v="INV00000244"/>
    <s v="C00000020"/>
    <x v="19"/>
    <s v="RC Woven Roving E-800 1000mm (40Kg)"/>
    <n v="1"/>
    <s v="Cash"/>
    <x v="0"/>
    <d v="2022-04-19T00:00:00"/>
    <n v="4"/>
    <n v="2022"/>
    <n v="312"/>
    <n v="-312"/>
    <n v="0"/>
    <n v="1260103.4500000002"/>
    <s v="Trsf"/>
    <s v="Trsf 5/10/22 RM5,000.00"/>
    <m/>
  </r>
  <r>
    <d v="2022-04-20T00:00:00"/>
    <n v="4"/>
    <x v="3"/>
    <s v="INV00000245"/>
    <s v="C00000025"/>
    <x v="26"/>
    <s v="Resin 3317AW (25Kg)"/>
    <n v="2"/>
    <s v="Cash"/>
    <x v="0"/>
    <d v="2022-04-20T00:00:00"/>
    <n v="4"/>
    <n v="2022"/>
    <n v="700"/>
    <n v="-700"/>
    <n v="0"/>
    <n v="1260803.4500000002"/>
    <s v="Trsf"/>
    <s v="Trsf PBB 20/4/22-RM1,170.00"/>
    <m/>
  </r>
  <r>
    <d v="2022-04-20T00:00:00"/>
    <n v="4"/>
    <x v="3"/>
    <s v="INV00000245"/>
    <s v="C00000025"/>
    <x v="26"/>
    <s v="CSM 450 64m(L) 1040mm(W) (30Kg)"/>
    <n v="1"/>
    <s v="Cash"/>
    <x v="0"/>
    <d v="2022-04-20T00:00:00"/>
    <n v="4"/>
    <n v="2022"/>
    <n v="315"/>
    <n v="-315"/>
    <n v="0"/>
    <n v="1261118.4500000002"/>
    <s v="Trsf"/>
    <s v="Trsf PBB 20/4/22-RM1,170.00"/>
    <m/>
  </r>
  <r>
    <d v="2022-04-20T00:00:00"/>
    <n v="4"/>
    <x v="3"/>
    <s v="INV00000245"/>
    <s v="C00000025"/>
    <x v="26"/>
    <s v="Mepoxe (5kg)"/>
    <n v="1"/>
    <s v="Cash"/>
    <x v="0"/>
    <d v="2022-04-20T00:00:00"/>
    <n v="4"/>
    <n v="2022"/>
    <n v="90"/>
    <n v="-90"/>
    <n v="0"/>
    <n v="1261208.4500000002"/>
    <s v="Trsf"/>
    <s v="Trsf PBB 20/4/22-RM1,170.00"/>
    <m/>
  </r>
  <r>
    <d v="2022-04-20T00:00:00"/>
    <n v="4"/>
    <x v="3"/>
    <s v="INV00000245"/>
    <s v="C00000025"/>
    <x v="26"/>
    <s v="Talcum Powder (25kg)"/>
    <n v="1"/>
    <s v="Cash"/>
    <x v="0"/>
    <d v="2022-04-20T00:00:00"/>
    <n v="4"/>
    <n v="2022"/>
    <n v="65"/>
    <n v="-65"/>
    <n v="0"/>
    <n v="1261273.4500000002"/>
    <s v="Trsf"/>
    <s v="Trsf PBB 20/4/22-RM1,170.00"/>
    <m/>
  </r>
  <r>
    <d v="2022-04-21T00:00:00"/>
    <n v="4"/>
    <x v="3"/>
    <s v="INV00000246"/>
    <s v="C00000004"/>
    <x v="3"/>
    <s v="RG Nor 3338W (220Kg)"/>
    <n v="5"/>
    <n v="120"/>
    <x v="2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n v="4"/>
    <x v="3"/>
    <s v="INV00000246"/>
    <s v="C00000004"/>
    <x v="3"/>
    <s v="RG Nor 3338NW (220Kg)"/>
    <n v="1"/>
    <n v="120"/>
    <x v="2"/>
    <d v="2022-08-19T00:00:00"/>
    <n v="8"/>
    <n v="2022"/>
    <n v="2024"/>
    <n v="-2024"/>
    <n v="0"/>
    <n v="1273417.4500000002"/>
    <s v="Chq"/>
    <s v="HLB011650Cleared8/8/22-RM15,222.00"/>
    <m/>
  </r>
  <r>
    <d v="2022-04-21T00:00:00"/>
    <n v="4"/>
    <x v="3"/>
    <s v="INV00000246"/>
    <s v="C00000004"/>
    <x v="3"/>
    <s v="RM CSM 450 64m(L) X 1860mm(W) (54kg)"/>
    <n v="3"/>
    <n v="120"/>
    <x v="2"/>
    <d v="2022-08-19T00:00:00"/>
    <n v="8"/>
    <n v="2022"/>
    <n v="1539"/>
    <n v="-1539"/>
    <n v="0"/>
    <n v="1274956.4500000002"/>
    <s v="Chq"/>
    <s v="HLB011650Cleared8/8/22-RM15,222.00"/>
    <m/>
  </r>
  <r>
    <d v="2022-04-21T00:00:00"/>
    <n v="4"/>
    <x v="3"/>
    <s v="INV00000246"/>
    <s v="C00000004"/>
    <x v="3"/>
    <s v="RA CSM 300 (54Kg) 1860mm"/>
    <n v="3"/>
    <n v="120"/>
    <x v="2"/>
    <d v="2022-08-19T00:00:00"/>
    <n v="8"/>
    <n v="2022"/>
    <n v="1539"/>
    <n v="-1539"/>
    <n v="0"/>
    <n v="1276495.4500000002"/>
    <s v="Chq"/>
    <s v="HLB011650Cleared8/8/22-RM15,222.00"/>
    <m/>
  </r>
  <r>
    <d v="2022-04-21T00:00:00"/>
    <n v="4"/>
    <x v="3"/>
    <s v="INV00000247"/>
    <s v="C00000025"/>
    <x v="26"/>
    <s v="RD Steel Roller 4&quot;"/>
    <n v="1"/>
    <s v="Cash"/>
    <x v="0"/>
    <d v="2022-04-21T00:00:00"/>
    <n v="4"/>
    <n v="2022"/>
    <n v="68"/>
    <n v="-68"/>
    <n v="0"/>
    <n v="1276563.4500000002"/>
    <s v="Trsf"/>
    <s v="Trsf PBB 21/4/22"/>
    <m/>
  </r>
  <r>
    <d v="2022-04-21T00:00:00"/>
    <n v="4"/>
    <x v="3"/>
    <s v="INV00000248"/>
    <s v="C00000001"/>
    <x v="0"/>
    <s v="RM Resin 3317AW (220Kg)"/>
    <n v="1"/>
    <s v="Cash"/>
    <x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n v="4"/>
    <x v="3"/>
    <s v="INV00000248"/>
    <s v="C00000001"/>
    <x v="0"/>
    <s v="RM Butanox M50"/>
    <n v="4"/>
    <s v="Cash"/>
    <x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n v="4"/>
    <x v="3"/>
    <s v="INV00000249"/>
    <s v="C00000020"/>
    <x v="19"/>
    <s v="RM Nor 3338W (220Kg)"/>
    <n v="3"/>
    <s v="Cash"/>
    <x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n v="4"/>
    <x v="3"/>
    <s v="INV00000249"/>
    <s v="C00000020"/>
    <x v="19"/>
    <s v="RM CSM 450 64m(L) 1040mm(W) (30Kg)"/>
    <n v="8"/>
    <s v="Cash"/>
    <x v="0"/>
    <d v="2022-04-23T00:00:00"/>
    <n v="4"/>
    <n v="2022"/>
    <n v="2352"/>
    <n v="-2352"/>
    <n v="0"/>
    <n v="1287673.4500000002"/>
    <s v="Trsf"/>
    <s v="Trsf 17/10/22 RM4,000.00"/>
    <m/>
  </r>
  <r>
    <d v="2022-04-23T00:00:00"/>
    <n v="4"/>
    <x v="3"/>
    <s v="INV00000249"/>
    <s v="C00000020"/>
    <x v="19"/>
    <s v="RA Woven Roving E-600 (45kg) 1120mm"/>
    <n v="4"/>
    <s v="Cash"/>
    <x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n v="4"/>
    <x v="3"/>
    <s v="INV00000249"/>
    <s v="C00000020"/>
    <x v="19"/>
    <s v="RA Talcum Powder (25kg)"/>
    <n v="2"/>
    <s v="Cash"/>
    <x v="0"/>
    <d v="2022-04-23T00:00:00"/>
    <n v="4"/>
    <n v="2022"/>
    <n v="125"/>
    <n v="-125"/>
    <n v="0"/>
    <n v="1289202.4500000002"/>
    <s v="Trsf"/>
    <s v="Trsf 23/10/22 RM25,000.00"/>
    <m/>
  </r>
  <r>
    <d v="2022-04-23T00:00:00"/>
    <n v="4"/>
    <x v="3"/>
    <s v="INV00000249"/>
    <s v="C00000020"/>
    <x v="19"/>
    <s v="RM Pigment Smooth Cream (25kg)"/>
    <n v="1"/>
    <s v="Cash"/>
    <x v="0"/>
    <d v="2022-04-23T00:00:00"/>
    <n v="4"/>
    <n v="2022"/>
    <n v="1000"/>
    <n v="-1000"/>
    <n v="0"/>
    <n v="1290202.4500000002"/>
    <s v="Trsf"/>
    <s v="Trsf 23/10/22 RM25,000.00"/>
    <m/>
  </r>
  <r>
    <s v="26/4/2022"/>
    <n v="4"/>
    <x v="3"/>
    <s v="INV00000250"/>
    <s v="C00000023"/>
    <x v="24"/>
    <s v="RM Nor 3338W (220Kg)"/>
    <n v="1"/>
    <s v="Cash"/>
    <x v="0"/>
    <d v="2022-04-26T00:00:00"/>
    <n v="4"/>
    <n v="2022"/>
    <n v="2090"/>
    <n v="-2090"/>
    <n v="0"/>
    <n v="1292292.4500000002"/>
    <s v="Trsf"/>
    <s v="Trsf 26/4/22-RM3,799.00"/>
    <m/>
  </r>
  <r>
    <s v="26/4/2022"/>
    <n v="4"/>
    <x v="3"/>
    <s v="INV00000250"/>
    <s v="C00000023"/>
    <x v="24"/>
    <s v="RM CSM 450 64m(L) 1040mm(W) (30Kg)"/>
    <n v="3"/>
    <s v="Cash"/>
    <x v="0"/>
    <d v="2022-04-26T00:00:00"/>
    <n v="4"/>
    <n v="2022"/>
    <n v="882"/>
    <n v="-882"/>
    <n v="0"/>
    <n v="1293174.4500000002"/>
    <s v="Trsf"/>
    <s v="Trsf 26/4/22-RM3,799.00"/>
    <m/>
  </r>
  <r>
    <s v="26/4/2022"/>
    <n v="4"/>
    <x v="3"/>
    <s v="INV00000250"/>
    <s v="C00000023"/>
    <x v="24"/>
    <s v="RA Woven Roving E-600 (45kg) 1120mm"/>
    <n v="2"/>
    <s v="Cash"/>
    <x v="0"/>
    <d v="2022-04-26T00:00:00"/>
    <n v="4"/>
    <n v="2022"/>
    <n v="702"/>
    <n v="-702"/>
    <n v="0"/>
    <n v="1293876.4500000002"/>
    <s v="Trsf"/>
    <s v="Trsf 26/4/22-RM3,799.00"/>
    <m/>
  </r>
  <r>
    <s v="26/4/2022"/>
    <n v="4"/>
    <x v="3"/>
    <s v="INV00000250"/>
    <s v="C00000023"/>
    <x v="24"/>
    <s v="RA Talcum Powder (25kg)"/>
    <n v="2"/>
    <s v="Cash"/>
    <x v="0"/>
    <d v="2022-04-26T00:00:00"/>
    <n v="4"/>
    <n v="2022"/>
    <n v="125"/>
    <n v="-125"/>
    <n v="0"/>
    <n v="1294001.4500000002"/>
    <s v="Trsf"/>
    <s v="Trsf 26/4/22-RM3,799.00"/>
    <m/>
  </r>
  <r>
    <d v="2022-04-27T00:00:00"/>
    <n v="4"/>
    <x v="3"/>
    <s v="INV00000251"/>
    <s v="C00000010"/>
    <x v="9"/>
    <s v="RM Resin 3338AW (220kg)"/>
    <n v="5"/>
    <n v="120"/>
    <x v="2"/>
    <d v="2022-08-25T00:00:00"/>
    <n v="8"/>
    <n v="2022"/>
    <n v="9900"/>
    <n v="-9900"/>
    <n v="0"/>
    <n v="1303901.4500000002"/>
    <s v="Trsf"/>
    <s v="Trsf 25/7/22 RM11,160.00"/>
    <m/>
  </r>
  <r>
    <d v="2022-04-27T00:00:00"/>
    <n v="4"/>
    <x v="3"/>
    <s v="INV00000251"/>
    <s v="C00000010"/>
    <x v="9"/>
    <s v="RA Butanox M50"/>
    <n v="12"/>
    <n v="120"/>
    <x v="2"/>
    <d v="2022-08-25T00:00:00"/>
    <n v="8"/>
    <n v="2022"/>
    <n v="1260"/>
    <n v="-1260"/>
    <n v="0"/>
    <n v="1305161.4500000002"/>
    <s v="Trsf"/>
    <s v="Trsf 25/7/22 RM11,160.00"/>
    <m/>
  </r>
  <r>
    <d v="2022-04-28T00:00:00"/>
    <n v="4"/>
    <x v="3"/>
    <s v="INV00000252"/>
    <s v="C00000021"/>
    <x v="21"/>
    <s v="RA Resin 3317AW (220Kg)"/>
    <n v="2"/>
    <s v="Cash"/>
    <x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n v="4"/>
    <x v="3"/>
    <s v="INV00000252"/>
    <s v="C00000021"/>
    <x v="21"/>
    <s v="RM CSM 450 64m(L) 1040mm(W) (30Kg)"/>
    <n v="4"/>
    <s v="Cash"/>
    <x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n v="4"/>
    <x v="3"/>
    <s v="INV00000252"/>
    <s v="C00000021"/>
    <x v="21"/>
    <s v="RJ Mepoxe (5kg)"/>
    <n v="2"/>
    <s v="Cash"/>
    <x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n v="4"/>
    <x v="3"/>
    <s v="INV00000253"/>
    <s v="C00000020"/>
    <x v="19"/>
    <s v="RM Nor 3338W (220Kg)"/>
    <n v="3"/>
    <s v="Cash"/>
    <x v="0"/>
    <d v="2022-04-28T00:00:00"/>
    <n v="4"/>
    <n v="2022"/>
    <n v="6270"/>
    <n v="-6270"/>
    <n v="0"/>
    <n v="1316889.4500000002"/>
    <s v="Trsf"/>
    <s v="Trsf 23/10/22 RM25,000.00"/>
    <m/>
  </r>
  <r>
    <d v="2022-04-28T00:00:00"/>
    <n v="4"/>
    <x v="3"/>
    <s v="INV00000253"/>
    <s v="C00000020"/>
    <x v="19"/>
    <s v="RM CSM 450 64m(L) 1040mm(W) (30Kg)"/>
    <n v="9"/>
    <s v="Cash"/>
    <x v="0"/>
    <d v="2022-04-28T00:00:00"/>
    <n v="4"/>
    <n v="2022"/>
    <n v="2646"/>
    <n v="-2646"/>
    <n v="0"/>
    <n v="1319535.4500000002"/>
    <s v="Trsf"/>
    <s v="Trsf 23/10/22 RM25,000.00"/>
    <m/>
  </r>
  <r>
    <d v="2022-04-28T00:00:00"/>
    <n v="4"/>
    <x v="3"/>
    <s v="INV00000253"/>
    <s v="C00000020"/>
    <x v="19"/>
    <s v="RA Woven Roving E-600 (45kg) 1120mm"/>
    <n v="5"/>
    <s v="Cash"/>
    <x v="0"/>
    <d v="2022-04-28T00:00:00"/>
    <n v="4"/>
    <n v="2022"/>
    <n v="1755"/>
    <n v="-1755"/>
    <n v="0"/>
    <n v="1321290.4500000002"/>
    <s v="Trsf"/>
    <s v="Trsf 23/10/22 RM25,000.00"/>
    <m/>
  </r>
  <r>
    <d v="2022-04-28T00:00:00"/>
    <n v="4"/>
    <x v="3"/>
    <s v="INV00000253"/>
    <s v="C00000020"/>
    <x v="19"/>
    <s v="RA Talcum Powder (25kg)"/>
    <n v="3"/>
    <s v="Cash"/>
    <x v="0"/>
    <d v="2022-04-28T00:00:00"/>
    <n v="4"/>
    <n v="2022"/>
    <n v="187.5"/>
    <n v="-187.5"/>
    <n v="0"/>
    <n v="1321477.9500000002"/>
    <s v="Trsf"/>
    <s v="Trsf 23/10/22 RM25,000.00"/>
    <m/>
  </r>
  <r>
    <d v="2022-04-28T00:00:00"/>
    <n v="4"/>
    <x v="3"/>
    <s v="INV00000253"/>
    <s v="C00000020"/>
    <x v="19"/>
    <s v="RM Pigment Smooth Cream (25kg)"/>
    <n v="1"/>
    <s v="Cash"/>
    <x v="0"/>
    <d v="2022-04-28T00:00:00"/>
    <n v="4"/>
    <n v="2022"/>
    <n v="1000"/>
    <n v="-1000"/>
    <n v="0"/>
    <n v="1322477.9500000002"/>
    <s v="Trsf"/>
    <s v="Trsf 23/10/22 RM25,000.00"/>
    <m/>
  </r>
  <r>
    <d v="2022-04-28T00:00:00"/>
    <n v="4"/>
    <x v="3"/>
    <s v="INV00000254"/>
    <s v="C00000019"/>
    <x v="18"/>
    <s v="RA Nor 3338W (220Kg)"/>
    <n v="2"/>
    <s v="Cash"/>
    <x v="0"/>
    <d v="2022-04-28T00:00:00"/>
    <n v="4"/>
    <n v="2022"/>
    <n v="4136"/>
    <n v="-4136"/>
    <n v="0"/>
    <n v="1326613.9500000002"/>
    <s v="Trsf"/>
    <s v="Trsf 1/5/22 RM6,096.10"/>
    <m/>
  </r>
  <r>
    <d v="2022-04-28T00:00:00"/>
    <n v="4"/>
    <x v="3"/>
    <s v="INV00000254"/>
    <s v="C00000019"/>
    <x v="18"/>
    <s v="RG CSM 450 CQ 54kg 64m(L) X 1860mm(W)"/>
    <n v="2"/>
    <s v="Cash"/>
    <x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n v="4"/>
    <x v="3"/>
    <s v="INV00000254"/>
    <s v="C00000019"/>
    <x v="18"/>
    <s v="RA Talcum Powder (25kg)"/>
    <n v="5"/>
    <s v="Cash"/>
    <x v="0"/>
    <d v="2022-04-28T00:00:00"/>
    <n v="4"/>
    <n v="2022"/>
    <n v="312.5"/>
    <n v="-312.5"/>
    <n v="0"/>
    <n v="1327974.0500000003"/>
    <s v="Trsf"/>
    <s v="Trsf 1/5/22 RM6,096.10"/>
    <m/>
  </r>
  <r>
    <d v="2022-04-28T00:00:00"/>
    <n v="4"/>
    <x v="3"/>
    <s v="INV00000254"/>
    <s v="C00000019"/>
    <x v="18"/>
    <s v="RE Frekote 770NC (1 Gallon)"/>
    <n v="1"/>
    <s v="Cash"/>
    <x v="0"/>
    <d v="2022-04-28T00:00:00"/>
    <n v="4"/>
    <n v="2022"/>
    <n v="390"/>
    <n v="-390"/>
    <n v="0"/>
    <n v="1328364.0500000003"/>
    <s v="Trsf"/>
    <s v="Trsf 1/5/22 RM6,096.10"/>
    <m/>
  </r>
  <r>
    <d v="2022-04-28T00:00:00"/>
    <n v="4"/>
    <x v="3"/>
    <s v="INV00000254"/>
    <s v="C00000019"/>
    <x v="18"/>
    <s v="RA Butanox M50"/>
    <n v="2"/>
    <s v="Cash"/>
    <x v="0"/>
    <d v="2022-04-28T00:00:00"/>
    <n v="4"/>
    <n v="2022"/>
    <n v="210"/>
    <n v="-210"/>
    <n v="0"/>
    <n v="1328574.0500000003"/>
    <s v="Trsf"/>
    <s v="Trsf 1/5/22 RM6,096.10"/>
    <m/>
  </r>
  <r>
    <d v="2022-04-29T00:00:00"/>
    <n v="4"/>
    <x v="3"/>
    <s v="INV00000255"/>
    <s v="C00000023"/>
    <x v="24"/>
    <s v="Epoxy primer 15kg + Hardener 7.5kg "/>
    <n v="1"/>
    <s v="Cash"/>
    <x v="0"/>
    <d v="2022-04-29T00:00:00"/>
    <n v="4"/>
    <n v="2022"/>
    <n v="1350"/>
    <n v="-1350"/>
    <n v="0"/>
    <n v="1329924.0500000003"/>
    <s v="Trsf"/>
    <s v="Trsf 5/5/22 RM1,350.00"/>
    <m/>
  </r>
  <r>
    <d v="2022-04-30T00:00:00"/>
    <n v="4"/>
    <x v="3"/>
    <s v="INV00000256"/>
    <s v="C00000020"/>
    <x v="19"/>
    <s v="RM Nor 3338W (220Kg)"/>
    <n v="4"/>
    <s v="Cash"/>
    <x v="0"/>
    <d v="2022-04-30T00:00:00"/>
    <n v="4"/>
    <n v="2022"/>
    <n v="8360"/>
    <n v="-8360"/>
    <n v="0"/>
    <n v="1338284.0500000003"/>
    <s v="Trsf"/>
    <s v="Trsf 23/10/22 RM25,000.00"/>
    <m/>
  </r>
  <r>
    <d v="2022-04-30T00:00:00"/>
    <n v="4"/>
    <x v="3"/>
    <s v="INV00000256"/>
    <s v="C00000020"/>
    <x v="19"/>
    <s v="RM CSM 450 64m(L) 1040mm(W) (30Kg)"/>
    <n v="12"/>
    <s v="Cash"/>
    <x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n v="4"/>
    <x v="3"/>
    <s v="INV00000256"/>
    <s v="C00000020"/>
    <x v="19"/>
    <s v="RA Woven Roving E-600 (45kg) 1120mm"/>
    <n v="6"/>
    <s v="Cash"/>
    <x v="0"/>
    <d v="2022-04-30T00:00:00"/>
    <n v="4"/>
    <n v="2022"/>
    <n v="2106"/>
    <n v="-2106"/>
    <n v="0"/>
    <n v="1343918.0500000003"/>
    <s v="Trsf"/>
    <s v="Trsf 25/10/22 RM25,000.00"/>
    <m/>
  </r>
  <r>
    <d v="2022-04-30T00:00:00"/>
    <n v="4"/>
    <x v="3"/>
    <s v="INV00000256"/>
    <s v="C00000020"/>
    <x v="19"/>
    <s v="RA Talcum Powder (25kg)"/>
    <n v="4"/>
    <s v="Cash"/>
    <x v="0"/>
    <d v="2022-04-30T00:00:00"/>
    <n v="4"/>
    <n v="2022"/>
    <n v="250"/>
    <n v="-250"/>
    <n v="0"/>
    <n v="1344168.0500000003"/>
    <s v="Trsf"/>
    <s v="Trsf 23/10/22 RM25,000.00"/>
    <m/>
  </r>
  <r>
    <d v="2022-04-30T00:00:00"/>
    <n v="4"/>
    <x v="3"/>
    <s v="INV00000256"/>
    <s v="C00000020"/>
    <x v="19"/>
    <s v="RM Pigment Smooth Cream (25kg)"/>
    <n v="1"/>
    <s v="Cash"/>
    <x v="0"/>
    <d v="2022-04-30T00:00:00"/>
    <n v="4"/>
    <n v="2022"/>
    <n v="1000"/>
    <n v="-1000"/>
    <n v="0"/>
    <n v="1345168.0500000003"/>
    <s v="Trsf"/>
    <s v="Trsf 23/10/22 RM25,000.00"/>
    <m/>
  </r>
  <r>
    <d v="2022-05-06T00:00:00"/>
    <n v="5"/>
    <x v="3"/>
    <s v="INV00000257"/>
    <s v="C00000020"/>
    <x v="19"/>
    <s v="RM Nor 3338W (220Kg)"/>
    <n v="4"/>
    <s v="Cash"/>
    <x v="0"/>
    <d v="2022-05-06T00:00:00"/>
    <n v="5"/>
    <n v="2022"/>
    <n v="8360"/>
    <n v="-8360"/>
    <n v="0"/>
    <n v="1353528.0500000003"/>
    <s v="Trsf"/>
    <s v="Trsf 23/10/22 RM25,000.00"/>
    <m/>
  </r>
  <r>
    <d v="2022-05-06T00:00:00"/>
    <n v="5"/>
    <x v="3"/>
    <s v="INV00000257"/>
    <s v="C00000020"/>
    <x v="19"/>
    <s v="RM CSM 450 64m(L) 1040mm(W) (30Kg)"/>
    <n v="4"/>
    <s v="Cash"/>
    <x v="0"/>
    <d v="2022-05-06T00:00:00"/>
    <n v="5"/>
    <n v="2022"/>
    <n v="1176"/>
    <n v="-1176"/>
    <n v="0"/>
    <n v="1354704.0500000003"/>
    <s v="Trsf"/>
    <s v="Trsf 23/10/22 RM25,000.00"/>
    <m/>
  </r>
  <r>
    <d v="2022-05-06T00:00:00"/>
    <n v="5"/>
    <x v="3"/>
    <s v="INV00000257"/>
    <s v="C00000020"/>
    <x v="19"/>
    <s v="RA Woven Roving E-600 (45kg) 1120mm"/>
    <n v="4"/>
    <s v="Cash"/>
    <x v="0"/>
    <d v="2022-05-06T00:00:00"/>
    <n v="5"/>
    <n v="2022"/>
    <n v="1404"/>
    <n v="-1404"/>
    <n v="0"/>
    <n v="1356108.0500000003"/>
    <s v="Trsf"/>
    <s v="Trsf 23/10/22 RM25,000.00"/>
    <m/>
  </r>
  <r>
    <d v="2022-05-06T00:00:00"/>
    <n v="5"/>
    <x v="3"/>
    <s v="INV00000257"/>
    <s v="C00000020"/>
    <x v="19"/>
    <s v="RA Talcum Powder (25kg)"/>
    <n v="4"/>
    <s v="Cash"/>
    <x v="0"/>
    <d v="2022-05-06T00:00:00"/>
    <n v="5"/>
    <n v="2022"/>
    <n v="250"/>
    <n v="-250"/>
    <n v="0"/>
    <n v="1356358.0500000003"/>
    <s v="Trsf"/>
    <s v="Trsf 23/10/22 RM25,000.00"/>
    <m/>
  </r>
  <r>
    <d v="2022-05-06T00:00:00"/>
    <n v="5"/>
    <x v="3"/>
    <s v="INV00000257"/>
    <s v="C00000020"/>
    <x v="19"/>
    <s v="RJ Mepoxe (5kg)"/>
    <n v="4"/>
    <s v="Cash"/>
    <x v="0"/>
    <d v="2022-05-06T00:00:00"/>
    <n v="5"/>
    <n v="2022"/>
    <n v="340"/>
    <n v="-340"/>
    <n v="0"/>
    <n v="1356698.0500000003"/>
    <s v="Trsf"/>
    <s v="Trsf 23/10/22 RM25,000.00"/>
    <m/>
  </r>
  <r>
    <d v="2022-05-06T00:00:00"/>
    <n v="5"/>
    <x v="3"/>
    <s v="INV00000258"/>
    <s v="C00000023"/>
    <x v="24"/>
    <s v="Epoxy primer 15kg + Hardener 7.5kg "/>
    <n v="1"/>
    <s v="Cash"/>
    <x v="0"/>
    <d v="2022-05-06T00:00:00"/>
    <n v="5"/>
    <n v="2022"/>
    <n v="1350"/>
    <n v="-1350"/>
    <n v="0"/>
    <n v="1358048.0500000003"/>
    <s v="Trsf"/>
    <s v="Trsf 17/5/22 RM1,350.00"/>
    <m/>
  </r>
  <r>
    <d v="2022-05-07T00:00:00"/>
    <n v="5"/>
    <x v="3"/>
    <s v="INV00000259"/>
    <s v="C00000020"/>
    <x v="19"/>
    <s v="RM Nor 3338W (220Kg)"/>
    <n v="4"/>
    <s v="Cash"/>
    <x v="0"/>
    <d v="2022-05-07T00:00:00"/>
    <n v="5"/>
    <n v="2022"/>
    <n v="8360"/>
    <n v="-8360"/>
    <n v="0"/>
    <n v="1366408.0500000003"/>
    <s v="Trsf"/>
    <s v="Trsf 23/10/22 RM25,000.00"/>
    <m/>
  </r>
  <r>
    <d v="2022-05-07T00:00:00"/>
    <n v="5"/>
    <x v="3"/>
    <s v="INV00000259"/>
    <s v="C00000020"/>
    <x v="19"/>
    <s v="RM CSM 450 64m(L) 1040mm(W) (30Kg)"/>
    <n v="20"/>
    <s v="Cash"/>
    <x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n v="5"/>
    <x v="3"/>
    <s v="INV00000259"/>
    <s v="C00000020"/>
    <x v="19"/>
    <s v="RA Woven Roving E-600 (45kg) 1120mm"/>
    <n v="5"/>
    <s v="Cash"/>
    <x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n v="5"/>
    <x v="3"/>
    <s v="INV00000259"/>
    <s v="C00000020"/>
    <x v="19"/>
    <s v="RA Talcum Powder (25kg)"/>
    <n v="4"/>
    <s v="Cash"/>
    <x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n v="5"/>
    <x v="3"/>
    <s v="INV00000260"/>
    <s v="C00000009"/>
    <x v="8"/>
    <s v="RM Nor 3338W (220Kg)"/>
    <n v="1"/>
    <n v="60"/>
    <x v="3"/>
    <d v="2022-07-09T00:00:00"/>
    <n v="7"/>
    <n v="2022"/>
    <n v="1980"/>
    <n v="-1980"/>
    <n v="0"/>
    <n v="1376273.0500000003"/>
    <s v="Chq"/>
    <s v="Chq HL 016785 dd 26/9/22"/>
    <m/>
  </r>
  <r>
    <d v="2022-05-10T00:00:00"/>
    <n v="5"/>
    <x v="3"/>
    <s v="INV00000260"/>
    <s v="C00000009"/>
    <x v="8"/>
    <s v="RM Nor 3338NW (220Kg)"/>
    <n v="1"/>
    <n v="60"/>
    <x v="3"/>
    <d v="2022-07-09T00:00:00"/>
    <n v="7"/>
    <n v="2022"/>
    <n v="1980"/>
    <n v="-1980"/>
    <n v="0"/>
    <n v="1378253.0500000003"/>
    <s v="Chq"/>
    <s v="Chq HL 016785 dd 26/9/22"/>
    <m/>
  </r>
  <r>
    <d v="2022-05-10T00:00:00"/>
    <n v="5"/>
    <x v="3"/>
    <s v="INV00000260"/>
    <s v="C00000009"/>
    <x v="8"/>
    <s v="RM CSM 450 (60Kg) 64m(L) x 2080mm(W)"/>
    <n v="2"/>
    <n v="60"/>
    <x v="3"/>
    <d v="2022-07-09T00:00:00"/>
    <n v="7"/>
    <n v="2022"/>
    <n v="1140"/>
    <n v="-1140"/>
    <n v="0"/>
    <n v="1379393.0500000003"/>
    <s v="Chq"/>
    <s v="Chq HL 016785 dd 26/9/22"/>
    <m/>
  </r>
  <r>
    <s v="11/5/2022"/>
    <n v="5"/>
    <x v="3"/>
    <s v="INV00000261"/>
    <s v="C00000006"/>
    <x v="5"/>
    <s v="RA Resin 3338AW (220kg)"/>
    <n v="1"/>
    <s v="Cash"/>
    <x v="0"/>
    <d v="2022-05-11T00:00:00"/>
    <n v="5"/>
    <n v="2022"/>
    <n v="2068"/>
    <n v="-2068"/>
    <n v="0"/>
    <n v="1381461.0500000003"/>
    <s v="Chq"/>
    <s v="RHB 934936 cleared19/7/22-RM2,634.00"/>
    <m/>
  </r>
  <r>
    <s v="11/5/2022"/>
    <n v="5"/>
    <x v="3"/>
    <s v="INV00000261"/>
    <s v="C00000006"/>
    <x v="5"/>
    <s v="RG CSM 300 (30Kg) 64m(L) x 1040mm(W)"/>
    <n v="1"/>
    <s v="Cash"/>
    <x v="0"/>
    <d v="2022-05-11T00:00:00"/>
    <n v="5"/>
    <n v="2022"/>
    <n v="291"/>
    <n v="-291"/>
    <n v="0"/>
    <n v="1381752.0500000003"/>
    <s v="Chq"/>
    <s v="RHB 934936 cleared19/7/22-RM2,634.00"/>
    <m/>
  </r>
  <r>
    <s v="11/5/2022"/>
    <n v="5"/>
    <x v="3"/>
    <s v="INV00000261"/>
    <s v="C00000006"/>
    <x v="5"/>
    <s v="RM Pigment Super Black (5kg)"/>
    <n v="1"/>
    <s v="Cash"/>
    <x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n v="5"/>
    <x v="3"/>
    <s v="INV00000262"/>
    <s v="C00000022"/>
    <x v="23"/>
    <s v="RA Nor 3338W (220Kg)"/>
    <n v="1"/>
    <s v="Cash"/>
    <x v="0"/>
    <d v="2022-05-12T00:00:00"/>
    <n v="5"/>
    <n v="2022"/>
    <n v="2112"/>
    <n v="-2112"/>
    <n v="0"/>
    <n v="1384039.0500000003"/>
    <s v="Trsf"/>
    <s v="Trsf 28/7/22 RM3,000.00"/>
    <m/>
  </r>
  <r>
    <d v="2022-05-12T00:00:00"/>
    <n v="5"/>
    <x v="3"/>
    <s v="INV00000262"/>
    <s v="C00000022"/>
    <x v="23"/>
    <s v="RA CSM 300 (54Kg) 1860mm"/>
    <n v="2"/>
    <s v="Cash"/>
    <x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n v="5"/>
    <x v="3"/>
    <s v="INV00000262"/>
    <s v="C00000022"/>
    <x v="23"/>
    <s v="RA Woven Roving E-600 (45kg) 1120mm"/>
    <n v="1"/>
    <s v="Cash"/>
    <x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n v="5"/>
    <x v="3"/>
    <s v="INV00000262"/>
    <s v="C00000022"/>
    <x v="23"/>
    <s v="RM Pgment Opaline (10Kg)"/>
    <n v="1"/>
    <s v="Cash"/>
    <x v="0"/>
    <d v="2022-05-12T00:00:00"/>
    <n v="5"/>
    <n v="2022"/>
    <n v="450"/>
    <n v="-450"/>
    <n v="0"/>
    <n v="1385884.9500000002"/>
    <s v="Trsf"/>
    <s v="Trsf 25/9/22 RM3,000.00"/>
    <m/>
  </r>
  <r>
    <d v="2022-05-12T00:00:00"/>
    <n v="5"/>
    <x v="3"/>
    <s v="INV00000262"/>
    <s v="C00000022"/>
    <x v="23"/>
    <s v="RM Gelcoat GPH (20Kg)"/>
    <n v="1"/>
    <s v="Cash"/>
    <x v="0"/>
    <d v="2022-05-12T00:00:00"/>
    <n v="5"/>
    <n v="2022"/>
    <n v="270"/>
    <n v="-270"/>
    <n v="0"/>
    <n v="1386154.9500000002"/>
    <s v="Trsf"/>
    <s v="Trsf 25/9/22 RM3,000.00"/>
    <m/>
  </r>
  <r>
    <d v="2022-05-12T00:00:00"/>
    <n v="5"/>
    <x v="3"/>
    <s v="INV00000262"/>
    <s v="C00000022"/>
    <x v="23"/>
    <s v="RM Catalyst Despender"/>
    <n v="2"/>
    <s v="Cash"/>
    <x v="0"/>
    <d v="2022-05-12T00:00:00"/>
    <n v="5"/>
    <n v="2022"/>
    <n v="90"/>
    <n v="-90"/>
    <n v="0"/>
    <n v="1386244.9500000002"/>
    <s v="Trsf"/>
    <s v="Trsf 25/9/22 RM3,000.00"/>
    <m/>
  </r>
  <r>
    <d v="2022-05-12T00:00:00"/>
    <n v="5"/>
    <x v="3"/>
    <s v="INV00000263"/>
    <s v="C00000024"/>
    <x v="25"/>
    <s v="RM Resin Nor 3317AW (220Kg)"/>
    <n v="2"/>
    <s v="Cash"/>
    <x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n v="5"/>
    <x v="3"/>
    <s v="INV00000263"/>
    <s v="C00000024"/>
    <x v="25"/>
    <s v="RM CSM 450 (60Kg) 64m(L) x 2080mm(W)"/>
    <n v="3"/>
    <s v="Cash"/>
    <x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n v="5"/>
    <x v="3"/>
    <s v="INV00000263"/>
    <s v="C00000024"/>
    <x v="25"/>
    <s v="RA Woven Roving E-600 (45kg) 1120mm"/>
    <n v="3"/>
    <s v="Cash"/>
    <x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n v="5"/>
    <x v="3"/>
    <s v="INV00000263"/>
    <s v="C00000024"/>
    <x v="25"/>
    <s v="RA Talcum Powder (25kg)"/>
    <n v="3"/>
    <s v="Cash"/>
    <x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n v="5"/>
    <x v="3"/>
    <s v="INV00000263"/>
    <s v="C00000024"/>
    <x v="25"/>
    <s v="RJ Mepoxe (5kg)"/>
    <n v="4"/>
    <s v="Cash"/>
    <x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n v="5"/>
    <x v="3"/>
    <s v="INV00000263"/>
    <s v="C00000024"/>
    <x v="25"/>
    <s v="RM Pigment Smooth Cream (25kg)"/>
    <n v="1"/>
    <s v="Cash"/>
    <x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n v="5"/>
    <x v="3"/>
    <s v="INV00000264"/>
    <s v="C00000006"/>
    <x v="5"/>
    <s v="RG TR104 Hi Temp Wax"/>
    <n v="2"/>
    <s v="Cash"/>
    <x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n v="5"/>
    <x v="3"/>
    <s v="INV00000265"/>
    <s v="C00000020"/>
    <x v="19"/>
    <s v="RM Resin Nor 3317AW (220Kg)"/>
    <n v="3"/>
    <s v="Cash"/>
    <x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n v="5"/>
    <x v="3"/>
    <s v="INV00000265"/>
    <s v="C00000020"/>
    <x v="19"/>
    <s v="RM CSM 450 (60Kg) 64m(L) x 2080mm(W)"/>
    <n v="4"/>
    <s v="Cash"/>
    <x v="0"/>
    <d v="2022-05-14T00:00:00"/>
    <n v="5"/>
    <n v="2022"/>
    <n v="2352"/>
    <n v="-2352"/>
    <n v="0"/>
    <n v="1403491.4500000002"/>
    <s v="Trsf"/>
    <s v="Trsf 1/12/22 RM11,000.00"/>
    <m/>
  </r>
  <r>
    <d v="2022-05-14T00:00:00"/>
    <n v="5"/>
    <x v="3"/>
    <s v="INV00000265"/>
    <s v="C00000020"/>
    <x v="19"/>
    <s v="RJ Woven Roving E-600gm 1000mm (40Kg)"/>
    <n v="5"/>
    <s v="Cash"/>
    <x v="0"/>
    <d v="2022-05-14T00:00:00"/>
    <n v="5"/>
    <n v="2022"/>
    <n v="1560"/>
    <n v="-1560"/>
    <n v="0"/>
    <n v="1405051.4500000002"/>
    <s v="Trsf"/>
    <s v="Trsf 1/12/22 RM11,000.00"/>
    <m/>
  </r>
  <r>
    <d v="2022-05-14T00:00:00"/>
    <n v="5"/>
    <x v="3"/>
    <s v="INV00000265"/>
    <s v="C00000020"/>
    <x v="19"/>
    <s v="RA Talcum Powder (25kg)"/>
    <n v="3"/>
    <s v="Cash"/>
    <x v="0"/>
    <d v="2022-05-14T00:00:00"/>
    <n v="5"/>
    <n v="2022"/>
    <n v="187.5"/>
    <n v="-187.5"/>
    <n v="0"/>
    <n v="1405238.9500000002"/>
    <s v="Trsf"/>
    <s v="Trsf 1/12/22 RM11,000.00"/>
    <m/>
  </r>
  <r>
    <d v="2022-05-16T00:00:00"/>
    <n v="5"/>
    <x v="3"/>
    <s v="INV00000266"/>
    <s v="C00000003"/>
    <x v="2"/>
    <s v="RA Resin 3317AW (220Kg)"/>
    <n v="3"/>
    <n v="45"/>
    <x v="1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n v="5"/>
    <x v="3"/>
    <s v="INV00000266"/>
    <s v="C00000003"/>
    <x v="2"/>
    <s v="RA Talcum Powder (25kg)"/>
    <n v="5"/>
    <n v="45"/>
    <x v="1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n v="5"/>
    <x v="3"/>
    <s v="INV00000266"/>
    <s v="C00000003"/>
    <x v="2"/>
    <s v="RA Butanox M50 (5Kg)"/>
    <n v="6"/>
    <n v="45"/>
    <x v="1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n v="5"/>
    <x v="3"/>
    <s v="INV00000266"/>
    <s v="C00000003"/>
    <x v="2"/>
    <s v="RA Miracle Gloss Wax"/>
    <n v="1"/>
    <n v="45"/>
    <x v="1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n v="5"/>
    <x v="3"/>
    <s v="INV00000267"/>
    <s v="C00000020"/>
    <x v="19"/>
    <s v="RM Resin Nor 3317AW (220Kg)"/>
    <n v="2"/>
    <s v="Cash"/>
    <x v="0"/>
    <d v="2022-05-18T00:00:00"/>
    <n v="5"/>
    <n v="2022"/>
    <n v="4180"/>
    <n v="-4180"/>
    <n v="0"/>
    <n v="1416754.9500000002"/>
    <s v="Trsf"/>
    <s v="Trsf 1/12/22 RM11,000.00"/>
    <m/>
  </r>
  <r>
    <d v="2022-05-18T00:00:00"/>
    <n v="5"/>
    <x v="3"/>
    <s v="INV00000267"/>
    <s v="C00000020"/>
    <x v="19"/>
    <s v="RM CSM 450 (60Kg) 64m(L) x 2080mm(W)"/>
    <n v="2"/>
    <s v="Cash"/>
    <x v="0"/>
    <d v="2022-05-18T00:00:00"/>
    <n v="5"/>
    <n v="2022"/>
    <n v="1176"/>
    <n v="-1176"/>
    <n v="0"/>
    <n v="1417930.9500000002"/>
    <s v="Trsf"/>
    <s v="Trsf 1/12/22 RM11,000.00"/>
    <m/>
  </r>
  <r>
    <d v="2022-05-18T00:00:00"/>
    <n v="5"/>
    <x v="3"/>
    <s v="INV00000267"/>
    <s v="C00000020"/>
    <x v="19"/>
    <s v="RJ Woven Roving E-600gm 1000mm (40Kg)"/>
    <n v="3"/>
    <s v="Cash"/>
    <x v="0"/>
    <d v="2022-05-18T00:00:00"/>
    <n v="5"/>
    <n v="2022"/>
    <n v="936"/>
    <n v="-936"/>
    <n v="0"/>
    <n v="1418866.9500000002"/>
    <s v="Trsf"/>
    <s v="Trsf 1/12/22 RM11,000.00"/>
    <m/>
  </r>
  <r>
    <d v="2022-05-18T00:00:00"/>
    <n v="5"/>
    <x v="3"/>
    <s v="INV00000267"/>
    <s v="C00000020"/>
    <x v="19"/>
    <s v="RA Talcum Powder (25kg)"/>
    <n v="2"/>
    <s v="Cash"/>
    <x v="0"/>
    <d v="2022-05-18T00:00:00"/>
    <n v="5"/>
    <n v="2022"/>
    <n v="125"/>
    <n v="-125"/>
    <n v="0"/>
    <n v="1418991.9500000002"/>
    <s v="Trsf"/>
    <s v="Trsf 1/12/22 RM11,000.00"/>
    <m/>
  </r>
  <r>
    <d v="2022-05-18T00:00:00"/>
    <n v="5"/>
    <x v="3"/>
    <s v="INV00000267"/>
    <s v="C00000020"/>
    <x v="19"/>
    <s v="RM Pigment Smooth Cream (25kg)"/>
    <n v="2"/>
    <s v="Cash"/>
    <x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n v="5"/>
    <x v="3"/>
    <s v="INV00000268"/>
    <s v="C00000021"/>
    <x v="21"/>
    <s v="RM Resin 3317AW (220Kg)"/>
    <n v="1"/>
    <s v="Cash"/>
    <x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n v="5"/>
    <x v="3"/>
    <s v="INV00000268"/>
    <s v="C00000021"/>
    <x v="21"/>
    <s v="RM CSM 450 64m(L) 1040mm(W) (30Kg)"/>
    <n v="3"/>
    <s v="Cash"/>
    <x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n v="5"/>
    <x v="3"/>
    <s v="INV00000268"/>
    <s v="C00000021"/>
    <x v="21"/>
    <s v="RA Miracle Gloss Wax No. 8 (311g/Can)"/>
    <n v="12"/>
    <s v="Cash"/>
    <x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n v="5"/>
    <x v="3"/>
    <s v="INV00000269"/>
    <s v="C00000020"/>
    <x v="19"/>
    <s v="RM Resin Nor 3317AW (220Kg)"/>
    <n v="4"/>
    <s v="Cash"/>
    <x v="0"/>
    <d v="2022-05-20T00:00:00"/>
    <n v="5"/>
    <n v="2022"/>
    <n v="8360"/>
    <n v="-8360"/>
    <n v="0"/>
    <n v="1432835.9500000002"/>
    <s v="Trsf"/>
    <s v="Trsf 5/12/22 RM50,000.00"/>
    <m/>
  </r>
  <r>
    <d v="2022-05-20T00:00:00"/>
    <n v="5"/>
    <x v="3"/>
    <s v="INV00000269"/>
    <s v="C00000020"/>
    <x v="19"/>
    <s v="RM CSM 450 (60Kg) 64m(L) x 2080mm(W)"/>
    <n v="5"/>
    <s v="Cash"/>
    <x v="0"/>
    <d v="2022-05-20T00:00:00"/>
    <n v="5"/>
    <n v="2022"/>
    <n v="2940"/>
    <n v="-2940"/>
    <n v="0"/>
    <n v="1435775.9500000002"/>
    <s v="Trsf"/>
    <s v="Trsf 5/12/22 RM50,000.00"/>
    <m/>
  </r>
  <r>
    <d v="2022-05-20T00:00:00"/>
    <n v="5"/>
    <x v="3"/>
    <s v="INV00000269"/>
    <s v="C00000020"/>
    <x v="19"/>
    <s v="RJ Woven Roving E-600gm 1000mm (40Kg)"/>
    <n v="5"/>
    <s v="Cash"/>
    <x v="0"/>
    <d v="2022-05-20T00:00:00"/>
    <n v="5"/>
    <n v="2022"/>
    <n v="1560"/>
    <n v="-1560"/>
    <n v="0"/>
    <n v="1437335.9500000002"/>
    <s v="Trsf"/>
    <s v="Trsf 5/12/22 RM50,000.00"/>
    <m/>
  </r>
  <r>
    <d v="2022-05-20T00:00:00"/>
    <n v="5"/>
    <x v="3"/>
    <s v="INV00000269"/>
    <s v="C00000020"/>
    <x v="19"/>
    <s v="RA Talcum Powder (25kg)"/>
    <n v="4"/>
    <s v="Cash"/>
    <x v="0"/>
    <d v="2022-05-20T00:00:00"/>
    <n v="5"/>
    <n v="2022"/>
    <n v="250"/>
    <n v="-250"/>
    <n v="0"/>
    <n v="1437585.9500000002"/>
    <s v="Trsf"/>
    <s v="Trsf 5/12/22 RM50,000.00"/>
    <m/>
  </r>
  <r>
    <d v="2022-05-21T00:00:00"/>
    <n v="5"/>
    <x v="3"/>
    <s v="INV00000270"/>
    <s v="C00000026"/>
    <x v="27"/>
    <s v="RM CSM 450 64m(L) X 1860mm(W) (54kg)"/>
    <n v="1"/>
    <s v="Cash"/>
    <x v="0"/>
    <d v="2022-05-21T00:00:00"/>
    <n v="5"/>
    <n v="2022"/>
    <n v="534.6"/>
    <n v="-534.6"/>
    <n v="0"/>
    <n v="1438120.5500000003"/>
    <s v="Trsf"/>
    <s v="Trsf 24/5/22 RM1,239.60"/>
    <m/>
  </r>
  <r>
    <d v="2022-05-21T00:00:00"/>
    <n v="5"/>
    <x v="3"/>
    <s v="INV00000270"/>
    <s v="C00000026"/>
    <x v="27"/>
    <s v="RM Dark Gray (5Kg)"/>
    <n v="1"/>
    <s v="Cash"/>
    <x v="0"/>
    <d v="2022-05-21T00:00:00"/>
    <n v="5"/>
    <n v="2022"/>
    <n v="165"/>
    <n v="-165"/>
    <n v="0"/>
    <n v="1438285.5500000003"/>
    <s v="Trsf"/>
    <s v="Trsf 24/5/22 RM1,239.60"/>
    <m/>
  </r>
  <r>
    <d v="2022-05-21T00:00:00"/>
    <n v="5"/>
    <x v="3"/>
    <s v="INV00000270"/>
    <s v="C00000026"/>
    <x v="27"/>
    <s v="RJ Mepoxe (5kg)"/>
    <n v="1"/>
    <s v="Cash"/>
    <x v="0"/>
    <d v="2022-05-21T00:00:00"/>
    <n v="5"/>
    <n v="2022"/>
    <n v="90"/>
    <n v="-90"/>
    <n v="0"/>
    <n v="1438375.5500000003"/>
    <s v="Trsf"/>
    <s v="Trsf 24/5/22 RM1,239.60"/>
    <m/>
  </r>
  <r>
    <d v="2022-05-21T00:00:00"/>
    <n v="5"/>
    <x v="3"/>
    <s v="INV00000270"/>
    <s v="C00000026"/>
    <x v="27"/>
    <s v="RM Fume silica HJSIL 200(10Kg)"/>
    <n v="1"/>
    <s v="Cash"/>
    <x v="0"/>
    <d v="2022-05-21T00:00:00"/>
    <n v="5"/>
    <n v="2022"/>
    <n v="450"/>
    <n v="-450"/>
    <n v="0"/>
    <n v="1438825.5500000003"/>
    <s v="Trsf"/>
    <s v="Trsf 24/5/22 RM1,239.60"/>
    <m/>
  </r>
  <r>
    <d v="2022-05-21T00:00:00"/>
    <n v="5"/>
    <x v="3"/>
    <s v="INV00000271"/>
    <s v="C00000020"/>
    <x v="19"/>
    <s v="RM Resin Nor 3317AW (220Kg)"/>
    <n v="4"/>
    <s v="Cash"/>
    <x v="0"/>
    <d v="2022-05-21T00:00:00"/>
    <n v="5"/>
    <n v="2022"/>
    <n v="8360"/>
    <n v="-8360"/>
    <n v="0"/>
    <n v="1447185.5500000003"/>
    <s v="Trsf"/>
    <s v="Trsf 5/12/22 RM50,000.00"/>
    <m/>
  </r>
  <r>
    <d v="2022-05-21T00:00:00"/>
    <n v="5"/>
    <x v="3"/>
    <s v="INV00000271"/>
    <s v="C00000020"/>
    <x v="19"/>
    <s v="RM CSM 450 64m(L) 1040mm(W) (30Kg)"/>
    <n v="10"/>
    <s v="Cash"/>
    <x v="0"/>
    <d v="2022-05-21T00:00:00"/>
    <n v="5"/>
    <n v="2022"/>
    <n v="2940"/>
    <n v="-2940"/>
    <n v="0"/>
    <n v="1450125.5500000003"/>
    <s v="Trsf"/>
    <s v="Trsf 5/12/22 RM50,000.00"/>
    <m/>
  </r>
  <r>
    <d v="2022-05-21T00:00:00"/>
    <n v="5"/>
    <x v="3"/>
    <s v="INV00000271"/>
    <s v="C00000020"/>
    <x v="19"/>
    <s v="RJ Woven Roving E-600gm 1000mm (40Kg)"/>
    <n v="5"/>
    <s v="Cash"/>
    <x v="0"/>
    <d v="2022-05-21T00:00:00"/>
    <n v="5"/>
    <n v="2022"/>
    <n v="1560"/>
    <n v="-1560"/>
    <n v="0"/>
    <n v="1451685.5500000003"/>
    <s v="Trsf"/>
    <s v="Trsf 5/12/22 RM50,000.00"/>
    <m/>
  </r>
  <r>
    <d v="2022-05-21T00:00:00"/>
    <n v="5"/>
    <x v="3"/>
    <s v="INV00000271"/>
    <s v="C00000020"/>
    <x v="19"/>
    <s v="RA Talcum Powder (25kg)"/>
    <n v="4"/>
    <s v="Cash"/>
    <x v="0"/>
    <d v="2022-05-21T00:00:00"/>
    <n v="5"/>
    <n v="2022"/>
    <n v="250"/>
    <n v="-250"/>
    <n v="0"/>
    <n v="1451935.5500000003"/>
    <s v="Trsf"/>
    <s v="Trsf 5/12/22 RM50,000.00"/>
    <m/>
  </r>
  <r>
    <d v="2022-05-23T00:00:00"/>
    <n v="5"/>
    <x v="3"/>
    <s v="INV00000272"/>
    <s v="C00000010"/>
    <x v="9"/>
    <s v="RM Resin 3338AW (220kg)"/>
    <n v="6"/>
    <n v="120"/>
    <x v="2"/>
    <d v="2022-09-20T00:00:00"/>
    <n v="9"/>
    <n v="2022"/>
    <n v="11880"/>
    <n v="-11880"/>
    <n v="0"/>
    <n v="1463815.5500000003"/>
    <s v="Trsf"/>
    <s v="Trsf 23/8/22 RM14,715.00"/>
    <m/>
  </r>
  <r>
    <d v="2022-05-23T00:00:00"/>
    <n v="5"/>
    <x v="3"/>
    <s v="INV00000272"/>
    <s v="C00000010"/>
    <x v="9"/>
    <s v="RM CSM 450 64m(L) 1040mm(W) (30Kg)"/>
    <n v="5"/>
    <n v="120"/>
    <x v="2"/>
    <d v="2022-09-20T00:00:00"/>
    <n v="9"/>
    <n v="2022"/>
    <n v="1425"/>
    <n v="-1425"/>
    <n v="0"/>
    <n v="1465240.5500000003"/>
    <s v="Trsf"/>
    <s v="Trsf 23/8/22 RM14,715.00"/>
    <m/>
  </r>
  <r>
    <d v="2022-05-23T00:00:00"/>
    <n v="5"/>
    <x v="3"/>
    <s v="INV00000272"/>
    <s v="C00000010"/>
    <x v="9"/>
    <s v="RM Talcum Powder (25kg)"/>
    <n v="10"/>
    <n v="120"/>
    <x v="2"/>
    <d v="2022-09-20T00:00:00"/>
    <n v="9"/>
    <n v="2022"/>
    <n v="550"/>
    <n v="-550"/>
    <n v="0"/>
    <n v="1465790.5500000003"/>
    <s v="Trsf"/>
    <s v="Trsf 23/8/22 RM14,715.00"/>
    <m/>
  </r>
  <r>
    <d v="2022-05-23T00:00:00"/>
    <n v="5"/>
    <x v="3"/>
    <s v="INV00000272"/>
    <s v="C00000010"/>
    <x v="9"/>
    <s v="RA Butanox M50"/>
    <n v="4"/>
    <n v="120"/>
    <x v="2"/>
    <d v="2022-09-20T00:00:00"/>
    <n v="9"/>
    <n v="2022"/>
    <n v="420"/>
    <n v="-420"/>
    <n v="0"/>
    <n v="1466210.5500000003"/>
    <s v="Trsf"/>
    <s v="Trsf 23/8/22 RM14,715.00"/>
    <m/>
  </r>
  <r>
    <d v="2022-05-23T00:00:00"/>
    <n v="5"/>
    <x v="3"/>
    <s v="INV00000272"/>
    <s v="C00000010"/>
    <x v="9"/>
    <s v="RM Fume silica HJSIL 200(10Kg)"/>
    <n v="1"/>
    <n v="120"/>
    <x v="2"/>
    <d v="2022-09-20T00:00:00"/>
    <n v="9"/>
    <n v="2022"/>
    <n v="440"/>
    <n v="-440"/>
    <n v="0"/>
    <n v="1466650.5500000003"/>
    <s v="Trsf"/>
    <s v="Trsf 23/8/22 RM14,715.00"/>
    <m/>
  </r>
  <r>
    <d v="2022-05-23T00:00:00"/>
    <n v="5"/>
    <x v="3"/>
    <s v="INV00000273"/>
    <s v="C00000020"/>
    <x v="19"/>
    <s v="RM Resin Nor 3317AW (220Kg)"/>
    <n v="2"/>
    <s v="Cash"/>
    <x v="0"/>
    <d v="2022-05-23T00:00:00"/>
    <n v="5"/>
    <n v="2022"/>
    <n v="4180"/>
    <n v="-4180"/>
    <n v="0"/>
    <n v="1470830.5500000003"/>
    <s v="Trsf"/>
    <s v="Trsf 5/12/22 RM50,000.00"/>
    <m/>
  </r>
  <r>
    <d v="2022-05-23T00:00:00"/>
    <n v="5"/>
    <x v="3"/>
    <s v="INV00000273"/>
    <s v="C00000020"/>
    <x v="19"/>
    <s v="RM CSM 450 64m(L) 1040mm(W) (30Kg)"/>
    <n v="5"/>
    <s v="Cash"/>
    <x v="0"/>
    <d v="2022-05-23T00:00:00"/>
    <n v="5"/>
    <n v="2022"/>
    <n v="1470"/>
    <n v="-1470"/>
    <n v="0"/>
    <n v="1472300.5500000003"/>
    <s v="Trsf"/>
    <s v="Trsf 5/12/22 RM50,000.00"/>
    <m/>
  </r>
  <r>
    <d v="2022-05-23T00:00:00"/>
    <n v="5"/>
    <x v="3"/>
    <s v="INV00000273"/>
    <s v="C00000020"/>
    <x v="19"/>
    <s v="RJ Woven Roving E-600gm 1000mm (40Kg)"/>
    <n v="2"/>
    <s v="Cash"/>
    <x v="0"/>
    <d v="2022-05-23T00:00:00"/>
    <n v="5"/>
    <n v="2022"/>
    <n v="624"/>
    <n v="-624"/>
    <n v="0"/>
    <n v="1472924.5500000003"/>
    <s v="Trsf"/>
    <s v="Trsf 5/12/22 RM50,000.00"/>
    <m/>
  </r>
  <r>
    <d v="2022-05-23T00:00:00"/>
    <n v="5"/>
    <x v="3"/>
    <s v="INV00000273"/>
    <s v="C00000020"/>
    <x v="19"/>
    <s v="RA  Woven Roing 600 1120mm (45kg)"/>
    <n v="1"/>
    <s v="Cash"/>
    <x v="0"/>
    <d v="2022-05-23T00:00:00"/>
    <n v="5"/>
    <n v="2022"/>
    <n v="351"/>
    <n v="-351"/>
    <n v="0"/>
    <n v="1473275.5500000003"/>
    <s v="Trsf"/>
    <s v="Trsf 5/12/22 RM50,000.00"/>
    <m/>
  </r>
  <r>
    <d v="2022-05-23T00:00:00"/>
    <n v="5"/>
    <x v="3"/>
    <s v="INV00000273"/>
    <s v="C00000020"/>
    <x v="19"/>
    <s v="RM Talcum Powder (25kg)"/>
    <n v="2"/>
    <s v="Cash"/>
    <x v="0"/>
    <d v="2022-05-23T00:00:00"/>
    <n v="5"/>
    <n v="2022"/>
    <n v="125"/>
    <n v="-125"/>
    <n v="0"/>
    <n v="1473400.5500000003"/>
    <s v="Trsf"/>
    <s v="Trsf 5/12/22 RM50,000.00"/>
    <m/>
  </r>
  <r>
    <d v="2022-05-23T00:00:00"/>
    <n v="5"/>
    <x v="3"/>
    <s v="INV00000274"/>
    <s v="C00000019"/>
    <x v="18"/>
    <s v="RM Nor 3338W (220Kg)"/>
    <n v="2"/>
    <s v="Cash"/>
    <x v="0"/>
    <d v="2022-05-23T00:00:00"/>
    <n v="5"/>
    <n v="2022"/>
    <n v="4136"/>
    <n v="-4136"/>
    <n v="0"/>
    <n v="1477536.5500000003"/>
    <s v="Trsf"/>
    <s v="Trsf 24/5/22, RM6,201.10"/>
    <m/>
  </r>
  <r>
    <d v="2022-05-23T00:00:00"/>
    <n v="5"/>
    <x v="3"/>
    <s v="INV00000274"/>
    <s v="C00000019"/>
    <x v="18"/>
    <s v="RM CSM 450 64m(L) X 1860mm(W) (54kg)"/>
    <n v="2"/>
    <s v="Cash"/>
    <x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n v="5"/>
    <x v="3"/>
    <s v="INV00000274"/>
    <s v="C00000019"/>
    <x v="18"/>
    <s v="RM Talcum Powder (25kg)"/>
    <n v="3"/>
    <s v="Cash"/>
    <x v="0"/>
    <d v="2022-05-23T00:00:00"/>
    <n v="5"/>
    <n v="2022"/>
    <n v="187.5"/>
    <n v="-187.5"/>
    <n v="0"/>
    <n v="1478771.6500000004"/>
    <s v="Trsf"/>
    <s v="Trsf 24/5/22, RM6,201.10"/>
    <m/>
  </r>
  <r>
    <d v="2022-05-23T00:00:00"/>
    <n v="5"/>
    <x v="3"/>
    <s v="INV00000274"/>
    <s v="C00000019"/>
    <x v="18"/>
    <s v="RE Frekote 770NC (1 Gallon)"/>
    <n v="1"/>
    <s v="Cash"/>
    <x v="0"/>
    <d v="2022-05-23T00:00:00"/>
    <n v="5"/>
    <n v="2022"/>
    <n v="390"/>
    <n v="-390"/>
    <n v="0"/>
    <n v="1479161.6500000004"/>
    <s v="Trsf"/>
    <s v="Trsf 24/5/22, RM6,201.10"/>
    <m/>
  </r>
  <r>
    <d v="2022-05-23T00:00:00"/>
    <n v="5"/>
    <x v="3"/>
    <s v="INV00000274"/>
    <s v="C00000019"/>
    <x v="18"/>
    <s v="RM Fume silica HJSIL 200(10Kg)"/>
    <n v="1"/>
    <s v="Cash"/>
    <x v="0"/>
    <d v="2022-05-23T00:00:00"/>
    <n v="5"/>
    <n v="2022"/>
    <n v="440"/>
    <n v="-440"/>
    <n v="0"/>
    <n v="1479601.6500000004"/>
    <s v="Trsf"/>
    <s v="Trsf 24/5/22, RM6,201.10"/>
    <m/>
  </r>
  <r>
    <d v="2022-05-24T00:00:00"/>
    <n v="5"/>
    <x v="3"/>
    <s v="INV00000275"/>
    <s v="C00000004"/>
    <x v="3"/>
    <s v="RM Nor 3338W (220Kg)"/>
    <n v="5"/>
    <n v="120"/>
    <x v="2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n v="5"/>
    <x v="3"/>
    <s v="INV00000276"/>
    <s v="C00000020"/>
    <x v="19"/>
    <s v="RM Nor 3338W (220Kg)"/>
    <n v="4"/>
    <s v="Cash"/>
    <x v="0"/>
    <d v="2022-05-25T00:00:00"/>
    <n v="5"/>
    <n v="2022"/>
    <n v="8360"/>
    <n v="-8360"/>
    <n v="0"/>
    <n v="1498081.6500000004"/>
    <s v="Trsf"/>
    <s v="Trsf 5/12/22 RM50,000.00"/>
    <m/>
  </r>
  <r>
    <d v="2022-05-25T00:00:00"/>
    <n v="5"/>
    <x v="3"/>
    <s v="INV00000276"/>
    <s v="C00000020"/>
    <x v="19"/>
    <s v="RM CSM 450 64m(L) 1040mm(W) (30Kg)"/>
    <n v="8"/>
    <s v="Cash"/>
    <x v="0"/>
    <d v="2022-05-25T00:00:00"/>
    <n v="5"/>
    <n v="2022"/>
    <n v="2352"/>
    <n v="-2352"/>
    <n v="0"/>
    <n v="1500433.6500000004"/>
    <s v="Trsf"/>
    <s v="Trsf 5/12/22 RM50,000.00"/>
    <m/>
  </r>
  <r>
    <d v="2022-05-25T00:00:00"/>
    <n v="5"/>
    <x v="3"/>
    <s v="INV00000276"/>
    <s v="C00000020"/>
    <x v="19"/>
    <s v="RA  Woven Roing 600 1120mm (45kg)"/>
    <n v="6"/>
    <s v="Cash"/>
    <x v="0"/>
    <d v="2022-05-25T00:00:00"/>
    <n v="5"/>
    <n v="2022"/>
    <n v="2106"/>
    <n v="-2106"/>
    <n v="0"/>
    <n v="1502539.6500000004"/>
    <s v="Trsf"/>
    <s v="Trsf 5/12/22 RM50,000.00"/>
    <m/>
  </r>
  <r>
    <d v="2022-05-25T00:00:00"/>
    <n v="5"/>
    <x v="3"/>
    <s v="INV00000276"/>
    <s v="C00000020"/>
    <x v="19"/>
    <s v="RM Talcum Powder (25kg)"/>
    <n v="4"/>
    <s v="Cash"/>
    <x v="0"/>
    <d v="2022-05-25T00:00:00"/>
    <n v="5"/>
    <n v="2022"/>
    <n v="250"/>
    <n v="-250"/>
    <n v="0"/>
    <n v="1502789.6500000004"/>
    <s v="Trsf"/>
    <s v="Trsf 5/12/22 RM50,000.00"/>
    <m/>
  </r>
  <r>
    <d v="2022-05-25T00:00:00"/>
    <n v="5"/>
    <x v="3"/>
    <s v="INV00000276"/>
    <s v="C00000020"/>
    <x v="19"/>
    <s v="RM Pigment Smooth Cream (25kg)"/>
    <n v="1"/>
    <s v="Cash"/>
    <x v="0"/>
    <d v="2022-05-25T00:00:00"/>
    <n v="5"/>
    <n v="2022"/>
    <n v="1000"/>
    <n v="-1000"/>
    <n v="0"/>
    <n v="1503789.6500000004"/>
    <s v="Trsf"/>
    <s v="Trsf 5/12/22 RM50,000.00"/>
    <m/>
  </r>
  <r>
    <d v="2022-05-28T00:00:00"/>
    <n v="5"/>
    <x v="3"/>
    <s v="INV00000277"/>
    <s v="C00000021"/>
    <x v="21"/>
    <s v="RM Resin 3317AW (220Kg)"/>
    <n v="1"/>
    <s v="Cash"/>
    <x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n v="5"/>
    <x v="3"/>
    <s v="INV00000277"/>
    <s v="C00000021"/>
    <x v="21"/>
    <s v="RM CSM 450 64m(L) 1040mm(W) (30Kg)"/>
    <n v="3"/>
    <s v="Cash"/>
    <x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n v="5"/>
    <x v="3"/>
    <s v="INV00000277"/>
    <s v="C00000021"/>
    <x v="21"/>
    <s v="RJ Mepoxe (5kg)"/>
    <n v="1"/>
    <s v="Cash"/>
    <x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n v="5"/>
    <x v="3"/>
    <s v="INV00000277"/>
    <s v="C00000021"/>
    <x v="21"/>
    <s v="RA Sand Wheel 105 X 2 X 16 (30PC)"/>
    <n v="1"/>
    <s v="Cash"/>
    <x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n v="6"/>
    <x v="3"/>
    <s v="INV00000278"/>
    <s v="C00000020"/>
    <x v="19"/>
    <s v="RM Resin 3317AW (220Kg)"/>
    <n v="4"/>
    <s v="Cash"/>
    <x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n v="6"/>
    <x v="3"/>
    <s v="INV00000278"/>
    <s v="C00000020"/>
    <x v="19"/>
    <s v="RM CSM 450 64m(L) 1040mm(W) (30Kg)"/>
    <n v="6"/>
    <s v="Cash"/>
    <x v="0"/>
    <d v="2022-06-02T00:00:00"/>
    <n v="6"/>
    <n v="2022"/>
    <n v="1764"/>
    <n v="-1764"/>
    <n v="0"/>
    <n v="1517154.6500000004"/>
    <s v="Trsf"/>
    <s v="Trsf 22/12/22 RM10,000.00"/>
    <m/>
  </r>
  <r>
    <d v="2022-06-02T00:00:00"/>
    <n v="6"/>
    <x v="3"/>
    <s v="INV00000278"/>
    <s v="C00000020"/>
    <x v="19"/>
    <s v="RA  Woven Roing 600 1120mm (45kg)"/>
    <n v="3"/>
    <s v="Cash"/>
    <x v="0"/>
    <d v="2022-06-02T00:00:00"/>
    <n v="6"/>
    <n v="2022"/>
    <n v="1053"/>
    <n v="-1053"/>
    <n v="0"/>
    <n v="1518207.6500000004"/>
    <s v="Trsf"/>
    <s v="Trsf 22/12/22 RM10,000.00"/>
    <m/>
  </r>
  <r>
    <d v="2022-06-02T00:00:00"/>
    <n v="6"/>
    <x v="3"/>
    <s v="INV00000278"/>
    <s v="C00000020"/>
    <x v="19"/>
    <s v="RM Talcum Powder (25kg)"/>
    <n v="4"/>
    <s v="Cash"/>
    <x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n v="6"/>
    <x v="3"/>
    <s v="INV00000278"/>
    <s v="C00000020"/>
    <x v="19"/>
    <s v="RM Pigment Smooth Cream (25kg)"/>
    <n v="1"/>
    <s v="Cash"/>
    <x v="0"/>
    <d v="2022-06-02T00:00:00"/>
    <n v="6"/>
    <n v="2022"/>
    <n v="1000"/>
    <n v="-1000"/>
    <n v="0"/>
    <n v="1519457.6500000004"/>
    <s v="Trsf"/>
    <s v="Trsf 23/12/22 RM10,000.00"/>
    <m/>
  </r>
  <r>
    <d v="2022-06-03T00:00:00"/>
    <n v="6"/>
    <x v="3"/>
    <s v="INV00000279"/>
    <s v="C00000022"/>
    <x v="23"/>
    <s v="RA Nor 3338W (220Kg)"/>
    <n v="1"/>
    <s v="Cash"/>
    <x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n v="6"/>
    <x v="3"/>
    <s v="INV00000280"/>
    <s v="C00000020"/>
    <x v="19"/>
    <s v="RM Resin 3317AW (220Kg)"/>
    <n v="2"/>
    <s v="Cash"/>
    <x v="0"/>
    <d v="2022-06-04T00:00:00"/>
    <n v="6"/>
    <n v="2022"/>
    <n v="4180"/>
    <n v="-4180"/>
    <n v="0"/>
    <n v="1525749.6500000004"/>
    <s v="Trsf"/>
    <s v="Trsf 23/12/22 RM10,000.00"/>
    <m/>
  </r>
  <r>
    <d v="2022-06-04T00:00:00"/>
    <n v="6"/>
    <x v="3"/>
    <s v="INV00000280"/>
    <s v="C00000020"/>
    <x v="19"/>
    <s v="RM CSM 450 64m(L) 1040mm(W) (30Kg)"/>
    <n v="10"/>
    <s v="Cash"/>
    <x v="0"/>
    <d v="2022-06-04T00:00:00"/>
    <n v="6"/>
    <n v="2022"/>
    <n v="2940"/>
    <n v="-2940"/>
    <n v="0"/>
    <n v="1528689.6500000004"/>
    <s v="Trsf"/>
    <s v="Trsf 23/12/22 RM10,000.00"/>
    <m/>
  </r>
  <r>
    <d v="2022-06-04T00:00:00"/>
    <n v="6"/>
    <x v="3"/>
    <s v="INV00000280"/>
    <s v="C00000020"/>
    <x v="19"/>
    <s v="RA  Woven Roing 600 1120mm (45kg)"/>
    <n v="5"/>
    <s v="Cash"/>
    <x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n v="6"/>
    <x v="3"/>
    <s v="INV00000280"/>
    <s v="C00000020"/>
    <x v="19"/>
    <s v="RM Talcum Powder (25kg)"/>
    <n v="2"/>
    <s v="Cash"/>
    <x v="0"/>
    <d v="2022-06-04T00:00:00"/>
    <n v="6"/>
    <n v="2022"/>
    <n v="125"/>
    <n v="-125"/>
    <n v="0"/>
    <n v="1530569.6500000004"/>
    <s v="Trsf"/>
    <s v="Trsf 27/12/22 RM5,000.00"/>
    <m/>
  </r>
  <r>
    <d v="2022-06-07T00:00:00"/>
    <n v="6"/>
    <x v="3"/>
    <s v="INV00000281"/>
    <s v="C00000001"/>
    <x v="0"/>
    <s v="RM Resin 3317AW (220Kg)"/>
    <n v="1"/>
    <s v="Cash"/>
    <x v="0"/>
    <d v="2022-06-07T00:00:00"/>
    <n v="6"/>
    <n v="2022"/>
    <n v="2068"/>
    <n v="-2068"/>
    <n v="0"/>
    <n v="1532637.6500000004"/>
    <s v="Trsf"/>
    <s v="Trsf 10/6/22 RM2,356.00"/>
    <m/>
  </r>
  <r>
    <d v="2022-06-07T00:00:00"/>
    <n v="6"/>
    <x v="3"/>
    <s v="INV00000281"/>
    <s v="C00000001"/>
    <x v="0"/>
    <s v="RM Woven Roving E-800 1000mm (40Kg)"/>
    <n v="1"/>
    <s v="Cash"/>
    <x v="0"/>
    <d v="2022-06-07T00:00:00"/>
    <n v="6"/>
    <n v="2022"/>
    <n v="288"/>
    <n v="-288"/>
    <n v="0"/>
    <n v="1532925.6500000004"/>
    <s v="Trsf"/>
    <s v="Trsf 10/6/22 RM2,356.00"/>
    <m/>
  </r>
  <r>
    <d v="2022-06-09T00:00:00"/>
    <n v="6"/>
    <x v="3"/>
    <s v="INV00000282"/>
    <s v="C00000010"/>
    <x v="9"/>
    <s v="RM Resin 3338AW (220kg)"/>
    <n v="5"/>
    <n v="120"/>
    <x v="2"/>
    <d v="2022-10-07T00:00:00"/>
    <n v="10"/>
    <n v="2022"/>
    <n v="9900"/>
    <n v="-9900"/>
    <n v="0"/>
    <n v="1542825.6500000004"/>
    <s v="Trsf"/>
    <s v="Trsf 23/9/22 RM31,205.00"/>
    <m/>
  </r>
  <r>
    <d v="2022-06-09T00:00:00"/>
    <n v="6"/>
    <x v="3"/>
    <s v="INV00000282"/>
    <s v="C00000010"/>
    <x v="9"/>
    <s v="RM CSM 450 64m(L) 1040mm(W) (30Kg)"/>
    <n v="5"/>
    <n v="120"/>
    <x v="2"/>
    <d v="2022-10-07T00:00:00"/>
    <n v="10"/>
    <n v="2022"/>
    <n v="1425"/>
    <n v="-1425"/>
    <n v="0"/>
    <n v="1544250.6500000004"/>
    <s v="Trsf"/>
    <s v="Trsf 23/9/22 RM31,205.00"/>
    <m/>
  </r>
  <r>
    <d v="2022-06-09T00:00:00"/>
    <n v="6"/>
    <x v="3"/>
    <s v="INV00000282"/>
    <s v="C00000010"/>
    <x v="9"/>
    <s v="RM Talcum Powder (25kg)"/>
    <n v="10"/>
    <n v="120"/>
    <x v="2"/>
    <d v="2022-10-07T00:00:00"/>
    <n v="10"/>
    <n v="2022"/>
    <n v="550"/>
    <n v="-550"/>
    <n v="0"/>
    <n v="1544800.6500000004"/>
    <s v="Trsf"/>
    <s v="Trsf 23/9/22 RM31,205.00"/>
    <m/>
  </r>
  <r>
    <d v="2022-06-09T00:00:00"/>
    <n v="6"/>
    <x v="3"/>
    <s v="INV00000282"/>
    <s v="C00000010"/>
    <x v="9"/>
    <s v="RA Butanox M50"/>
    <n v="4"/>
    <n v="120"/>
    <x v="2"/>
    <d v="2022-10-07T00:00:00"/>
    <n v="10"/>
    <n v="2022"/>
    <n v="420"/>
    <n v="-420"/>
    <n v="0"/>
    <n v="1545220.6500000004"/>
    <s v="Trsf"/>
    <s v="Trsf 23/9/22 RM31,205.00"/>
    <m/>
  </r>
  <r>
    <d v="2022-06-09T00:00:00"/>
    <n v="6"/>
    <x v="3"/>
    <s v="INV00000282"/>
    <s v="C00000010"/>
    <x v="9"/>
    <s v="RH Bosny Wax (15Kg)"/>
    <n v="1"/>
    <n v="120"/>
    <x v="2"/>
    <d v="2022-10-07T00:00:00"/>
    <n v="10"/>
    <n v="2022"/>
    <n v="395"/>
    <n v="-395"/>
    <n v="0"/>
    <n v="1545615.6500000004"/>
    <s v="Trsf"/>
    <s v="Trsf 23/9/22 RM31,205.00"/>
    <m/>
  </r>
  <r>
    <d v="2022-06-09T00:00:00"/>
    <n v="6"/>
    <x v="3"/>
    <s v="INV00000283"/>
    <s v="C00000022"/>
    <x v="23"/>
    <s v="RA Nor 3338W (220Kg)"/>
    <n v="1"/>
    <s v="Cash"/>
    <x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n v="6"/>
    <x v="3"/>
    <s v="INV00000284"/>
    <s v="C00000021"/>
    <x v="21"/>
    <s v="RM Resin 3317AW (220Kg)"/>
    <n v="1"/>
    <s v="Cash"/>
    <x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n v="6"/>
    <x v="3"/>
    <s v="INV00000284"/>
    <s v="C00000021"/>
    <x v="21"/>
    <s v="RM CSM 450 64m(L) 1040mm(W) (30Kg)"/>
    <n v="2"/>
    <s v="Cash"/>
    <x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n v="6"/>
    <x v="3"/>
    <s v="INV00000284"/>
    <s v="C00000021"/>
    <x v="21"/>
    <s v="RJ Mepoxe (5kg)"/>
    <n v="1"/>
    <s v="Cash"/>
    <x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n v="6"/>
    <x v="3"/>
    <s v="INV00000285"/>
    <s v="C00000020"/>
    <x v="19"/>
    <s v="RM Resin 3317AW (220Kg)"/>
    <n v="2"/>
    <s v="Cash"/>
    <x v="0"/>
    <d v="2022-06-11T00:00:00"/>
    <n v="6"/>
    <n v="2022"/>
    <n v="4180"/>
    <n v="-4180"/>
    <n v="0"/>
    <n v="1554653.6500000004"/>
    <s v="Trsf"/>
    <s v="Trsf 27/12/22 RM5,000.00"/>
    <m/>
  </r>
  <r>
    <d v="2022-06-11T00:00:00"/>
    <n v="6"/>
    <x v="3"/>
    <s v="INV00000285"/>
    <s v="C00000020"/>
    <x v="19"/>
    <s v="RM CSM 450 64m(L) 1040mm(W) (30Kg)"/>
    <n v="1"/>
    <s v="Cash"/>
    <x v="0"/>
    <d v="2022-06-11T00:00:00"/>
    <n v="6"/>
    <n v="2022"/>
    <n v="294"/>
    <n v="-294"/>
    <n v="0"/>
    <n v="1554947.6500000004"/>
    <s v="Trsf"/>
    <s v="Trsf 27/12/22 RM5,000.00"/>
    <m/>
  </r>
  <r>
    <d v="2022-06-11T00:00:00"/>
    <n v="6"/>
    <x v="3"/>
    <s v="INV00000285"/>
    <s v="C00000020"/>
    <x v="19"/>
    <s v="RA  Woven Roing 600 1120mm (45kg)"/>
    <n v="1"/>
    <s v="Cash"/>
    <x v="0"/>
    <d v="2022-06-11T00:00:00"/>
    <n v="6"/>
    <n v="2022"/>
    <n v="351"/>
    <n v="-351"/>
    <n v="0"/>
    <n v="1555298.6500000004"/>
    <s v="Trsf"/>
    <s v="Trsf 27/12/22 RM5,000.00"/>
    <m/>
  </r>
  <r>
    <d v="2022-06-11T00:00:00"/>
    <n v="6"/>
    <x v="3"/>
    <s v="INV00000285"/>
    <s v="C00000020"/>
    <x v="19"/>
    <s v="RM Talcum Powder (25kg)"/>
    <n v="2"/>
    <s v="Cash"/>
    <x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n v="6"/>
    <x v="3"/>
    <s v="INV00000286"/>
    <s v="C00000023"/>
    <x v="24"/>
    <s v="RA Resin 3317AW (25Kg)"/>
    <n v="4"/>
    <s v="Cash"/>
    <x v="0"/>
    <d v="2022-06-13T00:00:00"/>
    <n v="6"/>
    <n v="2022"/>
    <n v="1400"/>
    <n v="-1400"/>
    <n v="0"/>
    <n v="1556823.6500000004"/>
    <s v="Trsf"/>
    <s v="Trsf 14/6/22 RM2,158.00"/>
    <m/>
  </r>
  <r>
    <d v="2022-06-13T00:00:00"/>
    <n v="6"/>
    <x v="3"/>
    <s v="INV00000286"/>
    <s v="C00000023"/>
    <x v="24"/>
    <s v="RM CSM 450 64m(L) 1040mm(W) (30Kg)"/>
    <n v="2"/>
    <s v="Cash"/>
    <x v="0"/>
    <d v="2022-06-13T00:00:00"/>
    <n v="6"/>
    <n v="2022"/>
    <n v="588"/>
    <n v="-588"/>
    <n v="0"/>
    <n v="1557411.6500000004"/>
    <s v="Trsf"/>
    <s v="Trsf 14/6/22 RM2,158.00"/>
    <m/>
  </r>
  <r>
    <d v="2022-06-13T00:00:00"/>
    <n v="6"/>
    <x v="3"/>
    <s v="INV00000286"/>
    <s v="C00000023"/>
    <x v="24"/>
    <s v="RJ Mepoxe (5kg)"/>
    <n v="2"/>
    <s v="Cash"/>
    <x v="0"/>
    <d v="2022-06-13T00:00:00"/>
    <n v="6"/>
    <n v="2022"/>
    <n v="170"/>
    <n v="-170"/>
    <n v="0"/>
    <n v="1557581.6500000004"/>
    <s v="Trsf"/>
    <s v="Trsf 14/6/22 RM2,158.00"/>
    <m/>
  </r>
  <r>
    <d v="2022-06-14T00:00:00"/>
    <n v="6"/>
    <x v="3"/>
    <s v="INV00000287"/>
    <s v="C00000009"/>
    <x v="8"/>
    <s v="RM Nor 3338W (220Kg)"/>
    <n v="2"/>
    <n v="60"/>
    <x v="3"/>
    <d v="2022-08-13T00:00:00"/>
    <n v="8"/>
    <n v="2022"/>
    <n v="3960"/>
    <n v="-3960"/>
    <n v="0"/>
    <n v="1561541.6500000004"/>
    <s v="Chq"/>
    <s v="Chq HL 016786 dd 27/12/22"/>
    <m/>
  </r>
  <r>
    <d v="2022-06-14T00:00:00"/>
    <n v="6"/>
    <x v="3"/>
    <s v="INV00000288"/>
    <s v="C00000001"/>
    <x v="0"/>
    <s v="RM Resin 3317AW (220Kg)"/>
    <n v="1"/>
    <s v="Cash"/>
    <x v="0"/>
    <d v="2022-06-14T00:00:00"/>
    <n v="6"/>
    <n v="2022"/>
    <n v="2068"/>
    <n v="-2068"/>
    <n v="0"/>
    <n v="1563609.6500000004"/>
    <s v="Trsf"/>
    <s v="Trsf 23/6/22 RM3,232.00"/>
    <m/>
  </r>
  <r>
    <d v="2022-06-14T00:00:00"/>
    <n v="6"/>
    <x v="3"/>
    <s v="INV00000288"/>
    <s v="C00000001"/>
    <x v="0"/>
    <s v="RM CSM 450 64m(L) 1040mm(W) (30Kg)"/>
    <n v="4"/>
    <s v="Cash"/>
    <x v="0"/>
    <d v="2022-06-14T00:00:00"/>
    <n v="6"/>
    <n v="2022"/>
    <n v="1164"/>
    <n v="-1164"/>
    <n v="0"/>
    <n v="1564773.6500000004"/>
    <s v="Trsf"/>
    <s v="Trsf 23/6/22 RM3,232.00"/>
    <m/>
  </r>
  <r>
    <d v="2022-06-18T00:00:00"/>
    <n v="6"/>
    <x v="3"/>
    <s v="INV00000289"/>
    <s v="C00000020"/>
    <x v="19"/>
    <s v="RA Nor 3338W (220Kg)"/>
    <n v="1"/>
    <s v="Cash"/>
    <x v="0"/>
    <d v="2022-06-18T00:00:00"/>
    <n v="6"/>
    <n v="2022"/>
    <n v="2090"/>
    <n v="-2090"/>
    <n v="0"/>
    <n v="1566863.6500000004"/>
    <s v="Trsf"/>
    <s v="Trsf 28/12/22 RM30,000.00"/>
    <m/>
  </r>
  <r>
    <d v="2022-06-18T00:00:00"/>
    <n v="6"/>
    <x v="3"/>
    <s v="INV00000289"/>
    <s v="C00000020"/>
    <x v="19"/>
    <s v="RM CSM 450 64m(L) 1040mm(W) (30Kg)"/>
    <n v="2"/>
    <s v="Cash"/>
    <x v="0"/>
    <d v="2022-06-18T00:00:00"/>
    <n v="6"/>
    <n v="2022"/>
    <n v="588"/>
    <n v="-588"/>
    <n v="0"/>
    <n v="1567451.6500000004"/>
    <s v="Trsf"/>
    <s v="Trsf 28/12/22 RM30,000.00"/>
    <m/>
  </r>
  <r>
    <d v="2022-06-18T00:00:00"/>
    <n v="6"/>
    <x v="3"/>
    <s v="INV00000289"/>
    <s v="C00000020"/>
    <x v="19"/>
    <s v="RA  Woven Roing 600 1120mm (45kg)"/>
    <n v="1"/>
    <s v="Cash"/>
    <x v="0"/>
    <d v="2022-06-18T00:00:00"/>
    <n v="6"/>
    <n v="2022"/>
    <n v="351"/>
    <n v="-351"/>
    <n v="0"/>
    <n v="1567802.6500000004"/>
    <s v="Trsf"/>
    <s v="Trsf 28/12/22 RM30,000.00"/>
    <m/>
  </r>
  <r>
    <d v="2022-06-18T00:00:00"/>
    <n v="6"/>
    <x v="3"/>
    <s v="INV00000289"/>
    <s v="C00000020"/>
    <x v="19"/>
    <s v="RM Talcum Powder (25kg)"/>
    <n v="1"/>
    <s v="Cash"/>
    <x v="0"/>
    <d v="2022-06-18T00:00:00"/>
    <n v="6"/>
    <n v="2022"/>
    <n v="62.5"/>
    <n v="-62.5"/>
    <n v="0"/>
    <n v="1567865.1500000004"/>
    <s v="Trsf"/>
    <s v="Trsf 28/12/22 RM30,000.00"/>
    <m/>
  </r>
  <r>
    <d v="2022-06-18T00:00:00"/>
    <n v="6"/>
    <x v="3"/>
    <s v="INV00000289"/>
    <s v="C00000020"/>
    <x v="19"/>
    <s v="RM Pigment Smooth Cream (25kg)"/>
    <n v="1"/>
    <s v="Cash"/>
    <x v="0"/>
    <d v="2022-06-18T00:00:00"/>
    <n v="6"/>
    <n v="2022"/>
    <n v="1000"/>
    <n v="-1000"/>
    <n v="0"/>
    <n v="1568865.1500000004"/>
    <s v="Trsf"/>
    <s v="Trsf 28/12/22 RM30,000.00"/>
    <m/>
  </r>
  <r>
    <d v="2022-06-18T00:00:00"/>
    <n v="6"/>
    <x v="3"/>
    <s v="INV00000289"/>
    <s v="C00000020"/>
    <x v="19"/>
    <s v="RJ Mepoxe (5kg)"/>
    <n v="4"/>
    <s v="Cash"/>
    <x v="0"/>
    <d v="2022-06-18T00:00:00"/>
    <n v="6"/>
    <n v="2022"/>
    <n v="340"/>
    <n v="-340"/>
    <n v="0"/>
    <n v="1569205.1500000004"/>
    <s v="Trsf"/>
    <s v="Trsf 28/12/22 RM30,000.00"/>
    <m/>
  </r>
  <r>
    <d v="2022-06-20T00:00:00"/>
    <n v="6"/>
    <x v="3"/>
    <s v="INV00000290"/>
    <s v="C00000006"/>
    <x v="5"/>
    <s v="RM Nor 3338W (220Kg)"/>
    <n v="1"/>
    <s v="Cash"/>
    <x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n v="6"/>
    <x v="3"/>
    <s v="INV00000291"/>
    <s v="C00000021"/>
    <x v="21"/>
    <s v="RM Resin 3317AW (220Kg)"/>
    <n v="1"/>
    <s v="Cash"/>
    <x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n v="6"/>
    <x v="3"/>
    <s v="INV00000291"/>
    <s v="C00000021"/>
    <x v="21"/>
    <s v="RM CSM 450 64m(L) 1040mm(W) (30Kg)"/>
    <n v="3"/>
    <s v="Cash"/>
    <x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n v="6"/>
    <x v="3"/>
    <s v="INV00000291"/>
    <s v="C00000021"/>
    <x v="21"/>
    <s v="RJ Mepoxe (5kg)"/>
    <n v="1"/>
    <s v="Cash"/>
    <x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n v="6"/>
    <x v="3"/>
    <s v="INV00000291"/>
    <s v="C00000021"/>
    <x v="21"/>
    <s v="RM Talcum Powder (25kg)"/>
    <n v="5"/>
    <s v="Cash"/>
    <x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n v="6"/>
    <x v="3"/>
    <s v="INV00000292"/>
    <s v="C00000020"/>
    <x v="19"/>
    <s v="RA Nor 3338W (220Kg)"/>
    <n v="2"/>
    <s v="Cash"/>
    <x v="0"/>
    <d v="2022-06-24T00:00:00"/>
    <n v="6"/>
    <n v="2022"/>
    <n v="4180"/>
    <n v="-4180"/>
    <n v="0"/>
    <n v="1578827.6500000004"/>
    <s v="Trsf"/>
    <s v="Trsf 28/12/22 RM30,000.00"/>
    <m/>
  </r>
  <r>
    <d v="2022-06-24T00:00:00"/>
    <n v="6"/>
    <x v="3"/>
    <s v="INV00000292"/>
    <s v="C00000020"/>
    <x v="19"/>
    <s v="RM CSM 450 64m(L) 1040mm(W) (30Kg)"/>
    <n v="3"/>
    <s v="Cash"/>
    <x v="0"/>
    <d v="2022-06-24T00:00:00"/>
    <n v="6"/>
    <n v="2022"/>
    <n v="882"/>
    <n v="-882"/>
    <n v="0"/>
    <n v="1579709.6500000004"/>
    <s v="Trsf"/>
    <s v="Trsf 28/12/22 RM30,000.00"/>
    <m/>
  </r>
  <r>
    <d v="2022-06-24T00:00:00"/>
    <n v="6"/>
    <x v="3"/>
    <s v="INV00000292"/>
    <s v="C00000020"/>
    <x v="19"/>
    <s v="RA  Woven Roing 600 1120mm (45kg)"/>
    <n v="2"/>
    <s v="Cash"/>
    <x v="0"/>
    <d v="2022-06-24T00:00:00"/>
    <n v="6"/>
    <n v="2022"/>
    <n v="702"/>
    <n v="-702"/>
    <n v="0"/>
    <n v="1580411.6500000004"/>
    <s v="Trsf"/>
    <s v="Trsf 28/12/22 RM30,000.00"/>
    <m/>
  </r>
  <r>
    <d v="2022-06-24T00:00:00"/>
    <n v="6"/>
    <x v="3"/>
    <s v="INV00000292"/>
    <s v="C00000020"/>
    <x v="19"/>
    <s v="RM Talcum Powder (25kg)"/>
    <n v="2"/>
    <s v="Cash"/>
    <x v="0"/>
    <d v="2022-06-24T00:00:00"/>
    <n v="6"/>
    <n v="2022"/>
    <n v="125"/>
    <n v="-125"/>
    <n v="0"/>
    <n v="1580536.6500000004"/>
    <s v="Trsf"/>
    <s v="Trsf 28/12/22 RM30,000.00"/>
    <m/>
  </r>
  <r>
    <d v="2022-06-28T00:00:00"/>
    <n v="6"/>
    <x v="3"/>
    <s v="INV00000293"/>
    <s v="C00000019"/>
    <x v="18"/>
    <s v="RM Nor 3338W (220Kg)"/>
    <n v="2"/>
    <s v="Cash"/>
    <x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n v="6"/>
    <x v="3"/>
    <s v="INV00000293"/>
    <s v="C00000019"/>
    <x v="18"/>
    <s v="RM CSM 450 64m(L) X 1860mm(W) (54kg)"/>
    <n v="2"/>
    <s v="Cash"/>
    <x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n v="6"/>
    <x v="3"/>
    <s v="INV00000293"/>
    <s v="C00000019"/>
    <x v="18"/>
    <s v="RA Butanox M50 (5kg)"/>
    <n v="2"/>
    <s v="Cash"/>
    <x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n v="6"/>
    <x v="3"/>
    <s v="INV00000293"/>
    <s v="C00000019"/>
    <x v="18"/>
    <s v="RE Frekote 770NC (1 Gallon)"/>
    <n v="1"/>
    <s v="Cash"/>
    <x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n v="6"/>
    <x v="3"/>
    <s v="INV00000293"/>
    <s v="C00000019"/>
    <x v="18"/>
    <s v="RM Fume silica HJSIL 200(10Kg)"/>
    <n v="1"/>
    <s v="Cash"/>
    <x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n v="6"/>
    <x v="3"/>
    <s v="INV00000294"/>
    <s v="C00000010"/>
    <x v="9"/>
    <s v="RM Resin 3338AW (220kg)"/>
    <n v="7"/>
    <n v="120"/>
    <x v="2"/>
    <d v="2022-10-27T00:00:00"/>
    <n v="10"/>
    <n v="2022"/>
    <n v="13860"/>
    <n v="-13860"/>
    <n v="0"/>
    <n v="1600620.2500000005"/>
    <s v="Trsf"/>
    <s v="Trsf 23/9/22 RM31,205.00"/>
    <m/>
  </r>
  <r>
    <d v="2022-06-29T00:00:00"/>
    <n v="6"/>
    <x v="3"/>
    <s v="INV00000294"/>
    <s v="C00000010"/>
    <x v="9"/>
    <s v="RM CSM 450 64m(L) 1040mm(W) (30Kg)"/>
    <n v="10"/>
    <n v="120"/>
    <x v="2"/>
    <d v="2022-10-27T00:00:00"/>
    <n v="10"/>
    <n v="2022"/>
    <n v="2850"/>
    <n v="-2850"/>
    <n v="0"/>
    <n v="1603470.2500000005"/>
    <s v="Trsf"/>
    <s v="Trsf 23/9/22 RM31,205.00"/>
    <m/>
  </r>
  <r>
    <d v="2022-06-29T00:00:00"/>
    <n v="6"/>
    <x v="3"/>
    <s v="INV00000294"/>
    <s v="C00000010"/>
    <x v="9"/>
    <s v="RM Talcum Powder (25kg)"/>
    <n v="10"/>
    <n v="120"/>
    <x v="2"/>
    <d v="2022-10-27T00:00:00"/>
    <n v="10"/>
    <n v="2022"/>
    <n v="550"/>
    <n v="-550"/>
    <n v="0"/>
    <n v="1604020.2500000005"/>
    <s v="Trsf"/>
    <s v="Trsf 23/9/22 RM31,205.00"/>
    <m/>
  </r>
  <r>
    <d v="2022-06-29T00:00:00"/>
    <n v="6"/>
    <x v="3"/>
    <s v="INV00000294"/>
    <s v="C00000010"/>
    <x v="9"/>
    <s v="RA Butanox M50 (5kg)"/>
    <n v="4"/>
    <n v="120"/>
    <x v="2"/>
    <d v="2022-10-27T00:00:00"/>
    <n v="10"/>
    <n v="2022"/>
    <n v="420"/>
    <n v="-420"/>
    <n v="0"/>
    <n v="1604440.2500000005"/>
    <s v="Trsf"/>
    <s v="Trsf 23/9/22 RM31,205.00"/>
    <m/>
  </r>
  <r>
    <d v="2022-06-29T00:00:00"/>
    <n v="6"/>
    <x v="3"/>
    <s v="INV00000294"/>
    <s v="C00000010"/>
    <x v="9"/>
    <s v="RH Bosny Wax (15Kg)"/>
    <n v="1"/>
    <n v="120"/>
    <x v="2"/>
    <d v="2022-10-27T00:00:00"/>
    <n v="10"/>
    <n v="2022"/>
    <n v="395"/>
    <n v="-395"/>
    <n v="0"/>
    <n v="1604835.2500000005"/>
    <s v="Trsf"/>
    <s v="Trsf 23/9/22 RM31,205.00"/>
    <m/>
  </r>
  <r>
    <d v="2022-06-29T00:00:00"/>
    <n v="6"/>
    <x v="3"/>
    <s v="INV00000294"/>
    <s v="C00000010"/>
    <x v="9"/>
    <s v="RM Fume silica HJSIL 200(10Kg)"/>
    <n v="1"/>
    <n v="120"/>
    <x v="2"/>
    <d v="2022-10-27T00:00:00"/>
    <n v="10"/>
    <n v="2022"/>
    <n v="440"/>
    <n v="-440"/>
    <n v="0"/>
    <n v="1605275.2500000005"/>
    <s v="Trsf"/>
    <s v="Trsf 23/9/22 RM31,205.00"/>
    <m/>
  </r>
  <r>
    <d v="2022-07-01T00:00:00"/>
    <n v="7"/>
    <x v="3"/>
    <s v="INV00000295"/>
    <s v="C00000009"/>
    <x v="8"/>
    <s v="RM CSM 450 64m(L) X 1860mm(W) (54kg)"/>
    <n v="3"/>
    <n v="60"/>
    <x v="3"/>
    <d v="2022-08-30T00:00:00"/>
    <n v="8"/>
    <n v="2022"/>
    <n v="1539"/>
    <n v="-1539"/>
    <n v="0"/>
    <n v="1606814.2500000005"/>
    <s v="Chq"/>
    <s v="Chq HL 016715 dd 16/11/22"/>
    <m/>
  </r>
  <r>
    <d v="2022-07-12T00:00:00"/>
    <n v="7"/>
    <x v="3"/>
    <s v="INV00000296"/>
    <s v="C00000019"/>
    <x v="18"/>
    <s v="RM Nor 3338W (220Kg)"/>
    <n v="2"/>
    <s v="Cash"/>
    <x v="0"/>
    <d v="2022-07-12T00:00:00"/>
    <n v="7"/>
    <n v="2022"/>
    <n v="4136"/>
    <n v="-4136"/>
    <n v="0"/>
    <n v="1610950.2500000005"/>
    <s v="Trsf"/>
    <s v="Trsf 15/7/22, RM5,183.60"/>
    <m/>
  </r>
  <r>
    <d v="2022-07-12T00:00:00"/>
    <n v="7"/>
    <x v="3"/>
    <s v="INV00000296"/>
    <s v="C00000019"/>
    <x v="18"/>
    <s v="RM CSM 450 64m(L) X 1860mm(W) (54kg)"/>
    <n v="2"/>
    <s v="Cash"/>
    <x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n v="7"/>
    <x v="3"/>
    <s v="INV00000297"/>
    <s v="C00000020"/>
    <x v="19"/>
    <s v="RM Resin 3317AW (220Kg)"/>
    <n v="4"/>
    <s v="Cash"/>
    <x v="0"/>
    <d v="2022-07-14T00:00:00"/>
    <n v="7"/>
    <n v="2022"/>
    <n v="8272"/>
    <n v="-8272"/>
    <n v="0"/>
    <n v="1620269.8500000006"/>
    <s v="Trsf"/>
    <s v="Trsf 28/12/22 RM30,000.00"/>
    <m/>
  </r>
  <r>
    <d v="2022-07-14T00:00:00"/>
    <n v="7"/>
    <x v="3"/>
    <s v="INV00000297"/>
    <s v="C00000020"/>
    <x v="19"/>
    <s v="RM CSM 450 64m(L) 1040mm(W) (30Kg)"/>
    <n v="9"/>
    <s v="Cash"/>
    <x v="0"/>
    <d v="2022-07-14T00:00:00"/>
    <n v="7"/>
    <n v="2022"/>
    <n v="2646"/>
    <n v="-2646"/>
    <n v="0"/>
    <n v="1622915.8500000006"/>
    <s v="Trsf"/>
    <s v="Trsf 28/12/22 RM30,000.00"/>
    <m/>
  </r>
  <r>
    <d v="2022-07-14T00:00:00"/>
    <n v="7"/>
    <x v="3"/>
    <s v="INV00000297"/>
    <s v="C00000020"/>
    <x v="19"/>
    <s v="RA  Woven Roing 600 1120mm (45kg)"/>
    <n v="5"/>
    <s v="Cash"/>
    <x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n v="7"/>
    <x v="3"/>
    <s v="INV00000297"/>
    <s v="C00000020"/>
    <x v="19"/>
    <s v="RM Talcum Powder (25kg)"/>
    <n v="4"/>
    <s v="Cash"/>
    <x v="0"/>
    <d v="2022-07-14T00:00:00"/>
    <n v="7"/>
    <n v="2022"/>
    <n v="250"/>
    <n v="-250"/>
    <n v="0"/>
    <n v="1624853.3500000006"/>
    <s v="Trsf"/>
    <s v="Trsf 28/12/22 RM30,000.00"/>
    <m/>
  </r>
  <r>
    <d v="2022-07-14T00:00:00"/>
    <n v="7"/>
    <x v="3"/>
    <s v="INV00000298"/>
    <s v="C00000027"/>
    <x v="28"/>
    <s v="RM Resin 3317AW (220Kg)"/>
    <n v="2"/>
    <s v="Cash"/>
    <x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n v="7"/>
    <x v="3"/>
    <s v="INV00000298"/>
    <s v="C00000027"/>
    <x v="28"/>
    <s v="RM CSM 450 64m(L) X 1860mm(W) (54kg)"/>
    <n v="2"/>
    <s v="Cash"/>
    <x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n v="7"/>
    <x v="3"/>
    <s v="INV00000298"/>
    <s v="C00000027"/>
    <x v="28"/>
    <s v="RA  Woven Roing 600 1120mm (45kg)"/>
    <n v="3"/>
    <s v="Cash"/>
    <x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n v="7"/>
    <x v="3"/>
    <s v="INV00000298"/>
    <s v="C00000027"/>
    <x v="28"/>
    <s v="RA/RM Pigment Super White (5Kg)"/>
    <n v="2"/>
    <s v="Cash"/>
    <x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n v="7"/>
    <x v="3"/>
    <s v="INV00000298"/>
    <s v="C00000027"/>
    <x v="28"/>
    <s v="RJ Mepoxe (5kg)"/>
    <n v="1"/>
    <s v="Cash"/>
    <x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n v="7"/>
    <x v="3"/>
    <s v="INV00000298"/>
    <s v="C00000027"/>
    <x v="28"/>
    <s v="RM TR104 Hi Temp Wax (12Can)"/>
    <n v="1"/>
    <s v="Cash"/>
    <x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n v="7"/>
    <x v="3"/>
    <s v="INV00000298"/>
    <s v="C00000027"/>
    <x v="28"/>
    <s v="RM PVA (5Kg)"/>
    <n v="1"/>
    <s v="Cash"/>
    <x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n v="7"/>
    <x v="3"/>
    <s v="INV00000298"/>
    <s v="C00000027"/>
    <x v="28"/>
    <s v="RM Gelcoat GPH (20kg)"/>
    <n v="6"/>
    <s v="Cash"/>
    <x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n v="7"/>
    <x v="3"/>
    <s v="INV00000299"/>
    <s v="C00000020"/>
    <x v="19"/>
    <s v="RM Resin 3317AW (220Kg)"/>
    <n v="2"/>
    <s v="Cash"/>
    <x v="0"/>
    <d v="2022-07-18T00:00:00"/>
    <n v="7"/>
    <n v="2022"/>
    <n v="4136"/>
    <n v="-4136"/>
    <n v="0"/>
    <n v="1637557.5500000005"/>
    <s v="Trsf"/>
    <s v="Trsf 28/12/22 RM30,000.00"/>
    <m/>
  </r>
  <r>
    <d v="2022-07-18T00:00:00"/>
    <n v="7"/>
    <x v="3"/>
    <s v="INV00000299"/>
    <s v="C00000020"/>
    <x v="19"/>
    <s v="RM CSM 450 64m(L) 1040mm(W) (30Kg)"/>
    <n v="8"/>
    <s v="Cash"/>
    <x v="0"/>
    <d v="2022-07-18T00:00:00"/>
    <n v="7"/>
    <n v="2022"/>
    <n v="2352"/>
    <n v="-2352"/>
    <n v="0"/>
    <n v="1639909.5500000005"/>
    <s v="Trsf"/>
    <s v="Trsf 28/12/22 RM30,000.00"/>
    <m/>
  </r>
  <r>
    <d v="2022-07-18T00:00:00"/>
    <n v="7"/>
    <x v="3"/>
    <s v="INV00000299"/>
    <s v="C00000020"/>
    <x v="19"/>
    <s v="RJ Woven Roving E-600gm 1000mm (40Kg)"/>
    <n v="4"/>
    <s v="Cash"/>
    <x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n v="7"/>
    <x v="3"/>
    <s v="INV00000299"/>
    <s v="C00000020"/>
    <x v="19"/>
    <s v="RM Talcum Powder (25kg)"/>
    <n v="2"/>
    <s v="Cash"/>
    <x v="0"/>
    <d v="2022-07-18T00:00:00"/>
    <n v="7"/>
    <n v="2022"/>
    <n v="125"/>
    <n v="-125"/>
    <n v="0"/>
    <n v="1641234.5500000005"/>
    <s v="Trsf"/>
    <s v="Trsf 29/12/22 RM5,000.00"/>
    <m/>
  </r>
  <r>
    <d v="2022-07-18T00:00:00"/>
    <n v="7"/>
    <x v="3"/>
    <s v="INV00000299"/>
    <s v="C00000020"/>
    <x v="19"/>
    <s v="RM Pigment Smooth Cream (25kg)"/>
    <n v="1"/>
    <s v="Cash"/>
    <x v="0"/>
    <d v="2022-07-18T00:00:00"/>
    <n v="7"/>
    <n v="2022"/>
    <n v="1000"/>
    <n v="-1000"/>
    <n v="0"/>
    <n v="1642234.5500000005"/>
    <s v="Trsf"/>
    <s v="Trsf 29/12/22 RM5,000.00"/>
    <m/>
  </r>
  <r>
    <d v="2022-07-18T00:00:00"/>
    <n v="7"/>
    <x v="3"/>
    <s v="INV00000299"/>
    <s v="C00000020"/>
    <x v="19"/>
    <s v="RJ Mepoxe (5kg)"/>
    <n v="4"/>
    <s v="Cash"/>
    <x v="0"/>
    <d v="2022-07-18T00:00:00"/>
    <n v="7"/>
    <n v="2022"/>
    <n v="340"/>
    <n v="-340"/>
    <n v="0"/>
    <n v="1642574.5500000005"/>
    <s v="Trsf"/>
    <s v="Trsf 29/12/22 RM5,000.00"/>
    <m/>
  </r>
  <r>
    <d v="2022-07-20T00:00:00"/>
    <n v="7"/>
    <x v="3"/>
    <s v="INV00000300"/>
    <s v="C00000020"/>
    <x v="19"/>
    <s v="RM CSM 450 64m(L) 1040mm(W) (30Kg)"/>
    <n v="2"/>
    <s v="Cash"/>
    <x v="0"/>
    <d v="2022-07-20T00:00:00"/>
    <n v="7"/>
    <n v="2022"/>
    <n v="588"/>
    <n v="-588"/>
    <n v="0"/>
    <n v="1643162.5500000005"/>
    <s v="Trsf"/>
    <s v="Trsf 29/12/22 RM5,000.00"/>
    <m/>
  </r>
  <r>
    <d v="2022-07-20T00:00:00"/>
    <n v="7"/>
    <x v="3"/>
    <s v="INV00000300"/>
    <s v="C00000020"/>
    <x v="19"/>
    <s v="RA  Woven Roing 600 1120mm (45kg)"/>
    <n v="1"/>
    <s v="Cash"/>
    <x v="0"/>
    <d v="2022-07-20T00:00:00"/>
    <n v="7"/>
    <n v="2022"/>
    <n v="337.5"/>
    <n v="-337.5"/>
    <n v="0"/>
    <n v="1643500.0500000005"/>
    <s v="Trsf"/>
    <s v="Trsf 29/12/22 RM5,000.00"/>
    <m/>
  </r>
  <r>
    <d v="2022-07-23T00:00:00"/>
    <n v="7"/>
    <x v="3"/>
    <s v="INV00000301"/>
    <s v="C00000020"/>
    <x v="19"/>
    <s v="RM Nor 3338W (220Kg)"/>
    <n v="2"/>
    <s v="Cash"/>
    <x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n v="7"/>
    <x v="3"/>
    <s v="INV00000301"/>
    <s v="C00000020"/>
    <x v="19"/>
    <s v="RM CSM 450 64m(L) 1040mm(W) (30Kg)"/>
    <n v="6"/>
    <s v="Cash"/>
    <x v="0"/>
    <d v="2022-07-23T00:00:00"/>
    <n v="7"/>
    <n v="2022"/>
    <n v="1764"/>
    <n v="-1764"/>
    <n v="0"/>
    <n v="1649400.0500000005"/>
    <s v="Trsf"/>
    <s v="Trsf 4/1/23 RM30,000.00"/>
    <m/>
  </r>
  <r>
    <d v="2022-07-23T00:00:00"/>
    <n v="7"/>
    <x v="3"/>
    <s v="INV00000301"/>
    <s v="C00000020"/>
    <x v="19"/>
    <s v="RJ Woven Roving E-600gm 1000mm (40Kg)"/>
    <n v="2"/>
    <s v="Cash"/>
    <x v="0"/>
    <d v="2022-07-23T00:00:00"/>
    <n v="7"/>
    <n v="2022"/>
    <n v="600"/>
    <n v="-600"/>
    <n v="0"/>
    <n v="1650000.0500000005"/>
    <s v="Trsf"/>
    <s v="Trsf 4/1/23 RM30,000.00"/>
    <m/>
  </r>
  <r>
    <d v="2022-07-23T00:00:00"/>
    <n v="7"/>
    <x v="3"/>
    <s v="INV00000301"/>
    <s v="C00000020"/>
    <x v="19"/>
    <s v="RM Talcum Powder (25kg)"/>
    <n v="2"/>
    <s v="Cash"/>
    <x v="0"/>
    <d v="2022-07-23T00:00:00"/>
    <n v="7"/>
    <n v="2022"/>
    <n v="125"/>
    <n v="-125"/>
    <n v="0"/>
    <n v="1650125.0500000005"/>
    <s v="Trsf"/>
    <s v="Trsf 4/1/23 RM30,000.00"/>
    <m/>
  </r>
  <r>
    <d v="2022-07-23T00:00:00"/>
    <n v="7"/>
    <x v="3"/>
    <s v="INV00000302"/>
    <s v="C00000001"/>
    <x v="0"/>
    <s v="RM Resin 3317AW (220Kg)"/>
    <n v="2"/>
    <s v="Cash"/>
    <x v="0"/>
    <d v="2022-07-23T00:00:00"/>
    <n v="7"/>
    <n v="2022"/>
    <n v="4092"/>
    <n v="-4092"/>
    <n v="0"/>
    <n v="1654217.0500000005"/>
    <s v="Trsf"/>
    <s v="Trsf 29/7/22 RM4,092.00"/>
    <m/>
  </r>
  <r>
    <d v="2022-07-26T00:00:00"/>
    <n v="7"/>
    <x v="3"/>
    <s v="INV00000303"/>
    <s v="C00000010"/>
    <x v="9"/>
    <s v="RM Resin 3338AW (220kg)"/>
    <n v="5"/>
    <n v="120"/>
    <x v="2"/>
    <d v="2022-11-23T00:00:00"/>
    <n v="11"/>
    <n v="2022"/>
    <n v="9900"/>
    <n v="-9900"/>
    <n v="0"/>
    <n v="1664117.0500000005"/>
    <s v="Trsf"/>
    <s v="Trsf 18/10/22 RM13,445.00"/>
    <m/>
  </r>
  <r>
    <d v="2022-07-26T00:00:00"/>
    <n v="7"/>
    <x v="3"/>
    <s v="INV00000303"/>
    <s v="C00000010"/>
    <x v="9"/>
    <s v="RM CSM 450 64m(L) 1040mm(W) (30Kg)"/>
    <n v="10"/>
    <n v="120"/>
    <x v="2"/>
    <d v="2022-11-23T00:00:00"/>
    <n v="11"/>
    <n v="2022"/>
    <n v="2850"/>
    <n v="-2850"/>
    <n v="0"/>
    <n v="1666967.0500000005"/>
    <s v="Trsf"/>
    <s v="Trsf 18/10/22 RM13,445.00"/>
    <m/>
  </r>
  <r>
    <d v="2022-07-26T00:00:00"/>
    <n v="7"/>
    <x v="3"/>
    <s v="INV00000303"/>
    <s v="C00000010"/>
    <x v="9"/>
    <s v="RM Talcum Powder (25kg)"/>
    <n v="5"/>
    <n v="120"/>
    <x v="2"/>
    <d v="2022-11-23T00:00:00"/>
    <n v="11"/>
    <n v="2022"/>
    <n v="275"/>
    <n v="-275"/>
    <n v="0"/>
    <n v="1667242.0500000005"/>
    <s v="Trsf"/>
    <s v="Trsf 18/10/22 RM13,445.00"/>
    <m/>
  </r>
  <r>
    <d v="2022-07-26T00:00:00"/>
    <n v="7"/>
    <x v="3"/>
    <s v="INV00000303"/>
    <s v="C00000010"/>
    <x v="9"/>
    <s v="RA Butanox M50 (5kg)"/>
    <n v="4"/>
    <n v="120"/>
    <x v="2"/>
    <d v="2022-11-23T00:00:00"/>
    <n v="11"/>
    <n v="2022"/>
    <n v="420"/>
    <n v="-420"/>
    <n v="0"/>
    <n v="1667662.0500000005"/>
    <s v="Trsf"/>
    <s v="Trsf 18/10/22 RM13,445.00"/>
    <m/>
  </r>
  <r>
    <d v="2022-07-29T00:00:00"/>
    <n v="7"/>
    <x v="3"/>
    <s v="INV00000304"/>
    <s v="C00000021"/>
    <x v="21"/>
    <s v="RM Resin 3317AW (220Kg)"/>
    <n v="1"/>
    <s v="Cash"/>
    <x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n v="7"/>
    <x v="3"/>
    <s v="INV00000304"/>
    <s v="C00000021"/>
    <x v="21"/>
    <s v="RJ Mepoxe (5kg)"/>
    <n v="1"/>
    <s v="Cash"/>
    <x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n v="7"/>
    <x v="3"/>
    <s v="INV00000305"/>
    <s v="C00000009"/>
    <x v="8"/>
    <s v="RM Nor 3338W (220Kg)"/>
    <n v="2"/>
    <n v="60"/>
    <x v="3"/>
    <d v="2022-09-27T00:00:00"/>
    <n v="9"/>
    <n v="2022"/>
    <n v="3960"/>
    <n v="-3960"/>
    <n v="0"/>
    <n v="1673802.0500000005"/>
    <s v="Chq"/>
    <s v="Chq HL 016715 dd 16/11/22"/>
    <m/>
  </r>
  <r>
    <d v="2022-07-29T00:00:00"/>
    <n v="7"/>
    <x v="3"/>
    <s v="INV00000305"/>
    <s v="C00000009"/>
    <x v="8"/>
    <s v="RM CSM 450 Jushi 64m(L) X 1860mm(W) (67Kg)"/>
    <n v="1"/>
    <n v="60"/>
    <x v="3"/>
    <d v="2022-09-27T00:00:00"/>
    <n v="9"/>
    <n v="2022"/>
    <n v="636.5"/>
    <n v="-636.5"/>
    <n v="0"/>
    <n v="1674438.5500000005"/>
    <s v="Chq"/>
    <s v="Chq HL 016715 dd 16/11/22"/>
    <m/>
  </r>
  <r>
    <d v="2022-08-04T00:00:00"/>
    <n v="8"/>
    <x v="3"/>
    <s v="INV00000306"/>
    <s v="C00000027"/>
    <x v="28"/>
    <s v="RM Resin 3317AW (220Kg)"/>
    <n v="3"/>
    <s v="Cash"/>
    <x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n v="8"/>
    <x v="3"/>
    <s v="INV00000306"/>
    <s v="C00000027"/>
    <x v="28"/>
    <s v="RM CSM 450 Jushi 64m(L) X 1860mm(W) (67kg)"/>
    <n v="2"/>
    <s v="Cash"/>
    <x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n v="8"/>
    <x v="3"/>
    <s v="INV00000306"/>
    <s v="C00000027"/>
    <x v="28"/>
    <s v="RA CSM 300 96m(L) X 1860mm(W) (54Kg)"/>
    <n v="2"/>
    <s v="Cash"/>
    <x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n v="8"/>
    <x v="3"/>
    <s v="INV00000306"/>
    <s v="C00000027"/>
    <x v="28"/>
    <s v="RJ Woven Roving E-600gm 1000mm (40Kg)"/>
    <n v="2"/>
    <s v="Cash"/>
    <x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n v="8"/>
    <x v="3"/>
    <s v="INV00000306"/>
    <s v="C00000027"/>
    <x v="28"/>
    <s v="RM Pigment Super White (5Kg)"/>
    <n v="4"/>
    <s v="Cash"/>
    <x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n v="8"/>
    <x v="3"/>
    <s v="INV00000306"/>
    <s v="C00000027"/>
    <x v="28"/>
    <s v="RJ Mepoxe (5kg)"/>
    <n v="1"/>
    <s v="Cash"/>
    <x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n v="8"/>
    <x v="3"/>
    <s v="INV00000306"/>
    <s v="C00000027"/>
    <x v="28"/>
    <s v="RM Acetone (163Kg)"/>
    <n v="1"/>
    <s v="Cash"/>
    <x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n v="8"/>
    <x v="3"/>
    <s v="INV00000306"/>
    <s v="C00000027"/>
    <x v="28"/>
    <s v="RM Fume silica HJSIL 200(10Kg)"/>
    <n v="1"/>
    <s v="Cash"/>
    <x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n v="8"/>
    <x v="3"/>
    <s v="INV00000306"/>
    <s v="C00000027"/>
    <x v="28"/>
    <s v="RM Gelcoat GPH (20kg)"/>
    <n v="6"/>
    <s v="Cash"/>
    <x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n v="8"/>
    <x v="3"/>
    <s v="INV00000307"/>
    <s v="C00000020"/>
    <x v="19"/>
    <s v="RM Resin 3317AW (220Kg)"/>
    <n v="1"/>
    <s v="Cash"/>
    <x v="0"/>
    <d v="2022-08-06T00:00:00"/>
    <n v="8"/>
    <n v="2022"/>
    <n v="2068"/>
    <n v="-2068"/>
    <n v="0"/>
    <n v="1689149.7500000005"/>
    <s v="Trsf"/>
    <s v="Trsf 4/1/23 RM30,000.00"/>
    <m/>
  </r>
  <r>
    <d v="2022-08-06T00:00:00"/>
    <n v="8"/>
    <x v="3"/>
    <s v="INV00000307"/>
    <s v="C00000020"/>
    <x v="19"/>
    <s v="RA CSM 450 GSM JUSHI 79m(L) X 1040mm(W) (37kg)"/>
    <n v="6"/>
    <s v="Cash"/>
    <x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n v="8"/>
    <x v="3"/>
    <s v="INV00000307"/>
    <s v="C00000020"/>
    <x v="19"/>
    <s v="RJ Woven Roving E-600gm 1000mm (40Kg)"/>
    <n v="3"/>
    <s v="Cash"/>
    <x v="0"/>
    <d v="2022-08-06T00:00:00"/>
    <n v="8"/>
    <n v="2022"/>
    <n v="900"/>
    <n v="-900"/>
    <n v="0"/>
    <n v="1692225.3500000006"/>
    <s v="Trsf"/>
    <s v="Trsf 4/1/23 RM30,000.00"/>
    <m/>
  </r>
  <r>
    <d v="2022-08-06T00:00:00"/>
    <n v="8"/>
    <x v="3"/>
    <s v="INV00000307"/>
    <s v="C00000020"/>
    <x v="19"/>
    <s v="RM Talcum Powder (25kg)"/>
    <n v="2"/>
    <s v="Cash"/>
    <x v="0"/>
    <d v="2022-08-06T00:00:00"/>
    <n v="8"/>
    <n v="2022"/>
    <n v="125"/>
    <n v="-125"/>
    <n v="0"/>
    <n v="1692350.3500000006"/>
    <s v="Trsf"/>
    <s v="Trsf 4/1/23 RM30,000.00"/>
    <m/>
  </r>
  <r>
    <d v="2022-08-06T00:00:00"/>
    <n v="8"/>
    <x v="3"/>
    <s v="INV00000308"/>
    <s v="C00000001"/>
    <x v="0"/>
    <s v="RM Woven Roving E-800 1000mm (40Kg)"/>
    <n v="3"/>
    <s v="Cash"/>
    <x v="0"/>
    <d v="2022-08-06T00:00:00"/>
    <n v="8"/>
    <n v="2022"/>
    <n v="864"/>
    <n v="-864"/>
    <n v="0"/>
    <n v="1693214.3500000006"/>
    <s v="Trsf"/>
    <s v="Trsf 13/8/22 RM864.00"/>
    <m/>
  </r>
  <r>
    <d v="2022-08-09T00:00:00"/>
    <n v="8"/>
    <x v="3"/>
    <s v="INV00000309"/>
    <s v="C00000026"/>
    <x v="27"/>
    <s v="RM Resin 3317AW (220Kg)"/>
    <n v="1"/>
    <s v="Cash"/>
    <x v="0"/>
    <d v="2022-08-09T00:00:00"/>
    <n v="8"/>
    <n v="2022"/>
    <n v="2068"/>
    <n v="-2068"/>
    <n v="0"/>
    <n v="1695282.3500000006"/>
    <s v="Trsf"/>
    <s v="Trsf 9/8/22 RM2,068.00"/>
    <m/>
  </r>
  <r>
    <d v="2022-08-12T00:00:00"/>
    <n v="8"/>
    <x v="3"/>
    <s v="INV00000310"/>
    <s v="C00000020"/>
    <x v="19"/>
    <s v="RM Nor 3338W (220Kg)"/>
    <n v="1"/>
    <s v="Cash"/>
    <x v="0"/>
    <d v="2022-08-12T00:00:00"/>
    <n v="8"/>
    <n v="2022"/>
    <n v="2068"/>
    <n v="-2068"/>
    <n v="0"/>
    <n v="1697350.3500000006"/>
    <s v="Trsf"/>
    <s v="Trsf 4/1/23 RM30,000.00"/>
    <m/>
  </r>
  <r>
    <d v="2022-08-12T00:00:00"/>
    <n v="8"/>
    <x v="3"/>
    <s v="INV00000310"/>
    <s v="C00000020"/>
    <x v="19"/>
    <s v="RM CSM 450 64m(L) 1040mm(W) (30Kg)"/>
    <n v="3"/>
    <s v="Cash"/>
    <x v="0"/>
    <d v="2022-08-12T00:00:00"/>
    <n v="8"/>
    <n v="2022"/>
    <n v="882"/>
    <n v="-882"/>
    <n v="0"/>
    <n v="1698232.3500000006"/>
    <s v="Trsf"/>
    <s v="Trsf 4/1/23 RM30,000.00"/>
    <m/>
  </r>
  <r>
    <d v="2022-08-12T00:00:00"/>
    <n v="8"/>
    <x v="3"/>
    <s v="INV00000310"/>
    <s v="C00000020"/>
    <x v="19"/>
    <s v="RJ Woven Roving E-600gm 1000mm (40Kg)"/>
    <n v="1"/>
    <s v="Cash"/>
    <x v="0"/>
    <d v="2022-08-12T00:00:00"/>
    <n v="8"/>
    <n v="2022"/>
    <n v="300"/>
    <n v="-300"/>
    <n v="0"/>
    <n v="1698532.3500000006"/>
    <s v="Trsf"/>
    <s v="Trsf 4/1/23 RM30,000.00"/>
    <m/>
  </r>
  <r>
    <d v="2022-08-12T00:00:00"/>
    <n v="8"/>
    <x v="3"/>
    <s v="INV00000310"/>
    <s v="C00000020"/>
    <x v="19"/>
    <s v="RM Talcum Powder (25kg)"/>
    <n v="1"/>
    <s v="Cash"/>
    <x v="0"/>
    <d v="2022-08-12T00:00:00"/>
    <n v="8"/>
    <n v="2022"/>
    <n v="62.5"/>
    <n v="-62.5"/>
    <n v="0"/>
    <n v="1698594.8500000006"/>
    <s v="Trsf"/>
    <s v="Trsf 4/1/23 RM30,000.00"/>
    <m/>
  </r>
  <r>
    <d v="2022-08-12T00:00:00"/>
    <n v="8"/>
    <x v="3"/>
    <s v="INV00000310"/>
    <s v="C00000020"/>
    <x v="19"/>
    <s v="RM Pigment Smooth Cream (25kg)"/>
    <n v="1"/>
    <s v="Cash"/>
    <x v="0"/>
    <d v="2022-08-12T00:00:00"/>
    <n v="8"/>
    <n v="2022"/>
    <n v="1000"/>
    <n v="-1000"/>
    <n v="0"/>
    <n v="1699594.8500000006"/>
    <s v="Trsf"/>
    <s v="Trsf 4/1/23 RM30,000.00"/>
    <m/>
  </r>
  <r>
    <d v="2022-08-15T00:00:00"/>
    <n v="8"/>
    <x v="3"/>
    <s v="INV00000311"/>
    <e v="#N/A"/>
    <x v="29"/>
    <s v="-"/>
    <n v="0"/>
    <e v="#N/A"/>
    <x v="4"/>
    <e v="#N/A"/>
    <e v="#N/A"/>
    <e v="#N/A"/>
    <n v="0"/>
    <m/>
    <n v="0"/>
    <n v="1699594.8500000006"/>
    <e v="#N/A"/>
    <m/>
    <m/>
  </r>
  <r>
    <d v="2022-08-15T00:00:00"/>
    <n v="8"/>
    <x v="3"/>
    <s v="INV00000312"/>
    <s v="C00000004"/>
    <x v="3"/>
    <s v="RM Resin Nor 3338W (220Kg)"/>
    <n v="5"/>
    <n v="120"/>
    <x v="2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n v="8"/>
    <x v="3"/>
    <s v="INV00000312"/>
    <s v="C00000004"/>
    <x v="3"/>
    <s v="RM Resin 268BQTN (225Kg)"/>
    <n v="1"/>
    <n v="120"/>
    <x v="2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n v="8"/>
    <x v="3"/>
    <s v="INV00000312"/>
    <s v="C00000004"/>
    <x v="3"/>
    <s v="RM CSM 450 Jushi 64m(L) X 1860mm(W) (67kg)"/>
    <n v="4"/>
    <n v="120"/>
    <x v="2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n v="8"/>
    <x v="3"/>
    <s v="INV00000312"/>
    <s v="C00000004"/>
    <x v="3"/>
    <s v="RA CSM 300 TWL 54Kg 96m(L) X 1860mm(W)"/>
    <n v="4"/>
    <n v="120"/>
    <x v="2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n v="8"/>
    <x v="3"/>
    <s v="INV00000312"/>
    <s v="C00000004"/>
    <x v="3"/>
    <s v="RJ Mepoxe (5kg)"/>
    <n v="4"/>
    <n v="120"/>
    <x v="2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n v="8"/>
    <x v="3"/>
    <s v="INV00000312"/>
    <s v="C00000004"/>
    <x v="3"/>
    <s v="RM Cobalt 10% (5Kg)"/>
    <n v="1"/>
    <n v="120"/>
    <x v="2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n v="8"/>
    <x v="3"/>
    <s v="INV00000313"/>
    <s v="C00000003"/>
    <x v="2"/>
    <s v="RA Resin 3317AW (220Kg)"/>
    <n v="3"/>
    <n v="45"/>
    <x v="1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n v="8"/>
    <x v="3"/>
    <s v="INV00000313"/>
    <s v="C00000003"/>
    <x v="2"/>
    <s v="RA Talcum Powder (25kg)"/>
    <n v="3"/>
    <n v="45"/>
    <x v="1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n v="8"/>
    <x v="3"/>
    <s v="INV00000313"/>
    <s v="C00000003"/>
    <x v="2"/>
    <s v="RA Butanox M50 (5Kg)"/>
    <n v="6"/>
    <n v="45"/>
    <x v="1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n v="8"/>
    <x v="3"/>
    <s v="INV00000313"/>
    <s v="C00000003"/>
    <x v="2"/>
    <s v="RA Miracle Gloss Wax"/>
    <n v="1"/>
    <n v="45"/>
    <x v="1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n v="8"/>
    <x v="3"/>
    <s v="INV00000313"/>
    <s v="C00000003"/>
    <x v="2"/>
    <s v="RA CSM 300 TWL 54Kg 96m(L) X 1860mm(W)"/>
    <n v="1"/>
    <n v="45"/>
    <x v="1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n v="8"/>
    <x v="3"/>
    <s v="INV00000314"/>
    <s v="C00000021"/>
    <x v="21"/>
    <s v="RM Resin 3317AW (220Kg)"/>
    <n v="1"/>
    <s v="Cash"/>
    <x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n v="8"/>
    <x v="3"/>
    <s v="INV00000314"/>
    <s v="C00000021"/>
    <x v="21"/>
    <s v="RA CSM 450 Jushi 64m(L) x 1040mm(W) (37Kg)"/>
    <n v="3"/>
    <s v="Cash"/>
    <x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n v="8"/>
    <x v="3"/>
    <s v="INV00000314"/>
    <s v="C00000021"/>
    <x v="21"/>
    <s v="RJ Mepoxe (5kg)"/>
    <n v="1"/>
    <s v="Cash"/>
    <x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n v="8"/>
    <x v="3"/>
    <s v="INV00000314"/>
    <s v="C00000021"/>
    <x v="21"/>
    <s v="RA Talcum Powder (25kg)"/>
    <n v="5"/>
    <s v="Cash"/>
    <x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n v="8"/>
    <x v="3"/>
    <s v="INV00000315"/>
    <s v="C00000027"/>
    <x v="28"/>
    <s v="RM Resin 3317AW (220Kg)"/>
    <n v="2"/>
    <s v="Cash"/>
    <x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n v="8"/>
    <x v="3"/>
    <s v="INV00000315"/>
    <s v="C00000027"/>
    <x v="28"/>
    <s v="RM Pigment Super White (5Kg)"/>
    <n v="4"/>
    <s v="Cash"/>
    <x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n v="8"/>
    <x v="3"/>
    <s v="INV00000315"/>
    <s v="C00000027"/>
    <x v="28"/>
    <s v="RJ Mepoxe (5kg)"/>
    <n v="2"/>
    <s v="Cash"/>
    <x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n v="8"/>
    <x v="3"/>
    <s v="INV00000315"/>
    <s v="C00000027"/>
    <x v="28"/>
    <s v="RM Gelcoat GPH (20kg)"/>
    <n v="4"/>
    <s v="Cash"/>
    <x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n v="8"/>
    <x v="3"/>
    <s v="INV00000316"/>
    <s v="C00000020"/>
    <x v="19"/>
    <s v="RM Nor 3338W (220Kg)"/>
    <n v="2"/>
    <s v="Cash"/>
    <x v="0"/>
    <d v="2022-08-23T00:00:00"/>
    <n v="8"/>
    <n v="2022"/>
    <n v="4092"/>
    <n v="-4092"/>
    <n v="0"/>
    <n v="1737043.5500000005"/>
    <s v="Trsf"/>
    <s v="Trsf 4/1/23 RM30,000.00"/>
    <m/>
  </r>
  <r>
    <d v="2022-08-23T00:00:00"/>
    <n v="8"/>
    <x v="3"/>
    <s v="INV00000316"/>
    <s v="C00000020"/>
    <x v="19"/>
    <s v="RA CSM 450 Jushi 64m(L) x 1040mm(W) (37Kg)"/>
    <n v="5"/>
    <s v="Cash"/>
    <x v="0"/>
    <d v="2022-08-23T00:00:00"/>
    <n v="8"/>
    <n v="2022"/>
    <n v="1757.5"/>
    <n v="-1757.5"/>
    <n v="0"/>
    <n v="1738801.0500000005"/>
    <s v="Trsf"/>
    <s v="Trsf 4/1/23 RM30,000.00"/>
    <m/>
  </r>
  <r>
    <d v="2022-08-23T00:00:00"/>
    <n v="8"/>
    <x v="3"/>
    <s v="INV00000316"/>
    <s v="C00000020"/>
    <x v="19"/>
    <s v="RJ Woven Roving E-600gm 1000mm (40Kg)"/>
    <n v="3"/>
    <s v="Cash"/>
    <x v="0"/>
    <d v="2022-08-23T00:00:00"/>
    <n v="8"/>
    <n v="2022"/>
    <n v="864"/>
    <n v="-864"/>
    <n v="0"/>
    <n v="1739665.0500000005"/>
    <s v="Trsf"/>
    <s v="Trsf 4/1/23 RM30,000.00"/>
    <m/>
  </r>
  <r>
    <d v="2022-08-23T00:00:00"/>
    <n v="8"/>
    <x v="3"/>
    <s v="INV00000316"/>
    <s v="C00000020"/>
    <x v="19"/>
    <s v="RM Talcum Powder (25kg)"/>
    <n v="2"/>
    <s v="Cash"/>
    <x v="0"/>
    <d v="2022-08-23T00:00:00"/>
    <n v="8"/>
    <n v="2022"/>
    <n v="125"/>
    <n v="-125"/>
    <n v="0"/>
    <n v="1739790.0500000005"/>
    <s v="Trsf"/>
    <s v="Trsf 4/1/23 RM30,000.00"/>
    <m/>
  </r>
  <r>
    <d v="2022-08-23T00:00:00"/>
    <n v="8"/>
    <x v="3"/>
    <s v="INV00000317"/>
    <s v="C00000009"/>
    <x v="8"/>
    <s v="RM Gelcoat GPH (20kg)"/>
    <n v="3"/>
    <n v="60"/>
    <x v="3"/>
    <d v="2022-10-22T00:00:00"/>
    <n v="10"/>
    <n v="2022"/>
    <n v="762"/>
    <n v="-762"/>
    <n v="0"/>
    <n v="1740552.0500000005"/>
    <s v="Chq"/>
    <s v="Chq HL 017917 dd 17/1/23"/>
    <m/>
  </r>
  <r>
    <d v="2022-08-25T00:00:00"/>
    <n v="8"/>
    <x v="3"/>
    <s v="INV00000318"/>
    <s v="C00000010"/>
    <x v="9"/>
    <s v="RM Resin 3338AW (220kg)"/>
    <n v="6"/>
    <n v="120"/>
    <x v="2"/>
    <d v="2022-12-23T00:00:00"/>
    <n v="12"/>
    <n v="2022"/>
    <n v="11616"/>
    <n v="-11616"/>
    <n v="0"/>
    <n v="1752168.0500000005"/>
    <s v="Trsf"/>
    <s v="Trsf 25/11/22 RM15,671.00"/>
    <m/>
  </r>
  <r>
    <d v="2022-08-25T00:00:00"/>
    <n v="8"/>
    <x v="3"/>
    <s v="INV00000318"/>
    <s v="C00000010"/>
    <x v="9"/>
    <s v="RA CSM 450 64m(L) 1040mm(W) (30Kg)"/>
    <n v="10"/>
    <n v="120"/>
    <x v="2"/>
    <d v="2022-12-23T00:00:00"/>
    <n v="12"/>
    <n v="2022"/>
    <n v="2670"/>
    <n v="-2670"/>
    <n v="0"/>
    <n v="1754838.0500000005"/>
    <s v="Trsf"/>
    <s v="Trsf 25/11/22 RM15,671.00"/>
    <m/>
  </r>
  <r>
    <d v="2022-08-25T00:00:00"/>
    <n v="8"/>
    <x v="3"/>
    <s v="INV00000318"/>
    <s v="C00000010"/>
    <x v="9"/>
    <s v="RM Talcum Powder (25kg)"/>
    <n v="10"/>
    <n v="120"/>
    <x v="2"/>
    <d v="2022-12-23T00:00:00"/>
    <n v="12"/>
    <n v="2022"/>
    <n v="550"/>
    <n v="-550"/>
    <n v="0"/>
    <n v="1755388.0500000005"/>
    <s v="Trsf"/>
    <s v="Trsf 25/11/22 RM15,671.00"/>
    <m/>
  </r>
  <r>
    <d v="2022-08-25T00:00:00"/>
    <n v="8"/>
    <x v="3"/>
    <s v="INV00000318"/>
    <s v="C00000010"/>
    <x v="9"/>
    <s v="RM Fume silica HJSIL 200(10Kg)"/>
    <n v="1"/>
    <n v="120"/>
    <x v="2"/>
    <d v="2022-12-23T00:00:00"/>
    <n v="12"/>
    <n v="2022"/>
    <n v="440"/>
    <n v="-440"/>
    <n v="0"/>
    <n v="1755828.0500000005"/>
    <s v="Trsf"/>
    <s v="Trsf 25/11/22 RM15,671.00"/>
    <m/>
  </r>
  <r>
    <d v="2022-08-25T00:00:00"/>
    <n v="8"/>
    <x v="3"/>
    <s v="INV00000318"/>
    <s v="C00000010"/>
    <x v="9"/>
    <s v="RH Bosny Wax (15Kg)"/>
    <n v="1"/>
    <n v="120"/>
    <x v="2"/>
    <d v="2022-12-23T00:00:00"/>
    <n v="12"/>
    <n v="2022"/>
    <n v="395"/>
    <n v="-395"/>
    <n v="0"/>
    <n v="1756223.0500000005"/>
    <s v="Trsf"/>
    <s v="Trsf 25/11/22 RM15,671.00"/>
    <m/>
  </r>
  <r>
    <d v="2022-08-25T00:00:00"/>
    <n v="8"/>
    <x v="3"/>
    <s v="INV00000319"/>
    <s v="C00000027"/>
    <x v="28"/>
    <s v="RM Resin 3317AW (220Kg)"/>
    <n v="3"/>
    <s v="Cash"/>
    <x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n v="8"/>
    <x v="3"/>
    <s v="INV00000320"/>
    <s v="C00000019"/>
    <x v="18"/>
    <s v="RM Nor 3338W (220Kg)"/>
    <n v="2"/>
    <s v="Cash"/>
    <x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n v="8"/>
    <x v="3"/>
    <s v="INV00000320"/>
    <s v="C00000019"/>
    <x v="18"/>
    <s v="RM CSM 450 Jushi 64m(L) X 1860mm(W) (67kg)"/>
    <n v="2"/>
    <s v="Cash"/>
    <x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n v="8"/>
    <x v="3"/>
    <s v="INV00000320"/>
    <s v="C00000019"/>
    <x v="18"/>
    <s v="RA Butanox M50 (5kg)"/>
    <n v="1"/>
    <s v="Cash"/>
    <x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n v="8"/>
    <x v="3"/>
    <s v="INV00000320"/>
    <s v="C00000019"/>
    <x v="18"/>
    <s v="RE Frekote 770NC (1 Gallon)"/>
    <n v="1"/>
    <s v="Cash"/>
    <x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n v="8"/>
    <x v="3"/>
    <s v="INV00000320"/>
    <s v="C00000019"/>
    <x v="18"/>
    <s v="RA Talcum Powder (25kg)"/>
    <n v="4"/>
    <s v="Cash"/>
    <x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n v="9"/>
    <x v="3"/>
    <s v="INV00000321"/>
    <s v="C00000020"/>
    <x v="19"/>
    <s v="RM Nor 3338W (220Kg)"/>
    <n v="3"/>
    <s v="Cash"/>
    <x v="0"/>
    <d v="2022-09-02T00:00:00"/>
    <n v="9"/>
    <n v="2022"/>
    <n v="5742"/>
    <n v="-5742"/>
    <n v="0"/>
    <n v="1774107.8500000006"/>
    <s v="Trsf"/>
    <s v="Trsf 4/1/23 RM30,000.00"/>
    <m/>
  </r>
  <r>
    <d v="2022-09-02T00:00:00"/>
    <n v="9"/>
    <x v="3"/>
    <s v="INV00000321"/>
    <s v="C00000020"/>
    <x v="19"/>
    <s v="RM CSM 450 Jushi 64m(L) X 1860mm(W) (67kg)"/>
    <n v="4"/>
    <s v="Cash"/>
    <x v="0"/>
    <d v="2022-09-02T00:00:00"/>
    <n v="9"/>
    <n v="2022"/>
    <n v="2358.4"/>
    <n v="-2358.4"/>
    <n v="0"/>
    <n v="1776466.2500000005"/>
    <s v="Trsf"/>
    <s v="Trsf 4/1/23 RM30,000.00"/>
    <m/>
  </r>
  <r>
    <d v="2022-09-02T00:00:00"/>
    <n v="9"/>
    <x v="3"/>
    <s v="INV00000321"/>
    <s v="C00000020"/>
    <x v="19"/>
    <s v="RJ Woven Roving E-600gm 1000mm (40Kg)"/>
    <n v="4"/>
    <s v="Cash"/>
    <x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n v="9"/>
    <x v="3"/>
    <s v="INV00000321"/>
    <s v="C00000020"/>
    <x v="19"/>
    <s v="RA Talcum Powder (25kg)"/>
    <n v="3"/>
    <s v="Cash"/>
    <x v="0"/>
    <d v="2022-09-02T00:00:00"/>
    <n v="9"/>
    <n v="2022"/>
    <n v="187.5"/>
    <n v="-187.5"/>
    <n v="0"/>
    <n v="1777709.7500000005"/>
    <s v="Trsf"/>
    <s v="Trsf 5/1/23 RM5,000.00"/>
    <m/>
  </r>
  <r>
    <s v="5/9/2022"/>
    <n v="9"/>
    <x v="3"/>
    <s v="INV00000322"/>
    <s v="C00000009"/>
    <x v="8"/>
    <s v="RM Nor 3338W (220Kg)"/>
    <n v="2"/>
    <n v="60"/>
    <x v="3"/>
    <d v="2022-11-04T00:00:00"/>
    <n v="11"/>
    <n v="2022"/>
    <n v="3784"/>
    <n v="-3784"/>
    <n v="0"/>
    <n v="1781493.7500000005"/>
    <s v="Chq"/>
    <s v="Chq HL 017917 dd 17/1/23"/>
    <m/>
  </r>
  <r>
    <d v="2022-09-06T00:00:00"/>
    <n v="9"/>
    <x v="3"/>
    <s v="INV00000323"/>
    <s v="C00000020"/>
    <x v="19"/>
    <s v="RM Resin 3317AW (220Kg)"/>
    <n v="3"/>
    <s v="Cash"/>
    <x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n v="9"/>
    <x v="3"/>
    <s v="INV00000323"/>
    <s v="C00000020"/>
    <x v="19"/>
    <s v="RM CSM 450 Jushi 64m(L) X 1860mm(W) (67kg)"/>
    <n v="6"/>
    <s v="Cash"/>
    <x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n v="9"/>
    <x v="3"/>
    <s v="INV00000323"/>
    <s v="C00000020"/>
    <x v="19"/>
    <s v="RJ Woven Roving E-600gm 1000mm (40Kg)"/>
    <n v="6"/>
    <s v="Cash"/>
    <x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n v="9"/>
    <x v="3"/>
    <s v="INV00000323"/>
    <s v="C00000020"/>
    <x v="19"/>
    <s v="RA Talcum Powder (25kg)"/>
    <n v="4"/>
    <s v="Cash"/>
    <x v="0"/>
    <d v="2022-09-06T00:00:00"/>
    <n v="9"/>
    <n v="2022"/>
    <n v="250"/>
    <n v="-250"/>
    <n v="0"/>
    <n v="1792607.3500000006"/>
    <s v="Trsf"/>
    <s v="Trsf 6/1/23 RM10,000.00"/>
    <m/>
  </r>
  <r>
    <d v="2022-09-06T00:00:00"/>
    <n v="9"/>
    <x v="3"/>
    <s v="INV00000323"/>
    <s v="C00000020"/>
    <x v="19"/>
    <s v="RJ Mepoxe (5kg)"/>
    <n v="4"/>
    <s v="Cash"/>
    <x v="0"/>
    <d v="2022-09-06T00:00:00"/>
    <n v="9"/>
    <n v="2022"/>
    <n v="340"/>
    <n v="-340"/>
    <n v="0"/>
    <n v="1792947.3500000006"/>
    <s v="Trsf"/>
    <s v="Trsf 6/1/23 RM10,000.00"/>
    <m/>
  </r>
  <r>
    <d v="2022-09-09T00:00:00"/>
    <n v="9"/>
    <x v="3"/>
    <s v="INV00000324"/>
    <s v="C00000029"/>
    <x v="30"/>
    <s v="RJ Mepoxe (5kg)"/>
    <n v="4"/>
    <s v="Cash"/>
    <x v="0"/>
    <d v="2022-09-09T00:00:00"/>
    <n v="9"/>
    <n v="2022"/>
    <n v="340"/>
    <n v="-340"/>
    <n v="0"/>
    <n v="1793287.3500000006"/>
    <s v="Trsf"/>
    <s v="Trsf 10/09/22 RM2,452.00"/>
    <m/>
  </r>
  <r>
    <d v="2022-09-09T00:00:00"/>
    <n v="9"/>
    <x v="3"/>
    <s v="INV00000324"/>
    <s v="C00000029"/>
    <x v="30"/>
    <s v="RA CSM 450 64m(L) 1040mm(W) (30Kg)"/>
    <n v="8"/>
    <s v="Cash"/>
    <x v="0"/>
    <d v="2022-09-09T00:00:00"/>
    <n v="9"/>
    <n v="2022"/>
    <n v="2112"/>
    <n v="-2112"/>
    <n v="0"/>
    <n v="1795399.3500000006"/>
    <s v="Trsf"/>
    <s v="Trsf 10/09/22 RM2,452.00"/>
    <m/>
  </r>
  <r>
    <d v="2022-09-09T00:00:00"/>
    <n v="9"/>
    <x v="3"/>
    <s v="INV00000325"/>
    <s v="C00000020"/>
    <x v="19"/>
    <s v="RM Resin 3317AW (220Kg)"/>
    <n v="1"/>
    <s v="Cash"/>
    <x v="0"/>
    <d v="2022-09-09T00:00:00"/>
    <n v="9"/>
    <n v="2022"/>
    <n v="1914"/>
    <n v="-1914"/>
    <n v="0"/>
    <n v="1797313.3500000006"/>
    <s v="Trsf"/>
    <s v="Trsf 6/1/23 RM10,000.00"/>
    <m/>
  </r>
  <r>
    <d v="2022-09-09T00:00:00"/>
    <n v="9"/>
    <x v="3"/>
    <s v="INV00000326"/>
    <s v="C00000021"/>
    <x v="21"/>
    <s v="RM Resin 3317AW (220Kg)"/>
    <n v="1"/>
    <s v="Cash"/>
    <x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n v="9"/>
    <x v="3"/>
    <s v="INV00000326"/>
    <s v="C00000021"/>
    <x v="21"/>
    <s v="RJ Mepoxe (5kg)"/>
    <n v="1"/>
    <s v="Cash"/>
    <x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n v="9"/>
    <x v="3"/>
    <s v="INV00000326"/>
    <s v="C00000021"/>
    <x v="21"/>
    <s v="RA Sand Wheel 105 X 2 X 16 (30PC)"/>
    <n v="1"/>
    <s v="Cash"/>
    <x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n v="9"/>
    <x v="3"/>
    <s v="INV00000327"/>
    <s v="C00000020"/>
    <x v="19"/>
    <s v="RM Nor 3338W (220Kg)"/>
    <n v="4"/>
    <s v="Cash"/>
    <x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n v="9"/>
    <x v="3"/>
    <s v="INV00000327"/>
    <s v="C00000020"/>
    <x v="19"/>
    <s v="RM CSM 450 Jushi 64m(L) X 1860mm(W) (67kg)"/>
    <n v="5"/>
    <s v="Cash"/>
    <x v="0"/>
    <d v="2022-09-13T00:00:00"/>
    <n v="9"/>
    <n v="2022"/>
    <n v="2881"/>
    <n v="-2881"/>
    <n v="0"/>
    <n v="1809837.3500000006"/>
    <s v="Trsf"/>
    <s v="Trsf 20/1/23 RM20,000.00"/>
    <m/>
  </r>
  <r>
    <d v="2022-09-13T00:00:00"/>
    <n v="9"/>
    <x v="3"/>
    <s v="INV00000327"/>
    <s v="C00000020"/>
    <x v="19"/>
    <s v="RJ Woven Roving E-600gm 1000mm (40Kg)"/>
    <n v="5"/>
    <s v="Cash"/>
    <x v="0"/>
    <d v="2022-09-13T00:00:00"/>
    <n v="9"/>
    <n v="2022"/>
    <n v="1300"/>
    <n v="-1300"/>
    <n v="0"/>
    <n v="1811137.3500000006"/>
    <s v="Trsf"/>
    <s v="Trsf 20/1/23 RM20,000.00"/>
    <m/>
  </r>
  <r>
    <d v="2022-09-13T00:00:00"/>
    <n v="9"/>
    <x v="3"/>
    <s v="INV00000327"/>
    <s v="C00000020"/>
    <x v="19"/>
    <s v="RA Talcum Powder (25kg)"/>
    <n v="4"/>
    <s v="Cash"/>
    <x v="0"/>
    <d v="2022-09-13T00:00:00"/>
    <n v="9"/>
    <n v="2022"/>
    <n v="250"/>
    <n v="-250"/>
    <n v="0"/>
    <n v="1811387.3500000006"/>
    <s v="Trsf"/>
    <s v="Trsf 20/1/23 RM20,000.00"/>
    <m/>
  </r>
  <r>
    <d v="2022-09-13T00:00:00"/>
    <n v="9"/>
    <x v="3"/>
    <s v="INV00000327"/>
    <s v="C00000020"/>
    <x v="19"/>
    <s v="RJ Mepoxe (5kg)"/>
    <n v="4"/>
    <s v="Cash"/>
    <x v="0"/>
    <d v="2022-09-13T00:00:00"/>
    <n v="9"/>
    <n v="2022"/>
    <n v="340"/>
    <n v="-340"/>
    <n v="0"/>
    <n v="1811727.3500000006"/>
    <s v="Trsf"/>
    <s v="Trsf 20/1/23 RM20,000.00"/>
    <m/>
  </r>
  <r>
    <d v="2022-09-13T00:00:00"/>
    <n v="9"/>
    <x v="3"/>
    <s v="INV00000327"/>
    <s v="C00000020"/>
    <x v="19"/>
    <s v="RM Pigment Smooth Cream (25kg)"/>
    <n v="1"/>
    <s v="Cash"/>
    <x v="0"/>
    <d v="2022-09-13T00:00:00"/>
    <n v="9"/>
    <n v="2022"/>
    <n v="1000"/>
    <n v="-1000"/>
    <n v="0"/>
    <n v="1812727.3500000006"/>
    <s v="Trsf"/>
    <s v="Trsf 20/1/23 RM20,000.00"/>
    <m/>
  </r>
  <r>
    <d v="2022-09-13T00:00:00"/>
    <n v="9"/>
    <x v="3"/>
    <s v="INV00000328"/>
    <s v="C00000020"/>
    <x v="19"/>
    <s v="RM Nor 3338W (220Kg)"/>
    <n v="4"/>
    <s v="Cash"/>
    <x v="0"/>
    <d v="2022-09-13T00:00:00"/>
    <n v="9"/>
    <n v="2022"/>
    <n v="7392"/>
    <n v="-7392"/>
    <n v="0"/>
    <n v="1820119.3500000006"/>
    <s v="Trsf"/>
    <s v="Trsf 20/1/23 RM20,000.00"/>
    <m/>
  </r>
  <r>
    <d v="2022-09-13T00:00:00"/>
    <n v="9"/>
    <x v="3"/>
    <s v="INV00000328"/>
    <s v="C00000020"/>
    <x v="19"/>
    <s v="RM CSM 450 Jushi 64m(L) X 1860mm(W) (67kg)"/>
    <n v="5"/>
    <s v="Cash"/>
    <x v="0"/>
    <d v="2022-09-13T00:00:00"/>
    <n v="9"/>
    <n v="2022"/>
    <n v="2881"/>
    <n v="-2881"/>
    <n v="0"/>
    <n v="1823000.3500000006"/>
    <s v="Trsf"/>
    <s v="Trsf 20/1/23 RM20,000.00"/>
    <m/>
  </r>
  <r>
    <d v="2022-09-13T00:00:00"/>
    <n v="9"/>
    <x v="3"/>
    <s v="INV00000328"/>
    <s v="C00000020"/>
    <x v="19"/>
    <s v="RJ Woven Roving E-600gm 1000mm (40Kg)"/>
    <n v="5"/>
    <s v="Cash"/>
    <x v="0"/>
    <d v="2022-09-13T00:00:00"/>
    <n v="9"/>
    <n v="2022"/>
    <n v="1300"/>
    <n v="-1300"/>
    <n v="0"/>
    <n v="1824300.3500000006"/>
    <s v="Trsf"/>
    <s v="Trsf 20/1/23 RM20,000.00"/>
    <m/>
  </r>
  <r>
    <d v="2022-09-13T00:00:00"/>
    <n v="9"/>
    <x v="3"/>
    <s v="INV00000328"/>
    <s v="C00000020"/>
    <x v="19"/>
    <s v="RA Talcum Powder (25kg)"/>
    <n v="4"/>
    <s v="Cash"/>
    <x v="0"/>
    <d v="2022-09-13T00:00:00"/>
    <n v="9"/>
    <n v="2022"/>
    <n v="250"/>
    <n v="-250"/>
    <n v="0"/>
    <n v="1824550.3500000006"/>
    <s v="Trsf"/>
    <s v="Trsf 20/1/23 RM20,000.00"/>
    <m/>
  </r>
  <r>
    <d v="2022-09-14T00:00:00"/>
    <n v="9"/>
    <x v="3"/>
    <s v="INV00000329"/>
    <s v="C00000001"/>
    <x v="0"/>
    <s v="RM Vinyl Ester Resin (20Kg)"/>
    <n v="4"/>
    <s v="Cash"/>
    <x v="0"/>
    <d v="2022-09-14T00:00:00"/>
    <n v="9"/>
    <n v="2022"/>
    <n v="1840"/>
    <n v="-1840"/>
    <n v="0"/>
    <n v="1826390.3500000006"/>
    <s v="Trsf"/>
    <s v="Trsf 3/10/22 RM1,840.00"/>
    <m/>
  </r>
  <r>
    <d v="2022-09-15T00:00:00"/>
    <n v="9"/>
    <x v="3"/>
    <s v="INV00000330"/>
    <s v="C00000021"/>
    <x v="21"/>
    <s v="RM Resin 3317AW (220Kg)"/>
    <n v="1"/>
    <s v="Cash"/>
    <x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n v="9"/>
    <x v="3"/>
    <s v="INV00000330"/>
    <s v="C00000021"/>
    <x v="21"/>
    <s v="RA CSM 450 Jushi 64m(L) x 1040mm(W) (37Kg)"/>
    <n v="4"/>
    <s v="Cash"/>
    <x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n v="9"/>
    <x v="3"/>
    <s v="INV00000330"/>
    <s v="C00000021"/>
    <x v="21"/>
    <s v="RJ Mepoxe (5kg)"/>
    <n v="1"/>
    <s v="Cash"/>
    <x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n v="9"/>
    <x v="3"/>
    <s v="INV00000330"/>
    <s v="C00000021"/>
    <x v="21"/>
    <s v="RA Talcum Powder (25kg)"/>
    <n v="5"/>
    <s v="Cash"/>
    <x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n v="9"/>
    <x v="3"/>
    <s v="INV00000331"/>
    <s v="C00000019"/>
    <x v="18"/>
    <s v="RM Nor 3338W (220Kg)"/>
    <n v="1"/>
    <s v="Cash"/>
    <x v="0"/>
    <d v="2022-09-23T00:00:00"/>
    <n v="9"/>
    <n v="2022"/>
    <n v="1936"/>
    <n v="-1936"/>
    <n v="0"/>
    <n v="1831982.0500000005"/>
    <s v="Trsf"/>
    <s v="Trsf 2/11/22 RM3,546.10"/>
    <m/>
  </r>
  <r>
    <d v="2022-09-23T00:00:00"/>
    <n v="9"/>
    <x v="3"/>
    <s v="INV00000331"/>
    <s v="C00000019"/>
    <x v="18"/>
    <s v="RM CSM 450 Jushi 64m(L) X 1860mm(W) (67kg)"/>
    <n v="2"/>
    <s v="Cash"/>
    <x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n v="9"/>
    <x v="3"/>
    <s v="INV00000331"/>
    <s v="C00000019"/>
    <x v="18"/>
    <s v="RA Butanox M50 (5kg)"/>
    <n v="1"/>
    <s v="Cash"/>
    <x v="0"/>
    <d v="2022-09-23T00:00:00"/>
    <n v="9"/>
    <n v="2022"/>
    <n v="105"/>
    <n v="-105"/>
    <n v="0"/>
    <n v="1833279.6500000006"/>
    <s v="Trsf"/>
    <s v="Trsf 2/11/22 RM3,546.10"/>
    <m/>
  </r>
  <r>
    <d v="2022-09-23T00:00:00"/>
    <n v="9"/>
    <x v="3"/>
    <s v="INV00000331"/>
    <s v="C00000019"/>
    <x v="18"/>
    <s v="RA Talcum Powder (25kg)"/>
    <n v="5"/>
    <s v="Cash"/>
    <x v="0"/>
    <d v="2022-09-23T00:00:00"/>
    <n v="9"/>
    <n v="2022"/>
    <n v="312.5"/>
    <n v="-312.5"/>
    <n v="0"/>
    <n v="1833592.1500000006"/>
    <s v="Trsf"/>
    <s v="Trsf 2/11/22 RM3,546.10"/>
    <m/>
  </r>
  <r>
    <d v="2022-09-24T00:00:00"/>
    <n v="9"/>
    <x v="3"/>
    <s v="INV00000332"/>
    <s v="C00000010"/>
    <x v="9"/>
    <s v="RA Resin 3338AW (220kg)"/>
    <n v="5"/>
    <n v="120"/>
    <x v="2"/>
    <d v="2023-01-22T00:00:00"/>
    <n v="1"/>
    <n v="2023"/>
    <n v="9130"/>
    <n v="-9130"/>
    <n v="0"/>
    <n v="1842722.1500000006"/>
    <s v="Trsf"/>
    <s v="Trsf 23/12/22, RM11,757.50"/>
    <m/>
  </r>
  <r>
    <d v="2022-09-24T00:00:00"/>
    <n v="9"/>
    <x v="3"/>
    <s v="INV00000332"/>
    <s v="C00000010"/>
    <x v="9"/>
    <s v="RA CSM 450 64m(L) 1040mm(W) (30Kg)"/>
    <n v="5"/>
    <n v="120"/>
    <x v="2"/>
    <d v="2023-01-22T00:00:00"/>
    <n v="1"/>
    <n v="2023"/>
    <n v="1260"/>
    <n v="-1260"/>
    <n v="0"/>
    <n v="1843982.1500000006"/>
    <s v="Trsf"/>
    <s v="Trsf 23/12/22, RM11,757.50"/>
    <m/>
  </r>
  <r>
    <d v="2022-09-24T00:00:00"/>
    <n v="9"/>
    <x v="3"/>
    <s v="INV00000332"/>
    <s v="C00000010"/>
    <x v="9"/>
    <s v="RA Talcum Powder (25kg)"/>
    <n v="5"/>
    <n v="120"/>
    <x v="2"/>
    <d v="2023-01-22T00:00:00"/>
    <n v="1"/>
    <n v="2023"/>
    <n v="287.5"/>
    <n v="-287.5"/>
    <n v="0"/>
    <n v="1844269.6500000006"/>
    <s v="Trsf"/>
    <s v="Trsf 23/12/22, RM11,757.50"/>
    <m/>
  </r>
  <r>
    <d v="2022-09-24T00:00:00"/>
    <n v="9"/>
    <x v="3"/>
    <s v="INV00000332"/>
    <s v="C00000010"/>
    <x v="9"/>
    <s v="RM Fume Silica HJSIL 200(10Kg)"/>
    <n v="1"/>
    <n v="120"/>
    <x v="2"/>
    <d v="2023-01-22T00:00:00"/>
    <n v="1"/>
    <n v="2023"/>
    <n v="440"/>
    <n v="-440"/>
    <n v="0"/>
    <n v="1844709.6500000006"/>
    <s v="Trsf"/>
    <s v="Trsf 23/12/22, RM11,757.50"/>
    <m/>
  </r>
  <r>
    <d v="2022-09-24T00:00:00"/>
    <n v="9"/>
    <x v="3"/>
    <s v="INV00000332"/>
    <s v="C00000010"/>
    <x v="9"/>
    <s v="RM Butanox M50 (5kg)"/>
    <n v="4"/>
    <n v="120"/>
    <x v="2"/>
    <d v="2023-01-22T00:00:00"/>
    <n v="1"/>
    <n v="2023"/>
    <n v="420"/>
    <n v="-420"/>
    <n v="0"/>
    <n v="1845129.6500000006"/>
    <s v="Trsf"/>
    <s v="Trsf 23/12/22, RM11,757.50"/>
    <m/>
  </r>
  <r>
    <d v="2022-09-24T00:00:00"/>
    <n v="9"/>
    <x v="3"/>
    <s v="INV00000332"/>
    <s v="C00000010"/>
    <x v="9"/>
    <s v="RD Brush 3&quot; (12Pc)"/>
    <n v="4"/>
    <n v="120"/>
    <x v="2"/>
    <d v="2023-01-22T00:00:00"/>
    <n v="1"/>
    <n v="2023"/>
    <n v="220"/>
    <n v="-220"/>
    <n v="0"/>
    <n v="1845349.6500000006"/>
    <s v="Trsf"/>
    <s v="Trsf 23/12/22, RM11,757.50"/>
    <m/>
  </r>
  <r>
    <d v="2022-09-26T00:00:00"/>
    <n v="9"/>
    <x v="3"/>
    <s v="INV00000333"/>
    <s v="C00000021"/>
    <x v="21"/>
    <s v="RA Resin 3317AW (220Kg)"/>
    <n v="1"/>
    <s v="Cash"/>
    <x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n v="9"/>
    <x v="3"/>
    <s v="INV00000333"/>
    <s v="C00000021"/>
    <x v="21"/>
    <s v="RA CSM 450 Jushi 64m(L) x 1040mm(W) (37Kg)"/>
    <n v="2"/>
    <s v="Cash"/>
    <x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n v="9"/>
    <x v="3"/>
    <s v="INV00000333"/>
    <s v="C00000021"/>
    <x v="21"/>
    <s v="RJ Butonox M50 (5kg)"/>
    <n v="1"/>
    <s v="Cash"/>
    <x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n v="9"/>
    <x v="3"/>
    <s v="INV00000333"/>
    <s v="C00000021"/>
    <x v="21"/>
    <s v="RA Talcum Powder (25kg)"/>
    <n v="10"/>
    <s v="Cash"/>
    <x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n v="9"/>
    <x v="3"/>
    <s v="INV00000333"/>
    <s v="C00000021"/>
    <x v="21"/>
    <s v="RM TR104 Hi Temp Wax"/>
    <n v="6"/>
    <s v="Cash"/>
    <x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n v="9"/>
    <x v="3"/>
    <s v="INV00000334"/>
    <s v="C00000022"/>
    <x v="23"/>
    <s v="RA Nor 3338W (220Kg)"/>
    <n v="1"/>
    <s v="Cash"/>
    <x v="0"/>
    <d v="2022-09-26T00:00:00"/>
    <n v="9"/>
    <n v="2022"/>
    <n v="2024"/>
    <n v="-2024"/>
    <n v="0"/>
    <n v="1850969.2500000007"/>
    <s v="Trsf"/>
    <s v="Trsf 29/9/22 RM5,350.70"/>
    <m/>
  </r>
  <r>
    <d v="2022-09-26T00:00:00"/>
    <n v="9"/>
    <x v="3"/>
    <s v="INV00000334"/>
    <s v="C00000022"/>
    <x v="23"/>
    <s v="RM CSM 450 Jushi 64m(L) X 1860mm(W) (67kg)"/>
    <n v="1"/>
    <s v="Cash"/>
    <x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n v="9"/>
    <x v="3"/>
    <s v="INV00000334"/>
    <s v="C00000022"/>
    <x v="23"/>
    <s v="RJ Woven Roving E-600 (42kg) 1120mm"/>
    <n v="1"/>
    <s v="Cash"/>
    <x v="0"/>
    <d v="2022-09-26T00:00:00"/>
    <n v="9"/>
    <n v="2022"/>
    <n v="315"/>
    <n v="-315"/>
    <n v="0"/>
    <n v="1851914.0500000007"/>
    <s v="Trsf"/>
    <s v="Trsf 29/9/22 RM5,350.70"/>
    <m/>
  </r>
  <r>
    <d v="2022-09-26T00:00:00"/>
    <n v="9"/>
    <x v="3"/>
    <s v="INV00000335"/>
    <s v="C00000022"/>
    <x v="23"/>
    <s v="RJ Butonox M50 (5kg)"/>
    <n v="1"/>
    <s v="Cash"/>
    <x v="0"/>
    <d v="2022-09-26T00:00:00"/>
    <n v="9"/>
    <n v="2022"/>
    <n v="105"/>
    <n v="-105"/>
    <n v="0"/>
    <n v="1852019.0500000007"/>
    <s v="Trsf"/>
    <s v="Trsf 29/9/22 RM5,350.70"/>
    <m/>
  </r>
  <r>
    <d v="2022-09-26T00:00:00"/>
    <n v="9"/>
    <x v="3"/>
    <s v="INV00000335"/>
    <s v="C00000022"/>
    <x v="23"/>
    <s v="RA CSM 300 (30Kg) 64m(L) x 1040mm(W)"/>
    <n v="1"/>
    <s v="Cash"/>
    <x v="0"/>
    <d v="2022-09-26T00:00:00"/>
    <n v="9"/>
    <n v="2022"/>
    <n v="285"/>
    <n v="-285"/>
    <n v="0"/>
    <n v="1852304.0500000007"/>
    <s v="Trsf"/>
    <s v="Trsf 29/9/22 RM5,350.70"/>
    <m/>
  </r>
  <r>
    <d v="2022-09-26T00:00:00"/>
    <n v="9"/>
    <x v="3"/>
    <s v="INV00000335"/>
    <s v="C00000022"/>
    <x v="23"/>
    <s v="RE Frekote 770NC (1 Gallon)"/>
    <n v="1"/>
    <s v="Cash"/>
    <x v="0"/>
    <d v="2022-09-26T00:00:00"/>
    <n v="9"/>
    <n v="2022"/>
    <n v="450"/>
    <n v="-450"/>
    <n v="0"/>
    <n v="1852754.0500000007"/>
    <s v="Trsf"/>
    <s v="Trsf 29/9/22 RM5,350.70"/>
    <m/>
  </r>
  <r>
    <d v="2022-09-28T00:00:00"/>
    <n v="9"/>
    <x v="3"/>
    <s v="INV00000336"/>
    <s v="C00000027"/>
    <x v="28"/>
    <s v="RM Resin 3317AW (220Kg)"/>
    <n v="3"/>
    <s v="Cash"/>
    <x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n v="9"/>
    <x v="3"/>
    <s v="INV00000336"/>
    <s v="C00000027"/>
    <x v="28"/>
    <s v="RM CSM 450 Jushi 64m(L) X 1860mm(W) (67kg)"/>
    <n v="2"/>
    <s v="Cash"/>
    <x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n v="9"/>
    <x v="3"/>
    <s v="INV00000336"/>
    <s v="C00000027"/>
    <x v="28"/>
    <s v="RA CSM 300 96m(L) X 1860mm(W) (54Kg)"/>
    <n v="2"/>
    <s v="Cash"/>
    <x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n v="9"/>
    <x v="3"/>
    <s v="INV00000336"/>
    <s v="C00000027"/>
    <x v="28"/>
    <s v="RA Woven Roing 600 1120mm (45kg)"/>
    <n v="2"/>
    <s v="Cash"/>
    <x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n v="9"/>
    <x v="3"/>
    <s v="INV00000336"/>
    <s v="C00000027"/>
    <x v="28"/>
    <s v="RM Pigment Super White (5Kg)"/>
    <n v="4"/>
    <s v="Cash"/>
    <x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n v="9"/>
    <x v="3"/>
    <s v="INV00000336"/>
    <s v="C00000027"/>
    <x v="28"/>
    <s v="RJ Mepoxe (5kg)"/>
    <n v="1"/>
    <s v="Cash"/>
    <x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n v="9"/>
    <x v="3"/>
    <s v="INV00000336"/>
    <s v="C00000027"/>
    <x v="28"/>
    <s v="RM PVA (5Kg)"/>
    <n v="1"/>
    <s v="Cash"/>
    <x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n v="9"/>
    <x v="3"/>
    <s v="INV00000336"/>
    <s v="C00000027"/>
    <x v="28"/>
    <s v="RM Fume Silica HJSIL 200(10Kg)"/>
    <n v="1"/>
    <s v="Cash"/>
    <x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n v="9"/>
    <x v="3"/>
    <s v="INV00000336"/>
    <s v="C00000027"/>
    <x v="28"/>
    <s v="RM Gelcoat GPH (20kg)"/>
    <n v="4"/>
    <s v="Cash"/>
    <x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n v="9"/>
    <x v="3"/>
    <s v="INV00000337"/>
    <s v="C00000029"/>
    <x v="30"/>
    <s v="RA Resin 3317AW (220Kg)"/>
    <n v="1"/>
    <s v="Cash"/>
    <x v="0"/>
    <d v="2022-09-28T00:00:00"/>
    <n v="9"/>
    <n v="2022"/>
    <n v="1848"/>
    <n v="-1848"/>
    <n v="0"/>
    <n v="1865868.8500000008"/>
    <s v="Trsf"/>
    <s v="Trsf 28/09/22 RM1,995.50"/>
    <m/>
  </r>
  <r>
    <d v="2022-09-28T00:00:00"/>
    <n v="9"/>
    <x v="3"/>
    <s v="INV00000337"/>
    <s v="C00000029"/>
    <x v="30"/>
    <s v="RJ Mepoxe (5kg)"/>
    <n v="1"/>
    <s v="Cash"/>
    <x v="0"/>
    <d v="2022-09-28T00:00:00"/>
    <n v="9"/>
    <n v="2022"/>
    <n v="85"/>
    <n v="-85"/>
    <n v="0"/>
    <n v="1865953.8500000008"/>
    <s v="Trsf"/>
    <s v="Trsf 28/09/22 RM1,995.50"/>
    <m/>
  </r>
  <r>
    <d v="2022-09-28T00:00:00"/>
    <n v="9"/>
    <x v="3"/>
    <s v="INV00000337"/>
    <s v="C00000029"/>
    <x v="30"/>
    <s v="RA Talcum Powder (25kg)"/>
    <n v="1"/>
    <s v="Cash"/>
    <x v="0"/>
    <d v="2022-09-28T00:00:00"/>
    <n v="9"/>
    <n v="2022"/>
    <n v="62.5"/>
    <n v="-62.5"/>
    <n v="0"/>
    <n v="1866016.3500000008"/>
    <s v="Trsf"/>
    <s v="Trsf 28/09/22 RM1,995.50"/>
    <m/>
  </r>
  <r>
    <d v="2022-10-01T00:00:00"/>
    <n v="10"/>
    <x v="3"/>
    <s v="INV00000338"/>
    <s v="C00000010"/>
    <x v="9"/>
    <s v="RA Resin 3338AW (220kg)"/>
    <n v="5"/>
    <n v="120"/>
    <x v="2"/>
    <d v="2023-01-29T00:00:00"/>
    <n v="1"/>
    <n v="2023"/>
    <n v="9130"/>
    <n v="-9130"/>
    <n v="0"/>
    <n v="1875146.3500000008"/>
    <s v="Trsf"/>
    <s v="Trsf 19/1/23, RM24,940.00"/>
    <m/>
  </r>
  <r>
    <d v="2022-10-01T00:00:00"/>
    <n v="10"/>
    <x v="3"/>
    <s v="INV00000338"/>
    <s v="C00000010"/>
    <x v="9"/>
    <s v="RA CSM 450 64m(L) 1040mm(W) (30Kg)"/>
    <n v="10"/>
    <n v="120"/>
    <x v="2"/>
    <d v="2023-01-29T00:00:00"/>
    <n v="1"/>
    <n v="2023"/>
    <n v="2520"/>
    <n v="-2520"/>
    <n v="0"/>
    <n v="1877666.3500000008"/>
    <s v="Trsf"/>
    <s v="Trsf 19/1/23, RM24,940.00"/>
    <m/>
  </r>
  <r>
    <d v="2022-10-01T00:00:00"/>
    <n v="10"/>
    <x v="3"/>
    <s v="INV00000338"/>
    <s v="C00000010"/>
    <x v="9"/>
    <s v="RA Talcum Powder (25kg)"/>
    <n v="10"/>
    <n v="120"/>
    <x v="2"/>
    <d v="2023-01-29T00:00:00"/>
    <n v="1"/>
    <n v="2023"/>
    <n v="575"/>
    <n v="-575"/>
    <n v="0"/>
    <n v="1878241.3500000008"/>
    <s v="Trsf"/>
    <s v="Trsf 19/1/23, RM24,940.00"/>
    <m/>
  </r>
  <r>
    <d v="2022-10-01T00:00:00"/>
    <n v="10"/>
    <x v="3"/>
    <s v="INV00000338"/>
    <s v="C00000010"/>
    <x v="9"/>
    <s v="RM Fume Silica HJSIL 200(10Kg)"/>
    <n v="1"/>
    <n v="120"/>
    <x v="2"/>
    <d v="2023-01-29T00:00:00"/>
    <n v="1"/>
    <n v="2023"/>
    <n v="420"/>
    <n v="-420"/>
    <n v="0"/>
    <n v="1878661.3500000008"/>
    <s v="Trsf"/>
    <s v="Trsf 19/1/23, RM24,940.00"/>
    <m/>
  </r>
  <r>
    <d v="2022-10-01T00:00:00"/>
    <n v="10"/>
    <x v="3"/>
    <s v="INV00000338"/>
    <s v="C00000010"/>
    <x v="9"/>
    <s v="RM Butanox M50 (5kg)"/>
    <n v="4"/>
    <n v="120"/>
    <x v="2"/>
    <d v="2023-01-29T00:00:00"/>
    <n v="1"/>
    <n v="2023"/>
    <n v="420"/>
    <n v="-420"/>
    <n v="0"/>
    <n v="1879081.3500000008"/>
    <s v="Trsf"/>
    <s v="Trsf 19/1/23, RM24,940.00"/>
    <m/>
  </r>
  <r>
    <s v="3/10/2022"/>
    <n v="10"/>
    <x v="3"/>
    <s v="INV00000339"/>
    <s v="C00000020"/>
    <x v="19"/>
    <s v="RM Nor 3338W (220Kg)"/>
    <n v="15"/>
    <s v="Cash"/>
    <x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n v="10"/>
    <x v="3"/>
    <s v="INV00000339"/>
    <s v="C00000020"/>
    <x v="19"/>
    <s v="RA CSM 450 79m(L) x 1040mm(W) (30Kg)"/>
    <n v="45"/>
    <s v="Cash"/>
    <x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n v="10"/>
    <x v="3"/>
    <s v="INV00000339"/>
    <s v="C00000020"/>
    <x v="19"/>
    <s v="RA Woven Roving 600 1120mm (45kg)"/>
    <n v="22"/>
    <s v="Cash"/>
    <x v="0"/>
    <d v="2022-10-03T00:00:00"/>
    <n v="10"/>
    <n v="2022"/>
    <n v="6435"/>
    <n v="-6435"/>
    <n v="0"/>
    <n v="1923916.3500000008"/>
    <s v="Trsf"/>
    <s v="Trsf 24/2/23 RM22,000.00"/>
    <m/>
  </r>
  <r>
    <s v="3/10/2022"/>
    <n v="10"/>
    <x v="3"/>
    <s v="INV00000339"/>
    <s v="C00000020"/>
    <x v="19"/>
    <s v="RA Talcum Powder (25kg)"/>
    <n v="15"/>
    <s v="Cash"/>
    <x v="0"/>
    <d v="2022-10-03T00:00:00"/>
    <n v="10"/>
    <n v="2022"/>
    <n v="937.5"/>
    <n v="-937.5"/>
    <n v="0"/>
    <n v="1924853.8500000008"/>
    <s v="Trsf"/>
    <s v="Trsf 24/2/23 RM22,000.00"/>
    <m/>
  </r>
  <r>
    <s v="3/10/2022"/>
    <n v="10"/>
    <x v="3"/>
    <s v="INV00000339"/>
    <s v="C00000020"/>
    <x v="19"/>
    <s v="RM Pigment Paste Smooth Cream M19 (25kg)"/>
    <n v="2"/>
    <s v="Cash"/>
    <x v="0"/>
    <d v="2022-10-03T00:00:00"/>
    <n v="10"/>
    <n v="2022"/>
    <n v="2000"/>
    <n v="-2000"/>
    <n v="0"/>
    <n v="1926853.8500000008"/>
    <s v="Trsf"/>
    <s v="Trsf 24/2/23 RM22,000.00"/>
    <m/>
  </r>
  <r>
    <s v="3/10/2022"/>
    <n v="10"/>
    <x v="3"/>
    <s v="INV00000339"/>
    <s v="C00000020"/>
    <x v="19"/>
    <s v="RJ Butanox M50 (5kg)"/>
    <n v="4"/>
    <s v="Cash"/>
    <x v="0"/>
    <d v="2022-10-03T00:00:00"/>
    <n v="10"/>
    <n v="2022"/>
    <n v="400"/>
    <n v="-400"/>
    <n v="0"/>
    <n v="1927253.8500000008"/>
    <s v="Trsf"/>
    <s v="Trsf 24/2/23 RM22,000.00"/>
    <m/>
  </r>
  <r>
    <s v="1/10/2022"/>
    <n v="10"/>
    <x v="3"/>
    <s v="INV00000340"/>
    <s v="C00000021"/>
    <x v="21"/>
    <s v="RA Resin 3317AW (220Kg)"/>
    <n v="1"/>
    <s v="Cash"/>
    <x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n v="10"/>
    <x v="3"/>
    <s v="INV00000340"/>
    <s v="C00000021"/>
    <x v="21"/>
    <s v="RJ Butonox M50 (5kg)"/>
    <n v="1"/>
    <s v="Cash"/>
    <x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n v="10"/>
    <x v="3"/>
    <s v="INV00000340"/>
    <s v="C00000021"/>
    <x v="21"/>
    <s v="RA Talcum Powder (25kg)"/>
    <n v="5"/>
    <s v="Cash"/>
    <x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n v="10"/>
    <x v="3"/>
    <s v="INV00000340"/>
    <s v="C00000021"/>
    <x v="21"/>
    <s v="RA Miracle Gloss Wax No. 8 (311g/Can)"/>
    <n v="6"/>
    <s v="Cash"/>
    <x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n v="10"/>
    <x v="3"/>
    <s v="INV00000341"/>
    <s v="C00000003"/>
    <x v="2"/>
    <s v="RA Resin 3317AW (220Kg)"/>
    <n v="1"/>
    <n v="45"/>
    <x v="1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n v="10"/>
    <x v="3"/>
    <s v="INV00000341"/>
    <s v="C00000003"/>
    <x v="2"/>
    <s v="RA Talcum Powder (25kg)"/>
    <n v="3"/>
    <n v="45"/>
    <x v="1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n v="10"/>
    <x v="3"/>
    <s v="INV00000341"/>
    <s v="C00000003"/>
    <x v="2"/>
    <s v="RA Butanox M50 (5Kg)"/>
    <n v="6"/>
    <n v="45"/>
    <x v="1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n v="10"/>
    <x v="3"/>
    <s v="INV00000342"/>
    <s v="C00000003"/>
    <x v="2"/>
    <s v="RA Resin 3317AW (220Kg)"/>
    <n v="2"/>
    <n v="45"/>
    <x v="1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n v="10"/>
    <x v="3"/>
    <s v="INV00000343"/>
    <s v="C00000006"/>
    <x v="5"/>
    <s v="RM Nor 3338W (220Kg)"/>
    <n v="1"/>
    <s v="Cash"/>
    <x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n v="10"/>
    <x v="3"/>
    <s v="INV00000343"/>
    <s v="C00000006"/>
    <x v="5"/>
    <s v="RA CSM 300 (30Kg) 64m(L) x 1040mm(W)"/>
    <n v="1"/>
    <s v="Cash"/>
    <x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n v="10"/>
    <x v="3"/>
    <s v="INV00000344"/>
    <s v="C00000019"/>
    <x v="18"/>
    <s v="RM Nor 3338W (220Kg)"/>
    <n v="1"/>
    <s v="Cash"/>
    <x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n v="10"/>
    <x v="3"/>
    <s v="INV00000344"/>
    <s v="C00000019"/>
    <x v="18"/>
    <s v="RM CSM 450 Jushi 64m(L) X 1860mm(W) (67kg)"/>
    <n v="1"/>
    <s v="Cash"/>
    <x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n v="10"/>
    <x v="3"/>
    <s v="INV00000344"/>
    <s v="C00000019"/>
    <x v="18"/>
    <s v="RM TR104 Hi Temp Wax"/>
    <n v="1"/>
    <s v="Cash"/>
    <x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n v="10"/>
    <x v="3"/>
    <s v="INV00000344"/>
    <s v="C00000019"/>
    <x v="18"/>
    <s v="RA Butanox M50 (5kg)"/>
    <n v="1"/>
    <s v="Cash"/>
    <x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n v="10"/>
    <x v="3"/>
    <s v="INV00000344"/>
    <s v="C00000019"/>
    <x v="18"/>
    <s v="RE Frekote 770NC (1 Gallon)"/>
    <n v="1"/>
    <s v="Cash"/>
    <x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n v="10"/>
    <x v="3"/>
    <s v="INV00000345"/>
    <s v="C00000020"/>
    <x v="19"/>
    <s v="RM Nor 3338W (220Kg)"/>
    <n v="3"/>
    <s v="Cash"/>
    <x v="0"/>
    <d v="2022-10-13T00:00:00"/>
    <n v="10"/>
    <n v="2022"/>
    <n v="5412"/>
    <n v="-5412"/>
    <n v="0"/>
    <n v="1947573.6500000008"/>
    <s v="Trsf"/>
    <s v="Trsf 24/2/23 RM22,000.00"/>
    <m/>
  </r>
  <r>
    <d v="2022-10-13T00:00:00"/>
    <n v="10"/>
    <x v="3"/>
    <s v="INV00000345"/>
    <s v="C00000020"/>
    <x v="19"/>
    <s v="RA CSM 450 79m(L) x 1040mm(W) (30Kg)"/>
    <n v="7"/>
    <s v="Cash"/>
    <x v="0"/>
    <d v="2022-10-13T00:00:00"/>
    <n v="10"/>
    <n v="2022"/>
    <n v="1764"/>
    <n v="-1764"/>
    <n v="0"/>
    <n v="1949337.6500000008"/>
    <s v="Trsf"/>
    <s v="Trsf 24/2/23 RM22,000.00"/>
    <m/>
  </r>
  <r>
    <d v="2022-10-13T00:00:00"/>
    <n v="10"/>
    <x v="3"/>
    <s v="INV00000345"/>
    <s v="C00000020"/>
    <x v="19"/>
    <s v="RM CSM 450 Jushi 64m(L) X 1860mm(W) (67kg)"/>
    <n v="1"/>
    <s v="Cash"/>
    <x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n v="10"/>
    <x v="3"/>
    <s v="INV00000345"/>
    <s v="C00000020"/>
    <x v="19"/>
    <s v="RJ Woven Roving E-600gm 1000mm (40Kg)"/>
    <n v="4"/>
    <s v="Cash"/>
    <x v="0"/>
    <d v="2022-10-13T00:00:00"/>
    <n v="10"/>
    <n v="2022"/>
    <n v="1040"/>
    <n v="-1040"/>
    <n v="0"/>
    <n v="1950940.4500000009"/>
    <s v="Trsf"/>
    <s v="Trsf 24/2/23 RM22,000.00"/>
    <m/>
  </r>
  <r>
    <d v="2022-10-13T00:00:00"/>
    <n v="10"/>
    <x v="3"/>
    <s v="INV00000345"/>
    <s v="C00000020"/>
    <x v="19"/>
    <s v="RA Talcum Powder (25kg)"/>
    <n v="3"/>
    <s v="Cash"/>
    <x v="0"/>
    <d v="2022-10-13T00:00:00"/>
    <n v="10"/>
    <n v="2022"/>
    <n v="187.5"/>
    <n v="-187.5"/>
    <n v="0"/>
    <n v="1951127.9500000009"/>
    <s v="Trsf"/>
    <s v="Trsf 24/2/23 RM22,000.00"/>
    <m/>
  </r>
  <r>
    <d v="2022-10-13T00:00:00"/>
    <n v="10"/>
    <x v="3"/>
    <s v="INV00000345"/>
    <s v="C00000020"/>
    <x v="19"/>
    <s v="RM Pigment Paste Smooth Cream M19 (25kg)"/>
    <n v="1"/>
    <s v="Cash"/>
    <x v="0"/>
    <d v="2022-10-13T00:00:00"/>
    <n v="10"/>
    <n v="2022"/>
    <n v="1000"/>
    <n v="-1000"/>
    <n v="0"/>
    <n v="1952127.9500000009"/>
    <s v="Trsf"/>
    <s v="Trsf 24/2/23 RM22,000.00"/>
    <m/>
  </r>
  <r>
    <d v="2022-10-13T00:00:00"/>
    <n v="10"/>
    <x v="3"/>
    <s v="INV00000345"/>
    <s v="C00000020"/>
    <x v="19"/>
    <s v="RJ Butanox M50 (5kg)"/>
    <n v="2"/>
    <s v="Cash"/>
    <x v="0"/>
    <d v="2022-10-13T00:00:00"/>
    <n v="10"/>
    <n v="2022"/>
    <n v="200"/>
    <n v="-200"/>
    <n v="0"/>
    <n v="1952327.9500000009"/>
    <s v="Trsf"/>
    <s v="Trsf 24/2/23 RM22,000.00"/>
    <m/>
  </r>
  <r>
    <d v="2022-10-13T00:00:00"/>
    <n v="10"/>
    <x v="3"/>
    <s v="INV00000346"/>
    <s v="C00000021"/>
    <x v="21"/>
    <s v="RA Resin 3317AW (220Kg)"/>
    <n v="1"/>
    <s v="Cash"/>
    <x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n v="10"/>
    <x v="3"/>
    <s v="INV00000346"/>
    <s v="C00000021"/>
    <x v="21"/>
    <s v="RA CSM 450 79m(L) x 1040mm(W) (30Kg)"/>
    <n v="2"/>
    <s v="Cash"/>
    <x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n v="10"/>
    <x v="3"/>
    <s v="INV00000346"/>
    <s v="C00000021"/>
    <x v="21"/>
    <s v="RJ Butonox M50 (5kg)"/>
    <n v="1"/>
    <s v="Cash"/>
    <x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n v="10"/>
    <x v="3"/>
    <s v="INV00000347"/>
    <s v="C00000010"/>
    <x v="9"/>
    <s v="RA Resin 3338AW (220kg)"/>
    <n v="5"/>
    <n v="120"/>
    <x v="2"/>
    <d v="2023-02-12T00:00:00"/>
    <n v="2"/>
    <n v="2023"/>
    <n v="9020"/>
    <n v="-9020"/>
    <n v="0"/>
    <n v="1963917.9500000009"/>
    <s v="Trsf"/>
    <s v="Trsf 19/1/23, RM24,940.00"/>
    <m/>
  </r>
  <r>
    <d v="2022-10-15T00:00:00"/>
    <n v="10"/>
    <x v="3"/>
    <s v="INV00000347"/>
    <s v="C00000010"/>
    <x v="9"/>
    <s v="RA CSM 450 64m(L) 1040mm(W) (30Kg)"/>
    <n v="5"/>
    <n v="120"/>
    <x v="2"/>
    <d v="2023-02-12T00:00:00"/>
    <n v="2"/>
    <n v="2023"/>
    <n v="1245"/>
    <n v="-1245"/>
    <n v="0"/>
    <n v="1965162.9500000009"/>
    <s v="Trsf"/>
    <s v="Trsf 19/1/23, RM24,940.00"/>
    <m/>
  </r>
  <r>
    <d v="2022-10-15T00:00:00"/>
    <n v="10"/>
    <x v="3"/>
    <s v="INV00000347"/>
    <s v="C00000010"/>
    <x v="9"/>
    <s v="RA Talcum Powder (25kg)"/>
    <n v="10"/>
    <n v="120"/>
    <x v="2"/>
    <d v="2023-02-12T00:00:00"/>
    <n v="2"/>
    <n v="2023"/>
    <n v="575"/>
    <n v="-575"/>
    <n v="0"/>
    <n v="1965737.9500000009"/>
    <s v="Trsf"/>
    <s v="Trsf 19/1/23, RM24,940.00"/>
    <m/>
  </r>
  <r>
    <d v="2022-10-15T00:00:00"/>
    <n v="10"/>
    <x v="3"/>
    <s v="INV00000347"/>
    <s v="C00000010"/>
    <x v="9"/>
    <s v="RM Butanox M50 (5kg)"/>
    <n v="4"/>
    <n v="120"/>
    <x v="2"/>
    <d v="2023-02-12T00:00:00"/>
    <n v="2"/>
    <n v="2023"/>
    <n v="420"/>
    <n v="-420"/>
    <n v="0"/>
    <n v="1966157.9500000009"/>
    <s v="Trsf"/>
    <s v="Trsf 19/1/23, RM24,940.00"/>
    <m/>
  </r>
  <r>
    <d v="2022-10-15T00:00:00"/>
    <n v="10"/>
    <x v="3"/>
    <s v="INV00000347"/>
    <s v="C00000010"/>
    <x v="9"/>
    <s v="RD Brush 3&quot; (12Pc)"/>
    <n v="4"/>
    <n v="120"/>
    <x v="2"/>
    <d v="2023-02-12T00:00:00"/>
    <n v="2"/>
    <n v="2023"/>
    <n v="220"/>
    <n v="-220"/>
    <n v="0"/>
    <n v="1966377.9500000009"/>
    <s v="Trsf"/>
    <s v="Trsf 19/1/23, RM24,940.00"/>
    <m/>
  </r>
  <r>
    <d v="2022-10-17T00:00:00"/>
    <n v="10"/>
    <x v="3"/>
    <s v="INV00000348"/>
    <s v="C00000026"/>
    <x v="27"/>
    <s v="RM Resin 3317AW (220Kg)"/>
    <n v="1"/>
    <s v="Cash"/>
    <x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n v="10"/>
    <x v="3"/>
    <s v="INV00000348"/>
    <s v="C00000026"/>
    <x v="27"/>
    <s v="RM CSM 450 Jushi 64m(L) X 1860mm(W) (67kg)"/>
    <n v="1"/>
    <s v="Cash"/>
    <x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n v="10"/>
    <x v="3"/>
    <s v="INV00000348"/>
    <s v="C00000026"/>
    <x v="27"/>
    <s v="RM Gelcoat GPH (20kg)"/>
    <n v="1"/>
    <s v="Cash"/>
    <x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n v="10"/>
    <x v="3"/>
    <s v="INV00000348"/>
    <s v="C00000026"/>
    <x v="27"/>
    <s v="RD Brush 2&quot; (12Pc)"/>
    <n v="1"/>
    <s v="Cash"/>
    <x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n v="10"/>
    <x v="3"/>
    <s v="INV00000348"/>
    <s v="C00000026"/>
    <x v="27"/>
    <s v="RM Pigment Super White (5Kg)"/>
    <n v="1"/>
    <s v="Cash"/>
    <x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n v="10"/>
    <x v="3"/>
    <s v="INV00000348"/>
    <s v="C00000026"/>
    <x v="27"/>
    <s v="RM Pigment Orange (5Kg)"/>
    <n v="1"/>
    <s v="Cash"/>
    <x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n v="10"/>
    <x v="3"/>
    <s v="INV00000348"/>
    <s v="C00000026"/>
    <x v="27"/>
    <s v="RM Butanox M50 (5kg)"/>
    <n v="1"/>
    <s v="Cash"/>
    <x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n v="10"/>
    <x v="3"/>
    <s v="INV00000348"/>
    <s v="C00000026"/>
    <x v="27"/>
    <s v="RA Talcum Powder (25kg)"/>
    <n v="2"/>
    <s v="Cash"/>
    <x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n v="10"/>
    <x v="3"/>
    <s v="INV00000348"/>
    <s v="C00000026"/>
    <x v="27"/>
    <s v="RM TR104 Hi Temp Wax"/>
    <n v="2"/>
    <s v="Cash"/>
    <x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n v="10"/>
    <x v="3"/>
    <s v="INV00000349"/>
    <s v="C00000010"/>
    <x v="9"/>
    <s v="RH Bosny Wax (15Kg)"/>
    <n v="1"/>
    <n v="120"/>
    <x v="2"/>
    <d v="2023-02-14T00:00:00"/>
    <n v="2"/>
    <n v="2023"/>
    <n v="395"/>
    <n v="-395"/>
    <n v="0"/>
    <n v="1970372.9500000009"/>
    <s v="Trsf"/>
    <s v="Trsf 19/1/23, RM24,940.00"/>
    <m/>
  </r>
  <r>
    <d v="2022-10-18T00:00:00"/>
    <n v="10"/>
    <x v="3"/>
    <s v="INV00000350"/>
    <s v="C00000009"/>
    <x v="8"/>
    <s v="RM CSM 450 Jushi 64m(L) X 1860mm(W) (67kg)"/>
    <n v="2"/>
    <n v="60"/>
    <x v="3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n v="10"/>
    <x v="3"/>
    <s v="INV00000350"/>
    <s v="C00000009"/>
    <x v="8"/>
    <s v="RA CSM 300 96m(L) X 1860mm(W) (54Kg)"/>
    <n v="2"/>
    <n v="60"/>
    <x v="3"/>
    <d v="2022-12-17T00:00:00"/>
    <n v="12"/>
    <n v="2022"/>
    <n v="874.8"/>
    <n v="-874.8"/>
    <n v="0"/>
    <n v="1972333.1500000008"/>
    <s v="Chq"/>
    <s v="Chq HL 019025 dd 27/3/23"/>
    <m/>
  </r>
  <r>
    <d v="2022-10-20T00:00:00"/>
    <n v="10"/>
    <x v="3"/>
    <s v="INV00000351"/>
    <s v="C00000004"/>
    <x v="3"/>
    <s v="RM Nor 3338W (220Kg)"/>
    <n v="6"/>
    <n v="120"/>
    <x v="2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n v="10"/>
    <x v="3"/>
    <s v="INV00000351"/>
    <s v="C00000004"/>
    <x v="3"/>
    <s v="RM Nor 3338NW (220Kg)"/>
    <n v="1"/>
    <n v="120"/>
    <x v="2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n v="10"/>
    <x v="3"/>
    <s v="INV00000351"/>
    <s v="C00000004"/>
    <x v="3"/>
    <s v="RM CSM 450 64m(L) X 1860mm(W) (54kg)"/>
    <n v="3"/>
    <n v="120"/>
    <x v="2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n v="10"/>
    <x v="3"/>
    <s v="INV00000351"/>
    <s v="C00000004"/>
    <x v="3"/>
    <s v="RM CSM 300 96m(L) X 1860mm(W) (54Kg)"/>
    <n v="3"/>
    <n v="120"/>
    <x v="2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n v="10"/>
    <x v="3"/>
    <s v="INV00000351"/>
    <s v="C00000004"/>
    <x v="3"/>
    <s v="RJ Mepoxe (5kg)"/>
    <n v="4"/>
    <n v="120"/>
    <x v="2"/>
    <d v="2023-02-17T00:00:00"/>
    <n v="2"/>
    <n v="2023"/>
    <n v="360"/>
    <n v="-360"/>
    <n v="0"/>
    <n v="1988010.350000001"/>
    <s v="Chq"/>
    <s v="HLB016114Cleared22/2/23-RM15,677.20"/>
    <m/>
  </r>
  <r>
    <d v="2022-10-21T00:00:00"/>
    <n v="10"/>
    <x v="3"/>
    <s v="INV00000352"/>
    <s v="C00000001"/>
    <x v="0"/>
    <s v="RM Resin 3317AW (220Kg)"/>
    <n v="1"/>
    <s v="Cash"/>
    <x v="0"/>
    <d v="2022-10-21T00:00:00"/>
    <n v="10"/>
    <n v="2022"/>
    <n v="1936"/>
    <n v="-1936"/>
    <n v="0"/>
    <n v="1989946.350000001"/>
    <s v="Trsf"/>
    <s v="Trsf 1/11/22 RM3,004.00"/>
    <m/>
  </r>
  <r>
    <d v="2022-10-21T00:00:00"/>
    <n v="10"/>
    <x v="3"/>
    <s v="INV00000352"/>
    <s v="C00000001"/>
    <x v="0"/>
    <s v="RM CSM 450 64m(L) 1040mm(W) (30Kg)"/>
    <n v="4"/>
    <s v="Cash"/>
    <x v="0"/>
    <d v="2022-10-21T00:00:00"/>
    <n v="10"/>
    <n v="2022"/>
    <n v="1068"/>
    <n v="-1068"/>
    <n v="0"/>
    <n v="1991014.350000001"/>
    <s v="Trsf"/>
    <s v="Trsf 1/11/22 RM3,004.00"/>
    <m/>
  </r>
  <r>
    <d v="2022-10-22T00:00:00"/>
    <n v="10"/>
    <x v="3"/>
    <s v="INV00000353"/>
    <s v="C00000020"/>
    <x v="19"/>
    <s v="RM Resin 3317AW (220Kg)"/>
    <n v="2"/>
    <s v="Cash"/>
    <x v="0"/>
    <d v="2022-10-22T00:00:00"/>
    <n v="10"/>
    <n v="2022"/>
    <n v="3608"/>
    <n v="-3608"/>
    <n v="0"/>
    <n v="1994622.350000001"/>
    <s v="Trsf"/>
    <s v="Trsf 21/10/22 RM7,590.50"/>
    <m/>
  </r>
  <r>
    <d v="2022-10-22T00:00:00"/>
    <n v="10"/>
    <x v="3"/>
    <s v="INV00000353"/>
    <s v="C00000020"/>
    <x v="19"/>
    <s v="RA CSM 450 79m(L) x 1040mm(W) (30Kg)"/>
    <n v="10"/>
    <s v="Cash"/>
    <x v="0"/>
    <d v="2022-10-22T00:00:00"/>
    <n v="10"/>
    <n v="2022"/>
    <n v="2520"/>
    <n v="-2520"/>
    <n v="0"/>
    <n v="1997142.350000001"/>
    <s v="Trsf"/>
    <s v="Trsf 21/10/22 RM7,590.50"/>
    <m/>
  </r>
  <r>
    <d v="2022-10-22T00:00:00"/>
    <n v="10"/>
    <x v="3"/>
    <s v="INV00000353"/>
    <s v="C00000020"/>
    <x v="19"/>
    <s v="RA  Woven Roing 600 1120mm (45kg)"/>
    <n v="5"/>
    <s v="Cash"/>
    <x v="0"/>
    <d v="2022-10-22T00:00:00"/>
    <n v="10"/>
    <n v="2022"/>
    <n v="1462.5"/>
    <n v="-1462.5"/>
    <n v="0"/>
    <n v="1998604.850000001"/>
    <s v="Trsf"/>
    <s v="Trsf 21/10/22 RM7,590.50"/>
    <m/>
  </r>
  <r>
    <d v="2022-10-22T00:00:00"/>
    <n v="10"/>
    <x v="3"/>
    <s v="INV00000354"/>
    <s v="C00000021"/>
    <x v="21"/>
    <s v="RA Resin 3317AW (220Kg)"/>
    <n v="1"/>
    <s v="Cash"/>
    <x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n v="10"/>
    <x v="3"/>
    <s v="INV00000354"/>
    <s v="C00000021"/>
    <x v="21"/>
    <s v="RA CSM 450 79m(L) x 1040mm(W) (30Kg)"/>
    <n v="3"/>
    <s v="Cash"/>
    <x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n v="10"/>
    <x v="3"/>
    <s v="INV00000354"/>
    <s v="C00000021"/>
    <x v="21"/>
    <s v="RJ Butonox M50 (5kg)"/>
    <n v="1"/>
    <s v="Cash"/>
    <x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n v="10"/>
    <x v="3"/>
    <s v="INV00000355"/>
    <s v="C00000020"/>
    <x v="19"/>
    <s v="RA Talcum Powder (25kg)"/>
    <n v="4"/>
    <s v="Cash"/>
    <x v="0"/>
    <d v="2022-10-27T00:00:00"/>
    <n v="10"/>
    <n v="2022"/>
    <n v="250"/>
    <n v="-250"/>
    <n v="0"/>
    <n v="2001691.850000001"/>
    <s v="Trsf"/>
    <s v="Trsf 27/10/22 RM250.00"/>
    <m/>
  </r>
  <r>
    <d v="2022-10-31T00:00:00"/>
    <n v="10"/>
    <x v="3"/>
    <s v="INV00000356"/>
    <s v="C00000020"/>
    <x v="19"/>
    <s v="RM Nor 3338W (220Kg)"/>
    <n v="15"/>
    <s v="Cash"/>
    <x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n v="10"/>
    <x v="3"/>
    <s v="INV00000356"/>
    <s v="C00000020"/>
    <x v="19"/>
    <s v="RA CSM 450 79m(L) x 1040mm(W) (30Kg)"/>
    <n v="45"/>
    <s v="Cash"/>
    <x v="0"/>
    <d v="2022-10-31T00:00:00"/>
    <n v="10"/>
    <n v="2022"/>
    <n v="11340"/>
    <n v="-11340"/>
    <n v="0"/>
    <n v="2040091.850000001"/>
    <s v="Trsf"/>
    <s v="Trsf 29/3/23 RM34,000.00"/>
    <m/>
  </r>
  <r>
    <d v="2022-10-31T00:00:00"/>
    <n v="10"/>
    <x v="3"/>
    <s v="INV00000356"/>
    <s v="C00000020"/>
    <x v="19"/>
    <s v="RA Woven Roving 600 1120mm (45kg)"/>
    <n v="7"/>
    <s v="Cash"/>
    <x v="0"/>
    <d v="2022-10-31T00:00:00"/>
    <n v="10"/>
    <n v="2022"/>
    <n v="2047.5"/>
    <n v="-2047.5"/>
    <n v="0"/>
    <n v="2042139.350000001"/>
    <s v="Trsf"/>
    <s v="Trsf 29/3/23 RM34,000.00"/>
    <m/>
  </r>
  <r>
    <d v="2022-10-31T00:00:00"/>
    <n v="10"/>
    <x v="3"/>
    <s v="INV00000356"/>
    <s v="C00000020"/>
    <x v="19"/>
    <s v="RA Woven Roving 600 1000mm (40kg)"/>
    <n v="15"/>
    <s v="Cash"/>
    <x v="0"/>
    <d v="2022-10-31T00:00:00"/>
    <n v="10"/>
    <n v="2022"/>
    <n v="3900"/>
    <n v="-3900"/>
    <n v="0"/>
    <n v="2046039.350000001"/>
    <s v="Trsf"/>
    <s v="Trsf 29/3/23 RM34,000.00"/>
    <m/>
  </r>
  <r>
    <d v="2022-10-31T00:00:00"/>
    <n v="10"/>
    <x v="3"/>
    <s v="INV00000356"/>
    <s v="C00000020"/>
    <x v="19"/>
    <s v="RA Talcum Powder (25kg)"/>
    <n v="15"/>
    <s v="Cash"/>
    <x v="0"/>
    <d v="2022-10-31T00:00:00"/>
    <n v="10"/>
    <n v="2022"/>
    <n v="937.5"/>
    <n v="-937.5"/>
    <n v="0"/>
    <n v="2046976.850000001"/>
    <s v="Trsf"/>
    <s v="Trsf 29/3/23 RM34,000.00"/>
    <m/>
  </r>
  <r>
    <d v="2022-10-31T00:00:00"/>
    <n v="10"/>
    <x v="3"/>
    <s v="INV00000356"/>
    <s v="C00000020"/>
    <x v="19"/>
    <s v="RM Pigment Paste Smooth Cream M19 (25kg)"/>
    <n v="2"/>
    <s v="Cash"/>
    <x v="0"/>
    <d v="2022-10-31T00:00:00"/>
    <n v="10"/>
    <n v="2022"/>
    <n v="2000"/>
    <n v="-2000"/>
    <n v="0"/>
    <n v="2048976.850000001"/>
    <s v="Trsf"/>
    <s v="Trsf 29/3/23 RM34,000.00"/>
    <m/>
  </r>
  <r>
    <d v="2022-10-31T00:00:00"/>
    <n v="10"/>
    <x v="3"/>
    <s v="INV00000356"/>
    <s v="C00000020"/>
    <x v="19"/>
    <s v="RJ Butanox M50 (5kg)"/>
    <n v="4"/>
    <s v="Cash"/>
    <x v="0"/>
    <d v="2022-10-31T00:00:00"/>
    <n v="10"/>
    <n v="2022"/>
    <n v="400"/>
    <n v="-400"/>
    <n v="0"/>
    <n v="2049376.850000001"/>
    <s v="Trsf"/>
    <s v="Trsf 29/3/23 RM34,000.00"/>
    <m/>
  </r>
  <r>
    <d v="2022-10-31T00:00:00"/>
    <n v="10"/>
    <x v="3"/>
    <s v="INV00000357"/>
    <s v="C00000021"/>
    <x v="21"/>
    <s v="RA Resin 3317AW (220Kg)"/>
    <n v="1"/>
    <s v="Cash"/>
    <x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n v="10"/>
    <x v="3"/>
    <s v="INV00000357"/>
    <s v="C00000021"/>
    <x v="21"/>
    <s v="RM CSM 450 64m(L) 1040mm(W) (30Kg)"/>
    <n v="3"/>
    <s v="Cash"/>
    <x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n v="10"/>
    <x v="3"/>
    <s v="INV00000357"/>
    <s v="C00000021"/>
    <x v="21"/>
    <s v="RJ Butanox M50 (5kg)"/>
    <n v="1"/>
    <s v="Cash"/>
    <x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n v="10"/>
    <x v="3"/>
    <s v="INV00000357"/>
    <s v="C00000021"/>
    <x v="21"/>
    <s v="RM Gelcoat GSH (20Kg)"/>
    <n v="1"/>
    <s v="Cash"/>
    <x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n v="11"/>
    <x v="3"/>
    <s v="INV00000358"/>
    <s v="C00000004"/>
    <x v="3"/>
    <s v="RM Nor 3338W (220Kg)"/>
    <n v="5"/>
    <n v="120"/>
    <x v="2"/>
    <d v="2023-03-01T00:00:00"/>
    <n v="3"/>
    <n v="2023"/>
    <n v="9020"/>
    <n v="-9020"/>
    <n v="0"/>
    <n v="2061491.850000001"/>
    <s v="Chq"/>
    <s v="HLB016115Cleared22/2/23-RM10,824.00"/>
    <m/>
  </r>
  <r>
    <d v="2022-11-01T00:00:00"/>
    <n v="11"/>
    <x v="3"/>
    <s v="INV00000358"/>
    <s v="C00000004"/>
    <x v="3"/>
    <s v="RM Nor 3338NW (220Kg)"/>
    <n v="1"/>
    <n v="120"/>
    <x v="2"/>
    <d v="2023-03-01T00:00:00"/>
    <n v="3"/>
    <n v="2023"/>
    <n v="1804"/>
    <n v="-1804"/>
    <n v="0"/>
    <n v="2063295.850000001"/>
    <s v="Chq"/>
    <s v="HLB016115Cleared22/2/23-RM10,824.00"/>
    <m/>
  </r>
  <r>
    <d v="2022-11-01T00:00:00"/>
    <n v="11"/>
    <x v="3"/>
    <s v="INV00000359"/>
    <s v="C00000010"/>
    <x v="9"/>
    <s v="RA Resin 3338AW (220kg)"/>
    <n v="5"/>
    <n v="120"/>
    <x v="2"/>
    <d v="2023-03-01T00:00:00"/>
    <n v="3"/>
    <n v="2023"/>
    <n v="9020"/>
    <n v="-9020"/>
    <n v="0"/>
    <n v="2072315.850000001"/>
    <s v="Trsf"/>
    <s v="Trsf 24/2/23, RM22,670.50"/>
    <m/>
  </r>
  <r>
    <d v="2022-11-01T00:00:00"/>
    <n v="11"/>
    <x v="3"/>
    <s v="INV00000359"/>
    <s v="C00000010"/>
    <x v="9"/>
    <s v="RA CSM 450 64m(L) 1040mm(W) (30Kg)"/>
    <n v="5"/>
    <n v="120"/>
    <x v="2"/>
    <d v="2023-03-01T00:00:00"/>
    <n v="3"/>
    <n v="2023"/>
    <n v="1245"/>
    <n v="-1245"/>
    <n v="0"/>
    <n v="2073560.850000001"/>
    <s v="Trsf"/>
    <s v="Trsf 24/2/23, RM22,670.50"/>
    <m/>
  </r>
  <r>
    <d v="2022-11-01T00:00:00"/>
    <n v="11"/>
    <x v="3"/>
    <s v="INV00000359"/>
    <s v="C00000010"/>
    <x v="9"/>
    <s v="RA Talcum Powder (25kg)"/>
    <n v="10"/>
    <n v="120"/>
    <x v="2"/>
    <d v="2023-03-01T00:00:00"/>
    <n v="3"/>
    <n v="2023"/>
    <n v="575"/>
    <n v="-575"/>
    <n v="0"/>
    <n v="2074135.850000001"/>
    <s v="Trsf"/>
    <s v="Trsf 24/2/23, RM22,670.50"/>
    <m/>
  </r>
  <r>
    <d v="2022-11-01T00:00:00"/>
    <n v="11"/>
    <x v="3"/>
    <s v="INV00000359"/>
    <s v="C00000010"/>
    <x v="9"/>
    <s v="RM Butanox M50 (5kg)"/>
    <n v="4"/>
    <n v="120"/>
    <x v="2"/>
    <d v="2023-03-01T00:00:00"/>
    <n v="3"/>
    <n v="2023"/>
    <n v="420"/>
    <n v="-420"/>
    <n v="0"/>
    <n v="2074555.850000001"/>
    <s v="Trsf"/>
    <s v="Trsf 24/2/23, RM22,670.50"/>
    <m/>
  </r>
  <r>
    <d v="2022-11-03T00:00:00"/>
    <n v="11"/>
    <x v="3"/>
    <s v="INV00000360"/>
    <s v="C00000009"/>
    <x v="8"/>
    <s v="RM Nor 3338W (220Kg)"/>
    <n v="2"/>
    <n v="60"/>
    <x v="3"/>
    <d v="2023-01-02T00:00:00"/>
    <n v="1"/>
    <n v="2023"/>
    <n v="3608"/>
    <n v="-3608"/>
    <n v="0"/>
    <n v="2078163.850000001"/>
    <s v="Chq"/>
    <s v="Chq HL 019025 dd 27/3/23"/>
    <m/>
  </r>
  <r>
    <d v="2022-11-03T00:00:00"/>
    <n v="11"/>
    <x v="3"/>
    <s v="INV00000360"/>
    <s v="C00000009"/>
    <x v="8"/>
    <s v="RM CSM 450 64m(L) X 1860mm(W) (54kg)"/>
    <n v="1"/>
    <n v="60"/>
    <x v="3"/>
    <d v="2023-01-02T00:00:00"/>
    <n v="1"/>
    <n v="2023"/>
    <n v="437.4"/>
    <n v="-437.4"/>
    <n v="0"/>
    <n v="2078601.2500000009"/>
    <s v="Chq"/>
    <s v="Chq HL 019025 dd 27/3/23"/>
    <m/>
  </r>
  <r>
    <d v="2022-11-03T00:00:00"/>
    <n v="11"/>
    <x v="3"/>
    <s v="INV00000360"/>
    <s v="C00000009"/>
    <x v="8"/>
    <s v="RA CSM 300 96m(L) X 1860mm(W) (54Kg)"/>
    <n v="1"/>
    <n v="60"/>
    <x v="3"/>
    <d v="2023-01-02T00:00:00"/>
    <n v="1"/>
    <n v="2023"/>
    <n v="437.4"/>
    <n v="-437.4"/>
    <n v="0"/>
    <n v="2079038.6500000008"/>
    <s v="Chq"/>
    <s v="Chq HL 019025 dd 27/3/23"/>
    <m/>
  </r>
  <r>
    <d v="2022-11-04T00:00:00"/>
    <n v="11"/>
    <x v="3"/>
    <s v="INV00000361"/>
    <s v="C00000020"/>
    <x v="19"/>
    <s v="RJ Mepoxe (5kg)"/>
    <n v="4"/>
    <s v="Cash"/>
    <x v="0"/>
    <d v="2022-11-04T00:00:00"/>
    <n v="11"/>
    <n v="2022"/>
    <n v="360"/>
    <n v="-360"/>
    <n v="0"/>
    <n v="2079398.6500000008"/>
    <s v="Trsf"/>
    <s v="Trsf 4/11/22 RM403.80"/>
    <m/>
  </r>
  <r>
    <d v="2022-11-04T00:00:00"/>
    <n v="11"/>
    <x v="3"/>
    <s v="INV00000361"/>
    <s v="C00000020"/>
    <x v="19"/>
    <s v="Transportation fee "/>
    <n v="1"/>
    <s v="Cash"/>
    <x v="0"/>
    <d v="2022-11-04T00:00:00"/>
    <n v="11"/>
    <n v="2022"/>
    <n v="43.8"/>
    <n v="-43.8"/>
    <n v="0"/>
    <n v="2079442.4500000009"/>
    <s v="Trsf"/>
    <s v="Trsf 4/11/22 RM403.80"/>
    <m/>
  </r>
  <r>
    <d v="2022-11-05T00:00:00"/>
    <n v="11"/>
    <x v="3"/>
    <s v="INV00000362"/>
    <s v="C00000031"/>
    <x v="31"/>
    <s v="RM Nor 3338W (20Kg)"/>
    <n v="1"/>
    <s v="Cash"/>
    <x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n v="11"/>
    <x v="3"/>
    <s v="INV00000362"/>
    <s v="C00000031"/>
    <x v="31"/>
    <s v="RM CSM 450 64m(L) X 1860mm(W) (54kg)"/>
    <n v="1"/>
    <s v="Cash"/>
    <x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n v="11"/>
    <x v="3"/>
    <s v="INV00000362"/>
    <s v="C00000031"/>
    <x v="31"/>
    <s v="RJ Mepoxe (5kg)"/>
    <n v="1"/>
    <s v="Cash"/>
    <x v="0"/>
    <d v="2022-11-05T00:00:00"/>
    <n v="11"/>
    <n v="2022"/>
    <n v="98"/>
    <n v="-98"/>
    <n v="0"/>
    <n v="2080335.050000001"/>
    <s v="Trsf"/>
    <s v="Bank in Cash RM892.60 - 9/11/22"/>
    <m/>
  </r>
  <r>
    <d v="2022-11-07T00:00:00"/>
    <n v="11"/>
    <x v="3"/>
    <s v="INV00000363"/>
    <s v="C00000022"/>
    <x v="23"/>
    <s v="RM Acetone (163Kg)"/>
    <n v="1"/>
    <s v="Cash"/>
    <x v="0"/>
    <d v="2022-11-07T00:00:00"/>
    <n v="11"/>
    <n v="2022"/>
    <n v="1141"/>
    <n v="-1141"/>
    <n v="0"/>
    <n v="2081476.050000001"/>
    <s v="Trsf"/>
    <s v="Trsf 20/12/22 RM1,409.00"/>
    <m/>
  </r>
  <r>
    <d v="2022-11-07T00:00:00"/>
    <n v="11"/>
    <x v="3"/>
    <s v="INV00000363"/>
    <s v="C00000022"/>
    <x v="23"/>
    <s v="RM Pigment Super Black (5Kg)"/>
    <n v="1"/>
    <s v="Cash"/>
    <x v="0"/>
    <d v="2022-11-07T00:00:00"/>
    <n v="11"/>
    <n v="2022"/>
    <n v="175"/>
    <n v="-175"/>
    <n v="0"/>
    <n v="2081651.050000001"/>
    <s v="Trsf"/>
    <s v="Trsf 20/12/22 RM1,409.00"/>
    <m/>
  </r>
  <r>
    <d v="2022-11-08T00:00:00"/>
    <n v="11"/>
    <x v="3"/>
    <s v="INV00000364"/>
    <s v="C00000030"/>
    <x v="32"/>
    <s v="RM Resin 3338W (22.50kg)"/>
    <n v="4"/>
    <s v="Cash"/>
    <x v="0"/>
    <d v="2022-11-08T00:00:00"/>
    <n v="11"/>
    <n v="2022"/>
    <n v="1170"/>
    <n v="-1170"/>
    <n v="0"/>
    <n v="2082821.050000001"/>
    <s v="Trsf"/>
    <s v="Trsf 9/11/22 RM4,373.00"/>
    <m/>
  </r>
  <r>
    <d v="2022-11-08T00:00:00"/>
    <n v="11"/>
    <x v="3"/>
    <s v="INV00000364"/>
    <s v="C00000030"/>
    <x v="32"/>
    <s v="RM VE Resin (22.50kg)"/>
    <n v="4"/>
    <s v="Cash"/>
    <x v="0"/>
    <d v="2022-11-08T00:00:00"/>
    <n v="11"/>
    <n v="2022"/>
    <n v="2250"/>
    <n v="-2250"/>
    <n v="0"/>
    <n v="2085071.050000001"/>
    <s v="Trsf"/>
    <s v="Trsf 9/11/22 RM4,373.00"/>
    <m/>
  </r>
  <r>
    <d v="2022-11-08T00:00:00"/>
    <n v="11"/>
    <x v="3"/>
    <s v="INV00000364"/>
    <s v="C00000030"/>
    <x v="32"/>
    <s v="RM CSM 450 GSM 1040mm (30kg)"/>
    <n v="3"/>
    <s v="Cash"/>
    <x v="0"/>
    <d v="2022-11-08T00:00:00"/>
    <n v="11"/>
    <n v="2022"/>
    <n v="855"/>
    <n v="-855"/>
    <n v="0"/>
    <n v="2085926.050000001"/>
    <s v="Trsf"/>
    <s v="Trsf 9/11/22 RM4,373.00"/>
    <m/>
  </r>
  <r>
    <d v="2022-11-08T00:00:00"/>
    <n v="11"/>
    <x v="3"/>
    <s v="INV00000364"/>
    <s v="C00000030"/>
    <x v="32"/>
    <s v="RA Mepoxe (5kg)"/>
    <n v="1"/>
    <s v="Cash"/>
    <x v="0"/>
    <d v="2022-11-08T00:00:00"/>
    <n v="11"/>
    <n v="2022"/>
    <n v="98"/>
    <n v="-98"/>
    <n v="0"/>
    <n v="2086024.050000001"/>
    <s v="Trsf"/>
    <s v="Trsf 9/11/22 RM4,373.00"/>
    <m/>
  </r>
  <r>
    <d v="2022-11-09T00:00:00"/>
    <n v="11"/>
    <x v="3"/>
    <s v="INV00000365"/>
    <s v="C00000021"/>
    <x v="21"/>
    <s v="RA Resin 3317AW (220Kg)"/>
    <n v="1"/>
    <s v="Cash"/>
    <x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n v="11"/>
    <x v="3"/>
    <s v="INV00000365"/>
    <s v="C00000021"/>
    <x v="21"/>
    <s v="RM CSM 450 64m(L) 1040mm(W) (30Kg)"/>
    <n v="4"/>
    <s v="Cash"/>
    <x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n v="11"/>
    <x v="3"/>
    <s v="INV00000365"/>
    <s v="C00000021"/>
    <x v="21"/>
    <s v="RJ Mepoxe (5kg)"/>
    <n v="1"/>
    <s v="Cash"/>
    <x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n v="11"/>
    <x v="3"/>
    <s v="INV00000366"/>
    <s v="C00000020"/>
    <x v="19"/>
    <s v="RM Nor 3338W (220Kg)"/>
    <n v="5"/>
    <s v="Cash"/>
    <x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n v="11"/>
    <x v="3"/>
    <s v="INV00000366"/>
    <s v="C00000020"/>
    <x v="19"/>
    <s v="RA CSM 450 79m(L) x 1040mm(W) (30Kg)"/>
    <n v="12"/>
    <s v="Cash"/>
    <x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n v="11"/>
    <x v="3"/>
    <s v="INV00000366"/>
    <s v="C00000020"/>
    <x v="19"/>
    <s v="RA Woven Roving 600 1120mm (45kg)"/>
    <n v="4"/>
    <s v="Cash"/>
    <x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n v="11"/>
    <x v="3"/>
    <s v="INV00000366"/>
    <s v="C00000020"/>
    <x v="19"/>
    <s v="RA Talcum Powder (25kg)"/>
    <n v="5"/>
    <s v="Cash"/>
    <x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n v="11"/>
    <x v="3"/>
    <s v="INV00000366"/>
    <s v="C00000020"/>
    <x v="19"/>
    <s v="RM Pigment Paste Smooth Cream M19 (25kg)"/>
    <n v="1"/>
    <s v="Cash"/>
    <x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n v="11"/>
    <x v="3"/>
    <s v="INV00000366"/>
    <s v="C00000020"/>
    <x v="19"/>
    <s v="RJ Mepoxe (5kg)"/>
    <n v="4"/>
    <s v="Cash"/>
    <x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n v="11"/>
    <x v="3"/>
    <s v="INV00000367"/>
    <s v="C00000027"/>
    <x v="28"/>
    <s v="RM Resin 3317AW (220Kg)"/>
    <n v="4"/>
    <s v="Cash"/>
    <x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n v="11"/>
    <x v="3"/>
    <s v="INV00000367"/>
    <s v="C00000027"/>
    <x v="28"/>
    <s v="RM CSM 450 64m(L) X 1860mm(W) (54kg)"/>
    <n v="2"/>
    <s v="Cash"/>
    <x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n v="11"/>
    <x v="3"/>
    <s v="INV00000367"/>
    <s v="C00000027"/>
    <x v="28"/>
    <s v="RM CSM 300 96m(L) X 1860mm(W) (54Kg)"/>
    <n v="2"/>
    <s v="Cash"/>
    <x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n v="11"/>
    <x v="3"/>
    <s v="INV00000367"/>
    <s v="C00000027"/>
    <x v="28"/>
    <s v="RA Woven Roing 600 1120mm (45kg)"/>
    <n v="1"/>
    <s v="Cash"/>
    <x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n v="11"/>
    <x v="3"/>
    <s v="INV00000367"/>
    <s v="C00000027"/>
    <x v="28"/>
    <s v="RM Pigment Super White (5Kg)"/>
    <n v="4"/>
    <s v="Cash"/>
    <x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n v="11"/>
    <x v="3"/>
    <s v="INV00000367"/>
    <s v="C00000027"/>
    <x v="28"/>
    <s v="RJ Mepoxe (5kg)"/>
    <n v="4"/>
    <s v="Cash"/>
    <x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n v="11"/>
    <x v="3"/>
    <s v="INV00000367"/>
    <s v="C00000027"/>
    <x v="28"/>
    <s v="RM TR104 Hi Temp Wax (12Can)"/>
    <n v="6"/>
    <s v="Cash"/>
    <x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n v="11"/>
    <x v="3"/>
    <s v="INV00000367"/>
    <s v="C00000027"/>
    <x v="28"/>
    <s v="RM Fume Silica HJSIL 200(10Kg)"/>
    <n v="1"/>
    <s v="Cash"/>
    <x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n v="11"/>
    <x v="3"/>
    <s v="INV00000367"/>
    <s v="C00000027"/>
    <x v="28"/>
    <s v="RM Gelcoat GPH (20kg)"/>
    <n v="6"/>
    <s v="Cash"/>
    <x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n v="11"/>
    <x v="3"/>
    <s v="INV00000367"/>
    <s v="C00000027"/>
    <x v="28"/>
    <s v="RM Acetone (163Kg)"/>
    <n v="1"/>
    <s v="Cash"/>
    <x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n v="11"/>
    <x v="3"/>
    <s v="INV00000368"/>
    <s v="C00000019"/>
    <x v="18"/>
    <s v="RM Nor 3338W (220Kg)"/>
    <n v="2"/>
    <s v="Cash"/>
    <x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n v="11"/>
    <x v="3"/>
    <s v="INV00000368"/>
    <s v="C00000019"/>
    <x v="18"/>
    <s v="RM CSM 450 64m(L) X 1860mm(W) (54kg)"/>
    <n v="2"/>
    <s v="Cash"/>
    <x v="0"/>
    <d v="2022-11-15T00:00:00"/>
    <n v="11"/>
    <n v="2022"/>
    <n v="961.2"/>
    <n v="-961.2"/>
    <n v="0"/>
    <n v="2123402.350000001"/>
    <s v="Trsf"/>
    <s v="Trsf 15/1/23 RM2,000.00"/>
    <m/>
  </r>
  <r>
    <d v="2022-11-15T00:00:00"/>
    <n v="11"/>
    <x v="3"/>
    <s v="INV00000368"/>
    <s v="C00000019"/>
    <x v="18"/>
    <s v="RE Frekote 770NC (1 Gallon)"/>
    <n v="1"/>
    <s v="Cash"/>
    <x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n v="11"/>
    <x v="3"/>
    <s v="INV00000369"/>
    <s v="C00000019"/>
    <x v="18"/>
    <s v="RA Butanox M50 (5kg)"/>
    <n v="1"/>
    <s v="Cash"/>
    <x v="0"/>
    <d v="2022-11-17T00:00:00"/>
    <n v="11"/>
    <n v="2022"/>
    <n v="105"/>
    <n v="-105"/>
    <n v="0"/>
    <n v="2123957.350000001"/>
    <s v="Trsf"/>
    <s v="Trsf 20/1/23 RM2,000.00"/>
    <m/>
  </r>
  <r>
    <s v="22/11/2022"/>
    <n v="11"/>
    <x v="3"/>
    <s v="INV00000370"/>
    <s v="C00000001"/>
    <x v="0"/>
    <s v="RM Resin 3317AW (220Kg)"/>
    <n v="1"/>
    <s v="Cash"/>
    <x v="0"/>
    <d v="2022-11-22T00:00:00"/>
    <n v="11"/>
    <n v="2022"/>
    <n v="1936"/>
    <n v="-1936"/>
    <n v="0"/>
    <n v="2125893.350000001"/>
    <s v="Trsf"/>
    <s v="Trsf 2/12/22"/>
    <m/>
  </r>
  <r>
    <s v="22/11/2022"/>
    <n v="11"/>
    <x v="3"/>
    <s v="INV00000371"/>
    <s v="C00000031"/>
    <x v="31"/>
    <s v="RM Nor 3338W (20Kg)"/>
    <n v="3"/>
    <s v="Cash"/>
    <x v="0"/>
    <d v="2022-11-22T00:00:00"/>
    <n v="11"/>
    <n v="2022"/>
    <n v="780"/>
    <n v="-780"/>
    <n v="0"/>
    <n v="2126673.350000001"/>
    <s v="Trsf"/>
    <s v="Bank in Cash RM780.00 - 23/11/22"/>
    <m/>
  </r>
  <r>
    <s v="22/11/2022"/>
    <n v="11"/>
    <x v="3"/>
    <s v="INV00000372"/>
    <s v="C00000020"/>
    <x v="19"/>
    <s v="RM Nor 3338W (220Kg)"/>
    <n v="6"/>
    <s v="Cash"/>
    <x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n v="11"/>
    <x v="3"/>
    <s v="INV00000372"/>
    <s v="C00000020"/>
    <x v="19"/>
    <s v="RA CSM 450 79m(L) x 1040mm(W) (30Kg)"/>
    <n v="12"/>
    <s v="Cash"/>
    <x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n v="11"/>
    <x v="3"/>
    <s v="INV00000372"/>
    <s v="C00000020"/>
    <x v="19"/>
    <s v="RM Woven Roving 600 1000mm (40Kg)"/>
    <n v="6"/>
    <s v="Cash"/>
    <x v="0"/>
    <d v="2022-11-22T00:00:00"/>
    <n v="11"/>
    <n v="2022"/>
    <n v="1560"/>
    <n v="-1560"/>
    <n v="0"/>
    <n v="2142081.350000001"/>
    <s v="Trsf"/>
    <s v="Trsf 20/4/23 RM10,000.00(RM1,560.00)"/>
    <m/>
  </r>
  <r>
    <s v="22/11/2022"/>
    <n v="11"/>
    <x v="3"/>
    <s v="INV00000372"/>
    <s v="C00000020"/>
    <x v="19"/>
    <s v="RA Talcum Powder (25Kg)"/>
    <n v="6"/>
    <s v="Cash"/>
    <x v="0"/>
    <d v="2022-11-22T00:00:00"/>
    <n v="11"/>
    <n v="2022"/>
    <n v="375"/>
    <n v="-375"/>
    <n v="0"/>
    <n v="2142456.350000001"/>
    <s v="Trsf"/>
    <s v="Trsf 20/4/23 RM10,000.00(RM375.00)"/>
    <m/>
  </r>
  <r>
    <s v="22/11/2022"/>
    <n v="11"/>
    <x v="3"/>
    <s v="INV00000372"/>
    <s v="C00000020"/>
    <x v="19"/>
    <s v="RM Pigment Paste Smooth Cream M19 (25Kg)"/>
    <n v="1"/>
    <s v="Cash"/>
    <x v="0"/>
    <d v="2022-11-22T00:00:00"/>
    <n v="11"/>
    <n v="2022"/>
    <n v="1000"/>
    <n v="-1000"/>
    <n v="0"/>
    <n v="2143456.350000001"/>
    <s v="Trsf"/>
    <s v="Trsf 20/4/23 RM10,000.00(RM1,000.00)"/>
    <m/>
  </r>
  <r>
    <s v="22/11/2022"/>
    <n v="11"/>
    <x v="3"/>
    <s v="INV00000372"/>
    <s v="C00000020"/>
    <x v="19"/>
    <s v="RM MEKP-9 (3.6Kg)"/>
    <n v="6"/>
    <s v="Cash"/>
    <x v="0"/>
    <d v="2022-11-22T00:00:00"/>
    <n v="11"/>
    <n v="2022"/>
    <n v="453.59999999999997"/>
    <n v="-453.59999999999997"/>
    <n v="0"/>
    <n v="2143909.9500000011"/>
    <s v="Trsf"/>
    <s v="Trsf 20/4/23 RM10,000.00(RM453.60)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x v="502"/>
    <x v="7"/>
    <x v="5"/>
    <x v="764"/>
    <s v="C00000014"/>
    <x v="13"/>
    <s v="RA Resin 3338AW (220kg)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x v="502"/>
    <x v="7"/>
    <x v="5"/>
    <x v="764"/>
    <s v="C00000014"/>
    <x v="13"/>
    <s v="RA CSM 450 1040mm(W) (30kg)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x v="502"/>
    <x v="7"/>
    <x v="5"/>
    <x v="765"/>
    <s v="C00000006"/>
    <x v="5"/>
    <s v="RA Nor 3338W (220Kg)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x v="502"/>
    <x v="7"/>
    <x v="5"/>
    <x v="765"/>
    <s v="C00000006"/>
    <x v="5"/>
    <s v="RA CSM 450 1040mm(W) (30Kg)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x v="502"/>
    <x v="7"/>
    <x v="5"/>
    <x v="765"/>
    <s v="C00000006"/>
    <x v="5"/>
    <s v="RM Pigment Super Black (5kg)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x v="502"/>
    <x v="7"/>
    <x v="5"/>
    <x v="765"/>
    <s v="C00000006"/>
    <x v="5"/>
    <s v="RM TR104 Hi Temp Wax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x v="503"/>
    <x v="7"/>
    <x v="5"/>
    <x v="766"/>
    <s v="C00000045"/>
    <x v="47"/>
    <s v="RA Resin 3317AW (220Kg)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x v="503"/>
    <x v="7"/>
    <x v="5"/>
    <x v="766"/>
    <s v="C00000045"/>
    <x v="47"/>
    <s v="RA CSM 450 64m(L) 1040mm(W) (30Kg)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x v="503"/>
    <x v="7"/>
    <x v="5"/>
    <x v="766"/>
    <s v="C00000045"/>
    <x v="47"/>
    <s v="RA Butanox M50 (5kg)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x v="504"/>
    <x v="7"/>
    <x v="5"/>
    <x v="767"/>
    <s v="C00000021"/>
    <x v="21"/>
    <s v="RA Resin 3317AW (220Kg)"/>
    <n v="1"/>
    <s v="Cash"/>
    <n v="0"/>
    <d v="2024-01-05T00:00:00"/>
    <n v="1"/>
    <n v="2024"/>
    <n v="1738"/>
    <m/>
    <n v="1738"/>
    <n v="4090963.1500000018"/>
    <s v="PD Chq"/>
    <m/>
    <m/>
  </r>
  <r>
    <x v="504"/>
    <x v="7"/>
    <x v="5"/>
    <x v="767"/>
    <s v="C00000021"/>
    <x v="21"/>
    <s v="RO CSM 450 1040mm(W) (37kg)"/>
    <n v="2"/>
    <s v="Cash"/>
    <n v="0"/>
    <d v="2024-01-05T00:00:00"/>
    <n v="1"/>
    <n v="2024"/>
    <n v="555"/>
    <m/>
    <n v="555"/>
    <n v="4091518.1500000018"/>
    <s v="PD Chq"/>
    <m/>
    <m/>
  </r>
  <r>
    <x v="504"/>
    <x v="7"/>
    <x v="5"/>
    <x v="767"/>
    <s v="C00000021"/>
    <x v="21"/>
    <s v="RA Mepoxe (5kg)"/>
    <n v="1"/>
    <s v="Cash"/>
    <n v="0"/>
    <d v="2024-01-05T00:00:00"/>
    <n v="1"/>
    <n v="2024"/>
    <n v="95"/>
    <m/>
    <n v="95"/>
    <n v="4091613.1500000018"/>
    <s v="PD Chq"/>
    <m/>
    <m/>
  </r>
  <r>
    <x v="505"/>
    <x v="7"/>
    <x v="5"/>
    <x v="768"/>
    <s v="C00000043"/>
    <x v="45"/>
    <s v="RA Resin 3317AW (220kg)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x v="505"/>
    <x v="7"/>
    <x v="5"/>
    <x v="768"/>
    <s v="C00000043"/>
    <x v="45"/>
    <s v="RM CSM 300 1860mm(W) (54kg)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x v="505"/>
    <x v="7"/>
    <x v="5"/>
    <x v="768"/>
    <s v="C00000043"/>
    <x v="45"/>
    <s v="RE Frekote 770NC (1 Gallon)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x v="505"/>
    <x v="7"/>
    <x v="5"/>
    <x v="768"/>
    <s v="C00000043"/>
    <x v="45"/>
    <s v="RP Talcum Powder (25kg)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x v="505"/>
    <x v="7"/>
    <x v="5"/>
    <x v="768"/>
    <s v="C00000043"/>
    <x v="45"/>
    <s v="RD Brush 2&quot; 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x v="505"/>
    <x v="7"/>
    <x v="5"/>
    <x v="768"/>
    <s v="C00000043"/>
    <x v="45"/>
    <s v="RO Gelcoat LB9888 (22kg)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x v="505"/>
    <x v="7"/>
    <x v="5"/>
    <x v="768"/>
    <s v="C00000043"/>
    <x v="45"/>
    <s v="RA Butanox M50 (5kg)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x v="505"/>
    <x v="7"/>
    <x v="5"/>
    <x v="768"/>
    <s v="C00000043"/>
    <x v="45"/>
    <s v="RM CSM 300 1860mm(W) (54kg)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x v="506"/>
    <x v="7"/>
    <x v="5"/>
    <x v="769"/>
    <s v="C00000009"/>
    <x v="8"/>
    <s v="RA Nor 3338W (220Kg)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x v="506"/>
    <x v="7"/>
    <x v="5"/>
    <x v="769"/>
    <s v="C00000009"/>
    <x v="8"/>
    <s v="RA Nor 3338NW (220Kg)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x v="506"/>
    <x v="7"/>
    <x v="5"/>
    <x v="769"/>
    <s v="C00000009"/>
    <x v="8"/>
    <s v="RM CSM 450 1860mm(W) (54kg)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x v="506"/>
    <x v="7"/>
    <x v="5"/>
    <x v="769"/>
    <s v="C00000009"/>
    <x v="8"/>
    <s v="RM CSM 300 1860mm(W) (54Kg)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x v="506"/>
    <x v="7"/>
    <x v="5"/>
    <x v="769"/>
    <s v="C00000009"/>
    <x v="8"/>
    <s v="RA Butanox M50 (5kg)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x v="507"/>
    <x v="7"/>
    <x v="5"/>
    <x v="770"/>
    <s v="C00000044"/>
    <x v="46"/>
    <s v="RA Resin 3338AW (220kg)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x v="507"/>
    <x v="7"/>
    <x v="5"/>
    <x v="770"/>
    <s v="C00000044"/>
    <x v="46"/>
    <s v="RA CSM 450 1040mm(W) (30kg)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x v="508"/>
    <x v="7"/>
    <x v="5"/>
    <x v="771"/>
    <s v="C00000019"/>
    <x v="18"/>
    <s v="RA Nor 3338W (220Kg)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x v="508"/>
    <x v="7"/>
    <x v="5"/>
    <x v="771"/>
    <s v="C00000019"/>
    <x v="18"/>
    <s v="RM Pigment Super White (5Kg)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x v="508"/>
    <x v="7"/>
    <x v="5"/>
    <x v="771"/>
    <s v="C00000019"/>
    <x v="18"/>
    <s v="RP Talcum Powder (25kg)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x v="508"/>
    <x v="7"/>
    <x v="5"/>
    <x v="772"/>
    <s v="C00000042"/>
    <x v="43"/>
    <s v="RP Talcum Powder (25Kg)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x v="508"/>
    <x v="7"/>
    <x v="5"/>
    <x v="773"/>
    <s v="C00000042"/>
    <x v="43"/>
    <s v="RA Resin 3338W (220Kg)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x v="508"/>
    <x v="7"/>
    <x v="5"/>
    <x v="773"/>
    <s v="C00000042"/>
    <x v="43"/>
    <s v="RA CSM 450 1040mm(W) (37Kg)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x v="508"/>
    <x v="7"/>
    <x v="5"/>
    <x v="773"/>
    <s v="C00000042"/>
    <x v="43"/>
    <s v="RA CSM 450 1040mm(W) (30Kg)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x v="508"/>
    <x v="7"/>
    <x v="5"/>
    <x v="773"/>
    <s v="C00000042"/>
    <x v="43"/>
    <s v="RA Woven Roving E-600gm 1120mm (45Kg)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x v="508"/>
    <x v="7"/>
    <x v="5"/>
    <x v="773"/>
    <s v="C00000042"/>
    <x v="43"/>
    <s v="RM Pigment Paste Smooth Cream M19 (25Kg)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x v="509"/>
    <x v="7"/>
    <x v="5"/>
    <x v="774"/>
    <s v="C00000010"/>
    <x v="9"/>
    <s v="RA Resin 3338W (220kg)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x v="509"/>
    <x v="7"/>
    <x v="5"/>
    <x v="774"/>
    <s v="C00000010"/>
    <x v="9"/>
    <s v="RO CSM 450 1040mm(W) (37kg)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x v="509"/>
    <x v="7"/>
    <x v="5"/>
    <x v="774"/>
    <s v="C00000010"/>
    <x v="9"/>
    <s v="RM Talcum Powder (25kg)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x v="509"/>
    <x v="7"/>
    <x v="5"/>
    <x v="774"/>
    <s v="C00000010"/>
    <x v="9"/>
    <s v="RA Butanox M50 (5kg)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x v="510"/>
    <x v="7"/>
    <x v="5"/>
    <x v="775"/>
    <s v="C00000021"/>
    <x v="21"/>
    <s v="RA Resin 3317AW (220Kg)"/>
    <n v="1"/>
    <s v="Cash"/>
    <n v="0"/>
    <d v="2024-01-15T00:00:00"/>
    <n v="1"/>
    <n v="2024"/>
    <n v="1738"/>
    <m/>
    <n v="1738"/>
    <n v="4138466.7500000014"/>
    <s v="PD Chq"/>
    <m/>
    <m/>
  </r>
  <r>
    <x v="510"/>
    <x v="7"/>
    <x v="5"/>
    <x v="775"/>
    <s v="C00000021"/>
    <x v="21"/>
    <s v="RO CSM 450 1040mm(W) (37kg)"/>
    <n v="2"/>
    <s v="Cash"/>
    <n v="0"/>
    <d v="2024-01-15T00:00:00"/>
    <n v="1"/>
    <n v="2024"/>
    <n v="555"/>
    <m/>
    <n v="555"/>
    <n v="4139021.7500000014"/>
    <s v="PD Chq"/>
    <m/>
    <m/>
  </r>
  <r>
    <x v="510"/>
    <x v="7"/>
    <x v="5"/>
    <x v="775"/>
    <s v="C00000021"/>
    <x v="21"/>
    <s v="RA Mepoxe (5kg)"/>
    <n v="1"/>
    <s v="Cash"/>
    <n v="0"/>
    <d v="2024-01-15T00:00:00"/>
    <n v="1"/>
    <n v="2024"/>
    <n v="95"/>
    <m/>
    <n v="95"/>
    <n v="4139116.7500000014"/>
    <s v="PD Chq"/>
    <m/>
    <m/>
  </r>
  <r>
    <x v="510"/>
    <x v="7"/>
    <x v="5"/>
    <x v="775"/>
    <s v="C00000021"/>
    <x v="21"/>
    <s v="RP Talcum Powder (25Kg)"/>
    <n v="5"/>
    <s v="Cash"/>
    <n v="0"/>
    <d v="2024-01-15T00:00:00"/>
    <n v="1"/>
    <n v="2024"/>
    <n v="312.5"/>
    <m/>
    <n v="312.5"/>
    <n v="4139429.2500000014"/>
    <s v="PD Chq"/>
    <m/>
    <m/>
  </r>
  <r>
    <x v="511"/>
    <x v="7"/>
    <x v="5"/>
    <x v="776"/>
    <s v="C00000019"/>
    <x v="18"/>
    <s v="RM CSM 450 1860mm(W) (54kg)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x v="511"/>
    <x v="7"/>
    <x v="5"/>
    <x v="776"/>
    <s v="C00000019"/>
    <x v="18"/>
    <s v="RM Chemlease 71-90 EZ (1 gallon)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x v="512"/>
    <x v="7"/>
    <x v="5"/>
    <x v="777"/>
    <s v="C00000046"/>
    <x v="48"/>
    <s v="RF Resin 3317AW (220kg)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x v="512"/>
    <x v="7"/>
    <x v="5"/>
    <x v="777"/>
    <s v="C00000046"/>
    <x v="48"/>
    <s v="RA CSM 450 1040mm(W) (30Kg)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x v="512"/>
    <x v="7"/>
    <x v="5"/>
    <x v="777"/>
    <s v="C00000046"/>
    <x v="48"/>
    <s v="RA Woven Roving E-600gm 1000mm (40Kg)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x v="512"/>
    <x v="7"/>
    <x v="5"/>
    <x v="777"/>
    <s v="C00000046"/>
    <x v="48"/>
    <s v="RA Butanox M50 (5Kg)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x v="512"/>
    <x v="7"/>
    <x v="5"/>
    <x v="777"/>
    <s v="C00000046"/>
    <x v="48"/>
    <s v="RD Brush 3&quot; (12pcs)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x v="512"/>
    <x v="7"/>
    <x v="5"/>
    <x v="777"/>
    <s v="C00000046"/>
    <x v="48"/>
    <s v="RD Brush 2&quot; (12pcs)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x v="512"/>
    <x v="7"/>
    <x v="5"/>
    <x v="777"/>
    <s v="C00000046"/>
    <x v="48"/>
    <s v="RM TR104 Wax Mould Release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x v="512"/>
    <x v="7"/>
    <x v="5"/>
    <x v="777"/>
    <s v="C00000046"/>
    <x v="48"/>
    <s v="RM Pigment Super White (5Kg)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x v="512"/>
    <x v="7"/>
    <x v="5"/>
    <x v="777"/>
    <s v="C00000046"/>
    <x v="48"/>
    <s v="RM Pigment Super Black (5kg)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x v="513"/>
    <x v="7"/>
    <x v="5"/>
    <x v="778"/>
    <s v="C00000019"/>
    <x v="18"/>
    <s v="RA Nor 3338W (220Kg)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x v="513"/>
    <x v="7"/>
    <x v="5"/>
    <x v="778"/>
    <s v="C00000019"/>
    <x v="18"/>
    <s v="RO Polymal LB-9888 (22kg)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x v="513"/>
    <x v="7"/>
    <x v="5"/>
    <x v="778"/>
    <s v="C00000019"/>
    <x v="18"/>
    <s v="RM Talcum Powder (25kg)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x v="513"/>
    <x v="7"/>
    <x v="5"/>
    <x v="778"/>
    <s v="C00000019"/>
    <x v="18"/>
    <s v="RM TR104 Hi Temp Wax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x v="512"/>
    <x v="7"/>
    <x v="5"/>
    <x v="779"/>
    <s v="C00000042"/>
    <x v="43"/>
    <s v="RP Talcum Powder (25Kg)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x v="512"/>
    <x v="7"/>
    <x v="5"/>
    <x v="780"/>
    <s v="C00000042"/>
    <x v="43"/>
    <s v="RA Resin 3317W (220Kg)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x v="512"/>
    <x v="7"/>
    <x v="5"/>
    <x v="780"/>
    <s v="C00000042"/>
    <x v="43"/>
    <s v="RA CSM 450 1040mm(W) (30Kg)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x v="512"/>
    <x v="7"/>
    <x v="5"/>
    <x v="780"/>
    <s v="C00000042"/>
    <x v="43"/>
    <s v="RA Woven Roving E-600gm 1120mm (45Kg)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x v="512"/>
    <x v="7"/>
    <x v="5"/>
    <x v="780"/>
    <s v="C00000042"/>
    <x v="43"/>
    <s v="RA Mepoxe (5kg)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x v="514"/>
    <x v="7"/>
    <x v="5"/>
    <x v="781"/>
    <s v="C00000046"/>
    <x v="48"/>
    <s v="RM Talcum Powder (25Kg)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x v="515"/>
    <x v="7"/>
    <x v="5"/>
    <x v="782"/>
    <s v="C00000044"/>
    <x v="46"/>
    <s v="Resin 3338W (220kg)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x v="515"/>
    <x v="7"/>
    <x v="5"/>
    <x v="782"/>
    <s v="C00000044"/>
    <x v="46"/>
    <s v="CSM 450 1040mm(W) (30kg)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x v="515"/>
    <x v="7"/>
    <x v="5"/>
    <x v="782"/>
    <s v="C00000044"/>
    <x v="46"/>
    <s v="Woven Roving E-600gm 1000mm (40Kg)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x v="515"/>
    <x v="7"/>
    <x v="5"/>
    <x v="782"/>
    <s v="C00000044"/>
    <x v="46"/>
    <s v="Talcum Powder (25kg)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x v="515"/>
    <x v="7"/>
    <x v="5"/>
    <x v="782"/>
    <s v="C00000044"/>
    <x v="46"/>
    <s v="Honeycomb 12mm - 1220(W) x 2440(L)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x v="515"/>
    <x v="7"/>
    <x v="5"/>
    <x v="782"/>
    <s v="C00000044"/>
    <x v="46"/>
    <s v="Pigment Red (5kg)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x v="515"/>
    <x v="7"/>
    <x v="5"/>
    <x v="782"/>
    <s v="C00000044"/>
    <x v="46"/>
    <s v="Gelcoat LB988 (22kg)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x v="515"/>
    <x v="7"/>
    <x v="5"/>
    <x v="782"/>
    <s v="C00000044"/>
    <x v="46"/>
    <s v="Butanox M50 (5kg)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x v="516"/>
    <x v="7"/>
    <x v="5"/>
    <x v="783"/>
    <s v="C00000046"/>
    <x v="48"/>
    <s v="RA Resin 3317AW (220kg)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x v="516"/>
    <x v="7"/>
    <x v="5"/>
    <x v="783"/>
    <s v="C00000046"/>
    <x v="48"/>
    <s v="RA CSM 450 1040mm(W) (30Kg)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x v="516"/>
    <x v="7"/>
    <x v="5"/>
    <x v="783"/>
    <s v="C00000046"/>
    <x v="48"/>
    <s v="RA Woven Roving E-600gm 1000mm (40Kg)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x v="517"/>
    <x v="7"/>
    <x v="5"/>
    <x v="784"/>
    <s v="C00000042"/>
    <x v="43"/>
    <s v="RP Talcum Powder (25Kg)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x v="517"/>
    <x v="7"/>
    <x v="5"/>
    <x v="785"/>
    <s v="C00000042"/>
    <x v="43"/>
    <s v="RA Resin 3317W (220Kg)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x v="517"/>
    <x v="7"/>
    <x v="5"/>
    <x v="785"/>
    <s v="C00000042"/>
    <x v="43"/>
    <s v="RA CSM 450 1040mm(W) (30Kg)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x v="517"/>
    <x v="7"/>
    <x v="5"/>
    <x v="785"/>
    <s v="C00000042"/>
    <x v="43"/>
    <s v="RA Woven Roving E-600gm 1120mm (45Kg)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x v="518"/>
    <x v="7"/>
    <x v="5"/>
    <x v="786"/>
    <s v="C00000042"/>
    <x v="43"/>
    <s v="RP Talcum Powder (25Kg)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x v="518"/>
    <x v="7"/>
    <x v="5"/>
    <x v="787"/>
    <s v="C00000042"/>
    <x v="43"/>
    <s v="RA Resin 3317W (220Kg)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x v="518"/>
    <x v="7"/>
    <x v="5"/>
    <x v="787"/>
    <s v="C00000042"/>
    <x v="43"/>
    <s v="RA CSM 450 1040mm(W) (30Kg)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x v="518"/>
    <x v="7"/>
    <x v="5"/>
    <x v="787"/>
    <s v="C00000042"/>
    <x v="43"/>
    <s v="RA CSM 450 1040mm(W) (37Kg)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x v="518"/>
    <x v="7"/>
    <x v="5"/>
    <x v="787"/>
    <s v="C00000042"/>
    <x v="43"/>
    <s v="RA Woven Roving E-600gm 1120mm (45Kg)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x v="518"/>
    <x v="7"/>
    <x v="5"/>
    <x v="787"/>
    <s v="C00000042"/>
    <x v="43"/>
    <s v="RA Woven Roving E-600gm 1000mm (40Kg)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x v="518"/>
    <x v="7"/>
    <x v="5"/>
    <x v="787"/>
    <s v="C00000042"/>
    <x v="43"/>
    <s v="RM Pigment Paste Smooth Cream M19 (25Kg)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x v="519"/>
    <x v="8"/>
    <x v="5"/>
    <x v="788"/>
    <s v="C00000019"/>
    <x v="18"/>
    <s v="RA Nor 3338W (220Kg)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x v="519"/>
    <x v="8"/>
    <x v="5"/>
    <x v="788"/>
    <s v="C00000019"/>
    <x v="18"/>
    <s v="RO CSM 450 1860mm(W) (54kg)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x v="519"/>
    <x v="8"/>
    <x v="5"/>
    <x v="788"/>
    <s v="C00000019"/>
    <x v="18"/>
    <s v="RA Butanox M50 (5kg)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x v="519"/>
    <x v="8"/>
    <x v="5"/>
    <x v="788"/>
    <s v="C00000019"/>
    <x v="18"/>
    <s v="RM Chemlease 71-90 EZ (1 gallon)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x v="520"/>
    <x v="8"/>
    <x v="5"/>
    <x v="789"/>
    <s v="C00000037"/>
    <x v="38"/>
    <s v="RA Resin 3338W (220Kg)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x v="520"/>
    <x v="8"/>
    <x v="5"/>
    <x v="789"/>
    <s v="C00000037"/>
    <x v="38"/>
    <s v="RO CSM 450 64m(L) X 1860mm(W) (67kg)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x v="520"/>
    <x v="8"/>
    <x v="5"/>
    <x v="789"/>
    <s v="C00000037"/>
    <x v="38"/>
    <s v="RM Miracle Gloss Wax No. 8 (311g/Can)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x v="520"/>
    <x v="8"/>
    <x v="5"/>
    <x v="789"/>
    <s v="C00000037"/>
    <x v="38"/>
    <s v="RP Talcum Powder (25Kg)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x v="520"/>
    <x v="8"/>
    <x v="5"/>
    <x v="789"/>
    <s v="C00000037"/>
    <x v="38"/>
    <s v="RA Mepoxe (5kg)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x v="520"/>
    <x v="8"/>
    <x v="5"/>
    <x v="790"/>
    <s v="C00000046"/>
    <x v="48"/>
    <s v="RA CSM 450 1040mm(W) (37Kg)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x v="521"/>
    <x v="8"/>
    <x v="5"/>
    <x v="791"/>
    <s v="C00000042"/>
    <x v="43"/>
    <s v="RP Talcum Powder (25Kg)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x v="521"/>
    <x v="8"/>
    <x v="5"/>
    <x v="792"/>
    <s v="C00000042"/>
    <x v="43"/>
    <s v="RA Resin 3338W (220Kg)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x v="521"/>
    <x v="8"/>
    <x v="5"/>
    <x v="792"/>
    <s v="C00000042"/>
    <x v="43"/>
    <s v="RA CSM 450 1040mm(W) (30Kg)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x v="521"/>
    <x v="8"/>
    <x v="5"/>
    <x v="792"/>
    <s v="C00000042"/>
    <x v="43"/>
    <s v="RA CSM 450 1040mm(W) (37Kg)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x v="521"/>
    <x v="8"/>
    <x v="5"/>
    <x v="792"/>
    <s v="C00000042"/>
    <x v="43"/>
    <s v="RA Woven Roving E-600gm 1000mm (40Kg)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x v="521"/>
    <x v="8"/>
    <x v="5"/>
    <x v="792"/>
    <s v="C00000042"/>
    <x v="43"/>
    <s v="RM Pigment Grey RAL 7038 (25kg)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x v="521"/>
    <x v="8"/>
    <x v="5"/>
    <x v="792"/>
    <s v="C00000042"/>
    <x v="43"/>
    <s v="RA Mepoxe (5kg)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x v="521"/>
    <x v="8"/>
    <x v="5"/>
    <x v="793"/>
    <s v="C00000042"/>
    <x v="43"/>
    <s v="RM Pigment Paste Smooth Cream M19 (25Kg)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x v="522"/>
    <x v="8"/>
    <x v="5"/>
    <x v="794"/>
    <s v="C00000010"/>
    <x v="9"/>
    <s v="RA Resin 3338W (220kg)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x v="522"/>
    <x v="8"/>
    <x v="5"/>
    <x v="794"/>
    <s v="C00000010"/>
    <x v="9"/>
    <s v="RM CSM 450 1040mm(W) (30kg)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x v="522"/>
    <x v="8"/>
    <x v="5"/>
    <x v="794"/>
    <s v="C00000010"/>
    <x v="9"/>
    <s v="RM Talcum Powder (25kg)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x v="522"/>
    <x v="8"/>
    <x v="5"/>
    <x v="794"/>
    <s v="C00000010"/>
    <x v="9"/>
    <s v="RA Butanox M50 (5kg)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x v="522"/>
    <x v="8"/>
    <x v="5"/>
    <x v="794"/>
    <s v="C00000010"/>
    <x v="9"/>
    <s v="RM Fume Silica HJSIL 200(10Kg)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x v="522"/>
    <x v="8"/>
    <x v="5"/>
    <x v="794"/>
    <s v="C00000010"/>
    <x v="9"/>
    <s v="RH Bosny Wax (15Kg)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x v="523"/>
    <x v="8"/>
    <x v="5"/>
    <x v="795"/>
    <s v="C00000042"/>
    <x v="43"/>
    <s v="RP Talcum Powder (25Kg)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x v="523"/>
    <x v="8"/>
    <x v="5"/>
    <x v="796"/>
    <s v="C00000042"/>
    <x v="43"/>
    <s v="RA Resin 3338W (220Kg)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x v="523"/>
    <x v="8"/>
    <x v="5"/>
    <x v="796"/>
    <s v="C00000042"/>
    <x v="43"/>
    <s v="RA CSM 450 1040mm(W) (30Kg)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x v="523"/>
    <x v="8"/>
    <x v="5"/>
    <x v="796"/>
    <s v="C00000042"/>
    <x v="43"/>
    <s v="RA Woven Roving E-600gm 1120mm (45Kg)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x v="523"/>
    <x v="8"/>
    <x v="5"/>
    <x v="796"/>
    <s v="C00000042"/>
    <x v="43"/>
    <s v="RA Mepoxe (5kg)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x v="523"/>
    <x v="8"/>
    <x v="5"/>
    <x v="797"/>
    <s v="C00000026"/>
    <x v="27"/>
    <s v="RA Resin 3317W (220Kg)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x v="523"/>
    <x v="8"/>
    <x v="5"/>
    <x v="797"/>
    <s v="C00000026"/>
    <x v="27"/>
    <s v="RM Pgment Paste Riviera Blue B5 (5Kg)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x v="523"/>
    <x v="8"/>
    <x v="5"/>
    <x v="797"/>
    <s v="C00000026"/>
    <x v="27"/>
    <s v="RO Gelcoat LB9888 (22kg)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x v="523"/>
    <x v="8"/>
    <x v="5"/>
    <x v="797"/>
    <s v="C00000026"/>
    <x v="27"/>
    <s v="RD Brush 2&quot; (12pcs)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x v="523"/>
    <x v="8"/>
    <x v="5"/>
    <x v="797"/>
    <s v="C00000026"/>
    <x v="27"/>
    <s v="RM Pigment Super White (5kg)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x v="523"/>
    <x v="8"/>
    <x v="5"/>
    <x v="797"/>
    <s v="C00000026"/>
    <x v="27"/>
    <s v="RM TR104 Hi Temp Wax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x v="524"/>
    <x v="8"/>
    <x v="5"/>
    <x v="798"/>
    <s v="C00000046"/>
    <x v="48"/>
    <s v="RA Resin 3317AW (220kg)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x v="524"/>
    <x v="8"/>
    <x v="5"/>
    <x v="799"/>
    <s v="C00000010"/>
    <x v="9"/>
    <s v="RA Resin 3338W (220kg)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x v="524"/>
    <x v="8"/>
    <x v="5"/>
    <x v="799"/>
    <s v="C00000010"/>
    <x v="9"/>
    <s v="RM CSM 450 1040mm(W) (30kg)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x v="524"/>
    <x v="8"/>
    <x v="5"/>
    <x v="799"/>
    <s v="C00000010"/>
    <x v="9"/>
    <s v="RM Talcum Powder (25kg)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x v="524"/>
    <x v="8"/>
    <x v="5"/>
    <x v="799"/>
    <s v="C00000010"/>
    <x v="9"/>
    <s v="RA Butanox M50 (5kg)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x v="524"/>
    <x v="8"/>
    <x v="5"/>
    <x v="799"/>
    <s v="C00000010"/>
    <x v="9"/>
    <s v="RM Fume Silica HJSIL 200(10Kg)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x v="524"/>
    <x v="8"/>
    <x v="5"/>
    <x v="799"/>
    <s v="C00000010"/>
    <x v="9"/>
    <s v="RD Brush 3&quot; (12Pc)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x v="525"/>
    <x v="8"/>
    <x v="5"/>
    <x v="800"/>
    <s v="C00000019"/>
    <x v="18"/>
    <s v="RM Nor 3338W (220Kg)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x v="525"/>
    <x v="8"/>
    <x v="5"/>
    <x v="800"/>
    <s v="C00000019"/>
    <x v="18"/>
    <s v="RO CSM 450 1860mm(W) (54kg)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x v="525"/>
    <x v="8"/>
    <x v="5"/>
    <x v="800"/>
    <s v="C00000019"/>
    <x v="18"/>
    <s v="RM Talcum Powder (25kg)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x v="525"/>
    <x v="8"/>
    <x v="5"/>
    <x v="800"/>
    <s v="C00000019"/>
    <x v="18"/>
    <s v="RM Chemlease 71-90 EZ (1 gallon)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x v="525"/>
    <x v="8"/>
    <x v="5"/>
    <x v="801"/>
    <s v="C00000010"/>
    <x v="9"/>
    <s v="RM Talcum Powder (25kg)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x v="525"/>
    <x v="8"/>
    <x v="5"/>
    <x v="801"/>
    <s v="C00000010"/>
    <x v="9"/>
    <s v="RM Fume Silica HJSIL 200(10Kg)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x v="526"/>
    <x v="8"/>
    <x v="5"/>
    <x v="802"/>
    <s v="C00000021"/>
    <x v="21"/>
    <s v="RA Resin 3317AW (220Kg)"/>
    <n v="1"/>
    <s v="Cash"/>
    <n v="0"/>
    <d v="2024-02-16T00:00:00"/>
    <n v="2"/>
    <n v="2024"/>
    <n v="1738"/>
    <m/>
    <n v="1738"/>
    <n v="4292700.9500000011"/>
    <s v="PD Chq"/>
    <m/>
    <m/>
  </r>
  <r>
    <x v="526"/>
    <x v="8"/>
    <x v="5"/>
    <x v="802"/>
    <s v="C00000021"/>
    <x v="21"/>
    <s v="RO Gelcoat LB9888 (22kg)"/>
    <n v="1"/>
    <s v="Cash"/>
    <n v="0"/>
    <d v="2024-02-16T00:00:00"/>
    <n v="2"/>
    <n v="2024"/>
    <n v="259.60000000000002"/>
    <m/>
    <n v="259.60000000000002"/>
    <n v="4292960.5500000007"/>
    <s v="PD Chq"/>
    <m/>
    <m/>
  </r>
  <r>
    <x v="526"/>
    <x v="8"/>
    <x v="5"/>
    <x v="802"/>
    <s v="C00000021"/>
    <x v="21"/>
    <s v="RA Mepoxe (5kg)"/>
    <n v="1"/>
    <s v="Cash"/>
    <n v="0"/>
    <d v="2024-02-16T00:00:00"/>
    <n v="2"/>
    <n v="2024"/>
    <n v="95"/>
    <m/>
    <n v="95"/>
    <n v="4293055.5500000007"/>
    <s v="PD Chq"/>
    <m/>
    <m/>
  </r>
  <r>
    <x v="526"/>
    <x v="8"/>
    <x v="5"/>
    <x v="802"/>
    <s v="C00000021"/>
    <x v="21"/>
    <s v="RM Talcum Powder (25Kg)"/>
    <n v="5"/>
    <s v="Cash"/>
    <n v="0"/>
    <d v="2024-02-16T00:00:00"/>
    <n v="2"/>
    <n v="2024"/>
    <n v="312.5"/>
    <m/>
    <n v="312.5"/>
    <n v="4293368.0500000007"/>
    <s v="PD Chq"/>
    <m/>
    <m/>
  </r>
  <r>
    <x v="527"/>
    <x v="8"/>
    <x v="5"/>
    <x v="803"/>
    <s v="C00000042"/>
    <x v="43"/>
    <s v="RM Talcum Powder (25Kg)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x v="528"/>
    <x v="8"/>
    <x v="5"/>
    <x v="804"/>
    <s v="C00000042"/>
    <x v="43"/>
    <s v="RA Resin 3317W (220Kg)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x v="528"/>
    <x v="8"/>
    <x v="5"/>
    <x v="804"/>
    <s v="C00000042"/>
    <x v="43"/>
    <s v="RA CSM 450 64m(L) 1040mm(W) (30Kg)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x v="528"/>
    <x v="8"/>
    <x v="5"/>
    <x v="804"/>
    <s v="C00000042"/>
    <x v="43"/>
    <s v="RA Woven Roving E-600gm 1120mm (45Kg)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x v="528"/>
    <x v="8"/>
    <x v="5"/>
    <x v="804"/>
    <s v="C00000042"/>
    <x v="43"/>
    <s v="RA Mepoxe (5kg)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x v="528"/>
    <x v="8"/>
    <x v="5"/>
    <x v="804"/>
    <s v="C00000042"/>
    <x v="43"/>
    <s v="RM Pigment Grey RAL 7038 (25kg)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x v="528"/>
    <x v="8"/>
    <x v="5"/>
    <x v="804"/>
    <s v="C00000042"/>
    <x v="43"/>
    <s v="RA Butanox M50 (5kg)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x v="528"/>
    <x v="8"/>
    <x v="5"/>
    <x v="805"/>
    <s v="C00000026"/>
    <x v="27"/>
    <s v="RM Pigment Super White (5kg)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x v="528"/>
    <x v="8"/>
    <x v="5"/>
    <x v="805"/>
    <s v="C00000026"/>
    <x v="27"/>
    <s v="RM Pgment Paste Riviera Blue B5 (1Kg)"/>
    <n v="1"/>
    <s v="Cash"/>
    <n v="0"/>
    <d v="2024-02-20T00:00:00"/>
    <n v="2"/>
    <n v="2024"/>
    <n v="50"/>
    <n v="-50"/>
    <n v="0"/>
    <n v="4301573.0500000007"/>
    <s v="Trsf"/>
    <s v="Trsf 28/2/24 RM967.00"/>
    <m/>
  </r>
  <r>
    <x v="528"/>
    <x v="8"/>
    <x v="5"/>
    <x v="806"/>
    <s v="C00000047"/>
    <x v="49"/>
    <s v="RM Tissue Mat (250 M2)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x v="528"/>
    <x v="8"/>
    <x v="5"/>
    <x v="806"/>
    <s v="C00000047"/>
    <x v="49"/>
    <s v="RD Bristle Roller 4&quot;"/>
    <n v="1"/>
    <s v="Cash"/>
    <n v="0"/>
    <d v="2024-02-20T00:00:00"/>
    <n v="2"/>
    <n v="2024"/>
    <n v="48"/>
    <n v="-48"/>
    <n v="0"/>
    <n v="4302196.0500000007"/>
    <s v="Cash"/>
    <s v="Cash 21/2/24 RM623.00"/>
    <m/>
  </r>
  <r>
    <x v="529"/>
    <x v="8"/>
    <x v="5"/>
    <x v="807"/>
    <s v="C00000044"/>
    <x v="46"/>
    <s v="Resin 3338W (220kg)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x v="529"/>
    <x v="8"/>
    <x v="5"/>
    <x v="807"/>
    <s v="C00000044"/>
    <x v="46"/>
    <s v="CSM 450 1040mm(W) (30kg)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x v="530"/>
    <x v="8"/>
    <x v="5"/>
    <x v="808"/>
    <s v="C00000009"/>
    <x v="8"/>
    <s v="RA Nor 3338W (220Kg)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x v="530"/>
    <x v="8"/>
    <x v="5"/>
    <x v="808"/>
    <s v="C00000009"/>
    <x v="8"/>
    <s v="RM Nor 3338NW (220Kg)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x v="530"/>
    <x v="8"/>
    <x v="5"/>
    <x v="808"/>
    <s v="C00000009"/>
    <x v="8"/>
    <s v="RM CSM 450 1860mm(W) (54kg)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x v="530"/>
    <x v="8"/>
    <x v="5"/>
    <x v="808"/>
    <s v="C00000009"/>
    <x v="8"/>
    <s v="RA Butanox M50 (5kg)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x v="531"/>
    <x v="8"/>
    <x v="5"/>
    <x v="809"/>
    <s v="C00000019"/>
    <x v="18"/>
    <s v="RA Nor 3338W (220Kg)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x v="531"/>
    <x v="8"/>
    <x v="5"/>
    <x v="809"/>
    <s v="C00000019"/>
    <x v="18"/>
    <s v="RO CSM 450 1860mm(W) (54kg)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x v="531"/>
    <x v="8"/>
    <x v="5"/>
    <x v="809"/>
    <s v="C00000019"/>
    <x v="18"/>
    <s v="RM Talcum Powder (25kg)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x v="531"/>
    <x v="8"/>
    <x v="5"/>
    <x v="809"/>
    <s v="C00000019"/>
    <x v="18"/>
    <s v="RM Fume Silica HJSIL 200(10Kg)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x v="531"/>
    <x v="8"/>
    <x v="5"/>
    <x v="809"/>
    <s v="C00000019"/>
    <x v="18"/>
    <s v="RM Pigment Super White HV (5Kg)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x v="531"/>
    <x v="8"/>
    <x v="5"/>
    <x v="809"/>
    <s v="C00000019"/>
    <x v="18"/>
    <s v="RM Pigment Super Black PE30 (5kg)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x v="532"/>
    <x v="8"/>
    <x v="5"/>
    <x v="810"/>
    <s v="C00000042"/>
    <x v="43"/>
    <s v="RM Talcum Powder (25Kg)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x v="532"/>
    <x v="8"/>
    <x v="5"/>
    <x v="811"/>
    <s v="C00000042"/>
    <x v="43"/>
    <s v="RA Resin 3317W (220Kg)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x v="532"/>
    <x v="8"/>
    <x v="5"/>
    <x v="811"/>
    <s v="C00000042"/>
    <x v="43"/>
    <s v="RO CSM 450 64m(L) 1040mm(W) (37Kg)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x v="532"/>
    <x v="8"/>
    <x v="5"/>
    <x v="811"/>
    <s v="C00000042"/>
    <x v="43"/>
    <s v="RA Woven Roving E-600gm 1120mm (45Kg)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x v="532"/>
    <x v="8"/>
    <x v="5"/>
    <x v="811"/>
    <s v="C00000042"/>
    <x v="43"/>
    <s v="RA Mepoxe (5kg)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x v="532"/>
    <x v="8"/>
    <x v="5"/>
    <x v="811"/>
    <s v="C00000042"/>
    <x v="43"/>
    <s v="RM Pigment Grey RAL 7038 (25kg)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x v="533"/>
    <x v="8"/>
    <x v="5"/>
    <x v="812"/>
    <s v="C00000026"/>
    <x v="27"/>
    <s v="RO Gelcoat LB9888 (22kg)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x v="534"/>
    <x v="8"/>
    <x v="5"/>
    <x v="813"/>
    <s v="C00000042"/>
    <x v="43"/>
    <s v="RM Pigment Paste Smooth Cream M19 (25Kg)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x v="535"/>
    <x v="9"/>
    <x v="5"/>
    <x v="814"/>
    <s v="C00000021"/>
    <x v="21"/>
    <s v="RM Resin 3317AW (220Kg)"/>
    <n v="1"/>
    <s v="Cash"/>
    <n v="0"/>
    <d v="2024-03-01T00:00:00"/>
    <n v="3"/>
    <n v="2024"/>
    <n v="1738"/>
    <m/>
    <n v="1738"/>
    <n v="4335938.4500000011"/>
    <s v="PD Chq"/>
    <m/>
    <m/>
  </r>
  <r>
    <x v="535"/>
    <x v="9"/>
    <x v="5"/>
    <x v="814"/>
    <s v="C00000021"/>
    <x v="21"/>
    <s v="RO CSM 450 64m(L) 1040mm(W) (37Kg)"/>
    <n v="2"/>
    <s v="Cash"/>
    <n v="0"/>
    <d v="2024-03-01T00:00:00"/>
    <n v="3"/>
    <n v="2024"/>
    <n v="555"/>
    <m/>
    <n v="555"/>
    <n v="4336493.4500000011"/>
    <s v="PD Chq"/>
    <m/>
    <m/>
  </r>
  <r>
    <x v="535"/>
    <x v="9"/>
    <x v="5"/>
    <x v="814"/>
    <s v="C00000021"/>
    <x v="21"/>
    <s v="RA Mepoxe (5kg)"/>
    <n v="1"/>
    <s v="Cash"/>
    <n v="0"/>
    <d v="2024-03-01T00:00:00"/>
    <n v="3"/>
    <n v="2024"/>
    <n v="95"/>
    <m/>
    <n v="95"/>
    <n v="4336588.4500000011"/>
    <s v="PD Chq"/>
    <m/>
    <m/>
  </r>
  <r>
    <x v="535"/>
    <x v="9"/>
    <x v="5"/>
    <x v="814"/>
    <s v="C00000021"/>
    <x v="21"/>
    <s v="RA Sand Wheel 105 X 2 X 16 (30PC)"/>
    <n v="1"/>
    <s v="Cash"/>
    <n v="0"/>
    <d v="2024-03-01T00:00:00"/>
    <n v="3"/>
    <n v="2024"/>
    <n v="225"/>
    <m/>
    <n v="225"/>
    <n v="4336813.4500000011"/>
    <s v="PD Chq"/>
    <m/>
    <m/>
  </r>
  <r>
    <x v="536"/>
    <x v="9"/>
    <x v="5"/>
    <x v="815"/>
    <s v="C00000010"/>
    <x v="9"/>
    <s v="RM Resin 3338W (220kg)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x v="536"/>
    <x v="9"/>
    <x v="5"/>
    <x v="815"/>
    <s v="C00000010"/>
    <x v="9"/>
    <s v="RA CSM 450 1040mm(W) (30kg)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x v="536"/>
    <x v="9"/>
    <x v="5"/>
    <x v="815"/>
    <s v="C00000010"/>
    <x v="9"/>
    <s v="RM Talcum Powder (25kg)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x v="536"/>
    <x v="9"/>
    <x v="5"/>
    <x v="815"/>
    <s v="C00000010"/>
    <x v="9"/>
    <s v="RA Butanox M50 (5kg)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x v="536"/>
    <x v="9"/>
    <x v="5"/>
    <x v="815"/>
    <s v="C00000010"/>
    <x v="9"/>
    <s v="RM Fume Silica HJSIL 200(10Kg)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x v="536"/>
    <x v="9"/>
    <x v="5"/>
    <x v="815"/>
    <s v="C00000010"/>
    <x v="9"/>
    <s v="RH Bosny Wax (15Kg)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x v="536"/>
    <x v="9"/>
    <x v="5"/>
    <x v="816"/>
    <s v="C00000043"/>
    <x v="45"/>
    <s v="RM CSM 300 1860mm(W) (54kg)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x v="537"/>
    <x v="9"/>
    <x v="5"/>
    <x v="817"/>
    <s v="C00000042"/>
    <x v="43"/>
    <s v="RM Talcum Powder (25Kg)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x v="537"/>
    <x v="9"/>
    <x v="5"/>
    <x v="818"/>
    <s v="C00000042"/>
    <x v="43"/>
    <s v="RA Resin 3317W (220Kg)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x v="537"/>
    <x v="9"/>
    <x v="5"/>
    <x v="818"/>
    <s v="C00000042"/>
    <x v="43"/>
    <s v="RA CSM 450 64m(L) 1040mm(W) (30Kg)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x v="537"/>
    <x v="9"/>
    <x v="5"/>
    <x v="818"/>
    <s v="C00000042"/>
    <x v="43"/>
    <s v="RO CSM 450 64m(L) 1040mm(W) (37Kg)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x v="537"/>
    <x v="9"/>
    <x v="5"/>
    <x v="818"/>
    <s v="C00000042"/>
    <x v="43"/>
    <s v="RA Woven Roving E-600gm 1120mm (45Kg)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x v="537"/>
    <x v="9"/>
    <x v="5"/>
    <x v="818"/>
    <s v="C00000042"/>
    <x v="43"/>
    <s v="RA Mepoxe (5kg)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x v="538"/>
    <x v="9"/>
    <x v="5"/>
    <x v="819"/>
    <s v="C00000009"/>
    <x v="8"/>
    <s v="RA Nor 3338W (220Kg)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x v="537"/>
    <x v="9"/>
    <x v="5"/>
    <x v="820"/>
    <s v="C00000044"/>
    <x v="46"/>
    <s v="Resin 3338W (220kg)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x v="537"/>
    <x v="9"/>
    <x v="5"/>
    <x v="820"/>
    <s v="C00000044"/>
    <x v="46"/>
    <s v="CSM 450 1040mm(W) (30kg)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x v="537"/>
    <x v="9"/>
    <x v="5"/>
    <x v="821"/>
    <s v="C00000019"/>
    <x v="18"/>
    <s v="RA Nor 3338W (220Kg)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x v="537"/>
    <x v="9"/>
    <x v="5"/>
    <x v="821"/>
    <s v="C00000019"/>
    <x v="18"/>
    <s v="RA Butanox M50 (5kg)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x v="539"/>
    <x v="9"/>
    <x v="5"/>
    <x v="822"/>
    <s v="C00000026"/>
    <x v="27"/>
    <s v="RA Resin 3317W (220Kg)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x v="539"/>
    <x v="9"/>
    <x v="5"/>
    <x v="822"/>
    <s v="C00000026"/>
    <x v="27"/>
    <s v="RA Butanox M50 (5Kg)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x v="539"/>
    <x v="9"/>
    <x v="5"/>
    <x v="822"/>
    <s v="C00000026"/>
    <x v="27"/>
    <s v="RM Talcum Powder (25Kg)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x v="540"/>
    <x v="9"/>
    <x v="5"/>
    <x v="823"/>
    <s v="C00000003"/>
    <x v="2"/>
    <s v="RA Resin 3317AW (220Kg)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x v="540"/>
    <x v="9"/>
    <x v="5"/>
    <x v="823"/>
    <s v="C00000003"/>
    <x v="2"/>
    <s v="RA Butanox M50 (5Kg)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x v="540"/>
    <x v="9"/>
    <x v="5"/>
    <x v="823"/>
    <s v="C00000003"/>
    <x v="2"/>
    <s v="RM TR104 Hi Temp Wax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x v="541"/>
    <x v="9"/>
    <x v="5"/>
    <x v="824"/>
    <s v="C00000010"/>
    <x v="9"/>
    <s v="RA Resin 3338W (220kg)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x v="541"/>
    <x v="9"/>
    <x v="5"/>
    <x v="824"/>
    <s v="C00000010"/>
    <x v="9"/>
    <s v="RA CSM 450 1040mm(W) (37kg)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x v="541"/>
    <x v="9"/>
    <x v="5"/>
    <x v="824"/>
    <s v="C00000010"/>
    <x v="9"/>
    <s v="RM Talcum Powder (25kg)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x v="541"/>
    <x v="9"/>
    <x v="5"/>
    <x v="824"/>
    <s v="C00000010"/>
    <x v="9"/>
    <s v="RA Butanox M50 (5kg)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x v="541"/>
    <x v="9"/>
    <x v="5"/>
    <x v="824"/>
    <s v="C00000010"/>
    <x v="9"/>
    <s v="RM Fume Silica HJSIL 200(10Kg)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x v="541"/>
    <x v="9"/>
    <x v="5"/>
    <x v="825"/>
    <s v="C00000042"/>
    <x v="43"/>
    <s v="RM Talcum Powder (25Kg)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x v="541"/>
    <x v="9"/>
    <x v="5"/>
    <x v="826"/>
    <s v="C00000042"/>
    <x v="43"/>
    <s v="RA Resin 3317W (220Kg)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x v="541"/>
    <x v="9"/>
    <x v="5"/>
    <x v="826"/>
    <s v="C00000042"/>
    <x v="43"/>
    <s v="RA CSM 450 64m(L) 1040mm(W) (30Kg)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x v="541"/>
    <x v="9"/>
    <x v="5"/>
    <x v="826"/>
    <s v="C00000042"/>
    <x v="43"/>
    <s v="RA Woven Roving E-600gm 1120mm (45Kg)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x v="541"/>
    <x v="9"/>
    <x v="5"/>
    <x v="826"/>
    <s v="C00000042"/>
    <x v="43"/>
    <s v="RM Pigment Paste Smooth Cream M19 (25Kg)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x v="541"/>
    <x v="9"/>
    <x v="5"/>
    <x v="826"/>
    <s v="C00000042"/>
    <x v="43"/>
    <s v="RM Pigment Grey RAL 7038 (10kg)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x v="541"/>
    <x v="9"/>
    <x v="5"/>
    <x v="826"/>
    <s v="C00000042"/>
    <x v="43"/>
    <s v="RA Mepoxe (5kg)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x v="542"/>
    <x v="9"/>
    <x v="5"/>
    <x v="827"/>
    <s v="C00000014"/>
    <x v="13"/>
    <s v="RA Resin 3338AW (220kg)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x v="542"/>
    <x v="9"/>
    <x v="5"/>
    <x v="827"/>
    <s v="C00000014"/>
    <x v="13"/>
    <s v="RA CSM 450 1040mm(W) (30kg)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x v="542"/>
    <x v="9"/>
    <x v="5"/>
    <x v="827"/>
    <s v="C00000014"/>
    <x v="13"/>
    <s v="RO Gelcoat LB988 (22kg)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x v="542"/>
    <x v="9"/>
    <x v="5"/>
    <x v="827"/>
    <s v="C00000014"/>
    <x v="13"/>
    <s v="RA Butanox M50 (5Kg)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x v="542"/>
    <x v="9"/>
    <x v="5"/>
    <x v="827"/>
    <s v="C00000014"/>
    <x v="13"/>
    <s v="RM Pigment Super White W2HV (5Kg)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x v="542"/>
    <x v="9"/>
    <x v="5"/>
    <x v="828"/>
    <s v="C00000048"/>
    <x v="50"/>
    <s v="RM Resin 3338W (20kg)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x v="542"/>
    <x v="9"/>
    <x v="5"/>
    <x v="829"/>
    <s v="C00000019"/>
    <x v="18"/>
    <s v="RA Nor 3338W (220Kg)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x v="542"/>
    <x v="9"/>
    <x v="5"/>
    <x v="829"/>
    <s v="C00000019"/>
    <x v="18"/>
    <s v="RM CSM 450 1860mm(W) (54kg)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x v="542"/>
    <x v="9"/>
    <x v="5"/>
    <x v="829"/>
    <s v="C00000019"/>
    <x v="18"/>
    <s v="RM Talcum Powder (25kg)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x v="542"/>
    <x v="9"/>
    <x v="5"/>
    <x v="829"/>
    <s v="C00000019"/>
    <x v="18"/>
    <s v="RA Butanox M50 (5kg)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x v="542"/>
    <x v="9"/>
    <x v="5"/>
    <x v="829"/>
    <s v="C00000019"/>
    <x v="18"/>
    <s v="RM Chemlease 71-90 EZ (1 gallon)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x v="542"/>
    <x v="9"/>
    <x v="5"/>
    <x v="829"/>
    <s v="C00000019"/>
    <x v="18"/>
    <s v="RO Polymal LB-9888 (22kg)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x v="542"/>
    <x v="9"/>
    <x v="5"/>
    <x v="829"/>
    <s v="C00000019"/>
    <x v="18"/>
    <s v="RM Pigment Trafic Orange RAL 2009 (5Kg)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x v="542"/>
    <x v="9"/>
    <x v="5"/>
    <x v="829"/>
    <s v="C00000019"/>
    <x v="18"/>
    <s v="RM TR104 Hi Temp Wax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x v="542"/>
    <x v="9"/>
    <x v="5"/>
    <x v="830"/>
    <s v="C00000042"/>
    <x v="43"/>
    <s v="RM Talcum Powder (25Kg)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x v="542"/>
    <x v="9"/>
    <x v="5"/>
    <x v="831"/>
    <s v="C00000042"/>
    <x v="43"/>
    <s v="RA Resin 3317W (220Kg)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x v="542"/>
    <x v="9"/>
    <x v="5"/>
    <x v="831"/>
    <s v="C00000042"/>
    <x v="43"/>
    <s v="RO CSM 450 64m(L) 1040mm(W) (37Kg)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x v="542"/>
    <x v="9"/>
    <x v="5"/>
    <x v="831"/>
    <s v="C00000042"/>
    <x v="43"/>
    <s v="RA Woven Roving E-600gm 1120mm (45Kg)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x v="542"/>
    <x v="9"/>
    <x v="5"/>
    <x v="831"/>
    <s v="C00000042"/>
    <x v="43"/>
    <s v="RM Pigment Paste Smooth Cream M19 (25Kg)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x v="542"/>
    <x v="9"/>
    <x v="5"/>
    <x v="831"/>
    <s v="C00000042"/>
    <x v="43"/>
    <s v="RA Mepoxe (5kg)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x v="543"/>
    <x v="9"/>
    <x v="5"/>
    <x v="832"/>
    <s v="C00000042"/>
    <x v="43"/>
    <s v="RM Talcum Powder (25Kg)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x v="543"/>
    <x v="9"/>
    <x v="5"/>
    <x v="833"/>
    <s v="C00000042"/>
    <x v="43"/>
    <s v="RA Resin 3317W (220Kg)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x v="543"/>
    <x v="9"/>
    <x v="5"/>
    <x v="833"/>
    <s v="C00000042"/>
    <x v="43"/>
    <s v="RO CSM 450 64m(L) 1040mm(W) (37Kg)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x v="543"/>
    <x v="9"/>
    <x v="5"/>
    <x v="833"/>
    <s v="C00000042"/>
    <x v="43"/>
    <s v="RA Woven Roving E-600gm 1120mm (45Kg)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x v="543"/>
    <x v="9"/>
    <x v="5"/>
    <x v="833"/>
    <s v="C00000042"/>
    <x v="43"/>
    <s v="RM Pigment Paste Smooth Cream M19 (25Kg)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x v="544"/>
    <x v="9"/>
    <x v="5"/>
    <x v="834"/>
    <s v="C00000037"/>
    <x v="38"/>
    <s v="RA Resin 3338W (220Kg)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x v="544"/>
    <x v="9"/>
    <x v="5"/>
    <x v="834"/>
    <s v="C00000037"/>
    <x v="38"/>
    <s v="RM CSM 450 64m(L) X 1860mm(W) (54kg)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x v="544"/>
    <x v="9"/>
    <x v="5"/>
    <x v="834"/>
    <s v="C00000037"/>
    <x v="38"/>
    <s v="RM Miracle Gloss Wax No. 8 (311g/Can)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x v="544"/>
    <x v="9"/>
    <x v="5"/>
    <x v="834"/>
    <s v="C00000037"/>
    <x v="38"/>
    <s v="RO Gelcoat LB9888 (22kg)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x v="544"/>
    <x v="9"/>
    <x v="5"/>
    <x v="834"/>
    <s v="C00000037"/>
    <x v="38"/>
    <s v="RA Mepoxe (5kg)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x v="545"/>
    <x v="9"/>
    <x v="5"/>
    <x v="835"/>
    <s v="C00000010"/>
    <x v="9"/>
    <s v="RA Resin 3338W (220kg)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x v="545"/>
    <x v="9"/>
    <x v="5"/>
    <x v="835"/>
    <s v="C00000010"/>
    <x v="9"/>
    <s v="RM CSM 450 1040mm(W) (30kg)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x v="545"/>
    <x v="9"/>
    <x v="5"/>
    <x v="835"/>
    <s v="C00000010"/>
    <x v="9"/>
    <s v="RM Talcum Powder (25kg)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x v="545"/>
    <x v="9"/>
    <x v="5"/>
    <x v="835"/>
    <s v="C00000010"/>
    <x v="9"/>
    <s v="RA Butanox M50 (5kg)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x v="545"/>
    <x v="9"/>
    <x v="5"/>
    <x v="835"/>
    <s v="C00000010"/>
    <x v="9"/>
    <s v="RM Fume Silica HJSIL 200 (10Kg)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x v="545"/>
    <x v="9"/>
    <x v="5"/>
    <x v="835"/>
    <s v="C00000010"/>
    <x v="9"/>
    <s v="RH Bosny Wax (15Kg)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x v="545"/>
    <x v="9"/>
    <x v="5"/>
    <x v="835"/>
    <s v="C00000010"/>
    <x v="9"/>
    <s v="RM Silicone Rubber RTV 2628 (25kg) c/w Hardener (1kg)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x v="546"/>
    <x v="9"/>
    <x v="5"/>
    <x v="836"/>
    <s v="C00000044"/>
    <x v="46"/>
    <s v="RA Resin 3338W (220kg)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x v="546"/>
    <x v="9"/>
    <x v="5"/>
    <x v="836"/>
    <s v="C00000044"/>
    <x v="46"/>
    <s v="RA CSM 450 1040mm(W) (30kg)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x v="546"/>
    <x v="9"/>
    <x v="5"/>
    <x v="836"/>
    <s v="C00000044"/>
    <x v="46"/>
    <s v="RA Woven Roving E-600gm 1000mm (40Kg)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x v="546"/>
    <x v="9"/>
    <x v="5"/>
    <x v="836"/>
    <s v="C00000044"/>
    <x v="46"/>
    <s v="RA Butanox M50 (5kg)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x v="547"/>
    <x v="9"/>
    <x v="5"/>
    <x v="837"/>
    <s v="C00000019"/>
    <x v="18"/>
    <s v="RA Nor 3338W (220Kg)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x v="547"/>
    <x v="9"/>
    <x v="5"/>
    <x v="837"/>
    <s v="C00000019"/>
    <x v="18"/>
    <s v="RM CSM 450 1860mm(W) (54kg)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x v="547"/>
    <x v="9"/>
    <x v="5"/>
    <x v="837"/>
    <s v="C00000019"/>
    <x v="18"/>
    <s v="RM Chemlease 71-90 EZ (1 gallon)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x v="548"/>
    <x v="9"/>
    <x v="5"/>
    <x v="838"/>
    <s v="C00000042"/>
    <x v="43"/>
    <s v="RM Talcum Powder (25Kg)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x v="548"/>
    <x v="9"/>
    <x v="5"/>
    <x v="839"/>
    <s v="C00000042"/>
    <x v="43"/>
    <s v="RA Resin 3317W (220Kg)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x v="548"/>
    <x v="9"/>
    <x v="5"/>
    <x v="839"/>
    <s v="C00000042"/>
    <x v="43"/>
    <s v="RM CSM 450 64m(L) 1040mm(W) (30Kg)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x v="548"/>
    <x v="9"/>
    <x v="5"/>
    <x v="839"/>
    <s v="C00000042"/>
    <x v="43"/>
    <s v="RA Woven Roving E-600gm 1120mm (45Kg)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x v="548"/>
    <x v="9"/>
    <x v="5"/>
    <x v="839"/>
    <s v="C00000042"/>
    <x v="43"/>
    <s v="RA Mepoxe (5kg)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x v="549"/>
    <x v="9"/>
    <x v="5"/>
    <x v="840"/>
    <s v="C00000021"/>
    <x v="21"/>
    <s v="RA Resin 3317AW (220Kg)"/>
    <n v="1"/>
    <s v="Cash"/>
    <n v="0"/>
    <d v="2024-03-30T00:00:00"/>
    <n v="3"/>
    <n v="2024"/>
    <n v="1738"/>
    <m/>
    <n v="1738"/>
    <n v="4497476.1500000004"/>
    <s v="PD Chq"/>
    <m/>
    <m/>
  </r>
  <r>
    <x v="549"/>
    <x v="9"/>
    <x v="5"/>
    <x v="840"/>
    <s v="C00000021"/>
    <x v="21"/>
    <s v="RO CSM 450 1040mm(W) (37kg)"/>
    <n v="3"/>
    <s v="Cash"/>
    <n v="0"/>
    <d v="2024-03-30T00:00:00"/>
    <n v="3"/>
    <n v="2024"/>
    <n v="832.5"/>
    <m/>
    <n v="832.5"/>
    <n v="4498308.6500000004"/>
    <s v="PD Chq"/>
    <m/>
    <m/>
  </r>
  <r>
    <x v="549"/>
    <x v="9"/>
    <x v="5"/>
    <x v="840"/>
    <s v="C00000021"/>
    <x v="21"/>
    <s v="RA Mepoxe (5kg)"/>
    <n v="1"/>
    <s v="Cash"/>
    <n v="0"/>
    <d v="2024-03-30T00:00:00"/>
    <n v="3"/>
    <n v="2024"/>
    <n v="95"/>
    <m/>
    <n v="95"/>
    <n v="4498403.6500000004"/>
    <s v="PD Chq"/>
    <m/>
    <m/>
  </r>
  <r>
    <x v="549"/>
    <x v="9"/>
    <x v="5"/>
    <x v="841"/>
    <s v="C00000003"/>
    <x v="2"/>
    <s v="RA Resin 3317AW (220Kg)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x v="549"/>
    <x v="9"/>
    <x v="5"/>
    <x v="841"/>
    <s v="C00000003"/>
    <x v="2"/>
    <s v="RA Butanox M50 (5Kg)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x v="550"/>
    <x v="10"/>
    <x v="5"/>
    <x v="842"/>
    <s v="C00000044"/>
    <x v="46"/>
    <s v="RA Resin 3338W (220kg)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x v="550"/>
    <x v="10"/>
    <x v="5"/>
    <x v="842"/>
    <s v="C00000044"/>
    <x v="46"/>
    <s v="RA CSM 450 1040mm(W) (30kg)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x v="551"/>
    <x v="10"/>
    <x v="5"/>
    <x v="843"/>
    <s v="C00000009"/>
    <x v="8"/>
    <s v="RM Nor 3338W (220Kg)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x v="551"/>
    <x v="10"/>
    <x v="5"/>
    <x v="843"/>
    <s v="C00000009"/>
    <x v="8"/>
    <s v="RM Nor 3338NW (220Kg)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x v="551"/>
    <x v="10"/>
    <x v="5"/>
    <x v="843"/>
    <s v="C00000009"/>
    <x v="8"/>
    <s v="RM CSM 450 1860mm(W) (54kg)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x v="551"/>
    <x v="10"/>
    <x v="5"/>
    <x v="843"/>
    <s v="C00000009"/>
    <x v="8"/>
    <s v="RM CSM 300 1860mm(W) (54Kg)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x v="551"/>
    <x v="10"/>
    <x v="5"/>
    <x v="843"/>
    <s v="C00000009"/>
    <x v="8"/>
    <s v="RM Talcum Powder (25Kg)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x v="551"/>
    <x v="10"/>
    <x v="5"/>
    <x v="843"/>
    <s v="C00000009"/>
    <x v="8"/>
    <s v="RM Fume Silica HJSIL 200 (10Kg)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x v="552"/>
    <x v="10"/>
    <x v="5"/>
    <x v="844"/>
    <s v="C00000009"/>
    <x v="8"/>
    <s v="RM Accelerator (4kg)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x v="552"/>
    <x v="10"/>
    <x v="5"/>
    <x v="845"/>
    <s v="C00000019"/>
    <x v="18"/>
    <s v="RM Nor 3338W (220Kg)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x v="552"/>
    <x v="10"/>
    <x v="5"/>
    <x v="845"/>
    <s v="C00000019"/>
    <x v="18"/>
    <s v="RM CSM 450 1860mm(W) (54kg)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x v="552"/>
    <x v="10"/>
    <x v="5"/>
    <x v="845"/>
    <s v="C00000019"/>
    <x v="18"/>
    <s v="RM Chemlease 71-90 EZ (1 gallon)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x v="552"/>
    <x v="10"/>
    <x v="5"/>
    <x v="845"/>
    <s v="C00000019"/>
    <x v="18"/>
    <s v="RM Pigment Super White (5Kg)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x v="552"/>
    <x v="10"/>
    <x v="5"/>
    <x v="846"/>
    <s v="C00000021"/>
    <x v="21"/>
    <s v="RA Resin 3317AW (220Kg)"/>
    <n v="1"/>
    <s v="Cash"/>
    <n v="0"/>
    <d v="2024-04-08T00:00:00"/>
    <n v="4"/>
    <n v="2024"/>
    <n v="1738"/>
    <m/>
    <n v="1738"/>
    <n v="4503120.95"/>
    <s v="PD Chq"/>
    <m/>
    <m/>
  </r>
  <r>
    <x v="552"/>
    <x v="10"/>
    <x v="5"/>
    <x v="846"/>
    <s v="C00000021"/>
    <x v="21"/>
    <s v="RO CSM 450 1040mm(W) (37kg)"/>
    <n v="3"/>
    <s v="Cash"/>
    <n v="0"/>
    <d v="2024-04-08T00:00:00"/>
    <n v="4"/>
    <n v="2024"/>
    <n v="832.5"/>
    <m/>
    <n v="832.5"/>
    <n v="4503953.45"/>
    <s v="PD Chq"/>
    <m/>
    <m/>
  </r>
  <r>
    <x v="552"/>
    <x v="10"/>
    <x v="5"/>
    <x v="846"/>
    <s v="C00000021"/>
    <x v="21"/>
    <s v="RA Mepoxe (5kg)"/>
    <n v="1"/>
    <s v="Cash"/>
    <n v="0"/>
    <d v="2024-04-08T00:00:00"/>
    <n v="4"/>
    <n v="2024"/>
    <n v="95"/>
    <m/>
    <n v="95"/>
    <n v="4504048.45"/>
    <s v="PD Chq"/>
    <m/>
    <m/>
  </r>
  <r>
    <x v="553"/>
    <x v="10"/>
    <x v="5"/>
    <x v="847"/>
    <s v="C00000042"/>
    <x v="43"/>
    <s v="RM Pigment Paste Smooth Cream M19 (25Kg)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x v="554"/>
    <x v="10"/>
    <x v="5"/>
    <x v="848"/>
    <s v="C00000006"/>
    <x v="5"/>
    <s v="RA Nor 3338W (220Kg)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x v="554"/>
    <x v="10"/>
    <x v="5"/>
    <x v="848"/>
    <s v="C00000006"/>
    <x v="5"/>
    <s v="RA CSM 450 1040mm(W) (30Kg)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x v="554"/>
    <x v="10"/>
    <x v="5"/>
    <x v="849"/>
    <s v="C00000042"/>
    <x v="43"/>
    <s v="RM Talcum Powder (25Kg)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x v="554"/>
    <x v="10"/>
    <x v="5"/>
    <x v="850"/>
    <s v="C00000042"/>
    <x v="43"/>
    <s v="RA Resin 3317W (220Kg)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x v="554"/>
    <x v="10"/>
    <x v="5"/>
    <x v="850"/>
    <s v="C00000042"/>
    <x v="43"/>
    <s v="RA CSM 450 64m(L) 1040mm(W) (30Kg)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x v="554"/>
    <x v="10"/>
    <x v="5"/>
    <x v="850"/>
    <s v="C00000042"/>
    <x v="43"/>
    <s v="RA Woven Roving E-600gm 1120mm (45Kg)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x v="554"/>
    <x v="10"/>
    <x v="5"/>
    <x v="850"/>
    <s v="C00000042"/>
    <x v="43"/>
    <s v="RA Mepoxe (5kg)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x v="554"/>
    <x v="10"/>
    <x v="5"/>
    <x v="850"/>
    <s v="C00000042"/>
    <x v="43"/>
    <s v="RM Pigment Paste Smooth Cream M19 (25Kg)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x v="555"/>
    <x v="10"/>
    <x v="5"/>
    <x v="851"/>
    <s v="C00000019"/>
    <x v="18"/>
    <s v="RM Nor 3338W (220Kg)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x v="555"/>
    <x v="10"/>
    <x v="5"/>
    <x v="851"/>
    <s v="C00000019"/>
    <x v="18"/>
    <s v="RM Talcum Powder (25kg)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x v="556"/>
    <x v="10"/>
    <x v="5"/>
    <x v="852"/>
    <s v="C00000010"/>
    <x v="9"/>
    <s v="RA Resin 3338W (220kg)"/>
    <n v="6"/>
    <n v="120"/>
    <n v="120"/>
    <d v="2024-08-20T00:00:00"/>
    <n v="8"/>
    <n v="2024"/>
    <n v="9768"/>
    <n v="-9768"/>
    <n v="0"/>
    <n v="4538235.95"/>
    <s v="Trsf"/>
    <s v="Trsf 27/9/24 RM27,539.00"/>
    <m/>
  </r>
  <r>
    <x v="556"/>
    <x v="10"/>
    <x v="5"/>
    <x v="852"/>
    <s v="C00000010"/>
    <x v="9"/>
    <s v="RA CSM 450 1040mm(W) (30kg)"/>
    <n v="10"/>
    <n v="120"/>
    <n v="120"/>
    <d v="2024-08-20T00:00:00"/>
    <n v="8"/>
    <n v="2024"/>
    <n v="1740"/>
    <n v="-1740"/>
    <n v="0"/>
    <n v="4539975.95"/>
    <s v="Trsf"/>
    <s v="Trsf 27/9/24 RM27,539.00"/>
    <m/>
  </r>
  <r>
    <x v="556"/>
    <x v="10"/>
    <x v="5"/>
    <x v="852"/>
    <s v="C00000010"/>
    <x v="9"/>
    <s v="RA Butanox M50 (5kg)"/>
    <n v="4"/>
    <n v="120"/>
    <n v="120"/>
    <d v="2024-08-20T00:00:00"/>
    <n v="8"/>
    <n v="2024"/>
    <n v="440"/>
    <n v="-440"/>
    <n v="0"/>
    <n v="4540415.95"/>
    <s v="Trsf"/>
    <s v="Trsf 27/9/24 RM27,539.00"/>
    <m/>
  </r>
  <r>
    <x v="556"/>
    <x v="10"/>
    <x v="5"/>
    <x v="852"/>
    <s v="C00000010"/>
    <x v="9"/>
    <s v="RH Bosny Wax (15Kg)"/>
    <n v="1"/>
    <n v="120"/>
    <n v="120"/>
    <d v="2024-08-20T00:00:00"/>
    <n v="8"/>
    <n v="2024"/>
    <n v="395"/>
    <n v="-395"/>
    <n v="0"/>
    <n v="4540810.95"/>
    <s v="Trsf"/>
    <s v="Trsf 27/9/24 RM27,539.00"/>
    <m/>
  </r>
  <r>
    <x v="557"/>
    <x v="10"/>
    <x v="5"/>
    <x v="853"/>
    <s v="C00000014"/>
    <x v="13"/>
    <s v="RA Resin 3338AW (220kg)"/>
    <n v="1"/>
    <s v="Cash"/>
    <n v="0"/>
    <d v="2024-04-24T00:00:00"/>
    <n v="4"/>
    <n v="2024"/>
    <n v="1628"/>
    <n v="-1628"/>
    <n v="0"/>
    <n v="4542438.95"/>
    <s v="Cash"/>
    <s v="Cash 29/4/24 RM3,087.80"/>
    <m/>
  </r>
  <r>
    <x v="557"/>
    <x v="10"/>
    <x v="5"/>
    <x v="853"/>
    <s v="C00000014"/>
    <x v="13"/>
    <s v="RA CSM 450 1040mm(W) (30kg)"/>
    <n v="3"/>
    <s v="Cash"/>
    <n v="0"/>
    <d v="2024-04-24T00:00:00"/>
    <n v="4"/>
    <n v="2024"/>
    <n v="621"/>
    <n v="-621"/>
    <n v="0"/>
    <n v="4543059.95"/>
    <s v="Cash"/>
    <s v="Cash 29/4/24 RM3,087.80"/>
    <m/>
  </r>
  <r>
    <x v="557"/>
    <x v="10"/>
    <x v="5"/>
    <x v="853"/>
    <s v="C00000014"/>
    <x v="13"/>
    <s v="RO Gelcoat LB988 (22kg)"/>
    <n v="1"/>
    <s v="Cash"/>
    <n v="0"/>
    <d v="2024-04-24T00:00:00"/>
    <n v="4"/>
    <n v="2024"/>
    <n v="283.8"/>
    <n v="-283.8"/>
    <n v="0"/>
    <n v="4543343.75"/>
    <s v="Cash"/>
    <s v="Cash 29/4/24 RM3,087.80"/>
    <m/>
  </r>
  <r>
    <x v="557"/>
    <x v="10"/>
    <x v="5"/>
    <x v="853"/>
    <s v="C00000014"/>
    <x v="13"/>
    <s v="RM Pigment Super White W2HV (5Kg)"/>
    <n v="1"/>
    <s v="Cash"/>
    <n v="0"/>
    <d v="2024-04-24T00:00:00"/>
    <n v="4"/>
    <n v="2024"/>
    <n v="160"/>
    <n v="-160"/>
    <n v="0"/>
    <n v="4543503.75"/>
    <s v="Cash"/>
    <s v="Cash 29/4/24 RM3,087.80"/>
    <m/>
  </r>
  <r>
    <x v="557"/>
    <x v="10"/>
    <x v="5"/>
    <x v="853"/>
    <s v="C00000014"/>
    <x v="13"/>
    <s v="RM Pigment Light Grey G1 (5kg)"/>
    <n v="1"/>
    <s v="Cash"/>
    <n v="0"/>
    <d v="2024-04-24T00:00:00"/>
    <n v="4"/>
    <n v="2024"/>
    <n v="165"/>
    <n v="-165"/>
    <n v="0"/>
    <n v="4543668.75"/>
    <s v="Cash"/>
    <s v="Cash 29/4/24 RM3,087.80"/>
    <m/>
  </r>
  <r>
    <x v="557"/>
    <x v="10"/>
    <x v="5"/>
    <x v="853"/>
    <s v="C00000014"/>
    <x v="13"/>
    <s v="RA Butanox M50 (5Kg)"/>
    <n v="1"/>
    <s v="Cash"/>
    <n v="0"/>
    <d v="2024-04-24T00:00:00"/>
    <n v="4"/>
    <n v="2024"/>
    <n v="110"/>
    <n v="-110"/>
    <n v="0"/>
    <n v="4543778.75"/>
    <s v="Cash"/>
    <s v="Cash 29/4/24 RM3,087.80"/>
    <m/>
  </r>
  <r>
    <x v="557"/>
    <x v="10"/>
    <x v="5"/>
    <x v="853"/>
    <s v="C00000014"/>
    <x v="13"/>
    <s v="RM TR104 Hi Temp Wax"/>
    <n v="2"/>
    <s v="Cash"/>
    <n v="0"/>
    <d v="2024-04-24T00:00:00"/>
    <n v="4"/>
    <n v="2024"/>
    <n v="120"/>
    <n v="-120"/>
    <n v="0"/>
    <n v="4543898.75"/>
    <s v="Cash"/>
    <s v="Cash 29/4/24 RM3,087.80"/>
    <m/>
  </r>
  <r>
    <x v="558"/>
    <x v="10"/>
    <x v="5"/>
    <x v="854"/>
    <s v="C00000021"/>
    <x v="21"/>
    <s v="RA Resin 3317AW (220Kg)"/>
    <n v="1"/>
    <s v="Cash"/>
    <n v="0"/>
    <d v="2024-04-25T00:00:00"/>
    <n v="4"/>
    <n v="2024"/>
    <n v="1738"/>
    <m/>
    <n v="1738"/>
    <n v="4545636.75"/>
    <s v="PD Chq"/>
    <m/>
    <m/>
  </r>
  <r>
    <x v="558"/>
    <x v="10"/>
    <x v="5"/>
    <x v="854"/>
    <s v="C00000021"/>
    <x v="21"/>
    <s v="RO CSM 450 1040mm(W) (37kg)"/>
    <n v="2"/>
    <s v="Cash"/>
    <n v="0"/>
    <d v="2024-04-25T00:00:00"/>
    <n v="4"/>
    <n v="2024"/>
    <n v="555"/>
    <m/>
    <n v="555"/>
    <n v="4470238.1499999994"/>
    <s v="PD Chq"/>
    <m/>
    <m/>
  </r>
  <r>
    <x v="558"/>
    <x v="10"/>
    <x v="5"/>
    <x v="854"/>
    <s v="C00000021"/>
    <x v="21"/>
    <s v="RA Mepoxe (5kg)"/>
    <n v="1"/>
    <s v="Cash"/>
    <n v="0"/>
    <d v="2024-04-25T00:00:00"/>
    <n v="4"/>
    <n v="2024"/>
    <n v="95"/>
    <m/>
    <n v="95"/>
    <n v="4471328.1499999994"/>
    <s v="PD Chq"/>
    <m/>
    <m/>
  </r>
  <r>
    <x v="558"/>
    <x v="10"/>
    <x v="5"/>
    <x v="854"/>
    <s v="C00000021"/>
    <x v="21"/>
    <s v="RA Talcum Powder (25Kg)"/>
    <n v="5"/>
    <s v="Cash"/>
    <n v="0"/>
    <d v="2024-04-25T00:00:00"/>
    <n v="4"/>
    <n v="2024"/>
    <n v="312.5"/>
    <m/>
    <n v="312.5"/>
    <n v="4473173.6499999994"/>
    <s v="PD Chq"/>
    <m/>
    <m/>
  </r>
  <r>
    <x v="558"/>
    <x v="10"/>
    <x v="5"/>
    <x v="854"/>
    <s v="C00000021"/>
    <x v="21"/>
    <s v="RA Honeywax 250"/>
    <n v="12"/>
    <s v="Cash"/>
    <n v="0"/>
    <d v="2024-04-25T00:00:00"/>
    <n v="4"/>
    <n v="2024"/>
    <n v="480"/>
    <m/>
    <n v="480"/>
    <n v="4473761.1499999994"/>
    <s v="PD Chq"/>
    <m/>
    <m/>
  </r>
  <r>
    <x v="559"/>
    <x v="10"/>
    <x v="5"/>
    <x v="855"/>
    <s v="C00000044"/>
    <x v="46"/>
    <s v="RA Resin 3338W (220kg)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x v="559"/>
    <x v="10"/>
    <x v="5"/>
    <x v="855"/>
    <s v="C00000044"/>
    <x v="46"/>
    <s v="RA CSM 450 1040mm(W) (30kg)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x v="559"/>
    <x v="10"/>
    <x v="5"/>
    <x v="855"/>
    <s v="C00000044"/>
    <x v="46"/>
    <s v="RM TR104 Hi Temp Wax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x v="560"/>
    <x v="10"/>
    <x v="5"/>
    <x v="856"/>
    <s v="C00000019"/>
    <x v="18"/>
    <s v="RM Fume Silica HJSIL 200(10Kg)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x v="560"/>
    <x v="10"/>
    <x v="5"/>
    <x v="856"/>
    <s v="C00000019"/>
    <x v="18"/>
    <s v="RA Butanox M50 (5kg)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x v="560"/>
    <x v="10"/>
    <x v="5"/>
    <x v="857"/>
    <s v="C00000041"/>
    <x v="42"/>
    <s v="RA CSM 300 1040mm(W) (30kg)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x v="560"/>
    <x v="10"/>
    <x v="5"/>
    <x v="857"/>
    <s v="C00000041"/>
    <x v="42"/>
    <s v="RA Coverall PVA (1 Gallon)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x v="560"/>
    <x v="10"/>
    <x v="5"/>
    <x v="858"/>
    <s v="C00000009"/>
    <x v="8"/>
    <s v="RM Nor 3338W (220Kg)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x v="560"/>
    <x v="10"/>
    <x v="5"/>
    <x v="858"/>
    <s v="C00000009"/>
    <x v="8"/>
    <s v="RM Nor 3338NW (220Kg)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x v="560"/>
    <x v="10"/>
    <x v="5"/>
    <x v="858"/>
    <s v="C00000009"/>
    <x v="8"/>
    <s v="RE Frekote 770NC (1 Gallon)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x v="560"/>
    <x v="10"/>
    <x v="5"/>
    <x v="859"/>
    <s v="C00000042"/>
    <x v="43"/>
    <s v="RM Talcum Powder (25Kg)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x v="560"/>
    <x v="10"/>
    <x v="5"/>
    <x v="859"/>
    <s v="C00000042"/>
    <x v="43"/>
    <s v="RQ Talcum Powder (10Kg)    F.O.C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x v="560"/>
    <x v="10"/>
    <x v="5"/>
    <x v="860"/>
    <s v="C00000042"/>
    <x v="43"/>
    <s v="RA Resin 3317W (220Kg)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x v="560"/>
    <x v="10"/>
    <x v="5"/>
    <x v="860"/>
    <s v="C00000042"/>
    <x v="43"/>
    <s v="RA CSM 450 64m(L) 1040mm(W) (30Kg)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x v="560"/>
    <x v="10"/>
    <x v="5"/>
    <x v="860"/>
    <s v="C00000042"/>
    <x v="43"/>
    <s v="RA Woven Roving E-600gm 1120mm (45Kg)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x v="560"/>
    <x v="10"/>
    <x v="5"/>
    <x v="860"/>
    <s v="C00000042"/>
    <x v="43"/>
    <s v="RM Pigment Paste Smooth Cream M19 (25Kg)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x v="561"/>
    <x v="11"/>
    <x v="5"/>
    <x v="861"/>
    <s v="C00000019"/>
    <x v="18"/>
    <s v="RA Nor 3338W (220Kg)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x v="561"/>
    <x v="11"/>
    <x v="5"/>
    <x v="861"/>
    <s v="C00000019"/>
    <x v="18"/>
    <s v="RM CSM 450 1860mm(W) (54kg)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x v="561"/>
    <x v="11"/>
    <x v="5"/>
    <x v="861"/>
    <s v="C00000019"/>
    <x v="18"/>
    <s v="RM Chemlease 71-90 EZ (1 gallon)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x v="561"/>
    <x v="11"/>
    <x v="5"/>
    <x v="861"/>
    <s v="C00000019"/>
    <x v="18"/>
    <s v="RM Talcum Powder (25kg)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x v="562"/>
    <x v="11"/>
    <x v="5"/>
    <x v="862"/>
    <s v="C00000014"/>
    <x v="13"/>
    <s v="RO Gelcoat LB988 (22kg)"/>
    <n v="1"/>
    <s v="Cash"/>
    <n v="0"/>
    <d v="2024-05-03T00:00:00"/>
    <n v="5"/>
    <n v="2024"/>
    <n v="283.8"/>
    <n v="-283.8"/>
    <n v="0"/>
    <n v="4528433.45"/>
    <s v="Cash"/>
    <s v="Cash 14/5/24 RM443.80"/>
    <m/>
  </r>
  <r>
    <x v="562"/>
    <x v="11"/>
    <x v="5"/>
    <x v="862"/>
    <s v="C00000014"/>
    <x v="13"/>
    <s v="RM Pigment Super White W2HV (5Kg)"/>
    <n v="1"/>
    <s v="Cash"/>
    <n v="0"/>
    <d v="2024-05-03T00:00:00"/>
    <n v="5"/>
    <n v="2024"/>
    <n v="160"/>
    <n v="-160"/>
    <n v="0"/>
    <n v="4530048.45"/>
    <s v="Cash"/>
    <s v="Cash 14/5/24 RM443.80"/>
    <m/>
  </r>
  <r>
    <x v="563"/>
    <x v="11"/>
    <x v="5"/>
    <x v="863"/>
    <s v="C00000042"/>
    <x v="43"/>
    <s v="RM Talcum Powder (25Kg)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x v="563"/>
    <x v="11"/>
    <x v="5"/>
    <x v="864"/>
    <s v="C00000042"/>
    <x v="43"/>
    <s v="RM Resin 3317W (220Kg)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x v="563"/>
    <x v="11"/>
    <x v="5"/>
    <x v="864"/>
    <s v="C00000042"/>
    <x v="43"/>
    <s v="RA CSM 450 64m(L) 1040mm(W) (30Kg)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x v="563"/>
    <x v="11"/>
    <x v="5"/>
    <x v="864"/>
    <s v="C00000042"/>
    <x v="43"/>
    <s v="RA Woven Roving E-600gm 1120mm (45Kg)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x v="563"/>
    <x v="11"/>
    <x v="5"/>
    <x v="864"/>
    <s v="C00000042"/>
    <x v="43"/>
    <s v="RM Pigment Paste Smooth Cream M19 (25Kg)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x v="563"/>
    <x v="11"/>
    <x v="5"/>
    <x v="864"/>
    <s v="C00000042"/>
    <x v="43"/>
    <s v="RA Mepoxe (5kg)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x v="564"/>
    <x v="11"/>
    <x v="5"/>
    <x v="865"/>
    <s v="C00000026"/>
    <x v="27"/>
    <s v="RM Resin 3317W (220Kg)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x v="564"/>
    <x v="11"/>
    <x v="5"/>
    <x v="865"/>
    <s v="C00000026"/>
    <x v="27"/>
    <s v="RM CSM 450 1860mm(W) (54kg)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x v="564"/>
    <x v="11"/>
    <x v="5"/>
    <x v="865"/>
    <s v="C00000026"/>
    <x v="27"/>
    <s v="RA Butanox M50 (5Kg)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x v="564"/>
    <x v="11"/>
    <x v="5"/>
    <x v="865"/>
    <s v="C00000026"/>
    <x v="27"/>
    <s v="RO Gelcoat LB9888 (22kg)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x v="564"/>
    <x v="11"/>
    <x v="5"/>
    <x v="865"/>
    <s v="C00000026"/>
    <x v="27"/>
    <s v="RM TR104 Hi Temp Wax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x v="564"/>
    <x v="11"/>
    <x v="5"/>
    <x v="865"/>
    <s v="C00000026"/>
    <x v="27"/>
    <s v="RD Brush 2&quot; (12pcs)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x v="565"/>
    <x v="11"/>
    <x v="5"/>
    <x v="866"/>
    <s v="C00000037"/>
    <x v="38"/>
    <s v="RM Resin 3338W (220Kg)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x v="565"/>
    <x v="11"/>
    <x v="5"/>
    <x v="866"/>
    <s v="C00000037"/>
    <x v="38"/>
    <s v="RM CSM 450 64m(L) X 1860mm(W) (54kg)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x v="565"/>
    <x v="11"/>
    <x v="5"/>
    <x v="866"/>
    <s v="C00000037"/>
    <x v="38"/>
    <s v="RM CSM 300 64m(L) X 1860mm(W) (54kg)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x v="565"/>
    <x v="11"/>
    <x v="5"/>
    <x v="866"/>
    <s v="C00000037"/>
    <x v="38"/>
    <s v="RM Miracle Gloss Wax No. 8 (311g/Can)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x v="565"/>
    <x v="11"/>
    <x v="5"/>
    <x v="866"/>
    <s v="C00000037"/>
    <x v="38"/>
    <s v="RM Talcum Powder (25Kg)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x v="566"/>
    <x v="11"/>
    <x v="5"/>
    <x v="867"/>
    <s v="C00000006"/>
    <x v="5"/>
    <s v="RA Nor 3338W (220Kg)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x v="566"/>
    <x v="11"/>
    <x v="5"/>
    <x v="867"/>
    <s v="C00000006"/>
    <x v="5"/>
    <s v="RA CSM 450 1040mm(W) (30Kg)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x v="566"/>
    <x v="11"/>
    <x v="5"/>
    <x v="867"/>
    <s v="C00000006"/>
    <x v="5"/>
    <s v="RA Butanox M50 (5Kg)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x v="566"/>
    <x v="11"/>
    <x v="5"/>
    <x v="867"/>
    <s v="C00000006"/>
    <x v="5"/>
    <s v="RD Steel Roller 4&quot;"/>
    <n v="2"/>
    <s v="Cash"/>
    <n v="0"/>
    <d v="2024-05-10T00:00:00"/>
    <n v="5"/>
    <n v="2024"/>
    <n v="96"/>
    <n v="-96"/>
    <n v="0"/>
    <n v="4551333.25"/>
    <s v="Chq"/>
    <s v="Cash deposit 30/7/24 RM5,577.00"/>
    <m/>
  </r>
  <r>
    <x v="566"/>
    <x v="11"/>
    <x v="5"/>
    <x v="867"/>
    <s v="C00000006"/>
    <x v="5"/>
    <s v="RM Pigment Paste Petronas Green H4 (5kg)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x v="566"/>
    <x v="11"/>
    <x v="5"/>
    <x v="867"/>
    <s v="C00000006"/>
    <x v="5"/>
    <s v="RM Pigment Pearl Grey G2 (5Kg)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x v="565"/>
    <x v="11"/>
    <x v="5"/>
    <x v="868"/>
    <s v="C00000042"/>
    <x v="43"/>
    <s v="RM Talcum Powder (25Kg)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x v="565"/>
    <x v="11"/>
    <x v="5"/>
    <x v="869"/>
    <s v="C00000042"/>
    <x v="43"/>
    <s v="RM Resin 3317W (220Kg)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x v="565"/>
    <x v="11"/>
    <x v="5"/>
    <x v="869"/>
    <s v="C00000042"/>
    <x v="43"/>
    <s v="RA CSM 450 64m(L) 1040mm(W) (30Kg)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x v="565"/>
    <x v="11"/>
    <x v="5"/>
    <x v="869"/>
    <s v="C00000042"/>
    <x v="43"/>
    <s v="RA Woven Roving E-600gm 1120mm (45Kg)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x v="565"/>
    <x v="11"/>
    <x v="5"/>
    <x v="869"/>
    <s v="C00000042"/>
    <x v="43"/>
    <s v="RM Pigment Paste Smooth Cream M19 (25Kg)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x v="565"/>
    <x v="11"/>
    <x v="5"/>
    <x v="869"/>
    <s v="C00000042"/>
    <x v="43"/>
    <s v="RA Mepoxe (5kg)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x v="566"/>
    <x v="11"/>
    <x v="5"/>
    <x v="870"/>
    <s v="C00000019"/>
    <x v="18"/>
    <s v="RA Nor 3338W (220Kg)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x v="566"/>
    <x v="11"/>
    <x v="5"/>
    <x v="870"/>
    <s v="C00000019"/>
    <x v="18"/>
    <s v="RO CSM 450 1860mm(W) (54kg)"/>
    <n v="1"/>
    <s v="Cash"/>
    <n v="0"/>
    <d v="2024-05-10T00:00:00"/>
    <n v="5"/>
    <n v="2024"/>
    <n v="405"/>
    <m/>
    <n v="405"/>
    <n v="4573232.75"/>
    <s v="Trsf"/>
    <m/>
    <m/>
  </r>
  <r>
    <x v="566"/>
    <x v="11"/>
    <x v="5"/>
    <x v="870"/>
    <s v="C00000019"/>
    <x v="18"/>
    <s v="RM Talcum Powder (25kg)"/>
    <n v="3"/>
    <s v="Cash"/>
    <n v="0"/>
    <d v="2024-05-10T00:00:00"/>
    <n v="5"/>
    <n v="2024"/>
    <n v="187.5"/>
    <m/>
    <n v="187.5"/>
    <n v="4574887.25"/>
    <s v="Trsf"/>
    <m/>
    <m/>
  </r>
  <r>
    <x v="566"/>
    <x v="11"/>
    <x v="5"/>
    <x v="870"/>
    <s v="C00000019"/>
    <x v="18"/>
    <s v="RM Pigment Super Black PE30 (5kg)"/>
    <n v="1"/>
    <s v="Cash"/>
    <n v="0"/>
    <d v="2024-05-10T00:00:00"/>
    <n v="5"/>
    <n v="2024"/>
    <n v="160"/>
    <m/>
    <n v="160"/>
    <n v="4575859.75"/>
    <s v="Trsf"/>
    <m/>
    <m/>
  </r>
  <r>
    <x v="566"/>
    <x v="11"/>
    <x v="5"/>
    <x v="871"/>
    <s v="C00000010"/>
    <x v="9"/>
    <s v="RA Resin 3338W (220kg)"/>
    <n v="6"/>
    <n v="120"/>
    <n v="120"/>
    <d v="2024-09-07T00:00:00"/>
    <n v="9"/>
    <n v="2024"/>
    <n v="9768"/>
    <n v="-9768"/>
    <n v="0"/>
    <n v="4532478.45"/>
    <s v="Trsf"/>
    <s v="Trsf 21/10/24 RM13,338.00"/>
    <m/>
  </r>
  <r>
    <x v="566"/>
    <x v="11"/>
    <x v="5"/>
    <x v="871"/>
    <s v="C00000010"/>
    <x v="9"/>
    <s v="RM CSM 450 1040mm(W) (30kg)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x v="566"/>
    <x v="11"/>
    <x v="5"/>
    <x v="871"/>
    <s v="C00000010"/>
    <x v="9"/>
    <s v="RM Talcum Powder (25kg)"/>
    <n v="10"/>
    <n v="120"/>
    <n v="120"/>
    <d v="2024-09-07T00:00:00"/>
    <n v="9"/>
    <n v="2024"/>
    <n v="575"/>
    <n v="-575"/>
    <n v="0"/>
    <n v="4527735.45"/>
    <s v="Trsf"/>
    <s v="Trsf 21/10/24 RM13,338.00"/>
    <m/>
  </r>
  <r>
    <x v="566"/>
    <x v="11"/>
    <x v="5"/>
    <x v="871"/>
    <s v="C00000010"/>
    <x v="9"/>
    <s v="RA Butanox M50 (5kg)"/>
    <n v="4"/>
    <n v="120"/>
    <n v="120"/>
    <d v="2024-09-07T00:00:00"/>
    <n v="9"/>
    <n v="2024"/>
    <n v="440"/>
    <n v="-440"/>
    <n v="0"/>
    <n v="4527777.95"/>
    <s v="Trsf"/>
    <s v="Trsf 21/10/24 RM13,338.00"/>
    <m/>
  </r>
  <r>
    <x v="566"/>
    <x v="11"/>
    <x v="5"/>
    <x v="871"/>
    <s v="C00000010"/>
    <x v="9"/>
    <s v="RM Fume Silica HJSIL 200 (10Kg)"/>
    <n v="1"/>
    <n v="120"/>
    <n v="120"/>
    <d v="2024-09-07T00:00:00"/>
    <n v="9"/>
    <n v="2024"/>
    <n v="420"/>
    <n v="-420"/>
    <n v="0"/>
    <n v="4528853.45"/>
    <s v="Trsf"/>
    <s v="Trsf 21/10/24 RM13,338.00"/>
    <m/>
  </r>
  <r>
    <x v="566"/>
    <x v="11"/>
    <x v="5"/>
    <x v="871"/>
    <s v="C00000010"/>
    <x v="9"/>
    <s v="RH Bosny Wax (15Kg)"/>
    <n v="1"/>
    <n v="120"/>
    <n v="120"/>
    <d v="2024-09-07T00:00:00"/>
    <n v="9"/>
    <n v="2024"/>
    <n v="395"/>
    <n v="-395"/>
    <n v="0"/>
    <n v="4530443.45"/>
    <s v="Trsf"/>
    <s v="Trsf 21/10/24 RM13,338.00"/>
    <m/>
  </r>
  <r>
    <x v="567"/>
    <x v="11"/>
    <x v="5"/>
    <x v="872"/>
    <s v="C00000042"/>
    <x v="43"/>
    <s v="RA CSM 450 64m(L) 1040mm(W) (30Kg)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x v="567"/>
    <x v="11"/>
    <x v="5"/>
    <x v="872"/>
    <s v="C00000042"/>
    <x v="43"/>
    <s v="RA Woven Roving E-600gm 1120mm (45Kg)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x v="567"/>
    <x v="11"/>
    <x v="5"/>
    <x v="872"/>
    <s v="C00000042"/>
    <x v="43"/>
    <s v="RM Pigment Paste Smooth Cream M19 (25Kg)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x v="567"/>
    <x v="11"/>
    <x v="5"/>
    <x v="872"/>
    <s v="C00000042"/>
    <x v="43"/>
    <s v="RA Mepoxe (5kg)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x v="568"/>
    <x v="11"/>
    <x v="5"/>
    <x v="873"/>
    <s v="C00000042"/>
    <x v="43"/>
    <s v="RM Talcum Powder (25Kg)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x v="568"/>
    <x v="11"/>
    <x v="5"/>
    <x v="874"/>
    <s v="C00000042"/>
    <x v="43"/>
    <s v="RM Resin 3317W (220Kg)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x v="568"/>
    <x v="11"/>
    <x v="5"/>
    <x v="874"/>
    <s v="C00000042"/>
    <x v="43"/>
    <s v="RA CSM 450 64m(L) 1040mm(W) (30Kg)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x v="568"/>
    <x v="11"/>
    <x v="5"/>
    <x v="874"/>
    <s v="C00000042"/>
    <x v="43"/>
    <s v="RA Woven Roving E-600gm 1120mm (45Kg)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x v="568"/>
    <x v="11"/>
    <x v="5"/>
    <x v="874"/>
    <s v="C00000042"/>
    <x v="43"/>
    <s v="RM Pigment Paste Smooth Cream M19 (25Kg)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x v="569"/>
    <x v="11"/>
    <x v="5"/>
    <x v="875"/>
    <s v="C00000021"/>
    <x v="21"/>
    <s v="RA Resin 3317AW (220Kg)"/>
    <n v="1"/>
    <s v="Cash"/>
    <n v="0"/>
    <d v="2024-05-20T00:00:00"/>
    <n v="5"/>
    <n v="2024"/>
    <n v="1760"/>
    <m/>
    <n v="1760"/>
    <n v="4547604.3499999996"/>
    <s v="PD Chq"/>
    <m/>
    <m/>
  </r>
  <r>
    <x v="569"/>
    <x v="11"/>
    <x v="5"/>
    <x v="875"/>
    <s v="C00000021"/>
    <x v="21"/>
    <s v="RO CSM 450 1040mm(W) (37kg)"/>
    <n v="2"/>
    <s v="Cash"/>
    <n v="0"/>
    <d v="2024-05-20T00:00:00"/>
    <n v="5"/>
    <n v="2024"/>
    <n v="555"/>
    <m/>
    <n v="555"/>
    <n v="4546061.75"/>
    <s v="PD Chq"/>
    <m/>
    <m/>
  </r>
  <r>
    <x v="569"/>
    <x v="11"/>
    <x v="5"/>
    <x v="875"/>
    <s v="C00000021"/>
    <x v="21"/>
    <s v="RA Mepoxe (5kg)"/>
    <n v="1"/>
    <s v="Cash"/>
    <n v="0"/>
    <d v="2024-05-20T00:00:00"/>
    <n v="5"/>
    <n v="2024"/>
    <n v="95"/>
    <m/>
    <n v="95"/>
    <n v="4545656.95"/>
    <s v="PD Chq"/>
    <m/>
    <m/>
  </r>
  <r>
    <x v="569"/>
    <x v="11"/>
    <x v="5"/>
    <x v="875"/>
    <s v="C00000021"/>
    <x v="21"/>
    <s v="RA Talcum Powder (25Kg)"/>
    <n v="5"/>
    <s v="Cash"/>
    <n v="0"/>
    <d v="2024-05-20T00:00:00"/>
    <n v="5"/>
    <n v="2024"/>
    <n v="312.5"/>
    <m/>
    <n v="312.5"/>
    <n v="4552837.25"/>
    <s v="PD Chq"/>
    <m/>
    <m/>
  </r>
  <r>
    <x v="570"/>
    <x v="11"/>
    <x v="5"/>
    <x v="876"/>
    <s v="C00000021"/>
    <x v="21"/>
    <s v="RA Resin 3317AW (220Kg)"/>
    <n v="1"/>
    <s v="Cash"/>
    <n v="0"/>
    <d v="2024-05-25T00:00:00"/>
    <n v="5"/>
    <n v="2024"/>
    <n v="1760"/>
    <m/>
    <n v="1760"/>
    <n v="4549980.95"/>
    <s v="PD Chq"/>
    <m/>
    <m/>
  </r>
  <r>
    <x v="570"/>
    <x v="11"/>
    <x v="5"/>
    <x v="876"/>
    <s v="C00000021"/>
    <x v="21"/>
    <s v="RO CSM 450 1040mm(W) (37kg)"/>
    <n v="2"/>
    <s v="Cash"/>
    <n v="0"/>
    <d v="2024-05-25T00:00:00"/>
    <n v="5"/>
    <n v="2024"/>
    <n v="555"/>
    <m/>
    <n v="555"/>
    <n v="4548870.95"/>
    <s v="PD Chq"/>
    <m/>
    <m/>
  </r>
  <r>
    <x v="570"/>
    <x v="11"/>
    <x v="5"/>
    <x v="876"/>
    <s v="C00000021"/>
    <x v="21"/>
    <s v="RA Mepoxe (5kg)"/>
    <n v="1"/>
    <s v="Cash"/>
    <n v="0"/>
    <d v="2024-05-25T00:00:00"/>
    <n v="5"/>
    <n v="2024"/>
    <n v="95"/>
    <m/>
    <n v="95"/>
    <n v="4548542.25"/>
    <s v="PD Chq"/>
    <m/>
    <m/>
  </r>
  <r>
    <x v="571"/>
    <x v="11"/>
    <x v="5"/>
    <x v="877"/>
    <s v="C00000019"/>
    <x v="18"/>
    <s v="RM Nor 3338W (220Kg)"/>
    <n v="1"/>
    <s v="Cash"/>
    <n v="0"/>
    <d v="2024-05-28T00:00:00"/>
    <n v="5"/>
    <n v="2024"/>
    <n v="1760"/>
    <m/>
    <n v="1760"/>
    <n v="4550759.75"/>
    <s v="Trsf"/>
    <m/>
    <m/>
  </r>
  <r>
    <x v="571"/>
    <x v="11"/>
    <x v="5"/>
    <x v="877"/>
    <s v="C00000019"/>
    <x v="18"/>
    <s v="RM CSM 450 1860mm(W) (54kg)"/>
    <n v="1"/>
    <s v="Cash"/>
    <n v="0"/>
    <d v="2024-05-28T00:00:00"/>
    <n v="5"/>
    <n v="2024"/>
    <n v="405"/>
    <m/>
    <n v="405"/>
    <n v="4554218.25"/>
    <s v="Trsf"/>
    <m/>
    <m/>
  </r>
  <r>
    <x v="571"/>
    <x v="11"/>
    <x v="5"/>
    <x v="877"/>
    <s v="C00000019"/>
    <x v="18"/>
    <s v="RA Butanox M50 (5kg)"/>
    <n v="1"/>
    <s v="Cash"/>
    <n v="0"/>
    <d v="2024-05-28T00:00:00"/>
    <n v="5"/>
    <n v="2024"/>
    <n v="110"/>
    <m/>
    <n v="110"/>
    <n v="4552217.25"/>
    <s v="Trsf"/>
    <m/>
    <m/>
  </r>
  <r>
    <x v="571"/>
    <x v="11"/>
    <x v="5"/>
    <x v="877"/>
    <s v="C00000019"/>
    <x v="18"/>
    <s v="RM Pigment Super White (5Kg)"/>
    <n v="1"/>
    <s v="Cash"/>
    <n v="0"/>
    <d v="2024-05-28T00:00:00"/>
    <n v="5"/>
    <n v="2024"/>
    <n v="150"/>
    <m/>
    <n v="150"/>
    <n v="4551187.25"/>
    <s v="Trsf"/>
    <m/>
    <m/>
  </r>
  <r>
    <x v="571"/>
    <x v="11"/>
    <x v="5"/>
    <x v="877"/>
    <s v="C00000019"/>
    <x v="18"/>
    <s v="RO Polymal LB-9888 (22kg)"/>
    <n v="1"/>
    <s v="Cash"/>
    <n v="0"/>
    <d v="2024-05-28T00:00:00"/>
    <n v="5"/>
    <n v="2024"/>
    <n v="283.8"/>
    <m/>
    <n v="283.8"/>
    <n v="4551617.05"/>
    <s v="Trsf"/>
    <m/>
    <m/>
  </r>
  <r>
    <x v="571"/>
    <x v="11"/>
    <x v="5"/>
    <x v="878"/>
    <s v="C00000014"/>
    <x v="13"/>
    <s v="RA Resin 3338AW (220kg)"/>
    <n v="1"/>
    <s v="Cash"/>
    <n v="0"/>
    <d v="2024-05-28T00:00:00"/>
    <n v="5"/>
    <n v="2024"/>
    <n v="1650"/>
    <n v="-1650"/>
    <n v="0"/>
    <n v="4553272.25"/>
    <s v="Cash"/>
    <s v="Cash 29/5/24 RM3,373.80"/>
    <m/>
  </r>
  <r>
    <x v="571"/>
    <x v="11"/>
    <x v="5"/>
    <x v="878"/>
    <s v="C00000014"/>
    <x v="13"/>
    <s v="RA CSM 450 1040mm (30kg)"/>
    <n v="4"/>
    <s v="Cash"/>
    <n v="0"/>
    <d v="2024-05-28T00:00:00"/>
    <n v="5"/>
    <n v="2024"/>
    <n v="840"/>
    <n v="-840"/>
    <n v="0"/>
    <n v="4552821.25"/>
    <s v="Cash"/>
    <s v="Cash 29/5/24 RM3,373.80"/>
    <m/>
  </r>
  <r>
    <x v="571"/>
    <x v="11"/>
    <x v="5"/>
    <x v="878"/>
    <s v="C00000014"/>
    <x v="13"/>
    <s v="RC Woven Roving E-600 1000mm (40Kg)"/>
    <n v="1"/>
    <s v="Cash"/>
    <n v="0"/>
    <d v="2024-05-28T00:00:00"/>
    <n v="5"/>
    <n v="2024"/>
    <n v="280"/>
    <n v="-280"/>
    <n v="0"/>
    <n v="4552723.75"/>
    <s v="Cash"/>
    <s v="Cash 29/5/24 RM3,373.80"/>
    <m/>
  </r>
  <r>
    <x v="571"/>
    <x v="11"/>
    <x v="5"/>
    <x v="878"/>
    <s v="C00000014"/>
    <x v="13"/>
    <s v="RM Pigment Super White W2HV (5Kg)"/>
    <n v="2"/>
    <s v="Cash"/>
    <n v="0"/>
    <d v="2024-05-28T00:00:00"/>
    <n v="5"/>
    <n v="2024"/>
    <n v="320"/>
    <n v="-320"/>
    <n v="0"/>
    <n v="4566978.25"/>
    <s v="Cash"/>
    <s v="Cash 29/5/24 RM3,373.80"/>
    <m/>
  </r>
  <r>
    <x v="571"/>
    <x v="11"/>
    <x v="5"/>
    <x v="878"/>
    <s v="C00000014"/>
    <x v="13"/>
    <s v="RO Polymal LB-9888 (22kg)"/>
    <n v="1"/>
    <s v="Cash"/>
    <n v="0"/>
    <d v="2024-05-28T00:00:00"/>
    <n v="5"/>
    <n v="2024"/>
    <n v="283.8"/>
    <n v="-283.8"/>
    <n v="0"/>
    <n v="4560828.05"/>
    <s v="Cash"/>
    <s v="Cash 29/5/24 RM3,373.80"/>
    <m/>
  </r>
  <r>
    <x v="572"/>
    <x v="11"/>
    <x v="5"/>
    <x v="879"/>
    <s v="C00000046"/>
    <x v="48"/>
    <s v="RM PIgment Sapphire Blue B10 (5kg)"/>
    <n v="1"/>
    <s v="Cash"/>
    <n v="0"/>
    <d v="2024-05-29T00:00:00"/>
    <n v="5"/>
    <n v="2024"/>
    <n v="240"/>
    <n v="-240"/>
    <n v="0"/>
    <n v="4575939.75"/>
    <s v="Cash"/>
    <s v="Cash 29/5/24 RM723.00"/>
    <m/>
  </r>
  <r>
    <x v="572"/>
    <x v="11"/>
    <x v="5"/>
    <x v="879"/>
    <s v="C00000046"/>
    <x v="48"/>
    <s v="RM CSM 300 1040mm (30Kg)"/>
    <n v="1"/>
    <s v="Cash"/>
    <n v="0"/>
    <d v="2024-05-29T00:00:00"/>
    <n v="5"/>
    <n v="2024"/>
    <n v="225"/>
    <n v="-225"/>
    <n v="0"/>
    <n v="4522935.45"/>
    <s v="Cash"/>
    <s v="Cash 29/5/24 RM723.00"/>
    <m/>
  </r>
  <r>
    <x v="572"/>
    <x v="11"/>
    <x v="5"/>
    <x v="879"/>
    <s v="C00000046"/>
    <x v="48"/>
    <s v="RM Gelcoat GP-H (20kg)"/>
    <n v="1"/>
    <s v="Cash"/>
    <n v="0"/>
    <d v="2024-05-29T00:00:00"/>
    <n v="5"/>
    <n v="2024"/>
    <n v="258"/>
    <n v="-258"/>
    <n v="0"/>
    <n v="4525093.45"/>
    <s v="Cash"/>
    <s v="Cash 29/5/24 RM723.00"/>
    <m/>
  </r>
  <r>
    <x v="572"/>
    <x v="11"/>
    <x v="5"/>
    <x v="880"/>
    <s v="C00000044"/>
    <x v="46"/>
    <s v="RA Resin 3338W (220kg)"/>
    <n v="1"/>
    <s v="Cash"/>
    <n v="0"/>
    <d v="2024-05-29T00:00:00"/>
    <n v="5"/>
    <n v="2024"/>
    <n v="1672"/>
    <n v="-1672"/>
    <n v="0"/>
    <n v="4528832.45"/>
    <s v="Cash"/>
    <s v="Cash 30/5/24 RM2,412.00"/>
    <m/>
  </r>
  <r>
    <x v="572"/>
    <x v="11"/>
    <x v="5"/>
    <x v="880"/>
    <s v="C00000044"/>
    <x v="46"/>
    <s v="RA CSM 450 1040mm (30kg)"/>
    <n v="3"/>
    <s v="Cash"/>
    <n v="0"/>
    <d v="2024-05-29T00:00:00"/>
    <n v="5"/>
    <n v="2024"/>
    <n v="630"/>
    <n v="-630"/>
    <n v="0"/>
    <n v="4527967.95"/>
    <s v="Cash"/>
    <s v="Cash 30/5/24 RM2,412.00"/>
    <m/>
  </r>
  <r>
    <x v="572"/>
    <x v="11"/>
    <x v="5"/>
    <x v="880"/>
    <s v="C00000044"/>
    <x v="46"/>
    <s v="RA Butanox M50 (5kg)"/>
    <n v="1"/>
    <s v="Cash"/>
    <n v="0"/>
    <d v="2024-05-29T00:00:00"/>
    <n v="5"/>
    <n v="2024"/>
    <n v="110"/>
    <n v="-110"/>
    <n v="0"/>
    <n v="4528543.45"/>
    <s v="Cash"/>
    <s v="Cash 30/5/24 RM2,412.00"/>
    <m/>
  </r>
  <r>
    <x v="572"/>
    <x v="11"/>
    <x v="5"/>
    <x v="881"/>
    <s v="C00000042"/>
    <x v="43"/>
    <s v="RM Talcum Powder (25Kg)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x v="572"/>
    <x v="11"/>
    <x v="5"/>
    <x v="882"/>
    <s v="C00000042"/>
    <x v="43"/>
    <s v="RM Resin 3317W (220Kg)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x v="572"/>
    <x v="11"/>
    <x v="5"/>
    <x v="882"/>
    <s v="C00000042"/>
    <x v="43"/>
    <s v="RA CSM 450 1040mm (30Kg)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x v="572"/>
    <x v="11"/>
    <x v="5"/>
    <x v="882"/>
    <s v="C00000042"/>
    <x v="43"/>
    <s v="RA Woven Roving E-600gm 1120mm (45Kg)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x v="572"/>
    <x v="11"/>
    <x v="5"/>
    <x v="882"/>
    <s v="C00000042"/>
    <x v="43"/>
    <s v="RM Pigment Paste Smooth Cream M19 (25Kg)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x v="573"/>
    <x v="1"/>
    <x v="5"/>
    <x v="883"/>
    <s v="C00000010"/>
    <x v="9"/>
    <s v="RM Resin 3338W (220kg)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x v="573"/>
    <x v="1"/>
    <x v="5"/>
    <x v="883"/>
    <s v="C00000010"/>
    <x v="9"/>
    <s v="RA CSM 450 1040mm(W) (30kg)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x v="573"/>
    <x v="1"/>
    <x v="5"/>
    <x v="883"/>
    <s v="C00000010"/>
    <x v="9"/>
    <s v="RQ Talcum Powder (25kg)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x v="573"/>
    <x v="1"/>
    <x v="5"/>
    <x v="883"/>
    <s v="C00000010"/>
    <x v="9"/>
    <s v="RA Butanox M50 (5kg)"/>
    <n v="4"/>
    <n v="120"/>
    <n v="120"/>
    <d v="2024-09-29T00:00:00"/>
    <n v="9"/>
    <n v="2024"/>
    <n v="440"/>
    <n v="-440"/>
    <n v="0"/>
    <n v="4511622.45"/>
    <s v="Trsf"/>
    <s v="Trsf 27/11/24 RM35,750.50"/>
    <m/>
  </r>
  <r>
    <x v="573"/>
    <x v="1"/>
    <x v="5"/>
    <x v="883"/>
    <s v="C00000010"/>
    <x v="9"/>
    <s v="RM Fume Silica HJSIL 200 (10Kg)"/>
    <n v="1"/>
    <n v="120"/>
    <n v="120"/>
    <d v="2024-09-29T00:00:00"/>
    <n v="9"/>
    <n v="2024"/>
    <n v="420"/>
    <n v="-420"/>
    <n v="0"/>
    <n v="4521370.45"/>
    <s v="Trsf"/>
    <s v="Trsf 27/11/24 RM35,750.50"/>
    <m/>
  </r>
  <r>
    <x v="573"/>
    <x v="1"/>
    <x v="5"/>
    <x v="883"/>
    <s v="C00000010"/>
    <x v="9"/>
    <s v="RH Bosny Wax (15Kg)"/>
    <n v="1"/>
    <n v="120"/>
    <n v="120"/>
    <d v="2024-09-29T00:00:00"/>
    <n v="9"/>
    <n v="2024"/>
    <n v="395"/>
    <n v="-395"/>
    <n v="0"/>
    <n v="4524825.45"/>
    <s v="Trsf"/>
    <s v="Trsf 27/11/24 RM35,750.50"/>
    <m/>
  </r>
  <r>
    <x v="573"/>
    <x v="1"/>
    <x v="5"/>
    <x v="883"/>
    <s v="C00000010"/>
    <x v="9"/>
    <s v="RD Brush 3&quot; (12Pc)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x v="573"/>
    <x v="1"/>
    <x v="5"/>
    <x v="884"/>
    <s v="C00000021"/>
    <x v="21"/>
    <s v="RA Resin 3317AW (220Kg)"/>
    <n v="1"/>
    <s v="Cash"/>
    <n v="0"/>
    <d v="2024-06-01T00:00:00"/>
    <n v="6"/>
    <n v="2024"/>
    <n v="1760"/>
    <m/>
    <n v="1760"/>
    <n v="4528910.45"/>
    <s v="PD Chq"/>
    <m/>
    <m/>
  </r>
  <r>
    <x v="573"/>
    <x v="1"/>
    <x v="5"/>
    <x v="884"/>
    <s v="C00000021"/>
    <x v="21"/>
    <s v="RO CSM 450 1040mm(W) (37kg)"/>
    <n v="2"/>
    <s v="Cash"/>
    <n v="0"/>
    <d v="2024-06-01T00:00:00"/>
    <n v="6"/>
    <n v="2024"/>
    <n v="555"/>
    <m/>
    <n v="555"/>
    <n v="4528705.45"/>
    <s v="PD Chq"/>
    <m/>
    <m/>
  </r>
  <r>
    <x v="573"/>
    <x v="1"/>
    <x v="5"/>
    <x v="884"/>
    <s v="C00000021"/>
    <x v="21"/>
    <s v="RA Mepoxe (5kg)"/>
    <n v="1"/>
    <s v="Cash"/>
    <n v="0"/>
    <d v="2024-06-01T00:00:00"/>
    <n v="6"/>
    <n v="2024"/>
    <n v="95"/>
    <m/>
    <n v="95"/>
    <n v="4529983.45"/>
    <s v="PD Chq"/>
    <m/>
    <m/>
  </r>
  <r>
    <x v="574"/>
    <x v="1"/>
    <x v="5"/>
    <x v="885"/>
    <s v="C00000014"/>
    <x v="13"/>
    <s v="RA Resin 3338AW (220kg)"/>
    <n v="1"/>
    <s v="Cash"/>
    <n v="0"/>
    <d v="2024-06-04T00:00:00"/>
    <n v="6"/>
    <n v="2024"/>
    <n v="1650"/>
    <n v="-1650"/>
    <n v="0"/>
    <n v="4531725.95"/>
    <s v="Cash"/>
    <s v="Cash 5/6/24 RM2,090.00"/>
    <m/>
  </r>
  <r>
    <x v="574"/>
    <x v="1"/>
    <x v="5"/>
    <x v="885"/>
    <s v="C00000014"/>
    <x v="13"/>
    <s v="RC Woven Roving E-600 1000mm (40Kg)"/>
    <n v="1"/>
    <s v="Cash"/>
    <n v="0"/>
    <d v="2024-06-04T00:00:00"/>
    <n v="6"/>
    <n v="2024"/>
    <n v="280"/>
    <n v="-280"/>
    <n v="0"/>
    <n v="4540123.95"/>
    <s v="Cash"/>
    <s v="Cash 5/6/24 RM2,090.00"/>
    <m/>
  </r>
  <r>
    <x v="574"/>
    <x v="1"/>
    <x v="5"/>
    <x v="885"/>
    <s v="C00000014"/>
    <x v="13"/>
    <s v="RM Pigment Super White W2HV (5Kg)"/>
    <n v="1"/>
    <s v="Cash"/>
    <n v="0"/>
    <d v="2024-06-04T00:00:00"/>
    <n v="6"/>
    <n v="2024"/>
    <n v="160"/>
    <n v="-160"/>
    <n v="0"/>
    <n v="4541743.95"/>
    <s v="Cash"/>
    <s v="Cash 5/6/24 RM2,090.00"/>
    <m/>
  </r>
  <r>
    <x v="574"/>
    <x v="1"/>
    <x v="5"/>
    <x v="886"/>
    <s v="C00000003"/>
    <x v="2"/>
    <s v="RA Resin 3317AW (220Kg)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x v="574"/>
    <x v="1"/>
    <x v="5"/>
    <x v="886"/>
    <s v="C00000003"/>
    <x v="2"/>
    <s v="RA Butanox M50 (5Kg)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x v="575"/>
    <x v="1"/>
    <x v="5"/>
    <x v="887"/>
    <s v="C00000046"/>
    <x v="48"/>
    <s v="RO Polymal LB-9888 (22kg)"/>
    <n v="1"/>
    <s v="Cash"/>
    <n v="0"/>
    <d v="2024-06-05T00:00:00"/>
    <n v="6"/>
    <n v="2024"/>
    <n v="283.8"/>
    <n v="-283.8"/>
    <n v="0"/>
    <n v="4544330.75"/>
    <s v="Cash"/>
    <s v="Cash 5/6/24 RM283.80"/>
    <m/>
  </r>
  <r>
    <x v="576"/>
    <x v="1"/>
    <x v="5"/>
    <x v="888"/>
    <s v="C00000042"/>
    <x v="43"/>
    <s v="RM Talcum Powder (25Kg)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x v="576"/>
    <x v="1"/>
    <x v="5"/>
    <x v="889"/>
    <s v="C00000042"/>
    <x v="43"/>
    <s v="RM Resin 3317W (220Kg)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x v="576"/>
    <x v="1"/>
    <x v="5"/>
    <x v="889"/>
    <s v="C00000042"/>
    <x v="43"/>
    <s v="RA CSM 450 1040mm (30Kg)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x v="576"/>
    <x v="1"/>
    <x v="5"/>
    <x v="889"/>
    <s v="C00000042"/>
    <x v="43"/>
    <s v="RA Woven Roving E-600gm 1120mm (45Kg)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x v="576"/>
    <x v="1"/>
    <x v="5"/>
    <x v="889"/>
    <s v="C00000042"/>
    <x v="43"/>
    <s v="RA Mepoxe (5kg)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x v="576"/>
    <x v="1"/>
    <x v="5"/>
    <x v="889"/>
    <s v="C00000042"/>
    <x v="43"/>
    <s v="RA Butanox M50 (5Kg)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x v="577"/>
    <x v="1"/>
    <x v="5"/>
    <x v="890"/>
    <s v="C00000019"/>
    <x v="18"/>
    <s v="RA Nor 3338W (220Kg)"/>
    <n v="1"/>
    <s v="Cash"/>
    <n v="0"/>
    <d v="2024-06-07T00:00:00"/>
    <n v="6"/>
    <n v="2024"/>
    <n v="1760"/>
    <m/>
    <n v="1760"/>
    <n v="4549004.75"/>
    <s v="Trsf"/>
    <m/>
    <m/>
  </r>
  <r>
    <x v="577"/>
    <x v="1"/>
    <x v="5"/>
    <x v="890"/>
    <s v="C00000019"/>
    <x v="18"/>
    <s v="RQ Talcum Powder (25kg)"/>
    <n v="2"/>
    <s v="Cash"/>
    <n v="0"/>
    <d v="2024-06-07T00:00:00"/>
    <n v="6"/>
    <n v="2024"/>
    <n v="125"/>
    <m/>
    <n v="125"/>
    <n v="4547924.75"/>
    <s v="Trsf"/>
    <m/>
    <m/>
  </r>
  <r>
    <x v="577"/>
    <x v="1"/>
    <x v="5"/>
    <x v="890"/>
    <s v="C00000019"/>
    <x v="18"/>
    <s v="RA Butanox M50 (5Kg)"/>
    <n v="1"/>
    <s v="Cash"/>
    <n v="0"/>
    <d v="2024-06-07T00:00:00"/>
    <n v="6"/>
    <n v="2024"/>
    <n v="110"/>
    <m/>
    <n v="110"/>
    <n v="4548004.75"/>
    <s v="Trsf"/>
    <m/>
    <m/>
  </r>
  <r>
    <x v="577"/>
    <x v="1"/>
    <x v="5"/>
    <x v="890"/>
    <s v="C00000019"/>
    <x v="18"/>
    <s v="RM Chemlease 71-90 EZ (1 gallon)"/>
    <n v="1"/>
    <s v="Cash"/>
    <n v="0"/>
    <d v="2024-06-07T00:00:00"/>
    <n v="6"/>
    <n v="2024"/>
    <n v="395"/>
    <m/>
    <n v="395"/>
    <n v="4548602.25"/>
    <s v="Trsf"/>
    <m/>
    <m/>
  </r>
  <r>
    <x v="578"/>
    <x v="1"/>
    <x v="5"/>
    <x v="891"/>
    <s v="C00000037"/>
    <x v="38"/>
    <s v="RM Resin 3338W (220Kg)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x v="578"/>
    <x v="1"/>
    <x v="5"/>
    <x v="891"/>
    <s v="C00000037"/>
    <x v="38"/>
    <s v="RM CSM 450 64m(L) X 1860mm(W) (54kg)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x v="578"/>
    <x v="1"/>
    <x v="5"/>
    <x v="891"/>
    <s v="C00000037"/>
    <x v="38"/>
    <s v="RM Miracle Gloss Wax No. 8 (311g/Can)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x v="578"/>
    <x v="1"/>
    <x v="5"/>
    <x v="891"/>
    <s v="C00000037"/>
    <x v="38"/>
    <s v="RO Gelcoat LB9888 (22kg)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x v="579"/>
    <x v="1"/>
    <x v="5"/>
    <x v="892"/>
    <s v="C00000027"/>
    <x v="28"/>
    <s v="RA Nor 3338W (220Kg)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x v="579"/>
    <x v="1"/>
    <x v="5"/>
    <x v="892"/>
    <s v="C00000027"/>
    <x v="28"/>
    <s v="RO Gelcoat LB9888 (22kg)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x v="579"/>
    <x v="1"/>
    <x v="5"/>
    <x v="892"/>
    <s v="C00000027"/>
    <x v="28"/>
    <s v="RM Pigment Super White (5kg)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x v="579"/>
    <x v="1"/>
    <x v="5"/>
    <x v="892"/>
    <s v="C00000027"/>
    <x v="28"/>
    <s v="RM PVA (5kg)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x v="579"/>
    <x v="1"/>
    <x v="5"/>
    <x v="892"/>
    <s v="C00000027"/>
    <x v="28"/>
    <s v="RA Mepoxe (5kg)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x v="579"/>
    <x v="1"/>
    <x v="5"/>
    <x v="892"/>
    <s v="C00000027"/>
    <x v="28"/>
    <s v="RM TR104 Hi Temp Wax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x v="579"/>
    <x v="1"/>
    <x v="5"/>
    <x v="892"/>
    <s v="C00000027"/>
    <x v="28"/>
    <s v="RM Fume Silica HJSIL 200 (10Kg)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x v="579"/>
    <x v="1"/>
    <x v="5"/>
    <x v="893"/>
    <s v="C00000042"/>
    <x v="43"/>
    <s v="RQ Talcum Powder (25Kg)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x v="579"/>
    <x v="1"/>
    <x v="5"/>
    <x v="894"/>
    <s v="C00000042"/>
    <x v="43"/>
    <s v="RM Resin 3317W (220Kg)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x v="579"/>
    <x v="1"/>
    <x v="5"/>
    <x v="894"/>
    <s v="C00000042"/>
    <x v="43"/>
    <s v="RA CSM 450 1040mm (30Kg)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x v="579"/>
    <x v="1"/>
    <x v="5"/>
    <x v="894"/>
    <s v="C00000042"/>
    <x v="43"/>
    <s v="RA Woven Roving E-600gm 1120mm (45Kg)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x v="579"/>
    <x v="1"/>
    <x v="5"/>
    <x v="894"/>
    <s v="C00000042"/>
    <x v="43"/>
    <s v="RM Pigment Paste Smooth Cream M19 (25Kg)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x v="580"/>
    <x v="1"/>
    <x v="5"/>
    <x v="895"/>
    <s v="C00000042"/>
    <x v="43"/>
    <s v="RQ Talcum Powder (25Kg)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x v="580"/>
    <x v="1"/>
    <x v="5"/>
    <x v="896"/>
    <s v="C00000042"/>
    <x v="43"/>
    <s v="RM Resin 3317W (220Kg)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x v="580"/>
    <x v="1"/>
    <x v="5"/>
    <x v="896"/>
    <s v="C00000042"/>
    <x v="43"/>
    <s v="RA CSM 450 1040mm (30Kg)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x v="580"/>
    <x v="1"/>
    <x v="5"/>
    <x v="896"/>
    <s v="C00000042"/>
    <x v="43"/>
    <s v="RA Woven Roving E-600gm 1120mm (45Kg)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x v="580"/>
    <x v="1"/>
    <x v="5"/>
    <x v="896"/>
    <s v="C00000042"/>
    <x v="43"/>
    <s v="RA Mepoxe (5kg)"/>
    <n v="8"/>
    <s v="Cash"/>
    <n v="0"/>
    <d v="2024-06-14T00:00:00"/>
    <n v="6"/>
    <n v="2024"/>
    <n v="760"/>
    <n v="-760"/>
    <n v="0"/>
    <n v="4528097.95"/>
    <s v="Trsf"/>
    <s v="Trsf 26/11/24 RM30,000.00(RM"/>
    <m/>
  </r>
  <r>
    <x v="580"/>
    <x v="1"/>
    <x v="5"/>
    <x v="896"/>
    <s v="C00000042"/>
    <x v="43"/>
    <s v="RM Pigment Paste Smooth Cream M19 (25Kg)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x v="581"/>
    <x v="1"/>
    <x v="5"/>
    <x v="897"/>
    <s v="C00000049"/>
    <x v="51"/>
    <s v="RM VE Resin 901-3P (200Kg)"/>
    <n v="3"/>
    <s v="Cash"/>
    <n v="0"/>
    <d v="2024-06-20T00:00:00"/>
    <n v="6"/>
    <n v="2024"/>
    <n v="10800"/>
    <n v="-10800"/>
    <n v="0"/>
    <n v="4540848.45"/>
    <s v="Cash"/>
    <s v="Trsf 20/6/24 RM12,896.00"/>
    <m/>
  </r>
  <r>
    <x v="581"/>
    <x v="1"/>
    <x v="5"/>
    <x v="897"/>
    <s v="C00000049"/>
    <x v="51"/>
    <s v="RA CSM 450 1040mm(W) (30kg)"/>
    <n v="4"/>
    <s v="Cash"/>
    <n v="0"/>
    <d v="2024-06-20T00:00:00"/>
    <n v="6"/>
    <n v="2024"/>
    <n v="900"/>
    <n v="-900"/>
    <n v="0"/>
    <n v="4531475.95"/>
    <s v="Cash"/>
    <s v="Trsf 20/6/24 RM12,896.00"/>
    <m/>
  </r>
  <r>
    <x v="581"/>
    <x v="1"/>
    <x v="5"/>
    <x v="897"/>
    <s v="C00000049"/>
    <x v="51"/>
    <s v="RA CSM 300 1040mm(W) (30kg)"/>
    <n v="4"/>
    <s v="Cash"/>
    <n v="0"/>
    <d v="2024-06-20T00:00:00"/>
    <n v="6"/>
    <n v="2024"/>
    <n v="900"/>
    <n v="-900"/>
    <n v="0"/>
    <n v="4553767.95"/>
    <s v="Cash"/>
    <s v="Trsf 20/6/24 RM12,896.00"/>
    <m/>
  </r>
  <r>
    <x v="581"/>
    <x v="1"/>
    <x v="5"/>
    <x v="897"/>
    <s v="C00000049"/>
    <x v="51"/>
    <s v="RA Butanox M50 (5Kg)"/>
    <n v="1"/>
    <s v="Cash"/>
    <n v="0"/>
    <d v="2024-06-20T00:00:00"/>
    <n v="6"/>
    <n v="2024"/>
    <n v="110"/>
    <n v="-110"/>
    <n v="0"/>
    <n v="4545521.95"/>
    <s v="Cash"/>
    <s v="Trsf 20/6/24 RM12,896.00"/>
    <m/>
  </r>
  <r>
    <x v="581"/>
    <x v="1"/>
    <x v="5"/>
    <x v="897"/>
    <s v="C00000049"/>
    <x v="51"/>
    <s v="RM Catalyst measuring Instrument 555"/>
    <n v="2"/>
    <s v="Cash"/>
    <n v="0"/>
    <d v="2024-06-20T00:00:00"/>
    <n v="6"/>
    <n v="2024"/>
    <n v="90"/>
    <n v="-90"/>
    <n v="0"/>
    <n v="4544921.95"/>
    <s v="Cash"/>
    <s v="Trsf 20/6/24 RM12,896.00"/>
    <m/>
  </r>
  <r>
    <x v="581"/>
    <x v="1"/>
    <x v="5"/>
    <x v="897"/>
    <s v="C00000049"/>
    <x v="51"/>
    <s v="RM Steel Roller 4&quot; "/>
    <n v="1"/>
    <s v="Cash"/>
    <n v="0"/>
    <d v="2024-06-20T00:00:00"/>
    <n v="6"/>
    <n v="2024"/>
    <n v="48"/>
    <n v="-48"/>
    <n v="0"/>
    <n v="4543466.95"/>
    <s v="Cash"/>
    <s v="Trsf 20/6/24 RM12,896.00"/>
    <m/>
  </r>
  <r>
    <x v="581"/>
    <x v="1"/>
    <x v="5"/>
    <x v="897"/>
    <s v="C00000049"/>
    <x v="51"/>
    <s v="RM Steel Roller 8&quot;"/>
    <n v="1"/>
    <s v="Cash"/>
    <n v="0"/>
    <d v="2024-06-20T00:00:00"/>
    <n v="6"/>
    <n v="2024"/>
    <n v="48"/>
    <n v="-48"/>
    <n v="0"/>
    <n v="4544474.95"/>
    <s v="Cash"/>
    <s v="Trsf 20/6/24 RM12,896.00"/>
    <m/>
  </r>
  <r>
    <x v="582"/>
    <x v="1"/>
    <x v="5"/>
    <x v="898"/>
    <s v="C00000050"/>
    <x v="52"/>
    <s v="RA Resin 3338W (220Kg)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x v="582"/>
    <x v="1"/>
    <x v="5"/>
    <x v="898"/>
    <s v="C00000050"/>
    <x v="52"/>
    <s v="RA Mepoxe (5kg)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x v="582"/>
    <x v="1"/>
    <x v="5"/>
    <x v="898"/>
    <s v="C00000050"/>
    <x v="52"/>
    <s v="RA Talcum Powder (25Kg)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x v="582"/>
    <x v="1"/>
    <x v="5"/>
    <x v="898"/>
    <s v="C00000050"/>
    <x v="52"/>
    <s v="RA Sand Wheel 105 X 2 X 16 (30PC)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x v="583"/>
    <x v="1"/>
    <x v="5"/>
    <x v="899"/>
    <s v="C00000019"/>
    <x v="18"/>
    <s v="RA Nor 3338W (220Kg)"/>
    <n v="1"/>
    <s v="Cash"/>
    <n v="0"/>
    <d v="2024-06-22T00:00:00"/>
    <n v="6"/>
    <n v="2024"/>
    <n v="1760"/>
    <m/>
    <n v="1760"/>
    <n v="4547266.75"/>
    <s v="Trsf"/>
    <m/>
    <m/>
  </r>
  <r>
    <x v="583"/>
    <x v="1"/>
    <x v="5"/>
    <x v="899"/>
    <s v="C00000019"/>
    <x v="18"/>
    <s v="RM CSM 450 1860mm(W) (54kg)"/>
    <n v="1"/>
    <s v="Cash"/>
    <n v="0"/>
    <d v="2024-06-22T00:00:00"/>
    <n v="6"/>
    <n v="2024"/>
    <n v="405"/>
    <m/>
    <n v="405"/>
    <n v="4545966.95"/>
    <s v="Trsf"/>
    <m/>
    <m/>
  </r>
  <r>
    <x v="583"/>
    <x v="1"/>
    <x v="5"/>
    <x v="899"/>
    <s v="C00000019"/>
    <x v="18"/>
    <s v="RQ Talcum Powder (25kg)"/>
    <n v="3"/>
    <s v="Cash"/>
    <n v="0"/>
    <d v="2024-06-22T00:00:00"/>
    <n v="6"/>
    <n v="2024"/>
    <n v="187.5"/>
    <m/>
    <n v="187.5"/>
    <n v="4552712.25"/>
    <s v="Trsf"/>
    <m/>
    <m/>
  </r>
  <r>
    <x v="583"/>
    <x v="1"/>
    <x v="5"/>
    <x v="899"/>
    <s v="C00000019"/>
    <x v="18"/>
    <s v="RA Butanox M50 (5Kg)"/>
    <n v="1"/>
    <s v="Cash"/>
    <n v="0"/>
    <d v="2024-06-22T00:00:00"/>
    <n v="6"/>
    <n v="2024"/>
    <n v="110"/>
    <m/>
    <n v="110"/>
    <n v="4548330.95"/>
    <s v="Trsf"/>
    <m/>
    <m/>
  </r>
  <r>
    <x v="584"/>
    <x v="1"/>
    <x v="5"/>
    <x v="900"/>
    <s v="C00000010"/>
    <x v="9"/>
    <s v="RM Resin 3338W (220kg)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x v="584"/>
    <x v="1"/>
    <x v="5"/>
    <x v="900"/>
    <s v="C00000010"/>
    <x v="9"/>
    <s v="RO CSM 450 1040mm(W) (37kg)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x v="584"/>
    <x v="1"/>
    <x v="5"/>
    <x v="900"/>
    <s v="C00000010"/>
    <x v="9"/>
    <s v="RQ Talcum Powder (25kg)"/>
    <n v="10"/>
    <n v="120"/>
    <n v="120"/>
    <d v="2024-10-22T00:00:00"/>
    <n v="10"/>
    <n v="2024"/>
    <n v="575"/>
    <n v="-575"/>
    <n v="0"/>
    <n v="4549574.75"/>
    <s v="Trsf"/>
    <s v="Trsf 27/11/24 RM35,750.50"/>
    <m/>
  </r>
  <r>
    <x v="584"/>
    <x v="1"/>
    <x v="5"/>
    <x v="900"/>
    <s v="C00000010"/>
    <x v="9"/>
    <s v="RA Butanox M50 (5kg)"/>
    <n v="8"/>
    <n v="120"/>
    <n v="120"/>
    <d v="2024-10-22T00:00:00"/>
    <n v="10"/>
    <n v="2024"/>
    <n v="880"/>
    <n v="-880"/>
    <n v="0"/>
    <n v="4554693.25"/>
    <s v="Trsf"/>
    <s v="Trsf 27/11/24 RM35,750.50"/>
    <m/>
  </r>
  <r>
    <x v="585"/>
    <x v="1"/>
    <x v="5"/>
    <x v="901"/>
    <s v="C00000009"/>
    <x v="8"/>
    <s v="RM Resin 3317W (220Kg)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x v="585"/>
    <x v="1"/>
    <x v="5"/>
    <x v="901"/>
    <s v="C00000009"/>
    <x v="8"/>
    <s v="RM CSM 450 1860mm(W) (54kg)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x v="585"/>
    <x v="1"/>
    <x v="5"/>
    <x v="901"/>
    <s v="C00000009"/>
    <x v="8"/>
    <s v="RM CSM 300 1860mm(W) (54Kg)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x v="585"/>
    <x v="1"/>
    <x v="5"/>
    <x v="901"/>
    <s v="C00000009"/>
    <x v="8"/>
    <s v="RA Butanox M50 (5kg)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x v="586"/>
    <x v="1"/>
    <x v="5"/>
    <x v="902"/>
    <s v="C00000010"/>
    <x v="9"/>
    <s v="RO Gelcoat LB9888 (22kg)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x v="586"/>
    <x v="1"/>
    <x v="5"/>
    <x v="902"/>
    <s v="C00000010"/>
    <x v="9"/>
    <s v="RM CSM 300 1040mm(W) (30kg)"/>
    <n v="2"/>
    <n v="120"/>
    <n v="120"/>
    <d v="2024-10-24T00:00:00"/>
    <n v="10"/>
    <n v="2024"/>
    <n v="360"/>
    <n v="-360"/>
    <n v="0"/>
    <n v="4552803.75"/>
    <s v="Trsf"/>
    <s v="Trsf 27/11/24 RM35,750.50"/>
    <m/>
  </r>
  <r>
    <x v="586"/>
    <x v="1"/>
    <x v="5"/>
    <x v="902"/>
    <s v="C00000010"/>
    <x v="9"/>
    <s v="RM Pigment Orange RAL 2009 (5kg) "/>
    <n v="1"/>
    <n v="120"/>
    <n v="120"/>
    <d v="2024-10-24T00:00:00"/>
    <n v="10"/>
    <n v="2024"/>
    <n v="260"/>
    <n v="-260"/>
    <n v="0"/>
    <n v="4566918.25"/>
    <s v="Trsf"/>
    <s v="Trsf 27/11/24 RM35,750.50"/>
    <m/>
  </r>
  <r>
    <x v="587"/>
    <x v="1"/>
    <x v="5"/>
    <x v="903"/>
    <s v="C00000051"/>
    <x v="53"/>
    <s v="RM Resin 3338W (25kg)"/>
    <n v="1"/>
    <s v="Cash"/>
    <n v="0"/>
    <d v="2024-06-27T00:00:00"/>
    <n v="6"/>
    <n v="2024"/>
    <n v="337.5"/>
    <n v="-337.5"/>
    <n v="0"/>
    <n v="4560881.75"/>
    <s v="Cash"/>
    <s v="Cash 28/6/24 RM755.00"/>
    <m/>
  </r>
  <r>
    <x v="587"/>
    <x v="1"/>
    <x v="5"/>
    <x v="903"/>
    <s v="C00000051"/>
    <x v="53"/>
    <s v="RA CSM 450 1040mm (30kg)"/>
    <n v="1"/>
    <s v="Cash"/>
    <n v="0"/>
    <d v="2024-06-27T00:00:00"/>
    <n v="6"/>
    <n v="2024"/>
    <n v="255"/>
    <n v="-255"/>
    <n v="0"/>
    <n v="4559233.25"/>
    <s v="Cash"/>
    <s v="Cash 28/6/24 RM755.00"/>
    <m/>
  </r>
  <r>
    <x v="587"/>
    <x v="1"/>
    <x v="5"/>
    <x v="903"/>
    <s v="C00000051"/>
    <x v="53"/>
    <s v="RA Mepoxe (5kg)"/>
    <n v="1"/>
    <s v="Cash"/>
    <n v="0"/>
    <d v="2024-06-27T00:00:00"/>
    <n v="6"/>
    <n v="2024"/>
    <n v="100"/>
    <n v="-100"/>
    <n v="0"/>
    <n v="4558877.75"/>
    <s v="Cash"/>
    <s v="Cash 28/6/24 RM755.00"/>
    <m/>
  </r>
  <r>
    <x v="587"/>
    <x v="1"/>
    <x v="5"/>
    <x v="903"/>
    <s v="C00000051"/>
    <x v="53"/>
    <s v="RQ Talcum Powder (25Kg)"/>
    <n v="1"/>
    <s v="Cash"/>
    <n v="0"/>
    <d v="2024-06-27T00:00:00"/>
    <n v="6"/>
    <n v="2024"/>
    <n v="62.5"/>
    <n v="-62.5"/>
    <n v="0"/>
    <n v="4558220.25"/>
    <s v="Cash"/>
    <s v="Cash 28/6/24 RM755.00"/>
    <m/>
  </r>
  <r>
    <x v="588"/>
    <x v="1"/>
    <x v="5"/>
    <x v="904"/>
    <s v="C00000042"/>
    <x v="43"/>
    <s v="RQ Talcum Powder (25Kg)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x v="588"/>
    <x v="1"/>
    <x v="5"/>
    <x v="905"/>
    <s v="C00000042"/>
    <x v="43"/>
    <s v="RM Resin 3317W (220Kg)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x v="588"/>
    <x v="1"/>
    <x v="5"/>
    <x v="905"/>
    <s v="C00000042"/>
    <x v="43"/>
    <s v="RO CSM 450 64m(L) 1040mm(W) (37Kg)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x v="588"/>
    <x v="1"/>
    <x v="5"/>
    <x v="905"/>
    <s v="C00000042"/>
    <x v="43"/>
    <s v="RA Woven Roving E-600gm 1120mm (45Kg)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x v="588"/>
    <x v="1"/>
    <x v="5"/>
    <x v="905"/>
    <s v="C00000042"/>
    <x v="43"/>
    <s v="RM Woven Roving E-600gm 1000mm (40Kg)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x v="588"/>
    <x v="1"/>
    <x v="5"/>
    <x v="905"/>
    <s v="C00000042"/>
    <x v="43"/>
    <s v="RA Mepoxe (5kg)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x v="588"/>
    <x v="1"/>
    <x v="5"/>
    <x v="905"/>
    <s v="C00000042"/>
    <x v="43"/>
    <s v="RM Pigment Paste Smooth Cream M19 (25Kg)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x v="589"/>
    <x v="2"/>
    <x v="5"/>
    <x v="906"/>
    <s v="C00000052"/>
    <x v="54"/>
    <s v="RM Nor 3338W (25Kg)"/>
    <n v="1"/>
    <s v="Cash"/>
    <n v="0"/>
    <d v="2024-07-02T00:00:00"/>
    <n v="7"/>
    <n v="2024"/>
    <n v="337.5"/>
    <n v="-337.5"/>
    <n v="0"/>
    <n v="4911607.95"/>
    <s v="Cash"/>
    <s v="Trsf 1/7/24 RM1,131.50"/>
    <m/>
  </r>
  <r>
    <x v="589"/>
    <x v="2"/>
    <x v="5"/>
    <x v="906"/>
    <s v="C00000052"/>
    <x v="54"/>
    <s v="RA CSM 450 1040mm (30kg)"/>
    <n v="1"/>
    <s v="Cash"/>
    <n v="0"/>
    <d v="2024-07-02T00:00:00"/>
    <n v="7"/>
    <n v="2024"/>
    <n v="255"/>
    <n v="-255"/>
    <n v="0"/>
    <n v="4911862.95"/>
    <s v="Cash"/>
    <s v="Trsf 1/7/24 RM1,131.50"/>
    <m/>
  </r>
  <r>
    <x v="589"/>
    <x v="2"/>
    <x v="5"/>
    <x v="906"/>
    <s v="C00000052"/>
    <x v="54"/>
    <s v="RA Butanox M50 (5kg)"/>
    <n v="1"/>
    <s v="Cash"/>
    <n v="0"/>
    <d v="2024-07-02T00:00:00"/>
    <n v="7"/>
    <n v="2024"/>
    <n v="115"/>
    <n v="-115"/>
    <n v="0"/>
    <n v="4911977.95"/>
    <s v="Cash"/>
    <s v="Trsf 1/7/24 RM1,131.50"/>
    <m/>
  </r>
  <r>
    <x v="589"/>
    <x v="2"/>
    <x v="5"/>
    <x v="906"/>
    <s v="C00000052"/>
    <x v="54"/>
    <s v="RM Miracle Gloss Wax No. 8 (311g/Can)"/>
    <n v="1"/>
    <s v="Cash"/>
    <n v="0"/>
    <d v="2024-07-02T00:00:00"/>
    <n v="7"/>
    <n v="2024"/>
    <n v="49"/>
    <n v="-49"/>
    <n v="0"/>
    <n v="4912026.95"/>
    <s v="Cash"/>
    <s v="Trsf 1/7/24 RM1,131.50"/>
    <m/>
  </r>
  <r>
    <x v="589"/>
    <x v="2"/>
    <x v="5"/>
    <x v="906"/>
    <s v="C00000052"/>
    <x v="54"/>
    <s v="RO Polymal LB-9888 (22kg)"/>
    <n v="1"/>
    <s v="Cash"/>
    <n v="0"/>
    <d v="2024-07-02T00:00:00"/>
    <n v="7"/>
    <n v="2024"/>
    <n v="297"/>
    <n v="-297"/>
    <n v="0"/>
    <n v="4912323.95"/>
    <s v="Cash"/>
    <s v="Trsf 1/7/24 RM1,131.50"/>
    <m/>
  </r>
  <r>
    <x v="589"/>
    <x v="2"/>
    <x v="5"/>
    <x v="906"/>
    <s v="C00000052"/>
    <x v="54"/>
    <s v="RM Steel Roller 4&quot; "/>
    <n v="1"/>
    <s v="Cash"/>
    <n v="0"/>
    <d v="2024-07-02T00:00:00"/>
    <n v="7"/>
    <n v="2024"/>
    <n v="48"/>
    <n v="-48"/>
    <n v="0"/>
    <n v="4912371.95"/>
    <s v="Cash"/>
    <s v="Trsf 1/7/24 RM1,131.50"/>
    <m/>
  </r>
  <r>
    <x v="589"/>
    <x v="2"/>
    <x v="5"/>
    <x v="906"/>
    <s v="C00000052"/>
    <x v="54"/>
    <s v="RD Brush 3&quot;"/>
    <n v="5"/>
    <s v="Cash"/>
    <n v="0"/>
    <d v="2024-07-02T00:00:00"/>
    <n v="7"/>
    <n v="2024"/>
    <n v="30"/>
    <n v="-30"/>
    <n v="0"/>
    <n v="4912401.95"/>
    <s v="Cash"/>
    <s v="Trsf 1/7/24 RM1,131.50"/>
    <m/>
  </r>
  <r>
    <x v="589"/>
    <x v="2"/>
    <x v="5"/>
    <x v="907"/>
    <s v="C00000010"/>
    <x v="9"/>
    <s v="RM PVA (5kg)"/>
    <n v="1"/>
    <n v="120"/>
    <n v="120"/>
    <d v="2024-10-30T00:00:00"/>
    <n v="10"/>
    <n v="2024"/>
    <n v="160"/>
    <n v="-160"/>
    <n v="0"/>
    <n v="4912561.95"/>
    <s v="Trsf"/>
    <s v="Trsf 26/12/24 RM17,821.50"/>
    <m/>
  </r>
  <r>
    <x v="589"/>
    <x v="2"/>
    <x v="5"/>
    <x v="907"/>
    <s v="C00000010"/>
    <x v="9"/>
    <s v="RM Cobalt 5% (4kg)"/>
    <n v="1"/>
    <n v="120"/>
    <n v="120"/>
    <d v="2024-10-30T00:00:00"/>
    <n v="10"/>
    <n v="2024"/>
    <n v="260"/>
    <n v="-260"/>
    <n v="0"/>
    <n v="4912821.95"/>
    <s v="Trsf"/>
    <s v="Trsf 26/12/24 RM17,821.50"/>
    <m/>
  </r>
  <r>
    <x v="589"/>
    <x v="2"/>
    <x v="5"/>
    <x v="908"/>
    <s v="C00000044"/>
    <x v="46"/>
    <s v="RM Honeycomb 19mm - 1220(W) x 2440(L)"/>
    <n v="3"/>
    <s v="Cash"/>
    <n v="0"/>
    <d v="2024-07-02T00:00:00"/>
    <n v="7"/>
    <n v="2024"/>
    <n v="534"/>
    <n v="-534"/>
    <n v="0"/>
    <n v="4913355.95"/>
    <s v="Cash"/>
    <s v="Cash 7/7/24 RM1,086.00"/>
    <m/>
  </r>
  <r>
    <x v="589"/>
    <x v="2"/>
    <x v="5"/>
    <x v="908"/>
    <s v="C00000044"/>
    <x v="46"/>
    <s v="RM Honeycomb 12mm - 1220(W) x 2440(L)"/>
    <n v="4"/>
    <s v="Cash"/>
    <n v="0"/>
    <d v="2024-07-02T00:00:00"/>
    <n v="7"/>
    <n v="2024"/>
    <n v="552"/>
    <n v="-552"/>
    <n v="0"/>
    <n v="4913907.95"/>
    <s v="Cash"/>
    <s v="Cash 7/7/24 RM1,086.00"/>
    <m/>
  </r>
  <r>
    <x v="589"/>
    <x v="2"/>
    <x v="5"/>
    <x v="909"/>
    <s v="C00000027"/>
    <x v="28"/>
    <s v="RA Nor 3338W (220Kg)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x v="2"/>
    <x v="5"/>
    <x v="909"/>
    <s v="C00000027"/>
    <x v="28"/>
    <s v="RM Acetone (163kg)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x v="589"/>
    <x v="2"/>
    <x v="5"/>
    <x v="909"/>
    <s v="C00000027"/>
    <x v="28"/>
    <s v="RM Pigment Super White (5kg)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x v="589"/>
    <x v="2"/>
    <x v="5"/>
    <x v="909"/>
    <s v="C00000027"/>
    <x v="28"/>
    <s v="RM TR104 Hi Temp Wax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x v="589"/>
    <x v="2"/>
    <x v="5"/>
    <x v="909"/>
    <s v="C00000027"/>
    <x v="28"/>
    <s v="RA Mepoxe (5kg)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x v="589"/>
    <x v="2"/>
    <x v="5"/>
    <x v="909"/>
    <s v="C00000027"/>
    <x v="28"/>
    <s v="RO Gelcoat LB9888 (22kg)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x v="589"/>
    <x v="2"/>
    <x v="5"/>
    <x v="909"/>
    <s v="C00000027"/>
    <x v="28"/>
    <s v="RA CSM 300 96m(L) X 1860mm(W) (54Kg)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x v="589"/>
    <x v="2"/>
    <x v="5"/>
    <x v="910"/>
    <s v="C00000003"/>
    <x v="2"/>
    <s v="RQ Talcum Powder (25Kg)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x v="590"/>
    <x v="2"/>
    <x v="5"/>
    <x v="911"/>
    <s v="C00000049"/>
    <x v="51"/>
    <s v="RM Pigment Paste Riviera Blue B5 (4Kg)"/>
    <n v="1"/>
    <s v="Cash"/>
    <n v="0"/>
    <d v="2024-07-03T00:00:00"/>
    <n v="7"/>
    <n v="2024"/>
    <n v="200"/>
    <n v="-200"/>
    <n v="0"/>
    <n v="4925504.3500000006"/>
    <s v="Cash"/>
    <s v="Trsf 3/7/24 RM375.00"/>
    <m/>
  </r>
  <r>
    <x v="590"/>
    <x v="2"/>
    <x v="5"/>
    <x v="911"/>
    <s v="C00000049"/>
    <x v="51"/>
    <s v="RM Pigment Paste Light Grey G1 (5kg)"/>
    <n v="1"/>
    <s v="Cash"/>
    <n v="0"/>
    <d v="2024-07-03T00:00:00"/>
    <n v="7"/>
    <n v="2024"/>
    <n v="175"/>
    <n v="-175"/>
    <n v="0"/>
    <n v="4925679.3500000006"/>
    <s v="Cash"/>
    <s v="Trsf 3/7/24 RM375.00"/>
    <m/>
  </r>
  <r>
    <x v="591"/>
    <x v="2"/>
    <x v="5"/>
    <x v="912"/>
    <s v="C00000006"/>
    <x v="5"/>
    <s v="RA Nor 3338W (220Kg)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x v="591"/>
    <x v="2"/>
    <x v="5"/>
    <x v="912"/>
    <s v="C00000006"/>
    <x v="5"/>
    <s v="RO CSM 450 64m(L) 1040mm(W) (37Kg)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x v="591"/>
    <x v="2"/>
    <x v="5"/>
    <x v="912"/>
    <s v="C00000006"/>
    <x v="5"/>
    <s v="RM NPG Gelcoat 9319-H (25Kg)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x v="591"/>
    <x v="2"/>
    <x v="5"/>
    <x v="912"/>
    <s v="C00000006"/>
    <x v="5"/>
    <s v="RM TR104 Hi Temp Wax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x v="591"/>
    <x v="2"/>
    <x v="5"/>
    <x v="912"/>
    <s v="C00000006"/>
    <x v="5"/>
    <s v="RM Pigment Super White (5Kg) 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x v="591"/>
    <x v="2"/>
    <x v="5"/>
    <x v="912"/>
    <s v="C00000006"/>
    <x v="5"/>
    <s v="RA Butanox M50 (5kg)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x v="591"/>
    <x v="2"/>
    <x v="5"/>
    <x v="913"/>
    <s v="C00000019"/>
    <x v="18"/>
    <s v="RA Nor 3338W (220Kg)"/>
    <n v="1"/>
    <s v="Cash"/>
    <n v="0"/>
    <d v="2024-07-04T00:00:00"/>
    <n v="7"/>
    <n v="2024"/>
    <n v="1760"/>
    <m/>
    <n v="1760"/>
    <n v="4930559.8500000006"/>
    <s v="Trsf"/>
    <m/>
    <m/>
  </r>
  <r>
    <x v="591"/>
    <x v="2"/>
    <x v="5"/>
    <x v="913"/>
    <s v="C00000019"/>
    <x v="18"/>
    <s v="RM CSM 450 1860mm(W) (54kg)"/>
    <n v="1"/>
    <s v="Cash"/>
    <n v="0"/>
    <d v="2024-07-04T00:00:00"/>
    <n v="7"/>
    <n v="2024"/>
    <n v="405"/>
    <m/>
    <n v="405"/>
    <n v="4930964.8500000006"/>
    <s v="Trsf"/>
    <m/>
    <m/>
  </r>
  <r>
    <x v="591"/>
    <x v="2"/>
    <x v="5"/>
    <x v="913"/>
    <s v="C00000019"/>
    <x v="18"/>
    <s v="RQ Talcum Powder (25kg)"/>
    <n v="2"/>
    <s v="Cash"/>
    <n v="0"/>
    <d v="2024-07-04T00:00:00"/>
    <n v="7"/>
    <n v="2024"/>
    <n v="125"/>
    <m/>
    <n v="125"/>
    <n v="4931089.8500000006"/>
    <s v="Trsf"/>
    <m/>
    <m/>
  </r>
  <r>
    <x v="591"/>
    <x v="2"/>
    <x v="5"/>
    <x v="913"/>
    <s v="C00000019"/>
    <x v="18"/>
    <s v="RM Fume Silica HJSIL 200 (10Kg)"/>
    <n v="1"/>
    <s v="Cash"/>
    <n v="0"/>
    <d v="2024-07-04T00:00:00"/>
    <n v="7"/>
    <n v="2024"/>
    <n v="420"/>
    <m/>
    <n v="420"/>
    <n v="4931509.8500000006"/>
    <s v="Trsf"/>
    <m/>
    <m/>
  </r>
  <r>
    <x v="591"/>
    <x v="2"/>
    <x v="5"/>
    <x v="913"/>
    <s v="C00000019"/>
    <x v="18"/>
    <s v="RM Chemlease 71-90 EZ (1 gallon)"/>
    <n v="1"/>
    <s v="Cash"/>
    <n v="0"/>
    <d v="2024-07-04T00:00:00"/>
    <n v="7"/>
    <n v="2024"/>
    <n v="395"/>
    <m/>
    <n v="395"/>
    <n v="4931904.8500000006"/>
    <s v="Trsf"/>
    <m/>
    <m/>
  </r>
  <r>
    <x v="592"/>
    <x v="2"/>
    <x v="5"/>
    <x v="914"/>
    <s v="C00000044"/>
    <x v="46"/>
    <s v="RA Resin 3338W (220kg)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x v="592"/>
    <x v="2"/>
    <x v="5"/>
    <x v="914"/>
    <s v="C00000044"/>
    <x v="46"/>
    <s v="RA CSM 450 1040mm (30kg)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x v="592"/>
    <x v="2"/>
    <x v="5"/>
    <x v="915"/>
    <s v="C00000049"/>
    <x v="51"/>
    <s v="RA Nor 3338W (220Kg)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x v="593"/>
    <x v="2"/>
    <x v="5"/>
    <x v="916"/>
    <s v="C00000042"/>
    <x v="43"/>
    <s v="RQ Talcum Powder (25Kg)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x v="593"/>
    <x v="2"/>
    <x v="5"/>
    <x v="917"/>
    <s v="C00000042"/>
    <x v="43"/>
    <s v="RM Resin 3317W (220Kg)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x v="593"/>
    <x v="2"/>
    <x v="5"/>
    <x v="917"/>
    <s v="C00000042"/>
    <x v="43"/>
    <s v="RO CSM 450 64m(L) 1040mm(W) (37Kg)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x v="593"/>
    <x v="2"/>
    <x v="5"/>
    <x v="917"/>
    <s v="C00000042"/>
    <x v="43"/>
    <s v="RM Woven Roving E-600gm 1000mm (40Kg)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x v="593"/>
    <x v="2"/>
    <x v="5"/>
    <x v="917"/>
    <s v="C00000042"/>
    <x v="43"/>
    <s v="RM Woven Roving E-600gm 1000mm (40Kg)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x v="593"/>
    <x v="2"/>
    <x v="5"/>
    <x v="917"/>
    <s v="C00000042"/>
    <x v="43"/>
    <s v="RA Mepoxe (5kg)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x v="593"/>
    <x v="2"/>
    <x v="5"/>
    <x v="917"/>
    <s v="C00000042"/>
    <x v="43"/>
    <s v="RM Pigment Paste Smooth Cream M19 (25Kg)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x v="594"/>
    <x v="2"/>
    <x v="5"/>
    <x v="918"/>
    <s v="C00000009"/>
    <x v="8"/>
    <s v="RM CSM 450 1860mm(W) (54kg)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x v="594"/>
    <x v="2"/>
    <x v="5"/>
    <x v="918"/>
    <s v="C00000009"/>
    <x v="8"/>
    <s v="RM Pigment Super Black (5kg)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x v="594"/>
    <x v="2"/>
    <x v="5"/>
    <x v="919"/>
    <s v="C00000050"/>
    <x v="52"/>
    <s v="RA Resin 3338W (220Kg)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x v="594"/>
    <x v="2"/>
    <x v="5"/>
    <x v="919"/>
    <s v="C00000050"/>
    <x v="52"/>
    <s v="RO CSM 450 1040mm(W) (37kg)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x v="594"/>
    <x v="2"/>
    <x v="5"/>
    <x v="919"/>
    <s v="C00000050"/>
    <x v="52"/>
    <s v="RA Mepoxe (5kg)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x v="594"/>
    <x v="2"/>
    <x v="5"/>
    <x v="919"/>
    <s v="C00000050"/>
    <x v="52"/>
    <s v="RQ Talcum Powder (25Kg)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x v="595"/>
    <x v="2"/>
    <x v="5"/>
    <x v="920"/>
    <s v="C00000053"/>
    <x v="55"/>
    <s v="RM Epoxy Resin (25kg)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x v="596"/>
    <x v="2"/>
    <x v="5"/>
    <x v="921"/>
    <s v="C00000019"/>
    <x v="18"/>
    <s v="RA Nor 3338W (220Kg)"/>
    <n v="1"/>
    <s v="Cash"/>
    <n v="0"/>
    <d v="2024-07-17T00:00:00"/>
    <n v="7"/>
    <n v="2024"/>
    <n v="1760"/>
    <m/>
    <n v="1760"/>
    <n v="4983728.6500000004"/>
    <s v="Trsf"/>
    <m/>
    <m/>
  </r>
  <r>
    <x v="596"/>
    <x v="2"/>
    <x v="5"/>
    <x v="921"/>
    <s v="C00000019"/>
    <x v="18"/>
    <s v="RM CSM 450 1860mm(W) (54kg)"/>
    <n v="1"/>
    <s v="Cash"/>
    <n v="0"/>
    <d v="2024-07-17T00:00:00"/>
    <n v="7"/>
    <n v="2024"/>
    <n v="405"/>
    <m/>
    <n v="405"/>
    <n v="4984133.6500000004"/>
    <s v="Trsf"/>
    <m/>
    <m/>
  </r>
  <r>
    <x v="597"/>
    <x v="2"/>
    <x v="5"/>
    <x v="922"/>
    <s v="C00000010"/>
    <x v="9"/>
    <s v="RM Resin 3338W (220kg)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x v="597"/>
    <x v="2"/>
    <x v="5"/>
    <x v="922"/>
    <s v="C00000010"/>
    <x v="9"/>
    <s v="RA CSM 450 1040mm(W) (30kg)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x v="597"/>
    <x v="2"/>
    <x v="5"/>
    <x v="922"/>
    <s v="C00000010"/>
    <x v="9"/>
    <s v="RQ Talcum Powder (25kg)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x v="597"/>
    <x v="2"/>
    <x v="5"/>
    <x v="922"/>
    <s v="C00000010"/>
    <x v="9"/>
    <s v="RA Butanox M50 (5kg)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x v="597"/>
    <x v="2"/>
    <x v="5"/>
    <x v="922"/>
    <s v="C00000010"/>
    <x v="9"/>
    <s v="RM TR104 Wax Mould Release (12 Can)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x v="597"/>
    <x v="2"/>
    <x v="5"/>
    <x v="923"/>
    <s v="C00000010"/>
    <x v="9"/>
    <s v="RA CSM 450 (60Kg) 64m(L) x 2080mm(W)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x v="597"/>
    <x v="2"/>
    <x v="5"/>
    <x v="923"/>
    <s v="C00000010"/>
    <x v="9"/>
    <s v="RM Pigment Orange RAL 2009 (7kg) 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x v="597"/>
    <x v="2"/>
    <x v="5"/>
    <x v="923"/>
    <s v="C00000010"/>
    <x v="9"/>
    <s v="RM PIgment Sapphire Blue B10 (5kg)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x v="598"/>
    <x v="2"/>
    <x v="5"/>
    <x v="924"/>
    <s v="C00000050"/>
    <x v="52"/>
    <s v="RA Resin 3338W (220Kg)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x v="598"/>
    <x v="2"/>
    <x v="5"/>
    <x v="924"/>
    <s v="C00000050"/>
    <x v="52"/>
    <s v="RO CSM 450 1040mm(W) (37kg)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x v="598"/>
    <x v="2"/>
    <x v="5"/>
    <x v="924"/>
    <s v="C00000050"/>
    <x v="52"/>
    <s v="RA Mepoxe (5kg)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x v="598"/>
    <x v="2"/>
    <x v="5"/>
    <x v="924"/>
    <s v="C00000050"/>
    <x v="52"/>
    <s v="RQ Talcum Powder (25Kg)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x v="598"/>
    <x v="2"/>
    <x v="5"/>
    <x v="924"/>
    <s v="C00000050"/>
    <x v="52"/>
    <s v="RA Honeywax 250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x v="599"/>
    <x v="2"/>
    <x v="5"/>
    <x v="925"/>
    <s v="C00000009"/>
    <x v="8"/>
    <s v="RM Nor 3317W (220Kg)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x v="599"/>
    <x v="2"/>
    <x v="5"/>
    <x v="925"/>
    <s v="C00000009"/>
    <x v="8"/>
    <s v="RM Nor 3338NW (220Kg)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x v="600"/>
    <x v="2"/>
    <x v="5"/>
    <x v="926"/>
    <s v="C00000019"/>
    <x v="18"/>
    <s v="RA Nor 3338W (220Kg)"/>
    <n v="1"/>
    <s v="Cash"/>
    <n v="0"/>
    <d v="2024-07-24T00:00:00"/>
    <n v="7"/>
    <n v="2024"/>
    <n v="1760"/>
    <m/>
    <n v="1760"/>
    <n v="5011164.1500000004"/>
    <s v="Trsf"/>
    <m/>
    <m/>
  </r>
  <r>
    <x v="600"/>
    <x v="2"/>
    <x v="5"/>
    <x v="926"/>
    <s v="C00000019"/>
    <x v="18"/>
    <s v="RM CSM 450 1860mm(W) (54kg)"/>
    <n v="1"/>
    <s v="Cash"/>
    <n v="0"/>
    <d v="2024-07-24T00:00:00"/>
    <n v="7"/>
    <n v="2024"/>
    <n v="405"/>
    <m/>
    <n v="405"/>
    <n v="5011569.1500000004"/>
    <s v="Trsf"/>
    <m/>
    <m/>
  </r>
  <r>
    <x v="600"/>
    <x v="2"/>
    <x v="5"/>
    <x v="926"/>
    <s v="C00000019"/>
    <x v="18"/>
    <s v="RQ Talcum Powder (25kg)"/>
    <n v="3"/>
    <s v="Cash"/>
    <n v="0"/>
    <d v="2024-07-24T00:00:00"/>
    <n v="7"/>
    <n v="2024"/>
    <n v="187.5"/>
    <m/>
    <n v="187.5"/>
    <n v="5011756.6500000004"/>
    <s v="Trsf"/>
    <m/>
    <m/>
  </r>
  <r>
    <x v="600"/>
    <x v="2"/>
    <x v="5"/>
    <x v="926"/>
    <s v="C00000019"/>
    <x v="18"/>
    <s v="RA Butanox M50 (5kg)"/>
    <n v="1"/>
    <s v="Cash"/>
    <n v="0"/>
    <d v="2024-07-24T00:00:00"/>
    <n v="7"/>
    <n v="2024"/>
    <n v="110"/>
    <m/>
    <n v="110"/>
    <n v="5011866.6500000004"/>
    <s v="Trsf"/>
    <m/>
    <m/>
  </r>
  <r>
    <x v="600"/>
    <x v="2"/>
    <x v="5"/>
    <x v="926"/>
    <s v="C00000019"/>
    <x v="18"/>
    <s v="RM Chemlease 71-90 EZ (1 gallon)"/>
    <n v="1"/>
    <s v="Cash"/>
    <n v="0"/>
    <d v="2024-07-24T00:00:00"/>
    <n v="7"/>
    <n v="2024"/>
    <n v="395"/>
    <m/>
    <n v="395"/>
    <n v="5012261.6500000004"/>
    <s v="Trsf"/>
    <m/>
    <m/>
  </r>
  <r>
    <x v="600"/>
    <x v="2"/>
    <x v="5"/>
    <x v="926"/>
    <s v="C00000019"/>
    <x v="18"/>
    <s v="RM Pigment Super Black PE30 (5kg)"/>
    <n v="1"/>
    <s v="Cash"/>
    <n v="0"/>
    <d v="2024-07-24T00:00:00"/>
    <n v="7"/>
    <n v="2024"/>
    <n v="160"/>
    <m/>
    <n v="160"/>
    <n v="5012421.6500000004"/>
    <s v="Trsf"/>
    <m/>
    <m/>
  </r>
  <r>
    <x v="600"/>
    <x v="2"/>
    <x v="5"/>
    <x v="926"/>
    <s v="C00000019"/>
    <x v="18"/>
    <s v="RM Pigment Super White (5Kg)"/>
    <n v="1"/>
    <s v="Cash"/>
    <n v="0"/>
    <d v="2024-07-24T00:00:00"/>
    <n v="7"/>
    <n v="2024"/>
    <n v="150"/>
    <m/>
    <n v="150"/>
    <n v="5012571.6500000004"/>
    <s v="Trsf"/>
    <m/>
    <m/>
  </r>
  <r>
    <x v="600"/>
    <x v="2"/>
    <x v="5"/>
    <x v="926"/>
    <s v="C00000019"/>
    <x v="18"/>
    <s v="RO Polymal LB-9888 (22kg)"/>
    <n v="1"/>
    <s v="Cash"/>
    <n v="0"/>
    <d v="2024-07-24T00:00:00"/>
    <n v="7"/>
    <n v="2024"/>
    <n v="283.8"/>
    <m/>
    <n v="283.8"/>
    <n v="5012855.45"/>
    <s v="Trsf"/>
    <m/>
    <m/>
  </r>
  <r>
    <x v="601"/>
    <x v="2"/>
    <x v="5"/>
    <x v="927"/>
    <s v="C00000042"/>
    <x v="43"/>
    <s v="RQ Talcum Powder (25Kg)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x v="601"/>
    <x v="2"/>
    <x v="5"/>
    <x v="928"/>
    <s v="C00000042"/>
    <x v="43"/>
    <s v="RM Resin 3317W (220Kg)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x v="601"/>
    <x v="2"/>
    <x v="5"/>
    <x v="928"/>
    <s v="C00000042"/>
    <x v="43"/>
    <s v="RA CSM 450 1040mm(W) (30kg)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x v="601"/>
    <x v="2"/>
    <x v="5"/>
    <x v="928"/>
    <s v="C00000042"/>
    <x v="43"/>
    <s v="RM Woven Roving E-600gm 1000mm (40Kg)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x v="601"/>
    <x v="2"/>
    <x v="5"/>
    <x v="928"/>
    <s v="C00000042"/>
    <x v="43"/>
    <s v="RA Mepoxe (5kg)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x v="601"/>
    <x v="2"/>
    <x v="5"/>
    <x v="928"/>
    <s v="C00000042"/>
    <x v="43"/>
    <s v="RM Pigment Paste Smooth Cream M19 (25Kg)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x v="601"/>
    <x v="2"/>
    <x v="5"/>
    <x v="928"/>
    <s v="C00000042"/>
    <x v="43"/>
    <s v="RM Pigment Paste Riviera Blue B5 (25Kg)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x v="602"/>
    <x v="2"/>
    <x v="5"/>
    <x v="929"/>
    <s v="C00000049"/>
    <x v="51"/>
    <s v="RA Nor 3338W (220Kg)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x v="602"/>
    <x v="2"/>
    <x v="5"/>
    <x v="929"/>
    <s v="C00000049"/>
    <x v="51"/>
    <s v="RA CSM 300 1040mm(W) (30kg)"/>
    <n v="4"/>
    <s v="Cash"/>
    <n v="0"/>
    <d v="2024-07-27T00:00:00"/>
    <n v="7"/>
    <n v="2024"/>
    <n v="900"/>
    <m/>
    <n v="900"/>
    <n v="5057107.95"/>
    <s v="Cash"/>
    <m/>
    <m/>
  </r>
  <r>
    <x v="602"/>
    <x v="2"/>
    <x v="5"/>
    <x v="929"/>
    <s v="C00000049"/>
    <x v="51"/>
    <s v="RA Butanox M50 (5Kg)"/>
    <n v="1"/>
    <s v="Cash"/>
    <n v="0"/>
    <d v="2024-07-27T00:00:00"/>
    <n v="7"/>
    <n v="2024"/>
    <n v="110"/>
    <m/>
    <n v="110"/>
    <n v="5057217.95"/>
    <s v="Cash"/>
    <m/>
    <m/>
  </r>
  <r>
    <x v="602"/>
    <x v="2"/>
    <x v="5"/>
    <x v="929"/>
    <s v="C00000049"/>
    <x v="51"/>
    <s v="RA Wax Solution"/>
    <n v="1"/>
    <s v="Cash"/>
    <n v="0"/>
    <d v="2024-07-27T00:00:00"/>
    <n v="7"/>
    <n v="2024"/>
    <n v="40"/>
    <m/>
    <n v="40"/>
    <n v="5057257.95"/>
    <s v="Cash"/>
    <m/>
    <m/>
  </r>
  <r>
    <x v="602"/>
    <x v="2"/>
    <x v="5"/>
    <x v="929"/>
    <s v="C00000049"/>
    <x v="51"/>
    <s v="RM Pigment Super White (5Kg)"/>
    <n v="1"/>
    <s v="Cash"/>
    <n v="0"/>
    <d v="2024-07-27T00:00:00"/>
    <n v="7"/>
    <n v="2024"/>
    <n v="175"/>
    <m/>
    <n v="175"/>
    <n v="5057432.95"/>
    <s v="Cash"/>
    <m/>
    <m/>
  </r>
  <r>
    <x v="603"/>
    <x v="2"/>
    <x v="5"/>
    <x v="930"/>
    <s v="C00000027"/>
    <x v="28"/>
    <s v="RA Nor 3338W (220Kg)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x v="603"/>
    <x v="2"/>
    <x v="5"/>
    <x v="930"/>
    <s v="C00000027"/>
    <x v="28"/>
    <s v="RA CSM 300 96m(L) X 1860mm(W) (54Kg)"/>
    <n v="4"/>
    <s v="Cash"/>
    <n v="0"/>
    <d v="2024-07-29T00:00:00"/>
    <n v="7"/>
    <n v="2024"/>
    <n v="1684.8"/>
    <m/>
    <n v="1684.8"/>
    <n v="5066157.75"/>
    <s v="Trsf"/>
    <m/>
    <m/>
  </r>
  <r>
    <x v="603"/>
    <x v="2"/>
    <x v="5"/>
    <x v="930"/>
    <s v="C00000027"/>
    <x v="28"/>
    <s v="RM Woven Roving E-600gm 1000mm (40Kg)"/>
    <n v="1"/>
    <s v="Cash"/>
    <n v="0"/>
    <d v="2024-07-29T00:00:00"/>
    <n v="7"/>
    <n v="2024"/>
    <n v="280"/>
    <m/>
    <n v="280"/>
    <n v="5066437.75"/>
    <s v="Trsf"/>
    <m/>
    <m/>
  </r>
  <r>
    <x v="603"/>
    <x v="2"/>
    <x v="5"/>
    <x v="930"/>
    <s v="C00000027"/>
    <x v="28"/>
    <s v="RO Gelcoat LB9888 (22kg)"/>
    <n v="2"/>
    <s v="Cash"/>
    <n v="0"/>
    <d v="2024-07-29T00:00:00"/>
    <n v="7"/>
    <n v="2024"/>
    <n v="563.20000000000005"/>
    <m/>
    <n v="563.20000000000005"/>
    <n v="5067000.95"/>
    <s v="Trsf"/>
    <m/>
    <m/>
  </r>
  <r>
    <x v="603"/>
    <x v="2"/>
    <x v="5"/>
    <x v="930"/>
    <s v="C00000027"/>
    <x v="28"/>
    <s v="RA Mepoxe (5kg)"/>
    <n v="4"/>
    <s v="Cash"/>
    <n v="0"/>
    <d v="2024-07-29T00:00:00"/>
    <n v="7"/>
    <n v="2024"/>
    <n v="380"/>
    <m/>
    <n v="380"/>
    <n v="5067380.95"/>
    <s v="Trsf"/>
    <m/>
    <m/>
  </r>
  <r>
    <x v="603"/>
    <x v="2"/>
    <x v="5"/>
    <x v="930"/>
    <s v="C00000027"/>
    <x v="28"/>
    <s v="RM Pigment Super White W2HV (5Kg)"/>
    <n v="2"/>
    <s v="Cash"/>
    <n v="0"/>
    <d v="2024-07-29T00:00:00"/>
    <n v="7"/>
    <n v="2024"/>
    <n v="320"/>
    <m/>
    <n v="320"/>
    <n v="5067700.95"/>
    <s v="Trsf"/>
    <m/>
    <m/>
  </r>
  <r>
    <x v="602"/>
    <x v="2"/>
    <x v="5"/>
    <x v="931"/>
    <s v="C00000042"/>
    <x v="43"/>
    <s v="RM Pigment Paste Smooth Cream M19 (25Kg)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x v="603"/>
    <x v="2"/>
    <x v="5"/>
    <x v="932"/>
    <s v="C00000049"/>
    <x v="51"/>
    <s v="RA CSM 300 1040mm(W) (30kg)"/>
    <n v="1"/>
    <s v="Cash"/>
    <n v="0"/>
    <d v="2024-07-29T00:00:00"/>
    <n v="7"/>
    <n v="2024"/>
    <n v="225"/>
    <m/>
    <n v="225"/>
    <n v="5012646.6500000004"/>
    <s v="Cash"/>
    <m/>
    <m/>
  </r>
  <r>
    <x v="604"/>
    <x v="2"/>
    <x v="5"/>
    <x v="933"/>
    <s v="C00000050"/>
    <x v="52"/>
    <s v="RA Resin 3338W (220Kg)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x v="604"/>
    <x v="2"/>
    <x v="5"/>
    <x v="933"/>
    <s v="C00000050"/>
    <x v="52"/>
    <s v="RO CSM 450 1040mm(W) (37kg)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x v="604"/>
    <x v="2"/>
    <x v="5"/>
    <x v="933"/>
    <s v="C00000050"/>
    <x v="52"/>
    <s v="RA Mepoxe (5kg)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x v="604"/>
    <x v="2"/>
    <x v="5"/>
    <x v="933"/>
    <s v="C00000050"/>
    <x v="52"/>
    <s v="RQ Talcum Powder (25Kg)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x v="605"/>
    <x v="3"/>
    <x v="5"/>
    <x v="934"/>
    <s v="C00000037"/>
    <x v="38"/>
    <s v="RA Resin 3338W (220Kg)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x v="605"/>
    <x v="3"/>
    <x v="5"/>
    <x v="934"/>
    <s v="C00000037"/>
    <x v="38"/>
    <s v="RM CSM 450 64m(L) X 1860mm(W) (54kg)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x v="605"/>
    <x v="3"/>
    <x v="5"/>
    <x v="934"/>
    <s v="C00000037"/>
    <x v="38"/>
    <s v="RM CSM 300 64m(L) X 1860mm(W) (54kg)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x v="605"/>
    <x v="3"/>
    <x v="5"/>
    <x v="934"/>
    <s v="C00000037"/>
    <x v="38"/>
    <s v="RM Miracle Gloss Wax No. 8 (311g/Can)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x v="605"/>
    <x v="3"/>
    <x v="5"/>
    <x v="934"/>
    <s v="C00000037"/>
    <x v="38"/>
    <s v="RM Talcum Powder (25Kg)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x v="605"/>
    <x v="3"/>
    <x v="5"/>
    <x v="934"/>
    <s v="C00000037"/>
    <x v="38"/>
    <s v="RM Pigment Super White (30kg)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x v="605"/>
    <x v="3"/>
    <x v="5"/>
    <x v="934"/>
    <s v="C00000037"/>
    <x v="38"/>
    <s v="RA Mepoxe (5kg)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x v="606"/>
    <x v="3"/>
    <x v="5"/>
    <x v="935"/>
    <s v="C00000042"/>
    <x v="43"/>
    <s v="RA Mepoxe (5kg)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x v="606"/>
    <x v="3"/>
    <x v="5"/>
    <x v="935"/>
    <s v="C00000042"/>
    <x v="43"/>
    <s v="RA Butanox M50 (5Kg)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x v="606"/>
    <x v="3"/>
    <x v="5"/>
    <x v="936"/>
    <s v="C00000006"/>
    <x v="5"/>
    <s v="RA Nor 3338W (220Kg)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x v="606"/>
    <x v="3"/>
    <x v="5"/>
    <x v="936"/>
    <s v="C00000006"/>
    <x v="5"/>
    <s v="RA CSM 450 1040mm(W) (30Kg)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x v="606"/>
    <x v="3"/>
    <x v="5"/>
    <x v="936"/>
    <s v="C00000006"/>
    <x v="5"/>
    <s v="RA Butanox M50 (5Kg)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x v="606"/>
    <x v="3"/>
    <x v="5"/>
    <x v="936"/>
    <s v="C00000006"/>
    <x v="5"/>
    <s v="RM Pigment Pearl Grey G1 (5Kg)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x v="606"/>
    <x v="3"/>
    <x v="5"/>
    <x v="937"/>
    <s v="C00000044"/>
    <x v="46"/>
    <s v="RM Resin 3338NW (220kg)"/>
    <n v="1"/>
    <s v="Cash"/>
    <n v="0"/>
    <d v="2024-08-05T00:00:00"/>
    <n v="8"/>
    <n v="2024"/>
    <n v="1694"/>
    <n v="-1694"/>
    <n v="0"/>
    <n v="5085726.75"/>
    <s v="Cash"/>
    <s v="Trsf 6/8/24 RM2,878.00"/>
    <m/>
  </r>
  <r>
    <x v="606"/>
    <x v="3"/>
    <x v="5"/>
    <x v="937"/>
    <s v="C00000044"/>
    <x v="46"/>
    <s v="RM Woven Roving E-600gm 1000mm (40Kg)"/>
    <n v="1"/>
    <s v="Cash"/>
    <n v="0"/>
    <d v="2024-08-05T00:00:00"/>
    <n v="8"/>
    <n v="2024"/>
    <n v="280"/>
    <n v="-280"/>
    <n v="0"/>
    <n v="5086006.75"/>
    <s v="Cash"/>
    <s v="Trsf 6/8/24 RM2,878.00"/>
    <m/>
  </r>
  <r>
    <x v="606"/>
    <x v="3"/>
    <x v="5"/>
    <x v="937"/>
    <s v="C00000044"/>
    <x v="46"/>
    <s v="RM Gelcoat NPG 9319-H (25kg)"/>
    <n v="1"/>
    <s v="Cash"/>
    <n v="0"/>
    <d v="2024-08-05T00:00:00"/>
    <n v="8"/>
    <n v="2024"/>
    <n v="325"/>
    <n v="-325"/>
    <n v="0"/>
    <n v="5086331.75"/>
    <s v="Cash"/>
    <s v="Trsf 6/8/24 RM2,878.00"/>
    <m/>
  </r>
  <r>
    <x v="606"/>
    <x v="3"/>
    <x v="5"/>
    <x v="937"/>
    <s v="C00000044"/>
    <x v="46"/>
    <s v="RM Honeycomb 12mm - 1220(W) x 2440(L)"/>
    <n v="3"/>
    <s v="Cash"/>
    <n v="0"/>
    <d v="2024-08-05T00:00:00"/>
    <n v="8"/>
    <n v="2024"/>
    <n v="414"/>
    <n v="-414"/>
    <n v="0"/>
    <n v="5086745.75"/>
    <s v="Cash"/>
    <s v="Trsf 6/8/24 RM2,878.00"/>
    <m/>
  </r>
  <r>
    <x v="606"/>
    <x v="3"/>
    <x v="5"/>
    <x v="937"/>
    <s v="C00000044"/>
    <x v="46"/>
    <s v="RM Pigment Light Grey G1 (5kg)"/>
    <n v="1"/>
    <s v="Cash"/>
    <n v="0"/>
    <d v="2024-08-05T00:00:00"/>
    <n v="8"/>
    <n v="2024"/>
    <n v="165"/>
    <n v="-165"/>
    <n v="0"/>
    <n v="5086910.75"/>
    <s v="Cash"/>
    <s v="Trsf 6/8/24 RM2,878.00"/>
    <m/>
  </r>
  <r>
    <x v="607"/>
    <x v="3"/>
    <x v="5"/>
    <x v="938"/>
    <s v="C00000050"/>
    <x v="52"/>
    <s v="RM Resin 3317W (220Kg)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x v="607"/>
    <x v="3"/>
    <x v="5"/>
    <x v="938"/>
    <s v="C00000050"/>
    <x v="52"/>
    <s v="RO CSM 450 1040mm(W) (37kg)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x v="607"/>
    <x v="3"/>
    <x v="5"/>
    <x v="938"/>
    <s v="C00000050"/>
    <x v="52"/>
    <s v="RA Mepoxe (5kg)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x v="607"/>
    <x v="3"/>
    <x v="5"/>
    <x v="939"/>
    <s v="C00000010"/>
    <x v="9"/>
    <s v="RM Resin 3338W (220kg)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x v="607"/>
    <x v="3"/>
    <x v="5"/>
    <x v="939"/>
    <s v="C00000010"/>
    <x v="9"/>
    <s v="RA CSM 450 1040mm(W) (30kg)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x v="607"/>
    <x v="3"/>
    <x v="5"/>
    <x v="939"/>
    <s v="C00000010"/>
    <x v="9"/>
    <s v="RQ Talcum Powder (25kg)"/>
    <n v="10"/>
    <n v="120"/>
    <n v="120"/>
    <d v="2024-12-04T00:00:00"/>
    <n v="12"/>
    <n v="2024"/>
    <n v="575"/>
    <n v="-575"/>
    <n v="0"/>
    <n v="5104997.25"/>
    <s v="Trsf"/>
    <s v="Trsf 19/1/25 RM20,508.60"/>
    <m/>
  </r>
  <r>
    <x v="607"/>
    <x v="3"/>
    <x v="5"/>
    <x v="939"/>
    <s v="C00000010"/>
    <x v="9"/>
    <s v="RA Butanox M50 (5kg)"/>
    <n v="4"/>
    <n v="120"/>
    <n v="120"/>
    <d v="2024-12-04T00:00:00"/>
    <n v="12"/>
    <n v="2024"/>
    <n v="440"/>
    <n v="-440"/>
    <n v="0"/>
    <n v="5105437.25"/>
    <s v="Trsf"/>
    <s v="Trsf 19/1/25 RM20,508.60"/>
    <m/>
  </r>
  <r>
    <x v="607"/>
    <x v="3"/>
    <x v="5"/>
    <x v="939"/>
    <s v="C00000010"/>
    <x v="9"/>
    <s v="RO Gelcoat LB9888 (22kg)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x v="607"/>
    <x v="3"/>
    <x v="5"/>
    <x v="939"/>
    <s v="C00000010"/>
    <x v="9"/>
    <s v="RM Fume Silica HJSIL 200 (10Kg)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x v="607"/>
    <x v="3"/>
    <x v="5"/>
    <x v="939"/>
    <s v="C00000010"/>
    <x v="9"/>
    <s v="RH Bosny Wax (15Kg)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x v="607"/>
    <x v="3"/>
    <x v="5"/>
    <x v="940"/>
    <s v="C00000019"/>
    <x v="18"/>
    <s v="RA Nor 3338W (220Kg)"/>
    <n v="1"/>
    <s v="Cash"/>
    <n v="0"/>
    <d v="2024-08-06T00:00:00"/>
    <n v="8"/>
    <n v="2024"/>
    <n v="1760"/>
    <m/>
    <n v="1760"/>
    <n v="5108535.8499999996"/>
    <s v="Trsf"/>
    <m/>
    <m/>
  </r>
  <r>
    <x v="607"/>
    <x v="3"/>
    <x v="5"/>
    <x v="940"/>
    <s v="C00000019"/>
    <x v="18"/>
    <s v="RM Tissue Mat (250 M2)"/>
    <n v="1"/>
    <s v="Cash"/>
    <n v="0"/>
    <d v="2024-08-06T00:00:00"/>
    <n v="8"/>
    <n v="2024"/>
    <n v="600"/>
    <m/>
    <n v="600"/>
    <n v="5109135.8499999996"/>
    <s v="Trsf"/>
    <m/>
    <m/>
  </r>
  <r>
    <x v="607"/>
    <x v="3"/>
    <x v="5"/>
    <x v="940"/>
    <s v="C00000019"/>
    <x v="18"/>
    <s v="RQ Talcum Powder (25kg)"/>
    <n v="3"/>
    <s v="Cash"/>
    <n v="0"/>
    <d v="2024-08-06T00:00:00"/>
    <n v="8"/>
    <n v="2024"/>
    <n v="187.5"/>
    <m/>
    <n v="187.5"/>
    <n v="5109323.3499999996"/>
    <s v="Trsf"/>
    <m/>
    <m/>
  </r>
  <r>
    <x v="607"/>
    <x v="3"/>
    <x v="5"/>
    <x v="940"/>
    <s v="C00000019"/>
    <x v="18"/>
    <s v="RE Frekote 770NC (1 Gallon)"/>
    <n v="1"/>
    <s v="Cash"/>
    <n v="0"/>
    <d v="2024-08-06T00:00:00"/>
    <n v="8"/>
    <n v="2024"/>
    <n v="450"/>
    <m/>
    <n v="450"/>
    <n v="5109773.3499999996"/>
    <s v="Trsf"/>
    <m/>
    <m/>
  </r>
  <r>
    <x v="607"/>
    <x v="3"/>
    <x v="5"/>
    <x v="941"/>
    <s v="C00000012"/>
    <x v="44"/>
    <s v="RM Resin 3338W (25Kg)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x v="607"/>
    <x v="3"/>
    <x v="5"/>
    <x v="941"/>
    <s v="C00000012"/>
    <x v="44"/>
    <s v="RA CSM 300 64m(L) 1040mm(W) (30Kg)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x v="608"/>
    <x v="3"/>
    <x v="5"/>
    <x v="942"/>
    <s v="C00000049"/>
    <x v="51"/>
    <s v="RA Nor 3338W (220Kg)"/>
    <n v="1"/>
    <s v="Cash"/>
    <n v="0"/>
    <d v="2024-08-07T00:00:00"/>
    <n v="8"/>
    <n v="2024"/>
    <n v="1760"/>
    <m/>
    <n v="1760"/>
    <n v="5112718.3499999996"/>
    <s v="Cash"/>
    <m/>
    <m/>
  </r>
  <r>
    <x v="608"/>
    <x v="3"/>
    <x v="5"/>
    <x v="942"/>
    <s v="C00000049"/>
    <x v="51"/>
    <s v="RM VE Resin 901-3P (200Kg)"/>
    <n v="1"/>
    <s v="Cash"/>
    <n v="0"/>
    <d v="2024-08-07T00:00:00"/>
    <n v="8"/>
    <n v="2024"/>
    <n v="3600"/>
    <m/>
    <n v="3600"/>
    <n v="5116318.3499999996"/>
    <s v="Cash"/>
    <m/>
    <m/>
  </r>
  <r>
    <x v="608"/>
    <x v="3"/>
    <x v="5"/>
    <x v="942"/>
    <s v="C00000049"/>
    <x v="51"/>
    <s v="RA CSM 300 1040mm(W) (30kg)"/>
    <n v="3"/>
    <s v="Cash"/>
    <n v="0"/>
    <d v="2024-08-07T00:00:00"/>
    <n v="8"/>
    <n v="2024"/>
    <n v="675"/>
    <m/>
    <n v="675"/>
    <n v="5116993.3499999996"/>
    <s v="Cash"/>
    <m/>
    <m/>
  </r>
  <r>
    <x v="608"/>
    <x v="3"/>
    <x v="5"/>
    <x v="942"/>
    <s v="C00000049"/>
    <x v="51"/>
    <s v="RM Pigment Super White (5Kg)"/>
    <n v="1"/>
    <s v="Cash"/>
    <n v="0"/>
    <d v="2024-08-07T00:00:00"/>
    <n v="8"/>
    <n v="2024"/>
    <n v="175"/>
    <m/>
    <n v="175"/>
    <n v="5117168.3499999996"/>
    <s v="Cash"/>
    <m/>
    <m/>
  </r>
  <r>
    <x v="608"/>
    <x v="3"/>
    <x v="5"/>
    <x v="943"/>
    <s v="C00000042"/>
    <x v="43"/>
    <s v="RQ Talcum Powder (25Kg)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x v="608"/>
    <x v="3"/>
    <x v="5"/>
    <x v="944"/>
    <s v="C00000042"/>
    <x v="43"/>
    <s v="RM Resin 3317W (220Kg)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x v="608"/>
    <x v="3"/>
    <x v="5"/>
    <x v="944"/>
    <s v="C00000042"/>
    <x v="43"/>
    <s v="RA CSM 450 1040mm(W) (30kg)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x v="608"/>
    <x v="3"/>
    <x v="5"/>
    <x v="944"/>
    <s v="C00000042"/>
    <x v="43"/>
    <s v="RM Woven Roving E-600gm 1000mm (40Kg)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x v="608"/>
    <x v="3"/>
    <x v="5"/>
    <x v="944"/>
    <s v="C00000042"/>
    <x v="43"/>
    <s v="RA Mepoxe (5kg)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x v="608"/>
    <x v="3"/>
    <x v="5"/>
    <x v="944"/>
    <s v="C00000042"/>
    <x v="43"/>
    <s v="RM Pigment Paste Riviera Blue B5 (25Kg)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x v="608"/>
    <x v="3"/>
    <x v="5"/>
    <x v="945"/>
    <s v="C00000026"/>
    <x v="27"/>
    <s v="RM Resin 3317W (220Kg)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x v="608"/>
    <x v="3"/>
    <x v="5"/>
    <x v="945"/>
    <s v="C00000026"/>
    <x v="27"/>
    <s v="RM CSM 450 1860mm(W) (54kg)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x v="609"/>
    <x v="3"/>
    <x v="5"/>
    <x v="946"/>
    <s v="C00000003"/>
    <x v="2"/>
    <s v="RM Resin 3317AW (220Kg)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x v="609"/>
    <x v="3"/>
    <x v="5"/>
    <x v="946"/>
    <s v="C00000003"/>
    <x v="2"/>
    <s v="RA CSM 300 64m(L) 1040mm(W) (30Kg)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x v="609"/>
    <x v="3"/>
    <x v="5"/>
    <x v="946"/>
    <s v="C00000003"/>
    <x v="2"/>
    <s v="RA Butanox M50 (5Kg)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x v="610"/>
    <x v="3"/>
    <x v="5"/>
    <x v="946"/>
    <s v="C00000003"/>
    <x v="2"/>
    <s v="RQ Talcum Powder (25kg)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x v="610"/>
    <x v="3"/>
    <x v="5"/>
    <x v="947"/>
    <s v="C00000049"/>
    <x v="51"/>
    <s v="RA Nor 3338W (220Kg)"/>
    <n v="2"/>
    <s v="Cash"/>
    <n v="0"/>
    <d v="2024-08-12T00:00:00"/>
    <n v="8"/>
    <n v="2024"/>
    <n v="3520"/>
    <m/>
    <n v="3520"/>
    <n v="5152503.3499999996"/>
    <s v="Cash"/>
    <m/>
    <m/>
  </r>
  <r>
    <x v="610"/>
    <x v="3"/>
    <x v="5"/>
    <x v="947"/>
    <s v="C00000049"/>
    <x v="51"/>
    <s v="RA CSM 300 1040mm(W) (30kg)"/>
    <n v="3"/>
    <s v="Cash"/>
    <n v="0"/>
    <d v="2024-08-12T00:00:00"/>
    <n v="8"/>
    <n v="2024"/>
    <n v="675"/>
    <m/>
    <n v="675"/>
    <n v="5153178.3499999996"/>
    <s v="Cash"/>
    <m/>
    <m/>
  </r>
  <r>
    <x v="611"/>
    <x v="3"/>
    <x v="5"/>
    <x v="948"/>
    <s v="C00000049"/>
    <x v="51"/>
    <s v="RA Butanox M50 (5Kg)"/>
    <n v="1"/>
    <s v="Cash"/>
    <n v="0"/>
    <d v="2024-08-13T00:00:00"/>
    <n v="8"/>
    <n v="2024"/>
    <n v="110"/>
    <m/>
    <n v="110"/>
    <n v="5153288.3499999996"/>
    <s v="Cash"/>
    <m/>
    <m/>
  </r>
  <r>
    <x v="610"/>
    <x v="3"/>
    <x v="5"/>
    <x v="949"/>
    <s v="C00000042"/>
    <x v="43"/>
    <s v="RM Pigment Paste Smooth Cream M19 (25Kg)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x v="612"/>
    <x v="3"/>
    <x v="5"/>
    <x v="950"/>
    <s v="C00000049"/>
    <x v="51"/>
    <s v="RM Pigment Paste Ice Blue B1 (5kg)"/>
    <n v="1"/>
    <s v="Cash"/>
    <n v="0"/>
    <d v="2024-08-15T00:00:00"/>
    <n v="8"/>
    <n v="2024"/>
    <n v="250"/>
    <m/>
    <n v="250"/>
    <n v="5154538.3499999996"/>
    <s v="Cash"/>
    <m/>
    <m/>
  </r>
  <r>
    <x v="613"/>
    <x v="3"/>
    <x v="5"/>
    <x v="951"/>
    <s v="C00000019"/>
    <x v="18"/>
    <s v="RA Nor 3338W (220Kg)"/>
    <n v="1"/>
    <s v="Cash"/>
    <n v="0"/>
    <d v="2024-08-16T00:00:00"/>
    <n v="8"/>
    <n v="2024"/>
    <n v="1760"/>
    <m/>
    <n v="1760"/>
    <n v="5156298.3499999996"/>
    <s v="Trsf"/>
    <m/>
    <m/>
  </r>
  <r>
    <x v="613"/>
    <x v="3"/>
    <x v="5"/>
    <x v="951"/>
    <s v="C00000019"/>
    <x v="18"/>
    <s v="RM TR104 Hi Temp Wax"/>
    <n v="2"/>
    <s v="Cash"/>
    <n v="0"/>
    <d v="2024-08-16T00:00:00"/>
    <n v="8"/>
    <n v="2024"/>
    <n v="120"/>
    <m/>
    <n v="120"/>
    <n v="5156418.3499999996"/>
    <s v="Trsf"/>
    <m/>
    <m/>
  </r>
  <r>
    <x v="613"/>
    <x v="3"/>
    <x v="5"/>
    <x v="952"/>
    <s v="C00000049"/>
    <x v="51"/>
    <s v="RM Pigment Light Grey G1 (5kg)"/>
    <n v="1"/>
    <s v="Cash"/>
    <n v="0"/>
    <d v="2024-08-16T00:00:00"/>
    <n v="8"/>
    <n v="2024"/>
    <n v="180"/>
    <m/>
    <n v="180"/>
    <n v="5156598.3499999996"/>
    <s v="Cash"/>
    <m/>
    <m/>
  </r>
  <r>
    <x v="614"/>
    <x v="3"/>
    <x v="5"/>
    <x v="953"/>
    <s v="C00000042"/>
    <x v="43"/>
    <s v="RQ Talcum Powder (25Kg)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x v="614"/>
    <x v="3"/>
    <x v="5"/>
    <x v="954"/>
    <s v="C00000042"/>
    <x v="43"/>
    <s v="RM Resin 3317W (220Kg)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x v="614"/>
    <x v="3"/>
    <x v="5"/>
    <x v="954"/>
    <s v="C00000042"/>
    <x v="43"/>
    <s v="RA CSM 450 1040mm(W) (30kg)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x v="614"/>
    <x v="3"/>
    <x v="5"/>
    <x v="954"/>
    <s v="C00000042"/>
    <x v="43"/>
    <s v="RA Mepoxe (5kg)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x v="614"/>
    <x v="3"/>
    <x v="5"/>
    <x v="955"/>
    <s v="C00000049"/>
    <x v="51"/>
    <s v="RM Pigment Super White (5Kg) "/>
    <n v="1"/>
    <s v="Cash"/>
    <n v="0"/>
    <d v="2024-08-17T00:00:00"/>
    <n v="8"/>
    <n v="2024"/>
    <n v="175"/>
    <m/>
    <n v="175"/>
    <n v="5161632.3499999996"/>
    <s v="Cash"/>
    <m/>
    <m/>
  </r>
  <r>
    <x v="615"/>
    <x v="3"/>
    <x v="5"/>
    <x v="956"/>
    <s v="C00000042"/>
    <x v="43"/>
    <s v="RQ Talcum Powder (25Kg)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x v="615"/>
    <x v="3"/>
    <x v="5"/>
    <x v="957"/>
    <s v="C00000042"/>
    <x v="43"/>
    <s v="RM Resin 3317W (220Kg)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x v="615"/>
    <x v="3"/>
    <x v="5"/>
    <x v="957"/>
    <s v="C00000042"/>
    <x v="43"/>
    <s v="RA CSM 450 1040mm(W) (30kg)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x v="615"/>
    <x v="3"/>
    <x v="5"/>
    <x v="957"/>
    <s v="C00000042"/>
    <x v="43"/>
    <s v="RM Woven Roving E-600gm 1000mm (40Kg)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x v="615"/>
    <x v="3"/>
    <x v="5"/>
    <x v="957"/>
    <s v="C00000042"/>
    <x v="43"/>
    <s v="RA Mepoxe (5kg)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x v="615"/>
    <x v="3"/>
    <x v="5"/>
    <x v="957"/>
    <s v="C00000042"/>
    <x v="43"/>
    <s v="RM Pigment Paste Riviera Blue B5 (25Kg)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x v="615"/>
    <x v="3"/>
    <x v="5"/>
    <x v="958"/>
    <s v="C00000027"/>
    <x v="28"/>
    <s v="RA Nor 3338W (220Kg)"/>
    <n v="2"/>
    <s v="Cash"/>
    <n v="0"/>
    <d v="2024-08-21T00:00:00"/>
    <n v="8"/>
    <n v="2024"/>
    <n v="3520"/>
    <m/>
    <n v="3520"/>
    <n v="5174608.8499999996"/>
    <s v="Trsf"/>
    <m/>
    <m/>
  </r>
  <r>
    <x v="615"/>
    <x v="3"/>
    <x v="5"/>
    <x v="958"/>
    <s v="C00000027"/>
    <x v="28"/>
    <s v="RM Acetone (163kg)"/>
    <n v="1"/>
    <s v="Cash"/>
    <n v="0"/>
    <d v="2024-08-21T00:00:00"/>
    <n v="8"/>
    <n v="2024"/>
    <n v="1108.4000000000001"/>
    <m/>
    <n v="1108.4000000000001"/>
    <n v="5175717.25"/>
    <s v="Trsf"/>
    <m/>
    <m/>
  </r>
  <r>
    <x v="615"/>
    <x v="3"/>
    <x v="5"/>
    <x v="958"/>
    <s v="C00000027"/>
    <x v="28"/>
    <s v="RA CSM 300 96m(L) X 1860mm(W) (54Kg)"/>
    <n v="4"/>
    <s v="Cash"/>
    <n v="0"/>
    <d v="2024-08-21T00:00:00"/>
    <n v="8"/>
    <n v="2024"/>
    <n v="1684.8"/>
    <m/>
    <n v="1684.8"/>
    <n v="5177402.05"/>
    <s v="Trsf"/>
    <m/>
    <m/>
  </r>
  <r>
    <x v="615"/>
    <x v="3"/>
    <x v="5"/>
    <x v="958"/>
    <s v="C00000027"/>
    <x v="28"/>
    <s v="RM Woven Roving E-600gm 1000mm (40Kg)"/>
    <n v="1"/>
    <s v="Cash"/>
    <n v="0"/>
    <d v="2024-08-21T00:00:00"/>
    <n v="8"/>
    <n v="2024"/>
    <n v="280"/>
    <m/>
    <n v="280"/>
    <n v="5177682.05"/>
    <s v="Trsf"/>
    <m/>
    <m/>
  </r>
  <r>
    <x v="615"/>
    <x v="3"/>
    <x v="5"/>
    <x v="958"/>
    <s v="C00000027"/>
    <x v="28"/>
    <s v="RO Gelcoat LB9888 (22kg)"/>
    <n v="2"/>
    <s v="Cash"/>
    <n v="0"/>
    <d v="2024-08-21T00:00:00"/>
    <n v="8"/>
    <n v="2024"/>
    <n v="563.20000000000005"/>
    <m/>
    <n v="563.20000000000005"/>
    <n v="5178245.25"/>
    <s v="Trsf"/>
    <m/>
    <m/>
  </r>
  <r>
    <x v="615"/>
    <x v="3"/>
    <x v="5"/>
    <x v="958"/>
    <s v="C00000027"/>
    <x v="28"/>
    <s v="RA Mepoxe (5kg)"/>
    <n v="2"/>
    <s v="Cash"/>
    <n v="0"/>
    <d v="2024-08-21T00:00:00"/>
    <n v="8"/>
    <n v="2024"/>
    <n v="190"/>
    <m/>
    <n v="190"/>
    <n v="5178435.25"/>
    <s v="Trsf"/>
    <m/>
    <m/>
  </r>
  <r>
    <x v="615"/>
    <x v="3"/>
    <x v="5"/>
    <x v="958"/>
    <s v="C00000027"/>
    <x v="28"/>
    <s v="RM Pigment Super White (5kg)"/>
    <n v="2"/>
    <s v="Cash"/>
    <n v="0"/>
    <d v="2024-08-21T00:00:00"/>
    <n v="8"/>
    <n v="2024"/>
    <n v="320"/>
    <m/>
    <n v="320"/>
    <n v="5178755.25"/>
    <s v="Trsf"/>
    <m/>
    <m/>
  </r>
  <r>
    <x v="615"/>
    <x v="3"/>
    <x v="5"/>
    <x v="958"/>
    <s v="C00000027"/>
    <x v="28"/>
    <s v="RM TR104 Hi Temp Wax"/>
    <n v="6"/>
    <s v="Cash"/>
    <n v="0"/>
    <d v="2024-08-21T00:00:00"/>
    <n v="8"/>
    <n v="2024"/>
    <n v="360"/>
    <m/>
    <n v="360"/>
    <n v="5179115.25"/>
    <s v="Trsf"/>
    <m/>
    <m/>
  </r>
  <r>
    <x v="616"/>
    <x v="3"/>
    <x v="5"/>
    <x v="959"/>
    <s v="C00000010"/>
    <x v="9"/>
    <s v="RM Gelcoat GP-H (20kg)"/>
    <n v="2"/>
    <n v="120"/>
    <n v="120"/>
    <d v="2024-12-17T00:00:00"/>
    <n v="12"/>
    <n v="2024"/>
    <n v="476"/>
    <n v="-476"/>
    <n v="0"/>
    <n v="5179591.25"/>
    <s v="Trsf"/>
    <s v="Trsf 19/1/25 RM20,508.60"/>
    <m/>
  </r>
  <r>
    <x v="616"/>
    <x v="3"/>
    <x v="5"/>
    <x v="959"/>
    <s v="C00000010"/>
    <x v="9"/>
    <s v="RM Pigment Paste Tangerine Y12 (5Kg)"/>
    <n v="1"/>
    <n v="120"/>
    <n v="120"/>
    <d v="2024-12-17T00:00:00"/>
    <n v="12"/>
    <n v="2024"/>
    <n v="240"/>
    <n v="-240"/>
    <n v="0"/>
    <n v="5179831.25"/>
    <s v="Trsf"/>
    <s v="Trsf 19/1/25 RM20,508.60"/>
    <m/>
  </r>
  <r>
    <x v="616"/>
    <x v="3"/>
    <x v="5"/>
    <x v="959"/>
    <s v="C00000010"/>
    <x v="9"/>
    <s v="RM Pigment Pearl Grey G2 (5Kg)"/>
    <n v="1"/>
    <n v="120"/>
    <n v="120"/>
    <d v="2024-12-17T00:00:00"/>
    <n v="12"/>
    <n v="2024"/>
    <n v="165"/>
    <n v="-165"/>
    <n v="0"/>
    <n v="5179996.25"/>
    <s v="Trsf"/>
    <s v="Trsf 19/1/25 RM20,508.60"/>
    <m/>
  </r>
  <r>
    <x v="617"/>
    <x v="3"/>
    <x v="5"/>
    <x v="960"/>
    <s v="C00000014"/>
    <x v="13"/>
    <s v="RA CSM 450 1040mm(W) (30kg)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x v="617"/>
    <x v="3"/>
    <x v="5"/>
    <x v="960"/>
    <s v="C00000014"/>
    <x v="13"/>
    <s v="RM Pigment Dark Grey (5Kg)"/>
    <n v="1"/>
    <s v="Cash"/>
    <n v="0"/>
    <d v="2024-08-22T00:00:00"/>
    <n v="8"/>
    <n v="2024"/>
    <n v="0"/>
    <n v="0"/>
    <n v="0"/>
    <n v="5156298.3499999996"/>
    <s v="Cash"/>
    <s v="Cash 26/8/24 RM207.00"/>
    <m/>
  </r>
  <r>
    <x v="618"/>
    <x v="3"/>
    <x v="5"/>
    <x v="961"/>
    <s v="C00000019"/>
    <x v="18"/>
    <s v="RA Nor 3338W (220Kg)"/>
    <n v="1"/>
    <s v="Cash"/>
    <n v="0"/>
    <d v="2024-08-27T00:00:00"/>
    <n v="8"/>
    <n v="2024"/>
    <n v="1760"/>
    <m/>
    <n v="1760"/>
    <n v="5158178.3499999996"/>
    <s v="Trsf"/>
    <m/>
    <m/>
  </r>
  <r>
    <x v="618"/>
    <x v="3"/>
    <x v="5"/>
    <x v="961"/>
    <s v="C00000019"/>
    <x v="18"/>
    <s v="RM CSM 450 1860mm(W) (54kg)"/>
    <n v="1"/>
    <s v="Cash"/>
    <n v="0"/>
    <d v="2024-08-27T00:00:00"/>
    <n v="8"/>
    <n v="2024"/>
    <n v="405"/>
    <m/>
    <n v="405"/>
    <n v="5157003.3499999996"/>
    <s v="Trsf"/>
    <m/>
    <m/>
  </r>
  <r>
    <x v="618"/>
    <x v="3"/>
    <x v="5"/>
    <x v="961"/>
    <s v="C00000019"/>
    <x v="18"/>
    <s v="RQ Talcum Powder (25kg)"/>
    <n v="3"/>
    <s v="Cash"/>
    <n v="0"/>
    <d v="2024-08-27T00:00:00"/>
    <n v="8"/>
    <n v="2024"/>
    <n v="187.5"/>
    <m/>
    <n v="187.5"/>
    <n v="5156910.8499999996"/>
    <s v="Trsf"/>
    <m/>
    <m/>
  </r>
  <r>
    <x v="618"/>
    <x v="3"/>
    <x v="5"/>
    <x v="961"/>
    <s v="C00000019"/>
    <x v="18"/>
    <s v="RM Fume Silica HJSIL 200 (10Kg)"/>
    <n v="1"/>
    <s v="Cash"/>
    <n v="0"/>
    <d v="2024-08-27T00:00:00"/>
    <n v="8"/>
    <n v="2024"/>
    <n v="420"/>
    <m/>
    <n v="420"/>
    <n v="5160399.3499999996"/>
    <s v="Trsf"/>
    <m/>
    <m/>
  </r>
  <r>
    <x v="619"/>
    <x v="3"/>
    <x v="5"/>
    <x v="962"/>
    <s v="C00000042"/>
    <x v="43"/>
    <s v="RQ Talcum Powder (25Kg)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x v="619"/>
    <x v="3"/>
    <x v="5"/>
    <x v="963"/>
    <s v="C00000042"/>
    <x v="43"/>
    <s v="RM Resin 3317W (220Kg)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x v="619"/>
    <x v="3"/>
    <x v="5"/>
    <x v="963"/>
    <s v="C00000042"/>
    <x v="43"/>
    <s v="RA CSM 450 1040mm(W) (30kg)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x v="619"/>
    <x v="3"/>
    <x v="5"/>
    <x v="963"/>
    <s v="C00000042"/>
    <x v="43"/>
    <s v="RM Woven Roving E-600gm 1000mm (40Kg)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x v="620"/>
    <x v="3"/>
    <x v="5"/>
    <x v="964"/>
    <s v="C00000010"/>
    <x v="9"/>
    <s v="RM Gelcoat GP-H (20kg)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x v="620"/>
    <x v="3"/>
    <x v="5"/>
    <x v="964"/>
    <s v="C00000010"/>
    <x v="9"/>
    <s v="RM PIgment Sapphire Blue B10 (20kg)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x v="620"/>
    <x v="3"/>
    <x v="5"/>
    <x v="964"/>
    <s v="C00000010"/>
    <x v="9"/>
    <s v="RA CSM 300 1040mm(W) (30kg)"/>
    <n v="2"/>
    <n v="120"/>
    <n v="120"/>
    <d v="2024-12-28T00:00:00"/>
    <n v="12"/>
    <n v="2024"/>
    <n v="360"/>
    <n v="-360"/>
    <n v="0"/>
    <n v="5170093.8499999996"/>
    <s v="Trsf"/>
    <s v="Trsf 19/1/25 RM20,508.6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4">
  <r>
    <d v="2019-12-23T00:00:00"/>
    <x v="0"/>
    <x v="0"/>
    <s v="INV2019/00000001"/>
    <s v="C00000001"/>
    <s v="Kelnico Marketing"/>
    <x v="0"/>
    <n v="1"/>
    <s v="Cash"/>
    <n v="0"/>
    <d v="2019-12-23T00:00:00"/>
    <n v="12"/>
    <n v="2019"/>
    <n v="1530"/>
    <n v="-1530"/>
    <n v="0"/>
    <n v="1530"/>
    <s v="Trsf"/>
    <s v="Trsf 29/5"/>
    <m/>
  </r>
  <r>
    <d v="2019-12-23T00:00:00"/>
    <x v="0"/>
    <x v="0"/>
    <s v="INV2019/00000001"/>
    <s v="C00000001"/>
    <s v="Kelnico Marketing"/>
    <x v="1"/>
    <n v="6"/>
    <s v="Cash"/>
    <n v="0"/>
    <d v="2019-12-23T00:00:00"/>
    <n v="12"/>
    <n v="2019"/>
    <n v="1443"/>
    <n v="-1443"/>
    <n v="0"/>
    <n v="2973"/>
    <s v="Trsf"/>
    <s v="Trsf 29/5"/>
    <m/>
  </r>
  <r>
    <d v="2020-06-02T00:00:00"/>
    <x v="1"/>
    <x v="1"/>
    <s v="INV2020/00000002"/>
    <s v="C00000001"/>
    <s v="Kelnico Marketing"/>
    <x v="2"/>
    <n v="2"/>
    <s v="Cash"/>
    <n v="0"/>
    <d v="2020-06-02T00:00:00"/>
    <n v="6"/>
    <n v="2020"/>
    <n v="480"/>
    <n v="-480"/>
    <n v="0"/>
    <n v="3453"/>
    <s v="Trsf"/>
    <s v="Trsf 24/6"/>
    <m/>
  </r>
  <r>
    <d v="2020-06-11T00:00:00"/>
    <x v="1"/>
    <x v="1"/>
    <s v="INV2020/00000003"/>
    <s v="C00000002"/>
    <s v="Sley"/>
    <x v="0"/>
    <n v="1"/>
    <s v="Cash"/>
    <n v="0"/>
    <d v="2020-06-11T00:00:00"/>
    <n v="6"/>
    <n v="2020"/>
    <n v="1395"/>
    <n v="-1395"/>
    <n v="0"/>
    <n v="4848"/>
    <s v="Chq"/>
    <s v="Chq 13/6"/>
    <m/>
  </r>
  <r>
    <d v="2020-06-11T00:00:00"/>
    <x v="1"/>
    <x v="1"/>
    <s v="INV2020/00000003"/>
    <s v="C00000002"/>
    <s v="Sley"/>
    <x v="3"/>
    <n v="1"/>
    <s v="Cash"/>
    <n v="0"/>
    <d v="2020-06-11T00:00:00"/>
    <n v="6"/>
    <n v="2020"/>
    <n v="672"/>
    <n v="-672"/>
    <n v="0"/>
    <n v="5520"/>
    <s v="Chq"/>
    <s v="Chq 13/6"/>
    <m/>
  </r>
  <r>
    <d v="2020-06-17T00:00:00"/>
    <x v="1"/>
    <x v="1"/>
    <s v="INV2020/00000004"/>
    <s v="C00000001"/>
    <s v="Kelnico Marketing"/>
    <x v="0"/>
    <n v="1"/>
    <s v="Cash"/>
    <n v="0"/>
    <d v="2020-06-17T00:00:00"/>
    <n v="6"/>
    <n v="2020"/>
    <n v="1530"/>
    <n v="-1530"/>
    <n v="0"/>
    <n v="7050"/>
    <s v="Trsf"/>
    <s v="Trsf 24/6"/>
    <m/>
  </r>
  <r>
    <d v="2020-06-17T00:00:00"/>
    <x v="1"/>
    <x v="1"/>
    <s v="INV2020/00000004"/>
    <s v="C00000001"/>
    <s v="Kelnico Marketing"/>
    <x v="1"/>
    <n v="3"/>
    <s v="Cash"/>
    <n v="0"/>
    <d v="2020-06-17T00:00:00"/>
    <n v="6"/>
    <n v="2020"/>
    <n v="720"/>
    <n v="-720"/>
    <n v="0"/>
    <n v="7770"/>
    <s v="Trsf"/>
    <s v="Trsf 24/6"/>
    <m/>
  </r>
  <r>
    <d v="2020-06-17T00:00:00"/>
    <x v="1"/>
    <x v="1"/>
    <s v="INV2020/00000004"/>
    <s v="C00000001"/>
    <s v="Kelnico Marketing"/>
    <x v="4"/>
    <n v="2"/>
    <s v="Cash"/>
    <n v="0"/>
    <d v="2020-06-17T00:00:00"/>
    <n v="6"/>
    <n v="2020"/>
    <n v="185"/>
    <n v="-185"/>
    <n v="0"/>
    <n v="7955"/>
    <s v="Trsf"/>
    <s v="Trsf 24/6"/>
    <m/>
  </r>
  <r>
    <d v="2020-06-22T00:00:00"/>
    <x v="1"/>
    <x v="1"/>
    <s v="INV2020/00000005"/>
    <s v="C00000003"/>
    <s v="Pandian Art Gallery Manufacturing"/>
    <x v="0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x v="1"/>
    <x v="1"/>
    <s v="INV2020/00000005"/>
    <s v="C00000003"/>
    <s v="Pandian Art Gallery Manufacturing"/>
    <x v="4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d v="2020-07-01T00:00:00"/>
    <x v="2"/>
    <x v="1"/>
    <s v="INV2020/00000006"/>
    <s v="C00000004"/>
    <s v="Siew Min Lorry Sdn Bhd"/>
    <x v="5"/>
    <n v="9"/>
    <n v="120"/>
    <n v="120"/>
    <d v="2020-10-29T00:00:00"/>
    <n v="10"/>
    <n v="2020"/>
    <n v="1836"/>
    <n v="-1836"/>
    <n v="0"/>
    <n v="11618.5"/>
    <s v="Chq"/>
    <s v="Chq 16/11/2020"/>
    <m/>
  </r>
  <r>
    <d v="2020-07-14T00:00:00"/>
    <x v="2"/>
    <x v="1"/>
    <s v="INV2020/00000007"/>
    <s v="C00000003"/>
    <s v="Pandian Art Gallery Manufacturing"/>
    <x v="6"/>
    <n v="1"/>
    <n v="45"/>
    <n v="45"/>
    <d v="2020-08-28T00:00:00"/>
    <n v="8"/>
    <n v="2020"/>
    <n v="1200"/>
    <n v="-1200"/>
    <n v="0"/>
    <n v="12818.5"/>
    <s v="PD Chq"/>
    <s v="PD chq 16/8"/>
    <m/>
  </r>
  <r>
    <d v="2020-07-15T00:00:00"/>
    <x v="2"/>
    <x v="1"/>
    <s v="INV2020/00000008"/>
    <s v="C00000001"/>
    <s v="Kelnico Marketing"/>
    <x v="7"/>
    <n v="1"/>
    <s v="Cash"/>
    <n v="0"/>
    <d v="2020-07-15T00:00:00"/>
    <n v="7"/>
    <n v="2020"/>
    <n v="1496"/>
    <n v="-1496"/>
    <n v="0"/>
    <n v="14314.5"/>
    <s v="Trsf"/>
    <s v="Trsf 28/7"/>
    <m/>
  </r>
  <r>
    <d v="2020-07-15T00:00:00"/>
    <x v="2"/>
    <x v="1"/>
    <s v="INV2020/00000008"/>
    <s v="C00000001"/>
    <s v="Kelnico Marketing"/>
    <x v="4"/>
    <n v="4"/>
    <s v="Cash"/>
    <n v="0"/>
    <d v="2020-07-15T00:00:00"/>
    <n v="7"/>
    <n v="2020"/>
    <n v="370"/>
    <n v="-370"/>
    <n v="0"/>
    <n v="14684.5"/>
    <s v="Trsf"/>
    <s v="Trsf 28/7"/>
    <m/>
  </r>
  <r>
    <d v="2020-07-15T00:00:00"/>
    <x v="2"/>
    <x v="1"/>
    <s v="INV2020/00000008"/>
    <s v="C00000001"/>
    <s v="Kelnico Marketing"/>
    <x v="8"/>
    <n v="1"/>
    <s v="Cash"/>
    <n v="0"/>
    <d v="2020-07-15T00:00:00"/>
    <n v="7"/>
    <n v="2020"/>
    <n v="232"/>
    <n v="-232"/>
    <n v="0"/>
    <n v="14916.5"/>
    <s v="Trsf"/>
    <s v="Trsf 28/7"/>
    <s v="Delivered 22/7/20"/>
  </r>
  <r>
    <d v="2020-08-01T00:00:00"/>
    <x v="3"/>
    <x v="1"/>
    <s v="INV2020/00000009"/>
    <s v="C00000004"/>
    <s v="Siew Min Lorry Sdn Bhd"/>
    <x v="7"/>
    <n v="2"/>
    <n v="120"/>
    <n v="120"/>
    <d v="2020-11-29T00:00:00"/>
    <n v="11"/>
    <n v="2020"/>
    <n v="2508"/>
    <n v="-2508"/>
    <n v="0"/>
    <n v="17424.5"/>
    <s v="Chq"/>
    <s v="Chq 1/12/2020"/>
    <m/>
  </r>
  <r>
    <d v="2020-08-08T00:00:00"/>
    <x v="3"/>
    <x v="1"/>
    <s v="INV2020/00000010"/>
    <s v="C00000004"/>
    <s v="Siew Min Lorry Sdn Bhd"/>
    <x v="7"/>
    <n v="2"/>
    <n v="120"/>
    <n v="120"/>
    <d v="2020-12-06T00:00:00"/>
    <n v="12"/>
    <n v="2020"/>
    <n v="2508"/>
    <n v="-2508"/>
    <n v="0"/>
    <n v="19932.5"/>
    <s v="Chq"/>
    <s v="Chq 1/12/2020"/>
    <m/>
  </r>
  <r>
    <d v="2020-08-08T00:00:00"/>
    <x v="3"/>
    <x v="1"/>
    <s v="INV2020/00000011"/>
    <s v="C00000004"/>
    <s v="Siew Min Lorry Sdn Bhd"/>
    <x v="9"/>
    <n v="2"/>
    <n v="120"/>
    <n v="120"/>
    <d v="2020-12-06T00:00:00"/>
    <n v="12"/>
    <n v="2020"/>
    <n v="324"/>
    <n v="-324"/>
    <n v="0"/>
    <n v="20256.5"/>
    <s v="Chq"/>
    <s v="Chq 1/12/2020"/>
    <m/>
  </r>
  <r>
    <d v="2020-08-10T00:00:00"/>
    <x v="3"/>
    <x v="1"/>
    <s v="INV2020/00000012"/>
    <s v="C00000005"/>
    <s v="Artscene Creative"/>
    <x v="7"/>
    <n v="1"/>
    <s v="Cash"/>
    <n v="0"/>
    <d v="2020-08-10T00:00:00"/>
    <n v="8"/>
    <n v="2020"/>
    <n v="1496"/>
    <n v="-1496"/>
    <n v="0"/>
    <n v="21752.5"/>
    <s v="Chq"/>
    <s v="Chq 10/8"/>
    <m/>
  </r>
  <r>
    <d v="2020-08-10T00:00:00"/>
    <x v="3"/>
    <x v="1"/>
    <s v="INV2020/00000012"/>
    <s v="C00000005"/>
    <s v="Artscene Creative"/>
    <x v="4"/>
    <n v="1"/>
    <s v="Cash"/>
    <n v="0"/>
    <d v="2020-08-10T00:00:00"/>
    <n v="8"/>
    <n v="2020"/>
    <n v="90"/>
    <n v="-90"/>
    <n v="0"/>
    <n v="21842.5"/>
    <s v="Chq"/>
    <s v="Chq 10/8"/>
    <m/>
  </r>
  <r>
    <d v="2020-08-10T00:00:00"/>
    <x v="3"/>
    <x v="1"/>
    <s v="INV2020/00000013"/>
    <s v="C00000003"/>
    <s v="Pandian Art Gallery Manufacturing"/>
    <x v="7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x v="3"/>
    <x v="1"/>
    <s v="INV2020/00000013"/>
    <s v="C00000003"/>
    <s v="Pandian Art Gallery Manufacturing"/>
    <x v="4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d v="2020-08-12T00:00:00"/>
    <x v="3"/>
    <x v="1"/>
    <s v="INV2020/00000014"/>
    <s v="C00000001"/>
    <s v="Kelnico Marketing"/>
    <x v="7"/>
    <n v="1"/>
    <s v="Cash"/>
    <n v="0"/>
    <d v="2020-08-12T00:00:00"/>
    <n v="8"/>
    <n v="2020"/>
    <n v="1496"/>
    <n v="-1496"/>
    <n v="0"/>
    <n v="26744.5"/>
    <s v="Trsf"/>
    <s v="Trsf 23/8"/>
    <m/>
  </r>
  <r>
    <d v="2020-08-12T00:00:00"/>
    <x v="3"/>
    <x v="1"/>
    <s v="INV2020/00000014"/>
    <s v="C00000001"/>
    <s v="Kelnico Marketing"/>
    <x v="1"/>
    <n v="4"/>
    <s v="Cash"/>
    <n v="0"/>
    <d v="2020-08-12T00:00:00"/>
    <n v="8"/>
    <n v="2020"/>
    <n v="962"/>
    <n v="-962"/>
    <n v="0"/>
    <n v="27706.5"/>
    <s v="Trsf"/>
    <s v="Trsf 23/8"/>
    <m/>
  </r>
  <r>
    <d v="2020-08-12T00:00:00"/>
    <x v="3"/>
    <x v="1"/>
    <s v="INV2020/00000014"/>
    <s v="C00000001"/>
    <s v="Kelnico Marketing"/>
    <x v="8"/>
    <n v="2"/>
    <s v="Cash"/>
    <n v="0"/>
    <d v="2020-08-12T00:00:00"/>
    <n v="8"/>
    <n v="2020"/>
    <n v="464"/>
    <n v="-464"/>
    <n v="0"/>
    <n v="28170.5"/>
    <s v="Trsf"/>
    <s v="Trsf 23/8"/>
    <m/>
  </r>
  <r>
    <d v="2020-08-13T00:00:00"/>
    <x v="3"/>
    <x v="1"/>
    <s v="INV2020/00000015"/>
    <s v="C00000001"/>
    <s v="Kelnico Marketing"/>
    <x v="2"/>
    <n v="4"/>
    <s v="Cash"/>
    <n v="0"/>
    <d v="2020-08-13T00:00:00"/>
    <n v="8"/>
    <n v="2020"/>
    <n v="960"/>
    <n v="-960"/>
    <n v="0"/>
    <n v="29130.5"/>
    <s v="Trsf"/>
    <s v="Trsf 23/8"/>
    <m/>
  </r>
  <r>
    <d v="2020-08-19T00:00:00"/>
    <x v="3"/>
    <x v="1"/>
    <s v="INV2020/00000016"/>
    <s v="C00000003"/>
    <s v="Pandian Art Gallery Manufacturing"/>
    <x v="10"/>
    <n v="1"/>
    <n v="45"/>
    <n v="45"/>
    <d v="2020-10-03T00:00:00"/>
    <n v="10"/>
    <n v="2020"/>
    <n v="367.2"/>
    <n v="-367.2"/>
    <n v="0"/>
    <n v="29497.7"/>
    <s v="PD Chq"/>
    <s v="PD Chq 27/9, RM1,270.20"/>
    <m/>
  </r>
  <r>
    <d v="2020-08-19T00:00:00"/>
    <x v="3"/>
    <x v="1"/>
    <s v="INV2020/00000017"/>
    <s v="C00000006"/>
    <s v="Perniagaan Fibra Sahih"/>
    <x v="7"/>
    <n v="1"/>
    <s v="Cash"/>
    <n v="0"/>
    <d v="2020-08-19T00:00:00"/>
    <n v="8"/>
    <n v="2020"/>
    <n v="1496"/>
    <n v="-1496"/>
    <n v="0"/>
    <n v="30993.7"/>
    <s v="Chq"/>
    <s v="Chq 19/8"/>
    <m/>
  </r>
  <r>
    <d v="2020-08-19T00:00:00"/>
    <x v="3"/>
    <x v="1"/>
    <s v="INV2020/00000017"/>
    <s v="C00000006"/>
    <s v="Perniagaan Fibra Sahih"/>
    <x v="5"/>
    <n v="1"/>
    <s v="Cash"/>
    <n v="0"/>
    <d v="2020-08-19T00:00:00"/>
    <n v="8"/>
    <n v="2020"/>
    <n v="210"/>
    <n v="-210"/>
    <n v="0"/>
    <n v="31203.7"/>
    <s v="Chq"/>
    <s v="Chq 19/8"/>
    <m/>
  </r>
  <r>
    <d v="2020-08-22T00:00:00"/>
    <x v="3"/>
    <x v="1"/>
    <s v="INV2020/00000018"/>
    <s v="C00000007"/>
    <s v="Chin Fibreglass (M) Sdn Bhd"/>
    <x v="10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d v="2020-08-22T00:00:00"/>
    <x v="3"/>
    <x v="1"/>
    <s v="INV2020/00000018"/>
    <s v="C00000007"/>
    <s v="Chin Fibreglass (M) Sdn Bhd"/>
    <x v="5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x v="3"/>
    <x v="1"/>
    <s v="INV2020/00000018"/>
    <s v="C00000007"/>
    <s v="Chin Fibreglass (M) Sdn Bhd"/>
    <x v="11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x v="3"/>
    <x v="1"/>
    <s v="INV2020/00000018"/>
    <s v="C00000007"/>
    <s v="Chin Fibreglass (M) Sdn Bhd"/>
    <x v="4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x v="3"/>
    <x v="1"/>
    <s v="INV2020/00000019"/>
    <s v="C00000008"/>
    <s v="Wonderland Design Productions Studio"/>
    <x v="7"/>
    <n v="1"/>
    <s v="Cash"/>
    <n v="0"/>
    <d v="2020-08-22T00:00:00"/>
    <n v="8"/>
    <n v="2020"/>
    <n v="1452"/>
    <n v="-1452"/>
    <n v="0"/>
    <n v="35611.699999999997"/>
    <s v="Trsf"/>
    <s v="Trsf 24/8"/>
    <m/>
  </r>
  <r>
    <d v="2020-08-24T00:00:00"/>
    <x v="3"/>
    <x v="1"/>
    <s v="INV2020/00000020"/>
    <s v="C00000003"/>
    <s v="Pandian Art Gallery Manufacturing"/>
    <x v="7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x v="3"/>
    <x v="1"/>
    <s v="INV2020/00000020"/>
    <s v="C00000003"/>
    <s v="Pandian Art Gallery Manufacturing"/>
    <x v="12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d v="2020-08-24T00:00:00"/>
    <x v="3"/>
    <x v="1"/>
    <s v="INV2020/00000020"/>
    <s v="C00000003"/>
    <s v="Pandian Art Gallery Manufacturing"/>
    <x v="4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d v="2020-08-25T00:00:00"/>
    <x v="3"/>
    <x v="1"/>
    <s v="INV2020/00000021"/>
    <s v="C00000009"/>
    <s v="JMC Steel Engineering Sdn Bhd"/>
    <x v="7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d v="2020-08-25T00:00:00"/>
    <x v="3"/>
    <x v="1"/>
    <s v="INV2020/00000021"/>
    <s v="C00000009"/>
    <s v="JMC Steel Engineering Sdn Bhd"/>
    <x v="13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d v="2020-08-25T00:00:00"/>
    <x v="3"/>
    <x v="1"/>
    <s v="INV2020/00000022"/>
    <s v="C00000001"/>
    <s v="Kelnico Marketing"/>
    <x v="7"/>
    <n v="1"/>
    <s v="Cash"/>
    <n v="0"/>
    <d v="2020-08-25T00:00:00"/>
    <n v="8"/>
    <n v="2020"/>
    <n v="1496"/>
    <n v="-1496"/>
    <n v="0"/>
    <n v="41562.699999999997"/>
    <s v="Trsf"/>
    <s v="Trsf 1/9/2020"/>
    <m/>
  </r>
  <r>
    <d v="2020-08-27T00:00:00"/>
    <x v="3"/>
    <x v="1"/>
    <s v="INV2020/00000023"/>
    <s v="C00000010"/>
    <s v="Yew Seng Gardening Supply Sdn Bhd"/>
    <x v="7"/>
    <n v="4"/>
    <n v="120"/>
    <n v="120"/>
    <d v="2020-12-25T00:00:00"/>
    <n v="12"/>
    <n v="2020"/>
    <n v="5280"/>
    <n v="-5280"/>
    <n v="0"/>
    <n v="46842.7"/>
    <s v="Trsf"/>
    <s v="Trsf 23/12/2020"/>
    <m/>
  </r>
  <r>
    <d v="2020-08-27T00:00:00"/>
    <x v="3"/>
    <x v="1"/>
    <s v="INV2020/00000023"/>
    <s v="C00000010"/>
    <s v="Yew Seng Gardening Supply Sdn Bhd"/>
    <x v="1"/>
    <n v="2"/>
    <n v="120"/>
    <n v="120"/>
    <d v="2020-12-25T00:00:00"/>
    <n v="12"/>
    <n v="2020"/>
    <n v="444"/>
    <n v="-444"/>
    <n v="0"/>
    <n v="47286.7"/>
    <s v="Trsf"/>
    <s v="Trsf 23/12/2020"/>
    <m/>
  </r>
  <r>
    <d v="2020-08-27T00:00:00"/>
    <x v="3"/>
    <x v="1"/>
    <s v="INV2020/00000023"/>
    <s v="C00000010"/>
    <s v="Yew Seng Gardening Supply Sdn Bhd"/>
    <x v="12"/>
    <n v="5"/>
    <n v="120"/>
    <n v="120"/>
    <d v="2020-12-25T00:00:00"/>
    <n v="12"/>
    <n v="2020"/>
    <n v="275"/>
    <n v="-275"/>
    <n v="0"/>
    <n v="47561.7"/>
    <s v="Trsf"/>
    <s v="Trsf 23/12/2020"/>
    <m/>
  </r>
  <r>
    <d v="2020-08-27T00:00:00"/>
    <x v="3"/>
    <x v="1"/>
    <s v="INV2020/00000023"/>
    <s v="C00000010"/>
    <s v="Yew Seng Gardening Supply Sdn Bhd"/>
    <x v="4"/>
    <n v="4"/>
    <n v="120"/>
    <n v="120"/>
    <d v="2020-12-25T00:00:00"/>
    <n v="12"/>
    <n v="2020"/>
    <n v="360"/>
    <n v="-360"/>
    <n v="0"/>
    <n v="47921.7"/>
    <s v="Trsf"/>
    <s v="Trsf 23/12/2020"/>
    <m/>
  </r>
  <r>
    <d v="2020-08-27T00:00:00"/>
    <x v="3"/>
    <x v="1"/>
    <s v="INV2020/00000023"/>
    <s v="C00000010"/>
    <s v="Yew Seng Gardening Supply Sdn Bhd"/>
    <x v="14"/>
    <n v="1"/>
    <n v="120"/>
    <n v="120"/>
    <d v="2020-12-25T00:00:00"/>
    <n v="12"/>
    <n v="2020"/>
    <n v="375"/>
    <n v="-375"/>
    <n v="0"/>
    <n v="48296.7"/>
    <s v="Trsf"/>
    <s v="Trsf 23/12/2020"/>
    <m/>
  </r>
  <r>
    <d v="2020-09-01T00:00:00"/>
    <x v="4"/>
    <x v="1"/>
    <s v="INV2020/00000024"/>
    <s v="C00000008"/>
    <s v="Wonderland Design Productions Studio"/>
    <x v="15"/>
    <n v="2"/>
    <s v="Cash"/>
    <n v="0"/>
    <d v="2020-09-01T00:00:00"/>
    <n v="9"/>
    <n v="2020"/>
    <n v="2948"/>
    <n v="-2948"/>
    <n v="0"/>
    <n v="51244.7"/>
    <s v="Trsf"/>
    <s v="Trsf 7/9/2020"/>
    <m/>
  </r>
  <r>
    <d v="2020-09-01T00:00:00"/>
    <x v="4"/>
    <x v="1"/>
    <s v="INV2020/00000024"/>
    <s v="C00000008"/>
    <s v="Wonderland Design Productions Studio"/>
    <x v="5"/>
    <n v="4"/>
    <s v="Cash"/>
    <n v="0"/>
    <d v="2020-09-01T00:00:00"/>
    <n v="9"/>
    <n v="2020"/>
    <n v="840"/>
    <n v="-840"/>
    <n v="0"/>
    <n v="52084.7"/>
    <s v="Trsf"/>
    <s v="Trsf 7/9/2020"/>
    <m/>
  </r>
  <r>
    <d v="2020-09-01T00:00:00"/>
    <x v="4"/>
    <x v="1"/>
    <s v="INV2020/00000024"/>
    <s v="C00000008"/>
    <s v="Wonderland Design Productions Studio"/>
    <x v="4"/>
    <n v="2"/>
    <s v="Cash"/>
    <n v="0"/>
    <d v="2020-09-01T00:00:00"/>
    <n v="9"/>
    <n v="2020"/>
    <n v="180"/>
    <n v="-180"/>
    <n v="0"/>
    <n v="52264.7"/>
    <s v="Trsf"/>
    <s v="Trsf 7/9/2020"/>
    <m/>
  </r>
  <r>
    <d v="2020-09-02T00:00:00"/>
    <x v="4"/>
    <x v="1"/>
    <s v="INV2020/00000025"/>
    <s v="C00000001"/>
    <s v="Kelnico Marketing"/>
    <x v="6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d v="2020-09-05T00:00:00"/>
    <x v="4"/>
    <x v="1"/>
    <s v="INV2020/00000026"/>
    <s v="C00000001"/>
    <s v="Kelnico Marketing"/>
    <x v="15"/>
    <n v="1"/>
    <s v="Cash"/>
    <n v="0"/>
    <d v="2020-09-05T00:00:00"/>
    <n v="9"/>
    <n v="2020"/>
    <n v="1496"/>
    <n v="-1496"/>
    <n v="0"/>
    <n v="55010.7"/>
    <s v="Trsf"/>
    <s v="Trsf 5/9/2020"/>
    <m/>
  </r>
  <r>
    <d v="2020-09-05T00:00:00"/>
    <x v="4"/>
    <x v="1"/>
    <s v="INV2020/00000026"/>
    <s v="C00000001"/>
    <s v="Kelnico Marketing"/>
    <x v="1"/>
    <n v="4"/>
    <s v="Cash"/>
    <n v="0"/>
    <d v="2020-09-05T00:00:00"/>
    <n v="9"/>
    <n v="2020"/>
    <n v="962"/>
    <n v="-962"/>
    <n v="0"/>
    <n v="55972.7"/>
    <s v="Trsf"/>
    <s v="Trsf 5/9/2020"/>
    <m/>
  </r>
  <r>
    <d v="2020-09-17T00:00:00"/>
    <x v="4"/>
    <x v="1"/>
    <s v="INV2020/00000027"/>
    <s v="C00000004"/>
    <s v="Siew Min Lorry Sdn Bhd"/>
    <x v="7"/>
    <n v="5"/>
    <n v="120"/>
    <n v="120"/>
    <d v="2021-01-15T00:00:00"/>
    <n v="1"/>
    <n v="2021"/>
    <n v="6270"/>
    <n v="-6270"/>
    <n v="0"/>
    <n v="62242.7"/>
    <s v="Chq"/>
    <s v="PD HLB 004649, 25/1/2021"/>
    <m/>
  </r>
  <r>
    <d v="2020-09-17T00:00:00"/>
    <x v="4"/>
    <x v="1"/>
    <s v="INV2020/00000027"/>
    <s v="C00000004"/>
    <s v="Siew Min Lorry Sdn Bhd"/>
    <x v="13"/>
    <n v="1"/>
    <n v="120"/>
    <n v="120"/>
    <d v="2021-01-15T00:00:00"/>
    <n v="1"/>
    <n v="2021"/>
    <n v="1254"/>
    <n v="-1254"/>
    <n v="0"/>
    <n v="63496.7"/>
    <s v="Chq"/>
    <s v="PD HLB 004649, 25/1/2021"/>
    <m/>
  </r>
  <r>
    <d v="2020-09-17T00:00:00"/>
    <x v="4"/>
    <x v="1"/>
    <s v="INV2020/00000027"/>
    <s v="C00000004"/>
    <s v="Siew Min Lorry Sdn Bhd"/>
    <x v="10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x v="4"/>
    <x v="1"/>
    <s v="INV2020/00000027"/>
    <s v="C00000004"/>
    <s v="Siew Min Lorry Sdn Bhd"/>
    <x v="16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x v="4"/>
    <x v="1"/>
    <s v="INV2020/00000027"/>
    <s v="C00000004"/>
    <s v="Siew Min Lorry Sdn Bhd"/>
    <x v="5"/>
    <n v="6"/>
    <n v="120"/>
    <n v="120"/>
    <d v="2021-01-15T00:00:00"/>
    <n v="1"/>
    <n v="2021"/>
    <n v="1224"/>
    <n v="-1224"/>
    <n v="0"/>
    <n v="66470.3"/>
    <s v="Chq"/>
    <s v="PD HLB 004649, 25/1/2021"/>
    <m/>
  </r>
  <r>
    <d v="2020-09-17T00:00:00"/>
    <x v="4"/>
    <x v="1"/>
    <s v="INV2020/00000027"/>
    <s v="C00000004"/>
    <s v="Siew Min Lorry Sdn Bhd"/>
    <x v="4"/>
    <n v="4"/>
    <n v="120"/>
    <n v="120"/>
    <d v="2021-01-15T00:00:00"/>
    <n v="1"/>
    <n v="2021"/>
    <n v="360"/>
    <n v="-360"/>
    <n v="0"/>
    <n v="66830.3"/>
    <s v="Chq"/>
    <s v="PD HLB 004649, 25/1/2021"/>
    <m/>
  </r>
  <r>
    <d v="2020-09-17T00:00:00"/>
    <x v="4"/>
    <x v="1"/>
    <s v="INV2020/00000027"/>
    <s v="C00000004"/>
    <s v="Siew Min Lorry Sdn Bhd"/>
    <x v="17"/>
    <n v="1"/>
    <n v="120"/>
    <n v="120"/>
    <d v="2021-01-15T00:00:00"/>
    <n v="1"/>
    <n v="2021"/>
    <n v="390"/>
    <n v="-390"/>
    <n v="0"/>
    <n v="67220.3"/>
    <s v="Chq"/>
    <s v="PD HLB 004649, 25/1/2021"/>
    <m/>
  </r>
  <r>
    <d v="2020-09-17T00:00:00"/>
    <x v="4"/>
    <x v="1"/>
    <s v="INV2020/00000028"/>
    <s v="C00000001"/>
    <s v="Kelnico Marketing"/>
    <x v="15"/>
    <n v="1"/>
    <s v="Cash"/>
    <n v="0"/>
    <d v="2020-09-17T00:00:00"/>
    <n v="9"/>
    <n v="2020"/>
    <n v="1496"/>
    <n v="-1496"/>
    <n v="0"/>
    <n v="68716.3"/>
    <s v="Trsf"/>
    <s v="Trst 22/9/2020"/>
    <m/>
  </r>
  <r>
    <d v="2020-09-17T00:00:00"/>
    <x v="4"/>
    <x v="1"/>
    <s v="INV2020/00000028"/>
    <s v="C00000001"/>
    <s v="Kelnico Marketing"/>
    <x v="1"/>
    <n v="2"/>
    <s v="Cash"/>
    <n v="0"/>
    <d v="2020-09-17T00:00:00"/>
    <n v="9"/>
    <n v="2020"/>
    <n v="481"/>
    <n v="-481"/>
    <n v="0"/>
    <n v="69197.3"/>
    <s v="Trsf"/>
    <s v="Trst 22/9/2020"/>
    <m/>
  </r>
  <r>
    <d v="2020-09-22T00:00:00"/>
    <x v="4"/>
    <x v="1"/>
    <s v="INV2020/00000029"/>
    <s v="C00000004"/>
    <s v="Siew Min Lorry Sdn Bhd"/>
    <x v="7"/>
    <n v="5"/>
    <n v="120"/>
    <n v="120"/>
    <d v="2021-01-20T00:00:00"/>
    <n v="1"/>
    <n v="2021"/>
    <n v="6270"/>
    <n v="-6270"/>
    <n v="0"/>
    <n v="75467.3"/>
    <s v="Chq"/>
    <s v="PD HLB 004649, 25/1/2021"/>
    <m/>
  </r>
  <r>
    <d v="2020-09-22T00:00:00"/>
    <x v="4"/>
    <x v="1"/>
    <s v="INV2020/00000029"/>
    <s v="C00000004"/>
    <s v="Siew Min Lorry Sdn Bhd"/>
    <x v="13"/>
    <n v="1"/>
    <n v="120"/>
    <n v="120"/>
    <d v="2021-01-20T00:00:00"/>
    <n v="1"/>
    <n v="2021"/>
    <n v="1254"/>
    <n v="-1254"/>
    <n v="0"/>
    <n v="76721.3"/>
    <s v="Chq"/>
    <s v="PD HLB 004649, 25/1/2021"/>
    <m/>
  </r>
  <r>
    <d v="2020-09-22T00:00:00"/>
    <x v="4"/>
    <x v="1"/>
    <s v="INV2020/00000029"/>
    <s v="C00000004"/>
    <s v="Siew Min Lorry Sdn Bhd"/>
    <x v="10"/>
    <n v="5"/>
    <n v="120"/>
    <n v="120"/>
    <d v="2021-01-20T00:00:00"/>
    <n v="1"/>
    <n v="2021"/>
    <n v="1458"/>
    <n v="-1458"/>
    <n v="0"/>
    <n v="78179.3"/>
    <s v="Chq"/>
    <s v="PD HLB 004649, 25/1/2021"/>
    <m/>
  </r>
  <r>
    <d v="2020-09-22T00:00:00"/>
    <x v="4"/>
    <x v="1"/>
    <s v="INV2020/00000029"/>
    <s v="C00000004"/>
    <s v="Siew Min Lorry Sdn Bhd"/>
    <x v="16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x v="4"/>
    <x v="1"/>
    <s v="INV2020/00000029"/>
    <s v="C00000004"/>
    <s v="Siew Min Lorry Sdn Bhd"/>
    <x v="5"/>
    <n v="10"/>
    <n v="120"/>
    <n v="120"/>
    <d v="2021-01-20T00:00:00"/>
    <n v="1"/>
    <n v="2021"/>
    <n v="2040"/>
    <n v="-2040"/>
    <n v="0"/>
    <n v="80802.5"/>
    <s v="Chq"/>
    <s v="PD HLB 004649, 25/1/2021"/>
    <m/>
  </r>
  <r>
    <d v="2020-09-23T00:00:00"/>
    <x v="4"/>
    <x v="1"/>
    <s v="INV2020/00000030"/>
    <s v="C00000010"/>
    <s v="Yew Seng Gardening Supply Sdn Bhd"/>
    <x v="7"/>
    <n v="5"/>
    <n v="120"/>
    <n v="120"/>
    <d v="2021-01-21T00:00:00"/>
    <n v="1"/>
    <n v="2021"/>
    <n v="6600"/>
    <n v="-6600"/>
    <n v="0"/>
    <n v="87402.5"/>
    <s v="Trsf"/>
    <s v="Trsf 20/1/2021"/>
    <m/>
  </r>
  <r>
    <d v="2020-09-23T00:00:00"/>
    <x v="4"/>
    <x v="1"/>
    <s v="INV2020/00000030"/>
    <s v="C00000010"/>
    <s v="Yew Seng Gardening Supply Sdn Bhd"/>
    <x v="1"/>
    <n v="4"/>
    <n v="120"/>
    <n v="120"/>
    <d v="2021-01-21T00:00:00"/>
    <n v="1"/>
    <n v="2021"/>
    <n v="888"/>
    <n v="-888"/>
    <n v="0"/>
    <n v="88290.5"/>
    <s v="Trsf"/>
    <s v="Trsf 20/1/2021"/>
    <m/>
  </r>
  <r>
    <d v="2020-09-23T00:00:00"/>
    <x v="4"/>
    <x v="1"/>
    <s v="INV2020/00000030"/>
    <s v="C00000010"/>
    <s v="Yew Seng Gardening Supply Sdn Bhd"/>
    <x v="12"/>
    <n v="5"/>
    <n v="120"/>
    <n v="120"/>
    <d v="2021-01-21T00:00:00"/>
    <n v="1"/>
    <n v="2021"/>
    <n v="275"/>
    <n v="-275"/>
    <n v="0"/>
    <n v="88565.5"/>
    <s v="Trsf"/>
    <s v="Trsf 20/1/2021"/>
    <m/>
  </r>
  <r>
    <d v="2020-09-23T00:00:00"/>
    <x v="4"/>
    <x v="1"/>
    <s v="INV2020/00000030"/>
    <s v="C00000010"/>
    <s v="Yew Seng Gardening Supply Sdn Bhd"/>
    <x v="4"/>
    <n v="4"/>
    <n v="120"/>
    <n v="120"/>
    <d v="2021-01-21T00:00:00"/>
    <n v="1"/>
    <n v="2021"/>
    <n v="360"/>
    <n v="-360"/>
    <n v="0"/>
    <n v="88925.5"/>
    <s v="Trsf"/>
    <s v="Trsf 20/1/2021"/>
    <m/>
  </r>
  <r>
    <d v="2020-09-23T00:00:00"/>
    <x v="4"/>
    <x v="1"/>
    <s v="INV2020/00000031"/>
    <s v="C00000001"/>
    <s v="Kelnico Marketing"/>
    <x v="8"/>
    <n v="6"/>
    <s v="Cash"/>
    <n v="0"/>
    <d v="2020-09-23T00:00:00"/>
    <n v="9"/>
    <n v="2020"/>
    <n v="1392"/>
    <n v="-1392"/>
    <n v="0"/>
    <n v="90317.5"/>
    <s v="Trsf"/>
    <s v="Trst 01/10/2020"/>
    <m/>
  </r>
  <r>
    <d v="2020-09-26T00:00:00"/>
    <x v="4"/>
    <x v="1"/>
    <s v="INV2020/00000032"/>
    <s v="C00000001"/>
    <s v="Kelnico Marketing"/>
    <x v="7"/>
    <n v="1"/>
    <s v="Cash"/>
    <n v="0"/>
    <d v="2020-09-26T00:00:00"/>
    <n v="9"/>
    <n v="2020"/>
    <n v="1496"/>
    <n v="-1496"/>
    <n v="0"/>
    <n v="91813.5"/>
    <s v="Trsf"/>
    <s v="Trst 01/10/2020"/>
    <m/>
  </r>
  <r>
    <d v="2020-10-05T00:00:00"/>
    <x v="5"/>
    <x v="1"/>
    <s v="INV2020/00000033"/>
    <s v="C00000005"/>
    <s v="Artscene Creative"/>
    <x v="15"/>
    <n v="1"/>
    <s v="Cash"/>
    <n v="0"/>
    <d v="2020-10-05T00:00:00"/>
    <n v="10"/>
    <n v="2020"/>
    <n v="1496"/>
    <n v="-1496"/>
    <n v="0"/>
    <n v="93309.5"/>
    <s v="Chq"/>
    <s v="Chq 5/10 (Bank in 19/10/2020)"/>
    <m/>
  </r>
  <r>
    <d v="2020-10-05T00:00:00"/>
    <x v="5"/>
    <x v="1"/>
    <s v="INV2020/00000034"/>
    <s v="C00000003"/>
    <s v="Pandian Art Gallery Manufacturing"/>
    <x v="15"/>
    <n v="3"/>
    <n v="45"/>
    <n v="45"/>
    <d v="2020-11-19T00:00:00"/>
    <n v="11"/>
    <n v="2020"/>
    <n v="4554"/>
    <n v="-4554"/>
    <n v="0"/>
    <n v="97863.5"/>
    <s v="PD Chq"/>
    <s v="PD Chq 14/11, RM2,713/-"/>
    <m/>
  </r>
  <r>
    <d v="2020-10-05T00:00:00"/>
    <x v="5"/>
    <x v="1"/>
    <s v="INV2020/00000034"/>
    <s v="C00000003"/>
    <s v="Pandian Art Gallery Manufacturing"/>
    <x v="12"/>
    <n v="8"/>
    <n v="45"/>
    <n v="45"/>
    <d v="2020-11-19T00:00:00"/>
    <n v="11"/>
    <n v="2020"/>
    <n v="400"/>
    <n v="-400"/>
    <n v="0"/>
    <n v="98263.5"/>
    <s v="PD Chq"/>
    <s v="PD Chq 21/11, RM1,500/-"/>
    <m/>
  </r>
  <r>
    <d v="2020-10-05T00:00:00"/>
    <x v="5"/>
    <x v="1"/>
    <s v="INV2020/00000034"/>
    <s v="C00000003"/>
    <s v="Pandian Art Gallery Manufacturing"/>
    <x v="4"/>
    <n v="6"/>
    <n v="45"/>
    <n v="45"/>
    <d v="2020-11-19T00:00:00"/>
    <n v="11"/>
    <n v="2020"/>
    <n v="555"/>
    <n v="-555"/>
    <n v="0"/>
    <n v="98818.5"/>
    <s v="PD Chq"/>
    <s v="PD Chq 29/11, RM1,500/-"/>
    <m/>
  </r>
  <r>
    <d v="2020-10-05T00:00:00"/>
    <x v="5"/>
    <x v="1"/>
    <s v="INV2020/00000034"/>
    <s v="C00000003"/>
    <s v="Pandian Art Gallery Manufacturing"/>
    <x v="9"/>
    <n v="1"/>
    <n v="45"/>
    <n v="45"/>
    <d v="2020-11-19T00:00:00"/>
    <n v="11"/>
    <n v="2020"/>
    <n v="204"/>
    <n v="-204"/>
    <n v="0"/>
    <n v="99022.5"/>
    <s v="PD Chq"/>
    <s v="PD Chq 29/11, RM1,500/-"/>
    <m/>
  </r>
  <r>
    <d v="2020-10-08T00:00:00"/>
    <x v="5"/>
    <x v="1"/>
    <s v="INV2020/00000035"/>
    <s v="C00000004"/>
    <s v="Siew Min Lorry Sdn Bhd"/>
    <x v="7"/>
    <n v="5"/>
    <n v="120"/>
    <n v="120"/>
    <d v="2021-02-05T00:00:00"/>
    <n v="2"/>
    <n v="2021"/>
    <n v="6270"/>
    <n v="-6270"/>
    <n v="0"/>
    <n v="105292.5"/>
    <s v="Chq"/>
    <s v="PD HLB 5704, 22/2/2021"/>
    <m/>
  </r>
  <r>
    <d v="2020-10-08T00:00:00"/>
    <x v="5"/>
    <x v="1"/>
    <s v="INV2020/00000035"/>
    <s v="C00000004"/>
    <s v="Siew Min Lorry Sdn Bhd"/>
    <x v="13"/>
    <n v="1"/>
    <n v="120"/>
    <n v="120"/>
    <d v="2021-02-05T00:00:00"/>
    <n v="2"/>
    <n v="2021"/>
    <n v="1254"/>
    <n v="-1254"/>
    <n v="0"/>
    <n v="106546.5"/>
    <s v="Chq"/>
    <s v="PD HLB 5704, 22/2/2021"/>
    <m/>
  </r>
  <r>
    <d v="2020-10-08T00:00:00"/>
    <x v="5"/>
    <x v="1"/>
    <s v="INV2020/00000035"/>
    <s v="C00000004"/>
    <s v="Siew Min Lorry Sdn Bhd"/>
    <x v="16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x v="5"/>
    <x v="1"/>
    <s v="INV2020/00000035"/>
    <s v="C00000004"/>
    <s v="Siew Min Lorry Sdn Bhd"/>
    <x v="5"/>
    <n v="10"/>
    <n v="120"/>
    <n v="120"/>
    <d v="2021-02-05T00:00:00"/>
    <n v="2"/>
    <n v="2021"/>
    <n v="2040"/>
    <n v="-2040"/>
    <n v="0"/>
    <n v="109461.3"/>
    <s v="Chq"/>
    <s v="PD HLB 5704, 22/2/2021"/>
    <m/>
  </r>
  <r>
    <d v="2020-10-08T00:00:00"/>
    <x v="5"/>
    <x v="1"/>
    <s v="INV2020/00000035"/>
    <s v="C00000004"/>
    <s v="Siew Min Lorry Sdn Bhd"/>
    <x v="4"/>
    <n v="2"/>
    <n v="120"/>
    <n v="120"/>
    <d v="2021-02-05T00:00:00"/>
    <n v="2"/>
    <n v="2021"/>
    <n v="180"/>
    <n v="-180"/>
    <n v="0"/>
    <n v="109641.3"/>
    <s v="Chq"/>
    <s v="PD HLB 5704, 22/2/2021"/>
    <m/>
  </r>
  <r>
    <d v="2020-10-12T00:00:00"/>
    <x v="5"/>
    <x v="1"/>
    <s v="INV2020/00000036"/>
    <s v="C00000004"/>
    <s v="Siew Min Lorry Sdn Bhd"/>
    <x v="7"/>
    <n v="6"/>
    <n v="120"/>
    <n v="120"/>
    <d v="2021-02-09T00:00:00"/>
    <n v="2"/>
    <n v="2021"/>
    <n v="7524"/>
    <n v="-7524"/>
    <n v="0"/>
    <n v="117165.3"/>
    <s v="Chq"/>
    <s v="PD HLB 5704, 22/2/2021"/>
    <m/>
  </r>
  <r>
    <d v="2020-10-12T00:00:00"/>
    <x v="5"/>
    <x v="1"/>
    <s v="INV2020/00000036"/>
    <s v="C00000004"/>
    <s v="Siew Min Lorry Sdn Bhd"/>
    <x v="13"/>
    <n v="1"/>
    <n v="120"/>
    <n v="120"/>
    <d v="2021-02-09T00:00:00"/>
    <n v="2"/>
    <n v="2021"/>
    <n v="1254"/>
    <n v="-1254"/>
    <n v="0"/>
    <n v="118419.3"/>
    <s v="Chq"/>
    <s v="PD HLB 5704, 22/2/2021"/>
    <m/>
  </r>
  <r>
    <d v="2020-10-12T00:00:00"/>
    <x v="5"/>
    <x v="1"/>
    <s v="INV2020/00000037"/>
    <s v="C00000001"/>
    <s v="Kelnico Marketing"/>
    <x v="15"/>
    <n v="1"/>
    <s v="Cash"/>
    <n v="0"/>
    <d v="2020-10-12T00:00:00"/>
    <n v="10"/>
    <n v="2020"/>
    <n v="1496"/>
    <n v="-1496"/>
    <n v="0"/>
    <n v="119915.3"/>
    <s v="Trsf"/>
    <s v="Trsf 19/10/2020"/>
    <m/>
  </r>
  <r>
    <d v="2020-10-12T00:00:00"/>
    <x v="5"/>
    <x v="1"/>
    <s v="INV2020/00000037"/>
    <s v="C00000001"/>
    <s v="Kelnico Marketing"/>
    <x v="1"/>
    <n v="4"/>
    <s v="Cash"/>
    <n v="0"/>
    <d v="2020-10-12T00:00:00"/>
    <n v="10"/>
    <n v="2020"/>
    <n v="962"/>
    <n v="-962"/>
    <n v="0"/>
    <n v="120877.3"/>
    <s v="Trsf"/>
    <s v="Trsf 19/10/2020"/>
    <m/>
  </r>
  <r>
    <d v="2020-10-14T00:00:00"/>
    <x v="5"/>
    <x v="1"/>
    <s v="INV2020/00000038"/>
    <s v="C00000007"/>
    <s v="Chin Fibreglass (M) Sdn Bhd"/>
    <x v="5"/>
    <n v="7"/>
    <s v="Cash"/>
    <n v="0"/>
    <d v="2020-10-14T00:00:00"/>
    <n v="10"/>
    <n v="2020"/>
    <n v="1470"/>
    <n v="-1470"/>
    <n v="0"/>
    <n v="122347.3"/>
    <s v="Trsf"/>
    <s v="Due 30/11/2020"/>
    <m/>
  </r>
  <r>
    <d v="2020-10-14T00:00:00"/>
    <x v="5"/>
    <x v="1"/>
    <s v="INV2020/00000038"/>
    <s v="C00000007"/>
    <s v="Chin Fibreglass (M) Sdn Bhd"/>
    <x v="4"/>
    <n v="8"/>
    <s v="Cash"/>
    <n v="0"/>
    <d v="2020-10-14T00:00:00"/>
    <n v="10"/>
    <n v="2020"/>
    <n v="720"/>
    <n v="-720"/>
    <n v="0"/>
    <n v="123067.3"/>
    <s v="Trsf"/>
    <s v="Due 30/11/2020"/>
    <m/>
  </r>
  <r>
    <d v="2020-10-19T00:00:00"/>
    <x v="5"/>
    <x v="1"/>
    <s v="INV2020/00000038"/>
    <s v="C00000007"/>
    <s v="Chin Fibreglass (M) Sdn Bhd"/>
    <x v="11"/>
    <n v="2"/>
    <s v="Cash"/>
    <n v="0"/>
    <d v="2020-10-19T00:00:00"/>
    <n v="10"/>
    <n v="2020"/>
    <n v="460"/>
    <n v="-460"/>
    <n v="0"/>
    <n v="123527.3"/>
    <s v="Trsf"/>
    <s v="Due 30/11/2020"/>
    <m/>
  </r>
  <r>
    <d v="2020-10-17T00:00:00"/>
    <x v="5"/>
    <x v="1"/>
    <s v="INV2020/00000039"/>
    <s v="C00000003"/>
    <s v="Pandian Art Gallery Manufacturing"/>
    <x v="18"/>
    <n v="4"/>
    <n v="45"/>
    <n v="45"/>
    <d v="2020-12-01T00:00:00"/>
    <n v="12"/>
    <n v="2020"/>
    <n v="180"/>
    <n v="-180"/>
    <n v="0"/>
    <n v="123707.3"/>
    <s v="PD Chq"/>
    <s v="PD Chq 22/10, RM384/-"/>
    <m/>
  </r>
  <r>
    <d v="2020-10-17T00:00:00"/>
    <x v="5"/>
    <x v="1"/>
    <s v="INV2020/00000040"/>
    <s v="C00000003"/>
    <s v="Pandian Art Gallery Manufacturing"/>
    <x v="9"/>
    <n v="1"/>
    <n v="45"/>
    <n v="45"/>
    <d v="2020-12-01T00:00:00"/>
    <n v="12"/>
    <n v="2020"/>
    <n v="204"/>
    <n v="-204"/>
    <n v="0"/>
    <n v="123911.3"/>
    <s v="PD Chq"/>
    <s v="PD Chq 22/10, RM384/-"/>
    <m/>
  </r>
  <r>
    <d v="2020-10-19T00:00:00"/>
    <x v="5"/>
    <x v="1"/>
    <s v="INV2020/00000041"/>
    <s v="C00000001"/>
    <s v="Kelnico Marketing"/>
    <x v="2"/>
    <n v="4"/>
    <s v="Cash"/>
    <n v="0"/>
    <d v="2020-10-19T00:00:00"/>
    <n v="10"/>
    <n v="2020"/>
    <n v="960"/>
    <n v="-960"/>
    <n v="0"/>
    <n v="124871.3"/>
    <s v="Trsf"/>
    <s v="Trsf 9/11/2020"/>
    <m/>
  </r>
  <r>
    <d v="2020-10-19T00:00:00"/>
    <x v="5"/>
    <x v="1"/>
    <s v="INV2020/00000041"/>
    <s v="C00000001"/>
    <s v="Kelnico Marketing"/>
    <x v="19"/>
    <n v="1"/>
    <s v="Cash"/>
    <n v="0"/>
    <d v="2020-10-19T00:00:00"/>
    <n v="10"/>
    <n v="2020"/>
    <n v="625"/>
    <n v="-625"/>
    <n v="0"/>
    <n v="125496.3"/>
    <s v="Trsf"/>
    <s v="Trsf 9/11/2020"/>
    <m/>
  </r>
  <r>
    <d v="2020-10-19T00:00:00"/>
    <x v="5"/>
    <x v="1"/>
    <s v="INV2020/00000041"/>
    <s v="C00000001"/>
    <s v="Kelnico Marketing"/>
    <x v="20"/>
    <n v="1"/>
    <s v="Cash"/>
    <n v="0"/>
    <d v="2020-10-19T00:00:00"/>
    <n v="10"/>
    <n v="2020"/>
    <n v="60"/>
    <n v="-60"/>
    <n v="0"/>
    <n v="125556.3"/>
    <s v="Trsf"/>
    <s v="Trsf 9/11/2020"/>
    <m/>
  </r>
  <r>
    <d v="2020-10-19T00:00:00"/>
    <x v="5"/>
    <x v="1"/>
    <s v="INV2020/00000042"/>
    <s v="C00000005"/>
    <s v="Artscene Creative"/>
    <x v="4"/>
    <n v="1"/>
    <s v="Cash"/>
    <n v="0"/>
    <d v="2020-10-19T00:00:00"/>
    <n v="10"/>
    <n v="2020"/>
    <n v="90"/>
    <n v="-90"/>
    <n v="0"/>
    <n v="125646.3"/>
    <s v="Chq"/>
    <s v="Chq CIMB 000054 28/10/2019"/>
    <m/>
  </r>
  <r>
    <d v="2020-10-21T00:00:00"/>
    <x v="5"/>
    <x v="1"/>
    <s v="INV2020/00000043"/>
    <s v="C00000005"/>
    <s v="Artscene Creative"/>
    <x v="15"/>
    <n v="1"/>
    <s v="Cash"/>
    <n v="0"/>
    <d v="2020-10-21T00:00:00"/>
    <n v="10"/>
    <n v="2020"/>
    <n v="1496"/>
    <n v="-1496"/>
    <n v="0"/>
    <n v="127142.3"/>
    <s v="Chq"/>
    <s v="Chq CIMB 000050 21/10/2020"/>
    <m/>
  </r>
  <r>
    <d v="2020-10-21T00:00:00"/>
    <x v="5"/>
    <x v="1"/>
    <s v="INV2020/00000044"/>
    <s v="C00000010"/>
    <s v="Yew Seng Gardening Supply Sdn Bhd"/>
    <x v="7"/>
    <n v="5"/>
    <n v="120"/>
    <n v="120"/>
    <d v="2021-02-18T00:00:00"/>
    <n v="2"/>
    <n v="2021"/>
    <n v="6600"/>
    <n v="-6600"/>
    <n v="0"/>
    <n v="133742.29999999999"/>
    <s v="Trsf"/>
    <s v="Trsf 19/3/2021"/>
    <m/>
  </r>
  <r>
    <d v="2020-10-21T00:00:00"/>
    <x v="5"/>
    <x v="1"/>
    <s v="INV2020/00000044"/>
    <s v="C00000010"/>
    <s v="Yew Seng Gardening Supply Sdn Bhd"/>
    <x v="1"/>
    <n v="4"/>
    <n v="120"/>
    <n v="120"/>
    <d v="2021-02-18T00:00:00"/>
    <n v="2"/>
    <n v="2021"/>
    <n v="888"/>
    <n v="-888"/>
    <n v="0"/>
    <n v="134630.29999999999"/>
    <s v="Trsf"/>
    <s v="Trsf 19/3/2021"/>
    <m/>
  </r>
  <r>
    <d v="2020-10-21T00:00:00"/>
    <x v="5"/>
    <x v="1"/>
    <s v="INV2020/00000044"/>
    <s v="C00000010"/>
    <s v="Yew Seng Gardening Supply Sdn Bhd"/>
    <x v="12"/>
    <n v="5"/>
    <n v="120"/>
    <n v="120"/>
    <d v="2021-02-18T00:00:00"/>
    <n v="2"/>
    <n v="2021"/>
    <n v="275"/>
    <n v="-275"/>
    <n v="0"/>
    <n v="134905.29999999999"/>
    <s v="Trsf"/>
    <s v="Trsf 19/3/2021"/>
    <m/>
  </r>
  <r>
    <d v="2020-10-21T00:00:00"/>
    <x v="5"/>
    <x v="1"/>
    <s v="INV2020/00000044"/>
    <s v="C00000010"/>
    <s v="Yew Seng Gardening Supply Sdn Bhd"/>
    <x v="4"/>
    <n v="4"/>
    <n v="120"/>
    <n v="120"/>
    <d v="2021-02-18T00:00:00"/>
    <n v="2"/>
    <n v="2021"/>
    <n v="360"/>
    <n v="-360"/>
    <n v="0"/>
    <n v="135265.29999999999"/>
    <s v="Trsf"/>
    <s v="Trsf 19/3/2021"/>
    <m/>
  </r>
  <r>
    <d v="2020-10-26T00:00:00"/>
    <x v="5"/>
    <x v="1"/>
    <s v="INV2020/00000045"/>
    <s v="C00000003"/>
    <s v="Pandian Art Gallery Manufacturing"/>
    <x v="15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x v="5"/>
    <x v="1"/>
    <s v="INV2020/00000045"/>
    <s v="C00000003"/>
    <s v="Pandian Art Gallery Manufacturing"/>
    <x v="4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x v="5"/>
    <x v="1"/>
    <s v="INV2020/00000046"/>
    <s v="C00000001"/>
    <s v="Kelnico Marketing"/>
    <x v="15"/>
    <n v="1"/>
    <s v="Cash"/>
    <n v="0"/>
    <d v="2020-10-31T00:00:00"/>
    <n v="10"/>
    <n v="2020"/>
    <n v="1496"/>
    <n v="-1496"/>
    <n v="0"/>
    <n v="141870.29999999999"/>
    <s v="Trsf"/>
    <s v="Trsf 9/11/2020"/>
    <m/>
  </r>
  <r>
    <d v="2020-10-31T00:00:00"/>
    <x v="5"/>
    <x v="1"/>
    <s v="INV2020/00000046"/>
    <s v="C00000001"/>
    <s v="Kelnico Marketing"/>
    <x v="1"/>
    <n v="4"/>
    <s v="Cash"/>
    <n v="0"/>
    <d v="2020-10-31T00:00:00"/>
    <n v="10"/>
    <n v="2020"/>
    <n v="962"/>
    <n v="-962"/>
    <n v="0"/>
    <n v="142832.29999999999"/>
    <s v="Trsf"/>
    <s v="Trsf 9/11/2020"/>
    <m/>
  </r>
  <r>
    <d v="2020-10-31T00:00:00"/>
    <x v="5"/>
    <x v="1"/>
    <s v="INV2020/00000047"/>
    <s v="C00000005"/>
    <s v="Artscene Creative"/>
    <x v="15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d v="2020-11-09T00:00:00"/>
    <x v="6"/>
    <x v="1"/>
    <s v="INV2020/00000048"/>
    <s v="C00000006"/>
    <s v="Perniagaan Fibra Sahih"/>
    <x v="7"/>
    <n v="1"/>
    <s v="Cash"/>
    <n v="0"/>
    <d v="2020-11-09T00:00:00"/>
    <n v="11"/>
    <n v="2020"/>
    <n v="1584"/>
    <n v="-1584"/>
    <n v="0"/>
    <n v="145912.29999999999"/>
    <s v="Chq"/>
    <s v="Bank in 16/12/2020"/>
    <m/>
  </r>
  <r>
    <d v="2020-11-09T00:00:00"/>
    <x v="6"/>
    <x v="1"/>
    <s v="INV2020/00000048"/>
    <s v="C00000006"/>
    <s v="Perniagaan Fibra Sahih"/>
    <x v="5"/>
    <n v="1"/>
    <s v="Cash"/>
    <n v="0"/>
    <d v="2020-11-09T00:00:00"/>
    <n v="11"/>
    <n v="2020"/>
    <n v="210"/>
    <n v="-210"/>
    <n v="0"/>
    <n v="146122.29999999999"/>
    <s v="Chq"/>
    <s v="Bank in 16/12/2020"/>
    <m/>
  </r>
  <r>
    <d v="2020-11-09T00:00:00"/>
    <x v="6"/>
    <x v="1"/>
    <s v="INV2020/00000048"/>
    <s v="C00000006"/>
    <s v="Perniagaan Fibra Sahih"/>
    <x v="16"/>
    <n v="1"/>
    <s v="Cash"/>
    <n v="0"/>
    <d v="2020-11-09T00:00:00"/>
    <n v="11"/>
    <n v="2020"/>
    <n v="378"/>
    <n v="-378"/>
    <n v="0"/>
    <n v="146500.29999999999"/>
    <s v="Chq"/>
    <s v="Bank in 16/12/2020"/>
    <m/>
  </r>
  <r>
    <d v="2020-11-09T00:00:00"/>
    <x v="6"/>
    <x v="1"/>
    <s v="INV2020/00000048"/>
    <s v="C00000006"/>
    <s v="Perniagaan Fibra Sahih"/>
    <x v="21"/>
    <n v="1"/>
    <s v="Cash"/>
    <n v="0"/>
    <d v="2020-11-09T00:00:00"/>
    <n v="11"/>
    <n v="2020"/>
    <n v="130"/>
    <n v="-130"/>
    <n v="0"/>
    <n v="146630.29999999999"/>
    <s v="Chq"/>
    <s v="Bank in 16/12/2020"/>
    <m/>
  </r>
  <r>
    <d v="2020-11-10T00:00:00"/>
    <x v="6"/>
    <x v="1"/>
    <s v="INV2020/00000049"/>
    <s v="C00000001"/>
    <s v="Kelnico Marketing"/>
    <x v="15"/>
    <n v="1"/>
    <s v="Cash"/>
    <n v="0"/>
    <d v="2020-11-10T00:00:00"/>
    <n v="11"/>
    <n v="2020"/>
    <n v="1584"/>
    <n v="-1584"/>
    <n v="0"/>
    <n v="148214.29999999999"/>
    <s v="Trsf"/>
    <s v="Trsf 20/11/2020"/>
    <m/>
  </r>
  <r>
    <d v="2020-11-10T00:00:00"/>
    <x v="6"/>
    <x v="1"/>
    <s v="INV2020/00000049"/>
    <s v="C00000001"/>
    <s v="Kelnico Marketing"/>
    <x v="4"/>
    <n v="4"/>
    <s v="Cash"/>
    <n v="0"/>
    <d v="2020-11-10T00:00:00"/>
    <n v="11"/>
    <n v="2020"/>
    <n v="370"/>
    <n v="-370"/>
    <n v="0"/>
    <n v="148584.29999999999"/>
    <s v="Trsf"/>
    <s v="Trsf 20/11/2020"/>
    <m/>
  </r>
  <r>
    <d v="2020-11-10T00:00:00"/>
    <x v="6"/>
    <x v="1"/>
    <s v="INV2020/00000050"/>
    <s v="C00000005"/>
    <s v="Artscene Creative"/>
    <x v="15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x v="6"/>
    <x v="1"/>
    <s v="INV2020/00000050"/>
    <s v="C00000005"/>
    <s v="Artscene Creative"/>
    <x v="4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x v="6"/>
    <x v="1"/>
    <s v="INV2020/00000051"/>
    <s v="C00000009"/>
    <s v="JMC Steel Engineering Sdn Bhd"/>
    <x v="10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x v="6"/>
    <x v="1"/>
    <s v="INV2020/00000051"/>
    <s v="C00000009"/>
    <s v="JMC Steel Engineering Sdn Bhd"/>
    <x v="16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x v="6"/>
    <x v="1"/>
    <s v="INV2020/00000052"/>
    <s v="C00000001"/>
    <s v="Kelnico Marketing"/>
    <x v="15"/>
    <n v="1"/>
    <s v="Cash"/>
    <n v="0"/>
    <d v="2020-11-18T00:00:00"/>
    <n v="11"/>
    <n v="2020"/>
    <n v="1584"/>
    <n v="-1584"/>
    <n v="0"/>
    <n v="153029.49999999997"/>
    <s v="Trsf"/>
    <s v="Trsf 20/11/2020"/>
    <m/>
  </r>
  <r>
    <d v="2020-11-24T00:00:00"/>
    <x v="6"/>
    <x v="1"/>
    <s v="INV2020/00000053"/>
    <s v="C00000001"/>
    <s v="Kelnico Marketing"/>
    <x v="8"/>
    <n v="2"/>
    <s v="Cash"/>
    <n v="0"/>
    <d v="2020-11-24T00:00:00"/>
    <n v="11"/>
    <n v="2020"/>
    <n v="520"/>
    <n v="-520"/>
    <n v="0"/>
    <n v="153549.49999999997"/>
    <s v="Trsf"/>
    <s v="Trsf 5/12/2020"/>
    <m/>
  </r>
  <r>
    <d v="2020-11-20T00:00:00"/>
    <x v="6"/>
    <x v="1"/>
    <s v="INV2020/00000054"/>
    <s v="C00000010"/>
    <s v="Yew Seng Gardening Supply Sdn Bhd"/>
    <x v="22"/>
    <n v="3"/>
    <n v="120"/>
    <n v="120"/>
    <d v="2021-03-20T00:00:00"/>
    <n v="3"/>
    <n v="2021"/>
    <n v="4050"/>
    <n v="-4050"/>
    <n v="0"/>
    <n v="157599.49999999997"/>
    <s v="Trsf"/>
    <s v="Due 28/2/2020"/>
    <m/>
  </r>
  <r>
    <d v="2020-11-20T00:00:00"/>
    <x v="6"/>
    <x v="1"/>
    <s v="INV2020/00000054"/>
    <s v="C00000010"/>
    <s v="Yew Seng Gardening Supply Sdn Bhd"/>
    <x v="7"/>
    <n v="2"/>
    <n v="120"/>
    <n v="120"/>
    <d v="2021-03-20T00:00:00"/>
    <n v="3"/>
    <n v="2021"/>
    <n v="2640"/>
    <n v="-2640"/>
    <n v="0"/>
    <n v="160239.49999999997"/>
    <s v="Trsf"/>
    <s v="Due 28/2/2020"/>
    <m/>
  </r>
  <r>
    <d v="2020-11-20T00:00:00"/>
    <x v="6"/>
    <x v="1"/>
    <s v="INV2020/00000054"/>
    <s v="C00000010"/>
    <s v="Yew Seng Gardening Supply Sdn Bhd"/>
    <x v="1"/>
    <n v="8"/>
    <n v="120"/>
    <n v="120"/>
    <d v="2021-03-20T00:00:00"/>
    <n v="3"/>
    <n v="2021"/>
    <n v="1776"/>
    <n v="-1776"/>
    <n v="0"/>
    <n v="162015.49999999997"/>
    <s v="Trsf"/>
    <s v="Due 28/2/2020"/>
    <m/>
  </r>
  <r>
    <d v="2020-11-20T00:00:00"/>
    <x v="6"/>
    <x v="1"/>
    <s v="INV2020/00000054"/>
    <s v="C00000010"/>
    <s v="Yew Seng Gardening Supply Sdn Bhd"/>
    <x v="12"/>
    <n v="5"/>
    <n v="120"/>
    <n v="120"/>
    <d v="2021-03-20T00:00:00"/>
    <n v="3"/>
    <n v="2021"/>
    <n v="275"/>
    <n v="-275"/>
    <n v="0"/>
    <n v="162290.49999999997"/>
    <s v="Trsf"/>
    <s v="Due 28/2/2020"/>
    <m/>
  </r>
  <r>
    <d v="2020-11-20T00:00:00"/>
    <x v="6"/>
    <x v="1"/>
    <s v="INV2020/00000054"/>
    <s v="C00000010"/>
    <s v="Yew Seng Gardening Supply Sdn Bhd"/>
    <x v="4"/>
    <n v="2"/>
    <n v="120"/>
    <n v="120"/>
    <d v="2021-03-20T00:00:00"/>
    <n v="3"/>
    <n v="2021"/>
    <n v="180"/>
    <n v="-180"/>
    <n v="0"/>
    <n v="162470.49999999997"/>
    <s v="Trsf"/>
    <s v="Due 28/2/2020"/>
    <m/>
  </r>
  <r>
    <d v="2020-11-20T00:00:00"/>
    <x v="6"/>
    <x v="1"/>
    <s v="INV2020/00000054"/>
    <s v="C00000010"/>
    <s v="Yew Seng Gardening Supply Sdn Bhd"/>
    <x v="14"/>
    <n v="1"/>
    <n v="120"/>
    <n v="120"/>
    <d v="2021-03-20T00:00:00"/>
    <n v="3"/>
    <n v="2021"/>
    <n v="375"/>
    <n v="-375"/>
    <n v="0"/>
    <n v="162845.49999999997"/>
    <s v="Trsf"/>
    <s v="Due 28/2/2020"/>
    <m/>
  </r>
  <r>
    <d v="2020-11-21T00:00:00"/>
    <x v="6"/>
    <x v="1"/>
    <s v="INV2020/00000055"/>
    <s v="C00000008"/>
    <s v="Wonderland Design Productions Studio"/>
    <x v="7"/>
    <n v="1"/>
    <s v="Cash"/>
    <n v="0"/>
    <d v="2020-11-21T00:00:00"/>
    <n v="11"/>
    <n v="2020"/>
    <n v="1584"/>
    <n v="-1584"/>
    <n v="0"/>
    <n v="164429.49999999997"/>
    <s v="Trsf"/>
    <m/>
    <m/>
  </r>
  <r>
    <d v="2020-11-21T00:00:00"/>
    <x v="6"/>
    <x v="1"/>
    <s v="INV2020/00000055"/>
    <s v="C00000008"/>
    <s v="Wonderland Design Productions Studio"/>
    <x v="5"/>
    <n v="2"/>
    <s v="Cash"/>
    <n v="0"/>
    <d v="2020-11-21T00:00:00"/>
    <n v="11"/>
    <n v="2020"/>
    <n v="420"/>
    <n v="-420"/>
    <n v="0"/>
    <n v="164849.49999999997"/>
    <s v="Trsf"/>
    <m/>
    <m/>
  </r>
  <r>
    <d v="2020-11-21T00:00:00"/>
    <x v="6"/>
    <x v="1"/>
    <s v="INV2020/00000055"/>
    <s v="C00000008"/>
    <s v="Wonderland Design Productions Studio"/>
    <x v="4"/>
    <n v="1"/>
    <s v="Cash"/>
    <n v="0"/>
    <d v="2020-11-21T00:00:00"/>
    <n v="11"/>
    <n v="2020"/>
    <n v="90"/>
    <n v="-90"/>
    <n v="0"/>
    <n v="164939.49999999997"/>
    <s v="Trsf"/>
    <m/>
    <m/>
  </r>
  <r>
    <d v="2020-11-21T00:00:00"/>
    <x v="6"/>
    <x v="1"/>
    <s v="INV2020/00000055"/>
    <s v="C00000008"/>
    <s v="Wonderland Design Productions Studio"/>
    <x v="1"/>
    <n v="2"/>
    <s v="Cash"/>
    <n v="0"/>
    <d v="2020-11-21T00:00:00"/>
    <n v="11"/>
    <n v="2020"/>
    <n v="518"/>
    <n v="-518"/>
    <n v="0"/>
    <n v="165457.49999999997"/>
    <s v="Trsf"/>
    <m/>
    <m/>
  </r>
  <r>
    <d v="2020-11-23T00:00:00"/>
    <x v="6"/>
    <x v="1"/>
    <s v="INV2020/00000056"/>
    <s v="C00000005"/>
    <s v="Artscene Creative"/>
    <x v="15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x v="6"/>
    <x v="1"/>
    <s v="INV2020/00000057"/>
    <s v="C00000011"/>
    <s v="JT Johan Sdn Bhd"/>
    <x v="23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x v="6"/>
    <x v="1"/>
    <s v="INV2020/00000057"/>
    <s v="C00000011"/>
    <s v="JT Johan Sdn Bhd"/>
    <x v="24"/>
    <n v="1"/>
    <s v="Cash"/>
    <n v="0"/>
    <d v="2020-11-24T00:00:00"/>
    <n v="11"/>
    <n v="2020"/>
    <n v="100"/>
    <n v="-100"/>
    <n v="0"/>
    <n v="168080.29999999996"/>
    <s v="Trsf"/>
    <s v="Trsf 23/11/2020"/>
    <m/>
  </r>
  <r>
    <d v="2020-11-24T00:00:00"/>
    <x v="6"/>
    <x v="1"/>
    <s v="INV2020/00000058"/>
    <s v="C00000003"/>
    <s v="Pandian Art Gallery Manufacturing"/>
    <x v="15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d v="2020-11-24T00:00:00"/>
    <x v="6"/>
    <x v="1"/>
    <s v="INV2020/00000058"/>
    <s v="C00000003"/>
    <s v="Pandian Art Gallery Manufacturing"/>
    <x v="12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d v="2020-11-24T00:00:00"/>
    <x v="6"/>
    <x v="1"/>
    <s v="INV2020/00000058"/>
    <s v="C00000003"/>
    <s v="Pandian Art Gallery Manufacturing"/>
    <x v="4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d v="2020-11-24T00:00:00"/>
    <x v="6"/>
    <x v="1"/>
    <s v="INV2020/00000058"/>
    <s v="C00000003"/>
    <s v="Pandian Art Gallery Manufacturing"/>
    <x v="25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d v="2020-11-27T00:00:00"/>
    <x v="6"/>
    <x v="1"/>
    <s v="INV2020/00000059"/>
    <s v="C00000001"/>
    <s v="Kelnico Marketing"/>
    <x v="7"/>
    <n v="1"/>
    <s v="Cash"/>
    <n v="0"/>
    <d v="2020-11-27T00:00:00"/>
    <n v="11"/>
    <n v="2020"/>
    <n v="1584"/>
    <n v="-1584"/>
    <n v="0"/>
    <n v="171672.29999999996"/>
    <s v="Trsf"/>
    <s v="Trsf 5/12/2020"/>
    <m/>
  </r>
  <r>
    <d v="2020-11-27T00:00:00"/>
    <x v="6"/>
    <x v="1"/>
    <s v="INV2020/00000059"/>
    <s v="C00000001"/>
    <s v="Kelnico Marketing"/>
    <x v="26"/>
    <n v="4"/>
    <s v="Cash"/>
    <n v="0"/>
    <d v="2020-11-27T00:00:00"/>
    <n v="11"/>
    <n v="2020"/>
    <n v="840"/>
    <n v="-840"/>
    <n v="0"/>
    <n v="172512.29999999996"/>
    <s v="Trsf"/>
    <s v="Trsf 5/12/2020"/>
    <m/>
  </r>
  <r>
    <d v="2020-11-28T00:00:00"/>
    <x v="6"/>
    <x v="1"/>
    <s v="INV2020/00000060"/>
    <s v="C00000009"/>
    <s v="JMC Steel Engineering Sdn Bhd"/>
    <x v="5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x v="6"/>
    <x v="1"/>
    <s v="INV2020/00000061"/>
    <s v="C00000008"/>
    <s v="Wonderland Design Productions Studio"/>
    <x v="5"/>
    <n v="5"/>
    <s v="Cash"/>
    <n v="0"/>
    <d v="2020-11-30T00:00:00"/>
    <n v="11"/>
    <n v="2020"/>
    <n v="1050"/>
    <n v="-1050"/>
    <n v="0"/>
    <n v="173970.29999999996"/>
    <s v="Trsf"/>
    <m/>
    <m/>
  </r>
  <r>
    <d v="2020-11-30T00:00:00"/>
    <x v="6"/>
    <x v="1"/>
    <s v="INV2020/00000062"/>
    <s v="C00000010"/>
    <s v="Yew Seng Gardening Supply Sdn Bhd"/>
    <x v="7"/>
    <n v="5"/>
    <n v="120"/>
    <n v="120"/>
    <d v="2021-03-30T00:00:00"/>
    <n v="3"/>
    <n v="2021"/>
    <n v="6600"/>
    <n v="-6600"/>
    <n v="0"/>
    <n v="180570.29999999996"/>
    <s v="Trsf"/>
    <s v="Due 28/2/2020"/>
    <m/>
  </r>
  <r>
    <d v="2020-11-30T00:00:00"/>
    <x v="6"/>
    <x v="1"/>
    <s v="INV2020/00000062"/>
    <s v="C00000010"/>
    <s v="Yew Seng Gardening Supply Sdn Bhd"/>
    <x v="26"/>
    <n v="4"/>
    <n v="120"/>
    <n v="120"/>
    <d v="2021-03-30T00:00:00"/>
    <n v="3"/>
    <n v="2021"/>
    <n v="720"/>
    <n v="-720"/>
    <n v="0"/>
    <n v="181290.29999999996"/>
    <s v="Trsf"/>
    <s v="Due 28/2/2020"/>
    <m/>
  </r>
  <r>
    <d v="2020-11-30T00:00:00"/>
    <x v="6"/>
    <x v="1"/>
    <s v="INV2020/00000062"/>
    <s v="C00000010"/>
    <s v="Yew Seng Gardening Supply Sdn Bhd"/>
    <x v="12"/>
    <n v="5"/>
    <n v="120"/>
    <n v="120"/>
    <d v="2021-03-30T00:00:00"/>
    <n v="3"/>
    <n v="2021"/>
    <n v="275"/>
    <n v="-275"/>
    <n v="0"/>
    <n v="181565.29999999996"/>
    <s v="Trsf"/>
    <s v="Due 28/2/2020"/>
    <m/>
  </r>
  <r>
    <d v="2020-11-30T00:00:00"/>
    <x v="6"/>
    <x v="1"/>
    <s v="INV2020/00000062"/>
    <s v="C00000010"/>
    <s v="Yew Seng Gardening Supply Sdn Bhd"/>
    <x v="4"/>
    <n v="2"/>
    <n v="120"/>
    <n v="120"/>
    <d v="2021-03-30T00:00:00"/>
    <n v="3"/>
    <n v="2021"/>
    <n v="180"/>
    <n v="-180"/>
    <n v="0"/>
    <n v="181745.29999999996"/>
    <s v="Trsf"/>
    <s v="Due 28/2/2020"/>
    <m/>
  </r>
  <r>
    <d v="2020-11-30T00:00:00"/>
    <x v="6"/>
    <x v="1"/>
    <s v="INV2020/00000063"/>
    <s v="C00000010"/>
    <s v="Yew Seng Gardening Supply Sdn Bhd"/>
    <x v="12"/>
    <n v="5"/>
    <n v="120"/>
    <n v="120"/>
    <d v="2021-03-30T00:00:00"/>
    <n v="3"/>
    <n v="2021"/>
    <n v="275"/>
    <n v="-275"/>
    <n v="0"/>
    <n v="182020.29999999996"/>
    <s v="Trsf"/>
    <s v="Due 28/2/2020"/>
    <m/>
  </r>
  <r>
    <d v="2020-12-05T00:00:00"/>
    <x v="0"/>
    <x v="1"/>
    <s v="INV2020/00000064"/>
    <e v="#N/A"/>
    <s v="Cash - Muhammad Syahin Bin"/>
    <x v="10"/>
    <n v="2"/>
    <e v="#N/A"/>
    <e v="#N/A"/>
    <e v="#N/A"/>
    <e v="#N/A"/>
    <e v="#N/A"/>
    <n v="799.2"/>
    <n v="-799.2"/>
    <n v="0"/>
    <n v="182819.49999999997"/>
    <e v="#N/A"/>
    <s v="Trsf 5/12/2020"/>
    <m/>
  </r>
  <r>
    <d v="2020-12-15T00:00:00"/>
    <x v="0"/>
    <x v="1"/>
    <s v="INV2020/00000065"/>
    <s v="C00000001"/>
    <s v="Kelnico Marketing"/>
    <x v="15"/>
    <n v="1"/>
    <s v="Cash"/>
    <n v="0"/>
    <d v="2020-12-15T00:00:00"/>
    <n v="12"/>
    <n v="2020"/>
    <n v="1716"/>
    <n v="-1716"/>
    <n v="0"/>
    <n v="184535.49999999997"/>
    <s v="Trsf"/>
    <s v="Trsf 18/12/2020"/>
    <m/>
  </r>
  <r>
    <d v="2020-12-15T00:00:00"/>
    <x v="0"/>
    <x v="1"/>
    <s v="INV2020/00000065"/>
    <s v="C00000001"/>
    <s v="Kelnico Marketing"/>
    <x v="2"/>
    <n v="2"/>
    <s v="Cash"/>
    <n v="0"/>
    <d v="2020-12-15T00:00:00"/>
    <n v="12"/>
    <n v="2020"/>
    <n v="512"/>
    <n v="-512"/>
    <n v="0"/>
    <n v="185047.49999999997"/>
    <s v="Trsf"/>
    <s v="Trsf 18/12/2020"/>
    <m/>
  </r>
  <r>
    <d v="2020-12-26T00:00:00"/>
    <x v="0"/>
    <x v="1"/>
    <s v="INV2020/00000066"/>
    <s v="C00000004"/>
    <s v="Siew Min Lorry Sdn Bhd"/>
    <x v="13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x v="0"/>
    <x v="1"/>
    <s v="INV2020/00000067"/>
    <s v="C00000003"/>
    <s v="Pandian Art Gallery Manufacturing"/>
    <x v="15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10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4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x v="0"/>
    <x v="1"/>
    <s v="INV2020/00000068"/>
    <s v="C00000010"/>
    <s v="Yew Seng Gardening Supply Sdn Bhd"/>
    <x v="27"/>
    <n v="5"/>
    <n v="120"/>
    <n v="120"/>
    <d v="2021-04-30T00:00:00"/>
    <n v="4"/>
    <n v="2021"/>
    <n v="7700"/>
    <n v="-7700"/>
    <n v="0"/>
    <n v="201715.49999999997"/>
    <s v="Trsf"/>
    <s v="Trsf 20/04/21"/>
    <m/>
  </r>
  <r>
    <d v="2020-12-31T00:00:00"/>
    <x v="0"/>
    <x v="1"/>
    <s v="INV2020/00000068"/>
    <s v="C00000010"/>
    <s v="Yew Seng Gardening Supply Sdn Bhd"/>
    <x v="28"/>
    <n v="8"/>
    <n v="120"/>
    <n v="120"/>
    <d v="2021-04-30T00:00:00"/>
    <n v="4"/>
    <n v="2021"/>
    <n v="1680"/>
    <n v="-1680"/>
    <n v="0"/>
    <n v="203395.49999999997"/>
    <s v="Trsf"/>
    <s v="Trsf 20/04/21"/>
    <m/>
  </r>
  <r>
    <d v="2020-12-31T00:00:00"/>
    <x v="0"/>
    <x v="1"/>
    <s v="INV2020/00000068"/>
    <s v="C00000010"/>
    <s v="Yew Seng Gardening Supply Sdn Bhd"/>
    <x v="12"/>
    <n v="10"/>
    <n v="120"/>
    <n v="120"/>
    <d v="2021-04-30T00:00:00"/>
    <n v="4"/>
    <n v="2021"/>
    <n v="550"/>
    <n v="-550"/>
    <n v="0"/>
    <n v="203945.49999999997"/>
    <s v="Trsf"/>
    <s v="Trsf 20/04/21"/>
    <m/>
  </r>
  <r>
    <d v="2020-12-31T00:00:00"/>
    <x v="0"/>
    <x v="1"/>
    <s v="INV2020/00000068"/>
    <s v="C00000010"/>
    <s v="Yew Seng Gardening Supply Sdn Bhd"/>
    <x v="4"/>
    <n v="2"/>
    <n v="120"/>
    <n v="120"/>
    <d v="2021-04-30T00:00:00"/>
    <n v="4"/>
    <n v="2021"/>
    <n v="190"/>
    <n v="-190"/>
    <n v="0"/>
    <n v="204135.49999999997"/>
    <s v="Trsf"/>
    <s v="Trsf 20/04/21"/>
    <m/>
  </r>
  <r>
    <d v="2021-01-04T00:00:00"/>
    <x v="7"/>
    <x v="2"/>
    <s v="INV2020/00000069"/>
    <s v="C00000013a"/>
    <s v="Cash - PMC Sdn Bhd"/>
    <x v="29"/>
    <n v="2"/>
    <s v="Cash"/>
    <n v="0"/>
    <d v="2021-01-04T00:00:00"/>
    <n v="1"/>
    <n v="2021"/>
    <n v="1540"/>
    <n v="-1540"/>
    <n v="0"/>
    <n v="205675.49999999997"/>
    <s v="Chq"/>
    <s v="Bank in 2-5/1/2021"/>
    <m/>
  </r>
  <r>
    <d v="2021-01-04T00:00:00"/>
    <x v="7"/>
    <x v="2"/>
    <s v="INV2020/00000069"/>
    <s v="C00000013a"/>
    <s v="Cash - PMC Sdn Bhd"/>
    <x v="30"/>
    <n v="2"/>
    <s v="Cash"/>
    <n v="0"/>
    <d v="2021-01-04T00:00:00"/>
    <n v="1"/>
    <n v="2021"/>
    <n v="810"/>
    <n v="-810"/>
    <n v="0"/>
    <n v="206485.49999999997"/>
    <s v="Chq"/>
    <s v="Bank in 2-5/1/2021"/>
    <m/>
  </r>
  <r>
    <d v="2021-01-04T00:00:00"/>
    <x v="7"/>
    <x v="2"/>
    <s v="INV2020/00000069"/>
    <s v="C00000013a"/>
    <s v="Cash - PMC Sdn Bhd"/>
    <x v="16"/>
    <n v="1"/>
    <s v="Cash"/>
    <n v="0"/>
    <d v="2021-01-04T00:00:00"/>
    <n v="1"/>
    <n v="2021"/>
    <n v="405"/>
    <n v="-405"/>
    <n v="0"/>
    <n v="206890.49999999997"/>
    <s v="Chq"/>
    <s v="Bank in 2-5/1/2021"/>
    <m/>
  </r>
  <r>
    <d v="2021-01-04T00:00:00"/>
    <x v="7"/>
    <x v="2"/>
    <s v="INV2020/00000069"/>
    <s v="C00000013a"/>
    <s v="Cash - PMC Sdn Bhd"/>
    <x v="31"/>
    <n v="2"/>
    <s v="Cash"/>
    <n v="0"/>
    <d v="2021-01-04T00:00:00"/>
    <n v="1"/>
    <n v="2021"/>
    <n v="5920"/>
    <n v="-5920"/>
    <n v="0"/>
    <n v="212810.49999999997"/>
    <s v="Chq"/>
    <s v="Bank in 2-5/1/2021"/>
    <m/>
  </r>
  <r>
    <d v="2021-01-04T00:00:00"/>
    <x v="7"/>
    <x v="2"/>
    <s v="INV2020/00000069"/>
    <s v="C00000013a"/>
    <s v="Cash - PMC Sdn Bhd"/>
    <x v="32"/>
    <n v="3"/>
    <s v="Cash"/>
    <n v="0"/>
    <d v="2021-01-04T00:00:00"/>
    <n v="1"/>
    <n v="2021"/>
    <n v="135"/>
    <n v="-135"/>
    <n v="0"/>
    <n v="212945.49999999997"/>
    <s v="Chq"/>
    <s v="Bank in 2-5/1/2021"/>
    <m/>
  </r>
  <r>
    <d v="2021-01-04T00:00:00"/>
    <x v="7"/>
    <x v="2"/>
    <s v="INV2020/00000069"/>
    <s v="C00000013a"/>
    <s v="Cash - PMC Sdn Bhd"/>
    <x v="33"/>
    <n v="1"/>
    <s v="Cash"/>
    <n v="0"/>
    <d v="2021-01-04T00:00:00"/>
    <n v="1"/>
    <n v="2021"/>
    <n v="130"/>
    <n v="-130"/>
    <n v="0"/>
    <n v="213075.49999999997"/>
    <s v="Chq"/>
    <s v="Bank in 2-5/1/2021"/>
    <m/>
  </r>
  <r>
    <d v="2021-01-04T00:00:00"/>
    <x v="7"/>
    <x v="2"/>
    <s v="INV2020/00000069"/>
    <s v="C00000013a"/>
    <s v="Cash - PMC Sdn Bhd"/>
    <x v="34"/>
    <n v="1"/>
    <s v="Cash"/>
    <n v="0"/>
    <d v="2021-01-04T00:00:00"/>
    <n v="1"/>
    <n v="2021"/>
    <n v="380"/>
    <n v="-380"/>
    <n v="0"/>
    <n v="213455.49999999997"/>
    <s v="Chq"/>
    <s v="Bank in 2-5/1/2021"/>
    <m/>
  </r>
  <r>
    <d v="2021-01-04T00:00:00"/>
    <x v="7"/>
    <x v="2"/>
    <s v="INV2020/00000069"/>
    <s v="C00000013a"/>
    <s v="Cash - PMC Sdn Bhd"/>
    <x v="35"/>
    <n v="1"/>
    <s v="Cash"/>
    <n v="0"/>
    <d v="2021-01-04T00:00:00"/>
    <n v="1"/>
    <n v="2021"/>
    <n v="180"/>
    <n v="-180"/>
    <n v="0"/>
    <n v="213635.49999999997"/>
    <s v="Chq"/>
    <s v="Bank in 2-5/1/2021"/>
    <m/>
  </r>
  <r>
    <d v="2021-01-04T00:00:00"/>
    <x v="7"/>
    <x v="2"/>
    <s v="INV2020/00000069"/>
    <s v="C00000013a"/>
    <s v="Cash - PMC Sdn Bhd"/>
    <x v="36"/>
    <n v="3"/>
    <s v="Cash"/>
    <n v="0"/>
    <d v="2021-01-04T00:00:00"/>
    <n v="1"/>
    <n v="2021"/>
    <n v="144"/>
    <n v="-144"/>
    <n v="0"/>
    <n v="213779.49999999997"/>
    <s v="Chq"/>
    <s v="Bank in 2-5/1/2021"/>
    <m/>
  </r>
  <r>
    <d v="2021-01-04T00:00:00"/>
    <x v="7"/>
    <x v="2"/>
    <s v="INV2020/00000069"/>
    <s v="C00000013a"/>
    <s v="Cash - PMC Sdn Bhd"/>
    <x v="37"/>
    <n v="1"/>
    <s v="Cash"/>
    <n v="0"/>
    <d v="2021-01-04T00:00:00"/>
    <n v="1"/>
    <n v="2021"/>
    <n v="360"/>
    <n v="-360"/>
    <n v="0"/>
    <n v="214139.49999999997"/>
    <s v="Chq"/>
    <s v="Bank in 2-5/1/2021"/>
    <m/>
  </r>
  <r>
    <d v="2021-01-04T00:00:00"/>
    <x v="7"/>
    <x v="2"/>
    <s v="INV2020/00000069"/>
    <s v="C00000013a"/>
    <s v="Cash - PMC Sdn Bhd"/>
    <x v="4"/>
    <n v="1"/>
    <s v="Cash"/>
    <n v="0"/>
    <d v="2021-01-04T00:00:00"/>
    <n v="1"/>
    <n v="2021"/>
    <n v="95"/>
    <n v="-95"/>
    <n v="0"/>
    <n v="214234.49999999997"/>
    <s v="Chq"/>
    <s v="Bank in 2-5/1/2021"/>
    <m/>
  </r>
  <r>
    <d v="2021-01-04T00:00:00"/>
    <x v="7"/>
    <x v="2"/>
    <s v="INV2020/00000069"/>
    <s v="C00000013a"/>
    <s v="Cash - PMC Sdn Bhd"/>
    <x v="38"/>
    <n v="1"/>
    <s v="Cash"/>
    <n v="0"/>
    <d v="2021-01-04T00:00:00"/>
    <n v="1"/>
    <n v="2021"/>
    <n v="300"/>
    <n v="-300"/>
    <n v="0"/>
    <n v="214534.49999999997"/>
    <s v="Chq"/>
    <s v="Bank in 2-5/1/2021"/>
    <m/>
  </r>
  <r>
    <d v="2021-01-11T00:00:00"/>
    <x v="7"/>
    <x v="2"/>
    <s v="INV2020/00000070"/>
    <s v="C00000010"/>
    <s v="Yew Seng Gardening Supply Sdn Bhd"/>
    <x v="39"/>
    <n v="1"/>
    <n v="120"/>
    <n v="120"/>
    <d v="2021-05-11T00:00:00"/>
    <n v="5"/>
    <n v="2021"/>
    <n v="0"/>
    <n v="0"/>
    <n v="0"/>
    <n v="214534.49999999997"/>
    <s v="Trsf"/>
    <s v="FOC"/>
    <m/>
  </r>
  <r>
    <d v="2021-01-08T00:00:00"/>
    <x v="7"/>
    <x v="2"/>
    <s v="INV2020/00000071"/>
    <s v="C00000013a"/>
    <s v="Cash - PMC Sdn Bhd"/>
    <x v="40"/>
    <n v="3"/>
    <s v="Cash"/>
    <n v="0"/>
    <d v="2021-01-08T00:00:00"/>
    <n v="1"/>
    <n v="2021"/>
    <n v="49"/>
    <n v="-49"/>
    <n v="0"/>
    <n v="214583.49999999997"/>
    <s v="Chq"/>
    <s v="Bank in 18-19/1/2021"/>
    <m/>
  </r>
  <r>
    <d v="2021-01-09T00:00:00"/>
    <x v="7"/>
    <x v="2"/>
    <s v="INV2020/00000072"/>
    <s v="C00000003"/>
    <s v="Pandian Art Gallery Manufacturing"/>
    <x v="12"/>
    <n v="5"/>
    <n v="45"/>
    <n v="45"/>
    <d v="2021-02-23T00:00:00"/>
    <n v="2"/>
    <n v="2021"/>
    <n v="250"/>
    <n v="-250"/>
    <n v="0"/>
    <n v="214833.49999999997"/>
    <s v="PD Chq"/>
    <s v="Cash 9/1/2021"/>
    <m/>
  </r>
  <r>
    <d v="2021-01-09T00:00:00"/>
    <x v="7"/>
    <x v="2"/>
    <s v="INV2020/00000072"/>
    <s v="C00000003"/>
    <s v="Pandian Art Gallery Manufacturing"/>
    <x v="25"/>
    <n v="2"/>
    <n v="45"/>
    <n v="45"/>
    <d v="2021-02-23T00:00:00"/>
    <n v="2"/>
    <n v="2021"/>
    <n v="90"/>
    <n v="-90"/>
    <n v="0"/>
    <n v="214923.49999999997"/>
    <s v="PD Chq"/>
    <s v="Cash 9/1/2021"/>
    <m/>
  </r>
  <r>
    <d v="2021-01-18T00:00:00"/>
    <x v="7"/>
    <x v="2"/>
    <s v="INV2020/00000073"/>
    <s v="C00000013a"/>
    <s v="Cash - PMC Sdn Bhd"/>
    <x v="5"/>
    <n v="2"/>
    <s v="Cash"/>
    <n v="0"/>
    <d v="2021-01-18T00:00:00"/>
    <n v="1"/>
    <n v="2021"/>
    <n v="472"/>
    <n v="-472"/>
    <n v="0"/>
    <n v="215395.49999999997"/>
    <s v="Chq"/>
    <s v="Bank in 18-19/1/2021"/>
    <m/>
  </r>
  <r>
    <d v="2021-01-18T00:00:00"/>
    <x v="7"/>
    <x v="2"/>
    <s v="INV2020/00000073"/>
    <s v="C00000013a"/>
    <s v="Cash - PMC Sdn Bhd"/>
    <x v="30"/>
    <n v="1"/>
    <s v="Cash"/>
    <n v="0"/>
    <d v="2021-01-18T00:00:00"/>
    <n v="1"/>
    <n v="2021"/>
    <n v="405"/>
    <n v="-405"/>
    <n v="0"/>
    <n v="215800.49999999997"/>
    <s v="Chq"/>
    <s v="Bank in 18-19/1/2021"/>
    <m/>
  </r>
  <r>
    <d v="2021-01-18T00:00:00"/>
    <x v="7"/>
    <x v="2"/>
    <s v="INV2020/00000073"/>
    <s v="C00000013a"/>
    <s v="Cash - PMC Sdn Bhd"/>
    <x v="16"/>
    <n v="1"/>
    <s v="Cash"/>
    <n v="0"/>
    <d v="2021-01-18T00:00:00"/>
    <n v="1"/>
    <n v="2021"/>
    <n v="405"/>
    <n v="-405"/>
    <n v="0"/>
    <n v="216205.49999999997"/>
    <s v="Chq"/>
    <s v="Bank in 18-19/1/2021"/>
    <m/>
  </r>
  <r>
    <d v="2021-01-18T00:00:00"/>
    <x v="7"/>
    <x v="2"/>
    <s v="INV2020/00000073"/>
    <s v="C00000013a"/>
    <s v="Cash - PMC Sdn Bhd"/>
    <x v="33"/>
    <n v="1"/>
    <s v="Cash"/>
    <n v="0"/>
    <d v="2021-01-18T00:00:00"/>
    <n v="1"/>
    <n v="2021"/>
    <n v="130"/>
    <n v="-130"/>
    <n v="0"/>
    <n v="216335.49999999997"/>
    <s v="Chq"/>
    <s v="Bank in 18-19/1/2021"/>
    <m/>
  </r>
  <r>
    <d v="2021-01-18T00:00:00"/>
    <x v="7"/>
    <x v="2"/>
    <s v="INV2020/00000073"/>
    <s v="C00000013a"/>
    <s v="Cash - PMC Sdn Bhd"/>
    <x v="25"/>
    <n v="2"/>
    <s v="Cash"/>
    <n v="0"/>
    <d v="2021-01-18T00:00:00"/>
    <n v="1"/>
    <n v="2021"/>
    <n v="90"/>
    <n v="-90"/>
    <n v="0"/>
    <n v="216425.49999999997"/>
    <s v="Chq"/>
    <s v="Bank in 18-19/1/2021"/>
    <m/>
  </r>
  <r>
    <d v="2021-01-18T00:00:00"/>
    <x v="7"/>
    <x v="2"/>
    <s v="INV2020/00000073"/>
    <s v="C00000013a"/>
    <s v="Cash - PMC Sdn Bhd"/>
    <x v="4"/>
    <n v="2"/>
    <s v="Cash"/>
    <n v="0"/>
    <d v="2021-01-18T00:00:00"/>
    <n v="1"/>
    <n v="2021"/>
    <n v="190"/>
    <n v="-190"/>
    <n v="0"/>
    <n v="216615.49999999997"/>
    <s v="Chq"/>
    <s v="Bank in 18-19/1/2021"/>
    <m/>
  </r>
  <r>
    <d v="2021-01-18T00:00:00"/>
    <x v="7"/>
    <x v="2"/>
    <s v="INV2020/00000073"/>
    <s v="C00000013a"/>
    <s v="Cash - PMC Sdn Bhd"/>
    <x v="27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d v="2021-01-27T00:00:00"/>
    <x v="7"/>
    <x v="2"/>
    <s v="INV2020/00000074"/>
    <s v="C00000003"/>
    <s v="Pandian Art Gallery Manufacturing"/>
    <x v="15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12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4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x v="7"/>
    <x v="2"/>
    <s v="INV2020/00000075"/>
    <s v="C00000001"/>
    <s v="Kelnico Marketing"/>
    <x v="7"/>
    <n v="1"/>
    <s v="Cash"/>
    <n v="0"/>
    <d v="2021-01-29T00:00:00"/>
    <n v="1"/>
    <n v="2021"/>
    <n v="1694"/>
    <n v="-1694"/>
    <n v="0"/>
    <n v="225912.49999999997"/>
    <s v="Trsf"/>
    <s v="Trsf 1/2/2021"/>
    <m/>
  </r>
  <r>
    <d v="2021-01-29T00:00:00"/>
    <x v="7"/>
    <x v="2"/>
    <s v="INV2020/00000075"/>
    <s v="C00000001"/>
    <s v="Kelnico Marketing"/>
    <x v="26"/>
    <n v="4"/>
    <s v="Cash"/>
    <n v="0"/>
    <d v="2021-01-29T00:00:00"/>
    <n v="1"/>
    <n v="2021"/>
    <n v="900"/>
    <n v="-900"/>
    <n v="0"/>
    <n v="226812.49999999997"/>
    <s v="Trsf"/>
    <s v="Trsf 1/2/2021"/>
    <m/>
  </r>
  <r>
    <d v="2021-01-29T00:00:00"/>
    <x v="7"/>
    <x v="2"/>
    <s v="INV2020/00000075"/>
    <s v="C00000001"/>
    <s v="Kelnico Marketing"/>
    <x v="8"/>
    <n v="1"/>
    <s v="Cash"/>
    <n v="0"/>
    <d v="2021-01-29T00:00:00"/>
    <n v="1"/>
    <n v="2021"/>
    <n v="272"/>
    <n v="-272"/>
    <n v="0"/>
    <n v="227084.49999999997"/>
    <s v="Trsf"/>
    <s v="Trsf 1/2/2021"/>
    <m/>
  </r>
  <r>
    <d v="2021-01-29T00:00:00"/>
    <x v="7"/>
    <x v="2"/>
    <s v="INV2020/00000076"/>
    <s v="C00000010"/>
    <s v="Yew Seng Gardening Supply Sdn Bhd"/>
    <x v="27"/>
    <n v="5"/>
    <n v="120"/>
    <n v="120"/>
    <d v="2021-05-29T00:00:00"/>
    <n v="5"/>
    <n v="2021"/>
    <n v="7700"/>
    <n v="-7700"/>
    <n v="0"/>
    <n v="234784.49999999997"/>
    <s v="Trsf"/>
    <s v="Trsf 21/5/2021"/>
    <m/>
  </r>
  <r>
    <d v="2021-01-29T00:00:00"/>
    <x v="7"/>
    <x v="2"/>
    <s v="INV2020/00000076"/>
    <s v="C00000010"/>
    <s v="Yew Seng Gardening Supply Sdn Bhd"/>
    <x v="28"/>
    <n v="8"/>
    <n v="120"/>
    <n v="120"/>
    <d v="2021-05-29T00:00:00"/>
    <n v="5"/>
    <n v="2021"/>
    <n v="1680"/>
    <n v="-1680"/>
    <n v="0"/>
    <n v="236464.49999999997"/>
    <s v="Trsf"/>
    <s v="Trsf 21/5/2021"/>
    <m/>
  </r>
  <r>
    <d v="2021-01-29T00:00:00"/>
    <x v="7"/>
    <x v="2"/>
    <s v="INV2020/00000076"/>
    <s v="C00000010"/>
    <s v="Yew Seng Gardening Supply Sdn Bhd"/>
    <x v="12"/>
    <n v="10"/>
    <n v="120"/>
    <n v="120"/>
    <d v="2021-05-29T00:00:00"/>
    <n v="5"/>
    <n v="2021"/>
    <n v="550"/>
    <n v="-550"/>
    <n v="0"/>
    <n v="237014.49999999997"/>
    <s v="Trsf"/>
    <s v="Trsf 21/5/2021"/>
    <m/>
  </r>
  <r>
    <d v="2021-01-29T00:00:00"/>
    <x v="7"/>
    <x v="2"/>
    <s v="INV2020/00000076"/>
    <s v="C00000010"/>
    <s v="Yew Seng Gardening Supply Sdn Bhd"/>
    <x v="4"/>
    <n v="4"/>
    <n v="120"/>
    <n v="120"/>
    <d v="2021-05-29T00:00:00"/>
    <n v="5"/>
    <n v="2021"/>
    <n v="380"/>
    <n v="-380"/>
    <n v="0"/>
    <n v="237394.49999999997"/>
    <s v="Trsf"/>
    <s v="Trsf 21/5/2021"/>
    <m/>
  </r>
  <r>
    <d v="2021-02-03T00:00:00"/>
    <x v="8"/>
    <x v="2"/>
    <s v="INV2020/00000077"/>
    <s v="C00000014"/>
    <s v="IK Fibre Glass Enterprise"/>
    <x v="15"/>
    <n v="2"/>
    <s v="Cash"/>
    <n v="0"/>
    <d v="2021-02-03T00:00:00"/>
    <n v="2"/>
    <n v="2021"/>
    <n v="3344"/>
    <n v="-3344"/>
    <n v="0"/>
    <n v="240738.49999999997"/>
    <s v="Cash"/>
    <s v="Cash 3/2/2021"/>
    <m/>
  </r>
  <r>
    <d v="2021-02-03T00:00:00"/>
    <x v="8"/>
    <x v="2"/>
    <s v="INV2020/00000077"/>
    <s v="C00000014"/>
    <s v="IK Fibre Glass Enterprise"/>
    <x v="26"/>
    <n v="5"/>
    <s v="Cash"/>
    <n v="0"/>
    <d v="2021-02-03T00:00:00"/>
    <n v="2"/>
    <n v="2021"/>
    <n v="1125"/>
    <n v="-1125"/>
    <n v="0"/>
    <n v="241863.49999999997"/>
    <s v="Cash"/>
    <s v="Cash 3/2/2021"/>
    <m/>
  </r>
  <r>
    <d v="2021-02-03T00:00:00"/>
    <x v="8"/>
    <x v="2"/>
    <s v="INV2020/00000077"/>
    <s v="C00000014"/>
    <s v="IK Fibre Glass Enterprise"/>
    <x v="41"/>
    <n v="1"/>
    <s v="Cash"/>
    <n v="0"/>
    <d v="2021-02-03T00:00:00"/>
    <n v="2"/>
    <n v="2021"/>
    <n v="280"/>
    <n v="-280"/>
    <n v="0"/>
    <n v="242143.49999999997"/>
    <s v="Cash"/>
    <s v="Cash 3/2/2021"/>
    <m/>
  </r>
  <r>
    <d v="2021-02-03T00:00:00"/>
    <x v="8"/>
    <x v="2"/>
    <s v="INV2020/00000077"/>
    <s v="C00000014"/>
    <s v="IK Fibre Glass Enterprise"/>
    <x v="4"/>
    <n v="2"/>
    <s v="Cash"/>
    <n v="0"/>
    <d v="2021-02-03T00:00:00"/>
    <n v="2"/>
    <n v="2021"/>
    <n v="195"/>
    <n v="-195"/>
    <n v="0"/>
    <n v="242338.49999999997"/>
    <s v="Cash"/>
    <s v="Cash 3/2/2021"/>
    <m/>
  </r>
  <r>
    <d v="2021-02-03T00:00:00"/>
    <x v="8"/>
    <x v="2"/>
    <s v="INV2020/00000077"/>
    <s v="C00000014"/>
    <s v="IK Fibre Glass Enterprise"/>
    <x v="25"/>
    <n v="4"/>
    <s v="Cash"/>
    <n v="0"/>
    <d v="2021-02-03T00:00:00"/>
    <n v="2"/>
    <n v="2021"/>
    <n v="180"/>
    <n v="-180"/>
    <n v="0"/>
    <n v="242518.49999999997"/>
    <s v="Cash"/>
    <s v="Cash 3/2/2021"/>
    <m/>
  </r>
  <r>
    <d v="2021-02-03T00:00:00"/>
    <x v="8"/>
    <x v="2"/>
    <s v="INV2020/00000077"/>
    <s v="C00000014"/>
    <s v="IK Fibre Glass Enterprise"/>
    <x v="5"/>
    <n v="1"/>
    <s v="Cash"/>
    <n v="0"/>
    <d v="2021-02-03T00:00:00"/>
    <n v="2"/>
    <n v="2021"/>
    <n v="232"/>
    <n v="-232"/>
    <n v="0"/>
    <n v="242750.49999999997"/>
    <s v="Cash"/>
    <s v="Cash 3/2/2021"/>
    <m/>
  </r>
  <r>
    <d v="2021-02-02T00:00:00"/>
    <x v="8"/>
    <x v="2"/>
    <s v="INV2020/00000078"/>
    <s v="C00000005"/>
    <s v="Artscene Creative"/>
    <x v="15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x v="8"/>
    <x v="2"/>
    <s v="INV2020/00000078"/>
    <s v="C00000005"/>
    <s v="Artscene Creative"/>
    <x v="4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x v="8"/>
    <x v="2"/>
    <s v="INV2020/00000079"/>
    <s v="C00000014"/>
    <s v="IK Fibre Glass Enterprise"/>
    <x v="42"/>
    <n v="1"/>
    <s v="Cash"/>
    <n v="0"/>
    <d v="2021-02-06T00:00:00"/>
    <n v="2"/>
    <n v="2021"/>
    <n v="130"/>
    <n v="-130"/>
    <n v="0"/>
    <n v="244630.49999999997"/>
    <s v="Cash"/>
    <s v="Cash 3/2/2021"/>
    <m/>
  </r>
  <r>
    <d v="2021-02-09T00:00:00"/>
    <x v="8"/>
    <x v="2"/>
    <s v="INV2020/00000080"/>
    <s v="C00000013a"/>
    <s v="Cash - PMC Sdn Bhd"/>
    <x v="34"/>
    <n v="1"/>
    <s v="Cash"/>
    <n v="0"/>
    <d v="2021-02-09T00:00:00"/>
    <n v="2"/>
    <n v="2021"/>
    <n v="380"/>
    <n v="-380"/>
    <n v="0"/>
    <n v="245010.49999999997"/>
    <s v="Chq"/>
    <s v="Trsf 8/2/2021"/>
    <m/>
  </r>
  <r>
    <d v="2021-02-09T00:00:00"/>
    <x v="8"/>
    <x v="2"/>
    <s v="INV2020/00000080"/>
    <s v="C00000013a"/>
    <s v="Cash - PMC Sdn Bhd"/>
    <x v="5"/>
    <n v="2"/>
    <s v="Cash"/>
    <n v="0"/>
    <d v="2021-02-09T00:00:00"/>
    <n v="2"/>
    <n v="2021"/>
    <n v="472"/>
    <n v="-472"/>
    <n v="0"/>
    <n v="245482.49999999997"/>
    <s v="Chq"/>
    <s v="Trsf 8/2/2021"/>
    <m/>
  </r>
  <r>
    <d v="2021-02-09T00:00:00"/>
    <x v="8"/>
    <x v="2"/>
    <s v="INV2020/00000080"/>
    <s v="C00000013a"/>
    <s v="Cash - PMC Sdn Bhd"/>
    <x v="15"/>
    <n v="1"/>
    <s v="Cash"/>
    <n v="0"/>
    <d v="2021-02-09T00:00:00"/>
    <n v="2"/>
    <n v="2021"/>
    <n v="1716"/>
    <n v="-1716"/>
    <n v="0"/>
    <n v="247198.49999999997"/>
    <s v="Chq"/>
    <s v="Trsf 8/2/2021"/>
    <m/>
  </r>
  <r>
    <d v="2021-02-09T00:00:00"/>
    <x v="8"/>
    <x v="2"/>
    <s v="INV2020/00000080"/>
    <s v="C00000013a"/>
    <s v="Cash - PMC Sdn Bhd"/>
    <x v="30"/>
    <n v="1"/>
    <s v="Cash"/>
    <n v="0"/>
    <d v="2021-02-09T00:00:00"/>
    <n v="2"/>
    <n v="2021"/>
    <n v="405"/>
    <n v="-405"/>
    <n v="0"/>
    <n v="247603.49999999997"/>
    <s v="Chq"/>
    <s v="Trsf 8/2/2021"/>
    <m/>
  </r>
  <r>
    <d v="2021-02-09T00:00:00"/>
    <x v="8"/>
    <x v="2"/>
    <s v="INV2020/00000080"/>
    <s v="C00000013a"/>
    <s v="Cash - PMC Sdn Bhd"/>
    <x v="4"/>
    <n v="1"/>
    <s v="Cash"/>
    <n v="0"/>
    <d v="2021-02-09T00:00:00"/>
    <n v="2"/>
    <n v="2021"/>
    <n v="95"/>
    <n v="-95"/>
    <n v="0"/>
    <n v="247698.49999999997"/>
    <s v="Chq"/>
    <s v="Trsf 9/2/2021"/>
    <m/>
  </r>
  <r>
    <d v="2021-02-09T00:00:00"/>
    <x v="8"/>
    <x v="2"/>
    <s v="INV2020/00000080"/>
    <s v="C00000013a"/>
    <s v="Cash - PMC Sdn Bhd"/>
    <x v="33"/>
    <n v="1"/>
    <s v="Cash"/>
    <n v="0"/>
    <d v="2021-02-09T00:00:00"/>
    <n v="2"/>
    <n v="2021"/>
    <n v="130"/>
    <n v="-130"/>
    <n v="0"/>
    <n v="247828.49999999997"/>
    <s v="Chq"/>
    <s v="Trsf 9/2/2021"/>
    <m/>
  </r>
  <r>
    <d v="2021-02-17T00:00:00"/>
    <x v="8"/>
    <x v="2"/>
    <s v="INV2020/00000081"/>
    <s v="C00000005"/>
    <s v="Artscene Creative"/>
    <x v="26"/>
    <n v="1"/>
    <s v="Cash"/>
    <n v="0"/>
    <d v="2021-02-17T00:00:00"/>
    <n v="2"/>
    <n v="2021"/>
    <n v="225"/>
    <n v="-225"/>
    <n v="0"/>
    <n v="248053.49999999997"/>
    <s v="Chq"/>
    <m/>
    <m/>
  </r>
  <r>
    <d v="2021-02-19T00:00:00"/>
    <x v="8"/>
    <x v="2"/>
    <s v="INV2020/00000082"/>
    <s v="C00000001"/>
    <s v="Kelnico Marketing"/>
    <x v="15"/>
    <n v="1"/>
    <s v="Cash"/>
    <n v="0"/>
    <d v="2021-02-19T00:00:00"/>
    <n v="2"/>
    <n v="2021"/>
    <n v="1694"/>
    <n v="-1694"/>
    <n v="0"/>
    <n v="249747.49999999997"/>
    <s v="Trsf"/>
    <s v="Trsf 26/2/2021"/>
    <m/>
  </r>
  <r>
    <d v="2021-02-24T00:00:00"/>
    <x v="8"/>
    <x v="2"/>
    <s v="INV2020/00000083"/>
    <s v="C00000004"/>
    <s v="Siew Min Lorry Sdn Bhd"/>
    <x v="7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d v="2021-02-24T00:00:00"/>
    <x v="8"/>
    <x v="2"/>
    <s v="INV2020/00000083"/>
    <s v="C00000004"/>
    <s v="Siew Min Lorry Sdn Bhd"/>
    <x v="30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d v="2021-02-24T00:00:00"/>
    <x v="8"/>
    <x v="2"/>
    <s v="INV2020/00000083"/>
    <s v="C00000004"/>
    <s v="Siew Min Lorry Sdn Bhd"/>
    <x v="4"/>
    <n v="1"/>
    <n v="120"/>
    <n v="120"/>
    <d v="2021-06-24T00:00:00"/>
    <n v="6"/>
    <n v="2021"/>
    <n v="360"/>
    <n v="-360"/>
    <n v="0"/>
    <n v="258546.69999999998"/>
    <s v="Chq"/>
    <s v="Chq Cleared 2/8/2021"/>
    <m/>
  </r>
  <r>
    <d v="2021-02-24T00:00:00"/>
    <x v="8"/>
    <x v="2"/>
    <s v="INV2020/00000083"/>
    <s v="C00000004"/>
    <s v="Siew Min Lorry Sdn Bhd"/>
    <x v="38"/>
    <n v="1"/>
    <n v="120"/>
    <n v="120"/>
    <d v="2021-06-24T00:00:00"/>
    <n v="6"/>
    <n v="2021"/>
    <n v="312"/>
    <n v="-312"/>
    <n v="0"/>
    <n v="258858.69999999998"/>
    <s v="Chq"/>
    <s v="Chq Cleared 2/8/2021"/>
    <m/>
  </r>
  <r>
    <d v="2021-02-23T00:00:00"/>
    <x v="8"/>
    <x v="2"/>
    <s v="INV2020/00000084"/>
    <s v="C00000008"/>
    <s v="Wonderland Design Productions Studio"/>
    <x v="5"/>
    <n v="4"/>
    <s v="Cash"/>
    <n v="0"/>
    <d v="2021-02-23T00:00:00"/>
    <n v="2"/>
    <n v="2021"/>
    <n v="920"/>
    <n v="-920"/>
    <n v="0"/>
    <n v="259778.69999999998"/>
    <s v="Trsf"/>
    <s v="Trsf 11/3/3021"/>
    <m/>
  </r>
  <r>
    <d v="2021-02-23T00:00:00"/>
    <x v="8"/>
    <x v="2"/>
    <s v="INV2020/00000084"/>
    <s v="C00000008"/>
    <s v="Wonderland Design Productions Studio"/>
    <x v="4"/>
    <n v="1"/>
    <s v="Cash"/>
    <n v="0"/>
    <d v="2021-02-23T00:00:00"/>
    <n v="2"/>
    <n v="2021"/>
    <n v="100"/>
    <n v="-100"/>
    <n v="0"/>
    <n v="259878.69999999998"/>
    <s v="Trsf"/>
    <s v="Trsf 11/3/3021"/>
    <m/>
  </r>
  <r>
    <d v="2021-02-23T00:00:00"/>
    <x v="8"/>
    <x v="2"/>
    <s v="INV2020/00000084"/>
    <s v="C00000008"/>
    <s v="Wonderland Design Productions Studio"/>
    <x v="20"/>
    <n v="3"/>
    <s v="Cash"/>
    <n v="0"/>
    <d v="2021-02-23T00:00:00"/>
    <n v="2"/>
    <n v="2021"/>
    <n v="180"/>
    <n v="-180"/>
    <n v="0"/>
    <n v="260058.69999999998"/>
    <s v="Trsf"/>
    <s v="Trsf 11/3/3021"/>
    <m/>
  </r>
  <r>
    <d v="2021-02-26T00:00:00"/>
    <x v="8"/>
    <x v="2"/>
    <s v="INV2020/00000085"/>
    <s v="C00000015"/>
    <s v="S&amp;J Business Solutions"/>
    <x v="7"/>
    <n v="1"/>
    <s v="Cash"/>
    <n v="0"/>
    <d v="2021-02-26T00:00:00"/>
    <n v="2"/>
    <n v="2021"/>
    <n v="1694"/>
    <n v="-1694"/>
    <n v="0"/>
    <n v="261752.69999999998"/>
    <s v="Trsf"/>
    <s v="Trsf 27/2/2021"/>
    <m/>
  </r>
  <r>
    <d v="2021-02-26T00:00:00"/>
    <x v="8"/>
    <x v="2"/>
    <s v="INV2020/00000085"/>
    <s v="C00000015"/>
    <s v="S&amp;J Business Solutions"/>
    <x v="26"/>
    <n v="1"/>
    <s v="Cash"/>
    <n v="0"/>
    <d v="2021-02-26T00:00:00"/>
    <n v="2"/>
    <n v="2021"/>
    <n v="228"/>
    <n v="-228"/>
    <n v="0"/>
    <n v="261980.69999999998"/>
    <s v="Trsf"/>
    <s v="Trsf 27/2/2021"/>
    <m/>
  </r>
  <r>
    <d v="2021-02-26T00:00:00"/>
    <x v="8"/>
    <x v="2"/>
    <s v="INV2020/00000085"/>
    <s v="C00000015"/>
    <s v="S&amp;J Business Solutions"/>
    <x v="4"/>
    <n v="1"/>
    <s v="Cash"/>
    <n v="0"/>
    <d v="2021-02-26T00:00:00"/>
    <n v="2"/>
    <n v="2021"/>
    <n v="100"/>
    <n v="-100"/>
    <n v="0"/>
    <n v="262080.69999999998"/>
    <s v="Trsf"/>
    <s v="Trsf 27/2/2021"/>
    <m/>
  </r>
  <r>
    <d v="2021-03-08T00:00:00"/>
    <x v="9"/>
    <x v="2"/>
    <s v="INV2020/00000086"/>
    <s v="C00000004"/>
    <s v="Siew Min Lorry Sdn Bhd"/>
    <x v="7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d v="2021-03-08T00:00:00"/>
    <x v="9"/>
    <x v="2"/>
    <s v="INV2020/00000086"/>
    <s v="C00000004"/>
    <s v="Siew Min Lorry Sdn Bhd"/>
    <x v="43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d v="2021-03-08T00:00:00"/>
    <x v="9"/>
    <x v="2"/>
    <s v="INV2020/00000086"/>
    <s v="C00000004"/>
    <s v="Siew Min Lorry Sdn Bhd"/>
    <x v="10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d v="2021-03-08T00:00:00"/>
    <x v="9"/>
    <x v="2"/>
    <s v="INV2020/00000086"/>
    <s v="C00000004"/>
    <s v="Siew Min Lorry Sdn Bhd"/>
    <x v="16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d v="2021-03-10T00:00:00"/>
    <x v="9"/>
    <x v="2"/>
    <s v="INV00000087"/>
    <s v="C00000016"/>
    <s v="Win Fiber Sdn Bhd"/>
    <x v="7"/>
    <n v="2"/>
    <s v="Cash"/>
    <n v="0"/>
    <d v="2021-03-10T00:00:00"/>
    <n v="3"/>
    <n v="2021"/>
    <n v="3058"/>
    <n v="-3058"/>
    <n v="0"/>
    <n v="279952.29999999993"/>
    <s v="Trsf"/>
    <s v="Trsf 10/3/2021"/>
    <m/>
  </r>
  <r>
    <d v="2021-03-10T00:00:00"/>
    <x v="9"/>
    <x v="2"/>
    <s v="INV00000087"/>
    <s v="C00000016"/>
    <s v="Win Fiber Sdn Bhd"/>
    <x v="15"/>
    <n v="2"/>
    <s v="Cash"/>
    <n v="0"/>
    <d v="2021-03-10T00:00:00"/>
    <n v="3"/>
    <n v="2021"/>
    <n v="3058"/>
    <n v="-3058"/>
    <n v="0"/>
    <n v="283010.29999999993"/>
    <s v="Trsf"/>
    <s v="Trsf 10/3/2021"/>
    <m/>
  </r>
  <r>
    <d v="2021-03-10T00:00:00"/>
    <x v="9"/>
    <x v="2"/>
    <s v="INV00000087"/>
    <s v="C00000016"/>
    <s v="Win Fiber Sdn Bhd"/>
    <x v="44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d v="2021-03-11T00:00:00"/>
    <x v="9"/>
    <x v="2"/>
    <s v="INV00000088"/>
    <s v="C00000009"/>
    <s v="JMC Steel Engineering Sdn Bhd"/>
    <x v="43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d v="2021-03-11T00:00:00"/>
    <x v="9"/>
    <x v="2"/>
    <s v="INV00000088"/>
    <s v="C00000009"/>
    <s v="JMC Steel Engineering Sdn Bhd"/>
    <x v="43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d v="2021-03-11T00:00:00"/>
    <x v="9"/>
    <x v="2"/>
    <s v="INV00000088"/>
    <s v="C00000009"/>
    <s v="JMC Steel Engineering Sdn Bhd"/>
    <x v="10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d v="2021-03-11T00:00:00"/>
    <x v="9"/>
    <x v="2"/>
    <s v="INV00000088"/>
    <s v="C00000009"/>
    <s v="JMC Steel Engineering Sdn Bhd"/>
    <x v="16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d v="2021-03-23T00:00:00"/>
    <x v="9"/>
    <x v="2"/>
    <s v="INV00000090"/>
    <s v="C00000004"/>
    <s v="Siew Min Lorry Sdn Bhd"/>
    <x v="7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d v="2021-03-23T00:00:00"/>
    <x v="9"/>
    <x v="2"/>
    <s v="INV00000090"/>
    <s v="C00000004"/>
    <s v="Siew Min Lorry Sdn Bhd"/>
    <x v="10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d v="2021-03-23T00:00:00"/>
    <x v="9"/>
    <x v="2"/>
    <s v="INV00000090"/>
    <s v="C00000004"/>
    <s v="Siew Min Lorry Sdn Bhd"/>
    <x v="16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d v="2021-03-23T00:00:00"/>
    <x v="9"/>
    <x v="2"/>
    <s v="INV00000090"/>
    <s v="C00000004"/>
    <s v="Siew Min Lorry Sdn Bhd"/>
    <x v="4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d v="2021-03-24T00:00:00"/>
    <x v="9"/>
    <x v="2"/>
    <s v="INV00000091"/>
    <s v="C00000009"/>
    <s v="JMC Steel Engineering Sdn Bhd"/>
    <x v="25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d v="2021-03-24T00:00:00"/>
    <x v="9"/>
    <x v="2"/>
    <s v="INV00000092"/>
    <s v="C00000010"/>
    <s v="Yew Seng Gardening Supply Sdn Bhd"/>
    <x v="45"/>
    <n v="5"/>
    <n v="120"/>
    <n v="120"/>
    <d v="2021-07-22T00:00:00"/>
    <n v="7"/>
    <n v="2021"/>
    <n v="8250"/>
    <n v="-8250"/>
    <n v="0"/>
    <n v="314304.34999999986"/>
    <s v="Trsf"/>
    <s v="Trsf 26/7/21"/>
    <m/>
  </r>
  <r>
    <d v="2021-03-24T00:00:00"/>
    <x v="9"/>
    <x v="2"/>
    <s v="INV00000092"/>
    <s v="C00000010"/>
    <s v="Yew Seng Gardening Supply Sdn Bhd"/>
    <x v="28"/>
    <n v="5"/>
    <n v="120"/>
    <n v="120"/>
    <d v="2021-07-22T00:00:00"/>
    <n v="7"/>
    <n v="2021"/>
    <n v="1170"/>
    <n v="-1170"/>
    <n v="0"/>
    <n v="315474.34999999986"/>
    <s v="Trsf"/>
    <s v="Trsf 26/7/21"/>
    <m/>
  </r>
  <r>
    <d v="2021-03-24T00:00:00"/>
    <x v="9"/>
    <x v="2"/>
    <s v="INV00000092"/>
    <s v="C00000010"/>
    <s v="Yew Seng Gardening Supply Sdn Bhd"/>
    <x v="12"/>
    <n v="5"/>
    <n v="120"/>
    <n v="120"/>
    <d v="2021-07-22T00:00:00"/>
    <n v="7"/>
    <n v="2021"/>
    <n v="275"/>
    <n v="-275"/>
    <n v="0"/>
    <n v="315749.34999999986"/>
    <s v="Trsf"/>
    <s v="Trsf 26/7/21"/>
    <m/>
  </r>
  <r>
    <d v="2021-03-24T00:00:00"/>
    <x v="9"/>
    <x v="2"/>
    <s v="INV00000092"/>
    <s v="C00000010"/>
    <s v="Yew Seng Gardening Supply Sdn Bhd"/>
    <x v="4"/>
    <n v="4"/>
    <n v="120"/>
    <n v="120"/>
    <d v="2021-07-22T00:00:00"/>
    <n v="7"/>
    <n v="2021"/>
    <n v="380"/>
    <n v="-380"/>
    <n v="0"/>
    <n v="316129.34999999986"/>
    <s v="Trsf"/>
    <s v="Trsf 26/7/21"/>
    <m/>
  </r>
  <r>
    <d v="2021-03-25T00:00:00"/>
    <x v="9"/>
    <x v="2"/>
    <s v="INV00000093"/>
    <s v="C00000014"/>
    <s v="IK Fibre Glass Enterprise"/>
    <x v="5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d v="2021-03-30T00:00:00"/>
    <x v="9"/>
    <x v="2"/>
    <s v="INV00000094"/>
    <s v="C00000004"/>
    <s v="Siew Min Lorry Sdn Bhd"/>
    <x v="46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d v="2021-04-01T00:00:00"/>
    <x v="10"/>
    <x v="2"/>
    <s v="INV00000095"/>
    <s v="C00000003"/>
    <s v="Pandian Art Gallery Manufacturing"/>
    <x v="15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x v="10"/>
    <x v="2"/>
    <s v="INV00000095"/>
    <s v="C00000003"/>
    <s v="Pandian Art Gallery Manufacturing"/>
    <x v="16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12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4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x v="10"/>
    <x v="2"/>
    <s v="INV00000096"/>
    <s v="C00000003"/>
    <s v="Pandian Art Gallery Manufacturing"/>
    <x v="25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d v="2021-04-08T00:00:00"/>
    <x v="10"/>
    <x v="2"/>
    <s v="INV00000097"/>
    <s v="C00000015"/>
    <s v="S&amp;J Business Solutions"/>
    <x v="7"/>
    <n v="1"/>
    <s v="Cash"/>
    <n v="0"/>
    <d v="2021-04-08T00:00:00"/>
    <n v="4"/>
    <n v="2021"/>
    <n v="1870"/>
    <n v="-1870"/>
    <n v="0"/>
    <n v="328460.34999999986"/>
    <s v="Trsf"/>
    <s v="Trsf 13/4/2021"/>
    <m/>
  </r>
  <r>
    <d v="2021-04-08T00:00:00"/>
    <x v="10"/>
    <x v="2"/>
    <s v="INV00000097"/>
    <s v="C00000015"/>
    <s v="S&amp;J Business Solutions"/>
    <x v="26"/>
    <n v="1"/>
    <s v="Cash"/>
    <n v="0"/>
    <d v="2021-04-08T00:00:00"/>
    <n v="4"/>
    <n v="2021"/>
    <n v="255"/>
    <n v="-255"/>
    <n v="0"/>
    <n v="328715.34999999986"/>
    <s v="Trsf"/>
    <s v="Trsf 13/4/2021"/>
    <m/>
  </r>
  <r>
    <d v="2021-04-08T00:00:00"/>
    <x v="10"/>
    <x v="2"/>
    <s v="INV00000097"/>
    <s v="C00000015"/>
    <s v="S&amp;J Business Solutions"/>
    <x v="4"/>
    <n v="1"/>
    <s v="Cash"/>
    <n v="0"/>
    <d v="2021-04-08T00:00:00"/>
    <n v="4"/>
    <n v="2021"/>
    <n v="100"/>
    <n v="-100"/>
    <n v="0"/>
    <n v="328815.34999999986"/>
    <s v="Trsf"/>
    <s v="Trsf 13/4/2021"/>
    <m/>
  </r>
  <r>
    <d v="2021-04-08T00:00:00"/>
    <x v="10"/>
    <x v="2"/>
    <s v="INV00000098"/>
    <s v="C00000010"/>
    <s v="Yew Seng Gardening Supply Sdn Bhd"/>
    <x v="45"/>
    <n v="5"/>
    <n v="120"/>
    <n v="120"/>
    <d v="2021-08-06T00:00:00"/>
    <n v="8"/>
    <n v="2021"/>
    <n v="8690"/>
    <n v="-8690"/>
    <n v="0"/>
    <n v="337505.34999999986"/>
    <s v="Trsf"/>
    <s v="Trsf 17/8/2021"/>
    <m/>
  </r>
  <r>
    <d v="2021-04-08T00:00:00"/>
    <x v="10"/>
    <x v="2"/>
    <s v="INV00000098"/>
    <s v="C00000010"/>
    <s v="Yew Seng Gardening Supply Sdn Bhd"/>
    <x v="1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x v="10"/>
    <x v="2"/>
    <s v="INV00000098"/>
    <s v="C00000010"/>
    <s v="Yew Seng Gardening Supply Sdn Bhd"/>
    <x v="12"/>
    <n v="10"/>
    <n v="120"/>
    <n v="120"/>
    <d v="2021-08-06T00:00:00"/>
    <n v="8"/>
    <n v="2021"/>
    <n v="550"/>
    <n v="-550"/>
    <n v="0"/>
    <n v="339786.94999999984"/>
    <s v="Trsf"/>
    <s v="Trsf 17/8/2021"/>
    <m/>
  </r>
  <r>
    <d v="2021-04-08T00:00:00"/>
    <x v="10"/>
    <x v="2"/>
    <s v="INV00000098"/>
    <s v="C00000010"/>
    <s v="Yew Seng Gardening Supply Sdn Bhd"/>
    <x v="4"/>
    <n v="2"/>
    <n v="120"/>
    <n v="120"/>
    <d v="2021-08-06T00:00:00"/>
    <n v="8"/>
    <n v="2021"/>
    <n v="190"/>
    <n v="-190"/>
    <n v="0"/>
    <n v="339976.94999999984"/>
    <s v="Trsf"/>
    <s v="Trsf 17/8/2021"/>
    <m/>
  </r>
  <r>
    <d v="2021-04-08T00:00:00"/>
    <x v="10"/>
    <x v="2"/>
    <s v="INV00000098"/>
    <s v="C00000010"/>
    <s v="Yew Seng Gardening Supply Sdn Bhd"/>
    <x v="37"/>
    <n v="2"/>
    <n v="120"/>
    <n v="120"/>
    <d v="2021-08-06T00:00:00"/>
    <n v="8"/>
    <n v="2021"/>
    <n v="720"/>
    <n v="-720"/>
    <n v="0"/>
    <n v="340696.94999999984"/>
    <s v="Trsf"/>
    <s v="Trsf 17/8/2021"/>
    <m/>
  </r>
  <r>
    <d v="2021-04-08T00:00:00"/>
    <x v="10"/>
    <x v="2"/>
    <s v="INV00000098"/>
    <s v="C00000010"/>
    <s v="Yew Seng Gardening Supply Sdn Bhd"/>
    <x v="47"/>
    <n v="4"/>
    <n v="120"/>
    <n v="120"/>
    <d v="2021-08-06T00:00:00"/>
    <n v="8"/>
    <n v="2021"/>
    <n v="220"/>
    <n v="-220"/>
    <n v="0"/>
    <n v="340916.94999999984"/>
    <s v="Trsf"/>
    <s v="Trsf 17/8/2021"/>
    <m/>
  </r>
  <r>
    <d v="2021-04-09T00:00:00"/>
    <x v="10"/>
    <x v="2"/>
    <s v="INV00000099"/>
    <s v="C00000001"/>
    <s v="Kelnico Marketing"/>
    <x v="2"/>
    <n v="2"/>
    <s v="Cash"/>
    <n v="0"/>
    <d v="2021-04-09T00:00:00"/>
    <n v="4"/>
    <n v="2021"/>
    <n v="520"/>
    <n v="-520"/>
    <n v="0"/>
    <n v="341436.94999999984"/>
    <s v="Trsf"/>
    <s v="Trsf 9/4/21"/>
    <m/>
  </r>
  <r>
    <d v="2021-04-27T00:00:00"/>
    <x v="10"/>
    <x v="2"/>
    <s v="INV00000100"/>
    <s v="C00000009"/>
    <s v="JMC Steel Engineering Sdn Bhd"/>
    <x v="7"/>
    <n v="2"/>
    <n v="60"/>
    <n v="60"/>
    <d v="2021-06-26T00:00:00"/>
    <n v="6"/>
    <n v="2021"/>
    <n v="3476"/>
    <n v="-3476"/>
    <n v="0"/>
    <n v="344912.94999999984"/>
    <s v="Chq"/>
    <s v="HLB 012122, dd101121"/>
    <m/>
  </r>
  <r>
    <d v="2021-04-27T00:00:00"/>
    <x v="10"/>
    <x v="2"/>
    <s v="INV00000100"/>
    <s v="C00000009"/>
    <s v="JMC Steel Engineering Sdn Bhd"/>
    <x v="43"/>
    <n v="1"/>
    <n v="60"/>
    <n v="60"/>
    <d v="2021-06-26T00:00:00"/>
    <n v="6"/>
    <n v="2021"/>
    <n v="1738"/>
    <n v="-1738"/>
    <n v="0"/>
    <n v="346650.94999999984"/>
    <s v="Chq"/>
    <s v="HLB 012122, dd101121"/>
    <m/>
  </r>
  <r>
    <d v="2021-04-27T00:00:00"/>
    <x v="10"/>
    <x v="2"/>
    <s v="INV00000100"/>
    <s v="C00000009"/>
    <s v="JMC Steel Engineering Sdn Bhd"/>
    <x v="10"/>
    <n v="5"/>
    <n v="60"/>
    <n v="60"/>
    <d v="2021-06-26T00:00:00"/>
    <n v="6"/>
    <n v="2021"/>
    <n v="2268"/>
    <n v="-2268"/>
    <n v="0"/>
    <n v="348918.94999999984"/>
    <s v="Chq"/>
    <s v="HLB 012122, dd101121"/>
    <m/>
  </r>
  <r>
    <d v="2021-04-29T00:00:00"/>
    <x v="10"/>
    <x v="2"/>
    <s v="INV00000102"/>
    <s v="C00000010"/>
    <s v="Yew Seng Gardening Supply Sdn Bhd"/>
    <x v="45"/>
    <n v="5"/>
    <n v="120"/>
    <n v="120"/>
    <d v="2021-08-27T00:00:00"/>
    <n v="8"/>
    <n v="2021"/>
    <n v="8690"/>
    <n v="-8690"/>
    <n v="0"/>
    <n v="357608.94999999984"/>
    <s v="Trsf"/>
    <s v="Trsf 17/8/2021"/>
    <m/>
  </r>
  <r>
    <d v="2021-04-29T00:00:00"/>
    <x v="10"/>
    <x v="2"/>
    <s v="INV00000102"/>
    <s v="C00000010"/>
    <s v="Yew Seng Gardening Supply Sdn Bhd"/>
    <x v="28"/>
    <n v="5"/>
    <n v="120"/>
    <n v="120"/>
    <d v="2021-08-27T00:00:00"/>
    <n v="8"/>
    <n v="2021"/>
    <n v="1230"/>
    <n v="-1230"/>
    <n v="0"/>
    <n v="358838.94999999984"/>
    <s v="Trsf"/>
    <s v="Trsf 17/8/2021"/>
    <m/>
  </r>
  <r>
    <d v="2021-04-29T00:00:00"/>
    <x v="10"/>
    <x v="2"/>
    <s v="INV00000102"/>
    <s v="C00000010"/>
    <s v="Yew Seng Gardening Supply Sdn Bhd"/>
    <x v="12"/>
    <n v="10"/>
    <n v="120"/>
    <n v="120"/>
    <d v="2021-08-27T00:00:00"/>
    <n v="8"/>
    <n v="2021"/>
    <n v="550"/>
    <n v="-550"/>
    <n v="0"/>
    <n v="359388.94999999984"/>
    <s v="Trsf"/>
    <s v="Trsf 17/8/2021"/>
    <m/>
  </r>
  <r>
    <d v="2021-04-29T00:00:00"/>
    <x v="10"/>
    <x v="2"/>
    <s v="INV00000102"/>
    <s v="C00000010"/>
    <s v="Yew Seng Gardening Supply Sdn Bhd"/>
    <x v="4"/>
    <n v="4"/>
    <n v="120"/>
    <n v="120"/>
    <d v="2021-08-27T00:00:00"/>
    <n v="8"/>
    <n v="2021"/>
    <n v="380"/>
    <n v="-380"/>
    <n v="0"/>
    <n v="359768.94999999984"/>
    <s v="Trsf"/>
    <s v="Trsf 17/8/2021"/>
    <m/>
  </r>
  <r>
    <d v="2021-04-29T00:00:00"/>
    <x v="10"/>
    <x v="2"/>
    <s v="INV00000102"/>
    <s v="C00000010"/>
    <s v="Yew Seng Gardening Supply Sdn Bhd"/>
    <x v="37"/>
    <n v="1"/>
    <n v="120"/>
    <n v="120"/>
    <d v="2021-08-27T00:00:00"/>
    <n v="8"/>
    <n v="2021"/>
    <n v="360"/>
    <n v="-360"/>
    <n v="0"/>
    <n v="360128.94999999984"/>
    <s v="Trsf"/>
    <s v="Trsf 17/8/2021"/>
    <m/>
  </r>
  <r>
    <d v="2021-04-29T00:00:00"/>
    <x v="10"/>
    <x v="2"/>
    <s v="INV00000102"/>
    <s v="C00000010"/>
    <s v="Yew Seng Gardening Supply Sdn Bhd"/>
    <x v="48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x v="11"/>
    <x v="2"/>
    <s v="INV00000101"/>
    <s v="C00000004"/>
    <s v="Siew Min Lorry Sdn Bhd"/>
    <x v="7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d v="2021-05-03T00:00:00"/>
    <x v="11"/>
    <x v="2"/>
    <s v="INV00000101"/>
    <s v="C00000004"/>
    <s v="Siew Min Lorry Sdn Bhd"/>
    <x v="49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d v="2021-05-03T00:00:00"/>
    <x v="11"/>
    <x v="2"/>
    <s v="INV00000101"/>
    <s v="C00000004"/>
    <s v="Siew Min Lorry Sdn Bhd"/>
    <x v="50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d v="2021-05-03T00:00:00"/>
    <x v="11"/>
    <x v="2"/>
    <s v="INV00000101"/>
    <s v="C00000004"/>
    <s v="Siew Min Lorry Sdn Bhd"/>
    <x v="16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d v="2021-05-06T00:00:00"/>
    <x v="11"/>
    <x v="2"/>
    <s v="INV00000103"/>
    <s v="C00000005"/>
    <s v="Artscene Creative"/>
    <x v="15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x v="11"/>
    <x v="2"/>
    <s v="INV00000103"/>
    <s v="C00000005"/>
    <s v="Artscene Creative"/>
    <x v="51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x v="11"/>
    <x v="2"/>
    <s v="INV00000104"/>
    <s v="C00000001"/>
    <s v="Kelnico Marketing"/>
    <x v="15"/>
    <n v="1"/>
    <s v="Cash"/>
    <n v="0"/>
    <d v="2021-05-07T00:00:00"/>
    <n v="5"/>
    <n v="2021"/>
    <n v="1826"/>
    <n v="-1826"/>
    <n v="0"/>
    <n v="378240.74999999988"/>
    <s v="Trsf"/>
    <s v="Trsf 8/5/2021"/>
    <m/>
  </r>
  <r>
    <d v="2021-05-07T00:00:00"/>
    <x v="11"/>
    <x v="2"/>
    <s v="INV00000104"/>
    <s v="C00000001"/>
    <s v="Kelnico Marketing"/>
    <x v="26"/>
    <n v="4"/>
    <s v="Cash"/>
    <n v="0"/>
    <d v="2021-05-07T00:00:00"/>
    <n v="5"/>
    <n v="2021"/>
    <n v="1020"/>
    <n v="-1020"/>
    <n v="0"/>
    <n v="379260.74999999988"/>
    <s v="Trsf"/>
    <s v="Trsf 8/5/2021"/>
    <m/>
  </r>
  <r>
    <d v="2021-05-19T00:00:00"/>
    <x v="11"/>
    <x v="2"/>
    <s v="INV00000105"/>
    <s v="C00000005"/>
    <s v="Artscene Creative"/>
    <x v="15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x v="11"/>
    <x v="2"/>
    <s v="INV00000106"/>
    <s v="C00000003"/>
    <s v="Pandian Art Gallery Manufacturing"/>
    <x v="15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12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4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25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x v="11"/>
    <x v="2"/>
    <s v="INV00000089"/>
    <s v="C00000013a"/>
    <s v="Cash - PMC Sdn Bhd"/>
    <x v="10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d v="2021-05-25T00:00:00"/>
    <x v="11"/>
    <x v="2"/>
    <s v="INV00000089"/>
    <s v="C00000013a"/>
    <s v="Cash - PMC Sdn Bhd"/>
    <x v="16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d v="2021-05-25T00:00:00"/>
    <x v="11"/>
    <x v="2"/>
    <s v="INV00000089"/>
    <s v="C00000013a"/>
    <s v="Cash - PMC Sdn Bhd"/>
    <x v="4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d v="2021-05-25T00:00:00"/>
    <x v="11"/>
    <x v="2"/>
    <s v="INV00000089"/>
    <s v="C00000013a"/>
    <s v="Cash - PMC Sdn Bhd"/>
    <x v="52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d v="2021-05-25T00:00:00"/>
    <x v="11"/>
    <x v="2"/>
    <s v="INV00000089"/>
    <s v="C00000013a"/>
    <s v="Cash - PMC Sdn Bhd"/>
    <x v="5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d v="2021-05-25T00:00:00"/>
    <x v="11"/>
    <x v="2"/>
    <s v="INV00000089"/>
    <s v="C00000013a"/>
    <s v="Cash - PMC Sdn Bhd"/>
    <x v="25"/>
    <n v="2"/>
    <s v="Cash"/>
    <n v="0"/>
    <d v="2021-05-25T00:00:00"/>
    <n v="5"/>
    <n v="2021"/>
    <n v="90"/>
    <n v="-90"/>
    <n v="0"/>
    <n v="389270.74999999988"/>
    <s v="Chq"/>
    <s v="Trsf 21 &amp; 22/5/2021"/>
    <m/>
  </r>
  <r>
    <d v="2021-05-25T00:00:00"/>
    <x v="11"/>
    <x v="2"/>
    <s v="INV00000089"/>
    <s v="C00000013a"/>
    <s v="Cash - PMC Sdn Bhd"/>
    <x v="53"/>
    <n v="1"/>
    <s v="Cash"/>
    <n v="0"/>
    <d v="2021-05-25T00:00:00"/>
    <n v="5"/>
    <n v="2021"/>
    <n v="68"/>
    <n v="-68"/>
    <n v="0"/>
    <n v="389338.74999999988"/>
    <s v="Chq"/>
    <s v="Trsf 21 &amp; 22/5/2021"/>
    <m/>
  </r>
  <r>
    <d v="2021-05-25T00:00:00"/>
    <x v="11"/>
    <x v="2"/>
    <s v="INV00000089"/>
    <s v="C00000013a"/>
    <s v="Cash - PMC Sdn Bhd"/>
    <x v="54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d v="2021-05-25T00:00:00"/>
    <x v="11"/>
    <x v="2"/>
    <s v="INV00000089"/>
    <s v="C00000013a"/>
    <s v="Cash - PMC Sdn Bhd"/>
    <x v="55"/>
    <n v="1"/>
    <s v="Cash"/>
    <n v="0"/>
    <d v="2021-05-25T00:00:00"/>
    <n v="5"/>
    <n v="2021"/>
    <n v="42"/>
    <n v="-42"/>
    <n v="0"/>
    <n v="389510.74999999988"/>
    <s v="Chq"/>
    <s v="Trsf 21 &amp; 22/5/2021"/>
    <m/>
  </r>
  <r>
    <d v="2021-05-25T00:00:00"/>
    <x v="11"/>
    <x v="2"/>
    <s v="INV00000089"/>
    <s v="C00000013a"/>
    <s v="Cash - PMC Sdn Bhd"/>
    <x v="56"/>
    <n v="1"/>
    <s v="Cash"/>
    <n v="0"/>
    <d v="2021-05-25T00:00:00"/>
    <n v="5"/>
    <n v="2021"/>
    <n v="60"/>
    <n v="-60"/>
    <n v="0"/>
    <n v="389570.74999999988"/>
    <s v="Chq"/>
    <s v="Trsf 21 &amp; 22/5/2021"/>
    <m/>
  </r>
  <r>
    <d v="2021-05-25T00:00:00"/>
    <x v="11"/>
    <x v="2"/>
    <s v="INV00000089"/>
    <s v="C00000013a"/>
    <s v="Cash - PMC Sdn Bhd"/>
    <x v="15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d v="2021-05-25T00:00:00"/>
    <x v="11"/>
    <x v="2"/>
    <s v="INV00000089"/>
    <s v="C00000013a"/>
    <s v="Cash - PMC Sdn Bhd"/>
    <x v="12"/>
    <n v="1"/>
    <s v="Cash"/>
    <n v="0"/>
    <d v="2021-05-25T00:00:00"/>
    <n v="5"/>
    <n v="2021"/>
    <n v="55"/>
    <n v="-55"/>
    <n v="0"/>
    <n v="391495.74999999988"/>
    <s v="Chq"/>
    <s v="Trsf 21 &amp; 22/5/2021"/>
    <m/>
  </r>
  <r>
    <d v="2021-05-25T00:00:00"/>
    <x v="11"/>
    <x v="2"/>
    <s v="INV00000107"/>
    <s v="C00000005"/>
    <s v="Artscene Creative"/>
    <x v="4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d v="2021-06-01T00:00:00"/>
    <x v="1"/>
    <x v="2"/>
    <s v="INV00000108"/>
    <s v="C00000010"/>
    <s v="Yew Seng Gardening Supply Sdn Bhd"/>
    <x v="45"/>
    <n v="4"/>
    <n v="120"/>
    <n v="120"/>
    <d v="2021-09-29T00:00:00"/>
    <n v="9"/>
    <n v="2021"/>
    <n v="6952"/>
    <n v="-6952"/>
    <n v="0"/>
    <n v="398547.74999999988"/>
    <s v="Trsf"/>
    <s v="Trsf 20/10/2021"/>
    <m/>
  </r>
  <r>
    <d v="2021-06-01T00:00:00"/>
    <x v="1"/>
    <x v="2"/>
    <s v="INV00000109"/>
    <s v="C00000009"/>
    <s v="JMC Steel Engineering Sdn Bhd"/>
    <x v="57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d v="2021-06-01T00:00:00"/>
    <x v="1"/>
    <x v="2"/>
    <s v="INV00000109"/>
    <s v="C00000009"/>
    <s v="JMC Steel Engineering Sdn Bhd"/>
    <x v="58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d v="2021-06-01T00:00:00"/>
    <x v="1"/>
    <x v="2"/>
    <s v="INV00000110"/>
    <s v="C00000009"/>
    <s v="JMC Steel Engineering Sdn Bhd"/>
    <x v="5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d v="2021-06-01T00:00:00"/>
    <x v="1"/>
    <x v="2"/>
    <s v="INV00000111"/>
    <s v="C00000010"/>
    <s v="Yew Seng Gardening Supply Sdn Bhd"/>
    <x v="12"/>
    <n v="10"/>
    <n v="120"/>
    <n v="120"/>
    <d v="2021-09-29T00:00:00"/>
    <n v="9"/>
    <n v="2021"/>
    <n v="550"/>
    <n v="-550"/>
    <n v="0"/>
    <n v="403612.74999999988"/>
    <s v="Trsf"/>
    <s v="Trsf 20/10/2021"/>
    <m/>
  </r>
  <r>
    <d v="2021-06-01T00:00:00"/>
    <x v="1"/>
    <x v="2"/>
    <s v="INV00000111"/>
    <s v="C00000010"/>
    <s v="Yew Seng Gardening Supply Sdn Bhd"/>
    <x v="4"/>
    <n v="4"/>
    <n v="120"/>
    <n v="120"/>
    <d v="2021-09-29T00:00:00"/>
    <n v="9"/>
    <n v="2021"/>
    <n v="380"/>
    <n v="-380"/>
    <n v="0"/>
    <n v="403992.74999999988"/>
    <s v="Trsf"/>
    <s v="Trsf 20/10/2021"/>
    <m/>
  </r>
  <r>
    <d v="2021-09-01T00:00:00"/>
    <x v="4"/>
    <x v="2"/>
    <s v="INV00000112"/>
    <s v="C00000017"/>
    <s v="Aumada Energy &amp; Technologies (M) Sdn Bhd"/>
    <x v="59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d v="2021-09-01T00:00:00"/>
    <x v="4"/>
    <x v="2"/>
    <s v="INV00000112"/>
    <s v="C00000017"/>
    <s v="Aumada Energy &amp; Technologies (M) Sdn Bhd"/>
    <x v="26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d v="2021-09-01T00:00:00"/>
    <x v="4"/>
    <x v="2"/>
    <s v="INV00000113"/>
    <s v="C00000005"/>
    <s v="Artscene Creative"/>
    <x v="15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d v="2021-09-01T00:00:00"/>
    <x v="4"/>
    <x v="2"/>
    <s v="INV00000114"/>
    <s v="C00000005"/>
    <s v="Artscene Creative"/>
    <x v="15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d v="2021-09-01T00:00:00"/>
    <x v="4"/>
    <x v="2"/>
    <s v="INV00000114"/>
    <s v="C00000005"/>
    <s v="Artscene Creative"/>
    <x v="4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d v="2021-09-01T00:00:00"/>
    <x v="4"/>
    <x v="2"/>
    <s v="INV00000115"/>
    <s v="C00000004"/>
    <s v="Siew Min Lorry Sdn Bhd"/>
    <x v="57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d v="2021-09-01T00:00:00"/>
    <x v="4"/>
    <x v="2"/>
    <s v="INV00000115"/>
    <s v="C00000004"/>
    <s v="Siew Min Lorry Sdn Bhd"/>
    <x v="58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d v="2021-09-01T00:00:00"/>
    <x v="4"/>
    <x v="2"/>
    <s v="INV00000116"/>
    <s v="C00000002"/>
    <s v="Sley"/>
    <x v="45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d v="2021-09-14T00:00:00"/>
    <x v="4"/>
    <x v="2"/>
    <s v="INV00000117"/>
    <s v="C00000003"/>
    <s v="Pandian Art Gallery Manufacturing"/>
    <x v="15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x v="4"/>
    <x v="2"/>
    <s v="INV00000117"/>
    <s v="C00000003"/>
    <s v="Pandian Art Gallery Manufacturing"/>
    <x v="12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x v="4"/>
    <x v="2"/>
    <s v="INV00000117"/>
    <s v="C00000003"/>
    <s v="Pandian Art Gallery Manufacturing"/>
    <x v="4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x v="4"/>
    <x v="2"/>
    <s v="INV00000117"/>
    <s v="C00000003"/>
    <s v="Pandian Art Gallery Manufacturing"/>
    <x v="25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x v="4"/>
    <x v="2"/>
    <s v="INV00000117"/>
    <s v="C00000003"/>
    <s v="Pandian Art Gallery Manufacturing"/>
    <x v="16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x v="4"/>
    <x v="2"/>
    <s v="INV00000118"/>
    <s v="C00000010"/>
    <s v="Yew Seng Gardening Supply Sdn Bhd"/>
    <x v="45"/>
    <n v="6"/>
    <n v="120"/>
    <n v="120"/>
    <d v="2022-01-12T00:00:00"/>
    <n v="1"/>
    <n v="2022"/>
    <n v="10428"/>
    <n v="-10428"/>
    <n v="0"/>
    <n v="433204.14999999991"/>
    <s v="Trsf"/>
    <s v="Trsf 13/12/2021"/>
    <m/>
  </r>
  <r>
    <d v="2021-09-14T00:00:00"/>
    <x v="4"/>
    <x v="2"/>
    <s v="INV00000118"/>
    <s v="C00000010"/>
    <s v="Yew Seng Gardening Supply Sdn Bhd"/>
    <x v="28"/>
    <n v="10"/>
    <n v="120"/>
    <n v="120"/>
    <d v="2022-01-12T00:00:00"/>
    <n v="1"/>
    <n v="2022"/>
    <n v="2550"/>
    <n v="-2550"/>
    <n v="0"/>
    <n v="435754.14999999991"/>
    <s v="Trsf"/>
    <s v="Trsf 13/12/2021"/>
    <m/>
  </r>
  <r>
    <d v="2021-09-14T00:00:00"/>
    <x v="4"/>
    <x v="2"/>
    <s v="INV00000118"/>
    <s v="C00000010"/>
    <s v="Yew Seng Gardening Supply Sdn Bhd"/>
    <x v="12"/>
    <n v="10"/>
    <n v="120"/>
    <n v="120"/>
    <d v="2022-01-12T00:00:00"/>
    <n v="1"/>
    <n v="2022"/>
    <n v="550"/>
    <n v="-550"/>
    <n v="0"/>
    <n v="436304.14999999991"/>
    <s v="Trsf"/>
    <s v="Trsf 13/12/2021"/>
    <m/>
  </r>
  <r>
    <d v="2021-09-14T00:00:00"/>
    <x v="4"/>
    <x v="2"/>
    <s v="INV00000118"/>
    <s v="C00000010"/>
    <s v="Yew Seng Gardening Supply Sdn Bhd"/>
    <x v="60"/>
    <n v="4"/>
    <n v="120"/>
    <n v="120"/>
    <d v="2022-01-12T00:00:00"/>
    <n v="1"/>
    <n v="2022"/>
    <n v="320"/>
    <n v="-320"/>
    <n v="0"/>
    <n v="436624.14999999991"/>
    <s v="Trsf"/>
    <s v="Trsf 13/12/2021"/>
    <m/>
  </r>
  <r>
    <d v="2021-09-14T00:00:00"/>
    <x v="4"/>
    <x v="2"/>
    <s v="INV00000118"/>
    <s v="C00000010"/>
    <s v="Yew Seng Gardening Supply Sdn Bhd"/>
    <x v="37"/>
    <n v="1"/>
    <n v="120"/>
    <n v="120"/>
    <d v="2022-01-12T00:00:00"/>
    <n v="1"/>
    <n v="2022"/>
    <n v="360"/>
    <n v="-360"/>
    <n v="0"/>
    <n v="436984.14999999991"/>
    <s v="Trsf"/>
    <s v="Trsf 13/12/2021"/>
    <m/>
  </r>
  <r>
    <d v="2021-09-21T00:00:00"/>
    <x v="4"/>
    <x v="2"/>
    <s v="INV00000119"/>
    <s v="C00000018"/>
    <s v="Living Divani (M) Sdn Bhd"/>
    <x v="15"/>
    <n v="4"/>
    <s v="Cash"/>
    <n v="0"/>
    <d v="2021-09-21T00:00:00"/>
    <n v="9"/>
    <n v="2021"/>
    <n v="6952"/>
    <n v="-6952"/>
    <n v="0"/>
    <n v="443936.14999999991"/>
    <s v="Trsf"/>
    <s v="Trsf 21/9/2021"/>
    <m/>
  </r>
  <r>
    <d v="2021-09-21T00:00:00"/>
    <x v="4"/>
    <x v="2"/>
    <s v="INV00000119"/>
    <s v="C00000018"/>
    <s v="Living Divani (M) Sdn Bhd"/>
    <x v="28"/>
    <n v="10"/>
    <s v="Cash"/>
    <n v="0"/>
    <d v="2021-09-21T00:00:00"/>
    <n v="9"/>
    <n v="2021"/>
    <n v="2400"/>
    <n v="-2400"/>
    <n v="0"/>
    <n v="446336.14999999991"/>
    <s v="Trsf"/>
    <s v="Trsf 21/9/2021"/>
    <m/>
  </r>
  <r>
    <d v="2021-09-21T00:00:00"/>
    <x v="4"/>
    <x v="2"/>
    <s v="INV00000119"/>
    <s v="C00000018"/>
    <s v="Living Divani (M) Sdn Bhd"/>
    <x v="60"/>
    <n v="3"/>
    <s v="Cash"/>
    <n v="0"/>
    <d v="2021-09-21T00:00:00"/>
    <n v="9"/>
    <n v="2021"/>
    <n v="240"/>
    <n v="-240"/>
    <n v="0"/>
    <n v="446576.14999999991"/>
    <s v="Trsf"/>
    <s v="Trsf 21/9/2021"/>
    <m/>
  </r>
  <r>
    <d v="2021-09-25T00:00:00"/>
    <x v="4"/>
    <x v="2"/>
    <s v="INV00000120"/>
    <s v="C00000001"/>
    <s v="Kelnico Marketing"/>
    <x v="15"/>
    <n v="1"/>
    <s v="Cash"/>
    <n v="0"/>
    <d v="2021-09-25T00:00:00"/>
    <n v="9"/>
    <n v="2021"/>
    <n v="1870"/>
    <n v="-1870"/>
    <n v="0"/>
    <n v="448446.14999999991"/>
    <s v="Trsf"/>
    <s v="Trsf 4/10/2021"/>
    <m/>
  </r>
  <r>
    <d v="2021-09-27T00:00:00"/>
    <x v="4"/>
    <x v="2"/>
    <s v="INV00000121"/>
    <s v="C00000004"/>
    <s v="Siew Min Lorry Sdn Bhd"/>
    <x v="45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d v="2021-09-27T00:00:00"/>
    <x v="4"/>
    <x v="2"/>
    <s v="INV00000121"/>
    <s v="C00000004"/>
    <s v="Siew Min Lorry Sdn Bhd"/>
    <x v="61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d v="2021-09-27T00:00:00"/>
    <x v="4"/>
    <x v="2"/>
    <s v="INV00000121"/>
    <s v="C00000004"/>
    <s v="Siew Min Lorry Sdn Bhd"/>
    <x v="57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d v="2021-09-27T00:00:00"/>
    <x v="4"/>
    <x v="2"/>
    <s v="INV00000121"/>
    <s v="C00000004"/>
    <s v="Siew Min Lorry Sdn Bhd"/>
    <x v="60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d v="2021-09-28T00:00:00"/>
    <x v="4"/>
    <x v="2"/>
    <s v="INV00000122"/>
    <s v="C00000005"/>
    <s v="Artscene Creative"/>
    <x v="15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x v="4"/>
    <x v="2"/>
    <s v="INV00000123"/>
    <s v="C00000004"/>
    <s v="Siew Min Lorry Sdn Bhd"/>
    <x v="4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d v="2021-10-01T00:00:00"/>
    <x v="5"/>
    <x v="2"/>
    <s v="INV00000124"/>
    <s v="C00000006"/>
    <s v="Perniagaan Fibra Sahih"/>
    <x v="5"/>
    <n v="1"/>
    <s v="Cash"/>
    <n v="0"/>
    <d v="2021-10-01T00:00:00"/>
    <n v="10"/>
    <n v="2021"/>
    <n v="240"/>
    <n v="-240"/>
    <n v="0"/>
    <n v="463276.14999999991"/>
    <s v="Chq"/>
    <s v="chq 934897 5/11/2021"/>
    <m/>
  </r>
  <r>
    <d v="2021-10-02T00:00:00"/>
    <x v="5"/>
    <x v="2"/>
    <s v="INV00000125"/>
    <s v="C00000019"/>
    <s v="Desuki Affela Empire Enterprise"/>
    <x v="45"/>
    <n v="2"/>
    <s v="Cash"/>
    <n v="0"/>
    <d v="2021-10-02T00:00:00"/>
    <n v="10"/>
    <n v="2021"/>
    <n v="3696"/>
    <n v="-3696"/>
    <n v="0"/>
    <n v="466972.14999999991"/>
    <s v="Trsf"/>
    <s v="Trsf 2/10/2021"/>
    <m/>
  </r>
  <r>
    <d v="2021-10-02T00:00:00"/>
    <x v="5"/>
    <x v="2"/>
    <s v="INV00000125"/>
    <s v="C00000019"/>
    <s v="Desuki Affela Empire Enterprise"/>
    <x v="10"/>
    <n v="1"/>
    <s v="Cash"/>
    <n v="0"/>
    <d v="2021-10-02T00:00:00"/>
    <n v="10"/>
    <n v="2021"/>
    <n v="475.2"/>
    <n v="-475.2"/>
    <n v="0"/>
    <n v="467447.34999999992"/>
    <s v="Trsf"/>
    <s v="Trsf 2/10/2021"/>
    <m/>
  </r>
  <r>
    <d v="2021-10-02T00:00:00"/>
    <x v="5"/>
    <x v="2"/>
    <s v="INV00000125"/>
    <s v="C00000019"/>
    <s v="Desuki Affela Empire Enterprise"/>
    <x v="52"/>
    <n v="2"/>
    <s v="Cash"/>
    <n v="0"/>
    <d v="2021-10-02T00:00:00"/>
    <n v="10"/>
    <n v="2021"/>
    <n v="720"/>
    <n v="-720"/>
    <n v="0"/>
    <n v="468167.34999999992"/>
    <s v="Trsf"/>
    <s v="Trsf 2/10/2021"/>
    <m/>
  </r>
  <r>
    <d v="2021-10-02T00:00:00"/>
    <x v="5"/>
    <x v="2"/>
    <s v="INV00000125"/>
    <s v="C00000019"/>
    <s v="Desuki Affela Empire Enterprise"/>
    <x v="12"/>
    <n v="3"/>
    <s v="Cash"/>
    <n v="0"/>
    <d v="2021-10-02T00:00:00"/>
    <n v="10"/>
    <n v="2021"/>
    <n v="165"/>
    <n v="-165"/>
    <n v="0"/>
    <n v="468332.34999999992"/>
    <s v="Trsf"/>
    <s v="Trsf 2/10/2021"/>
    <m/>
  </r>
  <r>
    <d v="2021-10-05T00:00:00"/>
    <x v="5"/>
    <x v="2"/>
    <s v="INV00000126"/>
    <s v="C00000019"/>
    <s v="Desuki Affela Empire Enterprise"/>
    <x v="4"/>
    <n v="1"/>
    <s v="Cash"/>
    <n v="0"/>
    <d v="2021-10-05T00:00:00"/>
    <n v="10"/>
    <n v="2021"/>
    <n v="100"/>
    <n v="-100"/>
    <n v="0"/>
    <n v="468432.34999999992"/>
    <s v="Trsf"/>
    <s v="Trsf 11/10/2021"/>
    <m/>
  </r>
  <r>
    <d v="2021-10-05T00:00:00"/>
    <x v="5"/>
    <x v="2"/>
    <s v="INV00000127"/>
    <s v="C00000010"/>
    <s v="Yew Seng Gardening Supply Sdn Bhd"/>
    <x v="45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d v="2021-10-05T00:00:00"/>
    <x v="5"/>
    <x v="2"/>
    <s v="INV00000127"/>
    <s v="C00000010"/>
    <s v="Yew Seng Gardening Supply Sdn Bhd"/>
    <x v="28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d v="2021-10-05T00:00:00"/>
    <x v="5"/>
    <x v="2"/>
    <s v="INV00000127"/>
    <s v="C00000010"/>
    <s v="Yew Seng Gardening Supply Sdn Bhd"/>
    <x v="12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d v="2021-10-05T00:00:00"/>
    <x v="5"/>
    <x v="2"/>
    <s v="INV00000127"/>
    <s v="C00000010"/>
    <s v="Yew Seng Gardening Supply Sdn Bhd"/>
    <x v="60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d v="2021-10-07T00:00:00"/>
    <x v="5"/>
    <x v="2"/>
    <s v="INV00000128"/>
    <s v="C00000003"/>
    <s v="Pandian Art Gallery Manufacturing"/>
    <x v="62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x v="5"/>
    <x v="2"/>
    <s v="INV00000128"/>
    <s v="C00000003"/>
    <s v="Pandian Art Gallery Manufacturing"/>
    <x v="12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x v="5"/>
    <x v="2"/>
    <s v="INV00000128"/>
    <s v="C00000003"/>
    <s v="Pandian Art Gallery Manufacturing"/>
    <x v="60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x v="5"/>
    <x v="2"/>
    <s v="INV00000129"/>
    <s v="C00000003"/>
    <s v="Pandian Art Gallery Manufacturing"/>
    <x v="63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x v="5"/>
    <x v="2"/>
    <s v="INV00000130"/>
    <s v="C00000020"/>
    <s v="WSK Tanks Sdn Bhd"/>
    <x v="43"/>
    <n v="1"/>
    <s v="Cash"/>
    <n v="0"/>
    <d v="2021-10-09T00:00:00"/>
    <n v="10"/>
    <n v="2021"/>
    <n v="1760"/>
    <n v="-1760"/>
    <n v="0"/>
    <n v="485943.34999999992"/>
    <s v="Trsf"/>
    <s v="Trsf 11/10/2021"/>
    <m/>
  </r>
  <r>
    <d v="2021-10-11T00:00:00"/>
    <x v="5"/>
    <x v="2"/>
    <s v="INV00000131"/>
    <s v="C00000013a"/>
    <s v="Cash - PMC Sdn Bhd"/>
    <x v="12"/>
    <n v="2"/>
    <s v="Cash"/>
    <n v="0"/>
    <d v="2021-10-11T00:00:00"/>
    <n v="10"/>
    <n v="2021"/>
    <n v="125"/>
    <n v="-125"/>
    <n v="0"/>
    <n v="486068.34999999992"/>
    <s v="Chq"/>
    <s v="Trsf 11/10/2021"/>
    <m/>
  </r>
  <r>
    <d v="2021-10-11T00:00:00"/>
    <x v="5"/>
    <x v="2"/>
    <s v="INV00000131"/>
    <s v="C00000013a"/>
    <s v="Cash - PMC Sdn Bhd"/>
    <x v="60"/>
    <n v="1"/>
    <s v="Cash"/>
    <n v="0"/>
    <d v="2021-10-11T00:00:00"/>
    <n v="10"/>
    <n v="2021"/>
    <n v="80"/>
    <n v="-80"/>
    <n v="0"/>
    <n v="486148.34999999992"/>
    <s v="Chq"/>
    <s v="Trsf 11/10/2021"/>
    <m/>
  </r>
  <r>
    <d v="2021-10-12T00:00:00"/>
    <x v="5"/>
    <x v="2"/>
    <s v="INV00000132"/>
    <s v="C00000020"/>
    <s v="WSK Tanks Sdn Bhd"/>
    <x v="64"/>
    <n v="4"/>
    <s v="Cash"/>
    <n v="0"/>
    <d v="2021-10-12T00:00:00"/>
    <n v="10"/>
    <n v="2021"/>
    <n v="7650"/>
    <n v="-7650"/>
    <n v="0"/>
    <n v="493798.34999999992"/>
    <s v="Trsf"/>
    <s v="Trsf 13/10/2021"/>
    <m/>
  </r>
  <r>
    <d v="2021-10-12T00:00:00"/>
    <x v="5"/>
    <x v="2"/>
    <s v="INV00000132"/>
    <s v="C00000020"/>
    <s v="WSK Tanks Sdn Bhd"/>
    <x v="65"/>
    <n v="10"/>
    <s v="Cash"/>
    <n v="0"/>
    <d v="2021-10-12T00:00:00"/>
    <n v="10"/>
    <n v="2021"/>
    <n v="3182"/>
    <n v="-3182"/>
    <n v="0"/>
    <n v="496980.34999999992"/>
    <s v="Trsf"/>
    <s v="Trsf 13/10/2021"/>
    <m/>
  </r>
  <r>
    <d v="2021-10-12T00:00:00"/>
    <x v="5"/>
    <x v="2"/>
    <s v="INV00000132"/>
    <s v="C00000020"/>
    <s v="WSK Tanks Sdn Bhd"/>
    <x v="12"/>
    <n v="2"/>
    <s v="Cash"/>
    <n v="0"/>
    <d v="2021-10-12T00:00:00"/>
    <n v="10"/>
    <n v="2021"/>
    <n v="125"/>
    <n v="-125"/>
    <n v="0"/>
    <n v="497105.34999999992"/>
    <s v="Trsf"/>
    <s v="Trsf 13/10/2021"/>
    <m/>
  </r>
  <r>
    <d v="2021-10-12T00:00:00"/>
    <x v="5"/>
    <x v="2"/>
    <s v="INV00000132"/>
    <s v="C00000020"/>
    <s v="WSK Tanks Sdn Bhd"/>
    <x v="60"/>
    <n v="4"/>
    <s v="Cash"/>
    <n v="0"/>
    <d v="2021-10-12T00:00:00"/>
    <n v="10"/>
    <n v="2021"/>
    <n v="320"/>
    <n v="-320"/>
    <n v="0"/>
    <n v="497425.34999999992"/>
    <s v="Trsf"/>
    <s v="Trsf 13/10/2021"/>
    <m/>
  </r>
  <r>
    <d v="2021-10-12T00:00:00"/>
    <x v="5"/>
    <x v="2"/>
    <s v="INV00000132"/>
    <s v="C00000020"/>
    <s v="WSK Tanks Sdn Bhd"/>
    <x v="66"/>
    <n v="4"/>
    <s v="Cash"/>
    <n v="0"/>
    <d v="2021-10-12T00:00:00"/>
    <n v="10"/>
    <n v="2021"/>
    <n v="1350"/>
    <n v="-1350"/>
    <n v="0"/>
    <n v="498775.34999999992"/>
    <s v="Trsf"/>
    <s v="Trsf 13/10/2021"/>
    <m/>
  </r>
  <r>
    <d v="2021-10-13T00:00:00"/>
    <x v="5"/>
    <x v="2"/>
    <s v="INV00000133"/>
    <s v="C00000019"/>
    <s v="Desuki Affela Empire Enterprise"/>
    <x v="45"/>
    <n v="2"/>
    <s v="Cash"/>
    <n v="0"/>
    <d v="2021-10-13T00:00:00"/>
    <n v="10"/>
    <n v="2021"/>
    <n v="3696"/>
    <n v="-3696"/>
    <n v="0"/>
    <n v="502471.34999999992"/>
    <s v="Trsf"/>
    <s v="Trsf 14/10/2021"/>
    <m/>
  </r>
  <r>
    <d v="2021-10-13T00:00:00"/>
    <x v="5"/>
    <x v="2"/>
    <s v="INV00000133"/>
    <s v="C00000019"/>
    <s v="Desuki Affela Empire Enterprise"/>
    <x v="67"/>
    <n v="2"/>
    <s v="Cash"/>
    <n v="0"/>
    <d v="2021-10-13T00:00:00"/>
    <n v="10"/>
    <n v="2021"/>
    <n v="950.4"/>
    <n v="-950.4"/>
    <n v="0"/>
    <n v="503421.74999999994"/>
    <s v="Trsf"/>
    <s v="Trsf 14/10/2021"/>
    <m/>
  </r>
  <r>
    <d v="2021-10-13T00:00:00"/>
    <x v="5"/>
    <x v="2"/>
    <s v="INV00000133"/>
    <s v="C00000019"/>
    <s v="Desuki Affela Empire Enterprise"/>
    <x v="37"/>
    <n v="1"/>
    <s v="Cash"/>
    <n v="0"/>
    <d v="2021-10-13T00:00:00"/>
    <n v="10"/>
    <n v="2021"/>
    <n v="360"/>
    <n v="-360"/>
    <n v="0"/>
    <n v="503781.74999999994"/>
    <s v="Trsf"/>
    <s v="Trsf 14/10/2021"/>
    <m/>
  </r>
  <r>
    <d v="2021-10-14T00:00:00"/>
    <x v="5"/>
    <x v="2"/>
    <s v="INV00000134"/>
    <s v="C00000019"/>
    <s v="Desuki Affela Empire Enterprise"/>
    <x v="68"/>
    <n v="6"/>
    <s v="Cash"/>
    <n v="0"/>
    <d v="2021-10-14T00:00:00"/>
    <n v="10"/>
    <n v="2021"/>
    <n v="300"/>
    <n v="-300"/>
    <n v="0"/>
    <n v="504081.74999999994"/>
    <s v="Trsf"/>
    <s v="Trsf 14/10/2021"/>
    <m/>
  </r>
  <r>
    <d v="2021-10-14T00:00:00"/>
    <x v="5"/>
    <x v="2"/>
    <s v="INV00000134"/>
    <s v="C00000019"/>
    <s v="Desuki Affela Empire Enterprise"/>
    <x v="4"/>
    <n v="1"/>
    <s v="Cash"/>
    <n v="0"/>
    <d v="2021-10-14T00:00:00"/>
    <n v="10"/>
    <n v="2021"/>
    <n v="100"/>
    <n v="-100"/>
    <n v="0"/>
    <n v="504181.74999999994"/>
    <s v="Trsf"/>
    <s v="Trsf 14/10/2021"/>
    <m/>
  </r>
  <r>
    <d v="2021-10-14T00:00:00"/>
    <x v="5"/>
    <x v="2"/>
    <s v="INV00000135"/>
    <s v="C00000009"/>
    <s v="JMC Steel Engineering Sdn Bhd"/>
    <x v="57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d v="2021-10-15T00:00:00"/>
    <x v="5"/>
    <x v="2"/>
    <s v="INV00000136"/>
    <s v="C00000014"/>
    <s v="IK Fibre Glass Enterprise"/>
    <x v="69"/>
    <n v="3"/>
    <s v="Cash"/>
    <n v="0"/>
    <d v="2021-10-15T00:00:00"/>
    <n v="10"/>
    <n v="2021"/>
    <n v="2025"/>
    <n v="-2025"/>
    <n v="0"/>
    <n v="511306.74999999994"/>
    <s v="Cash"/>
    <s v="Cash 17/10/2021"/>
    <m/>
  </r>
  <r>
    <d v="2021-10-15T00:00:00"/>
    <x v="5"/>
    <x v="2"/>
    <s v="INV00000136"/>
    <s v="C00000014"/>
    <s v="IK Fibre Glass Enterprise"/>
    <x v="65"/>
    <n v="2"/>
    <s v="Cash"/>
    <n v="0"/>
    <d v="2021-10-15T00:00:00"/>
    <n v="10"/>
    <n v="2021"/>
    <n v="516"/>
    <n v="-516"/>
    <n v="0"/>
    <n v="511822.74999999994"/>
    <s v="Cash"/>
    <s v="Cash 17/10/2021"/>
    <m/>
  </r>
  <r>
    <d v="2021-10-15T00:00:00"/>
    <x v="5"/>
    <x v="2"/>
    <s v="INV00000136"/>
    <s v="C00000014"/>
    <s v="IK Fibre Glass Enterprise"/>
    <x v="12"/>
    <n v="1"/>
    <s v="Cash"/>
    <n v="0"/>
    <d v="2021-10-15T00:00:00"/>
    <n v="10"/>
    <n v="2021"/>
    <n v="55"/>
    <n v="-55"/>
    <n v="0"/>
    <n v="511877.74999999994"/>
    <s v="Cash"/>
    <s v="Cash 17/10/2021"/>
    <m/>
  </r>
  <r>
    <d v="2021-10-15T00:00:00"/>
    <x v="5"/>
    <x v="2"/>
    <s v="INV00000136"/>
    <s v="C00000014"/>
    <s v="IK Fibre Glass Enterprise"/>
    <x v="60"/>
    <n v="1"/>
    <s v="Cash"/>
    <n v="0"/>
    <d v="2021-10-15T00:00:00"/>
    <n v="10"/>
    <n v="2021"/>
    <n v="80"/>
    <n v="-80"/>
    <n v="0"/>
    <n v="511957.74999999994"/>
    <s v="Cash"/>
    <s v="Cash 17/10/2021"/>
    <m/>
  </r>
  <r>
    <d v="2021-10-15T00:00:00"/>
    <x v="5"/>
    <x v="2"/>
    <s v="INV00000137"/>
    <s v="C00000005"/>
    <s v="Artscene Creative"/>
    <x v="15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x v="5"/>
    <x v="2"/>
    <s v="INV00000137"/>
    <s v="C00000005"/>
    <s v="Artscene Creative"/>
    <x v="4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x v="5"/>
    <x v="2"/>
    <s v="INV00000138"/>
    <s v="C00000020"/>
    <s v="WSK Tanks Sdn Bhd"/>
    <x v="28"/>
    <n v="2"/>
    <s v="Cash"/>
    <n v="0"/>
    <d v="2021-10-15T00:00:00"/>
    <n v="10"/>
    <n v="2021"/>
    <n v="636.4"/>
    <n v="-636.4"/>
    <n v="0"/>
    <n v="514520.14999999997"/>
    <s v="Trsf"/>
    <s v="Trsf 16/10/2021"/>
    <m/>
  </r>
  <r>
    <d v="2021-10-15T00:00:00"/>
    <x v="5"/>
    <x v="2"/>
    <s v="INV00000138"/>
    <s v="C00000020"/>
    <s v="WSK Tanks Sdn Bhd"/>
    <x v="66"/>
    <n v="2"/>
    <s v="Cash"/>
    <n v="0"/>
    <d v="2021-10-15T00:00:00"/>
    <n v="10"/>
    <n v="2021"/>
    <n v="675"/>
    <n v="-675"/>
    <n v="0"/>
    <n v="515195.14999999997"/>
    <s v="Trsf"/>
    <s v="Trsf 16/10/2021"/>
    <m/>
  </r>
  <r>
    <d v="2021-10-18T00:00:00"/>
    <x v="5"/>
    <x v="2"/>
    <s v="INV00000139"/>
    <s v="C00000020"/>
    <s v="WSK Tanks Sdn Bhd"/>
    <x v="70"/>
    <n v="2"/>
    <s v="Cash"/>
    <n v="0"/>
    <d v="2021-10-18T00:00:00"/>
    <n v="10"/>
    <n v="2021"/>
    <n v="3825"/>
    <n v="-3825"/>
    <n v="0"/>
    <n v="519020.14999999997"/>
    <s v="Trsf"/>
    <s v="Trsf 1/11/2021"/>
    <m/>
  </r>
  <r>
    <d v="2021-10-18T00:00:00"/>
    <x v="5"/>
    <x v="2"/>
    <s v="INV00000139"/>
    <s v="C00000020"/>
    <s v="WSK Tanks Sdn Bhd"/>
    <x v="7"/>
    <n v="2"/>
    <s v="Cash"/>
    <n v="0"/>
    <d v="2021-10-18T00:00:00"/>
    <n v="10"/>
    <n v="2021"/>
    <n v="3740"/>
    <n v="-3740"/>
    <n v="0"/>
    <n v="522760.14999999997"/>
    <s v="Trsf"/>
    <s v="Trsf 1/11/2021"/>
    <m/>
  </r>
  <r>
    <d v="2021-10-18T00:00:00"/>
    <x v="5"/>
    <x v="2"/>
    <s v="INV00000139"/>
    <s v="C00000020"/>
    <s v="WSK Tanks Sdn Bhd"/>
    <x v="65"/>
    <n v="6"/>
    <s v="Cash"/>
    <n v="0"/>
    <d v="2021-10-18T00:00:00"/>
    <n v="10"/>
    <n v="2021"/>
    <n v="1909.2"/>
    <n v="-1909.2"/>
    <n v="0"/>
    <n v="524669.35"/>
    <s v="Trsf"/>
    <s v="Trsf 1/11/2021"/>
    <m/>
  </r>
  <r>
    <d v="2021-10-18T00:00:00"/>
    <x v="5"/>
    <x v="2"/>
    <s v="INV00000139"/>
    <s v="C00000020"/>
    <s v="WSK Tanks Sdn Bhd"/>
    <x v="12"/>
    <n v="7"/>
    <s v="Cash"/>
    <n v="0"/>
    <d v="2021-10-18T00:00:00"/>
    <n v="10"/>
    <n v="2021"/>
    <n v="437.5"/>
    <n v="-437.5"/>
    <n v="0"/>
    <n v="525106.85"/>
    <s v="Trsf"/>
    <s v="Trsf 1/11/2021"/>
    <m/>
  </r>
  <r>
    <d v="2021-10-18T00:00:00"/>
    <x v="5"/>
    <x v="2"/>
    <s v="INV00000139"/>
    <s v="C00000020"/>
    <s v="WSK Tanks Sdn Bhd"/>
    <x v="60"/>
    <n v="2"/>
    <s v="Cash"/>
    <n v="0"/>
    <d v="2021-10-18T00:00:00"/>
    <n v="10"/>
    <n v="2021"/>
    <n v="160"/>
    <n v="-160"/>
    <n v="0"/>
    <n v="525266.85"/>
    <s v="Trsf"/>
    <s v="Trsf 1/11/2021"/>
    <m/>
  </r>
  <r>
    <d v="2021-10-18T00:00:00"/>
    <x v="5"/>
    <x v="2"/>
    <s v="INV00000139"/>
    <s v="C00000020"/>
    <s v="WSK Tanks Sdn Bhd"/>
    <x v="66"/>
    <n v="9"/>
    <s v="Cash"/>
    <n v="0"/>
    <d v="2021-10-18T00:00:00"/>
    <n v="10"/>
    <n v="2021"/>
    <n v="3037.5"/>
    <n v="-3037.5"/>
    <n v="0"/>
    <n v="528304.35"/>
    <s v="Trsf"/>
    <s v="Trsf 1/11/2021"/>
    <m/>
  </r>
  <r>
    <d v="2021-10-19T00:00:00"/>
    <x v="5"/>
    <x v="2"/>
    <s v="INV00000140"/>
    <s v="C00000020"/>
    <s v="WSK Tanks Sdn Bhd"/>
    <x v="71"/>
    <n v="1"/>
    <s v="Cash"/>
    <n v="0"/>
    <d v="2021-10-19T00:00:00"/>
    <n v="10"/>
    <n v="2021"/>
    <n v="1000"/>
    <n v="-1000"/>
    <n v="0"/>
    <n v="529304.35"/>
    <s v="Trsf"/>
    <s v="Trsf 1/11/2021"/>
    <m/>
  </r>
  <r>
    <d v="2021-10-20T00:00:00"/>
    <x v="5"/>
    <x v="2"/>
    <s v="INV00000141"/>
    <s v="C00000020"/>
    <s v="WSK Tanks Sdn Bhd"/>
    <x v="70"/>
    <n v="2"/>
    <s v="Cash"/>
    <n v="0"/>
    <d v="2021-10-20T00:00:00"/>
    <n v="10"/>
    <n v="2021"/>
    <n v="3825"/>
    <n v="-3825"/>
    <n v="0"/>
    <n v="533129.35"/>
    <s v="Trsf"/>
    <s v="Trsf 10/11/21"/>
    <m/>
  </r>
  <r>
    <d v="2021-10-20T00:00:00"/>
    <x v="5"/>
    <x v="2"/>
    <s v="INV00000141"/>
    <s v="C00000020"/>
    <s v="WSK Tanks Sdn Bhd"/>
    <x v="7"/>
    <n v="1"/>
    <s v="Cash"/>
    <n v="0"/>
    <d v="2021-10-20T00:00:00"/>
    <n v="10"/>
    <n v="2021"/>
    <n v="1870"/>
    <n v="-1870"/>
    <n v="0"/>
    <n v="534999.35"/>
    <s v="Trsf"/>
    <s v="Trsf 10/11/21"/>
    <m/>
  </r>
  <r>
    <d v="2021-10-20T00:00:00"/>
    <x v="5"/>
    <x v="2"/>
    <s v="INV00000141"/>
    <s v="C00000020"/>
    <s v="WSK Tanks Sdn Bhd"/>
    <x v="65"/>
    <n v="12"/>
    <s v="Cash"/>
    <n v="0"/>
    <d v="2021-10-20T00:00:00"/>
    <n v="10"/>
    <n v="2021"/>
    <n v="3818.4"/>
    <n v="-3818.4"/>
    <n v="0"/>
    <n v="538817.75"/>
    <s v="Trsf"/>
    <s v="Trsf 10/11/21"/>
    <m/>
  </r>
  <r>
    <d v="2021-10-20T00:00:00"/>
    <x v="5"/>
    <x v="2"/>
    <s v="INV00000141"/>
    <s v="C00000020"/>
    <s v="WSK Tanks Sdn Bhd"/>
    <x v="60"/>
    <n v="2"/>
    <s v="Cash"/>
    <n v="0"/>
    <d v="2021-10-20T00:00:00"/>
    <n v="10"/>
    <n v="2021"/>
    <n v="160"/>
    <n v="-160"/>
    <n v="0"/>
    <n v="538977.75"/>
    <s v="Trsf"/>
    <s v="Trsf 10/11/21"/>
    <m/>
  </r>
  <r>
    <d v="2021-10-23T00:00:00"/>
    <x v="5"/>
    <x v="2"/>
    <s v="INV00000142"/>
    <s v="C00000008"/>
    <s v="Wonderland Design Productions Studio"/>
    <x v="15"/>
    <n v="1"/>
    <s v="Cash"/>
    <n v="0"/>
    <d v="2021-10-23T00:00:00"/>
    <n v="10"/>
    <n v="2021"/>
    <n v="1892"/>
    <n v="-1892"/>
    <n v="0"/>
    <n v="540869.75"/>
    <s v="Trsf"/>
    <s v="Trsf 25/10/21"/>
    <m/>
  </r>
  <r>
    <d v="2021-10-23T00:00:00"/>
    <x v="5"/>
    <x v="2"/>
    <s v="INV00000142"/>
    <s v="C00000008"/>
    <s v="Wonderland Design Productions Studio"/>
    <x v="28"/>
    <n v="2"/>
    <s v="Cash"/>
    <n v="0"/>
    <d v="2021-10-23T00:00:00"/>
    <n v="10"/>
    <n v="2021"/>
    <n v="510"/>
    <n v="-510"/>
    <n v="0"/>
    <n v="541379.75"/>
    <s v="Trsf"/>
    <s v="Trsf 25/10/21"/>
    <m/>
  </r>
  <r>
    <d v="2021-10-23T00:00:00"/>
    <x v="5"/>
    <x v="2"/>
    <s v="INV00000142"/>
    <s v="C00000008"/>
    <s v="Wonderland Design Productions Studio"/>
    <x v="5"/>
    <n v="4"/>
    <s v="Cash"/>
    <n v="0"/>
    <d v="2021-10-23T00:00:00"/>
    <n v="10"/>
    <n v="2021"/>
    <n v="960"/>
    <n v="-960"/>
    <n v="0"/>
    <n v="542339.75"/>
    <s v="Trsf"/>
    <s v="Trsf 25/10/21"/>
    <m/>
  </r>
  <r>
    <d v="2021-10-26T00:00:00"/>
    <x v="5"/>
    <x v="2"/>
    <s v="INV00000143"/>
    <s v="C00000001"/>
    <s v="Kelnico Marketing"/>
    <x v="15"/>
    <n v="2"/>
    <s v="Cash"/>
    <n v="0"/>
    <d v="2021-10-26T00:00:00"/>
    <n v="10"/>
    <n v="2021"/>
    <n v="3740"/>
    <n v="-3740"/>
    <n v="0"/>
    <n v="546079.75"/>
    <s v="Trsf"/>
    <s v="Trsf 27/10/21"/>
    <m/>
  </r>
  <r>
    <d v="2021-10-26T00:00:00"/>
    <x v="5"/>
    <x v="2"/>
    <s v="INV00000143"/>
    <s v="C00000001"/>
    <s v="Kelnico Marketing"/>
    <x v="28"/>
    <n v="8"/>
    <s v="Cash"/>
    <n v="0"/>
    <d v="2021-10-26T00:00:00"/>
    <n v="10"/>
    <n v="2021"/>
    <n v="2516"/>
    <n v="-2516"/>
    <n v="0"/>
    <n v="548595.75"/>
    <s v="Trsf"/>
    <s v="Trsf 27/10/21"/>
    <m/>
  </r>
  <r>
    <d v="2021-10-26T00:00:00"/>
    <x v="5"/>
    <x v="2"/>
    <s v="INV00000143"/>
    <s v="C00000001"/>
    <s v="Kelnico Marketing"/>
    <x v="4"/>
    <n v="4"/>
    <s v="Cash"/>
    <n v="0"/>
    <d v="2021-10-26T00:00:00"/>
    <n v="10"/>
    <n v="2021"/>
    <n v="400"/>
    <n v="-400"/>
    <n v="0"/>
    <n v="548995.75"/>
    <s v="Trsf"/>
    <s v="Trsf 27/10/21"/>
    <m/>
  </r>
  <r>
    <d v="2021-10-26T00:00:00"/>
    <x v="5"/>
    <x v="2"/>
    <s v="INV00000143"/>
    <s v="C00000001"/>
    <s v="Kelnico Marketing"/>
    <x v="39"/>
    <n v="1"/>
    <s v="Cash"/>
    <n v="0"/>
    <d v="2021-10-26T00:00:00"/>
    <n v="10"/>
    <n v="2021"/>
    <n v="0"/>
    <n v="0"/>
    <n v="0"/>
    <n v="548995.75"/>
    <s v="Trsf"/>
    <m/>
    <m/>
  </r>
  <r>
    <d v="2021-10-26T00:00:00"/>
    <x v="5"/>
    <x v="2"/>
    <s v="INV00000144"/>
    <s v="C00000020"/>
    <s v="WSK Tanks Sdn Bhd"/>
    <x v="15"/>
    <n v="2"/>
    <s v="Cash"/>
    <n v="0"/>
    <d v="2021-10-26T00:00:00"/>
    <n v="10"/>
    <n v="2021"/>
    <n v="3916"/>
    <n v="-3916"/>
    <n v="0"/>
    <n v="552911.75"/>
    <s v="Trsf"/>
    <s v="Trsf 13/11/21, RM7,000.00"/>
    <m/>
  </r>
  <r>
    <d v="2021-10-26T00:00:00"/>
    <x v="5"/>
    <x v="2"/>
    <s v="INV00000144"/>
    <s v="C00000020"/>
    <s v="WSK Tanks Sdn Bhd"/>
    <x v="7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x v="5"/>
    <x v="2"/>
    <s v="INV00000144"/>
    <s v="C00000020"/>
    <s v="WSK Tanks Sdn Bhd"/>
    <x v="28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x v="5"/>
    <x v="2"/>
    <s v="INV00000144"/>
    <s v="C00000020"/>
    <s v="WSK Tanks Sdn Bhd"/>
    <x v="12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d v="2021-10-26T00:00:00"/>
    <x v="5"/>
    <x v="2"/>
    <s v="INV00000144"/>
    <s v="C00000020"/>
    <s v="WSK Tanks Sdn Bhd"/>
    <x v="66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d v="2021-10-26T00:00:00"/>
    <x v="5"/>
    <x v="2"/>
    <s v="INV00000144"/>
    <s v="C00000020"/>
    <s v="WSK Tanks Sdn Bhd"/>
    <x v="71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d v="2021-10-28T00:00:00"/>
    <x v="5"/>
    <x v="2"/>
    <s v="INV00000145"/>
    <s v="C00000008"/>
    <s v="Wonderland Design Productions Studio"/>
    <x v="28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d v="2021-10-27T00:00:00"/>
    <x v="5"/>
    <x v="2"/>
    <s v="INV00000146"/>
    <s v="C00000020"/>
    <s v="WSK Tanks Sdn Bhd"/>
    <x v="15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d v="2021-10-28T00:00:00"/>
    <x v="5"/>
    <x v="2"/>
    <s v="INV00000147"/>
    <s v="C00000010"/>
    <s v="Yew Seng Gardening Supply Sdn Bhd"/>
    <x v="45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d v="2021-10-28T00:00:00"/>
    <x v="5"/>
    <x v="2"/>
    <s v="INV00000147"/>
    <s v="C00000010"/>
    <s v="Yew Seng Gardening Supply Sdn Bhd"/>
    <x v="72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d v="2021-10-28T00:00:00"/>
    <x v="5"/>
    <x v="2"/>
    <s v="INV00000148"/>
    <s v="C00000019"/>
    <s v="Desuki Affela Empire Enterprise"/>
    <x v="52"/>
    <n v="2"/>
    <s v="Cash"/>
    <n v="0"/>
    <d v="2021-10-28T00:00:00"/>
    <n v="10"/>
    <n v="2021"/>
    <n v="720"/>
    <n v="-720"/>
    <n v="0"/>
    <n v="586799.75"/>
    <s v="Trsf"/>
    <s v="Trsf 30/10/21"/>
    <m/>
  </r>
  <r>
    <d v="2021-10-30T00:00:00"/>
    <x v="5"/>
    <x v="2"/>
    <s v="INV00000149"/>
    <s v="C00000010"/>
    <s v="Yew Seng Gardening Supply Sdn Bhd"/>
    <x v="45"/>
    <n v="4"/>
    <n v="120"/>
    <n v="120"/>
    <d v="2022-02-27T00:00:00"/>
    <n v="2"/>
    <n v="2022"/>
    <n v="7832"/>
    <n v="-7832"/>
    <n v="0"/>
    <n v="594631.75"/>
    <s v="Trsf"/>
    <s v="Trsf 10/2/2022 RM35,864.00"/>
    <m/>
  </r>
  <r>
    <d v="2021-10-30T00:00:00"/>
    <x v="5"/>
    <x v="2"/>
    <s v="INV00000149"/>
    <s v="C00000010"/>
    <s v="Yew Seng Gardening Supply Sdn Bhd"/>
    <x v="72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d v="2021-10-30T00:00:00"/>
    <x v="5"/>
    <x v="2"/>
    <s v="INV00000149"/>
    <s v="C00000010"/>
    <s v="Yew Seng Gardening Supply Sdn Bhd"/>
    <x v="12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d v="2021-10-30T00:00:00"/>
    <x v="5"/>
    <x v="2"/>
    <s v="INV00000149"/>
    <s v="C00000010"/>
    <s v="Yew Seng Gardening Supply Sdn Bhd"/>
    <x v="60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d v="2021-11-01T00:00:00"/>
    <x v="6"/>
    <x v="2"/>
    <s v="INV00000150"/>
    <s v="C00000005"/>
    <s v="Artscene Creative"/>
    <x v="72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d v="2021-11-01T00:00:00"/>
    <x v="6"/>
    <x v="2"/>
    <s v="INV00000150"/>
    <s v="C00000005"/>
    <s v="Artscene Creative"/>
    <x v="73"/>
    <n v="1"/>
    <s v="Cash"/>
    <n v="0"/>
    <d v="2021-11-01T00:00:00"/>
    <n v="11"/>
    <n v="2021"/>
    <n v="40"/>
    <n v="-40"/>
    <n v="0"/>
    <n v="597199.35"/>
    <s v="Chq"/>
    <s v="Chq 000090, cleared 19/11/21"/>
    <m/>
  </r>
  <r>
    <d v="2021-11-02T00:00:00"/>
    <x v="6"/>
    <x v="2"/>
    <s v="INV00000151"/>
    <s v="C00000019"/>
    <s v="Desuki Affela Empire Enterprise"/>
    <x v="45"/>
    <n v="2"/>
    <s v="Cash"/>
    <n v="0"/>
    <d v="2021-11-02T00:00:00"/>
    <n v="11"/>
    <n v="2021"/>
    <n v="3960"/>
    <n v="-3960"/>
    <n v="0"/>
    <n v="601159.35"/>
    <s v="Trsf"/>
    <s v="Trsf 3/11/21"/>
    <m/>
  </r>
  <r>
    <d v="2021-11-02T00:00:00"/>
    <x v="6"/>
    <x v="2"/>
    <s v="INV00000151"/>
    <s v="C00000019"/>
    <s v="Desuki Affela Empire Enterprise"/>
    <x v="12"/>
    <n v="6"/>
    <s v="Cash"/>
    <n v="0"/>
    <d v="2021-11-02T00:00:00"/>
    <n v="11"/>
    <n v="2021"/>
    <n v="360"/>
    <n v="-360"/>
    <n v="0"/>
    <n v="601519.35"/>
    <s v="Trsf"/>
    <s v="Trsf 3/11/21"/>
    <m/>
  </r>
  <r>
    <d v="2021-11-02T00:00:00"/>
    <x v="6"/>
    <x v="2"/>
    <s v="INV00000151"/>
    <s v="C00000019"/>
    <s v="Desuki Affela Empire Enterprise"/>
    <x v="37"/>
    <n v="1"/>
    <s v="Cash"/>
    <n v="0"/>
    <d v="2021-11-02T00:00:00"/>
    <n v="11"/>
    <n v="2021"/>
    <n v="440"/>
    <n v="-440"/>
    <n v="0"/>
    <n v="601959.35"/>
    <s v="Trsf"/>
    <s v="Trsf 3/11/21"/>
    <m/>
  </r>
  <r>
    <d v="2021-11-02T00:00:00"/>
    <x v="6"/>
    <x v="2"/>
    <s v="INV00000151"/>
    <s v="C00000019"/>
    <s v="Desuki Affela Empire Enterprise"/>
    <x v="52"/>
    <n v="1"/>
    <s v="Cash"/>
    <n v="0"/>
    <d v="2021-11-02T00:00:00"/>
    <n v="11"/>
    <n v="2021"/>
    <n v="360"/>
    <n v="-360"/>
    <n v="0"/>
    <n v="602319.35"/>
    <s v="Trsf"/>
    <s v="Trsf 3/11/21"/>
    <m/>
  </r>
  <r>
    <d v="2021-11-02T00:00:00"/>
    <x v="6"/>
    <x v="2"/>
    <s v="INV00000152"/>
    <s v="C00000003"/>
    <s v="Pandian Art Gallery Manufacturing"/>
    <x v="62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x v="6"/>
    <x v="2"/>
    <s v="INV00000152"/>
    <s v="C00000003"/>
    <s v="Pandian Art Gallery Manufacturing"/>
    <x v="60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x v="6"/>
    <x v="2"/>
    <s v="INV00000153"/>
    <s v="C00000020"/>
    <s v="WSK Tanks Sdn Bhd"/>
    <x v="15"/>
    <n v="2"/>
    <s v="Cash"/>
    <n v="0"/>
    <d v="2021-11-03T00:00:00"/>
    <n v="11"/>
    <n v="2021"/>
    <n v="4048"/>
    <n v="-4048"/>
    <n v="0"/>
    <n v="608551.35"/>
    <s v="Trsf"/>
    <s v="Trsf 10/12/21-RM20,000.00"/>
    <m/>
  </r>
  <r>
    <d v="2021-11-03T00:00:00"/>
    <x v="6"/>
    <x v="2"/>
    <s v="INV00000153"/>
    <s v="C00000020"/>
    <s v="WSK Tanks Sdn Bhd"/>
    <x v="7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x v="6"/>
    <x v="2"/>
    <s v="INV00000153"/>
    <s v="C00000020"/>
    <s v="WSK Tanks Sdn Bhd"/>
    <x v="72"/>
    <n v="15"/>
    <s v="Cash"/>
    <n v="0"/>
    <d v="2021-11-03T00:00:00"/>
    <n v="11"/>
    <n v="2021"/>
    <n v="5106"/>
    <n v="-5106"/>
    <n v="0"/>
    <n v="619729.35"/>
    <s v="Trsf"/>
    <s v="Trsf 20/12/21-RM10,000.00"/>
    <m/>
  </r>
  <r>
    <d v="2021-11-03T00:00:00"/>
    <x v="6"/>
    <x v="2"/>
    <s v="INV00000153"/>
    <s v="C00000020"/>
    <s v="WSK Tanks Sdn Bhd"/>
    <x v="12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d v="2021-11-03T00:00:00"/>
    <x v="6"/>
    <x v="2"/>
    <s v="INV00000153"/>
    <s v="C00000020"/>
    <s v="WSK Tanks Sdn Bhd"/>
    <x v="66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x v="6"/>
    <x v="2"/>
    <s v="INV00000153"/>
    <s v="C00000020"/>
    <s v="WSK Tanks Sdn Bhd"/>
    <x v="60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x v="6"/>
    <x v="2"/>
    <s v="INV00000154"/>
    <s v="C00000010"/>
    <s v="Yew Seng Gardening Supply Sdn Bhd"/>
    <x v="12"/>
    <n v="5"/>
    <n v="120"/>
    <n v="120"/>
    <d v="2022-03-03T00:00:00"/>
    <n v="3"/>
    <n v="2022"/>
    <n v="275"/>
    <n v="-275"/>
    <n v="0"/>
    <n v="623795.85"/>
    <s v="Trsf"/>
    <s v="Trsf 15/2/2022 RM16,388.00"/>
    <m/>
  </r>
  <r>
    <d v="2021-11-03T00:00:00"/>
    <x v="6"/>
    <x v="2"/>
    <s v="INV00000154"/>
    <s v="C00000010"/>
    <s v="Yew Seng Gardening Supply Sdn Bhd"/>
    <x v="60"/>
    <n v="4"/>
    <n v="120"/>
    <n v="120"/>
    <d v="2022-03-03T00:00:00"/>
    <n v="3"/>
    <n v="2022"/>
    <n v="320"/>
    <n v="-320"/>
    <n v="0"/>
    <n v="624115.85"/>
    <s v="Trsf"/>
    <s v="Trsf 15/2/2022 RM16,388.00"/>
    <m/>
  </r>
  <r>
    <d v="2021-11-03T00:00:00"/>
    <x v="6"/>
    <x v="2"/>
    <s v="INV00000154"/>
    <s v="C00000010"/>
    <s v="Yew Seng Gardening Supply Sdn Bhd"/>
    <x v="37"/>
    <n v="3"/>
    <n v="120"/>
    <n v="120"/>
    <d v="2022-03-03T00:00:00"/>
    <n v="3"/>
    <n v="2022"/>
    <n v="1320"/>
    <n v="-1320"/>
    <n v="0"/>
    <n v="625435.85"/>
    <s v="Trsf"/>
    <s v="Trsf 15/2/2022 RM16,388.00"/>
    <m/>
  </r>
  <r>
    <d v="2021-11-03T00:00:00"/>
    <x v="6"/>
    <x v="2"/>
    <s v="INV00000154"/>
    <s v="C00000010"/>
    <s v="Yew Seng Gardening Supply Sdn Bhd"/>
    <x v="47"/>
    <n v="4"/>
    <n v="120"/>
    <n v="120"/>
    <d v="2022-03-03T00:00:00"/>
    <n v="3"/>
    <n v="2022"/>
    <n v="220"/>
    <n v="-220"/>
    <n v="0"/>
    <n v="625655.85"/>
    <s v="Trsf"/>
    <s v="Trsf 15/2/2022 RM16,388.00"/>
    <m/>
  </r>
  <r>
    <d v="2021-11-06T00:00:00"/>
    <x v="6"/>
    <x v="2"/>
    <s v="INV00000155"/>
    <s v="C00000020"/>
    <s v="WSK Tanks Sdn Bhd"/>
    <x v="15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x v="6"/>
    <x v="2"/>
    <s v="INV00000155"/>
    <s v="C00000020"/>
    <s v="WSK Tanks Sdn Bhd"/>
    <x v="7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x v="6"/>
    <x v="2"/>
    <s v="INV00000155"/>
    <s v="C00000020"/>
    <s v="WSK Tanks Sdn Bhd"/>
    <x v="72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x v="6"/>
    <x v="2"/>
    <s v="INV00000155"/>
    <s v="C00000020"/>
    <s v="WSK Tanks Sdn Bhd"/>
    <x v="12"/>
    <n v="5"/>
    <s v="Cash"/>
    <n v="0"/>
    <d v="2021-11-06T00:00:00"/>
    <n v="11"/>
    <n v="2021"/>
    <n v="312.5"/>
    <n v="-312.5"/>
    <n v="0"/>
    <n v="641194.35"/>
    <s v="Trsf"/>
    <s v="Trsf 13/1/21-37,500.00 "/>
    <m/>
  </r>
  <r>
    <d v="2021-11-06T00:00:00"/>
    <x v="6"/>
    <x v="2"/>
    <s v="INV00000155"/>
    <s v="C00000020"/>
    <s v="WSK Tanks Sdn Bhd"/>
    <x v="66"/>
    <n v="7"/>
    <s v="Cash"/>
    <n v="0"/>
    <d v="2021-11-06T00:00:00"/>
    <n v="11"/>
    <n v="2021"/>
    <n v="2457"/>
    <n v="-2457"/>
    <n v="0"/>
    <n v="643651.35"/>
    <s v="Trsf"/>
    <s v="Trsf 13/1/21-37,500.00 "/>
    <m/>
  </r>
  <r>
    <d v="2021-11-06T00:00:00"/>
    <x v="6"/>
    <x v="2"/>
    <s v="INV00000155"/>
    <s v="C00000020"/>
    <s v="WSK Tanks Sdn Bhd"/>
    <x v="60"/>
    <n v="4"/>
    <s v="Cash"/>
    <n v="0"/>
    <d v="2021-11-06T00:00:00"/>
    <n v="11"/>
    <n v="2021"/>
    <n v="320"/>
    <n v="-320"/>
    <n v="0"/>
    <n v="643971.35"/>
    <s v="Trsf"/>
    <s v="Trsf 13/1/21-37,500.00 "/>
    <m/>
  </r>
  <r>
    <d v="2021-11-06T00:00:00"/>
    <x v="6"/>
    <x v="2"/>
    <s v="INV00000155"/>
    <s v="C00000020"/>
    <s v="WSK Tanks Sdn Bhd"/>
    <x v="71"/>
    <n v="1"/>
    <s v="Cash"/>
    <n v="0"/>
    <d v="2021-11-06T00:00:00"/>
    <n v="11"/>
    <n v="2021"/>
    <n v="1000"/>
    <n v="-1000"/>
    <n v="0"/>
    <n v="644971.35"/>
    <s v="Trsf"/>
    <s v="Trsf 13/1/21-37,500.00 "/>
    <m/>
  </r>
  <r>
    <d v="2021-11-08T00:00:00"/>
    <x v="6"/>
    <x v="2"/>
    <s v="INV00000156"/>
    <s v="C00000010"/>
    <s v="Yew Seng Gardening Supply Sdn Bhd"/>
    <x v="45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d v="2021-11-08T00:00:00"/>
    <x v="6"/>
    <x v="2"/>
    <s v="INV00000156"/>
    <s v="C00000010"/>
    <s v="Yew Seng Gardening Supply Sdn Bhd"/>
    <x v="72"/>
    <n v="6"/>
    <n v="120"/>
    <n v="120"/>
    <d v="2022-03-08T00:00:00"/>
    <n v="3"/>
    <n v="2022"/>
    <n v="2109"/>
    <n v="-2109"/>
    <n v="0"/>
    <n v="659224.35"/>
    <s v="Trsf"/>
    <s v="Trsf 15/2/2022 RM16,388.00"/>
    <m/>
  </r>
  <r>
    <d v="2021-11-09T00:00:00"/>
    <x v="6"/>
    <x v="2"/>
    <s v="INV00000157"/>
    <e v="#N/A"/>
    <s v="Cash - En Mat"/>
    <x v="74"/>
    <n v="1"/>
    <e v="#N/A"/>
    <e v="#N/A"/>
    <e v="#N/A"/>
    <e v="#N/A"/>
    <e v="#N/A"/>
    <n v="240"/>
    <n v="-240"/>
    <n v="0"/>
    <n v="659464.35"/>
    <e v="#N/A"/>
    <s v="Cash in 9/11/21"/>
    <m/>
  </r>
  <r>
    <d v="2021-11-10T00:00:00"/>
    <x v="6"/>
    <x v="2"/>
    <s v="INV00000158"/>
    <s v="C00000021"/>
    <s v="KT Profesional Fiber"/>
    <x v="15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d v="2021-11-11T00:00:00"/>
    <x v="6"/>
    <x v="2"/>
    <s v="INV00000159"/>
    <s v="C00000020"/>
    <s v="WSK Tanks Sdn Bhd"/>
    <x v="45"/>
    <n v="10"/>
    <s v="Cash"/>
    <n v="0"/>
    <d v="2021-11-11T00:00:00"/>
    <n v="11"/>
    <n v="2021"/>
    <n v="20680"/>
    <n v="-20680"/>
    <n v="0"/>
    <n v="682168.35"/>
    <s v="Trsf"/>
    <s v="Trsf 13/1/21-37,500.00 "/>
    <m/>
  </r>
  <r>
    <d v="2021-11-11T00:00:00"/>
    <x v="6"/>
    <x v="2"/>
    <s v="INV00000159"/>
    <s v="C00000020"/>
    <s v="WSK Tanks Sdn Bhd"/>
    <x v="72"/>
    <n v="15"/>
    <s v="Cash"/>
    <n v="0"/>
    <d v="2021-11-11T00:00:00"/>
    <n v="11"/>
    <n v="2021"/>
    <n v="5328"/>
    <n v="-5328"/>
    <n v="0"/>
    <n v="687496.35"/>
    <s v="Trsf"/>
    <s v="Trsf 13/1/21-37,500.00 "/>
    <m/>
  </r>
  <r>
    <d v="2021-11-11T00:00:00"/>
    <x v="6"/>
    <x v="2"/>
    <s v="INV00000159"/>
    <s v="C00000020"/>
    <s v="WSK Tanks Sdn Bhd"/>
    <x v="66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x v="6"/>
    <x v="2"/>
    <s v="INV00000159"/>
    <s v="C00000020"/>
    <s v="WSK Tanks Sdn Bhd"/>
    <x v="12"/>
    <n v="4"/>
    <s v="Cash"/>
    <n v="0"/>
    <d v="2021-11-11T00:00:00"/>
    <n v="11"/>
    <n v="2021"/>
    <n v="250"/>
    <n v="-250"/>
    <n v="0"/>
    <n v="692660.35"/>
    <s v="Trsf"/>
    <s v="Trsf 21/1/2021-RM5,000.00"/>
    <m/>
  </r>
  <r>
    <d v="2021-11-11T00:00:00"/>
    <x v="6"/>
    <x v="2"/>
    <s v="INV00000159"/>
    <s v="C00000020"/>
    <s v="WSK Tanks Sdn Bhd"/>
    <x v="71"/>
    <n v="2"/>
    <s v="Cash"/>
    <n v="0"/>
    <d v="2021-11-11T00:00:00"/>
    <n v="11"/>
    <n v="2021"/>
    <n v="2000"/>
    <n v="-2000"/>
    <n v="0"/>
    <n v="694660.35"/>
    <s v="Trsf"/>
    <s v="Trsf 21/1/2021-RM5,000.00"/>
    <m/>
  </r>
  <r>
    <d v="2021-11-11T00:00:00"/>
    <x v="6"/>
    <x v="2"/>
    <s v="INV00000160"/>
    <s v="C00000020"/>
    <s v="WSK Tanks Sdn Bhd"/>
    <x v="12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d v="2021-11-13T00:00:00"/>
    <x v="6"/>
    <x v="2"/>
    <s v="INV00000161"/>
    <e v="#N/A"/>
    <s v="Cash - PMC"/>
    <x v="15"/>
    <n v="1"/>
    <e v="#N/A"/>
    <e v="#N/A"/>
    <e v="#N/A"/>
    <e v="#N/A"/>
    <e v="#N/A"/>
    <n v="2090"/>
    <n v="-2090"/>
    <n v="0"/>
    <n v="697062.85"/>
    <e v="#N/A"/>
    <s v="Trsf 11/11/21 RM2,070.00"/>
    <m/>
  </r>
  <r>
    <d v="2021-11-13T00:00:00"/>
    <x v="6"/>
    <x v="2"/>
    <s v="INV00000161"/>
    <e v="#N/A"/>
    <s v="Cash - PMC"/>
    <x v="68"/>
    <n v="2"/>
    <e v="#N/A"/>
    <e v="#N/A"/>
    <e v="#N/A"/>
    <e v="#N/A"/>
    <e v="#N/A"/>
    <n v="120"/>
    <n v="-120"/>
    <n v="0"/>
    <n v="697182.85"/>
    <e v="#N/A"/>
    <s v="Trsf 12/11/21 RM1,000.00"/>
    <m/>
  </r>
  <r>
    <d v="2021-11-13T00:00:00"/>
    <x v="6"/>
    <x v="2"/>
    <s v="INV00000161"/>
    <e v="#N/A"/>
    <s v="Cash - PMC"/>
    <x v="5"/>
    <n v="2"/>
    <e v="#N/A"/>
    <e v="#N/A"/>
    <e v="#N/A"/>
    <e v="#N/A"/>
    <e v="#N/A"/>
    <n v="540"/>
    <n v="-540"/>
    <n v="0"/>
    <n v="697722.85"/>
    <e v="#N/A"/>
    <s v="Trsf 12/11/21 RM1,000.00"/>
    <m/>
  </r>
  <r>
    <d v="2021-11-13T00:00:00"/>
    <x v="6"/>
    <x v="2"/>
    <s v="INV00000161"/>
    <e v="#N/A"/>
    <s v="Cash - PMC"/>
    <x v="33"/>
    <n v="2"/>
    <e v="#N/A"/>
    <e v="#N/A"/>
    <e v="#N/A"/>
    <e v="#N/A"/>
    <e v="#N/A"/>
    <n v="320"/>
    <n v="-320"/>
    <n v="0"/>
    <n v="698042.85"/>
    <e v="#N/A"/>
    <s v="Trsf 12/11/21 RM1,000.00"/>
    <m/>
  </r>
  <r>
    <d v="2021-11-13T00:00:00"/>
    <x v="6"/>
    <x v="2"/>
    <s v="INV00000162"/>
    <s v="C00000019"/>
    <s v="Desuki Affela Empire Enterprise"/>
    <x v="45"/>
    <n v="2"/>
    <s v="Cash"/>
    <n v="0"/>
    <d v="2021-11-13T00:00:00"/>
    <n v="11"/>
    <n v="2021"/>
    <n v="4048"/>
    <n v="-4048"/>
    <n v="0"/>
    <n v="702090.85"/>
    <s v="Trsf"/>
    <s v="Trsf 13/11/21, RM5,366.60"/>
    <m/>
  </r>
  <r>
    <d v="2021-11-13T00:00:00"/>
    <x v="6"/>
    <x v="2"/>
    <s v="INV00000162"/>
    <s v="C00000019"/>
    <s v="Desuki Affela Empire Enterprise"/>
    <x v="67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d v="2021-11-13T00:00:00"/>
    <x v="6"/>
    <x v="2"/>
    <s v="INV00000162"/>
    <s v="C00000019"/>
    <s v="Desuki Affela Empire Enterprise"/>
    <x v="12"/>
    <n v="2"/>
    <s v="Cash"/>
    <n v="0"/>
    <d v="2021-11-13T00:00:00"/>
    <n v="11"/>
    <n v="2021"/>
    <n v="125"/>
    <n v="-125"/>
    <n v="0"/>
    <n v="703209.45"/>
    <s v="Trsf"/>
    <s v="Trsf 13/11/21, RM5,366.60"/>
    <m/>
  </r>
  <r>
    <d v="2021-11-13T00:00:00"/>
    <x v="6"/>
    <x v="2"/>
    <s v="INV00000162"/>
    <s v="C00000019"/>
    <s v="Desuki Affela Empire Enterprise"/>
    <x v="4"/>
    <n v="2"/>
    <s v="Cash"/>
    <n v="0"/>
    <d v="2021-11-13T00:00:00"/>
    <n v="11"/>
    <n v="2021"/>
    <n v="200"/>
    <n v="-200"/>
    <n v="0"/>
    <n v="703409.45"/>
    <s v="Trsf"/>
    <s v="Trsf 13/11/21, RM5,366.60"/>
    <m/>
  </r>
  <r>
    <d v="2021-11-23T00:00:00"/>
    <x v="6"/>
    <x v="2"/>
    <s v="INV00000163"/>
    <s v="C00000003"/>
    <s v="Pandian Art Gallery Manufacturing"/>
    <x v="15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x v="6"/>
    <x v="2"/>
    <s v="INV00000163"/>
    <s v="C00000003"/>
    <s v="Pandian Art Gallery Manufacturing"/>
    <x v="60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x v="6"/>
    <x v="2"/>
    <s v="INV00000163"/>
    <s v="C00000003"/>
    <s v="Pandian Art Gallery Manufacturing"/>
    <x v="12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x v="6"/>
    <x v="2"/>
    <s v="INV00000164"/>
    <s v="C00000019"/>
    <s v="Desuki Affela Empire Enterprise"/>
    <x v="45"/>
    <n v="1"/>
    <s v="Cash"/>
    <n v="0"/>
    <d v="2021-11-26T00:00:00"/>
    <n v="11"/>
    <n v="2021"/>
    <n v="2024"/>
    <n v="-2024"/>
    <n v="0"/>
    <n v="707799.95"/>
    <s v="Trsf"/>
    <s v="Trsf 28/11/21"/>
    <m/>
  </r>
  <r>
    <d v="2021-11-26T00:00:00"/>
    <x v="6"/>
    <x v="2"/>
    <s v="INV00000164"/>
    <s v="C00000019"/>
    <s v="Desuki Affela Empire Enterprise"/>
    <x v="12"/>
    <n v="4"/>
    <s v="Cash"/>
    <n v="0"/>
    <d v="2021-11-26T00:00:00"/>
    <n v="11"/>
    <n v="2021"/>
    <n v="250"/>
    <n v="-250"/>
    <n v="0"/>
    <n v="708049.95"/>
    <s v="Trsf"/>
    <s v="Trsf 28/11/21"/>
    <m/>
  </r>
  <r>
    <d v="2021-11-26T00:00:00"/>
    <x v="6"/>
    <x v="2"/>
    <s v="INV00000164"/>
    <s v="C00000019"/>
    <s v="Desuki Affela Empire Enterprise"/>
    <x v="4"/>
    <n v="1"/>
    <s v="Cash"/>
    <n v="0"/>
    <d v="2021-11-26T00:00:00"/>
    <n v="11"/>
    <n v="2021"/>
    <n v="100"/>
    <n v="-100"/>
    <n v="0"/>
    <n v="708149.95"/>
    <s v="Trsf"/>
    <s v="Trsf 28/11/21"/>
    <m/>
  </r>
  <r>
    <d v="2021-11-26T00:00:00"/>
    <x v="6"/>
    <x v="2"/>
    <s v="INV00000165"/>
    <s v="C00000019"/>
    <s v="Desuki Affela Empire Enterprise"/>
    <x v="45"/>
    <n v="1"/>
    <s v="Cash"/>
    <n v="0"/>
    <d v="2021-11-26T00:00:00"/>
    <n v="11"/>
    <n v="2021"/>
    <n v="2024"/>
    <n v="-2024"/>
    <n v="0"/>
    <n v="710173.95"/>
    <s v="Trsf"/>
    <s v="Trsf 28/11/21"/>
    <m/>
  </r>
  <r>
    <d v="2021-11-29T00:00:00"/>
    <x v="6"/>
    <x v="2"/>
    <s v="INV00000166"/>
    <s v="C00000008"/>
    <s v="Wonderland Design Productions Studio"/>
    <x v="15"/>
    <n v="1"/>
    <s v="Cash"/>
    <n v="0"/>
    <d v="2021-11-29T00:00:00"/>
    <n v="11"/>
    <n v="2021"/>
    <n v="2090"/>
    <n v="-2090"/>
    <n v="0"/>
    <n v="712263.95"/>
    <s v="Trsf"/>
    <s v="Trsf 21/1/2022, RM4,006.00"/>
    <m/>
  </r>
  <r>
    <d v="2021-11-29T00:00:00"/>
    <x v="6"/>
    <x v="2"/>
    <s v="INV00000166"/>
    <s v="C00000008"/>
    <s v="Wonderland Design Productions Studio"/>
    <x v="28"/>
    <n v="4"/>
    <s v="Cash"/>
    <n v="0"/>
    <d v="2021-11-29T00:00:00"/>
    <n v="11"/>
    <n v="2021"/>
    <n v="1406"/>
    <n v="-1406"/>
    <n v="0"/>
    <n v="713669.95"/>
    <s v="Trsf"/>
    <s v="Trsf 21/1/2022, RM4,006.00"/>
    <m/>
  </r>
  <r>
    <d v="2021-12-07T00:00:00"/>
    <x v="0"/>
    <x v="2"/>
    <s v="INV00000167"/>
    <s v="C00000020"/>
    <s v="WSK Tanks Sdn Bhd"/>
    <x v="15"/>
    <n v="3"/>
    <s v="Cash"/>
    <n v="0"/>
    <d v="2021-12-07T00:00:00"/>
    <n v="12"/>
    <n v="2021"/>
    <n v="6138"/>
    <n v="-6138"/>
    <n v="0"/>
    <n v="719807.95"/>
    <s v="Trsf"/>
    <s v="Trsf 7/12/21"/>
    <m/>
  </r>
  <r>
    <d v="2021-12-07T00:00:00"/>
    <x v="0"/>
    <x v="2"/>
    <s v="INV00000167"/>
    <s v="C00000020"/>
    <s v="WSK Tanks Sdn Bhd"/>
    <x v="72"/>
    <n v="9"/>
    <s v="Cash"/>
    <n v="0"/>
    <d v="2021-12-07T00:00:00"/>
    <n v="12"/>
    <n v="2021"/>
    <n v="3263.4"/>
    <n v="-3263.4"/>
    <n v="0"/>
    <n v="723071.35"/>
    <s v="Trsf"/>
    <s v="Trsf 7/12/21"/>
    <m/>
  </r>
  <r>
    <d v="2021-12-07T00:00:00"/>
    <x v="0"/>
    <x v="2"/>
    <s v="INV00000167"/>
    <s v="C00000020"/>
    <s v="WSK Tanks Sdn Bhd"/>
    <x v="66"/>
    <n v="6"/>
    <s v="Cash"/>
    <n v="0"/>
    <d v="2021-12-07T00:00:00"/>
    <n v="12"/>
    <n v="2021"/>
    <n v="2430"/>
    <n v="-2430"/>
    <n v="0"/>
    <n v="725501.35"/>
    <s v="Trsf"/>
    <s v="Trsf 7/12/21"/>
    <m/>
  </r>
  <r>
    <d v="2021-12-07T00:00:00"/>
    <x v="0"/>
    <x v="2"/>
    <s v="INV00000167"/>
    <s v="C00000020"/>
    <s v="WSK Tanks Sdn Bhd"/>
    <x v="12"/>
    <n v="3"/>
    <s v="Cash"/>
    <n v="0"/>
    <d v="2021-12-07T00:00:00"/>
    <n v="12"/>
    <n v="2021"/>
    <n v="187.5"/>
    <n v="-187.5"/>
    <n v="0"/>
    <n v="725688.85"/>
    <s v="Trsf"/>
    <s v="Trsf 7/12/21"/>
    <m/>
  </r>
  <r>
    <d v="2021-12-07T00:00:00"/>
    <x v="0"/>
    <x v="2"/>
    <s v="INV00000167"/>
    <s v="C00000020"/>
    <s v="WSK Tanks Sdn Bhd"/>
    <x v="60"/>
    <n v="2"/>
    <s v="Cash"/>
    <n v="0"/>
    <d v="2021-12-07T00:00:00"/>
    <n v="12"/>
    <n v="2021"/>
    <n v="170"/>
    <n v="-170"/>
    <n v="0"/>
    <n v="725858.85"/>
    <s v="Trsf"/>
    <s v="Trsf 7/12/21"/>
    <m/>
  </r>
  <r>
    <d v="2021-12-10T00:00:00"/>
    <x v="0"/>
    <x v="2"/>
    <s v="INV00000168"/>
    <s v="C00000013a"/>
    <s v="Cash - PMC Sdn Bhd"/>
    <x v="15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x v="0"/>
    <x v="2"/>
    <s v="INV00000168"/>
    <s v="C00000013a"/>
    <s v="Cash - PMC Sdn Bhd"/>
    <x v="68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x v="0"/>
    <x v="2"/>
    <s v="INV00000168"/>
    <s v="C00000013a"/>
    <s v="Cash - PMC Sdn Bhd"/>
    <x v="5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x v="0"/>
    <x v="2"/>
    <s v="INV00000168"/>
    <s v="C00000013a"/>
    <s v="Cash - PMC Sdn Bhd"/>
    <x v="33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x v="0"/>
    <x v="2"/>
    <s v="INV00000168"/>
    <s v="C00000013a"/>
    <s v="Cash - PMC Sdn Bhd"/>
    <x v="52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x v="0"/>
    <x v="2"/>
    <s v="INV00000168"/>
    <s v="C00000013a"/>
    <s v="Cash - PMC Sdn Bhd"/>
    <x v="60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x v="0"/>
    <x v="2"/>
    <s v="INV00000168"/>
    <s v="C00000013a"/>
    <s v="Cash - PMC Sdn Bhd"/>
    <x v="75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x v="0"/>
    <x v="2"/>
    <s v="INV00000168"/>
    <s v="C00000013a"/>
    <s v="Cash - PMC Sdn Bhd"/>
    <x v="10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x v="0"/>
    <x v="2"/>
    <s v="INV00000168"/>
    <s v="C00000013a"/>
    <s v="Cash - PMC Sdn Bhd"/>
    <x v="16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x v="0"/>
    <x v="2"/>
    <s v="INV00000168"/>
    <s v="C00000013a"/>
    <s v="Cash - PMC Sdn Bhd"/>
    <x v="76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x v="0"/>
    <x v="2"/>
    <s v="INV00000169"/>
    <s v="C00000020"/>
    <s v="WSK Tanks Sdn Bhd"/>
    <x v="77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x v="0"/>
    <x v="2"/>
    <s v="INV00000169"/>
    <s v="C00000020"/>
    <s v="WSK Tanks Sdn Bhd"/>
    <x v="57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x v="0"/>
    <x v="2"/>
    <s v="INV00000169"/>
    <s v="C00000020"/>
    <s v="WSK Tanks Sdn Bhd"/>
    <x v="66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d v="2021-12-10T00:00:00"/>
    <x v="0"/>
    <x v="2"/>
    <s v="INV00000169"/>
    <s v="C00000020"/>
    <s v="WSK Tanks Sdn Bhd"/>
    <x v="12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d v="2021-12-10T00:00:00"/>
    <x v="0"/>
    <x v="2"/>
    <s v="INV00000169"/>
    <s v="C00000020"/>
    <s v="WSK Tanks Sdn Bhd"/>
    <x v="71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d v="2021-12-10T00:00:00"/>
    <x v="0"/>
    <x v="2"/>
    <s v="INV00000169"/>
    <s v="C00000020"/>
    <s v="WSK Tanks Sdn Bhd"/>
    <x v="60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d v="2021-12-10T00:00:00"/>
    <x v="0"/>
    <x v="2"/>
    <s v="INV00000169"/>
    <s v="C00000020"/>
    <s v="WSK Tanks Sdn Bhd"/>
    <x v="78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d v="2021-12-15T00:00:00"/>
    <x v="0"/>
    <x v="2"/>
    <s v="INV00000170"/>
    <s v="C00000010"/>
    <s v="Yew Seng Gardening Supply Sdn Bhd"/>
    <x v="45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d v="2021-12-15T00:00:00"/>
    <x v="0"/>
    <x v="2"/>
    <s v="INV00000171"/>
    <s v="C00000004"/>
    <s v="Siew Min Lorry Sdn Bhd"/>
    <x v="45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x v="0"/>
    <x v="2"/>
    <s v="INV00000171"/>
    <s v="C00000004"/>
    <s v="Siew Min Lorry Sdn Bhd"/>
    <x v="79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x v="0"/>
    <x v="2"/>
    <s v="INV00000171"/>
    <s v="C00000004"/>
    <s v="Siew Min Lorry Sdn Bhd"/>
    <x v="60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d v="2021-12-16T00:00:00"/>
    <x v="0"/>
    <x v="2"/>
    <s v="INV00000172"/>
    <s v="C00000004"/>
    <s v="Siew Min Lorry Sdn Bhd"/>
    <x v="17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d v="2021-12-20T00:00:00"/>
    <x v="0"/>
    <x v="2"/>
    <s v="INV00000173"/>
    <s v="C00000020"/>
    <s v="WSK Tanks Sdn Bhd"/>
    <x v="15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d v="2021-12-20T00:00:00"/>
    <x v="0"/>
    <x v="2"/>
    <s v="INV00000173"/>
    <s v="C00000020"/>
    <s v="WSK Tanks Sdn Bhd"/>
    <x v="71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d v="2021-12-20T00:00:00"/>
    <x v="0"/>
    <x v="2"/>
    <s v="INV00000173"/>
    <s v="C00000020"/>
    <s v="WSK Tanks Sdn Bhd"/>
    <x v="12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d v="2021-12-21T00:00:00"/>
    <x v="0"/>
    <x v="2"/>
    <s v="INV00000174"/>
    <s v="C00000004"/>
    <s v="Siew Min Lorry Sdn Bhd"/>
    <x v="80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d v="2021-12-21T00:00:00"/>
    <x v="0"/>
    <x v="2"/>
    <s v="INV00000174"/>
    <s v="C00000004"/>
    <s v="Siew Min Lorry Sdn Bhd"/>
    <x v="81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x v="0"/>
    <x v="2"/>
    <s v="INV00000175"/>
    <s v="C00000020"/>
    <s v="WSK Tanks Sdn Bhd"/>
    <x v="15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x v="0"/>
    <x v="2"/>
    <s v="INV00000175"/>
    <s v="C00000020"/>
    <s v="WSK Tanks Sdn Bhd"/>
    <x v="71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d v="2021-12-22T00:00:00"/>
    <x v="0"/>
    <x v="2"/>
    <s v="INV00000175"/>
    <s v="C00000020"/>
    <s v="WSK Tanks Sdn Bhd"/>
    <x v="12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d v="2021-12-22T00:00:00"/>
    <x v="0"/>
    <x v="2"/>
    <s v="INV00000175"/>
    <s v="C00000020"/>
    <s v="WSK Tanks Sdn Bhd"/>
    <x v="82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x v="0"/>
    <x v="2"/>
    <s v="INV00000176"/>
    <s v="C00000020"/>
    <s v="WSK Tanks Sdn Bhd"/>
    <x v="82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d v="2021-12-27T00:00:00"/>
    <x v="0"/>
    <x v="2"/>
    <s v="INV00000177"/>
    <s v="C00000020"/>
    <s v="WSK Tanks Sdn Bhd"/>
    <x v="82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d v="2021-12-27T00:00:00"/>
    <x v="0"/>
    <x v="2"/>
    <s v="INV00000177"/>
    <s v="C00000020"/>
    <s v="WSK Tanks Sdn Bhd"/>
    <x v="41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d v="2021-12-28T00:00:00"/>
    <x v="0"/>
    <x v="2"/>
    <s v="INV00000178"/>
    <s v="C00000001"/>
    <s v="Kelnico Marketing"/>
    <x v="15"/>
    <n v="2"/>
    <s v="Cash"/>
    <n v="0"/>
    <d v="2021-12-28T00:00:00"/>
    <n v="12"/>
    <n v="2021"/>
    <n v="4136"/>
    <n v="-4136"/>
    <n v="0"/>
    <n v="801771.54999999993"/>
    <s v="Trsf"/>
    <s v="Trsf 31/12/21, "/>
    <m/>
  </r>
  <r>
    <d v="2021-12-28T00:00:00"/>
    <x v="0"/>
    <x v="2"/>
    <s v="INV00000178"/>
    <s v="C00000001"/>
    <s v="Kelnico Marketing"/>
    <x v="83"/>
    <n v="5"/>
    <s v="Cash"/>
    <n v="0"/>
    <d v="2021-12-28T00:00:00"/>
    <n v="12"/>
    <n v="2021"/>
    <n v="1455"/>
    <n v="-1455"/>
    <n v="0"/>
    <n v="803226.54999999993"/>
    <s v="Trsf"/>
    <s v="Trsf 31/12/21, "/>
    <m/>
  </r>
  <r>
    <d v="2021-12-30T00:00:00"/>
    <x v="0"/>
    <x v="2"/>
    <s v="INV00000179"/>
    <s v="C00000020"/>
    <s v="WSK Tanks Sdn Bhd"/>
    <x v="15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x v="0"/>
    <x v="2"/>
    <s v="INV00000179"/>
    <s v="C00000020"/>
    <s v="WSK Tanks Sdn Bhd"/>
    <x v="83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x v="0"/>
    <x v="2"/>
    <s v="INV00000179"/>
    <s v="C00000020"/>
    <s v="WSK Tanks Sdn Bhd"/>
    <x v="84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x v="0"/>
    <x v="2"/>
    <s v="INV00000179"/>
    <s v="C00000020"/>
    <s v="WSK Tanks Sdn Bhd"/>
    <x v="12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x v="0"/>
    <x v="2"/>
    <s v="INV00000179"/>
    <s v="C00000020"/>
    <s v="WSK Tanks Sdn Bhd"/>
    <x v="71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d v="2021-12-30T00:00:00"/>
    <x v="0"/>
    <x v="2"/>
    <s v="INV00000179"/>
    <s v="C00000020"/>
    <s v="WSK Tanks Sdn Bhd"/>
    <x v="60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d v="2021-12-31T00:00:00"/>
    <x v="0"/>
    <x v="2"/>
    <s v="INV00000180"/>
    <s v="C00000010"/>
    <s v="Yew Seng Gardening Supply Sdn Bhd"/>
    <x v="45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d v="2021-12-31T00:00:00"/>
    <x v="0"/>
    <x v="2"/>
    <s v="INV00000180"/>
    <s v="C00000010"/>
    <s v="Yew Seng Gardening Supply Sdn Bhd"/>
    <x v="15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d v="2021-12-31T00:00:00"/>
    <x v="0"/>
    <x v="2"/>
    <s v="INV00000181"/>
    <s v="C00000019"/>
    <s v="Desuki Affela Empire Enterprise"/>
    <x v="45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d v="2021-12-31T00:00:00"/>
    <x v="0"/>
    <x v="2"/>
    <s v="INV00000181"/>
    <s v="C00000019"/>
    <s v="Desuki Affela Empire Enterprise"/>
    <x v="12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d v="2021-12-31T00:00:00"/>
    <x v="0"/>
    <x v="2"/>
    <s v="INV00000181"/>
    <s v="C00000019"/>
    <s v="Desuki Affela Empire Enterprise"/>
    <x v="4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d v="2021-12-31T00:00:00"/>
    <x v="0"/>
    <x v="2"/>
    <s v="INV00000181"/>
    <s v="C00000019"/>
    <s v="Desuki Affela Empire Enterprise"/>
    <x v="67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x v="7"/>
    <x v="3"/>
    <s v="INV00000182"/>
    <s v="C00000020"/>
    <s v="WSK Tanks Sdn Bhd"/>
    <x v="85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x v="7"/>
    <x v="3"/>
    <s v="INV00000182"/>
    <s v="C00000020"/>
    <s v="WSK Tanks Sdn Bhd"/>
    <x v="83"/>
    <n v="4"/>
    <s v="Cash"/>
    <n v="0"/>
    <d v="2022-01-03T00:00:00"/>
    <n v="1"/>
    <n v="2022"/>
    <n v="1176"/>
    <n v="-1176"/>
    <n v="0"/>
    <n v="845127.85"/>
    <s v="Trsf"/>
    <s v="Trsf 12/4/22-RM10,000.00"/>
    <m/>
  </r>
  <r>
    <d v="2022-01-03T00:00:00"/>
    <x v="7"/>
    <x v="3"/>
    <s v="INV00000182"/>
    <s v="C00000020"/>
    <s v="WSK Tanks Sdn Bhd"/>
    <x v="84"/>
    <n v="2"/>
    <s v="Cash"/>
    <n v="0"/>
    <d v="2022-01-03T00:00:00"/>
    <n v="1"/>
    <n v="2022"/>
    <n v="702"/>
    <n v="-702"/>
    <n v="0"/>
    <n v="845829.85"/>
    <s v="Trsf"/>
    <s v="Trsf 12/4/22-RM10,000.00"/>
    <m/>
  </r>
  <r>
    <d v="2022-01-03T00:00:00"/>
    <x v="7"/>
    <x v="3"/>
    <s v="INV00000182"/>
    <s v="C00000020"/>
    <s v="WSK Tanks Sdn Bhd"/>
    <x v="12"/>
    <n v="2"/>
    <s v="Cash"/>
    <n v="0"/>
    <d v="2022-01-03T00:00:00"/>
    <n v="1"/>
    <n v="2022"/>
    <n v="125"/>
    <n v="-125"/>
    <n v="0"/>
    <n v="845954.85"/>
    <s v="Trsf"/>
    <s v="Trsf 12/4/22-RM10,000.00"/>
    <m/>
  </r>
  <r>
    <d v="2022-01-06T00:00:00"/>
    <x v="7"/>
    <x v="3"/>
    <s v="INV00000183"/>
    <s v="C00000019"/>
    <s v="Desuki Affela Empire Enterprise"/>
    <x v="86"/>
    <n v="6"/>
    <s v="Cash"/>
    <n v="0"/>
    <d v="2022-01-06T00:00:00"/>
    <n v="1"/>
    <n v="2022"/>
    <n v="360"/>
    <n v="-360"/>
    <n v="0"/>
    <n v="846314.85"/>
    <s v="Trsf"/>
    <s v="Trsf 6/1/2022 RM1,080.00"/>
    <m/>
  </r>
  <r>
    <d v="2022-01-06T00:00:00"/>
    <x v="7"/>
    <x v="3"/>
    <s v="INV00000183"/>
    <s v="C00000019"/>
    <s v="Desuki Affela Empire Enterprise"/>
    <x v="52"/>
    <n v="2"/>
    <s v="Cash"/>
    <n v="0"/>
    <d v="2022-01-06T00:00:00"/>
    <n v="1"/>
    <n v="2022"/>
    <n v="720"/>
    <n v="-720"/>
    <n v="0"/>
    <n v="847034.85"/>
    <s v="Trsf"/>
    <s v="Trsf 6/1/2022 RM1,080.00"/>
    <m/>
  </r>
  <r>
    <d v="2022-01-07T00:00:00"/>
    <x v="7"/>
    <x v="3"/>
    <s v="INV00000184"/>
    <s v="C00000020"/>
    <s v="WSK Tanks Sdn Bhd"/>
    <x v="83"/>
    <n v="3"/>
    <s v="Cash"/>
    <n v="0"/>
    <d v="2022-01-07T00:00:00"/>
    <n v="1"/>
    <n v="2022"/>
    <n v="882"/>
    <n v="-882"/>
    <n v="0"/>
    <n v="847916.85"/>
    <s v="Trsf"/>
    <s v="Trsf 7/1/22 RMRM1,223.00"/>
    <m/>
  </r>
  <r>
    <d v="2022-01-07T00:00:00"/>
    <x v="7"/>
    <x v="3"/>
    <s v="INV00000184"/>
    <s v="C00000020"/>
    <s v="WSK Tanks Sdn Bhd"/>
    <x v="84"/>
    <n v="1"/>
    <s v="Cash"/>
    <n v="0"/>
    <d v="2022-01-07T00:00:00"/>
    <n v="1"/>
    <n v="2022"/>
    <n v="351"/>
    <n v="-351"/>
    <n v="0"/>
    <n v="848267.85"/>
    <s v="Trsf"/>
    <s v="Trsf 7/1/22 RMRM1,223.00"/>
    <m/>
  </r>
  <r>
    <d v="2022-01-08T00:00:00"/>
    <x v="7"/>
    <x v="3"/>
    <s v="INV00000185"/>
    <s v="C00000020"/>
    <s v="WSK Tanks Sdn Bhd"/>
    <x v="85"/>
    <n v="2"/>
    <s v="Cash"/>
    <n v="0"/>
    <d v="2022-01-08T00:00:00"/>
    <n v="1"/>
    <n v="2022"/>
    <n v="4180"/>
    <n v="-4180"/>
    <n v="0"/>
    <n v="852447.85"/>
    <s v="Trsf"/>
    <s v="Trsf 12/4/22-RM10,000.00"/>
    <m/>
  </r>
  <r>
    <d v="2022-01-08T00:00:00"/>
    <x v="7"/>
    <x v="3"/>
    <s v="INV00000185"/>
    <s v="C00000020"/>
    <s v="WSK Tanks Sdn Bhd"/>
    <x v="83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x v="7"/>
    <x v="3"/>
    <s v="INV00000185"/>
    <s v="C00000020"/>
    <s v="WSK Tanks Sdn Bhd"/>
    <x v="41"/>
    <n v="1"/>
    <s v="Cash"/>
    <n v="0"/>
    <d v="2022-01-08T00:00:00"/>
    <n v="1"/>
    <n v="2022"/>
    <n v="312"/>
    <n v="-312"/>
    <n v="0"/>
    <n v="854817.85"/>
    <s v="Trsf"/>
    <s v="Trsf 15/4/22-RM3,500.00"/>
    <m/>
  </r>
  <r>
    <d v="2022-01-08T00:00:00"/>
    <x v="7"/>
    <x v="3"/>
    <s v="INV00000185"/>
    <s v="C00000020"/>
    <s v="WSK Tanks Sdn Bhd"/>
    <x v="84"/>
    <n v="2"/>
    <s v="Cash"/>
    <n v="0"/>
    <d v="2022-01-08T00:00:00"/>
    <n v="1"/>
    <n v="2022"/>
    <n v="702"/>
    <n v="-702"/>
    <n v="0"/>
    <n v="855519.85"/>
    <s v="Trsf"/>
    <s v="Trsf 15/4/22-RM3,500.00"/>
    <m/>
  </r>
  <r>
    <d v="2022-01-08T00:00:00"/>
    <x v="7"/>
    <x v="3"/>
    <s v="INV00000185"/>
    <s v="C00000020"/>
    <s v="WSK Tanks Sdn Bhd"/>
    <x v="12"/>
    <n v="2"/>
    <s v="Cash"/>
    <n v="0"/>
    <d v="2022-01-08T00:00:00"/>
    <n v="1"/>
    <n v="2022"/>
    <n v="125"/>
    <n v="-125"/>
    <n v="0"/>
    <n v="855644.85"/>
    <s v="Trsf"/>
    <s v="Trsf 15/4/22-RM3,500.00"/>
    <m/>
  </r>
  <r>
    <d v="2022-01-10T00:00:00"/>
    <x v="7"/>
    <x v="3"/>
    <s v="INV00000186"/>
    <s v="C00000003"/>
    <s v="Pandian Art Gallery Manufacturing"/>
    <x v="85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x v="7"/>
    <x v="3"/>
    <s v="INV00000186"/>
    <s v="C00000003"/>
    <s v="Pandian Art Gallery Manufacturing"/>
    <x v="87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x v="7"/>
    <x v="3"/>
    <s v="INV00000186"/>
    <s v="C00000003"/>
    <s v="Pandian Art Gallery Manufacturing"/>
    <x v="4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x v="7"/>
    <x v="3"/>
    <s v="INV00000186"/>
    <s v="C00000003"/>
    <s v="Pandian Art Gallery Manufacturing"/>
    <x v="25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x v="7"/>
    <x v="3"/>
    <s v="INV00000187"/>
    <s v="C00000010"/>
    <s v="Yew Seng Gardening Supply Sdn Bhd"/>
    <x v="88"/>
    <n v="4"/>
    <n v="120"/>
    <n v="120"/>
    <d v="2022-05-11T00:00:00"/>
    <n v="5"/>
    <n v="2022"/>
    <n v="8096"/>
    <n v="-8096"/>
    <n v="0"/>
    <n v="871075.85"/>
    <s v="Trsf"/>
    <s v="Trsf 21/4/2022 RM28,820.00"/>
    <m/>
  </r>
  <r>
    <d v="2022-01-11T00:00:00"/>
    <x v="7"/>
    <x v="3"/>
    <s v="INV00000187"/>
    <s v="C00000010"/>
    <s v="Yew Seng Gardening Supply Sdn Bhd"/>
    <x v="89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d v="2022-01-11T00:00:00"/>
    <x v="7"/>
    <x v="3"/>
    <s v="INV00000187"/>
    <s v="C00000010"/>
    <s v="Yew Seng Gardening Supply Sdn Bhd"/>
    <x v="12"/>
    <n v="10"/>
    <n v="120"/>
    <n v="120"/>
    <d v="2022-05-11T00:00:00"/>
    <n v="5"/>
    <n v="2022"/>
    <n v="550"/>
    <n v="-550"/>
    <n v="0"/>
    <n v="877325.85"/>
    <s v="Trsf"/>
    <s v="Trsf 21/4/2022 RM28,820.00"/>
    <m/>
  </r>
  <r>
    <d v="2022-01-11T00:00:00"/>
    <x v="7"/>
    <x v="3"/>
    <s v="INV00000187"/>
    <s v="C00000010"/>
    <s v="Yew Seng Gardening Supply Sdn Bhd"/>
    <x v="60"/>
    <n v="4"/>
    <n v="120"/>
    <n v="120"/>
    <d v="2022-05-11T00:00:00"/>
    <n v="5"/>
    <n v="2022"/>
    <n v="340"/>
    <n v="-340"/>
    <n v="0"/>
    <n v="877665.85"/>
    <s v="Trsf"/>
    <s v="Trsf 21/4/2022 RM28,820.00"/>
    <m/>
  </r>
  <r>
    <d v="2022-01-11T00:00:00"/>
    <x v="7"/>
    <x v="3"/>
    <s v="INV00000187"/>
    <s v="C00000010"/>
    <s v="Yew Seng Gardening Supply Sdn Bhd"/>
    <x v="37"/>
    <n v="1"/>
    <n v="120"/>
    <n v="120"/>
    <d v="2022-05-11T00:00:00"/>
    <n v="5"/>
    <n v="2022"/>
    <n v="440"/>
    <n v="-440"/>
    <n v="0"/>
    <n v="878105.85"/>
    <s v="Trsf"/>
    <s v="Trsf 21/4/2022 RM28,820.00"/>
    <m/>
  </r>
  <r>
    <d v="2022-01-11T00:00:00"/>
    <x v="7"/>
    <x v="3"/>
    <s v="INV00000187"/>
    <s v="C00000010"/>
    <s v="Yew Seng Gardening Supply Sdn Bhd"/>
    <x v="56"/>
    <n v="4"/>
    <n v="120"/>
    <n v="120"/>
    <d v="2022-05-11T00:00:00"/>
    <n v="5"/>
    <n v="2022"/>
    <n v="220"/>
    <n v="-220"/>
    <n v="0"/>
    <n v="878325.85"/>
    <s v="Trsf"/>
    <s v="Trsf 21/4/2022 RM28,820.00"/>
    <m/>
  </r>
  <r>
    <d v="2022-01-13T00:00:00"/>
    <x v="7"/>
    <x v="3"/>
    <s v="INV00000188"/>
    <s v="C00000019"/>
    <s v="Desuki Affela Empire Enterprise"/>
    <x v="45"/>
    <n v="2"/>
    <s v="Cash"/>
    <n v="0"/>
    <d v="2022-01-13T00:00:00"/>
    <n v="1"/>
    <n v="2022"/>
    <n v="4136"/>
    <n v="-4136"/>
    <n v="0"/>
    <n v="882461.85"/>
    <s v="Trsf"/>
    <s v="Trsf 14/1/22 RM5,183.60"/>
    <m/>
  </r>
  <r>
    <d v="2022-01-13T00:00:00"/>
    <x v="7"/>
    <x v="3"/>
    <s v="INV00000188"/>
    <s v="C00000019"/>
    <s v="Desuki Affela Empire Enterprise"/>
    <x v="67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x v="7"/>
    <x v="3"/>
    <s v="INV00000189"/>
    <s v="C00000020"/>
    <s v="WSK Tanks Sdn Bhd"/>
    <x v="85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x v="7"/>
    <x v="3"/>
    <s v="INV00000189"/>
    <s v="C00000020"/>
    <s v="WSK Tanks Sdn Bhd"/>
    <x v="90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x v="7"/>
    <x v="3"/>
    <s v="INV00000189"/>
    <s v="C00000020"/>
    <s v="WSK Tanks Sdn Bhd"/>
    <x v="91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x v="7"/>
    <x v="3"/>
    <s v="INV00000189"/>
    <s v="C00000020"/>
    <s v="WSK Tanks Sdn Bhd"/>
    <x v="71"/>
    <n v="1"/>
    <s v="Cash"/>
    <n v="0"/>
    <d v="2022-01-13T00:00:00"/>
    <n v="1"/>
    <n v="2022"/>
    <n v="1000"/>
    <n v="-1000"/>
    <n v="0"/>
    <n v="911558.45"/>
    <s v="Trsf"/>
    <s v="Trsf 11/5/22 RM16,000.00"/>
    <m/>
  </r>
  <r>
    <d v="2022-01-13T00:00:00"/>
    <x v="7"/>
    <x v="3"/>
    <s v="INV00000189"/>
    <s v="C00000020"/>
    <s v="WSK Tanks Sdn Bhd"/>
    <x v="12"/>
    <n v="8"/>
    <s v="Cash"/>
    <n v="0"/>
    <d v="2022-01-13T00:00:00"/>
    <n v="1"/>
    <n v="2022"/>
    <n v="500"/>
    <n v="-500"/>
    <n v="0"/>
    <n v="912058.45"/>
    <s v="Trsf"/>
    <s v="Trsf 11/5/22 RM16,000.00"/>
    <m/>
  </r>
  <r>
    <d v="2022-01-14T00:00:00"/>
    <x v="7"/>
    <x v="3"/>
    <s v="INV00000190"/>
    <s v="C00000004"/>
    <s v="Siew Min Lorry Sdn Bhd"/>
    <x v="92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d v="2022-01-14T00:00:00"/>
    <x v="7"/>
    <x v="3"/>
    <s v="INV00000190"/>
    <s v="C00000004"/>
    <s v="Siew Min Lorry Sdn Bhd"/>
    <x v="90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d v="2022-01-14T00:00:00"/>
    <x v="7"/>
    <x v="3"/>
    <s v="INV00000190"/>
    <s v="C00000004"/>
    <s v="Siew Min Lorry Sdn Bhd"/>
    <x v="37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d v="2022-01-14T00:00:00"/>
    <x v="7"/>
    <x v="3"/>
    <s v="INV00000190"/>
    <s v="C00000004"/>
    <s v="Siew Min Lorry Sdn Bhd"/>
    <x v="60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d v="2022-01-14T00:00:00"/>
    <x v="7"/>
    <x v="3"/>
    <s v="INV00000190"/>
    <s v="C00000004"/>
    <s v="Siew Min Lorry Sdn Bhd"/>
    <x v="5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d v="2022-01-14T00:00:00"/>
    <x v="7"/>
    <x v="3"/>
    <s v="INV00000190"/>
    <s v="C00000004"/>
    <s v="Siew Min Lorry Sdn Bhd"/>
    <x v="87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d v="2022-01-14T00:00:00"/>
    <x v="7"/>
    <x v="3"/>
    <s v="INV00000191"/>
    <s v="C00000004"/>
    <s v="Siew Min Lorry Sdn Bhd"/>
    <x v="87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d v="2022-01-14T00:00:00"/>
    <x v="7"/>
    <x v="3"/>
    <s v="INV00000191"/>
    <s v="C00000004"/>
    <s v="Siew Min Lorry Sdn Bhd"/>
    <x v="12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d v="2022-01-17T00:00:00"/>
    <x v="7"/>
    <x v="3"/>
    <s v="INV00000192"/>
    <s v="C00000004"/>
    <s v="Siew Min Lorry Sdn Bhd"/>
    <x v="7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d v="2022-01-17T00:00:00"/>
    <x v="7"/>
    <x v="3"/>
    <s v="INV00000192"/>
    <s v="C00000004"/>
    <s v="Siew Min Lorry Sdn Bhd"/>
    <x v="49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d v="2022-01-17T00:00:00"/>
    <x v="7"/>
    <x v="3"/>
    <s v="INV00000192"/>
    <s v="C00000004"/>
    <s v="Siew Min Lorry Sdn Bhd"/>
    <x v="17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d v="2022-01-18T00:00:00"/>
    <x v="7"/>
    <x v="3"/>
    <s v="INV00000193"/>
    <s v="C00000020"/>
    <s v="WSK Tanks Sdn Bhd"/>
    <x v="85"/>
    <n v="3"/>
    <s v="Cash"/>
    <n v="0"/>
    <d v="2022-01-18T00:00:00"/>
    <n v="1"/>
    <n v="2022"/>
    <n v="6270"/>
    <n v="-6270"/>
    <n v="0"/>
    <n v="934819.95"/>
    <s v="Trsf"/>
    <s v="Trsf 11/5/22 RM16,000.00"/>
    <m/>
  </r>
  <r>
    <d v="2022-01-18T00:00:00"/>
    <x v="7"/>
    <x v="3"/>
    <s v="INV00000193"/>
    <s v="C00000020"/>
    <s v="WSK Tanks Sdn Bhd"/>
    <x v="90"/>
    <n v="4"/>
    <s v="Cash"/>
    <n v="0"/>
    <d v="2022-01-18T00:00:00"/>
    <n v="1"/>
    <n v="2022"/>
    <n v="2352"/>
    <n v="-2352"/>
    <n v="0"/>
    <n v="937171.95"/>
    <s v="Trsf"/>
    <s v="Trsf 11/5/22 RM16,000.00"/>
    <m/>
  </r>
  <r>
    <d v="2022-01-18T00:00:00"/>
    <x v="7"/>
    <x v="3"/>
    <s v="INV00000193"/>
    <s v="C00000020"/>
    <s v="WSK Tanks Sdn Bhd"/>
    <x v="91"/>
    <n v="5"/>
    <s v="Cash"/>
    <n v="0"/>
    <d v="2022-01-18T00:00:00"/>
    <n v="1"/>
    <n v="2022"/>
    <n v="1755"/>
    <n v="-1755"/>
    <n v="0"/>
    <n v="938926.95"/>
    <s v="Trsf"/>
    <s v="Trsf 11/5/22 RM16,000.00"/>
    <m/>
  </r>
  <r>
    <d v="2022-01-18T00:00:00"/>
    <x v="7"/>
    <x v="3"/>
    <s v="INV00000193"/>
    <s v="C00000020"/>
    <s v="WSK Tanks Sdn Bhd"/>
    <x v="71"/>
    <n v="1"/>
    <s v="Cash"/>
    <n v="0"/>
    <d v="2022-01-18T00:00:00"/>
    <n v="1"/>
    <n v="2022"/>
    <n v="1000"/>
    <n v="-1000"/>
    <n v="0"/>
    <n v="939926.95"/>
    <s v="Trsf"/>
    <s v="Trsf 11/5/22 RM16,000.00"/>
    <m/>
  </r>
  <r>
    <d v="2022-01-18T00:00:00"/>
    <x v="7"/>
    <x v="3"/>
    <s v="INV00000193"/>
    <s v="C00000020"/>
    <s v="WSK Tanks Sdn Bhd"/>
    <x v="12"/>
    <n v="2"/>
    <s v="Cash"/>
    <n v="0"/>
    <d v="2022-01-18T00:00:00"/>
    <n v="1"/>
    <n v="2022"/>
    <n v="125"/>
    <n v="-125"/>
    <n v="0"/>
    <n v="940051.95"/>
    <s v="Trsf"/>
    <s v="Trsf 11/5/22 RM16,000.00"/>
    <m/>
  </r>
  <r>
    <d v="2022-01-22T00:00:00"/>
    <x v="7"/>
    <x v="3"/>
    <s v="INV00000194"/>
    <s v="C00000019"/>
    <s v="Desuki Affela Empire Enterprise"/>
    <x v="92"/>
    <n v="1"/>
    <s v="Cash"/>
    <n v="0"/>
    <d v="2022-01-22T00:00:00"/>
    <n v="1"/>
    <n v="2022"/>
    <n v="2068"/>
    <n v="-2068"/>
    <n v="0"/>
    <n v="942119.95"/>
    <s v="Trsf"/>
    <s v="Trsf  23/1/22 RM2,696.80"/>
    <m/>
  </r>
  <r>
    <d v="2022-01-22T00:00:00"/>
    <x v="7"/>
    <x v="3"/>
    <s v="INV00000194"/>
    <s v="C00000019"/>
    <s v="Desuki Affela Empire Enterprise"/>
    <x v="67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x v="7"/>
    <x v="3"/>
    <s v="INV00000194"/>
    <s v="C00000019"/>
    <s v="Desuki Affela Empire Enterprise"/>
    <x v="93"/>
    <n v="1"/>
    <s v="Cash"/>
    <n v="0"/>
    <d v="2022-01-22T00:00:00"/>
    <n v="1"/>
    <n v="2022"/>
    <n v="105"/>
    <n v="-105"/>
    <n v="0"/>
    <n v="942748.75"/>
    <s v="Trsf"/>
    <s v="Trsf  23/1/22 RM2,696.80"/>
    <m/>
  </r>
  <r>
    <d v="2022-01-24T00:00:00"/>
    <x v="7"/>
    <x v="3"/>
    <s v="INV00000195"/>
    <s v="C00000010"/>
    <s v="Yew Seng Gardening Supply Sdn Bhd"/>
    <x v="45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d v="2022-01-24T00:00:00"/>
    <x v="7"/>
    <x v="3"/>
    <s v="INV00000195"/>
    <s v="C00000010"/>
    <s v="Yew Seng Gardening Supply Sdn Bhd"/>
    <x v="12"/>
    <n v="10"/>
    <n v="120"/>
    <n v="120"/>
    <d v="2022-05-24T00:00:00"/>
    <n v="5"/>
    <n v="2022"/>
    <n v="550"/>
    <n v="-550"/>
    <n v="0"/>
    <n v="955442.75"/>
    <s v="Trsf"/>
    <s v="Trsf 21/4/2022 RM28,820.00"/>
    <m/>
  </r>
  <r>
    <d v="2022-01-24T00:00:00"/>
    <x v="7"/>
    <x v="3"/>
    <s v="INV00000195"/>
    <s v="C00000010"/>
    <s v="Yew Seng Gardening Supply Sdn Bhd"/>
    <x v="60"/>
    <n v="4"/>
    <n v="120"/>
    <n v="120"/>
    <d v="2022-05-24T00:00:00"/>
    <n v="5"/>
    <n v="2022"/>
    <n v="340"/>
    <n v="-340"/>
    <n v="0"/>
    <n v="955782.75"/>
    <s v="Trsf"/>
    <s v="Trsf 21/4/2022 RM28,820.00"/>
    <m/>
  </r>
  <r>
    <d v="2022-01-24T00:00:00"/>
    <x v="7"/>
    <x v="3"/>
    <s v="INV00000195"/>
    <s v="C00000010"/>
    <s v="Yew Seng Gardening Supply Sdn Bhd"/>
    <x v="37"/>
    <n v="1"/>
    <n v="120"/>
    <n v="120"/>
    <d v="2022-05-24T00:00:00"/>
    <n v="5"/>
    <n v="2022"/>
    <n v="440"/>
    <n v="-440"/>
    <n v="0"/>
    <n v="956222.75"/>
    <s v="Trsf"/>
    <s v="Trsf 21/4/2022 RM28,820.00"/>
    <m/>
  </r>
  <r>
    <d v="2022-01-25T00:00:00"/>
    <x v="7"/>
    <x v="3"/>
    <s v="INV00000196"/>
    <s v="C00000006"/>
    <s v="Perniagaan Fibra Sahih"/>
    <x v="92"/>
    <n v="1"/>
    <s v="Cash"/>
    <n v="0"/>
    <d v="2022-01-25T00:00:00"/>
    <n v="1"/>
    <n v="2022"/>
    <n v="2024"/>
    <n v="-2024"/>
    <n v="0"/>
    <n v="958246.75"/>
    <s v="Chq"/>
    <s v="chq 934918 21/02/2022"/>
    <m/>
  </r>
  <r>
    <d v="2022-01-25T00:00:00"/>
    <x v="7"/>
    <x v="3"/>
    <s v="INV00000196"/>
    <s v="C00000006"/>
    <s v="Perniagaan Fibra Sahih"/>
    <x v="87"/>
    <n v="1"/>
    <s v="Cash"/>
    <n v="0"/>
    <d v="2022-01-25T00:00:00"/>
    <n v="1"/>
    <n v="2022"/>
    <n v="285"/>
    <n v="-285"/>
    <n v="0"/>
    <n v="958531.75"/>
    <s v="Chq"/>
    <s v="chq 934918 21/02/2022"/>
    <m/>
  </r>
  <r>
    <d v="2022-01-26T00:00:00"/>
    <x v="7"/>
    <x v="3"/>
    <s v="INV00000197"/>
    <s v="C00000004"/>
    <s v="Siew Min Lorry Sdn Bhd"/>
    <x v="92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d v="2022-01-26T00:00:00"/>
    <x v="7"/>
    <x v="3"/>
    <s v="INV00000197"/>
    <s v="C00000004"/>
    <s v="Siew Min Lorry Sdn Bhd"/>
    <x v="94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d v="2022-01-26T00:00:00"/>
    <x v="7"/>
    <x v="3"/>
    <s v="INV00000197"/>
    <s v="C00000004"/>
    <s v="Siew Min Lorry Sdn Bhd"/>
    <x v="87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d v="2022-01-26T00:00:00"/>
    <x v="7"/>
    <x v="3"/>
    <s v="INV00000197"/>
    <s v="C00000004"/>
    <s v="Siew Min Lorry Sdn Bhd"/>
    <x v="67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d v="2022-02-10T00:00:00"/>
    <x v="8"/>
    <x v="3"/>
    <s v="INV00000198"/>
    <s v="C00000019"/>
    <s v="Desuki Affela Empire Enterprise"/>
    <x v="92"/>
    <n v="2"/>
    <s v="Cash"/>
    <n v="0"/>
    <d v="2022-02-10T00:00:00"/>
    <n v="2"/>
    <n v="2022"/>
    <n v="4136"/>
    <n v="-4136"/>
    <n v="0"/>
    <n v="977775.75"/>
    <s v="Trsf"/>
    <s v="Trsf 12/2/22 RM6,532.40"/>
    <m/>
  </r>
  <r>
    <d v="2022-02-10T00:00:00"/>
    <x v="8"/>
    <x v="3"/>
    <s v="INV00000198"/>
    <s v="C00000019"/>
    <s v="Desuki Affela Empire Enterprise"/>
    <x v="67"/>
    <n v="3"/>
    <s v="Cash"/>
    <n v="0"/>
    <d v="2022-02-10T00:00:00"/>
    <n v="2"/>
    <n v="2022"/>
    <n v="1571.4"/>
    <n v="-1571.4"/>
    <n v="0"/>
    <n v="979347.15"/>
    <s v="Trsf"/>
    <s v="Trsf 12/2/22 RM6,532.40"/>
    <m/>
  </r>
  <r>
    <d v="2022-02-10T00:00:00"/>
    <x v="8"/>
    <x v="3"/>
    <s v="INV00000198"/>
    <s v="C00000019"/>
    <s v="Desuki Affela Empire Enterprise"/>
    <x v="4"/>
    <n v="1"/>
    <s v="Cash"/>
    <n v="0"/>
    <d v="2022-02-10T00:00:00"/>
    <n v="2"/>
    <n v="2022"/>
    <n v="105"/>
    <n v="-105"/>
    <n v="0"/>
    <n v="979452.15"/>
    <s v="Trsf"/>
    <s v="Trsf 12/2/22 RM6,532.40"/>
    <m/>
  </r>
  <r>
    <d v="2022-02-10T00:00:00"/>
    <x v="8"/>
    <x v="3"/>
    <s v="INV00000198"/>
    <s v="C00000019"/>
    <s v="Desuki Affela Empire Enterprise"/>
    <x v="52"/>
    <n v="2"/>
    <s v="Cash"/>
    <n v="0"/>
    <d v="2022-02-10T00:00:00"/>
    <n v="2"/>
    <n v="2022"/>
    <n v="720"/>
    <n v="-720"/>
    <n v="0"/>
    <n v="980172.15"/>
    <s v="Trsf"/>
    <s v="Trsf 12/2/22 RM6,532.40"/>
    <m/>
  </r>
  <r>
    <d v="2022-02-15T00:00:00"/>
    <x v="8"/>
    <x v="3"/>
    <s v="INV00000199"/>
    <s v="C00000004"/>
    <s v="Siew Min Lorry Sdn Bhd"/>
    <x v="60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d v="2022-02-15T00:00:00"/>
    <x v="8"/>
    <x v="3"/>
    <s v="INV00000199"/>
    <s v="C00000004"/>
    <s v="Siew Min Lorry Sdn Bhd"/>
    <x v="87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d v="2022-02-17T00:00:00"/>
    <x v="8"/>
    <x v="3"/>
    <s v="INV00000200"/>
    <s v="C00000010"/>
    <s v="Yew Seng Gardening Supply Sdn Bhd"/>
    <x v="88"/>
    <n v="6"/>
    <n v="120"/>
    <n v="120"/>
    <d v="2022-06-17T00:00:00"/>
    <n v="6"/>
    <n v="2022"/>
    <n v="11880"/>
    <n v="-11880"/>
    <n v="0"/>
    <n v="993532.15"/>
    <s v="Trsf"/>
    <s v="Trsf 23/5/22 RM14,395.00"/>
    <m/>
  </r>
  <r>
    <d v="2022-02-17T00:00:00"/>
    <x v="8"/>
    <x v="3"/>
    <s v="INV00000200"/>
    <s v="C00000010"/>
    <s v="Yew Seng Gardening Supply Sdn Bhd"/>
    <x v="95"/>
    <n v="5"/>
    <n v="120"/>
    <n v="120"/>
    <d v="2022-06-17T00:00:00"/>
    <n v="6"/>
    <n v="2022"/>
    <n v="1425"/>
    <n v="-1425"/>
    <n v="0"/>
    <n v="994957.15"/>
    <s v="Trsf"/>
    <s v="Trsf 23/5/22 RM14,395.00"/>
    <m/>
  </r>
  <r>
    <d v="2022-02-17T00:00:00"/>
    <x v="8"/>
    <x v="3"/>
    <s v="INV00000200"/>
    <s v="C00000010"/>
    <s v="Yew Seng Gardening Supply Sdn Bhd"/>
    <x v="12"/>
    <n v="5"/>
    <n v="120"/>
    <n v="120"/>
    <d v="2022-06-17T00:00:00"/>
    <n v="6"/>
    <n v="2022"/>
    <n v="275"/>
    <n v="-275"/>
    <n v="0"/>
    <n v="995232.15"/>
    <s v="Trsf"/>
    <s v="Trsf 23/5/22 RM14,395.00"/>
    <m/>
  </r>
  <r>
    <d v="2022-02-17T00:00:00"/>
    <x v="8"/>
    <x v="3"/>
    <s v="INV00000200"/>
    <s v="C00000010"/>
    <s v="Yew Seng Gardening Supply Sdn Bhd"/>
    <x v="48"/>
    <n v="1"/>
    <n v="120"/>
    <n v="120"/>
    <d v="2022-06-17T00:00:00"/>
    <n v="6"/>
    <n v="2022"/>
    <n v="375"/>
    <n v="-375"/>
    <n v="0"/>
    <n v="995607.15"/>
    <s v="Trsf"/>
    <s v="Trsf 23/5/22 RM14,395.00"/>
    <m/>
  </r>
  <r>
    <d v="2022-02-17T00:00:00"/>
    <x v="8"/>
    <x v="3"/>
    <s v="INV00000200"/>
    <s v="C00000010"/>
    <s v="Yew Seng Gardening Supply Sdn Bhd"/>
    <x v="37"/>
    <n v="1"/>
    <n v="120"/>
    <n v="120"/>
    <d v="2022-06-17T00:00:00"/>
    <n v="6"/>
    <n v="2022"/>
    <n v="440"/>
    <n v="-440"/>
    <n v="0"/>
    <n v="996047.15"/>
    <s v="Trsf"/>
    <s v="Trsf 23/5/22 RM14,395.00"/>
    <m/>
  </r>
  <r>
    <d v="2022-02-18T00:00:00"/>
    <x v="8"/>
    <x v="3"/>
    <s v="INV00000201"/>
    <s v="C00000009"/>
    <s v="JMC Steel Engineering Sdn Bhd"/>
    <x v="92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d v="2022-02-18T00:00:00"/>
    <x v="8"/>
    <x v="3"/>
    <s v="INV00000201"/>
    <s v="C00000009"/>
    <s v="JMC Steel Engineering Sdn Bhd"/>
    <x v="96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d v="2022-02-19T00:00:00"/>
    <x v="8"/>
    <x v="3"/>
    <s v="INV00000202"/>
    <s v="C00000003"/>
    <s v="Pandian Art Gallery Manufacturing"/>
    <x v="85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x v="8"/>
    <x v="3"/>
    <s v="INV00000202"/>
    <s v="C00000003"/>
    <s v="Pandian Art Gallery Manufacturing"/>
    <x v="12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d v="2022-02-19T00:00:00"/>
    <x v="8"/>
    <x v="3"/>
    <s v="INV00000202"/>
    <s v="C00000003"/>
    <s v="Pandian Art Gallery Manufacturing"/>
    <x v="4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d v="2022-02-19T00:00:00"/>
    <x v="8"/>
    <x v="3"/>
    <s v="INV00000202"/>
    <s v="C00000003"/>
    <s v="Pandian Art Gallery Manufacturing"/>
    <x v="25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d v="2022-02-21T00:00:00"/>
    <x v="8"/>
    <x v="3"/>
    <s v="INV00000203"/>
    <s v="C00000021"/>
    <s v="KT Profesional Fiber"/>
    <x v="85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d v="2022-02-21T00:00:00"/>
    <x v="8"/>
    <x v="3"/>
    <s v="INV00000203"/>
    <s v="C00000021"/>
    <s v="KT Profesional Fiber"/>
    <x v="95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d v="2022-02-21T00:00:00"/>
    <x v="8"/>
    <x v="3"/>
    <s v="INV00000203"/>
    <s v="C00000021"/>
    <s v="KT Profesional Fiber"/>
    <x v="60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d v="2022-02-21T00:00:00"/>
    <x v="8"/>
    <x v="3"/>
    <s v="INV00000204"/>
    <s v="C00000006"/>
    <s v="Perniagaan Fibra Sahih"/>
    <x v="42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d v="2022-02-22T00:00:00"/>
    <x v="8"/>
    <x v="3"/>
    <s v="INV00000205"/>
    <s v="C00000019"/>
    <s v="Desuki Affela Empire Enterprise"/>
    <x v="92"/>
    <n v="2"/>
    <s v="Cash"/>
    <n v="0"/>
    <d v="2022-02-22T00:00:00"/>
    <n v="2"/>
    <n v="2022"/>
    <n v="4136"/>
    <n v="-4136"/>
    <n v="0"/>
    <n v="1019391.15"/>
    <s v="Trsf"/>
    <s v="Trsf 22/2/22 RM5,877.30"/>
    <m/>
  </r>
  <r>
    <d v="2022-02-22T00:00:00"/>
    <x v="8"/>
    <x v="3"/>
    <s v="INV00000205"/>
    <s v="C00000019"/>
    <s v="Desuki Affela Empire Enterprise"/>
    <x v="67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x v="8"/>
    <x v="3"/>
    <s v="INV00000205"/>
    <s v="C00000019"/>
    <s v="Desuki Affela Empire Enterprise"/>
    <x v="93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d v="2022-02-22T00:00:00"/>
    <x v="8"/>
    <x v="3"/>
    <s v="INV00000205"/>
    <s v="C00000019"/>
    <s v="Desuki Affela Empire Enterprise"/>
    <x v="52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d v="2022-02-22T00:00:00"/>
    <x v="8"/>
    <x v="3"/>
    <s v="INV00000205"/>
    <s v="C00000019"/>
    <s v="Desuki Affela Empire Enterprise"/>
    <x v="12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d v="2022-02-22T00:00:00"/>
    <x v="8"/>
    <x v="3"/>
    <s v="INV00000205"/>
    <s v="C00000019"/>
    <s v="Desuki Affela Empire Enterprise"/>
    <x v="37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d v="2022-02-24T00:00:00"/>
    <x v="8"/>
    <x v="3"/>
    <s v="INV00000206"/>
    <s v="C00000020"/>
    <s v="WSK Tanks Sdn Bhd"/>
    <x v="85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x v="8"/>
    <x v="3"/>
    <s v="INV00000206"/>
    <s v="C00000020"/>
    <s v="WSK Tanks Sdn Bhd"/>
    <x v="92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d v="2022-02-24T00:00:00"/>
    <x v="8"/>
    <x v="3"/>
    <s v="INV00000206"/>
    <s v="C00000020"/>
    <s v="WSK Tanks Sdn Bhd"/>
    <x v="91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d v="2022-02-24T00:00:00"/>
    <x v="8"/>
    <x v="3"/>
    <s v="INV00000206"/>
    <s v="C00000020"/>
    <s v="WSK Tanks Sdn Bhd"/>
    <x v="71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d v="2022-02-24T00:00:00"/>
    <x v="8"/>
    <x v="3"/>
    <s v="INV00000206"/>
    <s v="C00000020"/>
    <s v="WSK Tanks Sdn Bhd"/>
    <x v="60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d v="2022-02-26T00:00:00"/>
    <x v="8"/>
    <x v="3"/>
    <s v="INV00000207"/>
    <s v="C00000020"/>
    <s v="WSK Tanks Sdn Bhd"/>
    <x v="85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d v="2022-02-26T00:00:00"/>
    <x v="8"/>
    <x v="3"/>
    <s v="INV00000207"/>
    <s v="C00000020"/>
    <s v="WSK Tanks Sdn Bhd"/>
    <x v="90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d v="2022-02-26T00:00:00"/>
    <x v="8"/>
    <x v="3"/>
    <s v="INV00000208"/>
    <s v="C00000003"/>
    <s v="Pandian Art Gallery Manufacturing"/>
    <x v="87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x v="9"/>
    <x v="3"/>
    <s v="INV00000209"/>
    <s v="C00000021"/>
    <s v="KT Profesional Fiber"/>
    <x v="85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x v="9"/>
    <x v="3"/>
    <s v="INV00000209"/>
    <s v="C00000021"/>
    <s v="KT Profesional Fiber"/>
    <x v="95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x v="9"/>
    <x v="3"/>
    <s v="INV00000209"/>
    <s v="C00000021"/>
    <s v="KT Profesional Fiber"/>
    <x v="60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x v="9"/>
    <x v="3"/>
    <s v="INV00000210"/>
    <s v="C00000022"/>
    <s v="SF Engineering Solution"/>
    <x v="96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d v="2022-03-08T00:00:00"/>
    <x v="9"/>
    <x v="3"/>
    <s v="INV00000210"/>
    <s v="C00000022"/>
    <s v="SF Engineering Solution"/>
    <x v="97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d v="2022-03-08T00:00:00"/>
    <x v="9"/>
    <x v="3"/>
    <s v="INV00000210"/>
    <s v="C00000022"/>
    <s v="SF Engineering Solution"/>
    <x v="98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d v="2022-03-08T00:00:00"/>
    <x v="9"/>
    <x v="3"/>
    <s v="INV00000210"/>
    <s v="C00000022"/>
    <s v="SF Engineering Solution"/>
    <x v="99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d v="2022-03-08T00:00:00"/>
    <x v="9"/>
    <x v="3"/>
    <s v="INV00000210"/>
    <s v="C00000022"/>
    <s v="SF Engineering Solution"/>
    <x v="90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d v="2022-03-08T00:00:00"/>
    <x v="9"/>
    <x v="3"/>
    <s v="INV00000210"/>
    <s v="C00000022"/>
    <s v="SF Engineering Solution"/>
    <x v="87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d v="2022-03-08T00:00:00"/>
    <x v="9"/>
    <x v="3"/>
    <s v="INV00000210"/>
    <s v="C00000022"/>
    <s v="SF Engineering Solution"/>
    <x v="91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d v="2022-03-08T00:00:00"/>
    <x v="9"/>
    <x v="3"/>
    <s v="INV00000210"/>
    <s v="C00000022"/>
    <s v="SF Engineering Solution"/>
    <x v="4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d v="2022-03-08T00:00:00"/>
    <x v="9"/>
    <x v="3"/>
    <s v="INV00000211"/>
    <s v="C00000010"/>
    <s v="Yew Seng Gardening Supply Sdn Bhd"/>
    <x v="88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d v="2022-03-08T00:00:00"/>
    <x v="9"/>
    <x v="3"/>
    <s v="INV00000211"/>
    <s v="C00000010"/>
    <s v="Yew Seng Gardening Supply Sdn Bhd"/>
    <x v="95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d v="2022-03-08T00:00:00"/>
    <x v="9"/>
    <x v="3"/>
    <s v="INV00000211"/>
    <s v="C00000010"/>
    <s v="Yew Seng Gardening Supply Sdn Bhd"/>
    <x v="12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d v="2022-03-09T00:00:00"/>
    <x v="9"/>
    <x v="3"/>
    <s v="INV00000212"/>
    <s v="C00000022"/>
    <s v="SF Engineering Solution"/>
    <x v="12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d v="2022-03-11T00:00:00"/>
    <x v="9"/>
    <x v="3"/>
    <s v="INV00000213"/>
    <s v="C00000019"/>
    <s v="Desuki Affela Empire Enterprise"/>
    <x v="92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d v="2022-03-11T00:00:00"/>
    <x v="9"/>
    <x v="3"/>
    <s v="INV00000213"/>
    <s v="C00000019"/>
    <s v="Desuki Affela Empire Enterprise"/>
    <x v="67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x v="9"/>
    <x v="3"/>
    <s v="INV00000213"/>
    <s v="C00000019"/>
    <s v="Desuki Affela Empire Enterprise"/>
    <x v="12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d v="2022-03-11T00:00:00"/>
    <x v="9"/>
    <x v="3"/>
    <s v="INV00000213"/>
    <s v="C00000019"/>
    <s v="Desuki Affela Empire Enterprise"/>
    <x v="52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d v="2022-03-12T00:00:00"/>
    <x v="9"/>
    <x v="3"/>
    <s v="INV00000214"/>
    <s v="C00000022"/>
    <s v="SF Engineering Solution"/>
    <x v="52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d v="2022-03-12T00:00:00"/>
    <x v="9"/>
    <x v="3"/>
    <s v="INV00000215"/>
    <s v="C00000006"/>
    <s v="Perniagaan Fibra Sahih"/>
    <x v="88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x v="9"/>
    <x v="3"/>
    <s v="INV00000216"/>
    <s v="C00000020"/>
    <s v="WSK Tanks Sdn Bhd"/>
    <x v="85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x v="9"/>
    <x v="3"/>
    <s v="INV00000216"/>
    <s v="C00000020"/>
    <s v="WSK Tanks Sdn Bhd"/>
    <x v="90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d v="2022-03-14T00:00:00"/>
    <x v="9"/>
    <x v="3"/>
    <s v="INV00000216"/>
    <s v="C00000020"/>
    <s v="WSK Tanks Sdn Bhd"/>
    <x v="91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d v="2022-03-15T00:00:00"/>
    <x v="9"/>
    <x v="3"/>
    <s v="INV00000217"/>
    <s v="C00000010"/>
    <s v="Yew Seng Gardening Supply Sdn Bhd"/>
    <x v="88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d v="2022-03-15T00:00:00"/>
    <x v="9"/>
    <x v="3"/>
    <s v="INV00000217"/>
    <s v="C00000010"/>
    <s v="Yew Seng Gardening Supply Sdn Bhd"/>
    <x v="95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d v="2022-03-15T00:00:00"/>
    <x v="9"/>
    <x v="3"/>
    <s v="INV00000217"/>
    <s v="C00000010"/>
    <s v="Yew Seng Gardening Supply Sdn Bhd"/>
    <x v="37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d v="2022-03-15T00:00:00"/>
    <x v="9"/>
    <x v="3"/>
    <s v="INV00000218"/>
    <s v="C00000020"/>
    <s v="WSK Tanks Sdn Bhd"/>
    <x v="85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d v="2022-03-15T00:00:00"/>
    <x v="9"/>
    <x v="3"/>
    <s v="INV00000218"/>
    <s v="C00000020"/>
    <s v="WSK Tanks Sdn Bhd"/>
    <x v="90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x v="9"/>
    <x v="3"/>
    <s v="INV00000218"/>
    <s v="C00000020"/>
    <s v="WSK Tanks Sdn Bhd"/>
    <x v="91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d v="2022-03-15T00:00:00"/>
    <x v="9"/>
    <x v="3"/>
    <s v="INV00000218"/>
    <s v="C00000020"/>
    <s v="WSK Tanks Sdn Bhd"/>
    <x v="41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d v="2022-03-15T00:00:00"/>
    <x v="9"/>
    <x v="3"/>
    <s v="INV00000218"/>
    <s v="C00000020"/>
    <s v="WSK Tanks Sdn Bhd"/>
    <x v="60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d v="2022-03-17T00:00:00"/>
    <x v="9"/>
    <x v="3"/>
    <s v="INV00000219"/>
    <s v="C00000019"/>
    <s v="Desuki Affela Empire Enterprise"/>
    <x v="93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d v="2022-03-18T00:00:00"/>
    <x v="9"/>
    <x v="3"/>
    <s v="INV00000220"/>
    <s v="C00000020"/>
    <s v="WSK Tanks Sdn Bhd"/>
    <x v="15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x v="9"/>
    <x v="3"/>
    <s v="INV00000220"/>
    <s v="C00000020"/>
    <s v="WSK Tanks Sdn Bhd"/>
    <x v="100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d v="2022-03-18T00:00:00"/>
    <x v="9"/>
    <x v="3"/>
    <s v="INV00000220"/>
    <s v="C00000020"/>
    <s v="WSK Tanks Sdn Bhd"/>
    <x v="101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d v="2022-03-19T00:00:00"/>
    <x v="9"/>
    <x v="3"/>
    <s v="INV00000221"/>
    <s v="C00000021"/>
    <s v="KT Profesional Fiber"/>
    <x v="15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x v="9"/>
    <x v="3"/>
    <s v="INV00000221"/>
    <s v="C00000021"/>
    <s v="KT Profesional Fiber"/>
    <x v="100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x v="9"/>
    <x v="3"/>
    <s v="INV00000221"/>
    <s v="C00000021"/>
    <s v="KT Profesional Fiber"/>
    <x v="60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x v="9"/>
    <x v="3"/>
    <s v="INV00000221"/>
    <s v="C00000021"/>
    <s v="KT Profesional Fiber"/>
    <x v="102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x v="9"/>
    <x v="3"/>
    <s v="INV00000221"/>
    <s v="C00000021"/>
    <s v="KT Profesional Fiber"/>
    <x v="103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x v="9"/>
    <x v="3"/>
    <s v="INV00000221"/>
    <s v="C00000021"/>
    <s v="KT Profesional Fiber"/>
    <x v="12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x v="9"/>
    <x v="3"/>
    <s v="INV00000221"/>
    <s v="C00000021"/>
    <s v="KT Profesional Fiber"/>
    <x v="104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x v="9"/>
    <x v="3"/>
    <s v="INV00000222"/>
    <s v="C00000006"/>
    <s v="Perniagaan Fibra Sahih"/>
    <x v="98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x v="9"/>
    <x v="3"/>
    <s v="INV00000223"/>
    <s v="C00000020"/>
    <s v="WSK Tanks Sdn Bhd"/>
    <x v="15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d v="2022-03-23T00:00:00"/>
    <x v="9"/>
    <x v="3"/>
    <s v="INV00000223"/>
    <s v="C00000020"/>
    <s v="WSK Tanks Sdn Bhd"/>
    <x v="100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d v="2022-03-23T00:00:00"/>
    <x v="9"/>
    <x v="3"/>
    <s v="INV00000223"/>
    <s v="C00000020"/>
    <s v="WSK Tanks Sdn Bhd"/>
    <x v="101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d v="2022-03-23T00:00:00"/>
    <x v="9"/>
    <x v="3"/>
    <s v="INV00000223"/>
    <s v="C00000020"/>
    <s v="WSK Tanks Sdn Bhd"/>
    <x v="12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d v="2022-03-25T00:00:00"/>
    <x v="9"/>
    <x v="3"/>
    <s v="INV00000224"/>
    <s v="C00000020"/>
    <s v="WSK Tanks Sdn Bhd"/>
    <x v="7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d v="2022-03-25T00:00:00"/>
    <x v="9"/>
    <x v="3"/>
    <s v="INV00000224"/>
    <s v="C00000020"/>
    <s v="WSK Tanks Sdn Bhd"/>
    <x v="100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d v="2022-03-25T00:00:00"/>
    <x v="9"/>
    <x v="3"/>
    <s v="INV00000224"/>
    <s v="C00000020"/>
    <s v="WSK Tanks Sdn Bhd"/>
    <x v="101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d v="2022-03-25T00:00:00"/>
    <x v="9"/>
    <x v="3"/>
    <s v="INV00000224"/>
    <s v="C00000020"/>
    <s v="WSK Tanks Sdn Bhd"/>
    <x v="12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x v="9"/>
    <x v="3"/>
    <s v="INV00000224"/>
    <s v="C00000020"/>
    <s v="WSK Tanks Sdn Bhd"/>
    <x v="105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d v="2022-03-29T00:00:00"/>
    <x v="9"/>
    <x v="3"/>
    <s v="INV00000225"/>
    <s v="C00000001"/>
    <s v="Kelnico Marketing"/>
    <x v="15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d v="2022-03-29T00:00:00"/>
    <x v="9"/>
    <x v="3"/>
    <s v="INV00000225"/>
    <s v="C00000001"/>
    <s v="Kelnico Marketing"/>
    <x v="100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d v="2022-03-29T00:00:00"/>
    <x v="9"/>
    <x v="3"/>
    <s v="INV00000226"/>
    <s v="C00000020"/>
    <s v="WSK Tanks Sdn Bhd"/>
    <x v="7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d v="2022-03-29T00:00:00"/>
    <x v="9"/>
    <x v="3"/>
    <s v="INV00000226"/>
    <s v="C00000020"/>
    <s v="WSK Tanks Sdn Bhd"/>
    <x v="100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x v="9"/>
    <x v="3"/>
    <s v="INV00000226"/>
    <s v="C00000020"/>
    <s v="WSK Tanks Sdn Bhd"/>
    <x v="101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x v="9"/>
    <x v="3"/>
    <s v="INV00000226"/>
    <s v="C00000020"/>
    <s v="WSK Tanks Sdn Bhd"/>
    <x v="12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x v="9"/>
    <x v="3"/>
    <s v="INV00000227"/>
    <s v="C00000023"/>
    <s v="Bestway Engineering Solutions"/>
    <x v="7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d v="2022-03-31T00:00:00"/>
    <x v="9"/>
    <x v="3"/>
    <s v="INV00000227"/>
    <s v="C00000023"/>
    <s v="Bestway Engineering Solutions"/>
    <x v="106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d v="2022-03-31T00:00:00"/>
    <x v="9"/>
    <x v="3"/>
    <s v="INV00000227"/>
    <s v="C00000023"/>
    <s v="Bestway Engineering Solutions"/>
    <x v="105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d v="2022-03-31T00:00:00"/>
    <x v="9"/>
    <x v="3"/>
    <s v="INV00000227"/>
    <s v="C00000023"/>
    <s v="Bestway Engineering Solutions"/>
    <x v="12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d v="2022-04-01T00:00:00"/>
    <x v="10"/>
    <x v="3"/>
    <s v="INV00000228"/>
    <s v="C00000021"/>
    <s v="KT Profesional Fiber"/>
    <x v="15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x v="10"/>
    <x v="3"/>
    <s v="INV00000228"/>
    <s v="C00000021"/>
    <s v="KT Profesional Fiber"/>
    <x v="100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x v="10"/>
    <x v="3"/>
    <s v="INV00000228"/>
    <s v="C00000021"/>
    <s v="KT Profesional Fiber"/>
    <x v="106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x v="10"/>
    <x v="3"/>
    <s v="INV00000228"/>
    <s v="C00000021"/>
    <s v="KT Profesional Fiber"/>
    <x v="12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x v="10"/>
    <x v="3"/>
    <s v="INV00000228"/>
    <s v="C00000021"/>
    <s v="KT Profesional Fiber"/>
    <x v="107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x v="10"/>
    <x v="3"/>
    <s v="INV00000229"/>
    <s v="C00000020"/>
    <s v="WSK Tanks Sdn Bhd"/>
    <x v="15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x v="10"/>
    <x v="3"/>
    <s v="INV00000229"/>
    <s v="C00000020"/>
    <s v="WSK Tanks Sdn Bhd"/>
    <x v="7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x v="10"/>
    <x v="3"/>
    <s v="INV00000229"/>
    <s v="C00000020"/>
    <s v="WSK Tanks Sdn Bhd"/>
    <x v="108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x v="10"/>
    <x v="3"/>
    <s v="INV00000229"/>
    <s v="C00000020"/>
    <s v="WSK Tanks Sdn Bhd"/>
    <x v="101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x v="10"/>
    <x v="3"/>
    <s v="INV00000229"/>
    <s v="C00000020"/>
    <s v="WSK Tanks Sdn Bhd"/>
    <x v="12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x v="10"/>
    <x v="3"/>
    <s v="INV00000230"/>
    <s v="C00000022"/>
    <s v="SF Engineering Solution"/>
    <x v="7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d v="2022-04-01T00:00:00"/>
    <x v="10"/>
    <x v="3"/>
    <s v="INV00000230"/>
    <s v="C00000022"/>
    <s v="SF Engineering Solution"/>
    <x v="87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d v="2022-04-01T00:00:00"/>
    <x v="10"/>
    <x v="3"/>
    <s v="INV00000230"/>
    <s v="C00000022"/>
    <s v="SF Engineering Solution"/>
    <x v="101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d v="2022-04-01T00:00:00"/>
    <x v="10"/>
    <x v="3"/>
    <s v="INV00000230"/>
    <s v="C00000022"/>
    <s v="SF Engineering Solution"/>
    <x v="99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d v="2022-04-05T00:00:00"/>
    <x v="10"/>
    <x v="3"/>
    <s v="INV00000231"/>
    <s v="C00000020"/>
    <s v="WSK Tanks Sdn Bhd"/>
    <x v="7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x v="10"/>
    <x v="3"/>
    <s v="INV00000231"/>
    <s v="C00000020"/>
    <s v="WSK Tanks Sdn Bhd"/>
    <x v="100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x v="10"/>
    <x v="3"/>
    <s v="INV00000231"/>
    <s v="C00000020"/>
    <s v="WSK Tanks Sdn Bhd"/>
    <x v="101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x v="10"/>
    <x v="3"/>
    <s v="INV00000231"/>
    <s v="C00000020"/>
    <s v="WSK Tanks Sdn Bhd"/>
    <x v="12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x v="10"/>
    <x v="3"/>
    <s v="INV00000231"/>
    <s v="C00000020"/>
    <s v="WSK Tanks Sdn Bhd"/>
    <x v="105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x v="10"/>
    <x v="3"/>
    <s v="INV00000231"/>
    <s v="C00000020"/>
    <s v="WSK Tanks Sdn Bhd"/>
    <x v="106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x v="10"/>
    <x v="3"/>
    <s v="INV00000232"/>
    <s v="C00000019"/>
    <s v="Desuki Affela Empire Enterprise"/>
    <x v="7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d v="2022-04-08T00:00:00"/>
    <x v="10"/>
    <x v="3"/>
    <s v="INV00000232"/>
    <s v="C00000019"/>
    <s v="Desuki Affela Empire Enterprise"/>
    <x v="67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x v="10"/>
    <x v="3"/>
    <s v="INV00000232"/>
    <s v="C00000019"/>
    <s v="Desuki Affela Empire Enterprise"/>
    <x v="12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d v="2022-04-08T00:00:00"/>
    <x v="10"/>
    <x v="3"/>
    <s v="INV00000232"/>
    <s v="C00000019"/>
    <s v="Desuki Affela Empire Enterprise"/>
    <x v="52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d v="2022-04-08T00:00:00"/>
    <x v="10"/>
    <x v="3"/>
    <s v="INV00000232"/>
    <s v="C00000019"/>
    <s v="Desuki Affela Empire Enterprise"/>
    <x v="93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d v="2022-04-08T00:00:00"/>
    <x v="10"/>
    <x v="3"/>
    <s v="INV00000233"/>
    <s v="C00000003"/>
    <s v="Pandian Art Gallery Manufacturing"/>
    <x v="15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x v="10"/>
    <x v="3"/>
    <s v="INV00000233"/>
    <s v="C00000003"/>
    <s v="Pandian Art Gallery Manufacturing"/>
    <x v="12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x v="10"/>
    <x v="3"/>
    <s v="INV00000233"/>
    <s v="C00000003"/>
    <s v="Pandian Art Gallery Manufacturing"/>
    <x v="4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x v="10"/>
    <x v="3"/>
    <s v="INV00000233"/>
    <s v="C00000003"/>
    <s v="Pandian Art Gallery Manufacturing"/>
    <x v="25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d v="2022-04-09T00:00:00"/>
    <x v="10"/>
    <x v="3"/>
    <s v="INV00000234"/>
    <s v="C00000009"/>
    <s v="JMC Steel Engineering Sdn Bhd"/>
    <x v="7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d v="2022-04-09T00:00:00"/>
    <x v="10"/>
    <x v="3"/>
    <s v="INV00000234"/>
    <s v="C00000009"/>
    <s v="JMC Steel Engineering Sdn Bhd"/>
    <x v="108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d v="2022-04-09T00:00:00"/>
    <x v="10"/>
    <x v="3"/>
    <s v="INV00000234"/>
    <s v="C00000009"/>
    <s v="JMC Steel Engineering Sdn Bhd"/>
    <x v="109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d v="2022-04-09T00:00:00"/>
    <x v="10"/>
    <x v="3"/>
    <s v="INV00000235"/>
    <s v="C00000020"/>
    <s v="WSK Tanks Sdn Bhd"/>
    <x v="15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x v="10"/>
    <x v="3"/>
    <s v="INV00000235"/>
    <s v="C00000020"/>
    <s v="WSK Tanks Sdn Bhd"/>
    <x v="100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x v="10"/>
    <x v="3"/>
    <s v="INV00000235"/>
    <s v="C00000020"/>
    <s v="WSK Tanks Sdn Bhd"/>
    <x v="101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x v="10"/>
    <x v="3"/>
    <s v="INV00000235"/>
    <s v="C00000020"/>
    <s v="WSK Tanks Sdn Bhd"/>
    <x v="12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x v="10"/>
    <x v="3"/>
    <s v="INV00000236"/>
    <s v="C00000024"/>
    <s v="Worldwide Competence Sdn Bhd"/>
    <x v="15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x v="10"/>
    <x v="3"/>
    <s v="INV00000236"/>
    <s v="C00000024"/>
    <s v="Worldwide Competence Sdn Bhd"/>
    <x v="110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x v="10"/>
    <x v="3"/>
    <s v="INV00000236"/>
    <s v="C00000024"/>
    <s v="Worldwide Competence Sdn Bhd"/>
    <x v="100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x v="10"/>
    <x v="3"/>
    <s v="INV00000236"/>
    <s v="C00000024"/>
    <s v="Worldwide Competence Sdn Bhd"/>
    <x v="12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x v="10"/>
    <x v="3"/>
    <s v="INV00000236"/>
    <s v="C00000024"/>
    <s v="Worldwide Competence Sdn Bhd"/>
    <x v="105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x v="10"/>
    <x v="3"/>
    <s v="INV00000236"/>
    <s v="C00000024"/>
    <s v="Worldwide Competence Sdn Bhd"/>
    <x v="106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x v="10"/>
    <x v="3"/>
    <s v="INV00000237"/>
    <s v="C00000022"/>
    <s v="SF Engineering Solution"/>
    <x v="111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d v="2022-04-12T00:00:00"/>
    <x v="10"/>
    <x v="3"/>
    <s v="INV00000237"/>
    <s v="C00000022"/>
    <s v="SF Engineering Solution"/>
    <x v="52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d v="2022-04-13T00:00:00"/>
    <x v="10"/>
    <x v="3"/>
    <s v="INV00000238"/>
    <s v="C00000024"/>
    <s v="Worldwide Competence Sdn Bhd"/>
    <x v="100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x v="10"/>
    <x v="3"/>
    <s v="INV00000239"/>
    <s v="C00000020"/>
    <s v="WSK Tanks Sdn Bhd"/>
    <x v="7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x v="10"/>
    <x v="3"/>
    <s v="INV00000239"/>
    <s v="C00000020"/>
    <s v="WSK Tanks Sdn Bhd"/>
    <x v="112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x v="10"/>
    <x v="3"/>
    <s v="INV00000239"/>
    <s v="C00000020"/>
    <s v="WSK Tanks Sdn Bhd"/>
    <x v="101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d v="2022-04-13T00:00:00"/>
    <x v="10"/>
    <x v="3"/>
    <s v="INV00000239"/>
    <s v="C00000020"/>
    <s v="WSK Tanks Sdn Bhd"/>
    <x v="12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d v="2022-04-14T00:00:00"/>
    <x v="10"/>
    <x v="3"/>
    <s v="INV00000240"/>
    <s v="C00000021"/>
    <s v="KT Profesional Fiber"/>
    <x v="15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x v="10"/>
    <x v="3"/>
    <s v="INV00000240"/>
    <s v="C00000021"/>
    <s v="KT Profesional Fiber"/>
    <x v="100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x v="10"/>
    <x v="3"/>
    <s v="INV00000240"/>
    <s v="C00000021"/>
    <s v="KT Profesional Fiber"/>
    <x v="106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x v="10"/>
    <x v="3"/>
    <s v="INV00000241"/>
    <s v="C00000024"/>
    <s v="Worldwide Competence Sdn Bhd"/>
    <x v="15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x v="10"/>
    <x v="3"/>
    <s v="INV00000241"/>
    <s v="C00000024"/>
    <s v="Worldwide Competence Sdn Bhd"/>
    <x v="106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x v="10"/>
    <x v="3"/>
    <s v="INV00000242"/>
    <s v="C00000020"/>
    <s v="WSK Tanks Sdn Bhd"/>
    <x v="7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d v="2022-04-16T00:00:00"/>
    <x v="10"/>
    <x v="3"/>
    <s v="INV00000242"/>
    <s v="C00000020"/>
    <s v="WSK Tanks Sdn Bhd"/>
    <x v="100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d v="2022-04-16T00:00:00"/>
    <x v="10"/>
    <x v="3"/>
    <s v="INV00000242"/>
    <s v="C00000020"/>
    <s v="WSK Tanks Sdn Bhd"/>
    <x v="101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d v="2022-04-16T00:00:00"/>
    <x v="10"/>
    <x v="3"/>
    <s v="INV00000242"/>
    <s v="C00000020"/>
    <s v="WSK Tanks Sdn Bhd"/>
    <x v="12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d v="2022-04-16T00:00:00"/>
    <x v="10"/>
    <x v="3"/>
    <s v="INV00000242"/>
    <s v="C00000020"/>
    <s v="WSK Tanks Sdn Bhd"/>
    <x v="106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x v="10"/>
    <x v="3"/>
    <s v="INV00000243"/>
    <s v="C00000023"/>
    <s v="Bestway Engineering Solutions"/>
    <x v="113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d v="2022-04-16T00:00:00"/>
    <x v="10"/>
    <x v="3"/>
    <s v="INV00000243"/>
    <s v="C00000023"/>
    <s v="Bestway Engineering Solutions"/>
    <x v="100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d v="2022-04-16T00:00:00"/>
    <x v="10"/>
    <x v="3"/>
    <s v="INV00000243"/>
    <s v="C00000023"/>
    <s v="Bestway Engineering Solutions"/>
    <x v="106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d v="2022-04-16T00:00:00"/>
    <x v="10"/>
    <x v="3"/>
    <s v="INV00000243"/>
    <s v="C00000023"/>
    <s v="Bestway Engineering Solutions"/>
    <x v="12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d v="2022-04-19T00:00:00"/>
    <x v="10"/>
    <x v="3"/>
    <s v="INV00000244"/>
    <s v="C00000020"/>
    <s v="WSK Tanks Sdn Bhd"/>
    <x v="105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d v="2022-04-19T00:00:00"/>
    <x v="10"/>
    <x v="3"/>
    <s v="INV00000244"/>
    <s v="C00000020"/>
    <s v="WSK Tanks Sdn Bhd"/>
    <x v="100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d v="2022-04-19T00:00:00"/>
    <x v="10"/>
    <x v="3"/>
    <s v="INV00000244"/>
    <s v="C00000020"/>
    <s v="WSK Tanks Sdn Bhd"/>
    <x v="41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d v="2022-04-20T00:00:00"/>
    <x v="10"/>
    <x v="3"/>
    <s v="INV00000245"/>
    <s v="C00000025"/>
    <s v="LLL Automotive Sdn Bhd"/>
    <x v="114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d v="2022-04-20T00:00:00"/>
    <x v="10"/>
    <x v="3"/>
    <s v="INV00000245"/>
    <s v="C00000025"/>
    <s v="LLL Automotive Sdn Bhd"/>
    <x v="115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d v="2022-04-20T00:00:00"/>
    <x v="10"/>
    <x v="3"/>
    <s v="INV00000245"/>
    <s v="C00000025"/>
    <s v="LLL Automotive Sdn Bhd"/>
    <x v="116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d v="2022-04-20T00:00:00"/>
    <x v="10"/>
    <x v="3"/>
    <s v="INV00000245"/>
    <s v="C00000025"/>
    <s v="LLL Automotive Sdn Bhd"/>
    <x v="117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d v="2022-04-21T00:00:00"/>
    <x v="10"/>
    <x v="3"/>
    <s v="INV00000246"/>
    <s v="C00000004"/>
    <s v="Siew Min Lorry Sdn Bhd"/>
    <x v="92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x v="10"/>
    <x v="3"/>
    <s v="INV00000246"/>
    <s v="C00000004"/>
    <s v="Siew Min Lorry Sdn Bhd"/>
    <x v="94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d v="2022-04-21T00:00:00"/>
    <x v="10"/>
    <x v="3"/>
    <s v="INV00000246"/>
    <s v="C00000004"/>
    <s v="Siew Min Lorry Sdn Bhd"/>
    <x v="112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d v="2022-04-21T00:00:00"/>
    <x v="10"/>
    <x v="3"/>
    <s v="INV00000246"/>
    <s v="C00000004"/>
    <s v="Siew Min Lorry Sdn Bhd"/>
    <x v="109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d v="2022-04-21T00:00:00"/>
    <x v="10"/>
    <x v="3"/>
    <s v="INV00000247"/>
    <s v="C00000025"/>
    <s v="LLL Automotive Sdn Bhd"/>
    <x v="53"/>
    <n v="1"/>
    <s v="Cash"/>
    <n v="0"/>
    <d v="2022-04-21T00:00:00"/>
    <n v="4"/>
    <n v="2022"/>
    <n v="68"/>
    <n v="-68"/>
    <n v="0"/>
    <n v="1276563.4500000002"/>
    <s v="Trsf"/>
    <s v="Trsf PBB 21/4/22"/>
    <m/>
  </r>
  <r>
    <d v="2022-04-21T00:00:00"/>
    <x v="10"/>
    <x v="3"/>
    <s v="INV00000248"/>
    <s v="C00000001"/>
    <s v="Kelnico Marketing"/>
    <x v="118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x v="10"/>
    <x v="3"/>
    <s v="INV00000248"/>
    <s v="C00000001"/>
    <s v="Kelnico Marketing"/>
    <x v="119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x v="10"/>
    <x v="3"/>
    <s v="INV00000249"/>
    <s v="C00000020"/>
    <s v="WSK Tanks Sdn Bhd"/>
    <x v="120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x v="10"/>
    <x v="3"/>
    <s v="INV00000249"/>
    <s v="C00000020"/>
    <s v="WSK Tanks Sdn Bhd"/>
    <x v="100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d v="2022-04-23T00:00:00"/>
    <x v="10"/>
    <x v="3"/>
    <s v="INV00000249"/>
    <s v="C00000020"/>
    <s v="WSK Tanks Sdn Bhd"/>
    <x v="66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x v="10"/>
    <x v="3"/>
    <s v="INV00000249"/>
    <s v="C00000020"/>
    <s v="WSK Tanks Sdn Bhd"/>
    <x v="12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d v="2022-04-23T00:00:00"/>
    <x v="10"/>
    <x v="3"/>
    <s v="INV00000249"/>
    <s v="C00000020"/>
    <s v="WSK Tanks Sdn Bhd"/>
    <x v="105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s v="26/4/2022"/>
    <x v="10"/>
    <x v="3"/>
    <s v="INV00000250"/>
    <s v="C00000023"/>
    <s v="Bestway Engineering Solutions"/>
    <x v="120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s v="26/4/2022"/>
    <x v="10"/>
    <x v="3"/>
    <s v="INV00000250"/>
    <s v="C00000023"/>
    <s v="Bestway Engineering Solutions"/>
    <x v="100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s v="26/4/2022"/>
    <x v="10"/>
    <x v="3"/>
    <s v="INV00000250"/>
    <s v="C00000023"/>
    <s v="Bestway Engineering Solutions"/>
    <x v="66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s v="26/4/2022"/>
    <x v="10"/>
    <x v="3"/>
    <s v="INV00000250"/>
    <s v="C00000023"/>
    <s v="Bestway Engineering Solutions"/>
    <x v="12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d v="2022-04-27T00:00:00"/>
    <x v="10"/>
    <x v="3"/>
    <s v="INV00000251"/>
    <s v="C00000010"/>
    <s v="Yew Seng Gardening Supply Sdn Bhd"/>
    <x v="121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d v="2022-04-27T00:00:00"/>
    <x v="10"/>
    <x v="3"/>
    <s v="INV00000251"/>
    <s v="C00000010"/>
    <s v="Yew Seng Gardening Supply Sdn Bhd"/>
    <x v="93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d v="2022-04-28T00:00:00"/>
    <x v="10"/>
    <x v="3"/>
    <s v="INV00000252"/>
    <s v="C00000021"/>
    <s v="KT Profesional Fiber"/>
    <x v="15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x v="10"/>
    <x v="3"/>
    <s v="INV00000252"/>
    <s v="C00000021"/>
    <s v="KT Profesional Fiber"/>
    <x v="100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x v="10"/>
    <x v="3"/>
    <s v="INV00000252"/>
    <s v="C00000021"/>
    <s v="KT Profesional Fiber"/>
    <x v="106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x v="10"/>
    <x v="3"/>
    <s v="INV00000253"/>
    <s v="C00000020"/>
    <s v="WSK Tanks Sdn Bhd"/>
    <x v="120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d v="2022-04-28T00:00:00"/>
    <x v="10"/>
    <x v="3"/>
    <s v="INV00000253"/>
    <s v="C00000020"/>
    <s v="WSK Tanks Sdn Bhd"/>
    <x v="100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d v="2022-04-28T00:00:00"/>
    <x v="10"/>
    <x v="3"/>
    <s v="INV00000253"/>
    <s v="C00000020"/>
    <s v="WSK Tanks Sdn Bhd"/>
    <x v="66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d v="2022-04-28T00:00:00"/>
    <x v="10"/>
    <x v="3"/>
    <s v="INV00000253"/>
    <s v="C00000020"/>
    <s v="WSK Tanks Sdn Bhd"/>
    <x v="12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d v="2022-04-28T00:00:00"/>
    <x v="10"/>
    <x v="3"/>
    <s v="INV00000253"/>
    <s v="C00000020"/>
    <s v="WSK Tanks Sdn Bhd"/>
    <x v="105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d v="2022-04-28T00:00:00"/>
    <x v="10"/>
    <x v="3"/>
    <s v="INV00000254"/>
    <s v="C00000019"/>
    <s v="Desuki Affela Empire Enterprise"/>
    <x v="7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d v="2022-04-28T00:00:00"/>
    <x v="10"/>
    <x v="3"/>
    <s v="INV00000254"/>
    <s v="C00000019"/>
    <s v="Desuki Affela Empire Enterprise"/>
    <x v="67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x v="10"/>
    <x v="3"/>
    <s v="INV00000254"/>
    <s v="C00000019"/>
    <s v="Desuki Affela Empire Enterprise"/>
    <x v="12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d v="2022-04-28T00:00:00"/>
    <x v="10"/>
    <x v="3"/>
    <s v="INV00000254"/>
    <s v="C00000019"/>
    <s v="Desuki Affela Empire Enterprise"/>
    <x v="52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d v="2022-04-28T00:00:00"/>
    <x v="10"/>
    <x v="3"/>
    <s v="INV00000254"/>
    <s v="C00000019"/>
    <s v="Desuki Affela Empire Enterprise"/>
    <x v="93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d v="2022-04-29T00:00:00"/>
    <x v="10"/>
    <x v="3"/>
    <s v="INV00000255"/>
    <s v="C00000023"/>
    <s v="Bestway Engineering Solutions"/>
    <x v="122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d v="2022-04-30T00:00:00"/>
    <x v="10"/>
    <x v="3"/>
    <s v="INV00000256"/>
    <s v="C00000020"/>
    <s v="WSK Tanks Sdn Bhd"/>
    <x v="120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d v="2022-04-30T00:00:00"/>
    <x v="10"/>
    <x v="3"/>
    <s v="INV00000256"/>
    <s v="C00000020"/>
    <s v="WSK Tanks Sdn Bhd"/>
    <x v="100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x v="10"/>
    <x v="3"/>
    <s v="INV00000256"/>
    <s v="C00000020"/>
    <s v="WSK Tanks Sdn Bhd"/>
    <x v="66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d v="2022-04-30T00:00:00"/>
    <x v="10"/>
    <x v="3"/>
    <s v="INV00000256"/>
    <s v="C00000020"/>
    <s v="WSK Tanks Sdn Bhd"/>
    <x v="12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d v="2022-04-30T00:00:00"/>
    <x v="10"/>
    <x v="3"/>
    <s v="INV00000256"/>
    <s v="C00000020"/>
    <s v="WSK Tanks Sdn Bhd"/>
    <x v="105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d v="2022-05-06T00:00:00"/>
    <x v="11"/>
    <x v="3"/>
    <s v="INV00000257"/>
    <s v="C00000020"/>
    <s v="WSK Tanks Sdn Bhd"/>
    <x v="120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d v="2022-05-06T00:00:00"/>
    <x v="11"/>
    <x v="3"/>
    <s v="INV00000257"/>
    <s v="C00000020"/>
    <s v="WSK Tanks Sdn Bhd"/>
    <x v="100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d v="2022-05-06T00:00:00"/>
    <x v="11"/>
    <x v="3"/>
    <s v="INV00000257"/>
    <s v="C00000020"/>
    <s v="WSK Tanks Sdn Bhd"/>
    <x v="66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d v="2022-05-06T00:00:00"/>
    <x v="11"/>
    <x v="3"/>
    <s v="INV00000257"/>
    <s v="C00000020"/>
    <s v="WSK Tanks Sdn Bhd"/>
    <x v="12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d v="2022-05-06T00:00:00"/>
    <x v="11"/>
    <x v="3"/>
    <s v="INV00000257"/>
    <s v="C00000020"/>
    <s v="WSK Tanks Sdn Bhd"/>
    <x v="106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d v="2022-05-06T00:00:00"/>
    <x v="11"/>
    <x v="3"/>
    <s v="INV00000258"/>
    <s v="C00000023"/>
    <s v="Bestway Engineering Solutions"/>
    <x v="122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d v="2022-05-07T00:00:00"/>
    <x v="11"/>
    <x v="3"/>
    <s v="INV00000259"/>
    <s v="C00000020"/>
    <s v="WSK Tanks Sdn Bhd"/>
    <x v="120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d v="2022-05-07T00:00:00"/>
    <x v="11"/>
    <x v="3"/>
    <s v="INV00000259"/>
    <s v="C00000020"/>
    <s v="WSK Tanks Sdn Bhd"/>
    <x v="100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x v="11"/>
    <x v="3"/>
    <s v="INV00000259"/>
    <s v="C00000020"/>
    <s v="WSK Tanks Sdn Bhd"/>
    <x v="66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x v="11"/>
    <x v="3"/>
    <s v="INV00000259"/>
    <s v="C00000020"/>
    <s v="WSK Tanks Sdn Bhd"/>
    <x v="12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x v="11"/>
    <x v="3"/>
    <s v="INV00000260"/>
    <s v="C00000009"/>
    <s v="JMC Steel Engineering Sdn Bhd"/>
    <x v="120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d v="2022-05-10T00:00:00"/>
    <x v="11"/>
    <x v="3"/>
    <s v="INV00000260"/>
    <s v="C00000009"/>
    <s v="JMC Steel Engineering Sdn Bhd"/>
    <x v="96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d v="2022-05-10T00:00:00"/>
    <x v="11"/>
    <x v="3"/>
    <s v="INV00000260"/>
    <s v="C00000009"/>
    <s v="JMC Steel Engineering Sdn Bhd"/>
    <x v="108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s v="11/5/2022"/>
    <x v="11"/>
    <x v="3"/>
    <s v="INV00000261"/>
    <s v="C00000006"/>
    <s v="Perniagaan Fibra Sahih"/>
    <x v="45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s v="11/5/2022"/>
    <x v="11"/>
    <x v="3"/>
    <s v="INV00000261"/>
    <s v="C00000006"/>
    <s v="Perniagaan Fibra Sahih"/>
    <x v="87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s v="11/5/2022"/>
    <x v="11"/>
    <x v="3"/>
    <s v="INV00000261"/>
    <s v="C00000006"/>
    <s v="Perniagaan Fibra Sahih"/>
    <x v="123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x v="11"/>
    <x v="3"/>
    <s v="INV00000262"/>
    <s v="C00000022"/>
    <s v="SF Engineering Solution"/>
    <x v="7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d v="2022-05-12T00:00:00"/>
    <x v="11"/>
    <x v="3"/>
    <s v="INV00000262"/>
    <s v="C00000022"/>
    <s v="SF Engineering Solution"/>
    <x v="109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x v="11"/>
    <x v="3"/>
    <s v="INV00000262"/>
    <s v="C00000022"/>
    <s v="SF Engineering Solution"/>
    <x v="66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x v="11"/>
    <x v="3"/>
    <s v="INV00000262"/>
    <s v="C00000022"/>
    <s v="SF Engineering Solution"/>
    <x v="124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d v="2022-05-12T00:00:00"/>
    <x v="11"/>
    <x v="3"/>
    <s v="INV00000262"/>
    <s v="C00000022"/>
    <s v="SF Engineering Solution"/>
    <x v="125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d v="2022-05-12T00:00:00"/>
    <x v="11"/>
    <x v="3"/>
    <s v="INV00000262"/>
    <s v="C00000022"/>
    <s v="SF Engineering Solution"/>
    <x v="126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d v="2022-05-12T00:00:00"/>
    <x v="11"/>
    <x v="3"/>
    <s v="INV00000263"/>
    <s v="C00000024"/>
    <s v="Worldwide Competence Sdn Bhd"/>
    <x v="127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x v="11"/>
    <x v="3"/>
    <s v="INV00000263"/>
    <s v="C00000024"/>
    <s v="Worldwide Competence Sdn Bhd"/>
    <x v="108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x v="11"/>
    <x v="3"/>
    <s v="INV00000263"/>
    <s v="C00000024"/>
    <s v="Worldwide Competence Sdn Bhd"/>
    <x v="66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x v="11"/>
    <x v="3"/>
    <s v="INV00000263"/>
    <s v="C00000024"/>
    <s v="Worldwide Competence Sdn Bhd"/>
    <x v="12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x v="11"/>
    <x v="3"/>
    <s v="INV00000263"/>
    <s v="C00000024"/>
    <s v="Worldwide Competence Sdn Bhd"/>
    <x v="106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x v="11"/>
    <x v="3"/>
    <s v="INV00000263"/>
    <s v="C00000024"/>
    <s v="Worldwide Competence Sdn Bhd"/>
    <x v="105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x v="11"/>
    <x v="3"/>
    <s v="INV00000264"/>
    <s v="C00000006"/>
    <s v="Perniagaan Fibra Sahih"/>
    <x v="86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x v="11"/>
    <x v="3"/>
    <s v="INV00000265"/>
    <s v="C00000020"/>
    <s v="WSK Tanks Sdn Bhd"/>
    <x v="127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x v="11"/>
    <x v="3"/>
    <s v="INV00000265"/>
    <s v="C00000020"/>
    <s v="WSK Tanks Sdn Bhd"/>
    <x v="108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d v="2022-05-14T00:00:00"/>
    <x v="11"/>
    <x v="3"/>
    <s v="INV00000265"/>
    <s v="C00000020"/>
    <s v="WSK Tanks Sdn Bhd"/>
    <x v="128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d v="2022-05-14T00:00:00"/>
    <x v="11"/>
    <x v="3"/>
    <s v="INV00000265"/>
    <s v="C00000020"/>
    <s v="WSK Tanks Sdn Bhd"/>
    <x v="12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d v="2022-05-16T00:00:00"/>
    <x v="11"/>
    <x v="3"/>
    <s v="INV00000266"/>
    <s v="C00000003"/>
    <s v="Pandian Art Gallery Manufacturing"/>
    <x v="15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x v="11"/>
    <x v="3"/>
    <s v="INV00000266"/>
    <s v="C00000003"/>
    <s v="Pandian Art Gallery Manufacturing"/>
    <x v="12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x v="11"/>
    <x v="3"/>
    <s v="INV00000266"/>
    <s v="C00000003"/>
    <s v="Pandian Art Gallery Manufacturing"/>
    <x v="4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x v="11"/>
    <x v="3"/>
    <s v="INV00000266"/>
    <s v="C00000003"/>
    <s v="Pandian Art Gallery Manufacturing"/>
    <x v="25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x v="11"/>
    <x v="3"/>
    <s v="INV00000267"/>
    <s v="C00000020"/>
    <s v="WSK Tanks Sdn Bhd"/>
    <x v="127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d v="2022-05-18T00:00:00"/>
    <x v="11"/>
    <x v="3"/>
    <s v="INV00000267"/>
    <s v="C00000020"/>
    <s v="WSK Tanks Sdn Bhd"/>
    <x v="108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d v="2022-05-18T00:00:00"/>
    <x v="11"/>
    <x v="3"/>
    <s v="INV00000267"/>
    <s v="C00000020"/>
    <s v="WSK Tanks Sdn Bhd"/>
    <x v="128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d v="2022-05-18T00:00:00"/>
    <x v="11"/>
    <x v="3"/>
    <s v="INV00000267"/>
    <s v="C00000020"/>
    <s v="WSK Tanks Sdn Bhd"/>
    <x v="12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d v="2022-05-18T00:00:00"/>
    <x v="11"/>
    <x v="3"/>
    <s v="INV00000267"/>
    <s v="C00000020"/>
    <s v="WSK Tanks Sdn Bhd"/>
    <x v="105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x v="11"/>
    <x v="3"/>
    <s v="INV00000268"/>
    <s v="C00000021"/>
    <s v="KT Profesional Fiber"/>
    <x v="118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x v="11"/>
    <x v="3"/>
    <s v="INV00000268"/>
    <s v="C00000021"/>
    <s v="KT Profesional Fiber"/>
    <x v="100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x v="11"/>
    <x v="3"/>
    <s v="INV00000268"/>
    <s v="C00000021"/>
    <s v="KT Profesional Fiber"/>
    <x v="129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x v="11"/>
    <x v="3"/>
    <s v="INV00000269"/>
    <s v="C00000020"/>
    <s v="WSK Tanks Sdn Bhd"/>
    <x v="127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d v="2022-05-20T00:00:00"/>
    <x v="11"/>
    <x v="3"/>
    <s v="INV00000269"/>
    <s v="C00000020"/>
    <s v="WSK Tanks Sdn Bhd"/>
    <x v="108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d v="2022-05-20T00:00:00"/>
    <x v="11"/>
    <x v="3"/>
    <s v="INV00000269"/>
    <s v="C00000020"/>
    <s v="WSK Tanks Sdn Bhd"/>
    <x v="128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d v="2022-05-20T00:00:00"/>
    <x v="11"/>
    <x v="3"/>
    <s v="INV00000269"/>
    <s v="C00000020"/>
    <s v="WSK Tanks Sdn Bhd"/>
    <x v="12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d v="2022-05-21T00:00:00"/>
    <x v="11"/>
    <x v="3"/>
    <s v="INV00000270"/>
    <s v="C00000026"/>
    <s v="Megapower Service"/>
    <x v="112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d v="2022-05-21T00:00:00"/>
    <x v="11"/>
    <x v="3"/>
    <s v="INV00000270"/>
    <s v="C00000026"/>
    <s v="Megapower Service"/>
    <x v="130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d v="2022-05-21T00:00:00"/>
    <x v="11"/>
    <x v="3"/>
    <s v="INV00000270"/>
    <s v="C00000026"/>
    <s v="Megapower Service"/>
    <x v="106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d v="2022-05-21T00:00:00"/>
    <x v="11"/>
    <x v="3"/>
    <s v="INV00000270"/>
    <s v="C00000026"/>
    <s v="Megapower Service"/>
    <x v="131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d v="2022-05-21T00:00:00"/>
    <x v="11"/>
    <x v="3"/>
    <s v="INV00000271"/>
    <s v="C00000020"/>
    <s v="WSK Tanks Sdn Bhd"/>
    <x v="127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d v="2022-05-21T00:00:00"/>
    <x v="11"/>
    <x v="3"/>
    <s v="INV00000271"/>
    <s v="C00000020"/>
    <s v="WSK Tanks Sdn Bhd"/>
    <x v="100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d v="2022-05-21T00:00:00"/>
    <x v="11"/>
    <x v="3"/>
    <s v="INV00000271"/>
    <s v="C00000020"/>
    <s v="WSK Tanks Sdn Bhd"/>
    <x v="128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d v="2022-05-21T00:00:00"/>
    <x v="11"/>
    <x v="3"/>
    <s v="INV00000271"/>
    <s v="C00000020"/>
    <s v="WSK Tanks Sdn Bhd"/>
    <x v="12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d v="2022-05-23T00:00:00"/>
    <x v="11"/>
    <x v="3"/>
    <s v="INV00000272"/>
    <s v="C00000010"/>
    <s v="Yew Seng Gardening Supply Sdn Bhd"/>
    <x v="121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d v="2022-05-23T00:00:00"/>
    <x v="11"/>
    <x v="3"/>
    <s v="INV00000272"/>
    <s v="C00000010"/>
    <s v="Yew Seng Gardening Supply Sdn Bhd"/>
    <x v="100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d v="2022-05-23T00:00:00"/>
    <x v="11"/>
    <x v="3"/>
    <s v="INV00000272"/>
    <s v="C00000010"/>
    <s v="Yew Seng Gardening Supply Sdn Bhd"/>
    <x v="132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d v="2022-05-23T00:00:00"/>
    <x v="11"/>
    <x v="3"/>
    <s v="INV00000272"/>
    <s v="C00000010"/>
    <s v="Yew Seng Gardening Supply Sdn Bhd"/>
    <x v="93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d v="2022-05-23T00:00:00"/>
    <x v="11"/>
    <x v="3"/>
    <s v="INV00000272"/>
    <s v="C00000010"/>
    <s v="Yew Seng Gardening Supply Sdn Bhd"/>
    <x v="131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d v="2022-05-23T00:00:00"/>
    <x v="11"/>
    <x v="3"/>
    <s v="INV00000273"/>
    <s v="C00000020"/>
    <s v="WSK Tanks Sdn Bhd"/>
    <x v="127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d v="2022-05-23T00:00:00"/>
    <x v="11"/>
    <x v="3"/>
    <s v="INV00000273"/>
    <s v="C00000020"/>
    <s v="WSK Tanks Sdn Bhd"/>
    <x v="100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d v="2022-05-23T00:00:00"/>
    <x v="11"/>
    <x v="3"/>
    <s v="INV00000273"/>
    <s v="C00000020"/>
    <s v="WSK Tanks Sdn Bhd"/>
    <x v="128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d v="2022-05-23T00:00:00"/>
    <x v="11"/>
    <x v="3"/>
    <s v="INV00000273"/>
    <s v="C00000020"/>
    <s v="WSK Tanks Sdn Bhd"/>
    <x v="133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d v="2022-05-23T00:00:00"/>
    <x v="11"/>
    <x v="3"/>
    <s v="INV00000273"/>
    <s v="C00000020"/>
    <s v="WSK Tanks Sdn Bhd"/>
    <x v="132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d v="2022-05-23T00:00:00"/>
    <x v="11"/>
    <x v="3"/>
    <s v="INV00000274"/>
    <s v="C00000019"/>
    <s v="Desuki Affela Empire Enterprise"/>
    <x v="120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d v="2022-05-23T00:00:00"/>
    <x v="11"/>
    <x v="3"/>
    <s v="INV00000274"/>
    <s v="C00000019"/>
    <s v="Desuki Affela Empire Enterprise"/>
    <x v="112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x v="11"/>
    <x v="3"/>
    <s v="INV00000274"/>
    <s v="C00000019"/>
    <s v="Desuki Affela Empire Enterprise"/>
    <x v="132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d v="2022-05-23T00:00:00"/>
    <x v="11"/>
    <x v="3"/>
    <s v="INV00000274"/>
    <s v="C00000019"/>
    <s v="Desuki Affela Empire Enterprise"/>
    <x v="52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d v="2022-05-23T00:00:00"/>
    <x v="11"/>
    <x v="3"/>
    <s v="INV00000274"/>
    <s v="C00000019"/>
    <s v="Desuki Affela Empire Enterprise"/>
    <x v="131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d v="2022-05-24T00:00:00"/>
    <x v="11"/>
    <x v="3"/>
    <s v="INV00000275"/>
    <s v="C00000004"/>
    <s v="Siew Min Lorry Sdn Bhd"/>
    <x v="120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x v="11"/>
    <x v="3"/>
    <s v="INV00000276"/>
    <s v="C00000020"/>
    <s v="WSK Tanks Sdn Bhd"/>
    <x v="120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d v="2022-05-25T00:00:00"/>
    <x v="11"/>
    <x v="3"/>
    <s v="INV00000276"/>
    <s v="C00000020"/>
    <s v="WSK Tanks Sdn Bhd"/>
    <x v="100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d v="2022-05-25T00:00:00"/>
    <x v="11"/>
    <x v="3"/>
    <s v="INV00000276"/>
    <s v="C00000020"/>
    <s v="WSK Tanks Sdn Bhd"/>
    <x v="133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d v="2022-05-25T00:00:00"/>
    <x v="11"/>
    <x v="3"/>
    <s v="INV00000276"/>
    <s v="C00000020"/>
    <s v="WSK Tanks Sdn Bhd"/>
    <x v="132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d v="2022-05-25T00:00:00"/>
    <x v="11"/>
    <x v="3"/>
    <s v="INV00000276"/>
    <s v="C00000020"/>
    <s v="WSK Tanks Sdn Bhd"/>
    <x v="105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d v="2022-05-28T00:00:00"/>
    <x v="11"/>
    <x v="3"/>
    <s v="INV00000277"/>
    <s v="C00000021"/>
    <s v="KT Profesional Fiber"/>
    <x v="118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x v="11"/>
    <x v="3"/>
    <s v="INV00000277"/>
    <s v="C00000021"/>
    <s v="KT Profesional Fiber"/>
    <x v="100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x v="11"/>
    <x v="3"/>
    <s v="INV00000277"/>
    <s v="C00000021"/>
    <s v="KT Profesional Fiber"/>
    <x v="106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x v="11"/>
    <x v="3"/>
    <s v="INV00000277"/>
    <s v="C00000021"/>
    <s v="KT Profesional Fiber"/>
    <x v="134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x v="1"/>
    <x v="3"/>
    <s v="INV00000278"/>
    <s v="C00000020"/>
    <s v="WSK Tanks Sdn Bhd"/>
    <x v="118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x v="1"/>
    <x v="3"/>
    <s v="INV00000278"/>
    <s v="C00000020"/>
    <s v="WSK Tanks Sdn Bhd"/>
    <x v="100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d v="2022-06-02T00:00:00"/>
    <x v="1"/>
    <x v="3"/>
    <s v="INV00000278"/>
    <s v="C00000020"/>
    <s v="WSK Tanks Sdn Bhd"/>
    <x v="133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d v="2022-06-02T00:00:00"/>
    <x v="1"/>
    <x v="3"/>
    <s v="INV00000278"/>
    <s v="C00000020"/>
    <s v="WSK Tanks Sdn Bhd"/>
    <x v="132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x v="1"/>
    <x v="3"/>
    <s v="INV00000278"/>
    <s v="C00000020"/>
    <s v="WSK Tanks Sdn Bhd"/>
    <x v="105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d v="2022-06-03T00:00:00"/>
    <x v="1"/>
    <x v="3"/>
    <s v="INV00000279"/>
    <s v="C00000022"/>
    <s v="SF Engineering Solution"/>
    <x v="7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x v="1"/>
    <x v="3"/>
    <s v="INV00000280"/>
    <s v="C00000020"/>
    <s v="WSK Tanks Sdn Bhd"/>
    <x v="118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d v="2022-06-04T00:00:00"/>
    <x v="1"/>
    <x v="3"/>
    <s v="INV00000280"/>
    <s v="C00000020"/>
    <s v="WSK Tanks Sdn Bhd"/>
    <x v="100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d v="2022-06-04T00:00:00"/>
    <x v="1"/>
    <x v="3"/>
    <s v="INV00000280"/>
    <s v="C00000020"/>
    <s v="WSK Tanks Sdn Bhd"/>
    <x v="133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x v="1"/>
    <x v="3"/>
    <s v="INV00000280"/>
    <s v="C00000020"/>
    <s v="WSK Tanks Sdn Bhd"/>
    <x v="132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d v="2022-06-07T00:00:00"/>
    <x v="1"/>
    <x v="3"/>
    <s v="INV00000281"/>
    <s v="C00000001"/>
    <s v="Kelnico Marketing"/>
    <x v="118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d v="2022-06-07T00:00:00"/>
    <x v="1"/>
    <x v="3"/>
    <s v="INV00000281"/>
    <s v="C00000001"/>
    <s v="Kelnico Marketing"/>
    <x v="135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d v="2022-06-09T00:00:00"/>
    <x v="1"/>
    <x v="3"/>
    <s v="INV00000282"/>
    <s v="C00000010"/>
    <s v="Yew Seng Gardening Supply Sdn Bhd"/>
    <x v="121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d v="2022-06-09T00:00:00"/>
    <x v="1"/>
    <x v="3"/>
    <s v="INV00000282"/>
    <s v="C00000010"/>
    <s v="Yew Seng Gardening Supply Sdn Bhd"/>
    <x v="100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d v="2022-06-09T00:00:00"/>
    <x v="1"/>
    <x v="3"/>
    <s v="INV00000282"/>
    <s v="C00000010"/>
    <s v="Yew Seng Gardening Supply Sdn Bhd"/>
    <x v="132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d v="2022-06-09T00:00:00"/>
    <x v="1"/>
    <x v="3"/>
    <s v="INV00000282"/>
    <s v="C00000010"/>
    <s v="Yew Seng Gardening Supply Sdn Bhd"/>
    <x v="93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d v="2022-06-09T00:00:00"/>
    <x v="1"/>
    <x v="3"/>
    <s v="INV00000282"/>
    <s v="C00000010"/>
    <s v="Yew Seng Gardening Supply Sdn Bhd"/>
    <x v="48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d v="2022-06-09T00:00:00"/>
    <x v="1"/>
    <x v="3"/>
    <s v="INV00000283"/>
    <s v="C00000022"/>
    <s v="SF Engineering Solution"/>
    <x v="7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x v="1"/>
    <x v="3"/>
    <s v="INV00000284"/>
    <s v="C00000021"/>
    <s v="KT Profesional Fiber"/>
    <x v="118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x v="1"/>
    <x v="3"/>
    <s v="INV00000284"/>
    <s v="C00000021"/>
    <s v="KT Profesional Fiber"/>
    <x v="100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x v="1"/>
    <x v="3"/>
    <s v="INV00000284"/>
    <s v="C00000021"/>
    <s v="KT Profesional Fiber"/>
    <x v="106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x v="1"/>
    <x v="3"/>
    <s v="INV00000285"/>
    <s v="C00000020"/>
    <s v="WSK Tanks Sdn Bhd"/>
    <x v="118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d v="2022-06-11T00:00:00"/>
    <x v="1"/>
    <x v="3"/>
    <s v="INV00000285"/>
    <s v="C00000020"/>
    <s v="WSK Tanks Sdn Bhd"/>
    <x v="100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d v="2022-06-11T00:00:00"/>
    <x v="1"/>
    <x v="3"/>
    <s v="INV00000285"/>
    <s v="C00000020"/>
    <s v="WSK Tanks Sdn Bhd"/>
    <x v="133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d v="2022-06-11T00:00:00"/>
    <x v="1"/>
    <x v="3"/>
    <s v="INV00000285"/>
    <s v="C00000020"/>
    <s v="WSK Tanks Sdn Bhd"/>
    <x v="132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x v="1"/>
    <x v="3"/>
    <s v="INV00000286"/>
    <s v="C00000023"/>
    <s v="Bestway Engineering Solutions"/>
    <x v="110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d v="2022-06-13T00:00:00"/>
    <x v="1"/>
    <x v="3"/>
    <s v="INV00000286"/>
    <s v="C00000023"/>
    <s v="Bestway Engineering Solutions"/>
    <x v="100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d v="2022-06-13T00:00:00"/>
    <x v="1"/>
    <x v="3"/>
    <s v="INV00000286"/>
    <s v="C00000023"/>
    <s v="Bestway Engineering Solutions"/>
    <x v="106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d v="2022-06-14T00:00:00"/>
    <x v="1"/>
    <x v="3"/>
    <s v="INV00000287"/>
    <s v="C00000009"/>
    <s v="JMC Steel Engineering Sdn Bhd"/>
    <x v="120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d v="2022-06-14T00:00:00"/>
    <x v="1"/>
    <x v="3"/>
    <s v="INV00000288"/>
    <s v="C00000001"/>
    <s v="Kelnico Marketing"/>
    <x v="118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d v="2022-06-14T00:00:00"/>
    <x v="1"/>
    <x v="3"/>
    <s v="INV00000288"/>
    <s v="C00000001"/>
    <s v="Kelnico Marketing"/>
    <x v="100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d v="2022-06-18T00:00:00"/>
    <x v="1"/>
    <x v="3"/>
    <s v="INV00000289"/>
    <s v="C00000020"/>
    <s v="WSK Tanks Sdn Bhd"/>
    <x v="7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d v="2022-06-18T00:00:00"/>
    <x v="1"/>
    <x v="3"/>
    <s v="INV00000289"/>
    <s v="C00000020"/>
    <s v="WSK Tanks Sdn Bhd"/>
    <x v="100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d v="2022-06-18T00:00:00"/>
    <x v="1"/>
    <x v="3"/>
    <s v="INV00000289"/>
    <s v="C00000020"/>
    <s v="WSK Tanks Sdn Bhd"/>
    <x v="133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d v="2022-06-18T00:00:00"/>
    <x v="1"/>
    <x v="3"/>
    <s v="INV00000289"/>
    <s v="C00000020"/>
    <s v="WSK Tanks Sdn Bhd"/>
    <x v="132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d v="2022-06-18T00:00:00"/>
    <x v="1"/>
    <x v="3"/>
    <s v="INV00000289"/>
    <s v="C00000020"/>
    <s v="WSK Tanks Sdn Bhd"/>
    <x v="105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d v="2022-06-18T00:00:00"/>
    <x v="1"/>
    <x v="3"/>
    <s v="INV00000289"/>
    <s v="C00000020"/>
    <s v="WSK Tanks Sdn Bhd"/>
    <x v="106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d v="2022-06-20T00:00:00"/>
    <x v="1"/>
    <x v="3"/>
    <s v="INV00000290"/>
    <s v="C00000006"/>
    <s v="Perniagaan Fibra Sahih"/>
    <x v="120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x v="1"/>
    <x v="3"/>
    <s v="INV00000291"/>
    <s v="C00000021"/>
    <s v="KT Profesional Fiber"/>
    <x v="118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x v="1"/>
    <x v="3"/>
    <s v="INV00000291"/>
    <s v="C00000021"/>
    <s v="KT Profesional Fiber"/>
    <x v="100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x v="1"/>
    <x v="3"/>
    <s v="INV00000291"/>
    <s v="C00000021"/>
    <s v="KT Profesional Fiber"/>
    <x v="106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x v="1"/>
    <x v="3"/>
    <s v="INV00000291"/>
    <s v="C00000021"/>
    <s v="KT Profesional Fiber"/>
    <x v="132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x v="1"/>
    <x v="3"/>
    <s v="INV00000292"/>
    <s v="C00000020"/>
    <s v="WSK Tanks Sdn Bhd"/>
    <x v="7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d v="2022-06-24T00:00:00"/>
    <x v="1"/>
    <x v="3"/>
    <s v="INV00000292"/>
    <s v="C00000020"/>
    <s v="WSK Tanks Sdn Bhd"/>
    <x v="100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d v="2022-06-24T00:00:00"/>
    <x v="1"/>
    <x v="3"/>
    <s v="INV00000292"/>
    <s v="C00000020"/>
    <s v="WSK Tanks Sdn Bhd"/>
    <x v="133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d v="2022-06-24T00:00:00"/>
    <x v="1"/>
    <x v="3"/>
    <s v="INV00000292"/>
    <s v="C00000020"/>
    <s v="WSK Tanks Sdn Bhd"/>
    <x v="132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d v="2022-06-28T00:00:00"/>
    <x v="1"/>
    <x v="3"/>
    <s v="INV00000293"/>
    <s v="C00000019"/>
    <s v="Desuki Affela Empire Enterprise"/>
    <x v="120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x v="1"/>
    <x v="3"/>
    <s v="INV00000293"/>
    <s v="C00000019"/>
    <s v="Desuki Affela Empire Enterprise"/>
    <x v="112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4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52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131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x v="1"/>
    <x v="3"/>
    <s v="INV00000294"/>
    <s v="C00000010"/>
    <s v="Yew Seng Gardening Supply Sdn Bhd"/>
    <x v="121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d v="2022-06-29T00:00:00"/>
    <x v="1"/>
    <x v="3"/>
    <s v="INV00000294"/>
    <s v="C00000010"/>
    <s v="Yew Seng Gardening Supply Sdn Bhd"/>
    <x v="100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d v="2022-06-29T00:00:00"/>
    <x v="1"/>
    <x v="3"/>
    <s v="INV00000294"/>
    <s v="C00000010"/>
    <s v="Yew Seng Gardening Supply Sdn Bhd"/>
    <x v="132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d v="2022-06-29T00:00:00"/>
    <x v="1"/>
    <x v="3"/>
    <s v="INV00000294"/>
    <s v="C00000010"/>
    <s v="Yew Seng Gardening Supply Sdn Bhd"/>
    <x v="4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d v="2022-06-29T00:00:00"/>
    <x v="1"/>
    <x v="3"/>
    <s v="INV00000294"/>
    <s v="C00000010"/>
    <s v="Yew Seng Gardening Supply Sdn Bhd"/>
    <x v="48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d v="2022-06-29T00:00:00"/>
    <x v="1"/>
    <x v="3"/>
    <s v="INV00000294"/>
    <s v="C00000010"/>
    <s v="Yew Seng Gardening Supply Sdn Bhd"/>
    <x v="131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d v="2022-07-01T00:00:00"/>
    <x v="2"/>
    <x v="3"/>
    <s v="INV00000295"/>
    <s v="C00000009"/>
    <s v="JMC Steel Engineering Sdn Bhd"/>
    <x v="112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d v="2022-07-12T00:00:00"/>
    <x v="2"/>
    <x v="3"/>
    <s v="INV00000296"/>
    <s v="C00000019"/>
    <s v="Desuki Affela Empire Enterprise"/>
    <x v="120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d v="2022-07-12T00:00:00"/>
    <x v="2"/>
    <x v="3"/>
    <s v="INV00000296"/>
    <s v="C00000019"/>
    <s v="Desuki Affela Empire Enterprise"/>
    <x v="112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x v="2"/>
    <x v="3"/>
    <s v="INV00000297"/>
    <s v="C00000020"/>
    <s v="WSK Tanks Sdn Bhd"/>
    <x v="118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d v="2022-07-14T00:00:00"/>
    <x v="2"/>
    <x v="3"/>
    <s v="INV00000297"/>
    <s v="C00000020"/>
    <s v="WSK Tanks Sdn Bhd"/>
    <x v="100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d v="2022-07-14T00:00:00"/>
    <x v="2"/>
    <x v="3"/>
    <s v="INV00000297"/>
    <s v="C00000020"/>
    <s v="WSK Tanks Sdn Bhd"/>
    <x v="133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x v="2"/>
    <x v="3"/>
    <s v="INV00000297"/>
    <s v="C00000020"/>
    <s v="WSK Tanks Sdn Bhd"/>
    <x v="132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d v="2022-07-14T00:00:00"/>
    <x v="2"/>
    <x v="3"/>
    <s v="INV00000298"/>
    <s v="C00000027"/>
    <s v="Transform Star Sdn Bhd"/>
    <x v="118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x v="2"/>
    <x v="3"/>
    <s v="INV00000298"/>
    <s v="C00000027"/>
    <s v="Transform Star Sdn Bhd"/>
    <x v="112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x v="2"/>
    <x v="3"/>
    <s v="INV00000298"/>
    <s v="C00000027"/>
    <s v="Transform Star Sdn Bhd"/>
    <x v="133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x v="2"/>
    <x v="3"/>
    <s v="INV00000298"/>
    <s v="C00000027"/>
    <s v="Transform Star Sdn Bhd"/>
    <x v="136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x v="2"/>
    <x v="3"/>
    <s v="INV00000298"/>
    <s v="C00000027"/>
    <s v="Transform Star Sdn Bhd"/>
    <x v="106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x v="2"/>
    <x v="3"/>
    <s v="INV00000298"/>
    <s v="C00000027"/>
    <s v="Transform Star Sdn Bhd"/>
    <x v="137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x v="2"/>
    <x v="3"/>
    <s v="INV00000298"/>
    <s v="C00000027"/>
    <s v="Transform Star Sdn Bhd"/>
    <x v="138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x v="2"/>
    <x v="3"/>
    <s v="INV00000298"/>
    <s v="C00000027"/>
    <s v="Transform Star Sdn Bhd"/>
    <x v="125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x v="2"/>
    <x v="3"/>
    <s v="INV00000299"/>
    <s v="C00000020"/>
    <s v="WSK Tanks Sdn Bhd"/>
    <x v="118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d v="2022-07-18T00:00:00"/>
    <x v="2"/>
    <x v="3"/>
    <s v="INV00000299"/>
    <s v="C00000020"/>
    <s v="WSK Tanks Sdn Bhd"/>
    <x v="100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d v="2022-07-18T00:00:00"/>
    <x v="2"/>
    <x v="3"/>
    <s v="INV00000299"/>
    <s v="C00000020"/>
    <s v="WSK Tanks Sdn Bhd"/>
    <x v="128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x v="2"/>
    <x v="3"/>
    <s v="INV00000299"/>
    <s v="C00000020"/>
    <s v="WSK Tanks Sdn Bhd"/>
    <x v="132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d v="2022-07-18T00:00:00"/>
    <x v="2"/>
    <x v="3"/>
    <s v="INV00000299"/>
    <s v="C00000020"/>
    <s v="WSK Tanks Sdn Bhd"/>
    <x v="105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d v="2022-07-18T00:00:00"/>
    <x v="2"/>
    <x v="3"/>
    <s v="INV00000299"/>
    <s v="C00000020"/>
    <s v="WSK Tanks Sdn Bhd"/>
    <x v="106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d v="2022-07-20T00:00:00"/>
    <x v="2"/>
    <x v="3"/>
    <s v="INV00000300"/>
    <s v="C00000020"/>
    <s v="WSK Tanks Sdn Bhd"/>
    <x v="100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d v="2022-07-20T00:00:00"/>
    <x v="2"/>
    <x v="3"/>
    <s v="INV00000300"/>
    <s v="C00000020"/>
    <s v="WSK Tanks Sdn Bhd"/>
    <x v="133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d v="2022-07-23T00:00:00"/>
    <x v="2"/>
    <x v="3"/>
    <s v="INV00000301"/>
    <s v="C00000020"/>
    <s v="WSK Tanks Sdn Bhd"/>
    <x v="120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x v="2"/>
    <x v="3"/>
    <s v="INV00000301"/>
    <s v="C00000020"/>
    <s v="WSK Tanks Sdn Bhd"/>
    <x v="100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d v="2022-07-23T00:00:00"/>
    <x v="2"/>
    <x v="3"/>
    <s v="INV00000301"/>
    <s v="C00000020"/>
    <s v="WSK Tanks Sdn Bhd"/>
    <x v="128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d v="2022-07-23T00:00:00"/>
    <x v="2"/>
    <x v="3"/>
    <s v="INV00000301"/>
    <s v="C00000020"/>
    <s v="WSK Tanks Sdn Bhd"/>
    <x v="132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d v="2022-07-23T00:00:00"/>
    <x v="2"/>
    <x v="3"/>
    <s v="INV00000302"/>
    <s v="C00000001"/>
    <s v="Kelnico Marketing"/>
    <x v="118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d v="2022-07-26T00:00:00"/>
    <x v="2"/>
    <x v="3"/>
    <s v="INV00000303"/>
    <s v="C00000010"/>
    <s v="Yew Seng Gardening Supply Sdn Bhd"/>
    <x v="121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d v="2022-07-26T00:00:00"/>
    <x v="2"/>
    <x v="3"/>
    <s v="INV00000303"/>
    <s v="C00000010"/>
    <s v="Yew Seng Gardening Supply Sdn Bhd"/>
    <x v="100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d v="2022-07-26T00:00:00"/>
    <x v="2"/>
    <x v="3"/>
    <s v="INV00000303"/>
    <s v="C00000010"/>
    <s v="Yew Seng Gardening Supply Sdn Bhd"/>
    <x v="132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d v="2022-07-26T00:00:00"/>
    <x v="2"/>
    <x v="3"/>
    <s v="INV00000303"/>
    <s v="C00000010"/>
    <s v="Yew Seng Gardening Supply Sdn Bhd"/>
    <x v="4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d v="2022-07-29T00:00:00"/>
    <x v="2"/>
    <x v="3"/>
    <s v="INV00000304"/>
    <s v="C00000021"/>
    <s v="KT Profesional Fiber"/>
    <x v="118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x v="2"/>
    <x v="3"/>
    <s v="INV00000304"/>
    <s v="C00000021"/>
    <s v="KT Profesional Fiber"/>
    <x v="106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x v="2"/>
    <x v="3"/>
    <s v="INV00000305"/>
    <s v="C00000009"/>
    <s v="JMC Steel Engineering Sdn Bhd"/>
    <x v="120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d v="2022-07-29T00:00:00"/>
    <x v="2"/>
    <x v="3"/>
    <s v="INV00000305"/>
    <s v="C00000009"/>
    <s v="JMC Steel Engineering Sdn Bhd"/>
    <x v="139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d v="2022-08-04T00:00:00"/>
    <x v="3"/>
    <x v="3"/>
    <s v="INV00000306"/>
    <s v="C00000027"/>
    <s v="Transform Star Sdn Bhd"/>
    <x v="118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x v="3"/>
    <x v="3"/>
    <s v="INV00000306"/>
    <s v="C00000027"/>
    <s v="Transform Star Sdn Bhd"/>
    <x v="139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x v="3"/>
    <x v="3"/>
    <s v="INV00000306"/>
    <s v="C00000027"/>
    <s v="Transform Star Sdn Bhd"/>
    <x v="140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x v="3"/>
    <x v="3"/>
    <s v="INV00000306"/>
    <s v="C00000027"/>
    <s v="Transform Star Sdn Bhd"/>
    <x v="128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x v="3"/>
    <x v="3"/>
    <s v="INV00000306"/>
    <s v="C00000027"/>
    <s v="Transform Star Sdn Bhd"/>
    <x v="141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x v="3"/>
    <x v="3"/>
    <s v="INV00000306"/>
    <s v="C00000027"/>
    <s v="Transform Star Sdn Bhd"/>
    <x v="106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x v="3"/>
    <x v="3"/>
    <s v="INV00000306"/>
    <s v="C00000027"/>
    <s v="Transform Star Sdn Bhd"/>
    <x v="104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x v="3"/>
    <x v="3"/>
    <s v="INV00000306"/>
    <s v="C00000027"/>
    <s v="Transform Star Sdn Bhd"/>
    <x v="131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x v="3"/>
    <x v="3"/>
    <s v="INV00000306"/>
    <s v="C00000027"/>
    <s v="Transform Star Sdn Bhd"/>
    <x v="125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x v="3"/>
    <x v="3"/>
    <s v="INV00000307"/>
    <s v="C00000020"/>
    <s v="WSK Tanks Sdn Bhd"/>
    <x v="118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d v="2022-08-06T00:00:00"/>
    <x v="3"/>
    <x v="3"/>
    <s v="INV00000307"/>
    <s v="C00000020"/>
    <s v="WSK Tanks Sdn Bhd"/>
    <x v="142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x v="3"/>
    <x v="3"/>
    <s v="INV00000307"/>
    <s v="C00000020"/>
    <s v="WSK Tanks Sdn Bhd"/>
    <x v="128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d v="2022-08-06T00:00:00"/>
    <x v="3"/>
    <x v="3"/>
    <s v="INV00000307"/>
    <s v="C00000020"/>
    <s v="WSK Tanks Sdn Bhd"/>
    <x v="132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d v="2022-08-06T00:00:00"/>
    <x v="3"/>
    <x v="3"/>
    <s v="INV00000308"/>
    <s v="C00000001"/>
    <s v="Kelnico Marketing"/>
    <x v="135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d v="2022-08-09T00:00:00"/>
    <x v="3"/>
    <x v="3"/>
    <s v="INV00000309"/>
    <s v="C00000026"/>
    <s v="Megapower Service"/>
    <x v="118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d v="2022-08-12T00:00:00"/>
    <x v="3"/>
    <x v="3"/>
    <s v="INV00000310"/>
    <s v="C00000020"/>
    <s v="WSK Tanks Sdn Bhd"/>
    <x v="120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d v="2022-08-12T00:00:00"/>
    <x v="3"/>
    <x v="3"/>
    <s v="INV00000310"/>
    <s v="C00000020"/>
    <s v="WSK Tanks Sdn Bhd"/>
    <x v="100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d v="2022-08-12T00:00:00"/>
    <x v="3"/>
    <x v="3"/>
    <s v="INV00000310"/>
    <s v="C00000020"/>
    <s v="WSK Tanks Sdn Bhd"/>
    <x v="128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d v="2022-08-12T00:00:00"/>
    <x v="3"/>
    <x v="3"/>
    <s v="INV00000310"/>
    <s v="C00000020"/>
    <s v="WSK Tanks Sdn Bhd"/>
    <x v="132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d v="2022-08-12T00:00:00"/>
    <x v="3"/>
    <x v="3"/>
    <s v="INV00000310"/>
    <s v="C00000020"/>
    <s v="WSK Tanks Sdn Bhd"/>
    <x v="105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d v="2022-08-15T00:00:00"/>
    <x v="3"/>
    <x v="3"/>
    <s v="INV00000311"/>
    <e v="#N/A"/>
    <s v="CANCELLED INVOICE"/>
    <x v="143"/>
    <n v="0"/>
    <e v="#N/A"/>
    <e v="#N/A"/>
    <e v="#N/A"/>
    <e v="#N/A"/>
    <e v="#N/A"/>
    <n v="0"/>
    <m/>
    <n v="0"/>
    <n v="1699594.8500000006"/>
    <e v="#N/A"/>
    <m/>
    <m/>
  </r>
  <r>
    <d v="2022-08-15T00:00:00"/>
    <x v="3"/>
    <x v="3"/>
    <s v="INV00000312"/>
    <s v="C00000004"/>
    <s v="Siew Min Lorry Sdn Bhd"/>
    <x v="144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x v="3"/>
    <x v="3"/>
    <s v="INV00000312"/>
    <s v="C00000004"/>
    <s v="Siew Min Lorry Sdn Bhd"/>
    <x v="145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x v="3"/>
    <x v="3"/>
    <s v="INV00000312"/>
    <s v="C00000004"/>
    <s v="Siew Min Lorry Sdn Bhd"/>
    <x v="139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x v="3"/>
    <x v="3"/>
    <s v="INV00000312"/>
    <s v="C00000004"/>
    <s v="Siew Min Lorry Sdn Bhd"/>
    <x v="80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x v="3"/>
    <x v="3"/>
    <s v="INV00000312"/>
    <s v="C00000004"/>
    <s v="Siew Min Lorry Sdn Bhd"/>
    <x v="106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x v="3"/>
    <x v="3"/>
    <s v="INV00000312"/>
    <s v="C00000004"/>
    <s v="Siew Min Lorry Sdn Bhd"/>
    <x v="146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x v="3"/>
    <x v="3"/>
    <s v="INV00000313"/>
    <s v="C00000003"/>
    <s v="Pandian Art Gallery Manufacturing"/>
    <x v="15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x v="3"/>
    <x v="3"/>
    <s v="INV00000313"/>
    <s v="C00000003"/>
    <s v="Pandian Art Gallery Manufacturing"/>
    <x v="12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4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25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80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x v="3"/>
    <x v="3"/>
    <s v="INV00000314"/>
    <s v="C00000021"/>
    <s v="KT Profesional Fiber"/>
    <x v="118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x v="3"/>
    <x v="3"/>
    <s v="INV00000314"/>
    <s v="C00000021"/>
    <s v="KT Profesional Fiber"/>
    <x v="147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x v="3"/>
    <x v="3"/>
    <s v="INV00000314"/>
    <s v="C00000021"/>
    <s v="KT Profesional Fiber"/>
    <x v="106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x v="3"/>
    <x v="3"/>
    <s v="INV00000314"/>
    <s v="C00000021"/>
    <s v="KT Profesional Fiber"/>
    <x v="12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x v="3"/>
    <x v="3"/>
    <s v="INV00000315"/>
    <s v="C00000027"/>
    <s v="Transform Star Sdn Bhd"/>
    <x v="118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x v="3"/>
    <x v="3"/>
    <s v="INV00000315"/>
    <s v="C00000027"/>
    <s v="Transform Star Sdn Bhd"/>
    <x v="141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x v="3"/>
    <x v="3"/>
    <s v="INV00000315"/>
    <s v="C00000027"/>
    <s v="Transform Star Sdn Bhd"/>
    <x v="106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x v="3"/>
    <x v="3"/>
    <s v="INV00000315"/>
    <s v="C00000027"/>
    <s v="Transform Star Sdn Bhd"/>
    <x v="125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x v="3"/>
    <x v="3"/>
    <s v="INV00000316"/>
    <s v="C00000020"/>
    <s v="WSK Tanks Sdn Bhd"/>
    <x v="120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d v="2022-08-23T00:00:00"/>
    <x v="3"/>
    <x v="3"/>
    <s v="INV00000316"/>
    <s v="C00000020"/>
    <s v="WSK Tanks Sdn Bhd"/>
    <x v="147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d v="2022-08-23T00:00:00"/>
    <x v="3"/>
    <x v="3"/>
    <s v="INV00000316"/>
    <s v="C00000020"/>
    <s v="WSK Tanks Sdn Bhd"/>
    <x v="128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d v="2022-08-23T00:00:00"/>
    <x v="3"/>
    <x v="3"/>
    <s v="INV00000316"/>
    <s v="C00000020"/>
    <s v="WSK Tanks Sdn Bhd"/>
    <x v="132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d v="2022-08-23T00:00:00"/>
    <x v="3"/>
    <x v="3"/>
    <s v="INV00000317"/>
    <s v="C00000009"/>
    <s v="JMC Steel Engineering Sdn Bhd"/>
    <x v="125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d v="2022-08-25T00:00:00"/>
    <x v="3"/>
    <x v="3"/>
    <s v="INV00000318"/>
    <s v="C00000010"/>
    <s v="Yew Seng Gardening Supply Sdn Bhd"/>
    <x v="121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d v="2022-08-25T00:00:00"/>
    <x v="3"/>
    <x v="3"/>
    <s v="INV00000318"/>
    <s v="C00000010"/>
    <s v="Yew Seng Gardening Supply Sdn Bhd"/>
    <x v="148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d v="2022-08-25T00:00:00"/>
    <x v="3"/>
    <x v="3"/>
    <s v="INV00000318"/>
    <s v="C00000010"/>
    <s v="Yew Seng Gardening Supply Sdn Bhd"/>
    <x v="132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d v="2022-08-25T00:00:00"/>
    <x v="3"/>
    <x v="3"/>
    <s v="INV00000318"/>
    <s v="C00000010"/>
    <s v="Yew Seng Gardening Supply Sdn Bhd"/>
    <x v="131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d v="2022-08-25T00:00:00"/>
    <x v="3"/>
    <x v="3"/>
    <s v="INV00000318"/>
    <s v="C00000010"/>
    <s v="Yew Seng Gardening Supply Sdn Bhd"/>
    <x v="48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d v="2022-08-25T00:00:00"/>
    <x v="3"/>
    <x v="3"/>
    <s v="INV00000319"/>
    <s v="C00000027"/>
    <s v="Transform Star Sdn Bhd"/>
    <x v="118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x v="3"/>
    <x v="3"/>
    <s v="INV00000320"/>
    <s v="C00000019"/>
    <s v="Desuki Affela Empire Enterprise"/>
    <x v="120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x v="3"/>
    <x v="3"/>
    <s v="INV00000320"/>
    <s v="C00000019"/>
    <s v="Desuki Affela Empire Enterprise"/>
    <x v="139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x v="3"/>
    <x v="3"/>
    <s v="INV00000320"/>
    <s v="C00000019"/>
    <s v="Desuki Affela Empire Enterprise"/>
    <x v="4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x v="3"/>
    <x v="3"/>
    <s v="INV00000320"/>
    <s v="C00000019"/>
    <s v="Desuki Affela Empire Enterprise"/>
    <x v="52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x v="3"/>
    <x v="3"/>
    <s v="INV00000320"/>
    <s v="C00000019"/>
    <s v="Desuki Affela Empire Enterprise"/>
    <x v="12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x v="4"/>
    <x v="3"/>
    <s v="INV00000321"/>
    <s v="C00000020"/>
    <s v="WSK Tanks Sdn Bhd"/>
    <x v="120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d v="2022-09-02T00:00:00"/>
    <x v="4"/>
    <x v="3"/>
    <s v="INV00000321"/>
    <s v="C00000020"/>
    <s v="WSK Tanks Sdn Bhd"/>
    <x v="139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d v="2022-09-02T00:00:00"/>
    <x v="4"/>
    <x v="3"/>
    <s v="INV00000321"/>
    <s v="C00000020"/>
    <s v="WSK Tanks Sdn Bhd"/>
    <x v="128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x v="4"/>
    <x v="3"/>
    <s v="INV00000321"/>
    <s v="C00000020"/>
    <s v="WSK Tanks Sdn Bhd"/>
    <x v="12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s v="5/9/2022"/>
    <x v="4"/>
    <x v="3"/>
    <s v="INV00000322"/>
    <s v="C00000009"/>
    <s v="JMC Steel Engineering Sdn Bhd"/>
    <x v="120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d v="2022-09-06T00:00:00"/>
    <x v="4"/>
    <x v="3"/>
    <s v="INV00000323"/>
    <s v="C00000020"/>
    <s v="WSK Tanks Sdn Bhd"/>
    <x v="118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x v="4"/>
    <x v="3"/>
    <s v="INV00000323"/>
    <s v="C00000020"/>
    <s v="WSK Tanks Sdn Bhd"/>
    <x v="139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x v="4"/>
    <x v="3"/>
    <s v="INV00000323"/>
    <s v="C00000020"/>
    <s v="WSK Tanks Sdn Bhd"/>
    <x v="128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x v="4"/>
    <x v="3"/>
    <s v="INV00000323"/>
    <s v="C00000020"/>
    <s v="WSK Tanks Sdn Bhd"/>
    <x v="12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d v="2022-09-06T00:00:00"/>
    <x v="4"/>
    <x v="3"/>
    <s v="INV00000323"/>
    <s v="C00000020"/>
    <s v="WSK Tanks Sdn Bhd"/>
    <x v="106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d v="2022-09-09T00:00:00"/>
    <x v="4"/>
    <x v="3"/>
    <s v="INV00000324"/>
    <s v="C00000029"/>
    <s v="Cash - Vinz Yew Kok Wah"/>
    <x v="106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d v="2022-09-09T00:00:00"/>
    <x v="4"/>
    <x v="3"/>
    <s v="INV00000324"/>
    <s v="C00000029"/>
    <s v="Cash - Vinz Yew Kok Wah"/>
    <x v="148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d v="2022-09-09T00:00:00"/>
    <x v="4"/>
    <x v="3"/>
    <s v="INV00000325"/>
    <s v="C00000020"/>
    <s v="WSK Tanks Sdn Bhd"/>
    <x v="118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d v="2022-09-09T00:00:00"/>
    <x v="4"/>
    <x v="3"/>
    <s v="INV00000326"/>
    <s v="C00000021"/>
    <s v="KT Profesional Fiber"/>
    <x v="118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x v="4"/>
    <x v="3"/>
    <s v="INV00000326"/>
    <s v="C00000021"/>
    <s v="KT Profesional Fiber"/>
    <x v="106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x v="4"/>
    <x v="3"/>
    <s v="INV00000326"/>
    <s v="C00000021"/>
    <s v="KT Profesional Fiber"/>
    <x v="134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x v="4"/>
    <x v="3"/>
    <s v="INV00000327"/>
    <s v="C00000020"/>
    <s v="WSK Tanks Sdn Bhd"/>
    <x v="120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x v="4"/>
    <x v="3"/>
    <s v="INV00000327"/>
    <s v="C00000020"/>
    <s v="WSK Tanks Sdn Bhd"/>
    <x v="139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d v="2022-09-13T00:00:00"/>
    <x v="4"/>
    <x v="3"/>
    <s v="INV00000327"/>
    <s v="C00000020"/>
    <s v="WSK Tanks Sdn Bhd"/>
    <x v="128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d v="2022-09-13T00:00:00"/>
    <x v="4"/>
    <x v="3"/>
    <s v="INV00000327"/>
    <s v="C00000020"/>
    <s v="WSK Tanks Sdn Bhd"/>
    <x v="12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d v="2022-09-13T00:00:00"/>
    <x v="4"/>
    <x v="3"/>
    <s v="INV00000327"/>
    <s v="C00000020"/>
    <s v="WSK Tanks Sdn Bhd"/>
    <x v="106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d v="2022-09-13T00:00:00"/>
    <x v="4"/>
    <x v="3"/>
    <s v="INV00000327"/>
    <s v="C00000020"/>
    <s v="WSK Tanks Sdn Bhd"/>
    <x v="105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d v="2022-09-13T00:00:00"/>
    <x v="4"/>
    <x v="3"/>
    <s v="INV00000328"/>
    <s v="C00000020"/>
    <s v="WSK Tanks Sdn Bhd"/>
    <x v="120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d v="2022-09-13T00:00:00"/>
    <x v="4"/>
    <x v="3"/>
    <s v="INV00000328"/>
    <s v="C00000020"/>
    <s v="WSK Tanks Sdn Bhd"/>
    <x v="139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d v="2022-09-13T00:00:00"/>
    <x v="4"/>
    <x v="3"/>
    <s v="INV00000328"/>
    <s v="C00000020"/>
    <s v="WSK Tanks Sdn Bhd"/>
    <x v="128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d v="2022-09-13T00:00:00"/>
    <x v="4"/>
    <x v="3"/>
    <s v="INV00000328"/>
    <s v="C00000020"/>
    <s v="WSK Tanks Sdn Bhd"/>
    <x v="12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d v="2022-09-14T00:00:00"/>
    <x v="4"/>
    <x v="3"/>
    <s v="INV00000329"/>
    <s v="C00000001"/>
    <s v="Kelnico Marketing"/>
    <x v="149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d v="2022-09-15T00:00:00"/>
    <x v="4"/>
    <x v="3"/>
    <s v="INV00000330"/>
    <s v="C00000021"/>
    <s v="KT Profesional Fiber"/>
    <x v="118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x v="4"/>
    <x v="3"/>
    <s v="INV00000330"/>
    <s v="C00000021"/>
    <s v="KT Profesional Fiber"/>
    <x v="147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x v="4"/>
    <x v="3"/>
    <s v="INV00000330"/>
    <s v="C00000021"/>
    <s v="KT Profesional Fiber"/>
    <x v="106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x v="4"/>
    <x v="3"/>
    <s v="INV00000330"/>
    <s v="C00000021"/>
    <s v="KT Profesional Fiber"/>
    <x v="12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x v="4"/>
    <x v="3"/>
    <s v="INV00000331"/>
    <s v="C00000019"/>
    <s v="Desuki Affela Empire Enterprise"/>
    <x v="120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d v="2022-09-23T00:00:00"/>
    <x v="4"/>
    <x v="3"/>
    <s v="INV00000331"/>
    <s v="C00000019"/>
    <s v="Desuki Affela Empire Enterprise"/>
    <x v="139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x v="4"/>
    <x v="3"/>
    <s v="INV00000331"/>
    <s v="C00000019"/>
    <s v="Desuki Affela Empire Enterprise"/>
    <x v="4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d v="2022-09-23T00:00:00"/>
    <x v="4"/>
    <x v="3"/>
    <s v="INV00000331"/>
    <s v="C00000019"/>
    <s v="Desuki Affela Empire Enterprise"/>
    <x v="12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d v="2022-09-24T00:00:00"/>
    <x v="4"/>
    <x v="3"/>
    <s v="INV00000332"/>
    <s v="C00000010"/>
    <s v="Yew Seng Gardening Supply Sdn Bhd"/>
    <x v="45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d v="2022-09-24T00:00:00"/>
    <x v="4"/>
    <x v="3"/>
    <s v="INV00000332"/>
    <s v="C00000010"/>
    <s v="Yew Seng Gardening Supply Sdn Bhd"/>
    <x v="148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d v="2022-09-24T00:00:00"/>
    <x v="4"/>
    <x v="3"/>
    <s v="INV00000332"/>
    <s v="C00000010"/>
    <s v="Yew Seng Gardening Supply Sdn Bhd"/>
    <x v="12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d v="2022-09-24T00:00:00"/>
    <x v="4"/>
    <x v="3"/>
    <s v="INV00000332"/>
    <s v="C00000010"/>
    <s v="Yew Seng Gardening Supply Sdn Bhd"/>
    <x v="131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d v="2022-09-24T00:00:00"/>
    <x v="4"/>
    <x v="3"/>
    <s v="INV00000332"/>
    <s v="C00000010"/>
    <s v="Yew Seng Gardening Supply Sdn Bhd"/>
    <x v="150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d v="2022-09-24T00:00:00"/>
    <x v="4"/>
    <x v="3"/>
    <s v="INV00000332"/>
    <s v="C00000010"/>
    <s v="Yew Seng Gardening Supply Sdn Bhd"/>
    <x v="151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d v="2022-09-26T00:00:00"/>
    <x v="4"/>
    <x v="3"/>
    <s v="INV00000333"/>
    <s v="C00000021"/>
    <s v="KT Profesional Fiber"/>
    <x v="15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x v="4"/>
    <x v="3"/>
    <s v="INV00000333"/>
    <s v="C00000021"/>
    <s v="KT Profesional Fiber"/>
    <x v="147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x v="4"/>
    <x v="3"/>
    <s v="INV00000333"/>
    <s v="C00000021"/>
    <s v="KT Profesional Fiber"/>
    <x v="152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x v="4"/>
    <x v="3"/>
    <s v="INV00000333"/>
    <s v="C00000021"/>
    <s v="KT Profesional Fiber"/>
    <x v="12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x v="4"/>
    <x v="3"/>
    <s v="INV00000333"/>
    <s v="C00000021"/>
    <s v="KT Profesional Fiber"/>
    <x v="153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x v="4"/>
    <x v="3"/>
    <s v="INV00000334"/>
    <s v="C00000022"/>
    <s v="SF Engineering Solution"/>
    <x v="7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d v="2022-09-26T00:00:00"/>
    <x v="4"/>
    <x v="3"/>
    <s v="INV00000334"/>
    <s v="C00000022"/>
    <s v="SF Engineering Solution"/>
    <x v="139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x v="4"/>
    <x v="3"/>
    <s v="INV00000334"/>
    <s v="C00000022"/>
    <s v="SF Engineering Solution"/>
    <x v="154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d v="2022-09-26T00:00:00"/>
    <x v="4"/>
    <x v="3"/>
    <s v="INV00000335"/>
    <s v="C00000022"/>
    <s v="SF Engineering Solution"/>
    <x v="152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d v="2022-09-26T00:00:00"/>
    <x v="4"/>
    <x v="3"/>
    <s v="INV00000335"/>
    <s v="C00000022"/>
    <s v="SF Engineering Solution"/>
    <x v="155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d v="2022-09-26T00:00:00"/>
    <x v="4"/>
    <x v="3"/>
    <s v="INV00000335"/>
    <s v="C00000022"/>
    <s v="SF Engineering Solution"/>
    <x v="52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d v="2022-09-28T00:00:00"/>
    <x v="4"/>
    <x v="3"/>
    <s v="INV00000336"/>
    <s v="C00000027"/>
    <s v="Transform Star Sdn Bhd"/>
    <x v="118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x v="4"/>
    <x v="3"/>
    <s v="INV00000336"/>
    <s v="C00000027"/>
    <s v="Transform Star Sdn Bhd"/>
    <x v="139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x v="4"/>
    <x v="3"/>
    <s v="INV00000336"/>
    <s v="C00000027"/>
    <s v="Transform Star Sdn Bhd"/>
    <x v="140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x v="4"/>
    <x v="3"/>
    <s v="INV00000336"/>
    <s v="C00000027"/>
    <s v="Transform Star Sdn Bhd"/>
    <x v="156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x v="4"/>
    <x v="3"/>
    <s v="INV00000336"/>
    <s v="C00000027"/>
    <s v="Transform Star Sdn Bhd"/>
    <x v="141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x v="4"/>
    <x v="3"/>
    <s v="INV00000336"/>
    <s v="C00000027"/>
    <s v="Transform Star Sdn Bhd"/>
    <x v="106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x v="4"/>
    <x v="3"/>
    <s v="INV00000336"/>
    <s v="C00000027"/>
    <s v="Transform Star Sdn Bhd"/>
    <x v="138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x v="4"/>
    <x v="3"/>
    <s v="INV00000336"/>
    <s v="C00000027"/>
    <s v="Transform Star Sdn Bhd"/>
    <x v="131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x v="4"/>
    <x v="3"/>
    <s v="INV00000336"/>
    <s v="C00000027"/>
    <s v="Transform Star Sdn Bhd"/>
    <x v="125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x v="4"/>
    <x v="3"/>
    <s v="INV00000337"/>
    <s v="C00000029"/>
    <s v="Cash - Vinz Yew Kok Wah"/>
    <x v="15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d v="2022-09-28T00:00:00"/>
    <x v="4"/>
    <x v="3"/>
    <s v="INV00000337"/>
    <s v="C00000029"/>
    <s v="Cash - Vinz Yew Kok Wah"/>
    <x v="106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d v="2022-09-28T00:00:00"/>
    <x v="4"/>
    <x v="3"/>
    <s v="INV00000337"/>
    <s v="C00000029"/>
    <s v="Cash - Vinz Yew Kok Wah"/>
    <x v="12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d v="2022-10-01T00:00:00"/>
    <x v="5"/>
    <x v="3"/>
    <s v="INV00000338"/>
    <s v="C00000010"/>
    <s v="Yew Seng Gardening Supply Sdn Bhd"/>
    <x v="45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d v="2022-10-01T00:00:00"/>
    <x v="5"/>
    <x v="3"/>
    <s v="INV00000338"/>
    <s v="C00000010"/>
    <s v="Yew Seng Gardening Supply Sdn Bhd"/>
    <x v="148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d v="2022-10-01T00:00:00"/>
    <x v="5"/>
    <x v="3"/>
    <s v="INV00000338"/>
    <s v="C00000010"/>
    <s v="Yew Seng Gardening Supply Sdn Bhd"/>
    <x v="12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d v="2022-10-01T00:00:00"/>
    <x v="5"/>
    <x v="3"/>
    <s v="INV00000338"/>
    <s v="C00000010"/>
    <s v="Yew Seng Gardening Supply Sdn Bhd"/>
    <x v="131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d v="2022-10-01T00:00:00"/>
    <x v="5"/>
    <x v="3"/>
    <s v="INV00000338"/>
    <s v="C00000010"/>
    <s v="Yew Seng Gardening Supply Sdn Bhd"/>
    <x v="150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s v="3/10/2022"/>
    <x v="5"/>
    <x v="3"/>
    <s v="INV00000339"/>
    <s v="C00000020"/>
    <s v="WSK Tanks Sdn Bhd"/>
    <x v="120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x v="5"/>
    <x v="3"/>
    <s v="INV00000339"/>
    <s v="C00000020"/>
    <s v="WSK Tanks Sdn Bhd"/>
    <x v="157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x v="5"/>
    <x v="3"/>
    <s v="INV00000339"/>
    <s v="C00000020"/>
    <s v="WSK Tanks Sdn Bhd"/>
    <x v="158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s v="3/10/2022"/>
    <x v="5"/>
    <x v="3"/>
    <s v="INV00000339"/>
    <s v="C00000020"/>
    <s v="WSK Tanks Sdn Bhd"/>
    <x v="12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s v="3/10/2022"/>
    <x v="5"/>
    <x v="3"/>
    <s v="INV00000339"/>
    <s v="C00000020"/>
    <s v="WSK Tanks Sdn Bhd"/>
    <x v="159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s v="3/10/2022"/>
    <x v="5"/>
    <x v="3"/>
    <s v="INV00000339"/>
    <s v="C00000020"/>
    <s v="WSK Tanks Sdn Bhd"/>
    <x v="160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s v="1/10/2022"/>
    <x v="5"/>
    <x v="3"/>
    <s v="INV00000340"/>
    <s v="C00000021"/>
    <s v="KT Profesional Fiber"/>
    <x v="15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x v="5"/>
    <x v="3"/>
    <s v="INV00000340"/>
    <s v="C00000021"/>
    <s v="KT Profesional Fiber"/>
    <x v="152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x v="5"/>
    <x v="3"/>
    <s v="INV00000340"/>
    <s v="C00000021"/>
    <s v="KT Profesional Fiber"/>
    <x v="12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x v="5"/>
    <x v="3"/>
    <s v="INV00000340"/>
    <s v="C00000021"/>
    <s v="KT Profesional Fiber"/>
    <x v="129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x v="5"/>
    <x v="3"/>
    <s v="INV00000341"/>
    <s v="C00000003"/>
    <s v="Pandian Art Gallery Manufacturing"/>
    <x v="15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x v="5"/>
    <x v="3"/>
    <s v="INV00000341"/>
    <s v="C00000003"/>
    <s v="Pandian Art Gallery Manufacturing"/>
    <x v="12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x v="5"/>
    <x v="3"/>
    <s v="INV00000341"/>
    <s v="C00000003"/>
    <s v="Pandian Art Gallery Manufacturing"/>
    <x v="4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x v="5"/>
    <x v="3"/>
    <s v="INV00000342"/>
    <s v="C00000003"/>
    <s v="Pandian Art Gallery Manufacturing"/>
    <x v="15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x v="5"/>
    <x v="3"/>
    <s v="INV00000343"/>
    <s v="C00000006"/>
    <s v="Perniagaan Fibra Sahih"/>
    <x v="120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x v="5"/>
    <x v="3"/>
    <s v="INV00000343"/>
    <s v="C00000006"/>
    <s v="Perniagaan Fibra Sahih"/>
    <x v="155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x v="5"/>
    <x v="3"/>
    <s v="INV00000344"/>
    <s v="C00000019"/>
    <s v="Desuki Affela Empire Enterprise"/>
    <x v="120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39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53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4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52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x v="5"/>
    <x v="3"/>
    <s v="INV00000345"/>
    <s v="C00000020"/>
    <s v="WSK Tanks Sdn Bhd"/>
    <x v="120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d v="2022-10-13T00:00:00"/>
    <x v="5"/>
    <x v="3"/>
    <s v="INV00000345"/>
    <s v="C00000020"/>
    <s v="WSK Tanks Sdn Bhd"/>
    <x v="157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d v="2022-10-13T00:00:00"/>
    <x v="5"/>
    <x v="3"/>
    <s v="INV00000345"/>
    <s v="C00000020"/>
    <s v="WSK Tanks Sdn Bhd"/>
    <x v="139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x v="5"/>
    <x v="3"/>
    <s v="INV00000345"/>
    <s v="C00000020"/>
    <s v="WSK Tanks Sdn Bhd"/>
    <x v="128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d v="2022-10-13T00:00:00"/>
    <x v="5"/>
    <x v="3"/>
    <s v="INV00000345"/>
    <s v="C00000020"/>
    <s v="WSK Tanks Sdn Bhd"/>
    <x v="12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d v="2022-10-13T00:00:00"/>
    <x v="5"/>
    <x v="3"/>
    <s v="INV00000345"/>
    <s v="C00000020"/>
    <s v="WSK Tanks Sdn Bhd"/>
    <x v="159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d v="2022-10-13T00:00:00"/>
    <x v="5"/>
    <x v="3"/>
    <s v="INV00000345"/>
    <s v="C00000020"/>
    <s v="WSK Tanks Sdn Bhd"/>
    <x v="160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d v="2022-10-13T00:00:00"/>
    <x v="5"/>
    <x v="3"/>
    <s v="INV00000346"/>
    <s v="C00000021"/>
    <s v="KT Profesional Fiber"/>
    <x v="15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x v="5"/>
    <x v="3"/>
    <s v="INV00000346"/>
    <s v="C00000021"/>
    <s v="KT Profesional Fiber"/>
    <x v="157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x v="5"/>
    <x v="3"/>
    <s v="INV00000346"/>
    <s v="C00000021"/>
    <s v="KT Profesional Fiber"/>
    <x v="152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x v="5"/>
    <x v="3"/>
    <s v="INV00000347"/>
    <s v="C00000010"/>
    <s v="Yew Seng Gardening Supply Sdn Bhd"/>
    <x v="45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d v="2022-10-15T00:00:00"/>
    <x v="5"/>
    <x v="3"/>
    <s v="INV00000347"/>
    <s v="C00000010"/>
    <s v="Yew Seng Gardening Supply Sdn Bhd"/>
    <x v="148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d v="2022-10-15T00:00:00"/>
    <x v="5"/>
    <x v="3"/>
    <s v="INV00000347"/>
    <s v="C00000010"/>
    <s v="Yew Seng Gardening Supply Sdn Bhd"/>
    <x v="12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d v="2022-10-15T00:00:00"/>
    <x v="5"/>
    <x v="3"/>
    <s v="INV00000347"/>
    <s v="C00000010"/>
    <s v="Yew Seng Gardening Supply Sdn Bhd"/>
    <x v="150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d v="2022-10-15T00:00:00"/>
    <x v="5"/>
    <x v="3"/>
    <s v="INV00000347"/>
    <s v="C00000010"/>
    <s v="Yew Seng Gardening Supply Sdn Bhd"/>
    <x v="151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d v="2022-10-17T00:00:00"/>
    <x v="5"/>
    <x v="3"/>
    <s v="INV00000348"/>
    <s v="C00000026"/>
    <s v="Megapower Service"/>
    <x v="118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x v="5"/>
    <x v="3"/>
    <s v="INV00000348"/>
    <s v="C00000026"/>
    <s v="Megapower Service"/>
    <x v="139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x v="5"/>
    <x v="3"/>
    <s v="INV00000348"/>
    <s v="C00000026"/>
    <s v="Megapower Service"/>
    <x v="125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x v="5"/>
    <x v="3"/>
    <s v="INV00000348"/>
    <s v="C00000026"/>
    <s v="Megapower Service"/>
    <x v="161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x v="5"/>
    <x v="3"/>
    <s v="INV00000348"/>
    <s v="C00000026"/>
    <s v="Megapower Service"/>
    <x v="141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x v="5"/>
    <x v="3"/>
    <s v="INV00000348"/>
    <s v="C00000026"/>
    <s v="Megapower Service"/>
    <x v="162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x v="5"/>
    <x v="3"/>
    <s v="INV00000348"/>
    <s v="C00000026"/>
    <s v="Megapower Service"/>
    <x v="150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x v="5"/>
    <x v="3"/>
    <s v="INV00000348"/>
    <s v="C00000026"/>
    <s v="Megapower Service"/>
    <x v="12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x v="5"/>
    <x v="3"/>
    <s v="INV00000348"/>
    <s v="C00000026"/>
    <s v="Megapower Service"/>
    <x v="153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x v="5"/>
    <x v="3"/>
    <s v="INV00000349"/>
    <s v="C00000010"/>
    <s v="Yew Seng Gardening Supply Sdn Bhd"/>
    <x v="48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d v="2022-10-18T00:00:00"/>
    <x v="5"/>
    <x v="3"/>
    <s v="INV00000350"/>
    <s v="C00000009"/>
    <s v="JMC Steel Engineering Sdn Bhd"/>
    <x v="139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x v="5"/>
    <x v="3"/>
    <s v="INV00000350"/>
    <s v="C00000009"/>
    <s v="JMC Steel Engineering Sdn Bhd"/>
    <x v="140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d v="2022-10-20T00:00:00"/>
    <x v="5"/>
    <x v="3"/>
    <s v="INV00000351"/>
    <s v="C00000004"/>
    <s v="Siew Min Lorry Sdn Bhd"/>
    <x v="120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x v="5"/>
    <x v="3"/>
    <s v="INV00000351"/>
    <s v="C00000004"/>
    <s v="Siew Min Lorry Sdn Bhd"/>
    <x v="96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x v="5"/>
    <x v="3"/>
    <s v="INV00000351"/>
    <s v="C00000004"/>
    <s v="Siew Min Lorry Sdn Bhd"/>
    <x v="112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x v="5"/>
    <x v="3"/>
    <s v="INV00000351"/>
    <s v="C00000004"/>
    <s v="Siew Min Lorry Sdn Bhd"/>
    <x v="163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x v="5"/>
    <x v="3"/>
    <s v="INV00000351"/>
    <s v="C00000004"/>
    <s v="Siew Min Lorry Sdn Bhd"/>
    <x v="106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d v="2022-10-21T00:00:00"/>
    <x v="5"/>
    <x v="3"/>
    <s v="INV00000352"/>
    <s v="C00000001"/>
    <s v="Kelnico Marketing"/>
    <x v="118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d v="2022-10-21T00:00:00"/>
    <x v="5"/>
    <x v="3"/>
    <s v="INV00000352"/>
    <s v="C00000001"/>
    <s v="Kelnico Marketing"/>
    <x v="100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d v="2022-10-22T00:00:00"/>
    <x v="5"/>
    <x v="3"/>
    <s v="INV00000353"/>
    <s v="C00000020"/>
    <s v="WSK Tanks Sdn Bhd"/>
    <x v="118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d v="2022-10-22T00:00:00"/>
    <x v="5"/>
    <x v="3"/>
    <s v="INV00000353"/>
    <s v="C00000020"/>
    <s v="WSK Tanks Sdn Bhd"/>
    <x v="157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d v="2022-10-22T00:00:00"/>
    <x v="5"/>
    <x v="3"/>
    <s v="INV00000353"/>
    <s v="C00000020"/>
    <s v="WSK Tanks Sdn Bhd"/>
    <x v="133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d v="2022-10-22T00:00:00"/>
    <x v="5"/>
    <x v="3"/>
    <s v="INV00000354"/>
    <s v="C00000021"/>
    <s v="KT Profesional Fiber"/>
    <x v="15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x v="5"/>
    <x v="3"/>
    <s v="INV00000354"/>
    <s v="C00000021"/>
    <s v="KT Profesional Fiber"/>
    <x v="157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x v="5"/>
    <x v="3"/>
    <s v="INV00000354"/>
    <s v="C00000021"/>
    <s v="KT Profesional Fiber"/>
    <x v="152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x v="5"/>
    <x v="3"/>
    <s v="INV00000355"/>
    <s v="C00000020"/>
    <s v="WSK Tanks Sdn Bhd"/>
    <x v="12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d v="2022-10-31T00:00:00"/>
    <x v="5"/>
    <x v="3"/>
    <s v="INV00000356"/>
    <s v="C00000020"/>
    <s v="WSK Tanks Sdn Bhd"/>
    <x v="120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x v="5"/>
    <x v="3"/>
    <s v="INV00000356"/>
    <s v="C00000020"/>
    <s v="WSK Tanks Sdn Bhd"/>
    <x v="157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d v="2022-10-31T00:00:00"/>
    <x v="5"/>
    <x v="3"/>
    <s v="INV00000356"/>
    <s v="C00000020"/>
    <s v="WSK Tanks Sdn Bhd"/>
    <x v="158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d v="2022-10-31T00:00:00"/>
    <x v="5"/>
    <x v="3"/>
    <s v="INV00000356"/>
    <s v="C00000020"/>
    <s v="WSK Tanks Sdn Bhd"/>
    <x v="164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d v="2022-10-31T00:00:00"/>
    <x v="5"/>
    <x v="3"/>
    <s v="INV00000356"/>
    <s v="C00000020"/>
    <s v="WSK Tanks Sdn Bhd"/>
    <x v="12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d v="2022-10-31T00:00:00"/>
    <x v="5"/>
    <x v="3"/>
    <s v="INV00000356"/>
    <s v="C00000020"/>
    <s v="WSK Tanks Sdn Bhd"/>
    <x v="159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d v="2022-10-31T00:00:00"/>
    <x v="5"/>
    <x v="3"/>
    <s v="INV00000356"/>
    <s v="C00000020"/>
    <s v="WSK Tanks Sdn Bhd"/>
    <x v="160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d v="2022-10-31T00:00:00"/>
    <x v="5"/>
    <x v="3"/>
    <s v="INV00000357"/>
    <s v="C00000021"/>
    <s v="KT Profesional Fiber"/>
    <x v="15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x v="5"/>
    <x v="3"/>
    <s v="INV00000357"/>
    <s v="C00000021"/>
    <s v="KT Profesional Fiber"/>
    <x v="100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x v="5"/>
    <x v="3"/>
    <s v="INV00000357"/>
    <s v="C00000021"/>
    <s v="KT Profesional Fiber"/>
    <x v="160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x v="5"/>
    <x v="3"/>
    <s v="INV00000357"/>
    <s v="C00000021"/>
    <s v="KT Profesional Fiber"/>
    <x v="165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x v="6"/>
    <x v="3"/>
    <s v="INV00000358"/>
    <s v="C00000004"/>
    <s v="Siew Min Lorry Sdn Bhd"/>
    <x v="120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d v="2022-11-01T00:00:00"/>
    <x v="6"/>
    <x v="3"/>
    <s v="INV00000358"/>
    <s v="C00000004"/>
    <s v="Siew Min Lorry Sdn Bhd"/>
    <x v="96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d v="2022-11-01T00:00:00"/>
    <x v="6"/>
    <x v="3"/>
    <s v="INV00000359"/>
    <s v="C00000010"/>
    <s v="Yew Seng Gardening Supply Sdn Bhd"/>
    <x v="45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d v="2022-11-01T00:00:00"/>
    <x v="6"/>
    <x v="3"/>
    <s v="INV00000359"/>
    <s v="C00000010"/>
    <s v="Yew Seng Gardening Supply Sdn Bhd"/>
    <x v="148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d v="2022-11-01T00:00:00"/>
    <x v="6"/>
    <x v="3"/>
    <s v="INV00000359"/>
    <s v="C00000010"/>
    <s v="Yew Seng Gardening Supply Sdn Bhd"/>
    <x v="12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d v="2022-11-01T00:00:00"/>
    <x v="6"/>
    <x v="3"/>
    <s v="INV00000359"/>
    <s v="C00000010"/>
    <s v="Yew Seng Gardening Supply Sdn Bhd"/>
    <x v="150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d v="2022-11-03T00:00:00"/>
    <x v="6"/>
    <x v="3"/>
    <s v="INV00000360"/>
    <s v="C00000009"/>
    <s v="JMC Steel Engineering Sdn Bhd"/>
    <x v="120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d v="2022-11-03T00:00:00"/>
    <x v="6"/>
    <x v="3"/>
    <s v="INV00000360"/>
    <s v="C00000009"/>
    <s v="JMC Steel Engineering Sdn Bhd"/>
    <x v="112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d v="2022-11-03T00:00:00"/>
    <x v="6"/>
    <x v="3"/>
    <s v="INV00000360"/>
    <s v="C00000009"/>
    <s v="JMC Steel Engineering Sdn Bhd"/>
    <x v="140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d v="2022-11-04T00:00:00"/>
    <x v="6"/>
    <x v="3"/>
    <s v="INV00000361"/>
    <s v="C00000020"/>
    <s v="WSK Tanks Sdn Bhd"/>
    <x v="106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d v="2022-11-04T00:00:00"/>
    <x v="6"/>
    <x v="3"/>
    <s v="INV00000361"/>
    <s v="C00000020"/>
    <s v="WSK Tanks Sdn Bhd"/>
    <x v="166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d v="2022-11-05T00:00:00"/>
    <x v="6"/>
    <x v="3"/>
    <s v="INV00000362"/>
    <s v="C00000031"/>
    <s v="Cash - Big Jackfruit Trading"/>
    <x v="167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x v="6"/>
    <x v="3"/>
    <s v="INV00000362"/>
    <s v="C00000031"/>
    <s v="Cash - Big Jackfruit Trading"/>
    <x v="112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x v="6"/>
    <x v="3"/>
    <s v="INV00000362"/>
    <s v="C00000031"/>
    <s v="Cash - Big Jackfruit Trading"/>
    <x v="106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d v="2022-11-07T00:00:00"/>
    <x v="6"/>
    <x v="3"/>
    <s v="INV00000363"/>
    <s v="C00000022"/>
    <s v="SF Engineering Solution"/>
    <x v="104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d v="2022-11-07T00:00:00"/>
    <x v="6"/>
    <x v="3"/>
    <s v="INV00000363"/>
    <s v="C00000022"/>
    <s v="SF Engineering Solution"/>
    <x v="123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d v="2022-11-08T00:00:00"/>
    <x v="6"/>
    <x v="3"/>
    <s v="INV00000364"/>
    <s v="C00000030"/>
    <s v="Hai Kee Hung Sdn Bhd"/>
    <x v="168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d v="2022-11-08T00:00:00"/>
    <x v="6"/>
    <x v="3"/>
    <s v="INV00000364"/>
    <s v="C00000030"/>
    <s v="Hai Kee Hung Sdn Bhd"/>
    <x v="169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d v="2022-11-08T00:00:00"/>
    <x v="6"/>
    <x v="3"/>
    <s v="INV00000364"/>
    <s v="C00000030"/>
    <s v="Hai Kee Hung Sdn Bhd"/>
    <x v="170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d v="2022-11-08T00:00:00"/>
    <x v="6"/>
    <x v="3"/>
    <s v="INV00000364"/>
    <s v="C00000030"/>
    <s v="Hai Kee Hung Sdn Bhd"/>
    <x v="171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d v="2022-11-09T00:00:00"/>
    <x v="6"/>
    <x v="3"/>
    <s v="INV00000365"/>
    <s v="C00000021"/>
    <s v="KT Profesional Fiber"/>
    <x v="15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x v="6"/>
    <x v="3"/>
    <s v="INV00000365"/>
    <s v="C00000021"/>
    <s v="KT Profesional Fiber"/>
    <x v="100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x v="6"/>
    <x v="3"/>
    <s v="INV00000365"/>
    <s v="C00000021"/>
    <s v="KT Profesional Fiber"/>
    <x v="106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x v="6"/>
    <x v="3"/>
    <s v="INV00000366"/>
    <s v="C00000020"/>
    <s v="WSK Tanks Sdn Bhd"/>
    <x v="120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x v="6"/>
    <x v="3"/>
    <s v="INV00000366"/>
    <s v="C00000020"/>
    <s v="WSK Tanks Sdn Bhd"/>
    <x v="157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x v="6"/>
    <x v="3"/>
    <s v="INV00000366"/>
    <s v="C00000020"/>
    <s v="WSK Tanks Sdn Bhd"/>
    <x v="158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x v="6"/>
    <x v="3"/>
    <s v="INV00000366"/>
    <s v="C00000020"/>
    <s v="WSK Tanks Sdn Bhd"/>
    <x v="12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x v="6"/>
    <x v="3"/>
    <s v="INV00000366"/>
    <s v="C00000020"/>
    <s v="WSK Tanks Sdn Bhd"/>
    <x v="159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x v="6"/>
    <x v="3"/>
    <s v="INV00000366"/>
    <s v="C00000020"/>
    <s v="WSK Tanks Sdn Bhd"/>
    <x v="106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x v="6"/>
    <x v="3"/>
    <s v="INV00000367"/>
    <s v="C00000027"/>
    <s v="Transform Star Sdn Bhd"/>
    <x v="118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x v="6"/>
    <x v="3"/>
    <s v="INV00000367"/>
    <s v="C00000027"/>
    <s v="Transform Star Sdn Bhd"/>
    <x v="112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x v="6"/>
    <x v="3"/>
    <s v="INV00000367"/>
    <s v="C00000027"/>
    <s v="Transform Star Sdn Bhd"/>
    <x v="163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x v="6"/>
    <x v="3"/>
    <s v="INV00000367"/>
    <s v="C00000027"/>
    <s v="Transform Star Sdn Bhd"/>
    <x v="156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x v="6"/>
    <x v="3"/>
    <s v="INV00000367"/>
    <s v="C00000027"/>
    <s v="Transform Star Sdn Bhd"/>
    <x v="141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x v="6"/>
    <x v="3"/>
    <s v="INV00000367"/>
    <s v="C00000027"/>
    <s v="Transform Star Sdn Bhd"/>
    <x v="106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x v="6"/>
    <x v="3"/>
    <s v="INV00000367"/>
    <s v="C00000027"/>
    <s v="Transform Star Sdn Bhd"/>
    <x v="137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x v="6"/>
    <x v="3"/>
    <s v="INV00000367"/>
    <s v="C00000027"/>
    <s v="Transform Star Sdn Bhd"/>
    <x v="131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x v="6"/>
    <x v="3"/>
    <s v="INV00000367"/>
    <s v="C00000027"/>
    <s v="Transform Star Sdn Bhd"/>
    <x v="125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x v="6"/>
    <x v="3"/>
    <s v="INV00000367"/>
    <s v="C00000027"/>
    <s v="Transform Star Sdn Bhd"/>
    <x v="104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x v="6"/>
    <x v="3"/>
    <s v="INV00000368"/>
    <s v="C00000019"/>
    <s v="Desuki Affela Empire Enterprise"/>
    <x v="120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x v="6"/>
    <x v="3"/>
    <s v="INV00000368"/>
    <s v="C00000019"/>
    <s v="Desuki Affela Empire Enterprise"/>
    <x v="112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d v="2022-11-15T00:00:00"/>
    <x v="6"/>
    <x v="3"/>
    <s v="INV00000368"/>
    <s v="C00000019"/>
    <s v="Desuki Affela Empire Enterprise"/>
    <x v="52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x v="6"/>
    <x v="3"/>
    <s v="INV00000369"/>
    <s v="C00000019"/>
    <s v="Desuki Affela Empire Enterprise"/>
    <x v="4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s v="22/11/2022"/>
    <x v="6"/>
    <x v="3"/>
    <s v="INV00000370"/>
    <s v="C00000001"/>
    <s v="Kelnico Marketing"/>
    <x v="118"/>
    <n v="1"/>
    <s v="Cash"/>
    <n v="0"/>
    <d v="2022-11-22T00:00:00"/>
    <n v="11"/>
    <n v="2022"/>
    <n v="1936"/>
    <n v="-1936"/>
    <n v="0"/>
    <n v="2125893.350000001"/>
    <s v="Trsf"/>
    <s v="Trsf 2/12/22"/>
    <m/>
  </r>
  <r>
    <s v="22/11/2022"/>
    <x v="6"/>
    <x v="3"/>
    <s v="INV00000371"/>
    <s v="C00000031"/>
    <s v="Cash - Big Jackfruit Trading"/>
    <x v="167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s v="22/11/2022"/>
    <x v="6"/>
    <x v="3"/>
    <s v="INV00000372"/>
    <s v="C00000020"/>
    <s v="WSK Tanks Sdn Bhd"/>
    <x v="120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x v="6"/>
    <x v="3"/>
    <s v="INV00000372"/>
    <s v="C00000020"/>
    <s v="WSK Tanks Sdn Bhd"/>
    <x v="157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x v="6"/>
    <x v="3"/>
    <s v="INV00000372"/>
    <s v="C00000020"/>
    <s v="WSK Tanks Sdn Bhd"/>
    <x v="172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s v="22/11/2022"/>
    <x v="6"/>
    <x v="3"/>
    <s v="INV00000372"/>
    <s v="C00000020"/>
    <s v="WSK Tanks Sdn Bhd"/>
    <x v="12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s v="22/11/2022"/>
    <x v="6"/>
    <x v="3"/>
    <s v="INV00000372"/>
    <s v="C00000020"/>
    <s v="WSK Tanks Sdn Bhd"/>
    <x v="159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s v="22/11/2022"/>
    <x v="6"/>
    <x v="3"/>
    <s v="INV00000372"/>
    <s v="C00000020"/>
    <s v="WSK Tanks Sdn Bhd"/>
    <x v="173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d v="2022-11-29T00:00:00"/>
    <x v="6"/>
    <x v="3"/>
    <s v="INV00000373"/>
    <s v="C00000003"/>
    <s v="Pandian Art Gallery Manufacturing"/>
    <x v="15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d v="2022-11-29T00:00:00"/>
    <x v="6"/>
    <x v="3"/>
    <s v="INV00000373"/>
    <s v="C00000003"/>
    <s v="Pandian Art Gallery Manufacturing"/>
    <x v="155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d v="2022-11-29T00:00:00"/>
    <x v="6"/>
    <x v="3"/>
    <s v="INV00000373"/>
    <s v="C00000003"/>
    <s v="Pandian Art Gallery Manufacturing"/>
    <x v="12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d v="2022-11-29T00:00:00"/>
    <x v="6"/>
    <x v="3"/>
    <s v="INV00000373"/>
    <s v="C00000003"/>
    <s v="Pandian Art Gallery Manufacturing"/>
    <x v="4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d v="2022-11-29T00:00:00"/>
    <x v="6"/>
    <x v="3"/>
    <s v="INV00000373"/>
    <s v="C00000003"/>
    <s v="Pandian Art Gallery Manufacturing"/>
    <x v="153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d v="2022-11-29T00:00:00"/>
    <x v="6"/>
    <x v="3"/>
    <s v="INV00000374"/>
    <s v="C00000010"/>
    <s v="Yew Seng Gardening Supply Sdn Bhd"/>
    <x v="45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d v="2022-11-29T00:00:00"/>
    <x v="6"/>
    <x v="3"/>
    <s v="INV00000374"/>
    <s v="C00000010"/>
    <s v="Yew Seng Gardening Supply Sdn Bhd"/>
    <x v="148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d v="2022-11-29T00:00:00"/>
    <x v="6"/>
    <x v="3"/>
    <s v="INV00000374"/>
    <s v="C00000010"/>
    <s v="Yew Seng Gardening Supply Sdn Bhd"/>
    <x v="132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d v="2022-11-29T00:00:00"/>
    <x v="6"/>
    <x v="3"/>
    <s v="INV00000374"/>
    <s v="C00000010"/>
    <s v="Yew Seng Gardening Supply Sdn Bhd"/>
    <x v="4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d v="2022-11-29T00:00:00"/>
    <x v="6"/>
    <x v="3"/>
    <s v="INV00000374"/>
    <s v="C00000010"/>
    <s v="Yew Seng Gardening Supply Sdn Bhd"/>
    <x v="174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d v="2022-11-29T00:00:00"/>
    <x v="6"/>
    <x v="3"/>
    <s v="INV00000374"/>
    <s v="C00000010"/>
    <s v="Yew Seng Gardening Supply Sdn Bhd"/>
    <x v="125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d v="2022-11-30T00:00:00"/>
    <x v="6"/>
    <x v="3"/>
    <s v="INV00000375"/>
    <s v="C00000032"/>
    <s v="Cash - Zaina"/>
    <x v="167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d v="2022-11-30T00:00:00"/>
    <x v="6"/>
    <x v="3"/>
    <s v="INV00000376"/>
    <s v="C00000033"/>
    <s v="Cash - Zaidi"/>
    <x v="167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d v="2022-11-30T00:00:00"/>
    <x v="6"/>
    <x v="3"/>
    <s v="INV00000376"/>
    <s v="C00000033"/>
    <s v="Cash - Zaidi"/>
    <x v="4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d v="2022-12-01T00:00:00"/>
    <x v="0"/>
    <x v="3"/>
    <s v="INV00000377"/>
    <s v="C00000031"/>
    <s v="Cash - Big Jackfruit Trading"/>
    <x v="153"/>
    <n v="1"/>
    <s v="Cash"/>
    <n v="0"/>
    <d v="2022-12-01T00:00:00"/>
    <n v="12"/>
    <n v="2022"/>
    <n v="60"/>
    <n v="-60"/>
    <n v="0"/>
    <n v="2163234.4500000011"/>
    <s v="Trsf"/>
    <m/>
    <m/>
  </r>
  <r>
    <d v="2022-12-01T00:00:00"/>
    <x v="0"/>
    <x v="3"/>
    <s v="INV00000378"/>
    <s v="C00000022"/>
    <s v="SF Engineering Solution"/>
    <x v="175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d v="2022-12-02T00:00:00"/>
    <x v="0"/>
    <x v="3"/>
    <s v="INV00000379"/>
    <s v="C00000020"/>
    <s v="WSK Tanks Sdn Bhd"/>
    <x v="7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d v="2022-12-02T00:00:00"/>
    <x v="0"/>
    <x v="3"/>
    <s v="INV00000379"/>
    <s v="C00000020"/>
    <s v="WSK Tanks Sdn Bhd"/>
    <x v="157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d v="2022-12-02T00:00:00"/>
    <x v="0"/>
    <x v="3"/>
    <s v="INV00000379"/>
    <s v="C00000020"/>
    <s v="WSK Tanks Sdn Bhd"/>
    <x v="132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d v="2022-12-02T00:00:00"/>
    <x v="0"/>
    <x v="3"/>
    <s v="INV00000380"/>
    <s v="C00000020"/>
    <s v="WSK Tanks Sdn Bhd"/>
    <x v="7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d v="2022-12-02T00:00:00"/>
    <x v="0"/>
    <x v="3"/>
    <s v="INV00000380"/>
    <s v="C00000020"/>
    <s v="WSK Tanks Sdn Bhd"/>
    <x v="157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d v="2022-12-02T00:00:00"/>
    <x v="0"/>
    <x v="3"/>
    <s v="INV00000380"/>
    <s v="C00000020"/>
    <s v="WSK Tanks Sdn Bhd"/>
    <x v="176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d v="2022-12-02T00:00:00"/>
    <x v="0"/>
    <x v="3"/>
    <s v="INV00000380"/>
    <s v="C00000020"/>
    <s v="WSK Tanks Sdn Bhd"/>
    <x v="132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d v="2022-12-02T00:00:00"/>
    <x v="0"/>
    <x v="3"/>
    <s v="INV00000380"/>
    <s v="C00000020"/>
    <s v="WSK Tanks Sdn Bhd"/>
    <x v="159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d v="2022-12-03T00:00:00"/>
    <x v="0"/>
    <x v="3"/>
    <s v="INV00000381"/>
    <s v="C00000009"/>
    <s v="JMC Steel Engineering Sdn Bhd"/>
    <x v="7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d v="2022-12-03T00:00:00"/>
    <x v="0"/>
    <x v="3"/>
    <s v="INV00000381"/>
    <s v="C00000009"/>
    <s v="JMC Steel Engineering Sdn Bhd"/>
    <x v="96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d v="2022-12-03T00:00:00"/>
    <x v="0"/>
    <x v="3"/>
    <s v="INV00000381"/>
    <s v="C00000009"/>
    <s v="JMC Steel Engineering Sdn Bhd"/>
    <x v="112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d v="2022-12-03T00:00:00"/>
    <x v="0"/>
    <x v="3"/>
    <s v="INV00000381"/>
    <s v="C00000009"/>
    <s v="JMC Steel Engineering Sdn Bhd"/>
    <x v="123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d v="2022-12-03T00:00:00"/>
    <x v="0"/>
    <x v="3"/>
    <s v="INV00000382"/>
    <s v="C00000020"/>
    <s v="WSK Tanks Sdn Bhd"/>
    <x v="7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d v="2022-12-03T00:00:00"/>
    <x v="0"/>
    <x v="3"/>
    <s v="INV00000382"/>
    <s v="C00000020"/>
    <s v="WSK Tanks Sdn Bhd"/>
    <x v="157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d v="2022-12-03T00:00:00"/>
    <x v="0"/>
    <x v="3"/>
    <s v="INV00000382"/>
    <s v="C00000020"/>
    <s v="WSK Tanks Sdn Bhd"/>
    <x v="164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d v="2022-12-03T00:00:00"/>
    <x v="0"/>
    <x v="3"/>
    <s v="INV00000382"/>
    <s v="C00000020"/>
    <s v="WSK Tanks Sdn Bhd"/>
    <x v="132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d v="2022-12-05T00:00:00"/>
    <x v="0"/>
    <x v="3"/>
    <s v="INV00000383"/>
    <s v="C00000022"/>
    <s v="SF Engineering Solution"/>
    <x v="177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d v="2022-12-05T00:00:00"/>
    <x v="0"/>
    <x v="3"/>
    <s v="INV00000383"/>
    <s v="C00000022"/>
    <s v="SF Engineering Solution"/>
    <x v="178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d v="2022-12-06T00:00:00"/>
    <x v="0"/>
    <x v="3"/>
    <s v="INV00000384"/>
    <s v="C00000021"/>
    <s v="KT Profesional Fiber"/>
    <x v="118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d v="2022-12-06T00:00:00"/>
    <x v="0"/>
    <x v="3"/>
    <s v="INV00000384"/>
    <s v="C00000021"/>
    <s v="KT Profesional Fiber"/>
    <x v="100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d v="2022-12-06T00:00:00"/>
    <x v="0"/>
    <x v="3"/>
    <s v="INV00000384"/>
    <s v="C00000021"/>
    <s v="KT Profesional Fiber"/>
    <x v="4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d v="2022-12-06T00:00:00"/>
    <x v="0"/>
    <x v="3"/>
    <s v="INV00000384"/>
    <s v="C00000021"/>
    <s v="KT Profesional Fiber"/>
    <x v="134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d v="2022-12-07T00:00:00"/>
    <x v="0"/>
    <x v="3"/>
    <s v="INV00000385"/>
    <s v="C00000022"/>
    <s v="SF Engineering Solution"/>
    <x v="7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d v="2022-12-09T00:00:00"/>
    <x v="0"/>
    <x v="3"/>
    <s v="INV00000386"/>
    <s v="C00000020"/>
    <s v="WSK Tanks Sdn Bhd"/>
    <x v="120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d v="2022-12-09T00:00:00"/>
    <x v="0"/>
    <x v="3"/>
    <s v="INV00000386"/>
    <s v="C00000020"/>
    <s v="WSK Tanks Sdn Bhd"/>
    <x v="118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d v="2022-12-09T00:00:00"/>
    <x v="0"/>
    <x v="3"/>
    <s v="INV00000386"/>
    <s v="C00000020"/>
    <s v="WSK Tanks Sdn Bhd"/>
    <x v="157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d v="2022-12-09T00:00:00"/>
    <x v="0"/>
    <x v="3"/>
    <s v="INV00000386"/>
    <s v="C00000020"/>
    <s v="WSK Tanks Sdn Bhd"/>
    <x v="158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d v="2022-12-09T00:00:00"/>
    <x v="0"/>
    <x v="3"/>
    <s v="INV00000386"/>
    <s v="C00000020"/>
    <s v="WSK Tanks Sdn Bhd"/>
    <x v="172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d v="2022-12-09T00:00:00"/>
    <x v="0"/>
    <x v="3"/>
    <s v="INV00000386"/>
    <s v="C00000020"/>
    <s v="WSK Tanks Sdn Bhd"/>
    <x v="12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d v="2022-12-09T00:00:00"/>
    <x v="0"/>
    <x v="3"/>
    <s v="INV00000386"/>
    <s v="C00000020"/>
    <s v="WSK Tanks Sdn Bhd"/>
    <x v="159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d v="2022-12-09T00:00:00"/>
    <x v="0"/>
    <x v="3"/>
    <s v="INV00000386"/>
    <s v="C00000020"/>
    <s v="WSK Tanks Sdn Bhd"/>
    <x v="173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d v="2022-12-13T00:00:00"/>
    <x v="0"/>
    <x v="3"/>
    <s v="INV00000387"/>
    <s v="C00000021"/>
    <s v="KT Profesional Fiber"/>
    <x v="118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d v="2022-12-13T00:00:00"/>
    <x v="0"/>
    <x v="3"/>
    <s v="INV00000387"/>
    <s v="C00000021"/>
    <s v="KT Profesional Fiber"/>
    <x v="100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d v="2022-12-13T00:00:00"/>
    <x v="0"/>
    <x v="3"/>
    <s v="INV00000387"/>
    <s v="C00000021"/>
    <s v="KT Profesional Fiber"/>
    <x v="4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s v="14/12/2022"/>
    <x v="0"/>
    <x v="3"/>
    <s v="INV00000388"/>
    <s v="C00000026"/>
    <s v="Megapower Service"/>
    <x v="118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s v="14/12/2022"/>
    <x v="0"/>
    <x v="3"/>
    <s v="INV00000388"/>
    <s v="C00000026"/>
    <s v="Megapower Service"/>
    <x v="150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d v="2022-12-22T00:00:00"/>
    <x v="0"/>
    <x v="3"/>
    <s v="INV00000389"/>
    <s v="C00000020"/>
    <s v="WSK Tanks Sdn Bhd"/>
    <x v="120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d v="2022-12-22T00:00:00"/>
    <x v="0"/>
    <x v="3"/>
    <s v="INV00000389"/>
    <s v="C00000020"/>
    <s v="WSK Tanks Sdn Bhd"/>
    <x v="118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d v="2022-12-22T00:00:00"/>
    <x v="0"/>
    <x v="3"/>
    <s v="INV00000389"/>
    <s v="C00000020"/>
    <s v="WSK Tanks Sdn Bhd"/>
    <x v="157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d v="2022-12-22T00:00:00"/>
    <x v="0"/>
    <x v="3"/>
    <s v="INV00000389"/>
    <s v="C00000020"/>
    <s v="WSK Tanks Sdn Bhd"/>
    <x v="172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d v="2022-12-22T00:00:00"/>
    <x v="0"/>
    <x v="3"/>
    <s v="INV00000389"/>
    <s v="C00000020"/>
    <s v="WSK Tanks Sdn Bhd"/>
    <x v="12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d v="2022-12-22T00:00:00"/>
    <x v="0"/>
    <x v="3"/>
    <s v="INV00000389"/>
    <s v="C00000020"/>
    <s v="WSK Tanks Sdn Bhd"/>
    <x v="159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d v="2022-12-22T00:00:00"/>
    <x v="0"/>
    <x v="3"/>
    <s v="INV00000389"/>
    <s v="C00000020"/>
    <s v="WSK Tanks Sdn Bhd"/>
    <x v="150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d v="2022-12-22T00:00:00"/>
    <x v="0"/>
    <x v="3"/>
    <s v="INV00000389"/>
    <s v="C00000020"/>
    <s v="WSK Tanks Sdn Bhd"/>
    <x v="179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d v="2022-12-20T00:00:00"/>
    <x v="0"/>
    <x v="3"/>
    <s v="INV00000390"/>
    <s v="C00000001"/>
    <s v="Kelnico Marketing"/>
    <x v="118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d v="2022-12-20T00:00:00"/>
    <x v="0"/>
    <x v="3"/>
    <s v="INV00000390"/>
    <s v="C00000001"/>
    <s v="Kelnico Marketing"/>
    <x v="157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d v="2022-12-20T00:00:00"/>
    <x v="0"/>
    <x v="3"/>
    <s v="INV00000390"/>
    <s v="C00000001"/>
    <s v="Kelnico Marketing"/>
    <x v="4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d v="2022-12-22T00:00:00"/>
    <x v="0"/>
    <x v="3"/>
    <s v="INV00000391"/>
    <s v="C00000022"/>
    <s v="SF Engineering Solution"/>
    <x v="180"/>
    <n v="1"/>
    <s v="Cash"/>
    <n v="0"/>
    <d v="2022-12-22T00:00:00"/>
    <n v="12"/>
    <n v="2022"/>
    <n v="50"/>
    <n v="-50"/>
    <n v="0"/>
    <n v="2294767.350000001"/>
    <s v="Trsf"/>
    <s v="Trsf 5/1/23 RM905.00"/>
    <m/>
  </r>
  <r>
    <s v="23/12/2022"/>
    <x v="0"/>
    <x v="3"/>
    <s v="INV00000392"/>
    <s v="C00000019"/>
    <s v="Desuki Affela Empire Enterprise"/>
    <x v="120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s v="23/12/2022"/>
    <x v="0"/>
    <x v="3"/>
    <s v="INV00000392"/>
    <s v="C00000019"/>
    <s v="Desuki Affela Empire Enterprise"/>
    <x v="181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s v="23/12/2022"/>
    <x v="0"/>
    <x v="3"/>
    <s v="INV00000392"/>
    <s v="C00000019"/>
    <s v="Desuki Affela Empire Enterprise"/>
    <x v="12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s v="23/12/2022"/>
    <x v="0"/>
    <x v="3"/>
    <s v="INV00000392"/>
    <s v="C00000019"/>
    <s v="Desuki Affela Empire Enterprise"/>
    <x v="93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s v="23/12/2022"/>
    <x v="0"/>
    <x v="3"/>
    <s v="INV00000392"/>
    <s v="C00000019"/>
    <s v="Desuki Affela Empire Enterprise"/>
    <x v="182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s v="23/12/2022"/>
    <x v="0"/>
    <x v="3"/>
    <s v="INV00000392"/>
    <s v="C00000019"/>
    <s v="Desuki Affela Empire Enterprise"/>
    <x v="52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d v="2022-12-24T00:00:00"/>
    <x v="0"/>
    <x v="3"/>
    <s v="INV00000393"/>
    <s v="C00000021"/>
    <s v="KT Profesional Fiber"/>
    <x v="118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d v="2022-12-24T00:00:00"/>
    <x v="0"/>
    <x v="3"/>
    <s v="INV00000393"/>
    <s v="C00000021"/>
    <s v="KT Profesional Fiber"/>
    <x v="100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d v="2022-12-24T00:00:00"/>
    <x v="0"/>
    <x v="3"/>
    <s v="INV00000393"/>
    <s v="C00000021"/>
    <s v="KT Profesional Fiber"/>
    <x v="4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d v="2022-12-27T00:00:00"/>
    <x v="0"/>
    <x v="3"/>
    <s v="INV00000394"/>
    <s v="C00000010"/>
    <s v="Yew Seng Gardening Supply Sdn Bhd"/>
    <x v="121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d v="2022-12-27T00:00:00"/>
    <x v="0"/>
    <x v="3"/>
    <s v="INV00000394"/>
    <s v="C00000010"/>
    <s v="Yew Seng Gardening Supply Sdn Bhd"/>
    <x v="148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d v="2022-12-27T00:00:00"/>
    <x v="0"/>
    <x v="3"/>
    <s v="INV00000394"/>
    <s v="C00000010"/>
    <s v="Yew Seng Gardening Supply Sdn Bhd"/>
    <x v="12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d v="2022-12-27T00:00:00"/>
    <x v="0"/>
    <x v="3"/>
    <s v="INV00000394"/>
    <s v="C00000010"/>
    <s v="Yew Seng Gardening Supply Sdn Bhd"/>
    <x v="4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d v="2022-12-27T00:00:00"/>
    <x v="0"/>
    <x v="3"/>
    <s v="INV00000394"/>
    <s v="C00000010"/>
    <s v="Yew Seng Gardening Supply Sdn Bhd"/>
    <x v="174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d v="2022-12-27T00:00:00"/>
    <x v="0"/>
    <x v="3"/>
    <s v="INV00000394"/>
    <s v="C00000010"/>
    <s v="Yew Seng Gardening Supply Sdn Bhd"/>
    <x v="183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d v="2022-12-27T00:00:00"/>
    <x v="0"/>
    <x v="3"/>
    <s v="INV00000394"/>
    <s v="C00000010"/>
    <s v="Yew Seng Gardening Supply Sdn Bhd"/>
    <x v="131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d v="2022-12-28T00:00:00"/>
    <x v="0"/>
    <x v="3"/>
    <s v="INV00000395"/>
    <s v="C00000020"/>
    <s v="WSK Tanks Sdn Bhd"/>
    <x v="157"/>
    <n v="4"/>
    <s v="Cash"/>
    <n v="0"/>
    <d v="2022-12-28T00:00:00"/>
    <n v="12"/>
    <n v="2022"/>
    <n v="1008"/>
    <n v="-1008"/>
    <n v="0"/>
    <n v="2318980.4500000011"/>
    <s v="Trsf"/>
    <s v="Trsf 28/12/22 "/>
    <m/>
  </r>
  <r>
    <d v="2022-12-30T00:00:00"/>
    <x v="0"/>
    <x v="3"/>
    <s v="INV00000396"/>
    <s v="C00000020"/>
    <s v="WSK Tanks Sdn Bhd"/>
    <x v="118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d v="2022-12-30T00:00:00"/>
    <x v="0"/>
    <x v="3"/>
    <s v="INV00000396"/>
    <s v="C00000020"/>
    <s v="WSK Tanks Sdn Bhd"/>
    <x v="184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d v="2022-12-30T00:00:00"/>
    <x v="0"/>
    <x v="3"/>
    <s v="INV00000396"/>
    <s v="C00000020"/>
    <s v="WSK Tanks Sdn Bhd"/>
    <x v="172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d v="2022-12-30T00:00:00"/>
    <x v="0"/>
    <x v="3"/>
    <s v="INV00000396"/>
    <s v="C00000020"/>
    <s v="WSK Tanks Sdn Bhd"/>
    <x v="12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d v="2022-12-30T00:00:00"/>
    <x v="0"/>
    <x v="3"/>
    <s v="INV00000396"/>
    <s v="C00000020"/>
    <s v="WSK Tanks Sdn Bhd"/>
    <x v="159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d v="2022-12-30T00:00:00"/>
    <x v="0"/>
    <x v="3"/>
    <s v="INV00000396"/>
    <s v="C00000020"/>
    <s v="WSK Tanks Sdn Bhd"/>
    <x v="150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d v="2023-01-05T00:00:00"/>
    <x v="7"/>
    <x v="4"/>
    <s v="INV00000397"/>
    <s v="C00000020"/>
    <s v="WSK Tanks Sdn Bhd"/>
    <x v="121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d v="2023-01-05T00:00:00"/>
    <x v="7"/>
    <x v="4"/>
    <s v="INV00000397"/>
    <s v="C00000020"/>
    <s v="WSK Tanks Sdn Bhd"/>
    <x v="184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d v="2023-01-05T00:00:00"/>
    <x v="7"/>
    <x v="4"/>
    <s v="INV00000397"/>
    <s v="C00000020"/>
    <s v="WSK Tanks Sdn Bhd"/>
    <x v="185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d v="2023-01-05T00:00:00"/>
    <x v="7"/>
    <x v="4"/>
    <s v="INV00000397"/>
    <s v="C00000020"/>
    <s v="WSK Tanks Sdn Bhd"/>
    <x v="12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d v="2023-01-05T00:00:00"/>
    <x v="7"/>
    <x v="4"/>
    <s v="INV00000397"/>
    <s v="C00000020"/>
    <s v="WSK Tanks Sdn Bhd"/>
    <x v="106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d v="2023-01-05T00:00:00"/>
    <x v="7"/>
    <x v="4"/>
    <s v="INV00000397"/>
    <s v="C00000020"/>
    <s v="WSK Tanks Sdn Bhd"/>
    <x v="159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d v="2023-01-06T00:00:00"/>
    <x v="7"/>
    <x v="4"/>
    <s v="INV00000398"/>
    <s v="C00000023"/>
    <s v="Bestway Engineering Solutions"/>
    <x v="118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0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6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32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86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d v="2023-01-07T00:00:00"/>
    <x v="7"/>
    <x v="4"/>
    <s v="INV00000399"/>
    <s v="C00000020"/>
    <s v="WSK Tanks Sdn Bhd"/>
    <x v="118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d v="2023-01-07T00:00:00"/>
    <x v="7"/>
    <x v="4"/>
    <s v="INV00000399"/>
    <s v="C00000020"/>
    <s v="WSK Tanks Sdn Bhd"/>
    <x v="184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d v="2023-01-07T00:00:00"/>
    <x v="7"/>
    <x v="4"/>
    <s v="INV00000399"/>
    <s v="C00000020"/>
    <s v="WSK Tanks Sdn Bhd"/>
    <x v="185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d v="2023-01-07T00:00:00"/>
    <x v="7"/>
    <x v="4"/>
    <s v="INV00000399"/>
    <s v="C00000020"/>
    <s v="WSK Tanks Sdn Bhd"/>
    <x v="106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d v="2023-01-07T00:00:00"/>
    <x v="7"/>
    <x v="4"/>
    <s v="INV00000399"/>
    <s v="C00000020"/>
    <s v="WSK Tanks Sdn Bhd"/>
    <x v="132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d v="2023-01-09T00:00:00"/>
    <x v="7"/>
    <x v="4"/>
    <s v="INV00000400"/>
    <s v="C00000021"/>
    <s v="KT Profesional Fiber"/>
    <x v="118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d v="2023-01-09T00:00:00"/>
    <x v="7"/>
    <x v="4"/>
    <s v="INV00000400"/>
    <s v="C00000021"/>
    <s v="KT Profesional Fiber"/>
    <x v="100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d v="2023-01-09T00:00:00"/>
    <x v="7"/>
    <x v="4"/>
    <s v="INV00000400"/>
    <s v="C00000021"/>
    <s v="KT Profesional Fiber"/>
    <x v="4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d v="2023-01-09T00:00:00"/>
    <x v="7"/>
    <x v="4"/>
    <s v="INV00000400"/>
    <s v="C00000021"/>
    <s v="KT Profesional Fiber"/>
    <x v="129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d v="2023-01-09T00:00:00"/>
    <x v="7"/>
    <x v="4"/>
    <s v="INV00000400"/>
    <s v="C00000021"/>
    <s v="KT Profesional Fiber"/>
    <x v="132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d v="2023-01-09T00:00:00"/>
    <x v="7"/>
    <x v="4"/>
    <s v="INV00000401"/>
    <s v="C00000023"/>
    <s v="Bestway Engineering Solutions"/>
    <x v="118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d v="2023-01-09T00:00:00"/>
    <x v="7"/>
    <x v="4"/>
    <s v="INV00000401"/>
    <s v="C00000023"/>
    <s v="Bestway Engineering Solutions"/>
    <x v="148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d v="2023-01-09T00:00:00"/>
    <x v="7"/>
    <x v="4"/>
    <s v="INV00000401"/>
    <s v="C00000023"/>
    <s v="Bestway Engineering Solutions"/>
    <x v="132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d v="2023-01-09T00:00:00"/>
    <x v="7"/>
    <x v="4"/>
    <s v="INV00000401"/>
    <s v="C00000023"/>
    <s v="Bestway Engineering Solutions"/>
    <x v="186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d v="2023-01-09T00:00:00"/>
    <x v="7"/>
    <x v="4"/>
    <s v="INV00000402"/>
    <s v="C00000020"/>
    <s v="WSK Tanks Sdn Bhd"/>
    <x v="187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d v="2023-01-11T00:00:00"/>
    <x v="7"/>
    <x v="4"/>
    <s v="INV00000403"/>
    <s v="C00000001"/>
    <s v="Kelnico Marketing"/>
    <x v="118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d v="2023-01-11T00:00:00"/>
    <x v="7"/>
    <x v="4"/>
    <s v="INV00000404"/>
    <s v="C00000014"/>
    <s v="IK Fibre Glass Enterprise"/>
    <x v="45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d v="2023-01-11T00:00:00"/>
    <x v="7"/>
    <x v="4"/>
    <s v="INV00000404"/>
    <s v="C00000014"/>
    <s v="IK Fibre Glass Enterprise"/>
    <x v="184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d v="2023-01-11T00:00:00"/>
    <x v="7"/>
    <x v="4"/>
    <s v="INV00000404"/>
    <s v="C00000014"/>
    <s v="IK Fibre Glass Enterprise"/>
    <x v="106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d v="2023-01-11T00:00:00"/>
    <x v="7"/>
    <x v="4"/>
    <s v="INV00000404"/>
    <s v="C00000014"/>
    <s v="IK Fibre Glass Enterprise"/>
    <x v="132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d v="2023-01-11T00:00:00"/>
    <x v="7"/>
    <x v="4"/>
    <s v="INV00000405"/>
    <s v="C00000023"/>
    <s v="Bestway Engineering Solutions"/>
    <x v="188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d v="2023-01-11T00:00:00"/>
    <x v="7"/>
    <x v="4"/>
    <s v="INV00000405"/>
    <s v="C00000023"/>
    <s v="Bestway Engineering Solutions"/>
    <x v="148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d v="2023-01-12T00:00:00"/>
    <x v="7"/>
    <x v="4"/>
    <s v="INV00000406"/>
    <s v="C00000010"/>
    <s v="Yew Seng Gardening Supply Sdn Bhd"/>
    <x v="188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d v="2023-01-12T00:00:00"/>
    <x v="7"/>
    <x v="4"/>
    <s v="INV00000406"/>
    <s v="C00000010"/>
    <s v="Yew Seng Gardening Supply Sdn Bhd"/>
    <x v="148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d v="2023-01-12T00:00:00"/>
    <x v="7"/>
    <x v="4"/>
    <s v="INV00000406"/>
    <s v="C00000010"/>
    <s v="Yew Seng Gardening Supply Sdn Bhd"/>
    <x v="132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d v="2023-01-12T00:00:00"/>
    <x v="7"/>
    <x v="4"/>
    <s v="INV00000406"/>
    <s v="C00000010"/>
    <s v="Yew Seng Gardening Supply Sdn Bhd"/>
    <x v="4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d v="2023-01-12T00:00:00"/>
    <x v="7"/>
    <x v="4"/>
    <s v="INV00000406"/>
    <s v="C00000010"/>
    <s v="Yew Seng Gardening Supply Sdn Bhd"/>
    <x v="174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d v="2023-01-12T00:00:00"/>
    <x v="7"/>
    <x v="4"/>
    <s v="INV00000406"/>
    <s v="C00000010"/>
    <s v="Yew Seng Gardening Supply Sdn Bhd"/>
    <x v="48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d v="2023-01-12T00:00:00"/>
    <x v="7"/>
    <x v="4"/>
    <s v="INV00000406"/>
    <s v="C00000010"/>
    <s v="Yew Seng Gardening Supply Sdn Bhd"/>
    <x v="131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d v="2023-01-12T00:00:00"/>
    <x v="7"/>
    <x v="4"/>
    <s v="INV00000407"/>
    <s v="C00000020"/>
    <s v="WSK Tanks Sdn Bhd"/>
    <x v="188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d v="2023-01-12T00:00:00"/>
    <x v="7"/>
    <x v="4"/>
    <s v="INV00000407"/>
    <s v="C00000020"/>
    <s v="WSK Tanks Sdn Bhd"/>
    <x v="148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d v="2023-01-12T00:00:00"/>
    <x v="7"/>
    <x v="4"/>
    <s v="INV00000407"/>
    <s v="C00000020"/>
    <s v="WSK Tanks Sdn Bhd"/>
    <x v="185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d v="2023-01-12T00:00:00"/>
    <x v="7"/>
    <x v="4"/>
    <s v="INV00000407"/>
    <s v="C00000020"/>
    <s v="WSK Tanks Sdn Bhd"/>
    <x v="159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d v="2023-01-12T00:00:00"/>
    <x v="7"/>
    <x v="4"/>
    <s v="INV00000407"/>
    <s v="C00000020"/>
    <s v="WSK Tanks Sdn Bhd"/>
    <x v="132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d v="2023-01-12T00:00:00"/>
    <x v="7"/>
    <x v="4"/>
    <s v="INV00000407"/>
    <s v="C00000020"/>
    <s v="WSK Tanks Sdn Bhd"/>
    <x v="4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d v="2023-01-12T00:00:00"/>
    <x v="7"/>
    <x v="4"/>
    <s v="INV00000408"/>
    <s v="C00000022"/>
    <s v="SF Engineering Solution"/>
    <x v="125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d v="2023-01-13T00:00:00"/>
    <x v="7"/>
    <x v="4"/>
    <s v="INV00000409"/>
    <s v="C00000023"/>
    <s v="Bestway Engineering Solutions"/>
    <x v="188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d v="2023-01-13T00:00:00"/>
    <x v="7"/>
    <x v="4"/>
    <s v="INV00000409"/>
    <s v="C00000023"/>
    <s v="Bestway Engineering Solutions"/>
    <x v="132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d v="2023-01-14T00:00:00"/>
    <x v="7"/>
    <x v="4"/>
    <s v="INV00000410"/>
    <s v="C00000029"/>
    <s v="Cash - Vinz Yew Kok Wah"/>
    <x v="12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d v="2023-01-14T00:00:00"/>
    <x v="7"/>
    <x v="4"/>
    <s v="INV00000411"/>
    <s v="C00000020"/>
    <s v="WSK Tanks Sdn Bhd"/>
    <x v="118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d v="2023-01-14T00:00:00"/>
    <x v="7"/>
    <x v="4"/>
    <s v="INV00000411"/>
    <s v="C00000020"/>
    <s v="WSK Tanks Sdn Bhd"/>
    <x v="148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d v="2023-01-14T00:00:00"/>
    <x v="7"/>
    <x v="4"/>
    <s v="INV00000411"/>
    <s v="C00000020"/>
    <s v="WSK Tanks Sdn Bhd"/>
    <x v="185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d v="2023-01-14T00:00:00"/>
    <x v="7"/>
    <x v="4"/>
    <s v="INV00000411"/>
    <s v="C00000020"/>
    <s v="WSK Tanks Sdn Bhd"/>
    <x v="132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d v="2023-01-16T00:00:00"/>
    <x v="7"/>
    <x v="4"/>
    <s v="INV00000412"/>
    <s v="C00000021"/>
    <s v="KT Profesional Fiber"/>
    <x v="118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d v="2023-01-16T00:00:00"/>
    <x v="7"/>
    <x v="4"/>
    <s v="INV00000412"/>
    <s v="C00000021"/>
    <s v="KT Profesional Fiber"/>
    <x v="100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d v="2023-01-16T00:00:00"/>
    <x v="7"/>
    <x v="4"/>
    <s v="INV00000412"/>
    <s v="C00000021"/>
    <s v="KT Profesional Fiber"/>
    <x v="106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d v="2023-01-18T00:00:00"/>
    <x v="7"/>
    <x v="4"/>
    <s v="INV00000413"/>
    <s v="C00000022"/>
    <s v="SF Engineering Solution"/>
    <x v="7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d v="2023-01-18T00:00:00"/>
    <x v="7"/>
    <x v="4"/>
    <s v="INV00000414"/>
    <s v="C00000010"/>
    <s v="Yew Seng Gardening Supply Sdn Bhd"/>
    <x v="188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d v="2023-01-18T00:00:00"/>
    <x v="7"/>
    <x v="4"/>
    <s v="INV00000414"/>
    <s v="C00000010"/>
    <s v="Yew Seng Gardening Supply Sdn Bhd"/>
    <x v="148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d v="2023-01-18T00:00:00"/>
    <x v="7"/>
    <x v="4"/>
    <s v="INV00000414"/>
    <s v="C00000010"/>
    <s v="Yew Seng Gardening Supply Sdn Bhd"/>
    <x v="132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d v="2023-01-18T00:00:00"/>
    <x v="7"/>
    <x v="4"/>
    <s v="INV00000414"/>
    <s v="C00000010"/>
    <s v="Yew Seng Gardening Supply Sdn Bhd"/>
    <x v="4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d v="2023-01-18T00:00:00"/>
    <x v="7"/>
    <x v="4"/>
    <s v="INV00000414"/>
    <s v="C00000010"/>
    <s v="Yew Seng Gardening Supply Sdn Bhd"/>
    <x v="174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d v="2023-01-18T00:00:00"/>
    <x v="7"/>
    <x v="4"/>
    <s v="INV00000414"/>
    <s v="C00000010"/>
    <s v="Yew Seng Gardening Supply Sdn Bhd"/>
    <x v="131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d v="2023-01-19T00:00:00"/>
    <x v="7"/>
    <x v="4"/>
    <s v="INV00000415"/>
    <s v="C00000020"/>
    <s v="WSK Tanks Sdn Bhd"/>
    <x v="7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d v="2023-01-19T00:00:00"/>
    <x v="7"/>
    <x v="4"/>
    <s v="INV00000415"/>
    <s v="C00000020"/>
    <s v="WSK Tanks Sdn Bhd"/>
    <x v="148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d v="2023-01-19T00:00:00"/>
    <x v="7"/>
    <x v="4"/>
    <s v="INV00000415"/>
    <s v="C00000020"/>
    <s v="WSK Tanks Sdn Bhd"/>
    <x v="185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d v="2023-01-19T00:00:00"/>
    <x v="7"/>
    <x v="4"/>
    <s v="INV00000415"/>
    <s v="C00000020"/>
    <s v="WSK Tanks Sdn Bhd"/>
    <x v="159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d v="2023-01-20T00:00:00"/>
    <x v="7"/>
    <x v="4"/>
    <s v="INV00000416"/>
    <s v="C00000019"/>
    <s v="Desuki Affela Empire Enterprise"/>
    <x v="120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d v="2023-01-20T00:00:00"/>
    <x v="7"/>
    <x v="4"/>
    <s v="INV00000416"/>
    <s v="C00000019"/>
    <s v="Desuki Affela Empire Enterprise"/>
    <x v="181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d v="2023-01-20T00:00:00"/>
    <x v="7"/>
    <x v="4"/>
    <s v="INV00000416"/>
    <s v="C00000019"/>
    <s v="Desuki Affela Empire Enterprise"/>
    <x v="12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d v="2023-01-20T00:00:00"/>
    <x v="7"/>
    <x v="4"/>
    <s v="INV00000416"/>
    <s v="C00000019"/>
    <s v="Desuki Affela Empire Enterprise"/>
    <x v="93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d v="2023-01-20T00:00:00"/>
    <x v="7"/>
    <x v="4"/>
    <s v="INV00000416"/>
    <s v="C00000019"/>
    <s v="Desuki Affela Empire Enterprise"/>
    <x v="182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d v="2023-01-20T00:00:00"/>
    <x v="7"/>
    <x v="4"/>
    <s v="INV00000416"/>
    <s v="C00000019"/>
    <s v="Desuki Affela Empire Enterprise"/>
    <x v="52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d v="2023-01-27T00:00:00"/>
    <x v="7"/>
    <x v="4"/>
    <s v="INV00000417"/>
    <s v="C00000009"/>
    <s v="JMC Steel Engineering Sdn Bhd"/>
    <x v="7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d v="2023-01-27T00:00:00"/>
    <x v="7"/>
    <x v="4"/>
    <s v="INV00000417"/>
    <s v="C00000009"/>
    <s v="JMC Steel Engineering Sdn Bhd"/>
    <x v="96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d v="2023-01-27T00:00:00"/>
    <x v="7"/>
    <x v="4"/>
    <s v="INV00000417"/>
    <s v="C00000009"/>
    <s v="JMC Steel Engineering Sdn Bhd"/>
    <x v="125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d v="2023-01-27T00:00:00"/>
    <x v="7"/>
    <x v="4"/>
    <s v="INV00000418"/>
    <s v="C00000034"/>
    <s v="Cash - ZTY Fibre"/>
    <x v="189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d v="2023-01-27T00:00:00"/>
    <x v="7"/>
    <x v="4"/>
    <s v="INV00000418"/>
    <s v="C00000034"/>
    <s v="Cash - ZTY Fibre"/>
    <x v="100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d v="2023-01-27T00:00:00"/>
    <x v="7"/>
    <x v="4"/>
    <s v="INV00000418"/>
    <s v="C00000034"/>
    <s v="Cash - ZTY Fibre"/>
    <x v="190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d v="2023-01-27T00:00:00"/>
    <x v="7"/>
    <x v="4"/>
    <s v="INV00000418"/>
    <s v="C00000034"/>
    <s v="Cash - ZTY Fibre"/>
    <x v="191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d v="2023-01-27T00:00:00"/>
    <x v="7"/>
    <x v="4"/>
    <s v="INV00000418"/>
    <s v="C00000034"/>
    <s v="Cash - ZTY Fibre"/>
    <x v="192"/>
    <n v="1"/>
    <s v="Cash"/>
    <n v="0"/>
    <d v="2023-01-27T00:00:00"/>
    <n v="1"/>
    <n v="2023"/>
    <n v="64"/>
    <n v="-64"/>
    <n v="0"/>
    <n v="2498680.850000001"/>
    <s v="Trsf"/>
    <s v="Trsf 27/1/23 RM2,917.80"/>
    <m/>
  </r>
  <r>
    <d v="2023-01-27T00:00:00"/>
    <x v="7"/>
    <x v="4"/>
    <s v="INV00000418"/>
    <s v="C00000034"/>
    <s v="Cash - ZTY Fibre"/>
    <x v="193"/>
    <n v="1"/>
    <s v="Cash"/>
    <n v="0"/>
    <d v="2023-01-27T00:00:00"/>
    <n v="1"/>
    <n v="2023"/>
    <n v="64"/>
    <n v="-64"/>
    <n v="0"/>
    <n v="2498744.850000001"/>
    <s v="Trsf"/>
    <s v="Trsf 27/1/23 RM2,917.80"/>
    <m/>
  </r>
  <r>
    <d v="2023-01-30T00:00:00"/>
    <x v="7"/>
    <x v="4"/>
    <s v="INV00000419"/>
    <s v="C00000020"/>
    <s v="WSK Tanks Sdn Bhd"/>
    <x v="188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d v="2023-01-30T00:00:00"/>
    <x v="7"/>
    <x v="4"/>
    <s v="INV00000419"/>
    <s v="C00000020"/>
    <s v="WSK Tanks Sdn Bhd"/>
    <x v="100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d v="2023-01-30T00:00:00"/>
    <x v="7"/>
    <x v="4"/>
    <s v="INV00000419"/>
    <s v="C00000020"/>
    <s v="WSK Tanks Sdn Bhd"/>
    <x v="112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d v="2023-01-30T00:00:00"/>
    <x v="7"/>
    <x v="4"/>
    <s v="INV00000419"/>
    <s v="C00000020"/>
    <s v="WSK Tanks Sdn Bhd"/>
    <x v="185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d v="2023-01-30T00:00:00"/>
    <x v="7"/>
    <x v="4"/>
    <s v="INV00000419"/>
    <s v="C00000020"/>
    <s v="WSK Tanks Sdn Bhd"/>
    <x v="159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d v="2023-01-30T00:00:00"/>
    <x v="7"/>
    <x v="4"/>
    <s v="INV00000419"/>
    <s v="C00000020"/>
    <s v="WSK Tanks Sdn Bhd"/>
    <x v="132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d v="2023-01-30T00:00:00"/>
    <x v="7"/>
    <x v="4"/>
    <s v="INV00000419"/>
    <s v="C00000020"/>
    <s v="WSK Tanks Sdn Bhd"/>
    <x v="106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d v="2023-01-30T00:00:00"/>
    <x v="7"/>
    <x v="4"/>
    <s v="INV00000420"/>
    <s v="C00000022"/>
    <s v="SF Engineering Solution"/>
    <x v="194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d v="2023-02-01T00:00:00"/>
    <x v="8"/>
    <x v="4"/>
    <s v="INV00000421"/>
    <s v="C00000034"/>
    <s v="Cash - ZTY Fibre"/>
    <x v="195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d v="2023-02-02T00:00:00"/>
    <x v="8"/>
    <x v="4"/>
    <s v="INV00000422"/>
    <s v="C00000021"/>
    <s v="KT Profesional Fiber"/>
    <x v="118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d v="2023-02-02T00:00:00"/>
    <x v="8"/>
    <x v="4"/>
    <s v="INV00000422"/>
    <s v="C00000021"/>
    <s v="KT Profesional Fiber"/>
    <x v="100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d v="2023-02-02T00:00:00"/>
    <x v="8"/>
    <x v="4"/>
    <s v="INV00000422"/>
    <s v="C00000021"/>
    <s v="KT Profesional Fiber"/>
    <x v="106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s v="3/2/2023"/>
    <x v="8"/>
    <x v="4"/>
    <s v="INV00000423"/>
    <s v="C00000020"/>
    <s v="WSK Tanks Sdn Bhd"/>
    <x v="118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s v="3/2/2023"/>
    <x v="8"/>
    <x v="4"/>
    <s v="INV00000423"/>
    <s v="C00000020"/>
    <s v="WSK Tanks Sdn Bhd"/>
    <x v="148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s v="3/2/2023"/>
    <x v="8"/>
    <x v="4"/>
    <s v="INV00000423"/>
    <s v="C00000020"/>
    <s v="WSK Tanks Sdn Bhd"/>
    <x v="185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s v="3/2/2023"/>
    <x v="8"/>
    <x v="4"/>
    <s v="INV00000423"/>
    <s v="C00000020"/>
    <s v="WSK Tanks Sdn Bhd"/>
    <x v="106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s v="3/2/2023"/>
    <x v="8"/>
    <x v="4"/>
    <s v="INV00000423"/>
    <s v="C00000020"/>
    <s v="WSK Tanks Sdn Bhd"/>
    <x v="93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s v="8/2/2023"/>
    <x v="8"/>
    <x v="4"/>
    <s v="INV00000424"/>
    <s v="C00000022"/>
    <s v="SF Engineering Solution"/>
    <x v="7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s v="8/2/2023"/>
    <x v="8"/>
    <x v="4"/>
    <s v="INV00000424"/>
    <s v="C00000022"/>
    <s v="SF Engineering Solution"/>
    <x v="194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s v="8/2/2023"/>
    <x v="8"/>
    <x v="4"/>
    <s v="INV00000424"/>
    <s v="C00000022"/>
    <s v="SF Engineering Solution"/>
    <x v="52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s v="8/2/2023"/>
    <x v="8"/>
    <x v="4"/>
    <s v="INV00000425"/>
    <s v="C00000034"/>
    <s v="Cash - ZTY Fibre"/>
    <x v="100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s v="8/2/2023"/>
    <x v="8"/>
    <x v="4"/>
    <s v="INV00000425"/>
    <s v="C00000034"/>
    <s v="Cash - ZTY Fibre"/>
    <x v="190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s v="8/2/2023"/>
    <x v="8"/>
    <x v="4"/>
    <s v="INV00000425"/>
    <s v="C00000034"/>
    <s v="Cash - ZTY Fibre"/>
    <x v="196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s v="8/2/2023"/>
    <x v="8"/>
    <x v="4"/>
    <s v="INV00000425"/>
    <s v="C00000034"/>
    <s v="Cash - ZTY Fibre"/>
    <x v="106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s v="8/2/2023"/>
    <x v="8"/>
    <x v="4"/>
    <s v="INV00000425"/>
    <s v="C00000034"/>
    <s v="Cash - ZTY Fibre"/>
    <x v="197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s v="8/2/2023"/>
    <x v="8"/>
    <x v="4"/>
    <s v="INV00000425"/>
    <s v="C00000034"/>
    <s v="Cash - ZTY Fibre"/>
    <x v="198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s v="9/2/2023"/>
    <x v="8"/>
    <x v="4"/>
    <s v="INV00000426"/>
    <s v="C00000020"/>
    <s v="WSK Tanks Sdn Bhd"/>
    <x v="118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s v="9/2/2023"/>
    <x v="8"/>
    <x v="4"/>
    <s v="INV00000426"/>
    <s v="C00000020"/>
    <s v="WSK Tanks Sdn Bhd"/>
    <x v="100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s v="9/2/2023"/>
    <x v="8"/>
    <x v="4"/>
    <s v="INV00000426"/>
    <s v="C00000020"/>
    <s v="WSK Tanks Sdn Bhd"/>
    <x v="185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s v="9/2/2023"/>
    <x v="8"/>
    <x v="4"/>
    <s v="INV00000426"/>
    <s v="C00000020"/>
    <s v="WSK Tanks Sdn Bhd"/>
    <x v="106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s v="9/2/2023"/>
    <x v="8"/>
    <x v="4"/>
    <s v="INV00000426"/>
    <s v="C00000020"/>
    <s v="WSK Tanks Sdn Bhd"/>
    <x v="159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s v="9/2/2023"/>
    <x v="8"/>
    <x v="4"/>
    <s v="INV00000427"/>
    <s v="C00000020"/>
    <s v="WSK Tanks Sdn Bhd"/>
    <x v="132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s v="9/2/2023"/>
    <x v="8"/>
    <x v="4"/>
    <s v="INV00000428"/>
    <s v="C00000022"/>
    <s v="SF Engineering Solution"/>
    <x v="93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s v="10/2/2023"/>
    <x v="8"/>
    <x v="4"/>
    <s v="INV00000429"/>
    <s v="C00000021"/>
    <s v="KT Profesional Fiber"/>
    <x v="118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s v="10/2/2023"/>
    <x v="8"/>
    <x v="4"/>
    <s v="INV00000429"/>
    <s v="C00000021"/>
    <s v="KT Profesional Fiber"/>
    <x v="100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s v="10/2/2023"/>
    <x v="8"/>
    <x v="4"/>
    <s v="INV00000429"/>
    <s v="C00000021"/>
    <s v="KT Profesional Fiber"/>
    <x v="106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s v="10/2/2023"/>
    <x v="8"/>
    <x v="4"/>
    <s v="INV00000430"/>
    <s v="C00000010"/>
    <s v="Yew Seng Gardening Supply Sdn Bhd"/>
    <x v="188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s v="10/2/2023"/>
    <x v="8"/>
    <x v="4"/>
    <s v="INV00000430"/>
    <s v="C00000010"/>
    <s v="Yew Seng Gardening Supply Sdn Bhd"/>
    <x v="100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s v="10/2/2023"/>
    <x v="8"/>
    <x v="4"/>
    <s v="INV00000430"/>
    <s v="C00000010"/>
    <s v="Yew Seng Gardening Supply Sdn Bhd"/>
    <x v="132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s v="10/2/2023"/>
    <x v="8"/>
    <x v="4"/>
    <s v="INV00000430"/>
    <s v="C00000010"/>
    <s v="Yew Seng Gardening Supply Sdn Bhd"/>
    <x v="4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s v="10/2/2023"/>
    <x v="8"/>
    <x v="4"/>
    <s v="INV00000430"/>
    <s v="C00000010"/>
    <s v="Yew Seng Gardening Supply Sdn Bhd"/>
    <x v="199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d v="2023-02-11T00:00:00"/>
    <x v="8"/>
    <x v="4"/>
    <s v="INV00000431"/>
    <s v="C00000020"/>
    <s v="WSK Tanks Sdn Bhd"/>
    <x v="118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d v="2023-02-11T00:00:00"/>
    <x v="8"/>
    <x v="4"/>
    <s v="INV00000431"/>
    <s v="C00000020"/>
    <s v="WSK Tanks Sdn Bhd"/>
    <x v="100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d v="2023-02-11T00:00:00"/>
    <x v="8"/>
    <x v="4"/>
    <s v="INV00000431"/>
    <s v="C00000020"/>
    <s v="WSK Tanks Sdn Bhd"/>
    <x v="185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d v="2023-02-11T00:00:00"/>
    <x v="8"/>
    <x v="4"/>
    <s v="INV00000431"/>
    <s v="C00000020"/>
    <s v="WSK Tanks Sdn Bhd"/>
    <x v="159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d v="2023-02-11T00:00:00"/>
    <x v="8"/>
    <x v="4"/>
    <s v="INV00000432"/>
    <s v="C00000020"/>
    <s v="WSK Tanks Sdn Bhd"/>
    <x v="132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d v="2023-02-11T00:00:00"/>
    <x v="8"/>
    <x v="4"/>
    <s v="INV00000433"/>
    <s v="C00000019"/>
    <s v="Desuki Affela Empire Enterprise"/>
    <x v="52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d v="2023-02-15T00:00:00"/>
    <x v="8"/>
    <x v="4"/>
    <s v="INV00000434"/>
    <s v="C00000035"/>
    <s v="Cash - MLGaia Enterprise"/>
    <x v="200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d v="2023-02-15T00:00:00"/>
    <x v="8"/>
    <x v="4"/>
    <s v="INV00000434"/>
    <s v="C00000035"/>
    <s v="Cash - MLGaia Enterprise"/>
    <x v="100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d v="2023-02-15T00:00:00"/>
    <x v="8"/>
    <x v="4"/>
    <s v="INV00000434"/>
    <s v="C00000035"/>
    <s v="Cash - MLGaia Enterprise"/>
    <x v="106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d v="2023-02-15T00:00:00"/>
    <x v="8"/>
    <x v="4"/>
    <s v="INV00000434"/>
    <s v="C00000035"/>
    <s v="Cash - MLGaia Enterprise"/>
    <x v="138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d v="2023-02-15T00:00:00"/>
    <x v="8"/>
    <x v="4"/>
    <s v="INV00000434"/>
    <s v="C00000035"/>
    <s v="Cash - MLGaia Enterprise"/>
    <x v="153"/>
    <n v="1"/>
    <s v="Cash"/>
    <n v="0"/>
    <d v="2023-02-15T00:00:00"/>
    <n v="2"/>
    <n v="2023"/>
    <n v="50"/>
    <n v="-50"/>
    <n v="0"/>
    <n v="2581473.5500000003"/>
    <s v="Trsf"/>
    <s v="Trsf 15/2/23 RM861.00"/>
    <m/>
  </r>
  <r>
    <d v="2023-02-15T00:00:00"/>
    <x v="8"/>
    <x v="4"/>
    <s v="INV00000434"/>
    <s v="C00000035"/>
    <s v="Cash - MLGaia Enterprise"/>
    <x v="201"/>
    <n v="1"/>
    <s v="Cash"/>
    <n v="0"/>
    <d v="2023-02-15T00:00:00"/>
    <n v="2"/>
    <n v="2023"/>
    <n v="48"/>
    <n v="-48"/>
    <n v="0"/>
    <n v="2581521.5500000003"/>
    <s v="Trsf"/>
    <s v="Trsf 15/2/23 RM861.00"/>
    <m/>
  </r>
  <r>
    <s v="16/2/2023"/>
    <x v="8"/>
    <x v="4"/>
    <s v="INV00000435"/>
    <s v="C00000020"/>
    <s v="WSK Tanks Sdn Bhd"/>
    <x v="118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s v="16/2/2023"/>
    <x v="8"/>
    <x v="4"/>
    <s v="INV00000435"/>
    <s v="C00000020"/>
    <s v="WSK Tanks Sdn Bhd"/>
    <x v="100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s v="16/2/2023"/>
    <x v="8"/>
    <x v="4"/>
    <s v="INV00000435"/>
    <s v="C00000020"/>
    <s v="WSK Tanks Sdn Bhd"/>
    <x v="185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s v="16/2/2023"/>
    <x v="8"/>
    <x v="4"/>
    <s v="INV00000435"/>
    <s v="C00000020"/>
    <s v="WSK Tanks Sdn Bhd"/>
    <x v="128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s v="16/2/2023"/>
    <x v="8"/>
    <x v="4"/>
    <s v="INV00000435"/>
    <s v="C00000020"/>
    <s v="WSK Tanks Sdn Bhd"/>
    <x v="159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s v="16/2/2023"/>
    <x v="8"/>
    <x v="4"/>
    <s v="INV00000436"/>
    <s v="C00000020"/>
    <s v="WSK Tanks Sdn Bhd"/>
    <x v="132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s v="16/2/2023"/>
    <x v="8"/>
    <x v="4"/>
    <s v="INV00000437"/>
    <s v="C00000020"/>
    <s v="WSK Tanks Sdn Bhd"/>
    <x v="118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s v="16/2/2023"/>
    <x v="8"/>
    <x v="4"/>
    <s v="INV00000437"/>
    <s v="C00000020"/>
    <s v="WSK Tanks Sdn Bhd"/>
    <x v="202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s v="16/2/2023"/>
    <x v="8"/>
    <x v="4"/>
    <s v="INV00000438"/>
    <s v="C00000022"/>
    <s v="SF Engineering Solution"/>
    <x v="203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s v="16/2/2023"/>
    <x v="8"/>
    <x v="4"/>
    <s v="INV00000438"/>
    <s v="C00000022"/>
    <s v="SF Engineering Solution"/>
    <x v="204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s v="18/2/2023"/>
    <x v="8"/>
    <x v="4"/>
    <s v="INV00000439"/>
    <s v="C00000021"/>
    <s v="KT Profesional Fiber"/>
    <x v="118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s v="18/2/2023"/>
    <x v="8"/>
    <x v="4"/>
    <s v="INV00000439"/>
    <s v="C00000021"/>
    <s v="KT Profesional Fiber"/>
    <x v="100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s v="18/2/2023"/>
    <x v="8"/>
    <x v="4"/>
    <s v="INV00000439"/>
    <s v="C00000021"/>
    <s v="KT Profesional Fiber"/>
    <x v="106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d v="2023-02-21T00:00:00"/>
    <x v="8"/>
    <x v="4"/>
    <s v="INV00000440"/>
    <s v="C00000004"/>
    <s v="Siew Min Lorry Sdn Bhd"/>
    <x v="112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d v="2023-02-21T00:00:00"/>
    <x v="8"/>
    <x v="4"/>
    <s v="INV00000441"/>
    <s v="C00000020"/>
    <s v="WSK Tanks Sdn Bhd"/>
    <x v="132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d v="2023-02-21T00:00:00"/>
    <x v="8"/>
    <x v="4"/>
    <s v="INV00000442"/>
    <s v="C00000020"/>
    <s v="WSK Tanks Sdn Bhd"/>
    <x v="118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d v="2023-02-21T00:00:00"/>
    <x v="8"/>
    <x v="4"/>
    <s v="INV00000442"/>
    <s v="C00000020"/>
    <s v="WSK Tanks Sdn Bhd"/>
    <x v="167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d v="2023-02-21T00:00:00"/>
    <x v="8"/>
    <x v="4"/>
    <s v="INV00000442"/>
    <s v="C00000020"/>
    <s v="WSK Tanks Sdn Bhd"/>
    <x v="100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d v="2023-02-21T00:00:00"/>
    <x v="8"/>
    <x v="4"/>
    <s v="INV00000442"/>
    <s v="C00000020"/>
    <s v="WSK Tanks Sdn Bhd"/>
    <x v="128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d v="2023-02-21T00:00:00"/>
    <x v="8"/>
    <x v="4"/>
    <s v="INV00000442"/>
    <s v="C00000020"/>
    <s v="WSK Tanks Sdn Bhd"/>
    <x v="106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d v="2023-02-21T00:00:00"/>
    <x v="8"/>
    <x v="4"/>
    <s v="INV00000442"/>
    <s v="C00000020"/>
    <s v="WSK Tanks Sdn Bhd"/>
    <x v="159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s v="24/2/2023"/>
    <x v="8"/>
    <x v="4"/>
    <s v="INV00000443"/>
    <s v="C00000027"/>
    <s v="Transform Star Sdn Bhd"/>
    <x v="104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s v="25/2/2023"/>
    <x v="8"/>
    <x v="4"/>
    <s v="INV00000444"/>
    <s v="C00000020"/>
    <s v="WSK Tanks Sdn Bhd"/>
    <x v="132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s v="25/2/2023"/>
    <x v="8"/>
    <x v="4"/>
    <s v="INV00000444"/>
    <s v="C00000020"/>
    <s v="WSK Tanks Sdn Bhd"/>
    <x v="106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s v="25/2/2023"/>
    <x v="8"/>
    <x v="4"/>
    <s v="INV00000444"/>
    <s v="C00000020"/>
    <s v="WSK Tanks Sdn Bhd"/>
    <x v="159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s v="25/2/2023"/>
    <x v="8"/>
    <x v="4"/>
    <s v="INV00000445"/>
    <s v="C00000019"/>
    <s v="Desuki Affela Empire Enterprise"/>
    <x v="181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s v="28/2/2023"/>
    <x v="8"/>
    <x v="4"/>
    <s v="INV00000446"/>
    <s v="C00000019"/>
    <s v="Desuki Affela Empire Enterprise"/>
    <x v="132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s v="1/3/2023"/>
    <x v="9"/>
    <x v="4"/>
    <s v="INV00000447"/>
    <s v="C00000022"/>
    <s v="SF Engineering Solution"/>
    <x v="7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s v="2/3/2023"/>
    <x v="9"/>
    <x v="4"/>
    <s v="INV00000448"/>
    <s v="C00000001"/>
    <s v="Kelnico Marketing"/>
    <x v="118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s v="2/3/2023"/>
    <x v="9"/>
    <x v="4"/>
    <s v="INV00000448"/>
    <s v="C00000001"/>
    <s v="Kelnico Marketing"/>
    <x v="100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s v="2/3/2023"/>
    <x v="9"/>
    <x v="4"/>
    <s v="INV00000449"/>
    <s v="C00000036"/>
    <s v="Choi Fook Sing Enterprise Sdn Bhd"/>
    <x v="125"/>
    <n v="1"/>
    <s v="Cash"/>
    <n v="0"/>
    <d v="2023-03-02T00:00:00"/>
    <n v="3"/>
    <n v="2023"/>
    <n v="256"/>
    <n v="-256"/>
    <n v="0"/>
    <n v="2660119.5500000003"/>
    <s v="Trsf"/>
    <s v="Trsf 2/3/23 RM366.00"/>
    <m/>
  </r>
  <r>
    <s v="2/3/2023"/>
    <x v="9"/>
    <x v="4"/>
    <s v="INV00000449"/>
    <s v="C00000036"/>
    <s v="Choi Fook Sing Enterprise Sdn Bhd"/>
    <x v="4"/>
    <n v="1"/>
    <s v="Cash"/>
    <n v="0"/>
    <d v="2023-03-02T00:00:00"/>
    <n v="3"/>
    <n v="2023"/>
    <n v="110"/>
    <n v="-110"/>
    <n v="0"/>
    <n v="2660229.5500000003"/>
    <s v="Trsf"/>
    <s v="Trsf 2/3/23 RM366.00"/>
    <m/>
  </r>
  <r>
    <s v="3/3/2023"/>
    <x v="9"/>
    <x v="4"/>
    <s v="INV00000450"/>
    <s v="C00000020"/>
    <s v="WSK Tanks Sdn Bhd"/>
    <x v="132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s v="3/3/2023"/>
    <x v="9"/>
    <x v="4"/>
    <s v="INV00000451"/>
    <s v="C00000020"/>
    <s v="WSK Tanks Sdn Bhd"/>
    <x v="118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s v="3/3/2023"/>
    <x v="9"/>
    <x v="4"/>
    <s v="INV00000451"/>
    <s v="C00000020"/>
    <s v="WSK Tanks Sdn Bhd"/>
    <x v="120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s v="3/3/2023"/>
    <x v="9"/>
    <x v="4"/>
    <s v="INV00000451"/>
    <s v="C00000020"/>
    <s v="WSK Tanks Sdn Bhd"/>
    <x v="100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s v="3/3/2023"/>
    <x v="9"/>
    <x v="4"/>
    <s v="INV00000451"/>
    <s v="C00000020"/>
    <s v="WSK Tanks Sdn Bhd"/>
    <x v="128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s v="3/3/2023"/>
    <x v="9"/>
    <x v="4"/>
    <s v="INV00000451"/>
    <s v="C00000020"/>
    <s v="WSK Tanks Sdn Bhd"/>
    <x v="106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s v="3/3/2023"/>
    <x v="9"/>
    <x v="4"/>
    <s v="INV00000451"/>
    <s v="C00000020"/>
    <s v="WSK Tanks Sdn Bhd"/>
    <x v="159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s v="3/3/2023"/>
    <x v="9"/>
    <x v="4"/>
    <s v="INV00000452"/>
    <s v="C00000037"/>
    <s v="Suntruck Sdn Bhd"/>
    <x v="120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s v="3/3/2023"/>
    <x v="9"/>
    <x v="4"/>
    <s v="INV00000452"/>
    <s v="C00000037"/>
    <s v="Suntruck Sdn Bhd"/>
    <x v="112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s v="3/3/2023"/>
    <x v="9"/>
    <x v="4"/>
    <s v="INV00000452"/>
    <s v="C00000037"/>
    <s v="Suntruck Sdn Bhd"/>
    <x v="106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s v="3/3/2023"/>
    <x v="9"/>
    <x v="4"/>
    <s v="INV00000452"/>
    <s v="C00000037"/>
    <s v="Suntruck Sdn Bhd"/>
    <x v="129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s v="6/3/2023"/>
    <x v="9"/>
    <x v="4"/>
    <s v="INV00000453"/>
    <s v="C00000036"/>
    <s v="Choi Fook Sing Enterprise Sdn Bhd"/>
    <x v="205"/>
    <n v="1"/>
    <s v="Cash"/>
    <n v="0"/>
    <d v="2023-03-06T00:00:00"/>
    <n v="3"/>
    <n v="2023"/>
    <n v="950"/>
    <n v="-950"/>
    <n v="0"/>
    <n v="2709511.45"/>
    <s v="Trsf"/>
    <s v="Trsf 6/3/23 RM1,425.00"/>
    <m/>
  </r>
  <r>
    <s v="6/3/2023"/>
    <x v="9"/>
    <x v="4"/>
    <s v="INV00000453"/>
    <s v="C00000036"/>
    <s v="Choi Fook Sing Enterprise Sdn Bhd"/>
    <x v="206"/>
    <n v="1"/>
    <s v="Cash"/>
    <n v="0"/>
    <d v="2023-03-06T00:00:00"/>
    <n v="3"/>
    <n v="2023"/>
    <n v="475"/>
    <n v="-475"/>
    <n v="0"/>
    <n v="2709986.45"/>
    <s v="Trsf"/>
    <s v="Trsf 6/3/23 RM1,425.00"/>
    <m/>
  </r>
  <r>
    <s v="6/3/2023"/>
    <x v="9"/>
    <x v="4"/>
    <s v="INV00000453"/>
    <s v="C00000036"/>
    <s v="Choi Fook Sing Enterprise Sdn Bhd"/>
    <x v="207"/>
    <n v="2"/>
    <s v="Cash"/>
    <n v="0"/>
    <d v="2023-03-06T00:00:00"/>
    <n v="3"/>
    <n v="2023"/>
    <n v="0"/>
    <n v="0"/>
    <n v="0"/>
    <n v="2709986.45"/>
    <s v="Trsf"/>
    <s v="Trsf 6/3/23 RM1,425.00"/>
    <m/>
  </r>
  <r>
    <s v="6/3/2023"/>
    <x v="9"/>
    <x v="4"/>
    <s v="INV00000454"/>
    <s v="C00000021"/>
    <s v="KT Profesional Fiber"/>
    <x v="118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s v="6/3/2023"/>
    <x v="9"/>
    <x v="4"/>
    <s v="INV00000454"/>
    <s v="C00000021"/>
    <s v="KT Profesional Fiber"/>
    <x v="100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s v="6/3/2023"/>
    <x v="9"/>
    <x v="4"/>
    <s v="INV00000454"/>
    <s v="C00000021"/>
    <s v="KT Profesional Fiber"/>
    <x v="106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s v="7/3/2023"/>
    <x v="9"/>
    <x v="4"/>
    <s v="INV00000455"/>
    <s v="C00000019"/>
    <s v="Desuki Affela Empire Enterprise"/>
    <x v="120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s v="7/3/2023"/>
    <x v="9"/>
    <x v="4"/>
    <s v="INV00000455"/>
    <s v="C00000019"/>
    <s v="Desuki Affela Empire Enterprise"/>
    <x v="112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s v="8/3/2023"/>
    <x v="9"/>
    <x v="4"/>
    <s v="INV00000456"/>
    <s v="C00000019"/>
    <s v="Desuki Affela Empire Enterprise"/>
    <x v="132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s v="8/3/2023"/>
    <x v="9"/>
    <x v="4"/>
    <s v="INV00000456"/>
    <s v="C00000019"/>
    <s v="Desuki Affela Empire Enterprise"/>
    <x v="208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s v="8/3/2023"/>
    <x v="9"/>
    <x v="4"/>
    <s v="INV00000456"/>
    <s v="C00000019"/>
    <s v="Desuki Affela Empire Enterprise"/>
    <x v="209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s v="8/3/2023"/>
    <x v="9"/>
    <x v="4"/>
    <s v="INV00000456"/>
    <s v="C00000019"/>
    <s v="Desuki Affela Empire Enterprise"/>
    <x v="178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s v="10/3/2023"/>
    <x v="9"/>
    <x v="4"/>
    <s v="INV00000457"/>
    <s v="C00000014"/>
    <s v="IK Fibre Glass Enterprise"/>
    <x v="45"/>
    <n v="1"/>
    <s v="Cash"/>
    <n v="0"/>
    <d v="2023-03-10T00:00:00"/>
    <n v="3"/>
    <n v="2023"/>
    <n v="1804"/>
    <n v="-1804"/>
    <n v="0"/>
    <n v="2719692.35"/>
    <s v="Cash"/>
    <s v="Cash 11/3/23 RM2,545.00"/>
    <m/>
  </r>
  <r>
    <s v="10/3/2023"/>
    <x v="9"/>
    <x v="4"/>
    <s v="INV00000457"/>
    <s v="C00000014"/>
    <s v="IK Fibre Glass Enterprise"/>
    <x v="184"/>
    <n v="1"/>
    <s v="Cash"/>
    <n v="0"/>
    <d v="2023-03-10T00:00:00"/>
    <n v="3"/>
    <n v="2023"/>
    <n v="237"/>
    <n v="-237"/>
    <n v="0"/>
    <n v="2719929.35"/>
    <s v="Cash"/>
    <s v="Cash 11/3/23 RM2,545.00"/>
    <m/>
  </r>
  <r>
    <s v="10/3/2023"/>
    <x v="9"/>
    <x v="4"/>
    <s v="INV00000457"/>
    <s v="C00000014"/>
    <s v="IK Fibre Glass Enterprise"/>
    <x v="210"/>
    <n v="1"/>
    <s v="Cash"/>
    <n v="0"/>
    <d v="2023-03-10T00:00:00"/>
    <n v="3"/>
    <n v="2023"/>
    <n v="64"/>
    <n v="-64"/>
    <n v="0"/>
    <n v="2719993.35"/>
    <s v="Cash"/>
    <s v="Cash 11/3/23 RM2,545.00"/>
    <m/>
  </r>
  <r>
    <s v="10/3/2023"/>
    <x v="9"/>
    <x v="4"/>
    <s v="INV00000457"/>
    <s v="C00000014"/>
    <s v="IK Fibre Glass Enterprise"/>
    <x v="193"/>
    <n v="1"/>
    <s v="Cash"/>
    <n v="0"/>
    <d v="2023-03-10T00:00:00"/>
    <n v="3"/>
    <n v="2023"/>
    <n v="66"/>
    <n v="-66"/>
    <n v="0"/>
    <n v="2720059.35"/>
    <s v="Cash"/>
    <s v="Cash 11/3/23 RM2,545.00"/>
    <m/>
  </r>
  <r>
    <s v="10/3/2023"/>
    <x v="9"/>
    <x v="4"/>
    <s v="INV00000457"/>
    <s v="C00000014"/>
    <s v="IK Fibre Glass Enterprise"/>
    <x v="211"/>
    <n v="1"/>
    <s v="Cash"/>
    <n v="0"/>
    <d v="2023-03-10T00:00:00"/>
    <n v="3"/>
    <n v="2023"/>
    <n v="116"/>
    <n v="-116"/>
    <n v="0"/>
    <n v="2720175.35"/>
    <s v="Cash"/>
    <s v="Cash 11/3/23 RM2,545.00"/>
    <m/>
  </r>
  <r>
    <s v="10/3/2023"/>
    <x v="9"/>
    <x v="4"/>
    <s v="INV00000457"/>
    <s v="C00000014"/>
    <s v="IK Fibre Glass Enterprise"/>
    <x v="165"/>
    <n v="1"/>
    <s v="Cash"/>
    <n v="0"/>
    <d v="2023-03-10T00:00:00"/>
    <n v="3"/>
    <n v="2023"/>
    <n v="258"/>
    <n v="-258"/>
    <n v="0"/>
    <n v="2720433.35"/>
    <s v="Cash"/>
    <s v="Cash 11/3/23 RM2,545.00"/>
    <m/>
  </r>
  <r>
    <s v="11/3/2023"/>
    <x v="9"/>
    <x v="4"/>
    <s v="INV00000458"/>
    <s v="C00000020"/>
    <s v="WSK Tanks Sdn Bhd"/>
    <x v="106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s v="11/3/2023"/>
    <x v="9"/>
    <x v="4"/>
    <s v="INV00000458"/>
    <s v="C00000020"/>
    <s v="WSK Tanks Sdn Bhd"/>
    <x v="4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s v="14/3/2023"/>
    <x v="9"/>
    <x v="4"/>
    <s v="INV00000459"/>
    <s v="C00000010"/>
    <s v="Yew Seng Gardening Supply Sdn Bhd"/>
    <x v="188"/>
    <n v="6"/>
    <n v="120"/>
    <n v="120"/>
    <d v="2023-07-12T00:00:00"/>
    <n v="7"/>
    <n v="2023"/>
    <n v="9768"/>
    <n v="-9768"/>
    <n v="0"/>
    <n v="2730401.35"/>
    <s v="Trsf"/>
    <s v="Trsf 30/6/23 RM12,678.00"/>
    <m/>
  </r>
  <r>
    <s v="14/3/2023"/>
    <x v="9"/>
    <x v="4"/>
    <s v="INV00000459"/>
    <s v="C00000010"/>
    <s v="Yew Seng Gardening Supply Sdn Bhd"/>
    <x v="100"/>
    <n v="10"/>
    <n v="120"/>
    <n v="120"/>
    <d v="2023-07-12T00:00:00"/>
    <n v="7"/>
    <n v="2023"/>
    <n v="2070"/>
    <n v="-2070"/>
    <n v="0"/>
    <n v="2732471.35"/>
    <s v="Trsf"/>
    <s v="Trsf 30/6/23 RM12,678.00"/>
    <m/>
  </r>
  <r>
    <s v="14/3/2023"/>
    <x v="9"/>
    <x v="4"/>
    <s v="INV00000459"/>
    <s v="C00000010"/>
    <s v="Yew Seng Gardening Supply Sdn Bhd"/>
    <x v="131"/>
    <n v="2"/>
    <n v="120"/>
    <n v="120"/>
    <d v="2023-07-12T00:00:00"/>
    <n v="7"/>
    <n v="2023"/>
    <n v="840"/>
    <n v="-840"/>
    <n v="0"/>
    <n v="2733311.35"/>
    <s v="Trsf"/>
    <s v="Trsf 30/6/23 RM12,678.00"/>
    <m/>
  </r>
  <r>
    <s v="14/3/2023"/>
    <x v="9"/>
    <x v="4"/>
    <s v="INV00000460"/>
    <s v="C00000020"/>
    <s v="WSK Tanks Sdn Bhd"/>
    <x v="132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s v="14/3/2023"/>
    <x v="9"/>
    <x v="4"/>
    <s v="INV00000461"/>
    <s v="C00000020"/>
    <s v="WSK Tanks Sdn Bhd"/>
    <x v="15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s v="14/3/2023"/>
    <x v="9"/>
    <x v="4"/>
    <s v="INV00000461"/>
    <s v="C00000020"/>
    <s v="WSK Tanks Sdn Bhd"/>
    <x v="100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s v="14/3/2023"/>
    <x v="9"/>
    <x v="4"/>
    <s v="INV00000461"/>
    <s v="C00000020"/>
    <s v="WSK Tanks Sdn Bhd"/>
    <x v="128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s v="14/3/2023"/>
    <x v="9"/>
    <x v="4"/>
    <s v="INV00000461"/>
    <s v="C00000020"/>
    <s v="WSK Tanks Sdn Bhd"/>
    <x v="106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s v="14/3/2023"/>
    <x v="9"/>
    <x v="4"/>
    <s v="INV00000461"/>
    <s v="C00000020"/>
    <s v="WSK Tanks Sdn Bhd"/>
    <x v="159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s v="14/3/2023"/>
    <x v="9"/>
    <x v="4"/>
    <s v="INV00000462"/>
    <s v="C00000019"/>
    <s v="Desuki Affela Empire Enterprise"/>
    <x v="153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s v="14/3/2023"/>
    <x v="9"/>
    <x v="4"/>
    <s v="INV00000462"/>
    <s v="C00000019"/>
    <s v="Desuki Affela Empire Enterprise"/>
    <x v="182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s v="14/3/2023"/>
    <x v="9"/>
    <x v="4"/>
    <s v="INV00000463"/>
    <s v="C00000009"/>
    <s v="JMC Steel Engineering Sdn Bhd"/>
    <x v="7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s v="14/3/2023"/>
    <x v="9"/>
    <x v="4"/>
    <s v="INV00000463"/>
    <s v="C00000009"/>
    <s v="JMC Steel Engineering Sdn Bhd"/>
    <x v="112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s v="14/3/2023"/>
    <x v="9"/>
    <x v="4"/>
    <s v="INV00000463"/>
    <s v="C00000009"/>
    <s v="JMC Steel Engineering Sdn Bhd"/>
    <x v="163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s v="16/3/2023"/>
    <x v="9"/>
    <x v="4"/>
    <s v="INV00000464"/>
    <s v="C00000021"/>
    <s v="KT Profesional Fiber"/>
    <x v="118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s v="16/3/2023"/>
    <x v="9"/>
    <x v="4"/>
    <s v="INV00000464"/>
    <s v="C00000021"/>
    <s v="KT Profesional Fiber"/>
    <x v="100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s v="16/3/2023"/>
    <x v="9"/>
    <x v="4"/>
    <s v="INV00000464"/>
    <s v="C00000021"/>
    <s v="KT Profesional Fiber"/>
    <x v="106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s v="16/3/2023"/>
    <x v="9"/>
    <x v="4"/>
    <s v="INV00000465"/>
    <s v="C00000014"/>
    <s v="IK Fibre Glass Enterprise"/>
    <x v="45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s v="16/3/2023"/>
    <x v="9"/>
    <x v="4"/>
    <s v="INV00000465"/>
    <s v="C00000014"/>
    <s v="IK Fibre Glass Enterprise"/>
    <x v="157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s v="16/3/2023"/>
    <x v="9"/>
    <x v="4"/>
    <s v="INV00000465"/>
    <s v="C00000014"/>
    <s v="IK Fibre Glass Enterprise"/>
    <x v="141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s v="16/3/2023"/>
    <x v="9"/>
    <x v="4"/>
    <s v="INV00000465"/>
    <s v="C00000014"/>
    <s v="IK Fibre Glass Enterprise"/>
    <x v="212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s v="16/3/2023"/>
    <x v="9"/>
    <x v="4"/>
    <s v="INV00000465"/>
    <s v="C00000014"/>
    <s v="IK Fibre Glass Enterprise"/>
    <x v="213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s v="16/3/2023"/>
    <x v="9"/>
    <x v="4"/>
    <s v="INV00000465"/>
    <s v="C00000014"/>
    <s v="IK Fibre Glass Enterprise"/>
    <x v="125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s v="16/3/2023"/>
    <x v="9"/>
    <x v="4"/>
    <s v="INV00000465"/>
    <s v="C00000014"/>
    <s v="IK Fibre Glass Enterprise"/>
    <x v="106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s v="16/3/2023"/>
    <x v="9"/>
    <x v="4"/>
    <s v="INV00000465"/>
    <s v="C00000014"/>
    <s v="IK Fibre Glass Enterprise"/>
    <x v="153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s v="20/3/2023"/>
    <x v="9"/>
    <x v="4"/>
    <s v="INV00000466"/>
    <s v="C00000037"/>
    <s v="Suntruck Sdn Bhd"/>
    <x v="120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s v="20/3/2023"/>
    <x v="9"/>
    <x v="4"/>
    <s v="INV00000466"/>
    <s v="C00000037"/>
    <s v="Suntruck Sdn Bhd"/>
    <x v="112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s v="23/3/2023"/>
    <x v="9"/>
    <x v="4"/>
    <s v="INV00000467"/>
    <s v="C00000020"/>
    <s v="WSK Tanks Sdn Bhd"/>
    <x v="132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s v="23/3/2023"/>
    <x v="9"/>
    <x v="4"/>
    <s v="INV00000468"/>
    <s v="C00000020"/>
    <s v="WSK Tanks Sdn Bhd"/>
    <x v="7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s v="23/3/2023"/>
    <x v="9"/>
    <x v="4"/>
    <s v="INV00000468"/>
    <s v="C00000020"/>
    <s v="WSK Tanks Sdn Bhd"/>
    <x v="100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s v="23/3/2023"/>
    <x v="9"/>
    <x v="4"/>
    <s v="INV00000468"/>
    <s v="C00000020"/>
    <s v="WSK Tanks Sdn Bhd"/>
    <x v="128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s v="23/3/2023"/>
    <x v="9"/>
    <x v="4"/>
    <s v="INV00000468"/>
    <s v="C00000020"/>
    <s v="WSK Tanks Sdn Bhd"/>
    <x v="106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s v="23/3/2023"/>
    <x v="9"/>
    <x v="4"/>
    <s v="INV00000468"/>
    <s v="C00000020"/>
    <s v="WSK Tanks Sdn Bhd"/>
    <x v="159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s v="25/3/2023"/>
    <x v="9"/>
    <x v="4"/>
    <s v="INV00000469"/>
    <s v="C00000021"/>
    <s v="KT Profesional Fiber"/>
    <x v="118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s v="25/3/2023"/>
    <x v="9"/>
    <x v="4"/>
    <s v="INV00000469"/>
    <s v="C00000021"/>
    <s v="KT Profesional Fiber"/>
    <x v="100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s v="25/3/2023"/>
    <x v="9"/>
    <x v="4"/>
    <s v="INV00000469"/>
    <s v="C00000021"/>
    <s v="KT Profesional Fiber"/>
    <x v="106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s v="25/3/2023"/>
    <x v="9"/>
    <x v="4"/>
    <s v="INV00000470"/>
    <s v="C00000034"/>
    <s v="Cash - ZTY Fibre"/>
    <x v="214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s v="25/3/2023"/>
    <x v="9"/>
    <x v="4"/>
    <s v="INV00000470"/>
    <s v="C00000034"/>
    <s v="Cash - ZTY Fibre"/>
    <x v="215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s v="27/3/2023"/>
    <x v="9"/>
    <x v="4"/>
    <s v="INV00000471"/>
    <s v="C00000034"/>
    <s v="Cash - ZTY Fibre"/>
    <x v="216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s v="27/3/2023"/>
    <x v="9"/>
    <x v="4"/>
    <s v="INV00000471"/>
    <s v="C00000034"/>
    <s v="Cash - ZTY Fibre"/>
    <x v="184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s v="27/3/2023"/>
    <x v="9"/>
    <x v="4"/>
    <s v="INV00000471"/>
    <s v="C00000034"/>
    <s v="Cash - ZTY Fibre"/>
    <x v="101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s v="28/3/2023"/>
    <x v="9"/>
    <x v="4"/>
    <s v="INV00000472"/>
    <s v="C00000026"/>
    <s v="Megapower Service"/>
    <x v="118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s v="28/3/2023"/>
    <x v="9"/>
    <x v="4"/>
    <s v="INV00000472"/>
    <s v="C00000026"/>
    <s v="Megapower Service"/>
    <x v="112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s v="28/3/2023"/>
    <x v="9"/>
    <x v="4"/>
    <s v="INV00000472"/>
    <s v="C00000026"/>
    <s v="Megapower Service"/>
    <x v="125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s v="28/3/2023"/>
    <x v="9"/>
    <x v="4"/>
    <s v="INV00000472"/>
    <s v="C00000026"/>
    <s v="Megapower Service"/>
    <x v="52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s v="30/3/2023"/>
    <x v="9"/>
    <x v="4"/>
    <s v="INV00000473"/>
    <s v="C00000037"/>
    <s v="Suntruck Sdn Bhd"/>
    <x v="120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s v="30/3/2023"/>
    <x v="9"/>
    <x v="4"/>
    <s v="INV00000473"/>
    <s v="C00000037"/>
    <s v="Suntruck Sdn Bhd"/>
    <x v="112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s v="30/3/2023"/>
    <x v="9"/>
    <x v="4"/>
    <s v="INV00000473"/>
    <s v="C00000037"/>
    <s v="Suntruck Sdn Bhd"/>
    <x v="106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s v="30/3/2023"/>
    <x v="9"/>
    <x v="4"/>
    <s v="INV00000473"/>
    <s v="C00000037"/>
    <s v="Suntruck Sdn Bhd"/>
    <x v="125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s v="30/3/2023"/>
    <x v="9"/>
    <x v="4"/>
    <s v="INV00000473"/>
    <s v="C00000037"/>
    <s v="Suntruck Sdn Bhd"/>
    <x v="217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s v="30/3/2023"/>
    <x v="9"/>
    <x v="4"/>
    <s v="INV00000473"/>
    <s v="C00000037"/>
    <s v="Suntruck Sdn Bhd"/>
    <x v="132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s v="30/3/2023"/>
    <x v="9"/>
    <x v="4"/>
    <s v="INV00000474"/>
    <s v="C00000034"/>
    <s v="Cash - ZTY Fibre"/>
    <x v="106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s v="30/3/2023"/>
    <x v="9"/>
    <x v="4"/>
    <s v="INV00000475"/>
    <s v="C00000034"/>
    <s v="Cash - ZTY Fibre"/>
    <x v="132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s v="30/3/2023"/>
    <x v="9"/>
    <x v="4"/>
    <s v="INV00000476"/>
    <s v="C00000020"/>
    <s v="WSK Tanks Sdn Bhd"/>
    <x v="132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s v="30/3/2023"/>
    <x v="9"/>
    <x v="4"/>
    <s v="INV00000477"/>
    <s v="C00000020"/>
    <s v="WSK Tanks Sdn Bhd"/>
    <x v="7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s v="30/3/2023"/>
    <x v="9"/>
    <x v="4"/>
    <s v="INV00000477"/>
    <s v="C00000020"/>
    <s v="WSK Tanks Sdn Bhd"/>
    <x v="100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s v="30/3/2023"/>
    <x v="9"/>
    <x v="4"/>
    <s v="INV00000477"/>
    <s v="C00000020"/>
    <s v="WSK Tanks Sdn Bhd"/>
    <x v="128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s v="30/3/2023"/>
    <x v="9"/>
    <x v="4"/>
    <s v="INV00000477"/>
    <s v="C00000020"/>
    <s v="WSK Tanks Sdn Bhd"/>
    <x v="106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d v="2023-04-03T00:00:00"/>
    <x v="10"/>
    <x v="4"/>
    <s v="INV00000478"/>
    <s v="C00000022"/>
    <s v="SF Engineering Solution"/>
    <x v="218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d v="2023-04-03T00:00:00"/>
    <x v="10"/>
    <x v="4"/>
    <s v="INV00000479"/>
    <s v="C00000034"/>
    <s v="Cash - ZTY Fibre"/>
    <x v="216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d v="2023-04-03T00:00:00"/>
    <x v="10"/>
    <x v="4"/>
    <s v="INV00000479"/>
    <s v="C00000034"/>
    <s v="Cash - ZTY Fibre"/>
    <x v="215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d v="2023-04-03T00:00:00"/>
    <x v="10"/>
    <x v="4"/>
    <s v="INV00000479"/>
    <s v="C00000034"/>
    <s v="Cash - ZTY Fibre"/>
    <x v="219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d v="2023-04-03T00:00:00"/>
    <x v="10"/>
    <x v="4"/>
    <s v="INV00000479"/>
    <s v="C00000034"/>
    <s v="Cash - ZTY Fibre"/>
    <x v="101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d v="2023-04-03T00:00:00"/>
    <x v="10"/>
    <x v="4"/>
    <s v="INV00000479"/>
    <s v="C00000034"/>
    <s v="Cash - ZTY Fibre"/>
    <x v="106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d v="2023-04-03T00:00:00"/>
    <x v="10"/>
    <x v="4"/>
    <s v="INV00000479"/>
    <s v="C00000034"/>
    <s v="Cash - ZTY Fibre"/>
    <x v="131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d v="2023-04-03T00:00:00"/>
    <x v="10"/>
    <x v="4"/>
    <s v="INV00000479"/>
    <s v="C00000034"/>
    <s v="Cash - ZTY Fibre"/>
    <x v="132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s v="3/4/2023"/>
    <x v="10"/>
    <x v="4"/>
    <s v="INV00000480"/>
    <s v="C00000035"/>
    <s v="Cash - MLGaia Enterprise"/>
    <x v="125"/>
    <n v="1"/>
    <s v="Cash"/>
    <n v="0"/>
    <d v="2023-04-03T00:00:00"/>
    <n v="4"/>
    <n v="2023"/>
    <n v="264"/>
    <n v="-264"/>
    <n v="0"/>
    <n v="2835579.5500000007"/>
    <s v="Trsf"/>
    <s v="Trsf 4/4/23 RM452.00"/>
    <m/>
  </r>
  <r>
    <s v="3/4/2023"/>
    <x v="10"/>
    <x v="4"/>
    <s v="INV00000480"/>
    <s v="C00000035"/>
    <s v="Cash - MLGaia Enterprise"/>
    <x v="220"/>
    <n v="1"/>
    <s v="Cash"/>
    <n v="0"/>
    <d v="2023-04-03T00:00:00"/>
    <n v="4"/>
    <n v="2023"/>
    <n v="70"/>
    <n v="-70"/>
    <n v="0"/>
    <n v="2835649.5500000007"/>
    <s v="Trsf"/>
    <s v="Trsf 4/4/23 RM452.00"/>
    <m/>
  </r>
  <r>
    <s v="3/4/2023"/>
    <x v="10"/>
    <x v="4"/>
    <s v="INV00000480"/>
    <s v="C00000035"/>
    <s v="Cash - MLGaia Enterprise"/>
    <x v="221"/>
    <n v="1"/>
    <s v="Cash"/>
    <n v="0"/>
    <d v="2023-04-03T00:00:00"/>
    <n v="4"/>
    <n v="2023"/>
    <n v="118"/>
    <n v="-118"/>
    <n v="0"/>
    <n v="2835767.5500000007"/>
    <s v="Trsf"/>
    <s v="Trsf 4/4/23 RM452.00"/>
    <m/>
  </r>
  <r>
    <d v="2023-04-04T00:00:00"/>
    <x v="10"/>
    <x v="4"/>
    <s v="INV00000481"/>
    <s v="C00000027"/>
    <s v="Transform Star Sdn Bhd"/>
    <x v="118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s v="4/4/2023"/>
    <x v="10"/>
    <x v="4"/>
    <s v="INV00000481"/>
    <s v="C00000027"/>
    <s v="Transform Star Sdn Bhd"/>
    <x v="112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s v="4/4/2023"/>
    <x v="10"/>
    <x v="4"/>
    <s v="INV00000481"/>
    <s v="C00000027"/>
    <s v="Transform Star Sdn Bhd"/>
    <x v="163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s v="4/4/2023"/>
    <x v="10"/>
    <x v="4"/>
    <s v="INV00000481"/>
    <s v="C00000027"/>
    <s v="Transform Star Sdn Bhd"/>
    <x v="172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s v="4/4/2023"/>
    <x v="10"/>
    <x v="4"/>
    <s v="INV00000481"/>
    <s v="C00000027"/>
    <s v="Transform Star Sdn Bhd"/>
    <x v="141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s v="4/4/2023"/>
    <x v="10"/>
    <x v="4"/>
    <s v="INV00000481"/>
    <s v="C00000027"/>
    <s v="Transform Star Sdn Bhd"/>
    <x v="106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s v="4/4/2023"/>
    <x v="10"/>
    <x v="4"/>
    <s v="INV00000481"/>
    <s v="C00000027"/>
    <s v="Transform Star Sdn Bhd"/>
    <x v="137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s v="4/4/2023"/>
    <x v="10"/>
    <x v="4"/>
    <s v="INV00000481"/>
    <s v="C00000027"/>
    <s v="Transform Star Sdn Bhd"/>
    <x v="125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s v="4/4/2023"/>
    <x v="10"/>
    <x v="4"/>
    <s v="INV00000481"/>
    <s v="C00000027"/>
    <s v="Transform Star Sdn Bhd"/>
    <x v="104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s v="6/4/2023"/>
    <x v="10"/>
    <x v="4"/>
    <s v="INV00000482"/>
    <s v="C00000010"/>
    <s v="Yew Seng Gardening Supply Sdn Bhd"/>
    <x v="222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s v="6/4/2023"/>
    <x v="10"/>
    <x v="4"/>
    <s v="INV00000482"/>
    <s v="C00000010"/>
    <s v="Yew Seng Gardening Supply Sdn Bhd"/>
    <x v="215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s v="6/4/2023"/>
    <x v="10"/>
    <x v="4"/>
    <s v="INV00000482"/>
    <s v="C00000010"/>
    <s v="Yew Seng Gardening Supply Sdn Bhd"/>
    <x v="132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s v="6/4/2023"/>
    <x v="10"/>
    <x v="4"/>
    <s v="INV00000482"/>
    <s v="C00000010"/>
    <s v="Yew Seng Gardening Supply Sdn Bhd"/>
    <x v="4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s v="6/4/2023"/>
    <x v="10"/>
    <x v="4"/>
    <s v="INV00000482"/>
    <s v="C00000010"/>
    <s v="Yew Seng Gardening Supply Sdn Bhd"/>
    <x v="131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s v="6/4/2023"/>
    <x v="10"/>
    <x v="4"/>
    <s v="INV00000482"/>
    <s v="C00000010"/>
    <s v="Yew Seng Gardening Supply Sdn Bhd"/>
    <x v="174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s v="6/4/2023"/>
    <x v="10"/>
    <x v="4"/>
    <s v="INV00000483"/>
    <s v="C00000021"/>
    <s v="KT Profesional Fiber"/>
    <x v="118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s v="6/4/2023"/>
    <x v="10"/>
    <x v="4"/>
    <s v="INV00000483"/>
    <s v="C00000021"/>
    <s v="KT Profesional Fiber"/>
    <x v="106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s v="6/4/2023"/>
    <x v="10"/>
    <x v="4"/>
    <s v="INV00000483"/>
    <s v="C00000021"/>
    <s v="KT Profesional Fiber"/>
    <x v="132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s v="6/4/2023"/>
    <x v="10"/>
    <x v="4"/>
    <s v="INV00000483"/>
    <s v="C00000021"/>
    <s v="KT Profesional Fiber"/>
    <x v="134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s v="6/4/2023"/>
    <x v="10"/>
    <x v="4"/>
    <s v="INV00000483"/>
    <s v="C00000021"/>
    <s v="KT Profesional Fiber"/>
    <x v="223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s v="7/4/2023"/>
    <x v="10"/>
    <x v="4"/>
    <s v="INV00000484"/>
    <s v="C00000020"/>
    <s v="WSK Tanks Sdn Bhd"/>
    <x v="132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s v="7/4/2023"/>
    <x v="10"/>
    <x v="4"/>
    <s v="INV00000484"/>
    <s v="C00000020"/>
    <s v="WSK Tanks Sdn Bhd"/>
    <x v="224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s v="7/4/2023"/>
    <x v="10"/>
    <x v="4"/>
    <s v="INV00000484"/>
    <s v="C00000020"/>
    <s v="WSK Tanks Sdn Bhd"/>
    <x v="100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s v="7/4/2023"/>
    <x v="10"/>
    <x v="4"/>
    <s v="INV00000484"/>
    <s v="C00000020"/>
    <s v="WSK Tanks Sdn Bhd"/>
    <x v="101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s v="7/4/2023"/>
    <x v="10"/>
    <x v="4"/>
    <s v="INV00000484"/>
    <s v="C00000020"/>
    <s v="WSK Tanks Sdn Bhd"/>
    <x v="106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s v="7/4/2023"/>
    <x v="10"/>
    <x v="4"/>
    <s v="INV00000484"/>
    <s v="C00000020"/>
    <s v="WSK Tanks Sdn Bhd"/>
    <x v="159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s v="6/4/2023"/>
    <x v="10"/>
    <x v="4"/>
    <s v="INV00000486"/>
    <s v="C00000009"/>
    <s v="JMC Steel Engineering Sdn Bhd"/>
    <x v="4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d v="2023-04-07T00:00:00"/>
    <x v="10"/>
    <x v="4"/>
    <s v="INV00000487"/>
    <s v="C00000019"/>
    <s v="Desuki Affela Empire Enterprise"/>
    <x v="120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d v="2023-04-07T00:00:00"/>
    <x v="10"/>
    <x v="4"/>
    <s v="INV00000487"/>
    <s v="C00000019"/>
    <s v="Desuki Affela Empire Enterprise"/>
    <x v="225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d v="2023-04-07T00:00:00"/>
    <x v="10"/>
    <x v="4"/>
    <s v="INV00000487"/>
    <s v="C00000019"/>
    <s v="Desuki Affela Empire Enterprise"/>
    <x v="4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d v="2023-04-07T00:00:00"/>
    <x v="10"/>
    <x v="4"/>
    <s v="INV00000487"/>
    <s v="C00000019"/>
    <s v="Desuki Affela Empire Enterprise"/>
    <x v="52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d v="2023-04-07T00:00:00"/>
    <x v="10"/>
    <x v="4"/>
    <s v="INV00000487"/>
    <s v="C00000019"/>
    <s v="Desuki Affela Empire Enterprise"/>
    <x v="131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d v="2023-04-07T00:00:00"/>
    <x v="10"/>
    <x v="4"/>
    <s v="INV00000487"/>
    <s v="C00000019"/>
    <s v="Desuki Affela Empire Enterprise"/>
    <x v="132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s v="8/4/2023"/>
    <x v="10"/>
    <x v="4"/>
    <s v="INV00000488"/>
    <s v="C00000022"/>
    <s v="SF Engineering Solution"/>
    <x v="120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s v="8/4/2023"/>
    <x v="10"/>
    <x v="4"/>
    <s v="INV00000489"/>
    <s v="C00000006"/>
    <s v="Perniagaan Fibra Sahih"/>
    <x v="120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s v="8/4/2023"/>
    <x v="10"/>
    <x v="4"/>
    <s v="INV00000489"/>
    <s v="C00000006"/>
    <s v="Perniagaan Fibra Sahih"/>
    <x v="215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s v="10/4/2023"/>
    <x v="10"/>
    <x v="4"/>
    <s v="INV00000490"/>
    <s v="C00000034"/>
    <s v="Cash - ZTY Fibre"/>
    <x v="214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s v="10/4/2023"/>
    <x v="10"/>
    <x v="4"/>
    <s v="INV00000490"/>
    <s v="C00000034"/>
    <s v="Cash - ZTY Fibre"/>
    <x v="216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s v="10/4/2023"/>
    <x v="10"/>
    <x v="4"/>
    <s v="INV00000490"/>
    <s v="C00000034"/>
    <s v="Cash - ZTY Fibre"/>
    <x v="132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s v="10/4/2023"/>
    <x v="10"/>
    <x v="4"/>
    <s v="INV00000490"/>
    <s v="C00000034"/>
    <s v="Cash - ZTY Fibre"/>
    <x v="106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s v="9/4/2023"/>
    <x v="10"/>
    <x v="4"/>
    <s v="INV00000491"/>
    <s v="C00000020"/>
    <s v="WSK Tanks Sdn Bhd"/>
    <x v="159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s v="11/4/2023"/>
    <x v="10"/>
    <x v="4"/>
    <s v="INV00000492"/>
    <s v="C00000038"/>
    <s v="WSA Engineering Sdn Bhd"/>
    <x v="200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s v="11/4/2023"/>
    <x v="10"/>
    <x v="4"/>
    <s v="INV00000492"/>
    <s v="C00000038"/>
    <s v="WSA Engineering Sdn Bhd"/>
    <x v="170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s v="11/4/2023"/>
    <x v="10"/>
    <x v="4"/>
    <s v="INV00000492"/>
    <s v="C00000038"/>
    <s v="WSA Engineering Sdn Bhd"/>
    <x v="226"/>
    <n v="1"/>
    <s v="Cash"/>
    <n v="0"/>
    <d v="2023-04-11T00:00:00"/>
    <n v="4"/>
    <n v="2023"/>
    <n v="95"/>
    <n v="-95"/>
    <n v="0"/>
    <n v="2914857.5500000007"/>
    <s v="Trsf"/>
    <s v="Trsf 12/4/23 RM670.00"/>
    <m/>
  </r>
  <r>
    <s v="11/4/2023"/>
    <x v="10"/>
    <x v="4"/>
    <s v="INV00000492"/>
    <s v="C00000038"/>
    <s v="WSA Engineering Sdn Bhd"/>
    <x v="227"/>
    <n v="1"/>
    <s v="Cash"/>
    <n v="0"/>
    <d v="2023-04-11T00:00:00"/>
    <n v="4"/>
    <n v="2023"/>
    <n v="50"/>
    <n v="-50"/>
    <n v="0"/>
    <n v="2914907.5500000007"/>
    <s v="Trsf"/>
    <s v="Trsf 12/4/23 RM670.00"/>
    <m/>
  </r>
  <r>
    <s v="12/4/2023"/>
    <x v="10"/>
    <x v="4"/>
    <s v="INV00000493"/>
    <s v="C00000021"/>
    <s v="KT Profesional Fiber"/>
    <x v="118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s v="12/4/2023"/>
    <x v="10"/>
    <x v="4"/>
    <s v="INV00000493"/>
    <s v="C00000021"/>
    <s v="KT Profesional Fiber"/>
    <x v="100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s v="12/4/2023"/>
    <x v="10"/>
    <x v="4"/>
    <s v="INV00000493"/>
    <s v="C00000021"/>
    <s v="KT Profesional Fiber"/>
    <x v="132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s v="13/4/2023"/>
    <x v="10"/>
    <x v="4"/>
    <s v="INV00000494"/>
    <s v="C00000037"/>
    <s v="Suntruck Sdn Bhd"/>
    <x v="120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s v="13/4/2023"/>
    <x v="10"/>
    <x v="4"/>
    <s v="INV00000494"/>
    <s v="C00000037"/>
    <s v="Suntruck Sdn Bhd"/>
    <x v="112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d v="2023-04-14T00:00:00"/>
    <x v="10"/>
    <x v="4"/>
    <s v="INV00000495"/>
    <s v="C00000022"/>
    <s v="SF Engineering Solution"/>
    <x v="120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d v="2023-04-14T00:00:00"/>
    <x v="10"/>
    <x v="4"/>
    <s v="INV00000495"/>
    <s v="C00000022"/>
    <s v="SF Engineering Solution"/>
    <x v="219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d v="2023-04-14T00:00:00"/>
    <x v="10"/>
    <x v="4"/>
    <s v="INV00000495"/>
    <s v="C00000022"/>
    <s v="SF Engineering Solution"/>
    <x v="93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s v="15/4/2023"/>
    <x v="10"/>
    <x v="4"/>
    <s v="INV00000496"/>
    <s v="C00000020"/>
    <s v="WSK Tanks Sdn Bhd"/>
    <x v="132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s v="15/4/2023"/>
    <x v="10"/>
    <x v="4"/>
    <s v="INV00000497"/>
    <s v="C00000020"/>
    <s v="WSK Tanks Sdn Bhd"/>
    <x v="224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s v="15/4/2023"/>
    <x v="10"/>
    <x v="4"/>
    <s v="INV00000497"/>
    <s v="C00000020"/>
    <s v="WSK Tanks Sdn Bhd"/>
    <x v="100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s v="15/4/2023"/>
    <x v="10"/>
    <x v="4"/>
    <s v="INV00000497"/>
    <s v="C00000020"/>
    <s v="WSK Tanks Sdn Bhd"/>
    <x v="228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s v="15/4/2023"/>
    <x v="10"/>
    <x v="4"/>
    <s v="INV00000497"/>
    <s v="C00000020"/>
    <s v="WSK Tanks Sdn Bhd"/>
    <x v="159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s v="18/4/2023"/>
    <x v="10"/>
    <x v="4"/>
    <s v="INV00000498"/>
    <s v="C00000021"/>
    <s v="KT Profesional Fiber"/>
    <x v="118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s v="18/4/2023"/>
    <x v="10"/>
    <x v="4"/>
    <s v="INV00000498"/>
    <s v="C00000021"/>
    <s v="KT Profesional Fiber"/>
    <x v="100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s v="18/4/2023"/>
    <x v="10"/>
    <x v="4"/>
    <s v="INV00000498"/>
    <s v="C00000021"/>
    <s v="KT Profesional Fiber"/>
    <x v="132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s v="18/4/2023"/>
    <x v="10"/>
    <x v="4"/>
    <s v="INV00000498"/>
    <s v="C00000021"/>
    <s v="KT Profesional Fiber"/>
    <x v="106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s v="19/4/2023"/>
    <x v="10"/>
    <x v="4"/>
    <s v="INV00000499"/>
    <s v="C00000009"/>
    <s v="JMC Steel Engineering Sdn Bhd"/>
    <x v="7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s v="19/4/2023"/>
    <x v="10"/>
    <x v="4"/>
    <s v="INV00000499"/>
    <s v="C00000009"/>
    <s v="JMC Steel Engineering Sdn Bhd"/>
    <x v="112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s v="19/4/2023"/>
    <x v="10"/>
    <x v="4"/>
    <s v="INV00000499"/>
    <s v="C00000009"/>
    <s v="JMC Steel Engineering Sdn Bhd"/>
    <x v="163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s v="20/4/2023"/>
    <x v="10"/>
    <x v="4"/>
    <s v="INV00000500"/>
    <s v="C00000013a"/>
    <s v="Cash - PMC Sdn Bhd"/>
    <x v="229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s v="20/4/2023"/>
    <x v="10"/>
    <x v="4"/>
    <s v="INV00000500"/>
    <s v="C00000013a"/>
    <s v="Cash - PMC Sdn Bhd"/>
    <x v="230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s v="20/4/2023"/>
    <x v="10"/>
    <x v="4"/>
    <s v="INV00000500"/>
    <s v="C00000013a"/>
    <s v="Cash - PMC Sdn Bhd"/>
    <x v="231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s v="20/4/2023"/>
    <x v="10"/>
    <x v="4"/>
    <s v="INV00000500"/>
    <s v="C00000013a"/>
    <s v="Cash - PMC Sdn Bhd"/>
    <x v="232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s v="20/4/2023"/>
    <x v="10"/>
    <x v="4"/>
    <s v="INV00000500"/>
    <s v="C00000013a"/>
    <s v="Cash - PMC Sdn Bhd"/>
    <x v="233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s v="20/4/2023"/>
    <x v="10"/>
    <x v="4"/>
    <s v="INV00000500"/>
    <s v="C00000013a"/>
    <s v="Cash - PMC Sdn Bhd"/>
    <x v="234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s v="20/4/2023"/>
    <x v="10"/>
    <x v="4"/>
    <s v="INV00000500"/>
    <s v="C00000013a"/>
    <s v="Cash - PMC Sdn Bhd"/>
    <x v="235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s v="20/4/2023"/>
    <x v="10"/>
    <x v="4"/>
    <s v="INV00000500"/>
    <s v="C00000013a"/>
    <s v="Cash - PMC Sdn Bhd"/>
    <x v="236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s v="20/4/2023"/>
    <x v="10"/>
    <x v="4"/>
    <s v="INV00000500"/>
    <s v="C00000013a"/>
    <s v="Cash - PMC Sdn Bhd"/>
    <x v="237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s v="20/4/2023"/>
    <x v="10"/>
    <x v="4"/>
    <s v="INV00000500"/>
    <s v="C00000013a"/>
    <s v="Cash - PMC Sdn Bhd"/>
    <x v="238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s v="20/4/2023"/>
    <x v="10"/>
    <x v="4"/>
    <s v="INV00000500"/>
    <s v="C00000013a"/>
    <s v="Cash - PMC Sdn Bhd"/>
    <x v="239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s v="26/4/2023"/>
    <x v="10"/>
    <x v="4"/>
    <s v="INV00000501"/>
    <s v="C00000014"/>
    <s v="IK Fibre Glass Enterprise"/>
    <x v="45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s v="26/4/2023"/>
    <x v="10"/>
    <x v="4"/>
    <s v="INV00000501"/>
    <s v="C00000014"/>
    <s v="IK Fibre Glass Enterprise"/>
    <x v="157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s v="26/4/2023"/>
    <x v="10"/>
    <x v="4"/>
    <s v="INV00000501"/>
    <s v="C00000014"/>
    <s v="IK Fibre Glass Enterprise"/>
    <x v="141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s v="26/4/2023"/>
    <x v="10"/>
    <x v="4"/>
    <s v="INV00000501"/>
    <s v="C00000014"/>
    <s v="IK Fibre Glass Enterprise"/>
    <x v="132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s v="26/4/2023"/>
    <x v="10"/>
    <x v="4"/>
    <s v="INV00000501"/>
    <s v="C00000014"/>
    <s v="IK Fibre Glass Enterprise"/>
    <x v="125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s v="26/4/2023"/>
    <x v="10"/>
    <x v="4"/>
    <s v="INV00000501"/>
    <s v="C00000014"/>
    <s v="IK Fibre Glass Enterprise"/>
    <x v="106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s v="26/4/2023"/>
    <x v="10"/>
    <x v="4"/>
    <s v="INV00000501"/>
    <s v="C00000014"/>
    <s v="IK Fibre Glass Enterprise"/>
    <x v="153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s v="26/4/2023"/>
    <x v="10"/>
    <x v="4"/>
    <s v="INV00000502"/>
    <s v="C00000001"/>
    <s v="Kelnico Marketing"/>
    <x v="118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s v="26/4/2023"/>
    <x v="10"/>
    <x v="4"/>
    <s v="INV00000502"/>
    <s v="C00000001"/>
    <s v="Kelnico Marketing"/>
    <x v="100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s v="27/4/2023"/>
    <x v="10"/>
    <x v="4"/>
    <s v="INV00000503"/>
    <s v="C00000019"/>
    <s v="Desuki Affela Empire Enterprise"/>
    <x v="120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s v="27/4/2023"/>
    <x v="10"/>
    <x v="4"/>
    <s v="INV00000503"/>
    <s v="C00000019"/>
    <s v="Desuki Affela Empire Enterprise"/>
    <x v="225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s v="27/4/2023"/>
    <x v="10"/>
    <x v="4"/>
    <s v="INV00000503"/>
    <s v="C00000019"/>
    <s v="Desuki Affela Empire Enterprise"/>
    <x v="132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s v="27/4/2023"/>
    <x v="10"/>
    <x v="4"/>
    <s v="INV00000503"/>
    <s v="C00000019"/>
    <s v="Desuki Affela Empire Enterprise"/>
    <x v="240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s v="27/4/2023"/>
    <x v="10"/>
    <x v="4"/>
    <s v="INV00000503"/>
    <s v="C00000019"/>
    <s v="Desuki Affela Empire Enterprise"/>
    <x v="241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s v="25/4/2023"/>
    <x v="10"/>
    <x v="4"/>
    <s v="INV00000504"/>
    <s v="C00000020"/>
    <s v="WSK Tanks Sdn Bhd"/>
    <x v="121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s v="25/4/2023"/>
    <x v="10"/>
    <x v="4"/>
    <s v="INV00000504"/>
    <s v="C00000020"/>
    <s v="WSK Tanks Sdn Bhd"/>
    <x v="215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s v="28/4/2023"/>
    <x v="10"/>
    <x v="4"/>
    <s v="INV00000505"/>
    <s v="C00000021"/>
    <s v="KT Profesional Fiber"/>
    <x v="118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s v="28/4/2023"/>
    <x v="10"/>
    <x v="4"/>
    <s v="INV00000505"/>
    <s v="C00000021"/>
    <s v="KT Profesional Fiber"/>
    <x v="171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s v="27/4/2023"/>
    <x v="10"/>
    <x v="4"/>
    <s v="INV00000506"/>
    <s v="C00000019"/>
    <s v="Desuki Affela Empire Enterprise"/>
    <x v="242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s v="27/4/2023"/>
    <x v="10"/>
    <x v="4"/>
    <s v="INV00000506"/>
    <s v="C00000019"/>
    <s v="Desuki Affela Empire Enterprise"/>
    <x v="243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d v="2023-05-02T00:00:00"/>
    <x v="11"/>
    <x v="4"/>
    <s v="INV00000507"/>
    <s v="C00000037"/>
    <s v="Suntruck Sdn Bhd"/>
    <x v="120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d v="2023-05-02T00:00:00"/>
    <x v="11"/>
    <x v="4"/>
    <s v="INV00000507"/>
    <s v="C00000037"/>
    <s v="Suntruck Sdn Bhd"/>
    <x v="112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d v="2023-05-02T00:00:00"/>
    <x v="11"/>
    <x v="4"/>
    <s v="INV00000507"/>
    <s v="C00000037"/>
    <s v="Suntruck Sdn Bhd"/>
    <x v="223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d v="2023-05-02T00:00:00"/>
    <x v="11"/>
    <x v="4"/>
    <s v="INV00000508"/>
    <s v="C00000034"/>
    <s v="Cash - ZTY Fibre"/>
    <x v="216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d v="2023-05-02T00:00:00"/>
    <x v="11"/>
    <x v="4"/>
    <s v="INV00000508"/>
    <s v="C00000034"/>
    <s v="Cash - ZTY Fibre"/>
    <x v="171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d v="2023-05-02T00:00:00"/>
    <x v="11"/>
    <x v="4"/>
    <s v="INV00000508"/>
    <s v="C00000034"/>
    <s v="Cash - ZTY Fibre"/>
    <x v="132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d v="2023-05-02T00:00:00"/>
    <x v="11"/>
    <x v="4"/>
    <s v="INV00000508"/>
    <s v="C00000034"/>
    <s v="Cash - ZTY Fibre"/>
    <x v="215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d v="2023-05-02T00:00:00"/>
    <x v="11"/>
    <x v="4"/>
    <s v="INV00000508"/>
    <s v="C00000034"/>
    <s v="Cash - ZTY Fibre"/>
    <x v="219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d v="2023-05-02T00:00:00"/>
    <x v="11"/>
    <x v="4"/>
    <s v="INV00000508"/>
    <s v="C00000034"/>
    <s v="Cash - ZTY Fibre"/>
    <x v="101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d v="2023-05-02T00:00:00"/>
    <x v="11"/>
    <x v="4"/>
    <s v="INV00000509"/>
    <s v="C00000020"/>
    <s v="WSK Tanks Sdn Bhd"/>
    <x v="132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d v="2023-05-02T00:00:00"/>
    <x v="11"/>
    <x v="4"/>
    <s v="INV00000510"/>
    <s v="C00000020"/>
    <s v="WSK Tanks Sdn Bhd"/>
    <x v="120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d v="2023-05-02T00:00:00"/>
    <x v="11"/>
    <x v="4"/>
    <s v="INV00000510"/>
    <s v="C00000020"/>
    <s v="WSK Tanks Sdn Bhd"/>
    <x v="100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d v="2023-05-02T00:00:00"/>
    <x v="11"/>
    <x v="4"/>
    <s v="INV00000510"/>
    <s v="C00000020"/>
    <s v="WSK Tanks Sdn Bhd"/>
    <x v="228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d v="2023-05-02T00:00:00"/>
    <x v="11"/>
    <x v="4"/>
    <s v="INV00000510"/>
    <s v="C00000020"/>
    <s v="WSK Tanks Sdn Bhd"/>
    <x v="106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d v="2023-05-02T00:00:00"/>
    <x v="11"/>
    <x v="4"/>
    <s v="INV00000510"/>
    <s v="C00000020"/>
    <s v="WSK Tanks Sdn Bhd"/>
    <x v="244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d v="2023-05-06T00:00:00"/>
    <x v="11"/>
    <x v="4"/>
    <s v="INV00000511"/>
    <s v="C00000027"/>
    <s v="Transform Star Sdn Bhd"/>
    <x v="118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d v="2023-05-08T00:00:00"/>
    <x v="11"/>
    <x v="4"/>
    <s v="INV00000512"/>
    <s v="C00000034"/>
    <s v="Cash - ZTY Fibre"/>
    <x v="46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d v="2023-05-08T00:00:00"/>
    <x v="11"/>
    <x v="4"/>
    <s v="INV00000512"/>
    <s v="C00000034"/>
    <s v="Cash - ZTY Fibre"/>
    <x v="171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d v="2023-05-08T00:00:00"/>
    <x v="11"/>
    <x v="4"/>
    <s v="INV00000512"/>
    <s v="C00000034"/>
    <s v="Cash - ZTY Fibre"/>
    <x v="132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d v="2023-05-08T00:00:00"/>
    <x v="11"/>
    <x v="4"/>
    <s v="INV00000512"/>
    <s v="C00000034"/>
    <s v="Cash - ZTY Fibre"/>
    <x v="245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d v="2023-05-08T00:00:00"/>
    <x v="11"/>
    <x v="4"/>
    <s v="INV00000513"/>
    <s v="C00000009"/>
    <s v="JMC Steel Engineering Sdn Bhd"/>
    <x v="4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d v="2023-05-08T00:00:00"/>
    <x v="11"/>
    <x v="4"/>
    <s v="INV00000514"/>
    <s v="C00000020"/>
    <s v="WSK Tanks Sdn Bhd"/>
    <x v="132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d v="2023-05-08T00:00:00"/>
    <x v="11"/>
    <x v="4"/>
    <s v="INV00000515"/>
    <s v="C00000020"/>
    <s v="WSK Tanks Sdn Bhd"/>
    <x v="120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d v="2023-05-08T00:00:00"/>
    <x v="11"/>
    <x v="4"/>
    <s v="INV00000515"/>
    <s v="C00000020"/>
    <s v="WSK Tanks Sdn Bhd"/>
    <x v="100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d v="2023-05-08T00:00:00"/>
    <x v="11"/>
    <x v="4"/>
    <s v="INV00000515"/>
    <s v="C00000020"/>
    <s v="WSK Tanks Sdn Bhd"/>
    <x v="228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d v="2023-05-08T00:00:00"/>
    <x v="11"/>
    <x v="4"/>
    <s v="INV00000515"/>
    <s v="C00000020"/>
    <s v="WSK Tanks Sdn Bhd"/>
    <x v="171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d v="2023-05-08T00:00:00"/>
    <x v="11"/>
    <x v="4"/>
    <s v="INV00000515"/>
    <s v="C00000020"/>
    <s v="WSK Tanks Sdn Bhd"/>
    <x v="159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d v="2023-05-08T00:00:00"/>
    <x v="11"/>
    <x v="4"/>
    <s v="INV00000516"/>
    <s v="C00000014"/>
    <s v="IK Fibre Glass Enterprise"/>
    <x v="45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d v="2023-05-08T00:00:00"/>
    <x v="11"/>
    <x v="4"/>
    <s v="INV00000516"/>
    <s v="C00000014"/>
    <s v="IK Fibre Glass Enterprise"/>
    <x v="157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d v="2023-05-08T00:00:00"/>
    <x v="11"/>
    <x v="4"/>
    <s v="INV00000516"/>
    <s v="C00000014"/>
    <s v="IK Fibre Glass Enterprise"/>
    <x v="141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d v="2023-05-08T00:00:00"/>
    <x v="11"/>
    <x v="4"/>
    <s v="INV00000516"/>
    <s v="C00000014"/>
    <s v="IK Fibre Glass Enterprise"/>
    <x v="132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d v="2023-05-08T00:00:00"/>
    <x v="11"/>
    <x v="4"/>
    <s v="INV00000516"/>
    <s v="C00000014"/>
    <s v="IK Fibre Glass Enterprise"/>
    <x v="125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d v="2023-05-08T00:00:00"/>
    <x v="11"/>
    <x v="4"/>
    <s v="INV00000516"/>
    <s v="C00000014"/>
    <s v="IK Fibre Glass Enterprise"/>
    <x v="106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d v="2023-05-08T00:00:00"/>
    <x v="11"/>
    <x v="4"/>
    <s v="INV00000516"/>
    <s v="C00000014"/>
    <s v="IK Fibre Glass Enterprise"/>
    <x v="153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d v="2023-05-08T00:00:00"/>
    <x v="11"/>
    <x v="4"/>
    <s v="INV00000516"/>
    <s v="C00000014"/>
    <s v="IK Fibre Glass Enterprise"/>
    <x v="212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d v="2023-05-12T00:00:00"/>
    <x v="11"/>
    <x v="4"/>
    <s v="INV00000517"/>
    <s v="C00000019"/>
    <s v="Desuki Affela Empire Enterprise"/>
    <x v="120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d v="2023-05-12T00:00:00"/>
    <x v="11"/>
    <x v="4"/>
    <s v="INV00000517"/>
    <s v="C00000019"/>
    <s v="Desuki Affela Empire Enterprise"/>
    <x v="225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d v="2023-05-12T00:00:00"/>
    <x v="11"/>
    <x v="4"/>
    <s v="INV00000517"/>
    <s v="C00000019"/>
    <s v="Desuki Affela Empire Enterprise"/>
    <x v="132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d v="2023-05-12T00:00:00"/>
    <x v="11"/>
    <x v="4"/>
    <s v="INV00000517"/>
    <s v="C00000019"/>
    <s v="Desuki Affela Empire Enterprise"/>
    <x v="182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d v="2023-05-12T00:00:00"/>
    <x v="11"/>
    <x v="4"/>
    <s v="INV00000517"/>
    <s v="C00000019"/>
    <s v="Desuki Affela Empire Enterprise"/>
    <x v="4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d v="2023-05-10T00:00:00"/>
    <x v="11"/>
    <x v="4"/>
    <s v="INV00000518"/>
    <s v="C00000010"/>
    <s v="Yew Seng Gardening Supply Sdn Bhd"/>
    <x v="222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d v="2023-05-10T00:00:00"/>
    <x v="11"/>
    <x v="4"/>
    <s v="INV00000518"/>
    <s v="C00000010"/>
    <s v="Yew Seng Gardening Supply Sdn Bhd"/>
    <x v="246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d v="2023-05-10T00:00:00"/>
    <x v="11"/>
    <x v="4"/>
    <s v="INV00000518"/>
    <s v="C00000010"/>
    <s v="Yew Seng Gardening Supply Sdn Bhd"/>
    <x v="132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d v="2023-05-15T00:00:00"/>
    <x v="11"/>
    <x v="4"/>
    <s v="INV00000519"/>
    <s v="C00000037"/>
    <s v="Suntruck Sdn Bhd"/>
    <x v="120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d v="2023-05-15T00:00:00"/>
    <x v="11"/>
    <x v="4"/>
    <s v="INV00000519"/>
    <s v="C00000037"/>
    <s v="Suntruck Sdn Bhd"/>
    <x v="247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d v="2023-05-15T00:00:00"/>
    <x v="11"/>
    <x v="4"/>
    <s v="INV00000519"/>
    <s v="C00000037"/>
    <s v="Suntruck Sdn Bhd"/>
    <x v="223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d v="2023-05-15T00:00:00"/>
    <x v="11"/>
    <x v="4"/>
    <s v="INV00000519"/>
    <s v="C00000037"/>
    <s v="Suntruck Sdn Bhd"/>
    <x v="171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d v="2023-05-15T00:00:00"/>
    <x v="11"/>
    <x v="4"/>
    <s v="INV00000519"/>
    <s v="C00000037"/>
    <s v="Suntruck Sdn Bhd"/>
    <x v="132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d v="2023-05-15T00:00:00"/>
    <x v="11"/>
    <x v="4"/>
    <s v="INV00000519"/>
    <s v="C00000037"/>
    <s v="Suntruck Sdn Bhd"/>
    <x v="125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d v="2023-05-15T00:00:00"/>
    <x v="11"/>
    <x v="4"/>
    <s v="INV00000519"/>
    <s v="C00000037"/>
    <s v="Suntruck Sdn Bhd"/>
    <x v="248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d v="2023-05-17T00:00:00"/>
    <x v="11"/>
    <x v="4"/>
    <s v="INV00000520"/>
    <s v="C00000003"/>
    <s v="Pandian Art Gallery Manufacturing"/>
    <x v="15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d v="2023-05-17T00:00:00"/>
    <x v="11"/>
    <x v="4"/>
    <s v="INV00000520"/>
    <s v="C00000003"/>
    <s v="Pandian Art Gallery Manufacturing"/>
    <x v="4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d v="2023-05-17T00:00:00"/>
    <x v="11"/>
    <x v="4"/>
    <s v="INV00000521"/>
    <s v="C00000038"/>
    <s v="WSA Engineering Sdn Bhd"/>
    <x v="249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d v="2023-05-17T00:00:00"/>
    <x v="11"/>
    <x v="4"/>
    <s v="INV00000521"/>
    <s v="C00000038"/>
    <s v="WSA Engineering Sdn Bhd"/>
    <x v="170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d v="2023-05-17T00:00:00"/>
    <x v="11"/>
    <x v="4"/>
    <s v="INV00000521"/>
    <s v="C00000038"/>
    <s v="WSA Engineering Sdn Bhd"/>
    <x v="226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d v="2023-05-17T00:00:00"/>
    <x v="11"/>
    <x v="4"/>
    <s v="INV00000521"/>
    <s v="C00000038"/>
    <s v="WSA Engineering Sdn Bhd"/>
    <x v="227"/>
    <n v="1"/>
    <s v="Cash"/>
    <n v="0"/>
    <d v="2023-05-17T00:00:00"/>
    <n v="5"/>
    <n v="2023"/>
    <n v="55"/>
    <n v="-55"/>
    <n v="0"/>
    <n v="3101737.6500000013"/>
    <s v="Trsf"/>
    <s v="Trsf 17/5/23 RM698.00"/>
    <m/>
  </r>
  <r>
    <d v="2023-05-17T00:00:00"/>
    <x v="11"/>
    <x v="4"/>
    <s v="INV00000522"/>
    <s v="C00000021"/>
    <s v="KT Profesional Fiber"/>
    <x v="118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d v="2023-05-17T00:00:00"/>
    <x v="11"/>
    <x v="4"/>
    <s v="INV00000522"/>
    <s v="C00000021"/>
    <s v="KT Profesional Fiber"/>
    <x v="100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d v="2023-05-17T00:00:00"/>
    <x v="11"/>
    <x v="4"/>
    <s v="INV00000522"/>
    <s v="C00000021"/>
    <s v="KT Profesional Fiber"/>
    <x v="171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d v="2023-05-17T00:00:00"/>
    <x v="11"/>
    <x v="4"/>
    <s v="INV00000523"/>
    <s v="C00000013a"/>
    <s v="Cash - PMC Sdn Bhd"/>
    <x v="229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s v="18/5/2023"/>
    <x v="11"/>
    <x v="4"/>
    <s v="INV00000523"/>
    <s v="C00000013a"/>
    <s v="Cash - PMC Sdn Bhd"/>
    <x v="230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s v="18/5/2023"/>
    <x v="11"/>
    <x v="4"/>
    <s v="INV00000523"/>
    <s v="C00000013a"/>
    <s v="Cash - PMC Sdn Bhd"/>
    <x v="231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s v="18/5/2023"/>
    <x v="11"/>
    <x v="4"/>
    <s v="INV00000523"/>
    <s v="C00000013a"/>
    <s v="Cash - PMC Sdn Bhd"/>
    <x v="232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s v="18/5/2023"/>
    <x v="11"/>
    <x v="4"/>
    <s v="INV00000523"/>
    <s v="C00000013a"/>
    <s v="Cash - PMC Sdn Bhd"/>
    <x v="233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s v="18/5/2023"/>
    <x v="11"/>
    <x v="4"/>
    <s v="INV00000523"/>
    <s v="C00000013a"/>
    <s v="Cash - PMC Sdn Bhd"/>
    <x v="234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s v="18/5/2023"/>
    <x v="11"/>
    <x v="4"/>
    <s v="INV00000523"/>
    <s v="C00000013a"/>
    <s v="Cash - PMC Sdn Bhd"/>
    <x v="235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s v="18/5/2023"/>
    <x v="11"/>
    <x v="4"/>
    <s v="INV00000523"/>
    <s v="C00000013a"/>
    <s v="Cash - PMC Sdn Bhd"/>
    <x v="236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s v="18/5/2023"/>
    <x v="11"/>
    <x v="4"/>
    <s v="INV00000524"/>
    <s v="C00000034"/>
    <s v="Cash - ZTY Fibre"/>
    <x v="214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s v="18/5/2023"/>
    <x v="11"/>
    <x v="4"/>
    <s v="INV00000524"/>
    <s v="C00000034"/>
    <s v="Cash - ZTY Fibre"/>
    <x v="132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d v="2023-05-20T00:00:00"/>
    <x v="11"/>
    <x v="4"/>
    <s v="INV00000525"/>
    <s v="C00000034"/>
    <s v="Cash - ZTY Fibre"/>
    <x v="46"/>
    <n v="1"/>
    <s v="Cash"/>
    <n v="0"/>
    <d v="2023-05-20T00:00:00"/>
    <n v="5"/>
    <n v="2023"/>
    <n v="1912.5"/>
    <n v="-1912.5"/>
    <n v="0"/>
    <n v="3123006.4500000011"/>
    <s v="Trsf"/>
    <s v="Trsf 20/5/23 "/>
    <m/>
  </r>
  <r>
    <d v="2023-05-20T00:00:00"/>
    <x v="11"/>
    <x v="4"/>
    <s v="INV00000526"/>
    <s v="C00000020"/>
    <s v="WSK Tanks Sdn Bhd"/>
    <x v="132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d v="2023-05-20T00:00:00"/>
    <x v="11"/>
    <x v="4"/>
    <s v="INV00000527"/>
    <s v="C00000020"/>
    <s v="WSK Tanks Sdn Bhd"/>
    <x v="120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d v="2023-05-20T00:00:00"/>
    <x v="11"/>
    <x v="4"/>
    <s v="INV00000527"/>
    <s v="C00000020"/>
    <s v="WSK Tanks Sdn Bhd"/>
    <x v="100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d v="2023-05-20T00:00:00"/>
    <x v="11"/>
    <x v="4"/>
    <s v="INV00000527"/>
    <s v="C00000020"/>
    <s v="WSK Tanks Sdn Bhd"/>
    <x v="228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d v="2023-05-20T00:00:00"/>
    <x v="11"/>
    <x v="4"/>
    <s v="INV00000527"/>
    <s v="C00000020"/>
    <s v="WSK Tanks Sdn Bhd"/>
    <x v="159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d v="2023-05-20T00:00:00"/>
    <x v="11"/>
    <x v="4"/>
    <s v="INV00000528"/>
    <s v="C00000014"/>
    <s v="IK Fibre Glass Enterprise"/>
    <x v="121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d v="2023-05-25T00:00:00"/>
    <x v="11"/>
    <x v="4"/>
    <s v="INV00000528"/>
    <s v="C00000014"/>
    <s v="IK Fibre Glass Enterprise"/>
    <x v="157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d v="2023-05-25T00:00:00"/>
    <x v="11"/>
    <x v="4"/>
    <s v="INV00000528"/>
    <s v="C00000014"/>
    <s v="IK Fibre Glass Enterprise"/>
    <x v="125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d v="2023-05-25T00:00:00"/>
    <x v="11"/>
    <x v="4"/>
    <s v="INV00000528"/>
    <s v="C00000014"/>
    <s v="IK Fibre Glass Enterprise"/>
    <x v="141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d v="2023-05-25T00:00:00"/>
    <x v="11"/>
    <x v="4"/>
    <s v="INV00000529"/>
    <s v="C00000038"/>
    <s v="WSA Engineering Sdn Bhd"/>
    <x v="250"/>
    <n v="1"/>
    <s v="Cash"/>
    <n v="0"/>
    <d v="2023-05-25T00:00:00"/>
    <n v="5"/>
    <n v="2023"/>
    <n v="350"/>
    <n v="-350"/>
    <n v="0"/>
    <n v="3137845.7500000009"/>
    <s v="Trsf"/>
    <s v="Trsf 25/5/23 "/>
    <m/>
  </r>
  <r>
    <d v="2023-05-26T00:00:00"/>
    <x v="11"/>
    <x v="4"/>
    <s v="INV00000530"/>
    <s v="C00000020"/>
    <s v="WSK Tanks Sdn Bhd"/>
    <x v="120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d v="2023-05-26T00:00:00"/>
    <x v="11"/>
    <x v="4"/>
    <s v="INV00000530"/>
    <s v="C00000020"/>
    <s v="WSK Tanks Sdn Bhd"/>
    <x v="148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d v="2023-05-26T00:00:00"/>
    <x v="11"/>
    <x v="4"/>
    <s v="INV00000530"/>
    <s v="C00000020"/>
    <s v="WSK Tanks Sdn Bhd"/>
    <x v="185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d v="2023-05-26T00:00:00"/>
    <x v="11"/>
    <x v="4"/>
    <s v="INV00000530"/>
    <s v="C00000020"/>
    <s v="WSK Tanks Sdn Bhd"/>
    <x v="132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d v="2023-05-26T00:00:00"/>
    <x v="11"/>
    <x v="4"/>
    <s v="INV00000531"/>
    <s v="C00000009"/>
    <s v="JMC Steel Engineering Sdn Bhd"/>
    <x v="7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d v="2023-05-26T00:00:00"/>
    <x v="11"/>
    <x v="4"/>
    <s v="INV00000531"/>
    <s v="C00000009"/>
    <s v="JMC Steel Engineering Sdn Bhd"/>
    <x v="112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d v="2023-05-26T00:00:00"/>
    <x v="11"/>
    <x v="4"/>
    <s v="INV00000531"/>
    <s v="C00000009"/>
    <s v="JMC Steel Engineering Sdn Bhd"/>
    <x v="125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d v="2023-05-26T00:00:00"/>
    <x v="11"/>
    <x v="4"/>
    <s v="INV00000532"/>
    <s v="C00000014"/>
    <s v="IK Fibre Glass Enterprise"/>
    <x v="45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d v="2023-05-30T00:00:00"/>
    <x v="11"/>
    <x v="4"/>
    <s v="INV00000532"/>
    <s v="C00000014"/>
    <s v="IK Fibre Glass Enterprise"/>
    <x v="157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d v="2023-05-30T00:00:00"/>
    <x v="11"/>
    <x v="4"/>
    <s v="INV00000532"/>
    <s v="C00000014"/>
    <s v="IK Fibre Glass Enterprise"/>
    <x v="141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d v="2023-05-30T00:00:00"/>
    <x v="11"/>
    <x v="4"/>
    <s v="INV00000533"/>
    <s v="C00000034"/>
    <s v="Cash - ZTY Fibre"/>
    <x v="251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d v="2023-05-30T00:00:00"/>
    <x v="11"/>
    <x v="4"/>
    <s v="INV00000533"/>
    <s v="C00000034"/>
    <s v="Cash - ZTY Fibre"/>
    <x v="252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d v="2023-05-31T00:00:00"/>
    <x v="11"/>
    <x v="4"/>
    <s v="INV00000534"/>
    <s v="C00000001"/>
    <s v="Kelnico Marketing"/>
    <x v="118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d v="2023-05-31T00:00:00"/>
    <x v="11"/>
    <x v="4"/>
    <s v="INV00000534"/>
    <s v="C00000001"/>
    <s v="Kelnico Marketing"/>
    <x v="100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d v="2023-05-31T00:00:00"/>
    <x v="11"/>
    <x v="4"/>
    <s v="INV00000534"/>
    <s v="C00000001"/>
    <s v="Kelnico Marketing"/>
    <x v="135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s v="1/6/2023"/>
    <x v="1"/>
    <x v="4"/>
    <s v="INV00000535"/>
    <s v="C00000038"/>
    <s v="WSA Engineering Sdn Bhd"/>
    <x v="250"/>
    <n v="1"/>
    <s v="Cash"/>
    <n v="0"/>
    <d v="2023-06-01T00:00:00"/>
    <n v="6"/>
    <n v="2023"/>
    <n v="350"/>
    <n v="-350"/>
    <n v="0"/>
    <n v="3155307.0500000012"/>
    <s v="Trsf"/>
    <s v="Trsf 1/6/23"/>
    <m/>
  </r>
  <r>
    <s v="3/6/2023"/>
    <x v="1"/>
    <x v="4"/>
    <s v="INV00000536"/>
    <s v="C00000034"/>
    <s v="Cash - ZTY Fibre"/>
    <x v="251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s v="3/6/2023"/>
    <x v="1"/>
    <x v="4"/>
    <s v="INV00000536"/>
    <s v="C00000034"/>
    <s v="Cash - ZTY Fibre"/>
    <x v="247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s v="3/6/2023"/>
    <x v="1"/>
    <x v="4"/>
    <s v="INV00000537"/>
    <s v="C00000019"/>
    <s v="Desuki Affela Empire Enterprise"/>
    <x v="120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s v="3/6/2023"/>
    <x v="1"/>
    <x v="4"/>
    <s v="INV00000537"/>
    <s v="C00000019"/>
    <s v="Desuki Affela Empire Enterprise"/>
    <x v="253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s v="3/6/2023"/>
    <x v="1"/>
    <x v="4"/>
    <s v="INV00000537"/>
    <s v="C00000019"/>
    <s v="Desuki Affela Empire Enterprise"/>
    <x v="132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s v="3/6/2023"/>
    <x v="1"/>
    <x v="4"/>
    <s v="INV00000537"/>
    <s v="C00000019"/>
    <s v="Desuki Affela Empire Enterprise"/>
    <x v="243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s v="3/6/2023"/>
    <x v="1"/>
    <x v="4"/>
    <s v="INV00000537"/>
    <s v="C00000019"/>
    <s v="Desuki Affela Empire Enterprise"/>
    <x v="4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d v="2023-06-07T00:00:00"/>
    <x v="1"/>
    <x v="4"/>
    <s v="INV00000538"/>
    <s v="C00000023"/>
    <s v="Bestway Engineering Solutions"/>
    <x v="120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d v="2023-06-07T00:00:00"/>
    <x v="1"/>
    <x v="4"/>
    <s v="INV00000538"/>
    <s v="C00000023"/>
    <s v="Bestway Engineering Solutions"/>
    <x v="254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d v="2023-06-07T00:00:00"/>
    <x v="1"/>
    <x v="4"/>
    <s v="INV00000538"/>
    <s v="C00000023"/>
    <s v="Bestway Engineering Solutions"/>
    <x v="148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d v="2023-06-07T00:00:00"/>
    <x v="1"/>
    <x v="4"/>
    <s v="INV00000538"/>
    <s v="C00000023"/>
    <s v="Bestway Engineering Solutions"/>
    <x v="132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d v="2023-06-07T00:00:00"/>
    <x v="1"/>
    <x v="4"/>
    <s v="INV00000538"/>
    <s v="C00000023"/>
    <s v="Bestway Engineering Solutions"/>
    <x v="255"/>
    <n v="1"/>
    <s v="Cash"/>
    <n v="0"/>
    <d v="2023-06-07T00:00:00"/>
    <n v="6"/>
    <n v="2023"/>
    <n v="80"/>
    <n v="-80"/>
    <n v="0"/>
    <n v="3169373.2500000014"/>
    <s v="Trsf"/>
    <s v="Trsf 1/6/23 RM3,826.50"/>
    <m/>
  </r>
  <r>
    <d v="2023-06-07T00:00:00"/>
    <x v="1"/>
    <x v="4"/>
    <s v="INV00000538"/>
    <s v="C00000023"/>
    <s v="Bestway Engineering Solutions"/>
    <x v="171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d v="2023-06-06T00:00:00"/>
    <x v="1"/>
    <x v="4"/>
    <s v="INV00000539"/>
    <s v="C00000010"/>
    <s v="Yew Seng Gardening Supply Sdn Bhd"/>
    <x v="222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d v="2023-06-06T00:00:00"/>
    <x v="1"/>
    <x v="4"/>
    <s v="INV00000539"/>
    <s v="C00000010"/>
    <s v="Yew Seng Gardening Supply Sdn Bhd"/>
    <x v="215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d v="2023-06-06T00:00:00"/>
    <x v="1"/>
    <x v="4"/>
    <s v="INV00000539"/>
    <s v="C00000010"/>
    <s v="Yew Seng Gardening Supply Sdn Bhd"/>
    <x v="132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d v="2023-06-06T00:00:00"/>
    <x v="1"/>
    <x v="4"/>
    <s v="INV00000539"/>
    <s v="C00000010"/>
    <s v="Yew Seng Gardening Supply Sdn Bhd"/>
    <x v="4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d v="2023-06-06T00:00:00"/>
    <x v="1"/>
    <x v="4"/>
    <s v="INV00000539"/>
    <s v="C00000010"/>
    <s v="Yew Seng Gardening Supply Sdn Bhd"/>
    <x v="131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d v="2023-06-07T00:00:00"/>
    <x v="1"/>
    <x v="4"/>
    <s v="INV00000540"/>
    <s v="C00000014"/>
    <s v="IK Fibre Glass Enterprise"/>
    <x v="121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d v="2023-06-07T00:00:00"/>
    <x v="1"/>
    <x v="4"/>
    <s v="INV00000540"/>
    <s v="C00000014"/>
    <s v="IK Fibre Glass Enterprise"/>
    <x v="157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d v="2023-06-07T00:00:00"/>
    <x v="1"/>
    <x v="4"/>
    <s v="INV00000540"/>
    <s v="C00000014"/>
    <s v="IK Fibre Glass Enterprise"/>
    <x v="125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d v="2023-06-07T00:00:00"/>
    <x v="1"/>
    <x v="4"/>
    <s v="INV00000540"/>
    <s v="C00000014"/>
    <s v="IK Fibre Glass Enterprise"/>
    <x v="141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d v="2023-06-08T00:00:00"/>
    <x v="1"/>
    <x v="4"/>
    <s v="INV00000541"/>
    <s v="C00000039"/>
    <s v="Bestway Bina Sdn Bhd"/>
    <x v="120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d v="2023-06-08T00:00:00"/>
    <x v="1"/>
    <x v="4"/>
    <s v="INV00000541"/>
    <s v="C00000039"/>
    <s v="Bestway Bina Sdn Bhd"/>
    <x v="148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d v="2023-06-08T00:00:00"/>
    <x v="1"/>
    <x v="4"/>
    <s v="INV00000541"/>
    <s v="C00000039"/>
    <s v="Bestway Bina Sdn Bhd"/>
    <x v="132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d v="2023-06-08T00:00:00"/>
    <x v="1"/>
    <x v="4"/>
    <s v="INV00000541"/>
    <s v="C00000039"/>
    <s v="Bestway Bina Sdn Bhd"/>
    <x v="171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d v="2023-06-09T00:00:00"/>
    <x v="1"/>
    <x v="4"/>
    <s v="INV00000542"/>
    <s v="C00000034"/>
    <s v="Cash - ZTY Fibre"/>
    <x v="216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d v="2023-06-09T00:00:00"/>
    <x v="1"/>
    <x v="4"/>
    <s v="INV00000542"/>
    <s v="C00000034"/>
    <s v="Cash - ZTY Fibre"/>
    <x v="215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d v="2023-06-09T00:00:00"/>
    <x v="1"/>
    <x v="4"/>
    <s v="INV00000542"/>
    <s v="C00000034"/>
    <s v="Cash - ZTY Fibre"/>
    <x v="219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d v="2023-06-09T00:00:00"/>
    <x v="1"/>
    <x v="4"/>
    <s v="INV00000542"/>
    <s v="C00000034"/>
    <s v="Cash - ZTY Fibre"/>
    <x v="256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s v="12/6/2023"/>
    <x v="1"/>
    <x v="4"/>
    <s v="INV00000543"/>
    <s v="C00000034"/>
    <s v="Cash - ZTY Fibre"/>
    <x v="216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s v="12/6/2023"/>
    <x v="1"/>
    <x v="4"/>
    <s v="INV00000543"/>
    <s v="C00000034"/>
    <s v="Cash - ZTY Fibre"/>
    <x v="215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s v="12/6/2023"/>
    <x v="1"/>
    <x v="4"/>
    <s v="INV00000543"/>
    <s v="C00000034"/>
    <s v="Cash - ZTY Fibre"/>
    <x v="219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s v="12/6/2023"/>
    <x v="1"/>
    <x v="4"/>
    <s v="INV00000543"/>
    <s v="C00000034"/>
    <s v="Cash - ZTY Fibre"/>
    <x v="257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s v="12/6/2023"/>
    <x v="1"/>
    <x v="4"/>
    <s v="INV00000543"/>
    <s v="C00000034"/>
    <s v="Cash - ZTY Fibre"/>
    <x v="214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s v="12/6/2023"/>
    <x v="1"/>
    <x v="4"/>
    <s v="INV00000543"/>
    <s v="C00000034"/>
    <s v="Cash - ZTY Fibre"/>
    <x v="132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s v="12/6/2023"/>
    <x v="1"/>
    <x v="4"/>
    <s v="INV00000543"/>
    <s v="C00000034"/>
    <s v="Cash - ZTY Fibre"/>
    <x v="171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d v="2023-06-14T00:00:00"/>
    <x v="1"/>
    <x v="4"/>
    <s v="INV00000544"/>
    <s v="C00000019"/>
    <s v="Desuki Affela Empire Enterprise"/>
    <x v="141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d v="2023-06-14T00:00:00"/>
    <x v="1"/>
    <x v="4"/>
    <s v="INV00000544"/>
    <s v="C00000019"/>
    <s v="Desuki Affela Empire Enterprise"/>
    <x v="258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d v="2023-06-15T00:00:00"/>
    <x v="1"/>
    <x v="4"/>
    <s v="INV00000545"/>
    <s v="C00000014"/>
    <s v="IK Fibre Glass Enterprise"/>
    <x v="121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d v="2023-06-15T00:00:00"/>
    <x v="1"/>
    <x v="4"/>
    <s v="INV00000545"/>
    <s v="C00000014"/>
    <s v="IK Fibre Glass Enterprise"/>
    <x v="157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d v="2023-06-15T00:00:00"/>
    <x v="1"/>
    <x v="4"/>
    <s v="INV00000545"/>
    <s v="C00000014"/>
    <s v="IK Fibre Glass Enterprise"/>
    <x v="125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d v="2023-06-15T00:00:00"/>
    <x v="1"/>
    <x v="4"/>
    <s v="INV00000545"/>
    <s v="C00000014"/>
    <s v="IK Fibre Glass Enterprise"/>
    <x v="141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d v="2023-06-15T00:00:00"/>
    <x v="1"/>
    <x v="4"/>
    <s v="INV00000546"/>
    <s v="C00000038"/>
    <s v="WSA Engineering Sdn Bhd"/>
    <x v="259"/>
    <n v="1"/>
    <s v="Cash"/>
    <n v="0"/>
    <d v="2023-06-15T00:00:00"/>
    <n v="6"/>
    <n v="2023"/>
    <n v="350"/>
    <n v="-350"/>
    <n v="0"/>
    <n v="3204495.0500000012"/>
    <s v="Trsf"/>
    <s v="Trsf 1/6/23 RM590.00"/>
    <m/>
  </r>
  <r>
    <d v="2023-06-15T00:00:00"/>
    <x v="1"/>
    <x v="4"/>
    <s v="INV00000546"/>
    <s v="C00000038"/>
    <s v="WSA Engineering Sdn Bhd"/>
    <x v="226"/>
    <n v="1"/>
    <s v="Cash"/>
    <n v="0"/>
    <d v="2023-06-15T00:00:00"/>
    <n v="6"/>
    <n v="2023"/>
    <n v="105"/>
    <n v="-105"/>
    <n v="0"/>
    <n v="3204600.0500000012"/>
    <s v="Trsf"/>
    <s v="Trsf 1/6/23 RM590.00"/>
    <m/>
  </r>
  <r>
    <d v="2023-06-15T00:00:00"/>
    <x v="1"/>
    <x v="4"/>
    <s v="INV00000546"/>
    <s v="C00000038"/>
    <s v="WSA Engineering Sdn Bhd"/>
    <x v="227"/>
    <n v="1"/>
    <s v="Cash"/>
    <n v="0"/>
    <d v="2023-06-15T00:00:00"/>
    <n v="6"/>
    <n v="2023"/>
    <n v="55"/>
    <n v="-55"/>
    <n v="0"/>
    <n v="3204655.0500000012"/>
    <s v="Trsf"/>
    <s v="Trsf 1/6/23 RM590.00"/>
    <m/>
  </r>
  <r>
    <d v="2023-06-15T00:00:00"/>
    <x v="1"/>
    <x v="4"/>
    <s v="INV00000546"/>
    <s v="C00000038"/>
    <s v="WSA Engineering Sdn Bhd"/>
    <x v="260"/>
    <n v="1"/>
    <s v="Cash"/>
    <n v="0"/>
    <d v="2023-06-15T00:00:00"/>
    <n v="6"/>
    <n v="2023"/>
    <n v="80"/>
    <n v="-80"/>
    <n v="0"/>
    <n v="3204735.0500000012"/>
    <s v="Trsf"/>
    <s v="Trsf 1/6/23 RM590.00"/>
    <m/>
  </r>
  <r>
    <d v="2023-06-15T00:00:00"/>
    <x v="1"/>
    <x v="4"/>
    <s v="INV00000547"/>
    <s v="C00000034"/>
    <s v="Cash - ZTY Fibre"/>
    <x v="216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d v="2023-06-15T00:00:00"/>
    <x v="1"/>
    <x v="4"/>
    <s v="INV00000547"/>
    <s v="C00000034"/>
    <s v="Cash - ZTY Fibre"/>
    <x v="219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d v="2023-06-15T00:00:00"/>
    <x v="1"/>
    <x v="4"/>
    <s v="INV00000547"/>
    <s v="C00000034"/>
    <s v="Cash - ZTY Fibre"/>
    <x v="257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d v="2023-06-15T00:00:00"/>
    <x v="1"/>
    <x v="4"/>
    <s v="INV00000547"/>
    <s v="C00000034"/>
    <s v="Cash - ZTY Fibre"/>
    <x v="214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d v="2023-06-15T00:00:00"/>
    <x v="1"/>
    <x v="4"/>
    <s v="INV00000547"/>
    <s v="C00000034"/>
    <s v="Cash - ZTY Fibre"/>
    <x v="132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s v="16/6/2023"/>
    <x v="1"/>
    <x v="4"/>
    <s v="INV00000548"/>
    <s v="C00000020"/>
    <s v="WSK Tanks Sdn Bhd"/>
    <x v="132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s v="16/6/2023"/>
    <x v="1"/>
    <x v="4"/>
    <s v="INV00000549"/>
    <s v="C00000020"/>
    <s v="WSK Tanks Sdn Bhd"/>
    <x v="120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s v="16/6/2023"/>
    <x v="1"/>
    <x v="4"/>
    <s v="INV00000549"/>
    <s v="C00000020"/>
    <s v="WSK Tanks Sdn Bhd"/>
    <x v="100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s v="16/6/2023"/>
    <x v="1"/>
    <x v="4"/>
    <s v="INV00000549"/>
    <s v="C00000020"/>
    <s v="WSK Tanks Sdn Bhd"/>
    <x v="112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s v="16/6/2023"/>
    <x v="1"/>
    <x v="4"/>
    <s v="INV00000549"/>
    <s v="C00000020"/>
    <s v="WSK Tanks Sdn Bhd"/>
    <x v="101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s v="16/6/2023"/>
    <x v="1"/>
    <x v="4"/>
    <s v="INV00000550"/>
    <s v="C00000013a"/>
    <s v="Cash - PMC Sdn Bhd"/>
    <x v="229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s v="19/6/2023"/>
    <x v="1"/>
    <x v="4"/>
    <s v="INV00000550"/>
    <s v="C00000013a"/>
    <s v="Cash - PMC Sdn Bhd"/>
    <x v="230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s v="19/6/2023"/>
    <x v="1"/>
    <x v="4"/>
    <s v="INV00000550"/>
    <s v="C00000013a"/>
    <s v="Cash - PMC Sdn Bhd"/>
    <x v="231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s v="19/6/2023"/>
    <x v="1"/>
    <x v="4"/>
    <s v="INV00000550"/>
    <s v="C00000013a"/>
    <s v="Cash - PMC Sdn Bhd"/>
    <x v="232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s v="19/6/2023"/>
    <x v="1"/>
    <x v="4"/>
    <s v="INV00000550"/>
    <s v="C00000013a"/>
    <s v="Cash - PMC Sdn Bhd"/>
    <x v="233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s v="19/6/2023"/>
    <x v="1"/>
    <x v="4"/>
    <s v="INV00000550"/>
    <s v="C00000013a"/>
    <s v="Cash - PMC Sdn Bhd"/>
    <x v="234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s v="19/6/2023"/>
    <x v="1"/>
    <x v="4"/>
    <s v="INV00000550"/>
    <s v="C00000013a"/>
    <s v="Cash - PMC Sdn Bhd"/>
    <x v="261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s v="19/6/2023"/>
    <x v="1"/>
    <x v="4"/>
    <s v="INV00000550"/>
    <s v="C00000013a"/>
    <s v="Cash - PMC Sdn Bhd"/>
    <x v="236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s v="19/6/2023"/>
    <x v="1"/>
    <x v="4"/>
    <s v="INV00000550"/>
    <s v="C00000013a"/>
    <s v="Cash - PMC Sdn Bhd"/>
    <x v="237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s v="19/6/2023"/>
    <x v="1"/>
    <x v="4"/>
    <s v="INV00000550"/>
    <s v="C00000013a"/>
    <s v="Cash - PMC Sdn Bhd"/>
    <x v="238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s v="19/6/2023"/>
    <x v="1"/>
    <x v="4"/>
    <s v="INV00000550"/>
    <s v="C00000013a"/>
    <s v="Cash - PMC Sdn Bhd"/>
    <x v="239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s v="19/6/2023"/>
    <x v="1"/>
    <x v="4"/>
    <s v="INV00000550"/>
    <s v="C00000013a"/>
    <s v="Cash - PMC Sdn Bhd"/>
    <x v="262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s v="19/6/2023"/>
    <x v="1"/>
    <x v="4"/>
    <s v="INV00000550"/>
    <s v="C00000013a"/>
    <s v="Cash - PMC Sdn Bhd"/>
    <x v="263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s v="19/6/2023"/>
    <x v="1"/>
    <x v="4"/>
    <s v="INV00000551"/>
    <s v="C00000037"/>
    <s v="Suntruck Sdn Bhd"/>
    <x v="120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s v="19/6/2023"/>
    <x v="1"/>
    <x v="4"/>
    <s v="INV00000551"/>
    <s v="C00000037"/>
    <s v="Suntruck Sdn Bhd"/>
    <x v="112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s v="19/6/2023"/>
    <x v="1"/>
    <x v="4"/>
    <s v="INV00000551"/>
    <s v="C00000037"/>
    <s v="Suntruck Sdn Bhd"/>
    <x v="247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s v="19/6/2023"/>
    <x v="1"/>
    <x v="4"/>
    <s v="INV00000551"/>
    <s v="C00000037"/>
    <s v="Suntruck Sdn Bhd"/>
    <x v="223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s v="19/6/2023"/>
    <x v="1"/>
    <x v="4"/>
    <s v="INV00000551"/>
    <s v="C00000037"/>
    <s v="Suntruck Sdn Bhd"/>
    <x v="171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s v="19/6/2023"/>
    <x v="1"/>
    <x v="4"/>
    <s v="INV00000551"/>
    <s v="C00000037"/>
    <s v="Suntruck Sdn Bhd"/>
    <x v="12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s v="19/6/2023"/>
    <x v="1"/>
    <x v="4"/>
    <s v="INV00000551"/>
    <s v="C00000037"/>
    <s v="Suntruck Sdn Bhd"/>
    <x v="125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s v="19/6/2023"/>
    <x v="1"/>
    <x v="4"/>
    <s v="INV00000551"/>
    <s v="C00000037"/>
    <s v="Suntruck Sdn Bhd"/>
    <x v="248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d v="2023-06-20T00:00:00"/>
    <x v="1"/>
    <x v="4"/>
    <s v="INV00000552"/>
    <s v="C00000034"/>
    <s v="Cash - ZTY Fibre"/>
    <x v="216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s v="20/6/2023"/>
    <x v="1"/>
    <x v="4"/>
    <s v="INV00000553"/>
    <s v="C00000034"/>
    <s v="Cash - ZTY Fibre"/>
    <x v="265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d v="2023-06-21T00:00:00"/>
    <x v="1"/>
    <x v="4"/>
    <s v="INV00000554"/>
    <s v="C00000037"/>
    <s v="Suntruck Sdn Bhd"/>
    <x v="261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d v="2023-06-22T00:00:00"/>
    <x v="1"/>
    <x v="4"/>
    <s v="INV00000555"/>
    <s v="C00000021"/>
    <s v="KT Profesional Fiber"/>
    <x v="118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d v="2023-06-22T00:00:00"/>
    <x v="1"/>
    <x v="4"/>
    <s v="INV00000555"/>
    <s v="C00000021"/>
    <s v="KT Profesional Fiber"/>
    <x v="100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d v="2023-06-22T00:00:00"/>
    <x v="1"/>
    <x v="4"/>
    <s v="INV00000555"/>
    <s v="C00000021"/>
    <s v="KT Profesional Fiber"/>
    <x v="171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d v="2023-06-22T00:00:00"/>
    <x v="1"/>
    <x v="4"/>
    <s v="INV00000556"/>
    <s v="C00000034"/>
    <s v="Cash - ZTY Fibre"/>
    <x v="131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d v="2023-06-22T00:00:00"/>
    <x v="1"/>
    <x v="4"/>
    <s v="INV00000556"/>
    <s v="C00000034"/>
    <s v="Cash - ZTY Fibre"/>
    <x v="132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d v="2023-06-24T00:00:00"/>
    <x v="1"/>
    <x v="4"/>
    <s v="INV00000557"/>
    <s v="C00000014"/>
    <s v="IK Fibre Glass Enterprise"/>
    <x v="125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d v="2023-06-24T00:00:00"/>
    <x v="1"/>
    <x v="4"/>
    <s v="INV00000557"/>
    <s v="C00000014"/>
    <s v="IK Fibre Glass Enterprise"/>
    <x v="141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d v="2023-06-24T00:00:00"/>
    <x v="1"/>
    <x v="4"/>
    <s v="INV00000558"/>
    <s v="C00000019"/>
    <s v="Desuki Affela Empire Enterprise"/>
    <x v="120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d v="2023-06-24T00:00:00"/>
    <x v="1"/>
    <x v="4"/>
    <s v="INV00000558"/>
    <s v="C00000019"/>
    <s v="Desuki Affela Empire Enterprise"/>
    <x v="225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d v="2023-06-24T00:00:00"/>
    <x v="1"/>
    <x v="4"/>
    <s v="INV00000558"/>
    <s v="C00000019"/>
    <s v="Desuki Affela Empire Enterprise"/>
    <x v="132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d v="2023-06-24T00:00:00"/>
    <x v="1"/>
    <x v="4"/>
    <s v="INV00000558"/>
    <s v="C00000019"/>
    <s v="Desuki Affela Empire Enterprise"/>
    <x v="243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d v="2023-06-24T00:00:00"/>
    <x v="1"/>
    <x v="4"/>
    <s v="INV00000558"/>
    <s v="C00000019"/>
    <s v="Desuki Affela Empire Enterprise"/>
    <x v="125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d v="2023-06-26T00:00:00"/>
    <x v="1"/>
    <x v="4"/>
    <s v="INV00000559"/>
    <s v="C00000013a"/>
    <s v="Cash - PMC Sdn Bhd"/>
    <x v="266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d v="2023-06-26T00:00:00"/>
    <x v="1"/>
    <x v="4"/>
    <s v="INV00000559"/>
    <s v="C00000013a"/>
    <s v="Cash - PMC Sdn Bhd"/>
    <x v="170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d v="2023-06-26T00:00:00"/>
    <x v="1"/>
    <x v="4"/>
    <s v="INV00000559"/>
    <s v="C00000013a"/>
    <s v="Cash - PMC Sdn Bhd"/>
    <x v="267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d v="2023-06-26T00:00:00"/>
    <x v="1"/>
    <x v="4"/>
    <s v="INV00000559"/>
    <s v="C00000013a"/>
    <s v="Cash - PMC Sdn Bhd"/>
    <x v="268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d v="2023-06-26T00:00:00"/>
    <x v="1"/>
    <x v="4"/>
    <s v="INV00000559"/>
    <s v="C00000013a"/>
    <s v="Cash - PMC Sdn Bhd"/>
    <x v="269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d v="2023-06-26T00:00:00"/>
    <x v="1"/>
    <x v="4"/>
    <s v="INV00000559"/>
    <s v="C00000013a"/>
    <s v="Cash - PMC Sdn Bhd"/>
    <x v="178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d v="2023-06-26T00:00:00"/>
    <x v="1"/>
    <x v="4"/>
    <s v="INV00000559"/>
    <s v="C00000013a"/>
    <s v="Cash - PMC Sdn Bhd"/>
    <x v="270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d v="2023-06-26T00:00:00"/>
    <x v="1"/>
    <x v="4"/>
    <s v="INV00000559"/>
    <s v="C00000013a"/>
    <s v="Cash - PMC Sdn Bhd"/>
    <x v="271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d v="2023-06-26T00:00:00"/>
    <x v="1"/>
    <x v="4"/>
    <s v="INV00000559"/>
    <s v="C00000013a"/>
    <s v="Cash - PMC Sdn Bhd"/>
    <x v="272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s v="27/6/2023"/>
    <x v="1"/>
    <x v="4"/>
    <s v="INV00000560"/>
    <s v="C00000034"/>
    <s v="Cash - ZTY Fibre"/>
    <x v="216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s v="27/6/2023"/>
    <x v="1"/>
    <x v="4"/>
    <s v="INV00000560"/>
    <s v="C00000034"/>
    <s v="Cash - ZTY Fibre"/>
    <x v="215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s v="27/6/2023"/>
    <x v="1"/>
    <x v="4"/>
    <s v="INV00000560"/>
    <s v="C00000034"/>
    <s v="Cash - ZTY Fibre"/>
    <x v="219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s v="27/6/2023"/>
    <x v="1"/>
    <x v="4"/>
    <s v="INV00000560"/>
    <s v="C00000034"/>
    <s v="Cash - ZTY Fibre"/>
    <x v="257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s v="27/6/2023"/>
    <x v="1"/>
    <x v="4"/>
    <s v="INV00000560"/>
    <s v="C00000034"/>
    <s v="Cash - ZTY Fibre"/>
    <x v="171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s v="27/6/2023"/>
    <x v="1"/>
    <x v="4"/>
    <s v="INV00000560"/>
    <s v="C00000034"/>
    <s v="Cash - ZTY Fibre"/>
    <x v="132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s v="27/6/2023"/>
    <x v="1"/>
    <x v="4"/>
    <s v="INV00000560"/>
    <s v="C00000034"/>
    <s v="Cash - ZTY Fibre"/>
    <x v="273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s v="27/6/2023"/>
    <x v="1"/>
    <x v="4"/>
    <s v="INV00000560"/>
    <s v="C00000034"/>
    <s v="Cash - ZTY Fibre"/>
    <x v="274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d v="2023-06-28T00:00:00"/>
    <x v="1"/>
    <x v="4"/>
    <s v="INV00000561"/>
    <s v="C00000021"/>
    <s v="KT Profesional Fiber"/>
    <x v="118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d v="2023-06-28T00:00:00"/>
    <x v="1"/>
    <x v="4"/>
    <s v="INV00000561"/>
    <s v="C00000021"/>
    <s v="KT Profesional Fiber"/>
    <x v="100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d v="2023-06-28T00:00:00"/>
    <x v="1"/>
    <x v="4"/>
    <s v="INV00000561"/>
    <s v="C00000021"/>
    <s v="KT Profesional Fiber"/>
    <x v="171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s v="1/7/2023"/>
    <x v="2"/>
    <x v="4"/>
    <s v="INV00000562"/>
    <s v="C00000009"/>
    <s v="JMC Steel Engineering Sdn Bhd"/>
    <x v="4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s v="1/7/2023"/>
    <x v="2"/>
    <x v="4"/>
    <s v="INV00000563"/>
    <s v="C00000020"/>
    <s v="WSK Tanks Sdn Bhd"/>
    <x v="132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s v="1/7/2023"/>
    <x v="2"/>
    <x v="4"/>
    <s v="INV00000563"/>
    <s v="C00000020"/>
    <s v="WSK Tanks Sdn Bhd"/>
    <x v="275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d v="2023-07-03T00:00:00"/>
    <x v="2"/>
    <x v="4"/>
    <s v="INV00000564"/>
    <s v="C00000034"/>
    <s v="Cash - ZTY Fibre"/>
    <x v="216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d v="2023-07-03T00:00:00"/>
    <x v="2"/>
    <x v="4"/>
    <s v="INV00000564"/>
    <s v="C00000034"/>
    <s v="Cash - ZTY Fibre"/>
    <x v="219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d v="2023-07-03T00:00:00"/>
    <x v="2"/>
    <x v="4"/>
    <s v="INV00000564"/>
    <s v="C00000034"/>
    <s v="Cash - ZTY Fibre"/>
    <x v="257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d v="2023-07-03T00:00:00"/>
    <x v="2"/>
    <x v="4"/>
    <s v="INV00000564"/>
    <s v="C00000034"/>
    <s v="Cash - ZTY Fibre"/>
    <x v="171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d v="2023-07-03T00:00:00"/>
    <x v="2"/>
    <x v="4"/>
    <s v="INV00000564"/>
    <s v="C00000034"/>
    <s v="Cash - ZTY Fibre"/>
    <x v="132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d v="2023-07-03T00:00:00"/>
    <x v="2"/>
    <x v="4"/>
    <s v="INV00000565"/>
    <s v="C00000034"/>
    <s v="Cash - ZTY Fibre"/>
    <x v="223"/>
    <n v="2"/>
    <s v="Cash"/>
    <n v="0"/>
    <d v="2023-07-03T00:00:00"/>
    <n v="7"/>
    <n v="2023"/>
    <n v="100"/>
    <n v="-100"/>
    <n v="0"/>
    <n v="3303414.0500000012"/>
    <s v="Trsf"/>
    <s v="Trsf 3/7/23 RM100.00"/>
    <m/>
  </r>
  <r>
    <d v="2023-07-04T00:00:00"/>
    <x v="2"/>
    <x v="4"/>
    <s v="INV00000566"/>
    <s v="C00000022"/>
    <s v="SF Engineering Solution"/>
    <x v="276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d v="2023-07-06T00:00:00"/>
    <x v="2"/>
    <x v="4"/>
    <s v="INV00000567"/>
    <s v="C00000027"/>
    <s v="Transform Star Sdn Bhd"/>
    <x v="118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d v="2023-07-06T00:00:00"/>
    <x v="2"/>
    <x v="4"/>
    <s v="INV00000567"/>
    <s v="C00000027"/>
    <s v="Transform Star Sdn Bhd"/>
    <x v="125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d v="2023-07-06T00:00:00"/>
    <x v="2"/>
    <x v="4"/>
    <s v="INV00000567"/>
    <s v="C00000027"/>
    <s v="Transform Star Sdn Bhd"/>
    <x v="141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d v="2023-07-06T00:00:00"/>
    <x v="2"/>
    <x v="4"/>
    <s v="INV00000568"/>
    <s v="C00000014"/>
    <s v="IK Fibre Glass Enterprise"/>
    <x v="45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d v="2023-07-06T00:00:00"/>
    <x v="2"/>
    <x v="4"/>
    <s v="INV00000568"/>
    <s v="C00000014"/>
    <s v="IK Fibre Glass Enterprise"/>
    <x v="157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d v="2023-07-06T00:00:00"/>
    <x v="2"/>
    <x v="4"/>
    <s v="INV00000568"/>
    <s v="C00000014"/>
    <s v="IK Fibre Glass Enterprise"/>
    <x v="171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d v="2023-07-06T00:00:00"/>
    <x v="2"/>
    <x v="4"/>
    <s v="INV00000568"/>
    <s v="C00000014"/>
    <s v="IK Fibre Glass Enterprise"/>
    <x v="277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d v="2023-07-06T00:00:00"/>
    <x v="2"/>
    <x v="4"/>
    <s v="INV00000568"/>
    <s v="C00000014"/>
    <s v="IK Fibre Glass Enterprise"/>
    <x v="125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d v="2023-07-06T00:00:00"/>
    <x v="2"/>
    <x v="4"/>
    <s v="INV00000568"/>
    <s v="C00000014"/>
    <s v="IK Fibre Glass Enterprise"/>
    <x v="153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d v="2023-07-10T00:00:00"/>
    <x v="2"/>
    <x v="4"/>
    <s v="INV00000569"/>
    <s v="C00000010"/>
    <s v="Yew Seng Gardening Supply Sdn Bhd"/>
    <x v="222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d v="2023-07-10T00:00:00"/>
    <x v="2"/>
    <x v="4"/>
    <s v="INV00000569"/>
    <s v="C00000010"/>
    <s v="Yew Seng Gardening Supply Sdn Bhd"/>
    <x v="246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d v="2023-07-10T00:00:00"/>
    <x v="2"/>
    <x v="4"/>
    <s v="INV00000569"/>
    <s v="C00000010"/>
    <s v="Yew Seng Gardening Supply Sdn Bhd"/>
    <x v="132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d v="2023-07-10T00:00:00"/>
    <x v="2"/>
    <x v="4"/>
    <s v="INV00000569"/>
    <s v="C00000010"/>
    <s v="Yew Seng Gardening Supply Sdn Bhd"/>
    <x v="4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d v="2023-07-10T00:00:00"/>
    <x v="2"/>
    <x v="4"/>
    <s v="INV00000569"/>
    <s v="C00000010"/>
    <s v="Yew Seng Gardening Supply Sdn Bhd"/>
    <x v="131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d v="2023-07-10T00:00:00"/>
    <x v="2"/>
    <x v="4"/>
    <s v="INV00000569"/>
    <s v="C00000010"/>
    <s v="Yew Seng Gardening Supply Sdn Bhd"/>
    <x v="48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d v="2023-07-10T00:00:00"/>
    <x v="2"/>
    <x v="4"/>
    <s v="INV00000570"/>
    <s v="C00000034"/>
    <s v="Cash - ZTY Fibre"/>
    <x v="214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d v="2023-07-11T00:00:00"/>
    <x v="2"/>
    <x v="4"/>
    <s v="INV00000571"/>
    <s v="C00000021"/>
    <s v="KT Profesional Fiber"/>
    <x v="118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d v="2023-07-11T00:00:00"/>
    <x v="2"/>
    <x v="4"/>
    <s v="INV00000571"/>
    <s v="C00000021"/>
    <s v="KT Profesional Fiber"/>
    <x v="100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d v="2023-07-11T00:00:00"/>
    <x v="2"/>
    <x v="4"/>
    <s v="INV00000571"/>
    <s v="C00000021"/>
    <s v="KT Profesional Fiber"/>
    <x v="171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d v="2023-07-11T00:00:00"/>
    <x v="2"/>
    <x v="4"/>
    <s v="INV00000572"/>
    <s v="C00000037"/>
    <s v="Suntruck Sdn Bhd"/>
    <x v="223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s v="15/7/2023"/>
    <x v="2"/>
    <x v="4"/>
    <s v="INV00000573"/>
    <s v="C00000034"/>
    <s v="Cash - ZTY Fibre"/>
    <x v="216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9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57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71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32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4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d v="2023-07-17T00:00:00"/>
    <x v="2"/>
    <x v="4"/>
    <s v="INV00000574"/>
    <s v="C00000021"/>
    <s v="KT Profesional Fiber"/>
    <x v="118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d v="2023-07-17T00:00:00"/>
    <x v="2"/>
    <x v="4"/>
    <s v="INV00000574"/>
    <s v="C00000021"/>
    <s v="KT Profesional Fiber"/>
    <x v="100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d v="2023-07-17T00:00:00"/>
    <x v="2"/>
    <x v="4"/>
    <s v="INV00000574"/>
    <s v="C00000021"/>
    <s v="KT Profesional Fiber"/>
    <x v="171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d v="2023-07-17T00:00:00"/>
    <x v="2"/>
    <x v="4"/>
    <s v="INV00000574"/>
    <s v="C00000021"/>
    <s v="KT Profesional Fiber"/>
    <x v="132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s v="18/7/2023"/>
    <x v="2"/>
    <x v="4"/>
    <s v="INV00000575"/>
    <s v="C00000019"/>
    <s v="Desuki Affela Empire Enterprise"/>
    <x v="120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s v="18/7/2023"/>
    <x v="2"/>
    <x v="4"/>
    <s v="INV00000575"/>
    <s v="C00000019"/>
    <s v="Desuki Affela Empire Enterprise"/>
    <x v="225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s v="18/7/2023"/>
    <x v="2"/>
    <x v="4"/>
    <s v="INV00000575"/>
    <s v="C00000019"/>
    <s v="Desuki Affela Empire Enterprise"/>
    <x v="132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s v="18/7/2023"/>
    <x v="2"/>
    <x v="4"/>
    <s v="INV00000575"/>
    <s v="C00000019"/>
    <s v="Desuki Affela Empire Enterprise"/>
    <x v="243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s v="18/7/2023"/>
    <x v="2"/>
    <x v="4"/>
    <s v="INV00000575"/>
    <s v="C00000019"/>
    <s v="Desuki Affela Empire Enterprise"/>
    <x v="4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s v="18/7/2023"/>
    <x v="2"/>
    <x v="4"/>
    <s v="INV00000575"/>
    <s v="C00000019"/>
    <s v="Desuki Affela Empire Enterprise"/>
    <x v="153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d v="2023-07-26T00:00:00"/>
    <x v="2"/>
    <x v="4"/>
    <s v="INV00000576"/>
    <s v="C00000020"/>
    <s v="WSK Tanks Sdn Bhd"/>
    <x v="132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d v="2023-07-20T00:00:00"/>
    <x v="2"/>
    <x v="4"/>
    <s v="INV00000577"/>
    <s v="C00000019"/>
    <s v="Desuki Affela Empire Enterprise"/>
    <x v="131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d v="2023-07-21T00:00:00"/>
    <x v="2"/>
    <x v="4"/>
    <s v="INV00000578"/>
    <s v="C00000010"/>
    <s v="Yew Seng Gardening Supply Sdn Bhd"/>
    <x v="222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d v="2023-07-21T00:00:00"/>
    <x v="2"/>
    <x v="4"/>
    <s v="INV00000578"/>
    <s v="C00000010"/>
    <s v="Yew Seng Gardening Supply Sdn Bhd"/>
    <x v="246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d v="2023-07-21T00:00:00"/>
    <x v="2"/>
    <x v="4"/>
    <s v="INV00000578"/>
    <s v="C00000010"/>
    <s v="Yew Seng Gardening Supply Sdn Bhd"/>
    <x v="132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d v="2023-07-21T00:00:00"/>
    <x v="2"/>
    <x v="4"/>
    <s v="INV00000579"/>
    <s v="C00000037"/>
    <s v="Suntruck Sdn Bhd"/>
    <x v="120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d v="2023-07-21T00:00:00"/>
    <x v="2"/>
    <x v="4"/>
    <s v="INV00000579"/>
    <s v="C00000037"/>
    <s v="Suntruck Sdn Bhd"/>
    <x v="112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d v="2023-07-21T00:00:00"/>
    <x v="2"/>
    <x v="4"/>
    <s v="INV00000579"/>
    <s v="C00000037"/>
    <s v="Suntruck Sdn Bhd"/>
    <x v="223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d v="2023-07-21T00:00:00"/>
    <x v="2"/>
    <x v="4"/>
    <s v="INV00000579"/>
    <s v="C00000037"/>
    <s v="Suntruck Sdn Bhd"/>
    <x v="171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d v="2023-07-21T00:00:00"/>
    <x v="2"/>
    <x v="4"/>
    <s v="INV00000579"/>
    <s v="C00000037"/>
    <s v="Suntruck Sdn Bhd"/>
    <x v="132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d v="2023-07-21T00:00:00"/>
    <x v="2"/>
    <x v="4"/>
    <s v="INV00000579"/>
    <s v="C00000037"/>
    <s v="Suntruck Sdn Bhd"/>
    <x v="125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d v="2023-07-21T00:00:00"/>
    <x v="2"/>
    <x v="4"/>
    <s v="INV00000579"/>
    <s v="C00000037"/>
    <s v="Suntruck Sdn Bhd"/>
    <x v="248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d v="2023-07-24T00:00:00"/>
    <x v="2"/>
    <x v="4"/>
    <s v="INV00000580"/>
    <s v="C00000034"/>
    <s v="Cash - ZTY Fibre"/>
    <x v="216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d v="2023-07-24T00:00:00"/>
    <x v="2"/>
    <x v="4"/>
    <s v="INV00000580"/>
    <s v="C00000034"/>
    <s v="Cash - ZTY Fibre"/>
    <x v="219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d v="2023-07-24T00:00:00"/>
    <x v="2"/>
    <x v="4"/>
    <s v="INV00000580"/>
    <s v="C00000034"/>
    <s v="Cash - ZTY Fibre"/>
    <x v="257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d v="2023-07-24T00:00:00"/>
    <x v="2"/>
    <x v="4"/>
    <s v="INV00000580"/>
    <s v="C00000034"/>
    <s v="Cash - ZTY Fibre"/>
    <x v="171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d v="2023-07-24T00:00:00"/>
    <x v="2"/>
    <x v="4"/>
    <s v="INV00000580"/>
    <s v="C00000034"/>
    <s v="Cash - ZTY Fibre"/>
    <x v="132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d v="2023-07-25T00:00:00"/>
    <x v="2"/>
    <x v="4"/>
    <s v="INV00000581"/>
    <s v="C00000038"/>
    <s v="WSA Engineering Sdn Bhd"/>
    <x v="259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d v="2023-07-25T00:00:00"/>
    <x v="2"/>
    <x v="4"/>
    <s v="INV00000581"/>
    <s v="C00000038"/>
    <s v="WSA Engineering Sdn Bhd"/>
    <x v="227"/>
    <n v="1"/>
    <s v="Cash"/>
    <n v="0"/>
    <d v="2023-07-25T00:00:00"/>
    <n v="7"/>
    <n v="2023"/>
    <n v="55"/>
    <n v="-55"/>
    <n v="0"/>
    <n v="3373546.4500000011"/>
    <s v="Trsf"/>
    <s v="Trsf 25/7/23 RM405.00"/>
    <m/>
  </r>
  <r>
    <s v="26/7/2023"/>
    <x v="2"/>
    <x v="4"/>
    <s v="INV00000582"/>
    <s v="C00000020"/>
    <s v="WSK Tanks Sdn Bhd"/>
    <x v="278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s v="26/7/2023"/>
    <x v="2"/>
    <x v="4"/>
    <s v="INV00000582"/>
    <s v="C00000020"/>
    <s v="WSK Tanks Sdn Bhd"/>
    <x v="148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s v="26/7/2023"/>
    <x v="2"/>
    <x v="4"/>
    <s v="INV00000582"/>
    <s v="C00000020"/>
    <s v="WSK Tanks Sdn Bhd"/>
    <x v="128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s v="26/7/2023"/>
    <x v="2"/>
    <x v="4"/>
    <s v="INV00000582"/>
    <s v="C00000020"/>
    <s v="WSK Tanks Sdn Bhd"/>
    <x v="171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s v="26/7/2023"/>
    <x v="2"/>
    <x v="4"/>
    <s v="INV00000582"/>
    <s v="C00000020"/>
    <s v="WSK Tanks Sdn Bhd"/>
    <x v="159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d v="2023-07-27T00:00:00"/>
    <x v="2"/>
    <x v="4"/>
    <s v="INV00000583"/>
    <s v="C00000021"/>
    <s v="KT Profesional Fiber"/>
    <x v="118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d v="2023-07-27T00:00:00"/>
    <x v="2"/>
    <x v="4"/>
    <s v="INV00000583"/>
    <s v="C00000021"/>
    <s v="KT Profesional Fiber"/>
    <x v="100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d v="2023-07-27T00:00:00"/>
    <x v="2"/>
    <x v="4"/>
    <s v="INV00000583"/>
    <s v="C00000021"/>
    <s v="KT Profesional Fiber"/>
    <x v="171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d v="2023-07-27T00:00:00"/>
    <x v="2"/>
    <x v="4"/>
    <s v="INV00000583"/>
    <s v="C00000021"/>
    <s v="KT Profesional Fiber"/>
    <x v="134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d v="2023-07-27T00:00:00"/>
    <x v="2"/>
    <x v="4"/>
    <s v="INV00000584"/>
    <s v="C00000020"/>
    <s v="WSK Tanks Sdn Bhd"/>
    <x v="132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d v="2023-07-27T00:00:00"/>
    <x v="2"/>
    <x v="4"/>
    <s v="INV00000585"/>
    <s v="C00000020"/>
    <s v="WSK Tanks Sdn Bhd"/>
    <x v="278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d v="2023-07-27T00:00:00"/>
    <x v="2"/>
    <x v="4"/>
    <s v="INV00000585"/>
    <s v="C00000020"/>
    <s v="WSK Tanks Sdn Bhd"/>
    <x v="148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d v="2023-07-27T00:00:00"/>
    <x v="2"/>
    <x v="4"/>
    <s v="INV00000585"/>
    <s v="C00000020"/>
    <s v="WSK Tanks Sdn Bhd"/>
    <x v="128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d v="2023-07-27T00:00:00"/>
    <x v="2"/>
    <x v="4"/>
    <s v="INV00000586"/>
    <s v="C00000003"/>
    <s v="Pandian Art Gallery Manufacturing"/>
    <x v="15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d v="2023-07-28T00:00:00"/>
    <x v="2"/>
    <x v="4"/>
    <s v="INV00000586"/>
    <s v="C00000003"/>
    <s v="Pandian Art Gallery Manufacturing"/>
    <x v="4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d v="2023-07-31T00:00:00"/>
    <x v="2"/>
    <x v="4"/>
    <s v="INV00000587"/>
    <s v="C00000013a"/>
    <s v="Cash - PMC Sdn Bhd"/>
    <x v="15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d v="2023-07-31T00:00:00"/>
    <x v="2"/>
    <x v="4"/>
    <s v="INV00000587"/>
    <s v="C00000013a"/>
    <s v="Cash - PMC Sdn Bhd"/>
    <x v="279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d v="2023-07-31T00:00:00"/>
    <x v="2"/>
    <x v="4"/>
    <s v="INV00000587"/>
    <s v="C00000013a"/>
    <s v="Cash - PMC Sdn Bhd"/>
    <x v="280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d v="2023-07-31T00:00:00"/>
    <x v="2"/>
    <x v="4"/>
    <s v="INV00000587"/>
    <s v="C00000013a"/>
    <s v="Cash - PMC Sdn Bhd"/>
    <x v="267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d v="2023-07-31T00:00:00"/>
    <x v="2"/>
    <x v="4"/>
    <s v="INV00000587"/>
    <s v="C00000013a"/>
    <s v="Cash - PMC Sdn Bhd"/>
    <x v="281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d v="2023-07-31T00:00:00"/>
    <x v="2"/>
    <x v="4"/>
    <s v="INV00000587"/>
    <s v="C00000013a"/>
    <s v="Cash - PMC Sdn Bhd"/>
    <x v="243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d v="2023-07-31T00:00:00"/>
    <x v="2"/>
    <x v="4"/>
    <s v="INV00000587"/>
    <s v="C00000013a"/>
    <s v="Cash - PMC Sdn Bhd"/>
    <x v="282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d v="2023-07-31T00:00:00"/>
    <x v="2"/>
    <x v="4"/>
    <s v="INV00000587"/>
    <s v="C00000013a"/>
    <s v="Cash - PMC Sdn Bhd"/>
    <x v="283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d v="2023-07-31T00:00:00"/>
    <x v="2"/>
    <x v="4"/>
    <s v="INV00000587"/>
    <s v="C00000013a"/>
    <s v="Cash - PMC Sdn Bhd"/>
    <x v="104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d v="2023-07-31T00:00:00"/>
    <x v="2"/>
    <x v="4"/>
    <s v="INV00000587"/>
    <s v="C00000013a"/>
    <s v="Cash - PMC Sdn Bhd"/>
    <x v="284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d v="2023-07-31T00:00:00"/>
    <x v="2"/>
    <x v="4"/>
    <s v="INV00000587"/>
    <s v="C00000013a"/>
    <s v="Cash - PMC Sdn Bhd"/>
    <x v="285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d v="2023-08-01T00:00:00"/>
    <x v="3"/>
    <x v="4"/>
    <s v="INV00000588"/>
    <s v="C00000034"/>
    <s v="Cash - ZTY Fibre"/>
    <x v="131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d v="2023-08-01T00:00:00"/>
    <x v="3"/>
    <x v="4"/>
    <s v="INV00000588"/>
    <s v="C00000034"/>
    <s v="Cash - ZTY Fibre"/>
    <x v="219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d v="2023-08-01T00:00:00"/>
    <x v="3"/>
    <x v="4"/>
    <s v="INV00000588"/>
    <s v="C00000034"/>
    <s v="Cash - ZTY Fibre"/>
    <x v="286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d v="2023-08-01T00:00:00"/>
    <x v="3"/>
    <x v="4"/>
    <s v="INV00000589"/>
    <s v="C00000009"/>
    <s v="JMC Steel Engineering Sdn Bhd"/>
    <x v="222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d v="2023-08-01T00:00:00"/>
    <x v="3"/>
    <x v="4"/>
    <s v="INV00000590"/>
    <s v="C00000014"/>
    <s v="IK Fibre Glass Enterprise"/>
    <x v="45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d v="2023-08-01T00:00:00"/>
    <x v="3"/>
    <x v="4"/>
    <s v="INV00000590"/>
    <s v="C00000014"/>
    <s v="IK Fibre Glass Enterprise"/>
    <x v="157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d v="2023-08-01T00:00:00"/>
    <x v="3"/>
    <x v="4"/>
    <s v="INV00000590"/>
    <s v="C00000014"/>
    <s v="IK Fibre Glass Enterprise"/>
    <x v="132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d v="2023-08-02T00:00:00"/>
    <x v="3"/>
    <x v="4"/>
    <s v="INV00000591"/>
    <s v="C00000010"/>
    <s v="Yew Seng Gardening Supply Sdn Bhd"/>
    <x v="188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d v="2023-08-02T00:00:00"/>
    <x v="3"/>
    <x v="4"/>
    <s v="INV00000591"/>
    <s v="C00000010"/>
    <s v="Yew Seng Gardening Supply Sdn Bhd"/>
    <x v="246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d v="2023-08-02T00:00:00"/>
    <x v="3"/>
    <x v="4"/>
    <s v="INV00000591"/>
    <s v="C00000010"/>
    <s v="Yew Seng Gardening Supply Sdn Bhd"/>
    <x v="132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d v="2023-08-02T00:00:00"/>
    <x v="3"/>
    <x v="4"/>
    <s v="INV00000591"/>
    <s v="C00000010"/>
    <s v="Yew Seng Gardening Supply Sdn Bhd"/>
    <x v="4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d v="2023-08-02T00:00:00"/>
    <x v="3"/>
    <x v="4"/>
    <s v="INV00000591"/>
    <s v="C00000010"/>
    <s v="Yew Seng Gardening Supply Sdn Bhd"/>
    <x v="131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d v="2023-08-02T00:00:00"/>
    <x v="3"/>
    <x v="4"/>
    <s v="INV00000591"/>
    <s v="C00000010"/>
    <s v="Yew Seng Gardening Supply Sdn Bhd"/>
    <x v="48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d v="2023-08-03T00:00:00"/>
    <x v="3"/>
    <x v="4"/>
    <s v="INV00000592"/>
    <s v="C00000006"/>
    <s v="Perniagaan Fibra Sahih"/>
    <x v="7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d v="2023-08-03T00:00:00"/>
    <x v="3"/>
    <x v="4"/>
    <s v="INV00000592"/>
    <s v="C00000006"/>
    <s v="Perniagaan Fibra Sahih"/>
    <x v="246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d v="2023-08-03T00:00:00"/>
    <x v="3"/>
    <x v="4"/>
    <s v="INV00000592"/>
    <s v="C00000006"/>
    <s v="Perniagaan Fibra Sahih"/>
    <x v="286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d v="2023-08-04T00:00:00"/>
    <x v="3"/>
    <x v="4"/>
    <s v="INV00000593"/>
    <s v="C00000019"/>
    <s v="Desuki Affela Empire Enterprise"/>
    <x v="7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d v="2023-08-04T00:00:00"/>
    <x v="3"/>
    <x v="4"/>
    <s v="INV00000593"/>
    <s v="C00000019"/>
    <s v="Desuki Affela Empire Enterprise"/>
    <x v="132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d v="2023-08-04T00:00:00"/>
    <x v="3"/>
    <x v="4"/>
    <s v="INV00000593"/>
    <s v="C00000019"/>
    <s v="Desuki Affela Empire Enterprise"/>
    <x v="243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d v="2023-08-04T00:00:00"/>
    <x v="3"/>
    <x v="4"/>
    <s v="INV00000593"/>
    <s v="C00000019"/>
    <s v="Desuki Affela Empire Enterprise"/>
    <x v="131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d v="2023-08-04T00:00:00"/>
    <x v="3"/>
    <x v="4"/>
    <s v="INV00000593"/>
    <s v="C00000019"/>
    <s v="Desuki Affela Empire Enterprise"/>
    <x v="241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d v="2023-08-04T00:00:00"/>
    <x v="3"/>
    <x v="4"/>
    <s v="INV00000593"/>
    <s v="C00000019"/>
    <s v="Desuki Affela Empire Enterprise"/>
    <x v="141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d v="2023-08-04T00:00:00"/>
    <x v="3"/>
    <x v="4"/>
    <s v="INV00000593"/>
    <s v="C00000019"/>
    <s v="Desuki Affela Empire Enterprise"/>
    <x v="258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d v="2023-08-04T00:00:00"/>
    <x v="3"/>
    <x v="4"/>
    <s v="INV00000593"/>
    <s v="C00000019"/>
    <s v="Desuki Affela Empire Enterprise"/>
    <x v="242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d v="2023-08-04T00:00:00"/>
    <x v="3"/>
    <x v="4"/>
    <s v="INV00000594"/>
    <s v="C00000020"/>
    <s v="WSK Tanks Sdn Bhd"/>
    <x v="278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d v="2023-08-04T00:00:00"/>
    <x v="3"/>
    <x v="4"/>
    <s v="INV00000594"/>
    <s v="C00000020"/>
    <s v="WSK Tanks Sdn Bhd"/>
    <x v="148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d v="2023-08-04T00:00:00"/>
    <x v="3"/>
    <x v="4"/>
    <s v="INV00000594"/>
    <s v="C00000020"/>
    <s v="WSK Tanks Sdn Bhd"/>
    <x v="128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d v="2023-08-04T00:00:00"/>
    <x v="3"/>
    <x v="4"/>
    <s v="INV00000594"/>
    <s v="C00000020"/>
    <s v="WSK Tanks Sdn Bhd"/>
    <x v="159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d v="2023-08-07T00:00:00"/>
    <x v="3"/>
    <x v="4"/>
    <s v="INV00000595"/>
    <s v="C00000014"/>
    <s v="IK Fibre Glass Enterprise"/>
    <x v="98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d v="2023-08-07T00:00:00"/>
    <x v="3"/>
    <x v="4"/>
    <s v="INV00000595"/>
    <s v="C00000014"/>
    <s v="IK Fibre Glass Enterprise"/>
    <x v="287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d v="2023-08-07T00:00:00"/>
    <x v="3"/>
    <x v="4"/>
    <s v="INV00000595"/>
    <s v="C00000014"/>
    <s v="IK Fibre Glass Enterprise"/>
    <x v="288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d v="2023-08-07T00:00:00"/>
    <x v="3"/>
    <x v="4"/>
    <s v="INV00000595"/>
    <s v="C00000014"/>
    <s v="IK Fibre Glass Enterprise"/>
    <x v="289"/>
    <n v="1"/>
    <s v="Cash"/>
    <n v="0"/>
    <d v="2023-08-07T00:00:00"/>
    <n v="8"/>
    <n v="2023"/>
    <n v="0"/>
    <n v="0"/>
    <n v="0"/>
    <n v="3448978.6500000008"/>
    <s v="Cash"/>
    <s v="Cash 10/8/23 RM1,088.00"/>
    <m/>
  </r>
  <r>
    <d v="2023-08-07T00:00:00"/>
    <x v="3"/>
    <x v="4"/>
    <s v="INV00000596"/>
    <s v="C00000020"/>
    <s v="WSK Tanks Sdn Bhd"/>
    <x v="132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d v="2023-08-07T00:00:00"/>
    <x v="3"/>
    <x v="4"/>
    <s v="INV00000597"/>
    <s v="C00000020"/>
    <s v="WSK Tanks Sdn Bhd"/>
    <x v="278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d v="2023-08-07T00:00:00"/>
    <x v="3"/>
    <x v="4"/>
    <s v="INV00000597"/>
    <s v="C00000020"/>
    <s v="WSK Tanks Sdn Bhd"/>
    <x v="148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d v="2023-08-07T00:00:00"/>
    <x v="3"/>
    <x v="4"/>
    <s v="INV00000597"/>
    <s v="C00000020"/>
    <s v="WSK Tanks Sdn Bhd"/>
    <x v="128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d v="2023-08-07T00:00:00"/>
    <x v="3"/>
    <x v="4"/>
    <s v="INV00000597"/>
    <s v="C00000020"/>
    <s v="WSK Tanks Sdn Bhd"/>
    <x v="159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d v="2023-08-07T00:00:00"/>
    <x v="3"/>
    <x v="4"/>
    <s v="INV00000598"/>
    <s v="C00000034"/>
    <s v="Cash - ZTY Fibre"/>
    <x v="219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d v="2023-08-07T00:00:00"/>
    <x v="3"/>
    <x v="4"/>
    <s v="INV00000598"/>
    <s v="C00000034"/>
    <s v="Cash - ZTY Fibre"/>
    <x v="214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d v="2023-08-08T00:00:00"/>
    <x v="3"/>
    <x v="4"/>
    <s v="INV00000599"/>
    <s v="C00000037"/>
    <s v="Suntruck Sdn Bhd"/>
    <x v="112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d v="2023-08-08T00:00:00"/>
    <x v="3"/>
    <x v="4"/>
    <s v="INV00000599"/>
    <s v="C00000037"/>
    <s v="Suntruck Sdn Bhd"/>
    <x v="223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d v="2023-08-09T00:00:00"/>
    <x v="3"/>
    <x v="4"/>
    <s v="INV00000600"/>
    <s v="C00000009"/>
    <s v="JMC Steel Engineering Sdn Bhd"/>
    <x v="4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d v="2023-08-14T00:00:00"/>
    <x v="3"/>
    <x v="4"/>
    <s v="INV00000601"/>
    <s v="C00000034"/>
    <s v="Cash - ZTY Fibre"/>
    <x v="223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d v="2023-08-14T00:00:00"/>
    <x v="3"/>
    <x v="4"/>
    <s v="INV00000601"/>
    <s v="C00000034"/>
    <s v="Cash - ZTY Fibre"/>
    <x v="214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d v="2023-08-15T00:00:00"/>
    <x v="3"/>
    <x v="4"/>
    <s v="INV00000602"/>
    <s v="C00000039"/>
    <s v="Bestway Bina Sdn Bhd"/>
    <x v="113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d v="2023-08-15T00:00:00"/>
    <x v="3"/>
    <x v="4"/>
    <s v="INV00000602"/>
    <s v="C00000039"/>
    <s v="Bestway Bina Sdn Bhd"/>
    <x v="148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d v="2023-08-15T00:00:00"/>
    <x v="3"/>
    <x v="4"/>
    <s v="INV00000602"/>
    <s v="C00000039"/>
    <s v="Bestway Bina Sdn Bhd"/>
    <x v="132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d v="2023-08-15T00:00:00"/>
    <x v="3"/>
    <x v="4"/>
    <s v="INV00000602"/>
    <s v="C00000039"/>
    <s v="Bestway Bina Sdn Bhd"/>
    <x v="171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d v="2023-08-15T00:00:00"/>
    <x v="3"/>
    <x v="4"/>
    <s v="INV00000603"/>
    <s v="C00000019"/>
    <s v="Desuki Affela Empire Enterprise"/>
    <x v="7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s v="15/8/2023"/>
    <x v="3"/>
    <x v="4"/>
    <s v="INV00000604"/>
    <s v="C00000020"/>
    <s v="WSK Tanks Sdn Bhd"/>
    <x v="132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s v="15/8/2023"/>
    <x v="3"/>
    <x v="4"/>
    <s v="INV00000605"/>
    <s v="C00000020"/>
    <s v="WSK Tanks Sdn Bhd"/>
    <x v="278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s v="15/8/2023"/>
    <x v="3"/>
    <x v="4"/>
    <s v="INV00000605"/>
    <s v="C00000020"/>
    <s v="WSK Tanks Sdn Bhd"/>
    <x v="148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s v="15/8/2023"/>
    <x v="3"/>
    <x v="4"/>
    <s v="INV00000605"/>
    <s v="C00000020"/>
    <s v="WSK Tanks Sdn Bhd"/>
    <x v="128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s v="15/8/2023"/>
    <x v="3"/>
    <x v="4"/>
    <s v="INV00000605"/>
    <s v="C00000020"/>
    <s v="WSK Tanks Sdn Bhd"/>
    <x v="171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d v="2023-08-16T00:00:00"/>
    <x v="3"/>
    <x v="4"/>
    <s v="INV00000606"/>
    <s v="C00000034"/>
    <s v="Cash - ZTY Fibre"/>
    <x v="216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d v="2023-08-16T00:00:00"/>
    <x v="3"/>
    <x v="4"/>
    <s v="INV00000606"/>
    <s v="C00000034"/>
    <s v="Cash - ZTY Fibre"/>
    <x v="219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d v="2023-08-16T00:00:00"/>
    <x v="3"/>
    <x v="4"/>
    <s v="INV00000606"/>
    <s v="C00000034"/>
    <s v="Cash - ZTY Fibre"/>
    <x v="215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d v="2023-08-16T00:00:00"/>
    <x v="3"/>
    <x v="4"/>
    <s v="INV00000606"/>
    <s v="C00000034"/>
    <s v="Cash - ZTY Fibre"/>
    <x v="290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d v="2023-08-16T00:00:00"/>
    <x v="3"/>
    <x v="4"/>
    <s v="INV00000606"/>
    <s v="C00000034"/>
    <s v="Cash - ZTY Fibre"/>
    <x v="171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d v="2023-08-16T00:00:00"/>
    <x v="3"/>
    <x v="4"/>
    <s v="INV00000606"/>
    <s v="C00000034"/>
    <s v="Cash - ZTY Fibre"/>
    <x v="132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d v="2023-08-16T00:00:00"/>
    <x v="3"/>
    <x v="4"/>
    <s v="INV00000606"/>
    <s v="C00000034"/>
    <s v="Cash - ZTY Fibre"/>
    <x v="223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d v="2023-08-16T00:00:00"/>
    <x v="3"/>
    <x v="4"/>
    <s v="INV00000606"/>
    <s v="C00000034"/>
    <s v="Cash - ZTY Fibre"/>
    <x v="291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d v="2023-08-16T00:00:00"/>
    <x v="3"/>
    <x v="4"/>
    <s v="INV00000606"/>
    <s v="C00000034"/>
    <s v="Cash - ZTY Fibre"/>
    <x v="273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d v="2023-08-16T00:00:00"/>
    <x v="3"/>
    <x v="4"/>
    <s v="INV00000607"/>
    <s v="C00000003"/>
    <s v="Pandian Art Gallery Manufacturing"/>
    <x v="219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d v="2023-08-16T00:00:00"/>
    <x v="3"/>
    <x v="4"/>
    <s v="INV00000607"/>
    <s v="C00000003"/>
    <s v="Pandian Art Gallery Manufacturing"/>
    <x v="132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d v="2023-08-16T00:00:00"/>
    <x v="3"/>
    <x v="4"/>
    <s v="INV00000607"/>
    <s v="C00000003"/>
    <s v="Pandian Art Gallery Manufacturing"/>
    <x v="223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d v="2023-08-17T00:00:00"/>
    <x v="3"/>
    <x v="4"/>
    <s v="INV00000608"/>
    <s v="C00000014"/>
    <s v="IK Fibre Glass Enterprise"/>
    <x v="45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d v="2023-08-17T00:00:00"/>
    <x v="3"/>
    <x v="4"/>
    <s v="INV00000608"/>
    <s v="C00000014"/>
    <s v="IK Fibre Glass Enterprise"/>
    <x v="157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d v="2023-08-17T00:00:00"/>
    <x v="3"/>
    <x v="4"/>
    <s v="INV00000608"/>
    <s v="C00000014"/>
    <s v="IK Fibre Glass Enterprise"/>
    <x v="242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d v="2023-08-17T00:00:00"/>
    <x v="3"/>
    <x v="4"/>
    <s v="INV00000608"/>
    <s v="C00000014"/>
    <s v="IK Fibre Glass Enterprise"/>
    <x v="141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d v="2023-08-17T00:00:00"/>
    <x v="3"/>
    <x v="4"/>
    <s v="INV00000609"/>
    <s v="C00000019"/>
    <s v="Desuki Affela Empire Enterprise"/>
    <x v="132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d v="2023-08-21T00:00:00"/>
    <x v="3"/>
    <x v="4"/>
    <s v="INV00000610"/>
    <s v="C00000006"/>
    <s v="Perniagaan Fibra Sahih"/>
    <x v="7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d v="2023-08-21T00:00:00"/>
    <x v="3"/>
    <x v="4"/>
    <s v="INV00000610"/>
    <s v="C00000006"/>
    <s v="Perniagaan Fibra Sahih"/>
    <x v="246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d v="2023-08-22T00:00:00"/>
    <x v="3"/>
    <x v="4"/>
    <s v="INV00000611"/>
    <s v="C00000037"/>
    <s v="Suntruck Sdn Bhd"/>
    <x v="120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d v="2023-08-22T00:00:00"/>
    <x v="3"/>
    <x v="4"/>
    <s v="INV00000611"/>
    <s v="C00000037"/>
    <s v="Suntruck Sdn Bhd"/>
    <x v="112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d v="2023-08-22T00:00:00"/>
    <x v="3"/>
    <x v="4"/>
    <s v="INV00000611"/>
    <s v="C00000037"/>
    <s v="Suntruck Sdn Bhd"/>
    <x v="223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d v="2023-08-22T00:00:00"/>
    <x v="3"/>
    <x v="4"/>
    <s v="INV00000611"/>
    <s v="C00000037"/>
    <s v="Suntruck Sdn Bhd"/>
    <x v="132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d v="2023-08-22T00:00:00"/>
    <x v="3"/>
    <x v="4"/>
    <s v="INV00000611"/>
    <s v="C00000037"/>
    <s v="Suntruck Sdn Bhd"/>
    <x v="242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d v="2023-08-22T00:00:00"/>
    <x v="3"/>
    <x v="4"/>
    <s v="INV00000611"/>
    <s v="C00000037"/>
    <s v="Suntruck Sdn Bhd"/>
    <x v="248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d v="2023-08-22T00:00:00"/>
    <x v="3"/>
    <x v="4"/>
    <s v="INV00000612"/>
    <s v="C00000020"/>
    <s v="WSK Tanks Sdn Bhd"/>
    <x v="132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d v="2023-08-22T00:00:00"/>
    <x v="3"/>
    <x v="4"/>
    <s v="INV00000613"/>
    <s v="C00000020"/>
    <s v="WSK Tanks Sdn Bhd"/>
    <x v="278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d v="2023-08-22T00:00:00"/>
    <x v="3"/>
    <x v="4"/>
    <s v="INV00000613"/>
    <s v="C00000020"/>
    <s v="WSK Tanks Sdn Bhd"/>
    <x v="148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d v="2023-08-22T00:00:00"/>
    <x v="3"/>
    <x v="4"/>
    <s v="INV00000613"/>
    <s v="C00000020"/>
    <s v="WSK Tanks Sdn Bhd"/>
    <x v="128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d v="2023-08-22T00:00:00"/>
    <x v="3"/>
    <x v="4"/>
    <s v="INV00000614"/>
    <s v="C00000019"/>
    <s v="Desuki Affela Empire Enterprise"/>
    <x v="7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d v="2023-08-23T00:00:00"/>
    <x v="3"/>
    <x v="4"/>
    <s v="INV00000615"/>
    <s v="C00000034"/>
    <s v="Cash - ZTY Fibre"/>
    <x v="216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d v="2023-08-24T00:00:00"/>
    <x v="3"/>
    <x v="4"/>
    <s v="INV00000616"/>
    <s v="C00000034"/>
    <s v="Cash - ZTY Fibre"/>
    <x v="216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d v="2023-08-24T00:00:00"/>
    <x v="3"/>
    <x v="4"/>
    <s v="INV00000616"/>
    <s v="C00000034"/>
    <s v="Cash - ZTY Fibre"/>
    <x v="290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d v="2023-08-25T00:00:00"/>
    <x v="3"/>
    <x v="4"/>
    <s v="INV00000617"/>
    <s v="C00000021"/>
    <s v="KT Profesional Fiber"/>
    <x v="118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d v="2023-08-25T00:00:00"/>
    <x v="3"/>
    <x v="4"/>
    <s v="INV00000617"/>
    <s v="C00000021"/>
    <s v="KT Profesional Fiber"/>
    <x v="100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d v="2023-08-25T00:00:00"/>
    <x v="3"/>
    <x v="4"/>
    <s v="INV00000617"/>
    <s v="C00000021"/>
    <s v="KT Profesional Fiber"/>
    <x v="171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d v="2023-08-25T00:00:00"/>
    <x v="3"/>
    <x v="4"/>
    <s v="INV00000617"/>
    <s v="C00000021"/>
    <s v="KT Profesional Fiber"/>
    <x v="132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d v="2023-08-26T00:00:00"/>
    <x v="3"/>
    <x v="4"/>
    <s v="INV00000618"/>
    <s v="C00000019"/>
    <s v="Desuki Affela Empire Enterprise"/>
    <x v="225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d v="2023-08-26T00:00:00"/>
    <x v="3"/>
    <x v="4"/>
    <s v="INV00000618"/>
    <s v="C00000019"/>
    <s v="Desuki Affela Empire Enterprise"/>
    <x v="243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d v="2023-08-28T00:00:00"/>
    <x v="3"/>
    <x v="4"/>
    <s v="INV00000619"/>
    <s v="C00000034"/>
    <s v="Cash - ZTY Fibre"/>
    <x v="189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d v="2023-08-28T00:00:00"/>
    <x v="3"/>
    <x v="4"/>
    <s v="INV00000619"/>
    <s v="C00000034"/>
    <s v="Cash - ZTY Fibre"/>
    <x v="292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d v="2023-08-28T00:00:00"/>
    <x v="3"/>
    <x v="4"/>
    <s v="INV00000619"/>
    <s v="C00000034"/>
    <s v="Cash - ZTY Fibre"/>
    <x v="290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d v="2023-08-28T00:00:00"/>
    <x v="3"/>
    <x v="4"/>
    <s v="INV00000619"/>
    <s v="C00000034"/>
    <s v="Cash - ZTY Fibre"/>
    <x v="171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d v="2023-08-28T00:00:00"/>
    <x v="3"/>
    <x v="4"/>
    <s v="INV00000619"/>
    <s v="C00000034"/>
    <s v="Cash - ZTY Fibre"/>
    <x v="132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d v="2023-08-28T00:00:00"/>
    <x v="3"/>
    <x v="4"/>
    <s v="INV00000619"/>
    <s v="C00000034"/>
    <s v="Cash - ZTY Fibre"/>
    <x v="131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d v="2023-08-28T00:00:00"/>
    <x v="3"/>
    <x v="4"/>
    <s v="INV00000619"/>
    <s v="C00000034"/>
    <s v="Cash - ZTY Fibre"/>
    <x v="291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d v="2023-08-28T00:00:00"/>
    <x v="3"/>
    <x v="4"/>
    <s v="INV00000619"/>
    <s v="C00000034"/>
    <s v="Cash - ZTY Fibre"/>
    <x v="223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d v="2023-08-28T00:00:00"/>
    <x v="3"/>
    <x v="4"/>
    <s v="INV00000619"/>
    <s v="C00000034"/>
    <s v="Cash - ZTY Fibre"/>
    <x v="197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d v="2023-08-28T00:00:00"/>
    <x v="3"/>
    <x v="4"/>
    <s v="INV00000620"/>
    <s v="C00000020"/>
    <s v="WSK Tanks Sdn Bhd"/>
    <x v="132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d v="2023-08-28T00:00:00"/>
    <x v="3"/>
    <x v="4"/>
    <s v="INV00000621"/>
    <s v="C00000020"/>
    <s v="WSK Tanks Sdn Bhd"/>
    <x v="278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d v="2023-08-28T00:00:00"/>
    <x v="3"/>
    <x v="4"/>
    <s v="INV00000621"/>
    <s v="C00000020"/>
    <s v="WSK Tanks Sdn Bhd"/>
    <x v="148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d v="2023-08-28T00:00:00"/>
    <x v="3"/>
    <x v="4"/>
    <s v="INV00000621"/>
    <s v="C00000020"/>
    <s v="WSK Tanks Sdn Bhd"/>
    <x v="128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d v="2023-08-28T00:00:00"/>
    <x v="3"/>
    <x v="4"/>
    <s v="INV00000621"/>
    <s v="C00000020"/>
    <s v="WSK Tanks Sdn Bhd"/>
    <x v="159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d v="2023-08-30T00:00:00"/>
    <x v="3"/>
    <x v="4"/>
    <s v="INV00000622"/>
    <s v="C00000019"/>
    <s v="Desuki Affela Empire Enterprise"/>
    <x v="7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s v="1/9/2023"/>
    <x v="4"/>
    <x v="4"/>
    <s v="INV00000623"/>
    <s v="C00000020"/>
    <s v="WSK Tanks Sdn Bhd"/>
    <x v="132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s v="1/9/2023"/>
    <x v="4"/>
    <x v="4"/>
    <s v="INV00000624"/>
    <s v="C00000020"/>
    <s v="WSK Tanks Sdn Bhd"/>
    <x v="278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s v="1/9/2023"/>
    <x v="4"/>
    <x v="4"/>
    <s v="INV00000624"/>
    <s v="C00000020"/>
    <s v="WSK Tanks Sdn Bhd"/>
    <x v="148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s v="1/9/2023"/>
    <x v="4"/>
    <x v="4"/>
    <s v="INV00000624"/>
    <s v="C00000020"/>
    <s v="WSK Tanks Sdn Bhd"/>
    <x v="128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s v="1/9/2023"/>
    <x v="4"/>
    <x v="4"/>
    <s v="INV00000625"/>
    <s v="C00000034"/>
    <s v="Cash - ZTY Fibre"/>
    <x v="189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s v="1/9/2023"/>
    <x v="4"/>
    <x v="4"/>
    <s v="INV00000625"/>
    <s v="C00000034"/>
    <s v="Cash - ZTY Fibre"/>
    <x v="132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s v="1/9/2023"/>
    <x v="4"/>
    <x v="4"/>
    <s v="INV00000626"/>
    <s v="C00000013a"/>
    <s v="Cash - PMC Sdn Bhd"/>
    <x v="15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s v="1/9/2023"/>
    <x v="4"/>
    <x v="4"/>
    <s v="INV00000626"/>
    <s v="C00000013a"/>
    <s v="Cash - PMC Sdn Bhd"/>
    <x v="279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s v="1/9/2023"/>
    <x v="4"/>
    <x v="4"/>
    <s v="INV00000626"/>
    <s v="C00000013a"/>
    <s v="Cash - PMC Sdn Bhd"/>
    <x v="5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s v="1/9/2023"/>
    <x v="4"/>
    <x v="4"/>
    <s v="INV00000626"/>
    <s v="C00000013a"/>
    <s v="Cash - PMC Sdn Bhd"/>
    <x v="4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s v="1/9/2023"/>
    <x v="4"/>
    <x v="4"/>
    <s v="INV00000626"/>
    <s v="C00000013a"/>
    <s v="Cash - PMC Sdn Bhd"/>
    <x v="282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s v="1/9/2023"/>
    <x v="4"/>
    <x v="4"/>
    <s v="INV00000626"/>
    <s v="C00000013a"/>
    <s v="Cash - PMC Sdn Bhd"/>
    <x v="283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s v="1/9/2023"/>
    <x v="4"/>
    <x v="4"/>
    <s v="INV00000626"/>
    <s v="C00000013a"/>
    <s v="Cash - PMC Sdn Bhd"/>
    <x v="178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s v="1/9/2023"/>
    <x v="4"/>
    <x v="4"/>
    <s v="INV00000626"/>
    <s v="C00000013a"/>
    <s v="Cash - PMC Sdn Bhd"/>
    <x v="48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s v="1/9/2023"/>
    <x v="4"/>
    <x v="4"/>
    <s v="INV00000627"/>
    <s v="C00000020"/>
    <s v="WSK Tanks Sdn Bhd"/>
    <x v="132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s v="1/9/2023"/>
    <x v="4"/>
    <x v="4"/>
    <s v="INV00000628"/>
    <s v="C00000020"/>
    <s v="WSK Tanks Sdn Bhd"/>
    <x v="278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s v="1/9/2023"/>
    <x v="4"/>
    <x v="4"/>
    <s v="INV00000628"/>
    <s v="C00000020"/>
    <s v="WSK Tanks Sdn Bhd"/>
    <x v="148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s v="1/9/2023"/>
    <x v="4"/>
    <x v="4"/>
    <s v="INV00000628"/>
    <s v="C00000020"/>
    <s v="WSK Tanks Sdn Bhd"/>
    <x v="128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s v="1/9/2023"/>
    <x v="4"/>
    <x v="4"/>
    <s v="INV00000628"/>
    <s v="C00000020"/>
    <s v="WSK Tanks Sdn Bhd"/>
    <x v="159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d v="2023-09-05T00:00:00"/>
    <x v="4"/>
    <x v="4"/>
    <s v="INV00000629"/>
    <s v="C00000010"/>
    <s v="Yew Seng Gardening Supply Sdn Bhd"/>
    <x v="188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d v="2023-09-05T00:00:00"/>
    <x v="4"/>
    <x v="4"/>
    <s v="INV00000629"/>
    <s v="C00000010"/>
    <s v="Yew Seng Gardening Supply Sdn Bhd"/>
    <x v="246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d v="2023-09-05T00:00:00"/>
    <x v="4"/>
    <x v="4"/>
    <s v="INV00000629"/>
    <s v="C00000010"/>
    <s v="Yew Seng Gardening Supply Sdn Bhd"/>
    <x v="132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d v="2023-09-05T00:00:00"/>
    <x v="4"/>
    <x v="4"/>
    <s v="INV00000629"/>
    <s v="C00000010"/>
    <s v="Yew Seng Gardening Supply Sdn Bhd"/>
    <x v="4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d v="2023-09-05T00:00:00"/>
    <x v="4"/>
    <x v="4"/>
    <s v="INV00000630"/>
    <s v="C00000034"/>
    <s v="Cash - ZTY Fibre"/>
    <x v="189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d v="2023-09-06T00:00:00"/>
    <x v="4"/>
    <x v="4"/>
    <s v="INV00000631"/>
    <s v="C00000014"/>
    <s v="IK Fibre Glass Enterprise"/>
    <x v="45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d v="2023-09-06T00:00:00"/>
    <x v="4"/>
    <x v="4"/>
    <s v="INV00000631"/>
    <s v="C00000014"/>
    <s v="IK Fibre Glass Enterprise"/>
    <x v="157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d v="2023-09-06T00:00:00"/>
    <x v="4"/>
    <x v="4"/>
    <s v="INV00000631"/>
    <s v="C00000014"/>
    <s v="IK Fibre Glass Enterprise"/>
    <x v="242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d v="2023-09-06T00:00:00"/>
    <x v="4"/>
    <x v="4"/>
    <s v="INV00000631"/>
    <s v="C00000014"/>
    <s v="IK Fibre Glass Enterprise"/>
    <x v="293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d v="2023-09-06T00:00:00"/>
    <x v="4"/>
    <x v="4"/>
    <s v="INV00000631"/>
    <s v="C00000014"/>
    <s v="IK Fibre Glass Enterprise"/>
    <x v="277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d v="2023-09-06T00:00:00"/>
    <x v="4"/>
    <x v="4"/>
    <s v="INV00000631"/>
    <s v="C00000014"/>
    <s v="IK Fibre Glass Enterprise"/>
    <x v="171"/>
    <n v="1"/>
    <s v="Cash"/>
    <n v="0"/>
    <d v="2023-09-06T00:00:00"/>
    <n v="9"/>
    <n v="2023"/>
    <n v="95"/>
    <n v="-95"/>
    <n v="0"/>
    <n v="3571671.9500000016"/>
    <s v="Cash"/>
    <s v="Cash 6/9/23 RM6,079.50"/>
    <m/>
  </r>
  <r>
    <d v="2023-09-06T00:00:00"/>
    <x v="4"/>
    <x v="4"/>
    <s v="INV00000632"/>
    <s v="C00000014"/>
    <s v="IK Fibre Glass Enterprise"/>
    <x v="132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d v="2023-09-07T00:00:00"/>
    <x v="4"/>
    <x v="4"/>
    <s v="INV00000633"/>
    <s v="C00000021"/>
    <s v="KT Profesional Fiber"/>
    <x v="118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d v="2023-09-07T00:00:00"/>
    <x v="4"/>
    <x v="4"/>
    <s v="INV00000633"/>
    <s v="C00000021"/>
    <s v="KT Profesional Fiber"/>
    <x v="100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d v="2023-09-07T00:00:00"/>
    <x v="4"/>
    <x v="4"/>
    <s v="INV00000633"/>
    <s v="C00000021"/>
    <s v="KT Profesional Fiber"/>
    <x v="171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d v="2023-09-07T00:00:00"/>
    <x v="4"/>
    <x v="4"/>
    <s v="INV00000633"/>
    <s v="C00000021"/>
    <s v="KT Profesional Fiber"/>
    <x v="132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d v="2023-09-08T00:00:00"/>
    <x v="4"/>
    <x v="4"/>
    <s v="INV00000634"/>
    <s v="C00000019"/>
    <s v="Desuki Affela Empire Enterprise"/>
    <x v="7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d v="2023-09-08T00:00:00"/>
    <x v="4"/>
    <x v="4"/>
    <s v="INV00000634"/>
    <s v="C00000019"/>
    <s v="Desuki Affela Empire Enterprise"/>
    <x v="253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d v="2023-09-08T00:00:00"/>
    <x v="4"/>
    <x v="4"/>
    <s v="INV00000634"/>
    <s v="C00000019"/>
    <s v="Desuki Affela Empire Enterprise"/>
    <x v="132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d v="2023-09-08T00:00:00"/>
    <x v="4"/>
    <x v="4"/>
    <s v="INV00000634"/>
    <s v="C00000019"/>
    <s v="Desuki Affela Empire Enterprise"/>
    <x v="4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d v="2023-09-08T00:00:00"/>
    <x v="4"/>
    <x v="4"/>
    <s v="INV00000634"/>
    <s v="C00000019"/>
    <s v="Desuki Affela Empire Enterprise"/>
    <x v="243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d v="2023-09-08T00:00:00"/>
    <x v="4"/>
    <x v="4"/>
    <s v="INV00000635"/>
    <s v="C00000009"/>
    <s v="JMC Steel Engineering Sdn Bhd"/>
    <x v="153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d v="2023-09-09T00:00:00"/>
    <x v="4"/>
    <x v="4"/>
    <s v="INV00000636"/>
    <s v="C00000020"/>
    <s v="WSK Tanks Sdn Bhd"/>
    <x v="132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d v="2023-09-09T00:00:00"/>
    <x v="4"/>
    <x v="4"/>
    <s v="INV00000637"/>
    <s v="C00000020"/>
    <s v="WSK Tanks Sdn Bhd"/>
    <x v="278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d v="2023-09-09T00:00:00"/>
    <x v="4"/>
    <x v="4"/>
    <s v="INV00000637"/>
    <s v="C00000020"/>
    <s v="WSK Tanks Sdn Bhd"/>
    <x v="148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d v="2023-09-09T00:00:00"/>
    <x v="4"/>
    <x v="4"/>
    <s v="INV00000637"/>
    <s v="C00000020"/>
    <s v="WSK Tanks Sdn Bhd"/>
    <x v="128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d v="2023-09-09T00:00:00"/>
    <x v="4"/>
    <x v="4"/>
    <s v="INV00000637"/>
    <s v="C00000020"/>
    <s v="WSK Tanks Sdn Bhd"/>
    <x v="159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d v="2023-09-09T00:00:00"/>
    <x v="4"/>
    <x v="4"/>
    <s v="INV00000638"/>
    <s v="C00000040"/>
    <s v="Dynamic Builders Trading"/>
    <x v="178"/>
    <n v="1"/>
    <s v="Cash"/>
    <n v="0"/>
    <d v="2023-09-09T00:00:00"/>
    <n v="9"/>
    <n v="2023"/>
    <n v="48"/>
    <n v="-48"/>
    <n v="0"/>
    <n v="3583812.5500000017"/>
    <s v="Cash"/>
    <s v="Cash 13/9/23 RM48.00"/>
    <m/>
  </r>
  <r>
    <d v="2023-09-11T00:00:00"/>
    <x v="4"/>
    <x v="4"/>
    <s v="INV00000639"/>
    <s v="C00000041"/>
    <s v="Airebus Sdn Bhd"/>
    <x v="188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d v="2023-09-11T00:00:00"/>
    <x v="4"/>
    <x v="4"/>
    <s v="INV00000639"/>
    <s v="C00000041"/>
    <s v="Airebus Sdn Bhd"/>
    <x v="294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d v="2023-09-11T00:00:00"/>
    <x v="4"/>
    <x v="4"/>
    <s v="INV00000639"/>
    <s v="C00000041"/>
    <s v="Airebus Sdn Bhd"/>
    <x v="138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d v="2023-09-12T00:00:00"/>
    <x v="4"/>
    <x v="4"/>
    <s v="INV00000640"/>
    <s v="C00000034"/>
    <s v="Cash - ZTY Fibre"/>
    <x v="189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d v="2023-09-12T00:00:00"/>
    <x v="4"/>
    <x v="4"/>
    <s v="INV00000640"/>
    <s v="C00000034"/>
    <s v="Cash - ZTY Fibre"/>
    <x v="219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d v="2023-09-12T00:00:00"/>
    <x v="4"/>
    <x v="4"/>
    <s v="INV00000640"/>
    <s v="C00000034"/>
    <s v="Cash - ZTY Fibre"/>
    <x v="246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d v="2023-09-12T00:00:00"/>
    <x v="4"/>
    <x v="4"/>
    <s v="INV00000640"/>
    <s v="C00000034"/>
    <s v="Cash - ZTY Fibre"/>
    <x v="290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d v="2023-09-12T00:00:00"/>
    <x v="4"/>
    <x v="4"/>
    <s v="INV00000640"/>
    <s v="C00000034"/>
    <s v="Cash - ZTY Fibre"/>
    <x v="171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d v="2023-09-12T00:00:00"/>
    <x v="4"/>
    <x v="4"/>
    <s v="INV00000640"/>
    <s v="C00000034"/>
    <s v="Cash - ZTY Fibre"/>
    <x v="132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d v="2023-09-12T00:00:00"/>
    <x v="4"/>
    <x v="4"/>
    <s v="INV00000640"/>
    <s v="C00000034"/>
    <s v="Cash - ZTY Fibre"/>
    <x v="197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d v="2023-09-11T00:00:00"/>
    <x v="4"/>
    <x v="4"/>
    <s v="INV00000641"/>
    <s v="C00000003"/>
    <s v="Pandian Art Gallery Manufacturing"/>
    <x v="15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d v="2023-09-11T00:00:00"/>
    <x v="4"/>
    <x v="4"/>
    <s v="INV00000641"/>
    <s v="C00000003"/>
    <s v="Pandian Art Gallery Manufacturing"/>
    <x v="4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d v="2023-09-14T00:00:00"/>
    <x v="4"/>
    <x v="4"/>
    <s v="INV00000642"/>
    <s v="C00000014"/>
    <s v="IK Fibre Glass Enterprise"/>
    <x v="45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d v="2023-09-14T00:00:00"/>
    <x v="4"/>
    <x v="4"/>
    <s v="INV00000642"/>
    <s v="C00000014"/>
    <s v="IK Fibre Glass Enterprise"/>
    <x v="157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d v="2023-09-14T00:00:00"/>
    <x v="4"/>
    <x v="4"/>
    <s v="INV00000642"/>
    <s v="C00000014"/>
    <s v="IK Fibre Glass Enterprise"/>
    <x v="242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d v="2023-09-14T00:00:00"/>
    <x v="4"/>
    <x v="4"/>
    <s v="INV00000642"/>
    <s v="C00000014"/>
    <s v="IK Fibre Glass Enterprise"/>
    <x v="293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d v="2023-09-14T00:00:00"/>
    <x v="4"/>
    <x v="4"/>
    <s v="INV00000642"/>
    <s v="C00000014"/>
    <s v="IK Fibre Glass Enterprise"/>
    <x v="277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d v="2023-09-14T00:00:00"/>
    <x v="4"/>
    <x v="4"/>
    <s v="INV00000642"/>
    <s v="C00000014"/>
    <s v="IK Fibre Glass Enterprise"/>
    <x v="171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d v="2023-09-14T00:00:00"/>
    <x v="4"/>
    <x v="4"/>
    <s v="INV00000642"/>
    <s v="C00000014"/>
    <s v="IK Fibre Glass Enterprise"/>
    <x v="132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d v="2023-09-13T00:00:00"/>
    <x v="4"/>
    <x v="4"/>
    <s v="INV00000643"/>
    <s v="C00000020"/>
    <s v="WSK Tanks Sdn Bhd"/>
    <x v="132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d v="2023-09-13T00:00:00"/>
    <x v="4"/>
    <x v="4"/>
    <s v="INV00000644"/>
    <s v="C00000020"/>
    <s v="WSK Tanks Sdn Bhd"/>
    <x v="278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d v="2023-09-13T00:00:00"/>
    <x v="4"/>
    <x v="4"/>
    <s v="INV00000644"/>
    <s v="C00000020"/>
    <s v="WSK Tanks Sdn Bhd"/>
    <x v="148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d v="2023-09-13T00:00:00"/>
    <x v="4"/>
    <x v="4"/>
    <s v="INV00000644"/>
    <s v="C00000020"/>
    <s v="WSK Tanks Sdn Bhd"/>
    <x v="128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d v="2023-09-13T00:00:00"/>
    <x v="4"/>
    <x v="4"/>
    <s v="INV00000644"/>
    <s v="C00000020"/>
    <s v="WSK Tanks Sdn Bhd"/>
    <x v="171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d v="2023-09-13T00:00:00"/>
    <x v="4"/>
    <x v="4"/>
    <s v="INV00000645"/>
    <s v="C00000019"/>
    <s v="Desuki Affela Empire Enterprise"/>
    <x v="242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d v="2023-09-15T00:00:00"/>
    <x v="4"/>
    <x v="4"/>
    <s v="INV00000646"/>
    <s v="C00000020"/>
    <s v="WSK Tanks Sdn Bhd"/>
    <x v="132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d v="2023-09-15T00:00:00"/>
    <x v="4"/>
    <x v="4"/>
    <s v="INV00000647"/>
    <s v="C00000020"/>
    <s v="WSK Tanks Sdn Bhd"/>
    <x v="278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d v="2023-09-15T00:00:00"/>
    <x v="4"/>
    <x v="4"/>
    <s v="INV00000647"/>
    <s v="C00000020"/>
    <s v="WSK Tanks Sdn Bhd"/>
    <x v="148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d v="2023-09-15T00:00:00"/>
    <x v="4"/>
    <x v="4"/>
    <s v="INV00000647"/>
    <s v="C00000020"/>
    <s v="WSK Tanks Sdn Bhd"/>
    <x v="128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d v="2023-09-18T00:00:00"/>
    <x v="4"/>
    <x v="4"/>
    <s v="INV00000648"/>
    <s v="C00000022"/>
    <s v="SF Engineering Solution"/>
    <x v="7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d v="2023-09-18T00:00:00"/>
    <x v="4"/>
    <x v="4"/>
    <s v="INV00000648"/>
    <s v="C00000022"/>
    <s v="SF Engineering Solution"/>
    <x v="295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d v="2023-09-18T00:00:00"/>
    <x v="4"/>
    <x v="4"/>
    <s v="INV00000648"/>
    <s v="C00000022"/>
    <s v="SF Engineering Solution"/>
    <x v="148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d v="2023-09-18T00:00:00"/>
    <x v="4"/>
    <x v="4"/>
    <s v="INV00000648"/>
    <s v="C00000022"/>
    <s v="SF Engineering Solution"/>
    <x v="190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d v="2023-09-18T00:00:00"/>
    <x v="4"/>
    <x v="4"/>
    <s v="INV00000648"/>
    <s v="C00000022"/>
    <s v="SF Engineering Solution"/>
    <x v="296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d v="2023-09-18T00:00:00"/>
    <x v="4"/>
    <x v="4"/>
    <s v="INV00000648"/>
    <s v="C00000022"/>
    <s v="SF Engineering Solution"/>
    <x v="297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d v="2023-09-19T00:00:00"/>
    <x v="4"/>
    <x v="4"/>
    <s v="INV00000649"/>
    <s v="C00000013a"/>
    <s v="Cash - PMC Sdn Bhd"/>
    <x v="284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d v="2023-09-20T00:00:00"/>
    <x v="4"/>
    <x v="4"/>
    <s v="INV00000650"/>
    <s v="C00000020"/>
    <s v="WSK Tanks Sdn Bhd"/>
    <x v="132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d v="2023-09-20T00:00:00"/>
    <x v="4"/>
    <x v="4"/>
    <s v="INV00000651"/>
    <s v="C00000020"/>
    <s v="WSK Tanks Sdn Bhd"/>
    <x v="278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d v="2023-09-20T00:00:00"/>
    <x v="4"/>
    <x v="4"/>
    <s v="INV00000651"/>
    <s v="C00000020"/>
    <s v="WSK Tanks Sdn Bhd"/>
    <x v="148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d v="2023-09-20T00:00:00"/>
    <x v="4"/>
    <x v="4"/>
    <s v="INV00000651"/>
    <s v="C00000020"/>
    <s v="WSK Tanks Sdn Bhd"/>
    <x v="128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d v="2023-09-20T00:00:00"/>
    <x v="4"/>
    <x v="4"/>
    <s v="INV00000651"/>
    <s v="C00000020"/>
    <s v="WSK Tanks Sdn Bhd"/>
    <x v="159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d v="2023-09-20T00:00:00"/>
    <x v="4"/>
    <x v="4"/>
    <s v="INV00000651"/>
    <s v="C00000020"/>
    <s v="WSK Tanks Sdn Bhd"/>
    <x v="171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d v="2023-09-22T00:00:00"/>
    <x v="4"/>
    <x v="4"/>
    <s v="INV00000652"/>
    <s v="C00000037"/>
    <s v="Suntruck Sdn Bhd"/>
    <x v="188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d v="2023-09-22T00:00:00"/>
    <x v="4"/>
    <x v="4"/>
    <s v="INV00000652"/>
    <s v="C00000037"/>
    <s v="Suntruck Sdn Bhd"/>
    <x v="298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d v="2023-09-22T00:00:00"/>
    <x v="4"/>
    <x v="4"/>
    <s v="INV00000652"/>
    <s v="C00000037"/>
    <s v="Suntruck Sdn Bhd"/>
    <x v="223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d v="2023-09-22T00:00:00"/>
    <x v="4"/>
    <x v="4"/>
    <s v="INV00000652"/>
    <s v="C00000037"/>
    <s v="Suntruck Sdn Bhd"/>
    <x v="132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d v="2023-09-22T00:00:00"/>
    <x v="4"/>
    <x v="4"/>
    <s v="INV00000652"/>
    <s v="C00000037"/>
    <s v="Suntruck Sdn Bhd"/>
    <x v="5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d v="2023-09-22T00:00:00"/>
    <x v="4"/>
    <x v="4"/>
    <s v="INV00000652"/>
    <s v="C00000037"/>
    <s v="Suntruck Sdn Bhd"/>
    <x v="248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d v="2023-09-22T00:00:00"/>
    <x v="4"/>
    <x v="4"/>
    <s v="INV00000652"/>
    <s v="C00000037"/>
    <s v="Suntruck Sdn Bhd"/>
    <x v="171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s v="22/9/2023"/>
    <x v="4"/>
    <x v="4"/>
    <s v="INV00000653"/>
    <s v="C00000014"/>
    <s v="IK Fibre Glass Enterprise"/>
    <x v="45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s v="22/9/2023"/>
    <x v="4"/>
    <x v="4"/>
    <s v="INV00000653"/>
    <s v="C00000014"/>
    <s v="IK Fibre Glass Enterprise"/>
    <x v="157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s v="22/9/2023"/>
    <x v="4"/>
    <x v="4"/>
    <s v="INV00000653"/>
    <s v="C00000014"/>
    <s v="IK Fibre Glass Enterprise"/>
    <x v="242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s v="22/9/2023"/>
    <x v="4"/>
    <x v="4"/>
    <s v="INV00000653"/>
    <s v="C00000014"/>
    <s v="IK Fibre Glass Enterprise"/>
    <x v="293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s v="22/9/2023"/>
    <x v="4"/>
    <x v="4"/>
    <s v="INV00000653"/>
    <s v="C00000014"/>
    <s v="IK Fibre Glass Enterprise"/>
    <x v="277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s v="22/9/2023"/>
    <x v="4"/>
    <x v="4"/>
    <s v="INV00000653"/>
    <s v="C00000014"/>
    <s v="IK Fibre Glass Enterprise"/>
    <x v="4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s v="22/9/2023"/>
    <x v="4"/>
    <x v="4"/>
    <s v="INV00000653"/>
    <s v="C00000014"/>
    <s v="IK Fibre Glass Enterprise"/>
    <x v="132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d v="2023-09-23T00:00:00"/>
    <x v="4"/>
    <x v="4"/>
    <s v="INV00000654"/>
    <s v="C00000019"/>
    <s v="Desuki Affela Empire Enterprise"/>
    <x v="7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d v="2023-09-23T00:00:00"/>
    <x v="4"/>
    <x v="4"/>
    <s v="INV00000654"/>
    <s v="C00000019"/>
    <s v="Desuki Affela Empire Enterprise"/>
    <x v="243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d v="2023-09-26T00:00:00"/>
    <x v="4"/>
    <x v="4"/>
    <s v="INV00000655"/>
    <s v="C00000034"/>
    <s v="Cash - ZTY Fibre"/>
    <x v="299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d v="2023-09-26T00:00:00"/>
    <x v="4"/>
    <x v="4"/>
    <s v="INV00000655"/>
    <s v="C00000034"/>
    <s v="Cash - ZTY Fibre"/>
    <x v="246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d v="2023-09-26T00:00:00"/>
    <x v="4"/>
    <x v="4"/>
    <s v="INV00000655"/>
    <s v="C00000034"/>
    <s v="Cash - ZTY Fibre"/>
    <x v="300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d v="2023-09-26T00:00:00"/>
    <x v="4"/>
    <x v="4"/>
    <s v="INV00000655"/>
    <s v="C00000034"/>
    <s v="Cash - ZTY Fibre"/>
    <x v="171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d v="2023-09-26T00:00:00"/>
    <x v="4"/>
    <x v="4"/>
    <s v="INV00000656"/>
    <s v="C00000019"/>
    <s v="Desuki Affela Empire Enterprise"/>
    <x v="131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d v="2023-09-26T00:00:00"/>
    <x v="4"/>
    <x v="4"/>
    <s v="INV00000656"/>
    <s v="C00000019"/>
    <s v="Desuki Affela Empire Enterprise"/>
    <x v="225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d v="2023-09-26T00:00:00"/>
    <x v="4"/>
    <x v="4"/>
    <s v="INV00000656"/>
    <s v="C00000019"/>
    <s v="Desuki Affela Empire Enterprise"/>
    <x v="132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d v="2023-09-26T00:00:00"/>
    <x v="4"/>
    <x v="4"/>
    <s v="INV00000656"/>
    <s v="C00000019"/>
    <s v="Desuki Affela Empire Enterprise"/>
    <x v="4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d v="2023-09-27T00:00:00"/>
    <x v="4"/>
    <x v="4"/>
    <s v="INV00000657"/>
    <s v="C00000020"/>
    <s v="WSK Tanks Sdn Bhd"/>
    <x v="132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d v="2023-09-27T00:00:00"/>
    <x v="4"/>
    <x v="4"/>
    <s v="INV00000658"/>
    <s v="C00000020"/>
    <s v="WSK Tanks Sdn Bhd"/>
    <x v="278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d v="2023-09-27T00:00:00"/>
    <x v="4"/>
    <x v="4"/>
    <s v="INV00000658"/>
    <s v="C00000020"/>
    <s v="WSK Tanks Sdn Bhd"/>
    <x v="148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d v="2023-09-27T00:00:00"/>
    <x v="4"/>
    <x v="4"/>
    <s v="INV00000658"/>
    <s v="C00000020"/>
    <s v="WSK Tanks Sdn Bhd"/>
    <x v="301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d v="2023-09-27T00:00:00"/>
    <x v="4"/>
    <x v="4"/>
    <s v="INV00000658"/>
    <s v="C00000020"/>
    <s v="WSK Tanks Sdn Bhd"/>
    <x v="159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d v="2023-09-27T00:00:00"/>
    <x v="4"/>
    <x v="4"/>
    <s v="INV00000658"/>
    <s v="C00000020"/>
    <s v="WSK Tanks Sdn Bhd"/>
    <x v="171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d v="2023-09-29T00:00:00"/>
    <x v="4"/>
    <x v="4"/>
    <s v="INV00000659"/>
    <s v="C00000034"/>
    <s v="Cash - ZTY Fibre"/>
    <x v="132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d v="2023-09-30T00:00:00"/>
    <x v="4"/>
    <x v="4"/>
    <s v="INV00000660"/>
    <s v="C00000020"/>
    <s v="WSK Tanks Sdn Bhd"/>
    <x v="132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d v="2023-09-30T00:00:00"/>
    <x v="4"/>
    <x v="4"/>
    <s v="INV00000661"/>
    <s v="C00000020"/>
    <s v="WSK Tanks Sdn Bhd"/>
    <x v="188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d v="2023-09-30T00:00:00"/>
    <x v="4"/>
    <x v="4"/>
    <s v="INV00000661"/>
    <s v="C00000020"/>
    <s v="WSK Tanks Sdn Bhd"/>
    <x v="148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d v="2023-09-30T00:00:00"/>
    <x v="4"/>
    <x v="4"/>
    <s v="INV00000661"/>
    <s v="C00000020"/>
    <s v="WSK Tanks Sdn Bhd"/>
    <x v="301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d v="2023-09-30T00:00:00"/>
    <x v="4"/>
    <x v="4"/>
    <s v="INV00000661"/>
    <s v="C00000020"/>
    <s v="WSK Tanks Sdn Bhd"/>
    <x v="159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d v="2023-09-30T00:00:00"/>
    <x v="4"/>
    <x v="4"/>
    <s v="INV00000661"/>
    <s v="C00000020"/>
    <s v="WSK Tanks Sdn Bhd"/>
    <x v="171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d v="2023-10-02T00:00:00"/>
    <x v="5"/>
    <x v="4"/>
    <s v="INV00000662"/>
    <s v="C00000014"/>
    <s v="IK Fibre Glass Enterprise"/>
    <x v="45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d v="2023-10-02T00:00:00"/>
    <x v="5"/>
    <x v="4"/>
    <s v="INV00000662"/>
    <s v="C00000014"/>
    <s v="IK Fibre Glass Enterprise"/>
    <x v="157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d v="2023-10-02T00:00:00"/>
    <x v="5"/>
    <x v="4"/>
    <s v="INV00000662"/>
    <s v="C00000014"/>
    <s v="IK Fibre Glass Enterprise"/>
    <x v="5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d v="2023-10-02T00:00:00"/>
    <x v="5"/>
    <x v="4"/>
    <s v="INV00000662"/>
    <s v="C00000014"/>
    <s v="IK Fibre Glass Enterprise"/>
    <x v="293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d v="2023-10-02T00:00:00"/>
    <x v="5"/>
    <x v="4"/>
    <s v="INV00000662"/>
    <s v="C00000014"/>
    <s v="IK Fibre Glass Enterprise"/>
    <x v="277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d v="2023-10-02T00:00:00"/>
    <x v="5"/>
    <x v="4"/>
    <s v="INV00000662"/>
    <s v="C00000014"/>
    <s v="IK Fibre Glass Enterprise"/>
    <x v="4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d v="2023-10-02T00:00:00"/>
    <x v="5"/>
    <x v="4"/>
    <s v="INV00000662"/>
    <s v="C00000014"/>
    <s v="IK Fibre Glass Enterprise"/>
    <x v="132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d v="2023-10-03T00:00:00"/>
    <x v="5"/>
    <x v="4"/>
    <s v="INV00000663"/>
    <s v="C00000013a"/>
    <s v="Cash - PMC Sdn Bhd"/>
    <x v="162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d v="2023-10-03T00:00:00"/>
    <x v="5"/>
    <x v="4"/>
    <s v="INV00000663"/>
    <s v="C00000013a"/>
    <s v="Cash - PMC Sdn Bhd"/>
    <x v="5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d v="2023-10-03T00:00:00"/>
    <x v="5"/>
    <x v="4"/>
    <s v="INV00000664"/>
    <s v="C00000019"/>
    <s v="Desuki Affela Empire Enterprise"/>
    <x v="7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d v="2023-10-03T00:00:00"/>
    <x v="5"/>
    <x v="4"/>
    <s v="INV00000664"/>
    <s v="C00000019"/>
    <s v="Desuki Affela Empire Enterprise"/>
    <x v="243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d v="2023-10-03T00:00:00"/>
    <x v="5"/>
    <x v="4"/>
    <s v="INV00000664"/>
    <s v="C00000019"/>
    <s v="Desuki Affela Empire Enterprise"/>
    <x v="225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d v="2023-10-04T00:00:00"/>
    <x v="5"/>
    <x v="4"/>
    <s v="INV00000665"/>
    <s v="C00000021"/>
    <s v="KT Profesional Fiber"/>
    <x v="118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d v="2023-10-04T00:00:00"/>
    <x v="5"/>
    <x v="4"/>
    <s v="INV00000665"/>
    <s v="C00000021"/>
    <s v="KT Profesional Fiber"/>
    <x v="100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d v="2023-10-04T00:00:00"/>
    <x v="5"/>
    <x v="4"/>
    <s v="INV00000665"/>
    <s v="C00000021"/>
    <s v="KT Profesional Fiber"/>
    <x v="171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s v="5/10/2023"/>
    <x v="5"/>
    <x v="4"/>
    <s v="INV00000666"/>
    <s v="C00000020"/>
    <s v="WSK Tanks Sdn Bhd"/>
    <x v="132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s v="5/10/2023"/>
    <x v="5"/>
    <x v="4"/>
    <s v="INV00000667"/>
    <s v="C00000020"/>
    <s v="WSK Tanks Sdn Bhd"/>
    <x v="278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s v="5/10/2023"/>
    <x v="5"/>
    <x v="4"/>
    <s v="INV00000667"/>
    <s v="C00000020"/>
    <s v="WSK Tanks Sdn Bhd"/>
    <x v="148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s v="5/10/2023"/>
    <x v="5"/>
    <x v="4"/>
    <s v="INV00000667"/>
    <s v="C00000020"/>
    <s v="WSK Tanks Sdn Bhd"/>
    <x v="301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s v="5/10/2023"/>
    <x v="5"/>
    <x v="4"/>
    <s v="INV00000667"/>
    <s v="C00000020"/>
    <s v="WSK Tanks Sdn Bhd"/>
    <x v="159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d v="2023-10-06T00:00:00"/>
    <x v="5"/>
    <x v="4"/>
    <s v="INV00000668"/>
    <s v="C00000022"/>
    <s v="SF Engineering Solution"/>
    <x v="302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d v="2023-10-06T00:00:00"/>
    <x v="5"/>
    <x v="4"/>
    <s v="INV00000668"/>
    <s v="C00000022"/>
    <s v="SF Engineering Solution"/>
    <x v="148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d v="2023-10-06T00:00:00"/>
    <x v="5"/>
    <x v="4"/>
    <s v="INV00000669"/>
    <s v="C00000010"/>
    <s v="Yew Seng Gardening Supply Sdn Bhd"/>
    <x v="188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d v="2023-10-06T00:00:00"/>
    <x v="5"/>
    <x v="4"/>
    <s v="INV00000669"/>
    <s v="C00000010"/>
    <s v="Yew Seng Gardening Supply Sdn Bhd"/>
    <x v="246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d v="2023-10-06T00:00:00"/>
    <x v="5"/>
    <x v="4"/>
    <s v="INV00000669"/>
    <s v="C00000010"/>
    <s v="Yew Seng Gardening Supply Sdn Bhd"/>
    <x v="132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d v="2023-10-06T00:00:00"/>
    <x v="5"/>
    <x v="4"/>
    <s v="INV00000669"/>
    <s v="C00000010"/>
    <s v="Yew Seng Gardening Supply Sdn Bhd"/>
    <x v="4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d v="2023-10-06T00:00:00"/>
    <x v="5"/>
    <x v="4"/>
    <s v="INV00000669"/>
    <s v="C00000010"/>
    <s v="Yew Seng Gardening Supply Sdn Bhd"/>
    <x v="5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d v="2023-10-06T00:00:00"/>
    <x v="5"/>
    <x v="4"/>
    <s v="INV00000670"/>
    <s v="C00000020"/>
    <s v="WSK Tanks Sdn Bhd"/>
    <x v="132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d v="2023-10-06T00:00:00"/>
    <x v="5"/>
    <x v="4"/>
    <s v="INV00000670"/>
    <s v="C00000020"/>
    <s v="WSK Tanks Sdn Bhd"/>
    <x v="148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d v="2023-10-07T00:00:00"/>
    <x v="5"/>
    <x v="4"/>
    <s v="INV00000671"/>
    <s v="C00000006"/>
    <s v="Perniagaan Fibra Sahih"/>
    <x v="7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d v="2023-10-07T00:00:00"/>
    <x v="5"/>
    <x v="4"/>
    <s v="INV00000671"/>
    <s v="C00000006"/>
    <s v="Perniagaan Fibra Sahih"/>
    <x v="246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d v="2023-10-07T00:00:00"/>
    <x v="5"/>
    <x v="4"/>
    <s v="INV00000671"/>
    <s v="C00000006"/>
    <s v="Perniagaan Fibra Sahih"/>
    <x v="298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d v="2023-10-07T00:00:00"/>
    <x v="5"/>
    <x v="4"/>
    <s v="INV00000671"/>
    <s v="C00000006"/>
    <s v="Perniagaan Fibra Sahih"/>
    <x v="4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d v="2023-10-07T00:00:00"/>
    <x v="5"/>
    <x v="4"/>
    <s v="INV00000671"/>
    <s v="C00000006"/>
    <s v="Perniagaan Fibra Sahih"/>
    <x v="5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d v="2023-10-12T00:00:00"/>
    <x v="5"/>
    <x v="4"/>
    <s v="INV00000672"/>
    <s v="C00000020"/>
    <s v="WSK Tanks Sdn Bhd"/>
    <x v="132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d v="2023-10-12T00:00:00"/>
    <x v="5"/>
    <x v="4"/>
    <s v="INV00000672"/>
    <s v="C00000020"/>
    <s v="WSK Tanks Sdn Bhd"/>
    <x v="303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d v="2023-10-10T00:00:00"/>
    <x v="5"/>
    <x v="4"/>
    <s v="INV00000673"/>
    <s v="C00000022"/>
    <s v="SF Engineering Solution"/>
    <x v="190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d v="2023-10-10T00:00:00"/>
    <x v="5"/>
    <x v="4"/>
    <s v="INV00000673"/>
    <s v="C00000022"/>
    <s v="SF Engineering Solution"/>
    <x v="93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s v="11/10/2023"/>
    <x v="5"/>
    <x v="4"/>
    <s v="INV00000674"/>
    <s v="C00000014"/>
    <s v="IK Fibre Glass Enterprise"/>
    <x v="45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s v="11/10/2023"/>
    <x v="5"/>
    <x v="4"/>
    <s v="INV00000674"/>
    <s v="C00000014"/>
    <s v="IK Fibre Glass Enterprise"/>
    <x v="157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s v="11/10/2023"/>
    <x v="5"/>
    <x v="4"/>
    <s v="INV00000674"/>
    <s v="C00000014"/>
    <s v="IK Fibre Glass Enterprise"/>
    <x v="5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s v="11/10/2023"/>
    <x v="5"/>
    <x v="4"/>
    <s v="INV00000674"/>
    <s v="C00000014"/>
    <s v="IK Fibre Glass Enterprise"/>
    <x v="4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s v="11/10/2023"/>
    <x v="5"/>
    <x v="4"/>
    <s v="INV00000674"/>
    <s v="C00000014"/>
    <s v="IK Fibre Glass Enterprise"/>
    <x v="153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s v="11/10/2023"/>
    <x v="5"/>
    <x v="4"/>
    <s v="INV00000675"/>
    <s v="C00000034"/>
    <s v="Cash - ZTY Fibre"/>
    <x v="304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s v="11/10/2023"/>
    <x v="5"/>
    <x v="4"/>
    <s v="INV00000675"/>
    <s v="C00000034"/>
    <s v="Cash - ZTY Fibre"/>
    <x v="132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s v="14/10/2023"/>
    <x v="5"/>
    <x v="4"/>
    <s v="INV00000676"/>
    <s v="C00000009"/>
    <s v="JMC Steel Engineering Sdn Bhd"/>
    <x v="112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s v="14/10/2023"/>
    <x v="5"/>
    <x v="4"/>
    <s v="INV00000676"/>
    <s v="C00000009"/>
    <s v="JMC Steel Engineering Sdn Bhd"/>
    <x v="163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s v="14/10/2023"/>
    <x v="5"/>
    <x v="4"/>
    <s v="INV00000676"/>
    <s v="C00000009"/>
    <s v="JMC Steel Engineering Sdn Bhd"/>
    <x v="4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s v="14/10/2023"/>
    <x v="5"/>
    <x v="4"/>
    <s v="INV00000677"/>
    <s v="C00000019"/>
    <s v="Desuki Affela Empire Enterprise"/>
    <x v="7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s v="14/10/2023"/>
    <x v="5"/>
    <x v="4"/>
    <s v="INV00000678"/>
    <s v="C00000022"/>
    <s v="SF Engineering Solution"/>
    <x v="7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d v="2023-10-17T00:00:00"/>
    <x v="5"/>
    <x v="4"/>
    <s v="INV00000679"/>
    <s v="C00000042"/>
    <s v="Welltech (M) Sdn Bhd"/>
    <x v="132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d v="2023-10-17T00:00:00"/>
    <x v="5"/>
    <x v="4"/>
    <s v="INV00000680"/>
    <s v="C00000042"/>
    <s v="Welltech (M) Sdn Bhd"/>
    <x v="278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d v="2023-10-17T00:00:00"/>
    <x v="5"/>
    <x v="4"/>
    <s v="INV00000680"/>
    <s v="C00000042"/>
    <s v="Welltech (M) Sdn Bhd"/>
    <x v="148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d v="2023-10-17T00:00:00"/>
    <x v="5"/>
    <x v="4"/>
    <s v="INV00000680"/>
    <s v="C00000042"/>
    <s v="Welltech (M) Sdn Bhd"/>
    <x v="301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d v="2023-10-17T00:00:00"/>
    <x v="5"/>
    <x v="4"/>
    <s v="INV00000680"/>
    <s v="C00000042"/>
    <s v="Welltech (M) Sdn Bhd"/>
    <x v="303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d v="2023-10-17T00:00:00"/>
    <x v="5"/>
    <x v="4"/>
    <s v="INV00000680"/>
    <s v="C00000042"/>
    <s v="Welltech (M) Sdn Bhd"/>
    <x v="171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d v="2023-10-19T00:00:00"/>
    <x v="5"/>
    <x v="4"/>
    <s v="INV00000681"/>
    <s v="C00000009"/>
    <s v="JMC Steel Engineering Sdn Bhd"/>
    <x v="305"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d v="2023-10-19T00:00:00"/>
    <x v="5"/>
    <x v="4"/>
    <s v="INV00000681"/>
    <s v="C00000009"/>
    <s v="JMC Steel Engineering Sdn Bhd"/>
    <x v="305"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s v="20/10/2023"/>
    <x v="5"/>
    <x v="4"/>
    <s v="INV00000682"/>
    <s v="C00000042"/>
    <s v="Welltech (M) Sdn Bhd"/>
    <x v="148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5T00:00:00"/>
    <x v="5"/>
    <x v="4"/>
    <s v="INV00000684"/>
    <s v="C00000042"/>
    <s v="Welltech (M) Sdn Bhd"/>
    <x v="132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d v="2023-10-25T00:00:00"/>
    <x v="5"/>
    <x v="4"/>
    <s v="INV00000685"/>
    <s v="C00000042"/>
    <s v="Welltech (M) Sdn Bhd"/>
    <x v="278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d v="2023-10-25T00:00:00"/>
    <x v="5"/>
    <x v="4"/>
    <s v="INV00000685"/>
    <s v="C00000042"/>
    <s v="Welltech (M) Sdn Bhd"/>
    <x v="301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d v="2023-10-25T00:00:00"/>
    <x v="5"/>
    <x v="4"/>
    <s v="INV00000686"/>
    <s v="C00000012"/>
    <s v="Cash - Hamdan"/>
    <x v="307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d v="2023-10-25T00:00:00"/>
    <x v="5"/>
    <x v="4"/>
    <s v="INV00000686"/>
    <s v="C00000012"/>
    <s v="Cash - Hamdan"/>
    <x v="308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d v="2023-10-25T00:00:00"/>
    <x v="5"/>
    <x v="4"/>
    <s v="INV00000686"/>
    <s v="C00000012"/>
    <s v="Cash - Hamdan"/>
    <x v="236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d v="2023-10-25T00:00:00"/>
    <x v="5"/>
    <x v="4"/>
    <s v="INV00000686"/>
    <s v="C00000012"/>
    <s v="Cash - Hamdan"/>
    <x v="309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d v="2023-10-25T00:00:00"/>
    <x v="5"/>
    <x v="4"/>
    <s v="INV00000686"/>
    <s v="C00000012"/>
    <s v="Cash - Hamdan"/>
    <x v="310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d v="2023-10-25T00:00:00"/>
    <x v="5"/>
    <x v="4"/>
    <s v="INV00000687"/>
    <s v="C00000021"/>
    <s v="KT Profesional Fiber"/>
    <x v="15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d v="2023-10-25T00:00:00"/>
    <x v="5"/>
    <x v="4"/>
    <s v="INV00000687"/>
    <s v="C00000021"/>
    <s v="KT Profesional Fiber"/>
    <x v="148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d v="2023-10-25T00:00:00"/>
    <x v="5"/>
    <x v="4"/>
    <s v="INV00000687"/>
    <s v="C00000021"/>
    <s v="KT Profesional Fiber"/>
    <x v="171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d v="2023-10-25T00:00:00"/>
    <x v="5"/>
    <x v="4"/>
    <s v="INV00000687"/>
    <s v="C00000021"/>
    <s v="KT Profesional Fiber"/>
    <x v="311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d v="2023-10-26T00:00:00"/>
    <x v="5"/>
    <x v="4"/>
    <s v="INV00000688"/>
    <s v="C00000019"/>
    <s v="Desuki Affela Empire Enterprise"/>
    <x v="7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d v="2023-10-26T00:00:00"/>
    <x v="5"/>
    <x v="4"/>
    <s v="INV00000688"/>
    <s v="C00000019"/>
    <s v="Desuki Affela Empire Enterprise"/>
    <x v="225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d v="2023-10-26T00:00:00"/>
    <x v="5"/>
    <x v="4"/>
    <s v="INV00000688"/>
    <s v="C00000019"/>
    <s v="Desuki Affela Empire Enterprise"/>
    <x v="132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d v="2023-10-26T00:00:00"/>
    <x v="5"/>
    <x v="4"/>
    <s v="INV00000688"/>
    <s v="C00000019"/>
    <s v="Desuki Affela Empire Enterprise"/>
    <x v="4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d v="2023-10-26T00:00:00"/>
    <x v="5"/>
    <x v="4"/>
    <s v="INV00000688"/>
    <s v="C00000019"/>
    <s v="Desuki Affela Empire Enterprise"/>
    <x v="153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d v="2023-10-26T00:00:00"/>
    <x v="5"/>
    <x v="4"/>
    <s v="INV00000689"/>
    <s v="C00000042"/>
    <s v="Welltech (M) Sdn Bhd"/>
    <x v="159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d v="2023-10-27T00:00:00"/>
    <x v="5"/>
    <x v="4"/>
    <s v="INV00000690"/>
    <s v="C00000019"/>
    <s v="Desuki Affela Empire Enterprise"/>
    <x v="5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d v="2023-10-27T00:00:00"/>
    <x v="5"/>
    <x v="4"/>
    <s v="INV00000690"/>
    <s v="C00000019"/>
    <s v="Desuki Affela Empire Enterprise"/>
    <x v="243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d v="2023-10-27T00:00:00"/>
    <x v="5"/>
    <x v="4"/>
    <s v="INV00000691"/>
    <s v="C00000034"/>
    <s v="Cash - ZTY Fibre"/>
    <x v="214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d v="2023-10-28T00:00:00"/>
    <x v="5"/>
    <x v="4"/>
    <s v="INV00000692"/>
    <s v="C00000042"/>
    <s v="Welltech (M) Sdn Bhd"/>
    <x v="132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d v="2023-10-28T00:00:00"/>
    <x v="5"/>
    <x v="4"/>
    <s v="INV00000693"/>
    <s v="C00000042"/>
    <s v="Welltech (M) Sdn Bhd"/>
    <x v="278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d v="2023-10-28T00:00:00"/>
    <x v="5"/>
    <x v="4"/>
    <s v="INV00000693"/>
    <s v="C00000042"/>
    <s v="Welltech (M) Sdn Bhd"/>
    <x v="148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d v="2023-10-28T00:00:00"/>
    <x v="5"/>
    <x v="4"/>
    <s v="INV00000693"/>
    <s v="C00000042"/>
    <s v="Welltech (M) Sdn Bhd"/>
    <x v="301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d v="2023-10-30T00:00:00"/>
    <x v="5"/>
    <x v="4"/>
    <s v="INV00000694"/>
    <s v="C00000037"/>
    <s v="Suntruck Sdn Bhd"/>
    <x v="188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d v="2023-10-30T00:00:00"/>
    <x v="5"/>
    <x v="4"/>
    <s v="INV00000694"/>
    <s v="C00000037"/>
    <s v="Suntruck Sdn Bhd"/>
    <x v="247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d v="2023-10-30T00:00:00"/>
    <x v="5"/>
    <x v="4"/>
    <s v="INV00000694"/>
    <s v="C00000037"/>
    <s v="Suntruck Sdn Bhd"/>
    <x v="112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d v="2023-10-30T00:00:00"/>
    <x v="5"/>
    <x v="4"/>
    <s v="INV00000694"/>
    <s v="C00000037"/>
    <s v="Suntruck Sdn Bhd"/>
    <x v="223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d v="2023-10-30T00:00:00"/>
    <x v="5"/>
    <x v="4"/>
    <s v="INV00000694"/>
    <s v="C00000037"/>
    <s v="Suntruck Sdn Bhd"/>
    <x v="132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d v="2023-10-30T00:00:00"/>
    <x v="5"/>
    <x v="4"/>
    <s v="INV00000694"/>
    <s v="C00000037"/>
    <s v="Suntruck Sdn Bhd"/>
    <x v="5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d v="2023-10-30T00:00:00"/>
    <x v="5"/>
    <x v="4"/>
    <s v="INV00000694"/>
    <s v="C00000037"/>
    <s v="Suntruck Sdn Bhd"/>
    <x v="171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d v="2023-10-30T00:00:00"/>
    <x v="5"/>
    <x v="4"/>
    <s v="INV00000694"/>
    <s v="C00000037"/>
    <s v="Suntruck Sdn Bhd"/>
    <x v="248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d v="2023-10-30T00:00:00"/>
    <x v="5"/>
    <x v="4"/>
    <s v="INV00000694"/>
    <s v="C00000037"/>
    <s v="Suntruck Sdn Bhd"/>
    <x v="141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d v="2023-10-30T00:00:00"/>
    <x v="5"/>
    <x v="4"/>
    <s v="INV00000695"/>
    <s v="C00000042"/>
    <s v="Welltech (M) Sdn Bhd"/>
    <x v="159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d v="2023-11-01T00:00:00"/>
    <x v="6"/>
    <x v="4"/>
    <s v="INV00000696"/>
    <s v="C00000013a"/>
    <s v="Cash - PMC Sdn Bhd"/>
    <x v="15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d v="2023-11-01T00:00:00"/>
    <x v="6"/>
    <x v="4"/>
    <s v="INV00000696"/>
    <s v="C00000013a"/>
    <s v="Cash - PMC Sdn Bhd"/>
    <x v="279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d v="2023-11-01T00:00:00"/>
    <x v="6"/>
    <x v="4"/>
    <s v="INV00000696"/>
    <s v="C00000013a"/>
    <s v="Cash - PMC Sdn Bhd"/>
    <x v="280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d v="2023-11-01T00:00:00"/>
    <x v="6"/>
    <x v="4"/>
    <s v="INV00000696"/>
    <s v="C00000013a"/>
    <s v="Cash - PMC Sdn Bhd"/>
    <x v="5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d v="2023-11-01T00:00:00"/>
    <x v="6"/>
    <x v="4"/>
    <s v="INV00000696"/>
    <s v="C00000013a"/>
    <s v="Cash - PMC Sdn Bhd"/>
    <x v="4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d v="2023-11-03T00:00:00"/>
    <x v="6"/>
    <x v="4"/>
    <s v="INV00000697"/>
    <s v="C00000012"/>
    <s v="Cash - Hamdan"/>
    <x v="200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d v="2023-11-03T00:00:00"/>
    <x v="6"/>
    <x v="4"/>
    <s v="INV00000697"/>
    <s v="C00000012"/>
    <s v="Cash - Hamdan"/>
    <x v="148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d v="2023-11-03T00:00:00"/>
    <x v="6"/>
    <x v="4"/>
    <s v="INV00000697"/>
    <s v="C00000012"/>
    <s v="Cash - Hamdan"/>
    <x v="310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d v="2023-11-03T00:00:00"/>
    <x v="6"/>
    <x v="4"/>
    <s v="INV00000698"/>
    <s v="C00000019"/>
    <s v="Desuki Affela Empire Enterprise"/>
    <x v="7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d v="2023-11-03T00:00:00"/>
    <x v="6"/>
    <x v="4"/>
    <s v="INV00000698"/>
    <s v="C00000019"/>
    <s v="Desuki Affela Empire Enterprise"/>
    <x v="225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d v="2023-11-03T00:00:00"/>
    <x v="6"/>
    <x v="4"/>
    <s v="INV00000698"/>
    <s v="C00000019"/>
    <s v="Desuki Affela Empire Enterprise"/>
    <x v="132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d v="2023-11-03T00:00:00"/>
    <x v="6"/>
    <x v="4"/>
    <s v="INV00000698"/>
    <s v="C00000019"/>
    <s v="Desuki Affela Empire Enterprise"/>
    <x v="293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d v="2023-11-04T00:00:00"/>
    <x v="6"/>
    <x v="4"/>
    <s v="INV00000699"/>
    <s v="C00000034"/>
    <s v="Cash - ZTY Fibre"/>
    <x v="304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d v="2023-11-04T00:00:00"/>
    <x v="6"/>
    <x v="4"/>
    <s v="INV00000699"/>
    <s v="C00000034"/>
    <s v="Cash - ZTY Fibre"/>
    <x v="219"/>
    <n v="1"/>
    <s v="Cash"/>
    <n v="0"/>
    <d v="2023-11-04T00:00:00"/>
    <n v="11"/>
    <n v="2023"/>
    <n v="219"/>
    <m/>
    <n v="219"/>
    <n v="3813362.9500000025"/>
    <s v="Trsf"/>
    <m/>
    <m/>
  </r>
  <r>
    <d v="2023-11-04T00:00:00"/>
    <x v="6"/>
    <x v="4"/>
    <s v="INV00000699"/>
    <s v="C00000034"/>
    <s v="Cash - ZTY Fibre"/>
    <x v="246"/>
    <n v="2"/>
    <s v="Cash"/>
    <n v="0"/>
    <d v="2023-11-04T00:00:00"/>
    <n v="11"/>
    <n v="2023"/>
    <n v="438"/>
    <m/>
    <n v="438"/>
    <n v="3813800.9500000025"/>
    <s v="Trsf"/>
    <m/>
    <m/>
  </r>
  <r>
    <d v="2023-11-04T00:00:00"/>
    <x v="6"/>
    <x v="4"/>
    <s v="INV00000699"/>
    <s v="C00000034"/>
    <s v="Cash - ZTY Fibre"/>
    <x v="290"/>
    <n v="1"/>
    <s v="Cash"/>
    <n v="0"/>
    <d v="2023-11-04T00:00:00"/>
    <n v="11"/>
    <n v="2023"/>
    <n v="236"/>
    <m/>
    <n v="236"/>
    <n v="3814036.9500000025"/>
    <s v="Trsf"/>
    <m/>
    <m/>
  </r>
  <r>
    <d v="2023-11-04T00:00:00"/>
    <x v="6"/>
    <x v="4"/>
    <s v="INV00000699"/>
    <s v="C00000034"/>
    <s v="Cash - ZTY Fibre"/>
    <x v="171"/>
    <n v="1"/>
    <s v="Cash"/>
    <n v="0"/>
    <d v="2023-11-04T00:00:00"/>
    <n v="11"/>
    <n v="2023"/>
    <n v="95"/>
    <m/>
    <n v="95"/>
    <n v="3814131.9500000025"/>
    <s v="Trsf"/>
    <m/>
    <m/>
  </r>
  <r>
    <d v="2023-11-04T00:00:00"/>
    <x v="6"/>
    <x v="4"/>
    <s v="INV00000699"/>
    <s v="C00000034"/>
    <s v="Cash - ZTY Fibre"/>
    <x v="132"/>
    <n v="5"/>
    <s v="Cash"/>
    <n v="0"/>
    <d v="2023-11-04T00:00:00"/>
    <n v="11"/>
    <n v="2023"/>
    <n v="312.5"/>
    <m/>
    <n v="312.5"/>
    <n v="3814444.4500000025"/>
    <s v="Trsf"/>
    <m/>
    <m/>
  </r>
  <r>
    <d v="2023-11-06T00:00:00"/>
    <x v="6"/>
    <x v="4"/>
    <s v="INV00000700"/>
    <s v="C00000042"/>
    <s v="Welltech (M) Sdn Bhd"/>
    <x v="132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d v="2023-11-06T00:00:00"/>
    <x v="6"/>
    <x v="4"/>
    <s v="INV00000701"/>
    <s v="C00000042"/>
    <s v="Welltech (M) Sdn Bhd"/>
    <x v="278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d v="2023-11-06T00:00:00"/>
    <x v="6"/>
    <x v="4"/>
    <s v="INV00000701"/>
    <s v="C00000042"/>
    <s v="Welltech (M) Sdn Bhd"/>
    <x v="148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d v="2023-11-06T00:00:00"/>
    <x v="6"/>
    <x v="4"/>
    <s v="INV00000701"/>
    <s v="C00000042"/>
    <s v="Welltech (M) Sdn Bhd"/>
    <x v="301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d v="2023-11-06T00:00:00"/>
    <x v="6"/>
    <x v="4"/>
    <s v="INV00000701"/>
    <s v="C00000042"/>
    <s v="Welltech (M) Sdn Bhd"/>
    <x v="159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d v="2023-11-06T00:00:00"/>
    <x v="6"/>
    <x v="4"/>
    <s v="INV00000701"/>
    <s v="C00000042"/>
    <s v="Welltech (M) Sdn Bhd"/>
    <x v="171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d v="2023-11-07T00:00:00"/>
    <x v="6"/>
    <x v="4"/>
    <s v="INV00000702"/>
    <s v="C00000021"/>
    <s v="KT Profesional Fiber"/>
    <x v="15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d v="2023-11-07T00:00:00"/>
    <x v="6"/>
    <x v="4"/>
    <s v="INV00000702"/>
    <s v="C00000021"/>
    <s v="KT Profesional Fiber"/>
    <x v="148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d v="2023-11-07T00:00:00"/>
    <x v="6"/>
    <x v="4"/>
    <s v="INV00000702"/>
    <s v="C00000021"/>
    <s v="KT Profesional Fiber"/>
    <x v="312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d v="2023-11-07T00:00:00"/>
    <x v="6"/>
    <x v="4"/>
    <s v="INV00000702"/>
    <s v="C00000021"/>
    <s v="KT Profesional Fiber"/>
    <x v="171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d v="2023-11-07T00:00:00"/>
    <x v="6"/>
    <x v="4"/>
    <s v="INV00000702"/>
    <s v="C00000021"/>
    <s v="KT Profesional Fiber"/>
    <x v="5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d v="2023-11-09T00:00:00"/>
    <x v="6"/>
    <x v="4"/>
    <s v="INV00000703"/>
    <s v="C00000014"/>
    <s v="IK Fibre Glass Enterprise"/>
    <x v="45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d v="2023-11-09T00:00:00"/>
    <x v="6"/>
    <x v="4"/>
    <s v="INV00000703"/>
    <s v="C00000014"/>
    <s v="IK Fibre Glass Enterprise"/>
    <x v="313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d v="2023-11-09T00:00:00"/>
    <x v="6"/>
    <x v="4"/>
    <s v="INV00000703"/>
    <s v="C00000014"/>
    <s v="IK Fibre Glass Enterprise"/>
    <x v="5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d v="2023-11-09T00:00:00"/>
    <x v="6"/>
    <x v="4"/>
    <s v="INV00000703"/>
    <s v="C00000014"/>
    <s v="IK Fibre Glass Enterprise"/>
    <x v="4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d v="2023-11-09T00:00:00"/>
    <x v="6"/>
    <x v="4"/>
    <s v="INV00000703"/>
    <s v="C00000014"/>
    <s v="IK Fibre Glass Enterprise"/>
    <x v="293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d v="2023-11-09T00:00:00"/>
    <x v="6"/>
    <x v="4"/>
    <s v="INV00000703"/>
    <s v="C00000014"/>
    <s v="IK Fibre Glass Enterprise"/>
    <x v="277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d v="2023-11-09T00:00:00"/>
    <x v="6"/>
    <x v="4"/>
    <s v="INV00000703"/>
    <s v="C00000014"/>
    <s v="IK Fibre Glass Enterprise"/>
    <x v="223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d v="2023-11-10T00:00:00"/>
    <x v="6"/>
    <x v="4"/>
    <s v="INV00000704"/>
    <s v="C00000042"/>
    <s v="Welltech (M) Sdn Bhd"/>
    <x v="159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d v="2023-11-10T00:00:00"/>
    <x v="6"/>
    <x v="4"/>
    <s v="INV00000705"/>
    <s v="C00000042"/>
    <s v="Welltech (M) Sdn Bhd"/>
    <x v="132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d v="2023-11-15T00:00:00"/>
    <x v="6"/>
    <x v="4"/>
    <s v="INV00000706"/>
    <s v="C00000042"/>
    <s v="Welltech (M) Sdn Bhd"/>
    <x v="278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d v="2023-11-15T00:00:00"/>
    <x v="6"/>
    <x v="4"/>
    <s v="INV00000706"/>
    <s v="C00000042"/>
    <s v="Welltech (M) Sdn Bhd"/>
    <x v="314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d v="2023-11-15T00:00:00"/>
    <x v="6"/>
    <x v="4"/>
    <s v="INV00000706"/>
    <s v="C00000042"/>
    <s v="Welltech (M) Sdn Bhd"/>
    <x v="301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d v="2023-11-15T00:00:00"/>
    <x v="6"/>
    <x v="4"/>
    <s v="INV00000706"/>
    <s v="C00000042"/>
    <s v="Welltech (M) Sdn Bhd"/>
    <x v="159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d v="2023-11-15T00:00:00"/>
    <x v="6"/>
    <x v="4"/>
    <s v="INV00000707"/>
    <s v="C00000014"/>
    <s v="IK Fibre Glass Enterprise"/>
    <x v="315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d v="2023-11-15T00:00:00"/>
    <x v="6"/>
    <x v="4"/>
    <s v="INV00000708"/>
    <s v="C00000010"/>
    <s v="Yew Seng Gardening Supply Sdn Bhd"/>
    <x v="188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d v="2023-11-15T00:00:00"/>
    <x v="6"/>
    <x v="4"/>
    <s v="INV00000708"/>
    <s v="C00000010"/>
    <s v="Yew Seng Gardening Supply Sdn Bhd"/>
    <x v="314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d v="2023-11-15T00:00:00"/>
    <x v="6"/>
    <x v="4"/>
    <s v="INV00000708"/>
    <s v="C00000010"/>
    <s v="Yew Seng Gardening Supply Sdn Bhd"/>
    <x v="132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d v="2023-11-15T00:00:00"/>
    <x v="6"/>
    <x v="4"/>
    <s v="INV00000708"/>
    <s v="C00000010"/>
    <s v="Yew Seng Gardening Supply Sdn Bhd"/>
    <x v="4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d v="2023-11-15T00:00:00"/>
    <x v="6"/>
    <x v="4"/>
    <s v="INV00000708"/>
    <s v="C00000010"/>
    <s v="Yew Seng Gardening Supply Sdn Bhd"/>
    <x v="131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d v="2023-11-15T00:00:00"/>
    <x v="6"/>
    <x v="4"/>
    <s v="INV00000708"/>
    <s v="C00000010"/>
    <s v="Yew Seng Gardening Supply Sdn Bhd"/>
    <x v="48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d v="2023-11-15T00:00:00"/>
    <x v="6"/>
    <x v="4"/>
    <s v="INV00000709"/>
    <s v="C00000010"/>
    <s v="Yew Seng Gardening Supply Sdn Bhd"/>
    <x v="316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d v="2023-11-15T00:00:00"/>
    <x v="6"/>
    <x v="4"/>
    <s v="INV00000710"/>
    <s v="C00000019"/>
    <s v="Desuki Affela Empire Enterprise"/>
    <x v="7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d v="2023-11-15T00:00:00"/>
    <x v="6"/>
    <x v="4"/>
    <s v="INV00000710"/>
    <s v="C00000019"/>
    <s v="Desuki Affela Empire Enterprise"/>
    <x v="225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d v="2023-11-15T00:00:00"/>
    <x v="6"/>
    <x v="4"/>
    <s v="INV00000710"/>
    <s v="C00000019"/>
    <s v="Desuki Affela Empire Enterprise"/>
    <x v="132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d v="2023-11-15T00:00:00"/>
    <x v="6"/>
    <x v="4"/>
    <s v="INV00000710"/>
    <s v="C00000019"/>
    <s v="Desuki Affela Empire Enterprise"/>
    <x v="4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d v="2023-11-15T00:00:00"/>
    <x v="6"/>
    <x v="4"/>
    <s v="INV00000710"/>
    <s v="C00000019"/>
    <s v="Desuki Affela Empire Enterprise"/>
    <x v="243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d v="2023-11-15T00:00:00"/>
    <x v="6"/>
    <x v="4"/>
    <s v="INV00000710"/>
    <s v="C00000019"/>
    <s v="Desuki Affela Empire Enterprise"/>
    <x v="258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d v="2023-11-17T00:00:00"/>
    <x v="6"/>
    <x v="4"/>
    <s v="INV00000711"/>
    <s v="C00000042"/>
    <s v="Welltech (M) Sdn Bhd"/>
    <x v="132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d v="2023-11-17T00:00:00"/>
    <x v="6"/>
    <x v="4"/>
    <s v="INV00000712"/>
    <s v="C00000042"/>
    <s v="Welltech (M) Sdn Bhd"/>
    <x v="278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d v="2023-11-17T00:00:00"/>
    <x v="6"/>
    <x v="4"/>
    <s v="INV00000712"/>
    <s v="C00000042"/>
    <s v="Welltech (M) Sdn Bhd"/>
    <x v="314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d v="2023-11-17T00:00:00"/>
    <x v="6"/>
    <x v="4"/>
    <s v="INV00000712"/>
    <s v="C00000042"/>
    <s v="Welltech (M) Sdn Bhd"/>
    <x v="301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d v="2023-11-21T00:00:00"/>
    <x v="6"/>
    <x v="4"/>
    <s v="INV00000713"/>
    <s v="C00000014"/>
    <s v="IK Fibre Glass Enterprise"/>
    <x v="45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d v="2023-11-21T00:00:00"/>
    <x v="6"/>
    <x v="4"/>
    <s v="INV00000713"/>
    <s v="C00000014"/>
    <s v="IK Fibre Glass Enterprise"/>
    <x v="313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d v="2023-11-21T00:00:00"/>
    <x v="6"/>
    <x v="4"/>
    <s v="INV00000713"/>
    <s v="C00000014"/>
    <s v="IK Fibre Glass Enterprise"/>
    <x v="315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d v="2023-11-21T00:00:00"/>
    <x v="6"/>
    <x v="4"/>
    <s v="INV00000713"/>
    <s v="C00000014"/>
    <s v="IK Fibre Glass Enterprise"/>
    <x v="4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d v="2023-11-21T00:00:00"/>
    <x v="6"/>
    <x v="4"/>
    <s v="INV00000713"/>
    <s v="C00000014"/>
    <s v="IK Fibre Glass Enterprise"/>
    <x v="293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d v="2023-11-21T00:00:00"/>
    <x v="6"/>
    <x v="4"/>
    <s v="INV00000714"/>
    <s v="C00000042"/>
    <s v="Welltech (M) Sdn Bhd"/>
    <x v="132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d v="2023-11-21T00:00:00"/>
    <x v="6"/>
    <x v="4"/>
    <s v="INV00000715"/>
    <s v="C00000042"/>
    <s v="Welltech (M) Sdn Bhd"/>
    <x v="278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d v="2023-11-22T00:00:00"/>
    <x v="6"/>
    <x v="4"/>
    <s v="INV00000716"/>
    <s v="C00000006"/>
    <s v="Perniagaan Fibra Sahih"/>
    <x v="7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d v="2023-11-22T00:00:00"/>
    <x v="6"/>
    <x v="4"/>
    <s v="INV00000716"/>
    <s v="C00000006"/>
    <s v="Perniagaan Fibra Sahih"/>
    <x v="246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d v="2023-11-24T00:00:00"/>
    <x v="6"/>
    <x v="4"/>
    <s v="INV00000717"/>
    <s v="C00000042"/>
    <s v="Welltech (M) Sdn Bhd"/>
    <x v="132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d v="2023-11-24T00:00:00"/>
    <x v="6"/>
    <x v="4"/>
    <s v="INV00000718"/>
    <s v="C00000042"/>
    <s v="Welltech (M) Sdn Bhd"/>
    <x v="278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d v="2023-11-24T00:00:00"/>
    <x v="6"/>
    <x v="4"/>
    <s v="INV00000718"/>
    <s v="C00000042"/>
    <s v="Welltech (M) Sdn Bhd"/>
    <x v="314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d v="2023-11-24T00:00:00"/>
    <x v="6"/>
    <x v="4"/>
    <s v="INV00000718"/>
    <s v="C00000042"/>
    <s v="Welltech (M) Sdn Bhd"/>
    <x v="301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d v="2023-11-24T00:00:00"/>
    <x v="6"/>
    <x v="4"/>
    <s v="INV00000718"/>
    <s v="C00000042"/>
    <s v="Welltech (M) Sdn Bhd"/>
    <x v="159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d v="2023-11-25T00:00:00"/>
    <x v="6"/>
    <x v="4"/>
    <s v="INV00000719"/>
    <s v="C00000021"/>
    <s v="KT Profesional Fiber"/>
    <x v="15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d v="2023-11-25T00:00:00"/>
    <x v="6"/>
    <x v="4"/>
    <s v="INV00000719"/>
    <s v="C00000021"/>
    <s v="KT Profesional Fiber"/>
    <x v="148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d v="2023-11-25T00:00:00"/>
    <x v="6"/>
    <x v="4"/>
    <s v="INV00000719"/>
    <s v="C00000021"/>
    <s v="KT Profesional Fiber"/>
    <x v="134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d v="2023-11-25T00:00:00"/>
    <x v="6"/>
    <x v="4"/>
    <s v="INV00000719"/>
    <s v="C00000021"/>
    <s v="KT Profesional Fiber"/>
    <x v="171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d v="2023-11-27T00:00:00"/>
    <x v="6"/>
    <x v="4"/>
    <s v="INV00000720"/>
    <s v="C00000027"/>
    <s v="Transform Star Sdn Bhd"/>
    <x v="15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d v="2023-11-27T00:00:00"/>
    <x v="6"/>
    <x v="4"/>
    <s v="INV00000720"/>
    <s v="C00000027"/>
    <s v="Transform Star Sdn Bhd"/>
    <x v="315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d v="2023-11-27T00:00:00"/>
    <x v="6"/>
    <x v="4"/>
    <s v="INV00000720"/>
    <s v="C00000027"/>
    <s v="Transform Star Sdn Bhd"/>
    <x v="241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d v="2023-11-27T00:00:00"/>
    <x v="6"/>
    <x v="4"/>
    <s v="INV00000720"/>
    <s v="C00000027"/>
    <s v="Transform Star Sdn Bhd"/>
    <x v="104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d v="2023-11-28T00:00:00"/>
    <x v="6"/>
    <x v="4"/>
    <s v="INV00000721"/>
    <s v="C00000042"/>
    <s v="Welltech (M) Sdn Bhd"/>
    <x v="132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d v="2023-11-28T00:00:00"/>
    <x v="6"/>
    <x v="4"/>
    <s v="INV00000722"/>
    <s v="C00000042"/>
    <s v="Welltech (M) Sdn Bhd"/>
    <x v="278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d v="2023-11-28T00:00:00"/>
    <x v="6"/>
    <x v="4"/>
    <s v="INV00000722"/>
    <s v="C00000042"/>
    <s v="Welltech (M) Sdn Bhd"/>
    <x v="314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d v="2023-11-28T00:00:00"/>
    <x v="6"/>
    <x v="4"/>
    <s v="INV00000722"/>
    <s v="C00000042"/>
    <s v="Welltech (M) Sdn Bhd"/>
    <x v="301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d v="2023-11-28T00:00:00"/>
    <x v="6"/>
    <x v="4"/>
    <s v="INV00000722"/>
    <s v="C00000042"/>
    <s v="Welltech (M) Sdn Bhd"/>
    <x v="171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d v="2023-11-29T00:00:00"/>
    <x v="6"/>
    <x v="4"/>
    <s v="INV00000723"/>
    <s v="C00000019"/>
    <s v="Desuki Affela Empire Enterprise"/>
    <x v="7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d v="2023-11-29T00:00:00"/>
    <x v="6"/>
    <x v="4"/>
    <s v="INV00000723"/>
    <s v="C00000019"/>
    <s v="Desuki Affela Empire Enterprise"/>
    <x v="225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d v="2023-11-29T00:00:00"/>
    <x v="6"/>
    <x v="4"/>
    <s v="INV00000723"/>
    <s v="C00000019"/>
    <s v="Desuki Affela Empire Enterprise"/>
    <x v="132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d v="2023-11-29T00:00:00"/>
    <x v="6"/>
    <x v="4"/>
    <s v="INV00000723"/>
    <s v="C00000019"/>
    <s v="Desuki Affela Empire Enterprise"/>
    <x v="317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d v="2023-11-29T00:00:00"/>
    <x v="6"/>
    <x v="4"/>
    <s v="INV00000723"/>
    <s v="C00000019"/>
    <s v="Desuki Affela Empire Enterprise"/>
    <x v="243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d v="2023-11-29T00:00:00"/>
    <x v="6"/>
    <x v="4"/>
    <s v="INV00000723"/>
    <s v="C00000019"/>
    <s v="Desuki Affela Empire Enterprise"/>
    <x v="131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d v="2023-12-01T00:00:00"/>
    <x v="0"/>
    <x v="4"/>
    <s v="INV00000724"/>
    <s v="C00000010"/>
    <s v="Yew Seng Gardening Supply Sdn Bhd"/>
    <x v="188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d v="2023-12-01T00:00:00"/>
    <x v="0"/>
    <x v="4"/>
    <s v="INV00000724"/>
    <s v="C00000010"/>
    <s v="Yew Seng Gardening Supply Sdn Bhd"/>
    <x v="215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d v="2023-12-01T00:00:00"/>
    <x v="0"/>
    <x v="4"/>
    <s v="INV00000724"/>
    <s v="C00000010"/>
    <s v="Yew Seng Gardening Supply Sdn Bhd"/>
    <x v="132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d v="2023-12-01T00:00:00"/>
    <x v="0"/>
    <x v="4"/>
    <s v="INV00000724"/>
    <s v="C00000010"/>
    <s v="Yew Seng Gardening Supply Sdn Bhd"/>
    <x v="4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d v="2023-12-01T00:00:00"/>
    <x v="0"/>
    <x v="4"/>
    <s v="INV00000724"/>
    <s v="C00000010"/>
    <s v="Yew Seng Gardening Supply Sdn Bhd"/>
    <x v="174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d v="2023-12-01T00:00:00"/>
    <x v="0"/>
    <x v="4"/>
    <s v="INV00000724"/>
    <s v="C00000010"/>
    <s v="Yew Seng Gardening Supply Sdn Bhd"/>
    <x v="48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d v="2023-12-01T00:00:00"/>
    <x v="0"/>
    <x v="4"/>
    <s v="INV00000725"/>
    <s v="C00000042"/>
    <s v="Welltech (M) Sdn Bhd"/>
    <x v="132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d v="2023-12-01T00:00:00"/>
    <x v="0"/>
    <x v="4"/>
    <s v="INV00000726"/>
    <s v="C00000042"/>
    <s v="Welltech (M) Sdn Bhd"/>
    <x v="278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d v="2023-12-01T00:00:00"/>
    <x v="0"/>
    <x v="4"/>
    <s v="INV00000726"/>
    <s v="C00000042"/>
    <s v="Welltech (M) Sdn Bhd"/>
    <x v="215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d v="2023-12-01T00:00:00"/>
    <x v="0"/>
    <x v="4"/>
    <s v="INV00000726"/>
    <s v="C00000042"/>
    <s v="Welltech (M) Sdn Bhd"/>
    <x v="301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d v="2023-12-01T00:00:00"/>
    <x v="0"/>
    <x v="4"/>
    <s v="INV00000727"/>
    <s v="C00000041"/>
    <s v="Airebus Sdn Bhd"/>
    <x v="215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d v="2023-12-02T00:00:00"/>
    <x v="0"/>
    <x v="4"/>
    <s v="INV00000728"/>
    <s v="C00000014"/>
    <s v="IK Fibre Glass Enterprise"/>
    <x v="45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d v="2023-12-02T00:00:00"/>
    <x v="0"/>
    <x v="4"/>
    <s v="INV00000728"/>
    <s v="C00000014"/>
    <s v="IK Fibre Glass Enterprise"/>
    <x v="316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d v="2023-12-02T00:00:00"/>
    <x v="0"/>
    <x v="4"/>
    <s v="INV00000728"/>
    <s v="C00000014"/>
    <s v="IK Fibre Glass Enterprise"/>
    <x v="215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d v="2023-12-02T00:00:00"/>
    <x v="0"/>
    <x v="4"/>
    <s v="INV00000728"/>
    <s v="C00000014"/>
    <s v="IK Fibre Glass Enterprise"/>
    <x v="315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d v="2023-12-02T00:00:00"/>
    <x v="0"/>
    <x v="4"/>
    <s v="INV00000728"/>
    <s v="C00000014"/>
    <s v="IK Fibre Glass Enterprise"/>
    <x v="4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d v="2023-12-02T00:00:00"/>
    <x v="0"/>
    <x v="4"/>
    <s v="INV00000728"/>
    <s v="C00000014"/>
    <s v="IK Fibre Glass Enterprise"/>
    <x v="293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d v="2023-12-02T00:00:00"/>
    <x v="0"/>
    <x v="4"/>
    <s v="INV00000729"/>
    <s v="C00000021"/>
    <s v="KT Profesional Fiber"/>
    <x v="15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d v="2023-12-02T00:00:00"/>
    <x v="0"/>
    <x v="4"/>
    <s v="INV00000729"/>
    <s v="C00000021"/>
    <s v="KT Profesional Fiber"/>
    <x v="318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d v="2023-12-02T00:00:00"/>
    <x v="0"/>
    <x v="4"/>
    <s v="INV00000729"/>
    <s v="C00000021"/>
    <s v="KT Profesional Fiber"/>
    <x v="246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d v="2023-12-02T00:00:00"/>
    <x v="0"/>
    <x v="4"/>
    <s v="INV00000729"/>
    <s v="C00000021"/>
    <s v="KT Profesional Fiber"/>
    <x v="171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d v="2023-12-02T00:00:00"/>
    <x v="0"/>
    <x v="4"/>
    <s v="INV00000729"/>
    <s v="C00000021"/>
    <s v="KT Profesional Fiber"/>
    <x v="319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d v="2023-12-02T00:00:00"/>
    <x v="0"/>
    <x v="4"/>
    <s v="INV00000729"/>
    <s v="C00000021"/>
    <s v="KT Profesional Fiber"/>
    <x v="320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d v="2023-12-04T00:00:00"/>
    <x v="0"/>
    <x v="4"/>
    <s v="INV00000730"/>
    <s v="C00000042"/>
    <s v="Welltech (M) Sdn Bhd"/>
    <x v="132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d v="2023-12-04T00:00:00"/>
    <x v="0"/>
    <x v="4"/>
    <s v="INV00000731"/>
    <s v="C00000042"/>
    <s v="Welltech (M) Sdn Bhd"/>
    <x v="278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d v="2023-12-04T00:00:00"/>
    <x v="0"/>
    <x v="4"/>
    <s v="INV00000731"/>
    <s v="C00000042"/>
    <s v="Welltech (M) Sdn Bhd"/>
    <x v="246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d v="2023-12-04T00:00:00"/>
    <x v="0"/>
    <x v="4"/>
    <s v="INV00000731"/>
    <s v="C00000042"/>
    <s v="Welltech (M) Sdn Bhd"/>
    <x v="301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d v="2023-12-07T00:00:00"/>
    <x v="0"/>
    <x v="4"/>
    <s v="INV00000732"/>
    <s v="C00000021"/>
    <s v="KT Profesional Fiber"/>
    <x v="15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d v="2023-12-07T00:00:00"/>
    <x v="0"/>
    <x v="4"/>
    <s v="INV00000732"/>
    <s v="C00000021"/>
    <s v="KT Profesional Fiber"/>
    <x v="318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d v="2023-12-07T00:00:00"/>
    <x v="0"/>
    <x v="4"/>
    <s v="INV00000732"/>
    <s v="C00000021"/>
    <s v="KT Profesional Fiber"/>
    <x v="171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d v="2023-12-07T00:00:00"/>
    <x v="0"/>
    <x v="4"/>
    <s v="INV00000732"/>
    <s v="C00000021"/>
    <s v="KT Profesional Fiber"/>
    <x v="319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d v="2023-12-08T00:00:00"/>
    <x v="0"/>
    <x v="4"/>
    <s v="INV00000733"/>
    <s v="C00000022"/>
    <s v="SF Engineering Solution"/>
    <x v="321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d v="2023-12-08T00:00:00"/>
    <x v="0"/>
    <x v="4"/>
    <s v="INV00000734"/>
    <s v="C00000022"/>
    <s v="SF Engineering Solution"/>
    <x v="302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d v="2023-12-08T00:00:00"/>
    <x v="0"/>
    <x v="4"/>
    <s v="INV00000734"/>
    <s v="C00000022"/>
    <s v="SF Engineering Solution"/>
    <x v="246"/>
    <n v="2"/>
    <s v="Cash"/>
    <n v="0"/>
    <d v="2023-12-08T00:00:00"/>
    <n v="12"/>
    <n v="2023"/>
    <n v="468"/>
    <m/>
    <n v="468"/>
    <n v="3953954.350000002"/>
    <s v="Trsf"/>
    <m/>
    <m/>
  </r>
  <r>
    <d v="2023-12-08T00:00:00"/>
    <x v="0"/>
    <x v="4"/>
    <s v="INV00000735"/>
    <s v="C00000019"/>
    <s v="Desuki Affela Empire Enterprise"/>
    <x v="7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d v="2023-12-08T00:00:00"/>
    <x v="0"/>
    <x v="4"/>
    <s v="INV00000735"/>
    <s v="C00000019"/>
    <s v="Desuki Affela Empire Enterprise"/>
    <x v="225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d v="2023-12-08T00:00:00"/>
    <x v="0"/>
    <x v="4"/>
    <s v="INV00000735"/>
    <s v="C00000019"/>
    <s v="Desuki Affela Empire Enterprise"/>
    <x v="273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d v="2023-12-08T00:00:00"/>
    <x v="0"/>
    <x v="4"/>
    <s v="INV00000735"/>
    <s v="C00000019"/>
    <s v="Desuki Affela Empire Enterprise"/>
    <x v="243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d v="2023-12-09T00:00:00"/>
    <x v="0"/>
    <x v="4"/>
    <s v="INV00000736"/>
    <s v="C00000042"/>
    <s v="Welltech (M) Sdn Bhd"/>
    <x v="132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d v="2023-12-09T00:00:00"/>
    <x v="0"/>
    <x v="4"/>
    <s v="INV00000737"/>
    <s v="C00000042"/>
    <s v="Welltech (M) Sdn Bhd"/>
    <x v="278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d v="2023-12-09T00:00:00"/>
    <x v="0"/>
    <x v="4"/>
    <s v="INV00000737"/>
    <s v="C00000042"/>
    <s v="Welltech (M) Sdn Bhd"/>
    <x v="314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d v="2023-12-09T00:00:00"/>
    <x v="0"/>
    <x v="4"/>
    <s v="INV00000737"/>
    <s v="C00000042"/>
    <s v="Welltech (M) Sdn Bhd"/>
    <x v="301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d v="2023-12-09T00:00:00"/>
    <x v="0"/>
    <x v="4"/>
    <s v="INV00000737"/>
    <s v="C00000042"/>
    <s v="Welltech (M) Sdn Bhd"/>
    <x v="171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d v="2023-12-13T00:00:00"/>
    <x v="0"/>
    <x v="4"/>
    <s v="INV00000738"/>
    <s v="C00000009"/>
    <s v="JMC Steel Engineering Sdn Bhd"/>
    <x v="7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d v="2023-12-13T00:00:00"/>
    <x v="0"/>
    <x v="4"/>
    <s v="INV00000738"/>
    <s v="C00000009"/>
    <s v="JMC Steel Engineering Sdn Bhd"/>
    <x v="43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d v="2023-12-13T00:00:00"/>
    <x v="0"/>
    <x v="4"/>
    <s v="INV00000738"/>
    <s v="C00000009"/>
    <s v="JMC Steel Engineering Sdn Bhd"/>
    <x v="225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d v="2023-12-13T00:00:00"/>
    <x v="0"/>
    <x v="4"/>
    <s v="INV00000738"/>
    <s v="C00000009"/>
    <s v="JMC Steel Engineering Sdn Bhd"/>
    <x v="218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d v="2023-12-14T00:00:00"/>
    <x v="0"/>
    <x v="4"/>
    <s v="INV00000739"/>
    <s v="C00000042"/>
    <s v="Welltech (M) Sdn Bhd"/>
    <x v="132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d v="2023-12-15T00:00:00"/>
    <x v="0"/>
    <x v="4"/>
    <s v="INV00000740"/>
    <s v="C00000042"/>
    <s v="Welltech (M) Sdn Bhd"/>
    <x v="278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d v="2023-12-15T00:00:00"/>
    <x v="0"/>
    <x v="4"/>
    <s v="INV00000740"/>
    <s v="C00000042"/>
    <s v="Welltech (M) Sdn Bhd"/>
    <x v="314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d v="2023-12-15T00:00:00"/>
    <x v="0"/>
    <x v="4"/>
    <s v="INV00000740"/>
    <s v="C00000042"/>
    <s v="Welltech (M) Sdn Bhd"/>
    <x v="301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d v="2023-12-15T00:00:00"/>
    <x v="0"/>
    <x v="4"/>
    <s v="INV00000740"/>
    <s v="C00000042"/>
    <s v="Welltech (M) Sdn Bhd"/>
    <x v="159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d v="2023-12-15T00:00:00"/>
    <x v="0"/>
    <x v="4"/>
    <s v="INV00000741"/>
    <s v="C00000021"/>
    <s v="KT Profesional Fiber"/>
    <x v="15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d v="2023-12-15T00:00:00"/>
    <x v="0"/>
    <x v="4"/>
    <s v="INV00000741"/>
    <s v="C00000021"/>
    <s v="KT Profesional Fiber"/>
    <x v="318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d v="2023-12-15T00:00:00"/>
    <x v="0"/>
    <x v="4"/>
    <s v="INV00000741"/>
    <s v="C00000021"/>
    <s v="KT Profesional Fiber"/>
    <x v="171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d v="2023-12-15T00:00:00"/>
    <x v="0"/>
    <x v="4"/>
    <s v="INV00000742"/>
    <s v="C00000043"/>
    <s v="RBD World Wide Sdn Bhd"/>
    <x v="15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d v="2023-12-15T00:00:00"/>
    <x v="0"/>
    <x v="4"/>
    <s v="INV00000742"/>
    <s v="C00000043"/>
    <s v="RBD World Wide Sdn Bhd"/>
    <x v="218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d v="2023-12-15T00:00:00"/>
    <x v="0"/>
    <x v="4"/>
    <s v="INV00000742"/>
    <s v="C00000043"/>
    <s v="RBD World Wide Sdn Bhd"/>
    <x v="243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d v="2023-12-15T00:00:00"/>
    <x v="0"/>
    <x v="4"/>
    <s v="INV00000742"/>
    <s v="C00000043"/>
    <s v="RBD World Wide Sdn Bhd"/>
    <x v="319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d v="2023-12-15T00:00:00"/>
    <x v="0"/>
    <x v="4"/>
    <s v="INV00000742"/>
    <s v="C00000043"/>
    <s v="RBD World Wide Sdn Bhd"/>
    <x v="322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d v="2023-12-15T00:00:00"/>
    <x v="0"/>
    <x v="4"/>
    <s v="INV00000742"/>
    <s v="C00000043"/>
    <s v="RBD World Wide Sdn Bhd"/>
    <x v="138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d v="2023-12-15T00:00:00"/>
    <x v="0"/>
    <x v="4"/>
    <s v="INV00000742"/>
    <s v="C00000043"/>
    <s v="RBD World Wide Sdn Bhd"/>
    <x v="315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d v="2023-12-15T00:00:00"/>
    <x v="0"/>
    <x v="4"/>
    <s v="INV00000742"/>
    <s v="C00000043"/>
    <s v="RBD World Wide Sdn Bhd"/>
    <x v="273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d v="2023-12-15T00:00:00"/>
    <x v="0"/>
    <x v="4"/>
    <s v="INV00000742"/>
    <s v="C00000043"/>
    <s v="RBD World Wide Sdn Bhd"/>
    <x v="323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d v="2023-12-15T00:00:00"/>
    <x v="0"/>
    <x v="4"/>
    <s v="INV00000742"/>
    <s v="C00000043"/>
    <s v="RBD World Wide Sdn Bhd"/>
    <x v="323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d v="2023-12-15T00:00:00"/>
    <x v="0"/>
    <x v="4"/>
    <s v="CN15/12/2023"/>
    <s v="C00000043"/>
    <s v="RBD World Wide Sdn Bhd"/>
    <x v="324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d v="2023-12-15T00:00:00"/>
    <x v="0"/>
    <x v="4"/>
    <s v="INV00000742"/>
    <s v="C00000043"/>
    <s v="RBD World Wide Sdn Bhd"/>
    <x v="325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d v="2023-12-16T00:00:00"/>
    <x v="0"/>
    <x v="4"/>
    <s v="INV00000743"/>
    <s v="C00000014"/>
    <s v="IK Fibre Glass Enterprise"/>
    <x v="45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d v="2023-12-16T00:00:00"/>
    <x v="0"/>
    <x v="4"/>
    <s v="INV00000743"/>
    <s v="C00000014"/>
    <s v="IK Fibre Glass Enterprise"/>
    <x v="316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d v="2023-12-16T00:00:00"/>
    <x v="0"/>
    <x v="4"/>
    <s v="INV00000743"/>
    <s v="C00000014"/>
    <s v="IK Fibre Glass Enterprise"/>
    <x v="246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d v="2023-12-16T00:00:00"/>
    <x v="0"/>
    <x v="4"/>
    <s v="INV00000743"/>
    <s v="C00000014"/>
    <s v="IK Fibre Glass Enterprise"/>
    <x v="315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d v="2023-12-16T00:00:00"/>
    <x v="0"/>
    <x v="4"/>
    <s v="INV00000743"/>
    <s v="C00000014"/>
    <s v="IK Fibre Glass Enterprise"/>
    <x v="4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d v="2023-12-16T00:00:00"/>
    <x v="0"/>
    <x v="4"/>
    <s v="INV00000743"/>
    <s v="C00000014"/>
    <s v="IK Fibre Glass Enterprise"/>
    <x v="293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d v="2023-12-16T00:00:00"/>
    <x v="0"/>
    <x v="4"/>
    <s v="INV00000743"/>
    <s v="C00000014"/>
    <s v="IK Fibre Glass Enterprise"/>
    <x v="273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d v="2023-12-16T00:00:00"/>
    <x v="0"/>
    <x v="4"/>
    <s v="INV00000743"/>
    <s v="C00000014"/>
    <s v="IK Fibre Glass Enterprise"/>
    <x v="223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d v="2023-12-16T00:00:00"/>
    <x v="0"/>
    <x v="4"/>
    <s v="INV00000744"/>
    <s v="C00000044"/>
    <s v="Cash - Encik Razzak"/>
    <x v="45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d v="2023-12-16T00:00:00"/>
    <x v="0"/>
    <x v="4"/>
    <s v="INV00000744"/>
    <s v="C00000044"/>
    <s v="Cash - Encik Razzak"/>
    <x v="246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d v="2023-12-16T00:00:00"/>
    <x v="0"/>
    <x v="4"/>
    <s v="INV00000744"/>
    <s v="C00000044"/>
    <s v="Cash - Encik Razzak"/>
    <x v="4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d v="2023-12-16T00:00:00"/>
    <x v="0"/>
    <x v="4"/>
    <s v="INV00000745"/>
    <s v="C00000042"/>
    <s v="Welltech (M) Sdn Bhd"/>
    <x v="132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d v="2023-12-16T00:00:00"/>
    <x v="0"/>
    <x v="4"/>
    <s v="INV00000746"/>
    <s v="C00000042"/>
    <s v="Welltech (M) Sdn Bhd"/>
    <x v="188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d v="2023-12-16T00:00:00"/>
    <x v="0"/>
    <x v="4"/>
    <s v="INV00000746"/>
    <s v="C00000042"/>
    <s v="Welltech (M) Sdn Bhd"/>
    <x v="326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d v="2023-12-16T00:00:00"/>
    <x v="0"/>
    <x v="4"/>
    <s v="INV00000746"/>
    <s v="C00000042"/>
    <s v="Welltech (M) Sdn Bhd"/>
    <x v="301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d v="2023-12-16T00:00:00"/>
    <x v="0"/>
    <x v="4"/>
    <s v="INV00000746"/>
    <s v="C00000042"/>
    <s v="Welltech (M) Sdn Bhd"/>
    <x v="171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d v="2023-12-18T00:00:00"/>
    <x v="0"/>
    <x v="4"/>
    <s v="INV00000747"/>
    <s v="C00000021"/>
    <s v="KT Profesional Fiber"/>
    <x v="15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d v="2023-12-18T00:00:00"/>
    <x v="0"/>
    <x v="4"/>
    <s v="INV00000747"/>
    <s v="C00000021"/>
    <s v="KT Profesional Fiber"/>
    <x v="318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d v="2023-12-18T00:00:00"/>
    <x v="0"/>
    <x v="4"/>
    <s v="INV00000747"/>
    <s v="C00000021"/>
    <s v="KT Profesional Fiber"/>
    <x v="171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d v="2023-12-18T00:00:00"/>
    <x v="0"/>
    <x v="4"/>
    <s v="INV00000747"/>
    <s v="C00000021"/>
    <s v="KT Profesional Fiber"/>
    <x v="319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d v="2023-12-18T00:00:00"/>
    <x v="0"/>
    <x v="4"/>
    <s v="INV00000748"/>
    <s v="C00000010"/>
    <s v="Yew Seng Gardening Supply Sdn Bhd"/>
    <x v="320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d v="2023-12-19T00:00:00"/>
    <x v="0"/>
    <x v="4"/>
    <s v="INV00000749"/>
    <s v="C00000019"/>
    <s v="Desuki Affela Empire Enterprise"/>
    <x v="7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d v="2023-12-19T00:00:00"/>
    <x v="0"/>
    <x v="4"/>
    <s v="INV00000749"/>
    <s v="C00000019"/>
    <s v="Desuki Affela Empire Enterprise"/>
    <x v="327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d v="2023-12-19T00:00:00"/>
    <x v="0"/>
    <x v="4"/>
    <s v="INV00000749"/>
    <s v="C00000019"/>
    <s v="Desuki Affela Empire Enterprise"/>
    <x v="319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d v="2023-12-19T00:00:00"/>
    <x v="0"/>
    <x v="4"/>
    <s v="INV00000749"/>
    <s v="C00000019"/>
    <s v="Desuki Affela Empire Enterprise"/>
    <x v="4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d v="2023-12-19T00:00:00"/>
    <x v="0"/>
    <x v="4"/>
    <s v="INV00000749"/>
    <s v="C00000019"/>
    <s v="Desuki Affela Empire Enterprise"/>
    <x v="131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d v="2023-12-19T00:00:00"/>
    <x v="0"/>
    <x v="4"/>
    <s v="INV00000750"/>
    <s v="C00000022"/>
    <s v="SF Engineering Solution"/>
    <x v="302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d v="2023-12-19T00:00:00"/>
    <x v="0"/>
    <x v="4"/>
    <s v="INV00000750"/>
    <s v="C00000022"/>
    <s v="SF Engineering Solution"/>
    <x v="246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d v="2023-12-19T00:00:00"/>
    <x v="0"/>
    <x v="4"/>
    <s v="INV00000750"/>
    <s v="C00000022"/>
    <s v="SF Engineering Solution"/>
    <x v="24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d v="2023-12-19T00:00:00"/>
    <x v="0"/>
    <x v="4"/>
    <s v="CN19122023"/>
    <s v="C00000022"/>
    <s v="SF Engineering Solution"/>
    <x v="324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d v="2023-12-20T00:00:00"/>
    <x v="0"/>
    <x v="4"/>
    <s v="INV00000751"/>
    <s v="C00000037"/>
    <s v="Suntruck Sdn Bhd"/>
    <x v="188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d v="2023-12-20T00:00:00"/>
    <x v="0"/>
    <x v="4"/>
    <s v="INV00000751"/>
    <s v="C00000037"/>
    <s v="Suntruck Sdn Bhd"/>
    <x v="328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d v="2023-12-20T00:00:00"/>
    <x v="0"/>
    <x v="4"/>
    <s v="INV00000751"/>
    <s v="C00000037"/>
    <s v="Suntruck Sdn Bhd"/>
    <x v="223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d v="2023-12-20T00:00:00"/>
    <x v="0"/>
    <x v="4"/>
    <s v="INV00000751"/>
    <s v="C00000037"/>
    <s v="Suntruck Sdn Bhd"/>
    <x v="319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d v="2023-12-20T00:00:00"/>
    <x v="0"/>
    <x v="4"/>
    <s v="INV00000751"/>
    <s v="C00000037"/>
    <s v="Suntruck Sdn Bhd"/>
    <x v="329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d v="2023-12-20T00:00:00"/>
    <x v="0"/>
    <x v="4"/>
    <s v="INV00000751"/>
    <s v="C00000037"/>
    <s v="Suntruck Sdn Bhd"/>
    <x v="171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d v="2023-12-20T00:00:00"/>
    <x v="0"/>
    <x v="4"/>
    <s v="INV00000751"/>
    <s v="C00000037"/>
    <s v="Suntruck Sdn Bhd"/>
    <x v="141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d v="2023-12-21T00:00:00"/>
    <x v="0"/>
    <x v="4"/>
    <s v="INV00000752"/>
    <s v="C00000042"/>
    <s v="Welltech (M) Sdn Bhd"/>
    <x v="132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d v="2023-12-21T00:00:00"/>
    <x v="0"/>
    <x v="4"/>
    <s v="INV00000753"/>
    <s v="C00000042"/>
    <s v="Welltech (M) Sdn Bhd"/>
    <x v="188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d v="2023-12-21T00:00:00"/>
    <x v="0"/>
    <x v="4"/>
    <s v="INV00000753"/>
    <s v="C00000042"/>
    <s v="Welltech (M) Sdn Bhd"/>
    <x v="314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d v="2023-12-21T00:00:00"/>
    <x v="0"/>
    <x v="4"/>
    <s v="INV00000753"/>
    <s v="C00000042"/>
    <s v="Welltech (M) Sdn Bhd"/>
    <x v="301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d v="2023-12-21T00:00:00"/>
    <x v="0"/>
    <x v="4"/>
    <s v="INV00000753"/>
    <s v="C00000042"/>
    <s v="Welltech (M) Sdn Bhd"/>
    <x v="171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d v="2023-12-21T00:00:00"/>
    <x v="0"/>
    <x v="4"/>
    <s v="INV00000753"/>
    <s v="C00000042"/>
    <s v="Welltech (M) Sdn Bhd"/>
    <x v="159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d v="2023-12-21T00:00:00"/>
    <x v="0"/>
    <x v="4"/>
    <s v="INV00000754"/>
    <s v="C00000026"/>
    <s v="Megapower Service"/>
    <x v="4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d v="2023-12-21T00:00:00"/>
    <x v="0"/>
    <x v="4"/>
    <s v="INV00000754"/>
    <s v="C00000026"/>
    <s v="Megapower Service"/>
    <x v="319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d v="2023-12-21T00:00:00"/>
    <x v="0"/>
    <x v="4"/>
    <s v="INV00000754"/>
    <s v="C00000026"/>
    <s v="Megapower Service"/>
    <x v="329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d v="2023-12-21T00:00:00"/>
    <x v="0"/>
    <x v="4"/>
    <s v="INV00000754"/>
    <s v="C00000026"/>
    <s v="Megapower Service"/>
    <x v="330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d v="2023-12-21T00:00:00"/>
    <x v="0"/>
    <x v="4"/>
    <s v="INV00000755"/>
    <s v="C00000043"/>
    <s v="RBD World Wide Sdn Bhd"/>
    <x v="15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d v="2023-12-21T00:00:00"/>
    <x v="0"/>
    <x v="4"/>
    <s v="INV00000755"/>
    <s v="C00000043"/>
    <s v="RBD World Wide Sdn Bhd"/>
    <x v="218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d v="2023-12-21T00:00:00"/>
    <x v="0"/>
    <x v="4"/>
    <s v="INV00000755"/>
    <s v="C00000043"/>
    <s v="RBD World Wide Sdn Bhd"/>
    <x v="320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d v="2023-12-21T00:00:00"/>
    <x v="0"/>
    <x v="4"/>
    <s v="INV00000755"/>
    <s v="C00000043"/>
    <s v="RBD World Wide Sdn Bhd"/>
    <x v="4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d v="2023-12-22T00:00:00"/>
    <x v="0"/>
    <x v="4"/>
    <s v="INV00000756"/>
    <s v="C00000026"/>
    <s v="Megapower Service"/>
    <x v="141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d v="2023-12-22T00:00:00"/>
    <x v="0"/>
    <x v="4"/>
    <s v="INV00000757"/>
    <s v="C00000021"/>
    <s v="KT Profesional Fiber"/>
    <x v="15"/>
    <n v="1"/>
    <s v="Cash"/>
    <n v="0"/>
    <d v="2023-12-22T00:00:00"/>
    <n v="12"/>
    <n v="2023"/>
    <n v="1738"/>
    <m/>
    <n v="1738"/>
    <n v="4048712.1500000018"/>
    <s v="PD Chq"/>
    <m/>
    <m/>
  </r>
  <r>
    <d v="2023-12-22T00:00:00"/>
    <x v="0"/>
    <x v="4"/>
    <s v="INV00000757"/>
    <s v="C00000021"/>
    <s v="KT Profesional Fiber"/>
    <x v="171"/>
    <n v="1"/>
    <s v="Cash"/>
    <n v="0"/>
    <d v="2023-12-22T00:00:00"/>
    <n v="12"/>
    <n v="2023"/>
    <n v="95"/>
    <m/>
    <n v="95"/>
    <n v="4048807.1500000018"/>
    <s v="PD Chq"/>
    <m/>
    <m/>
  </r>
  <r>
    <d v="2023-12-22T00:00:00"/>
    <x v="0"/>
    <x v="4"/>
    <s v="INV00000757"/>
    <s v="C00000021"/>
    <s v="KT Profesional Fiber"/>
    <x v="319"/>
    <n v="5"/>
    <s v="Cash"/>
    <n v="0"/>
    <d v="2023-12-22T00:00:00"/>
    <n v="12"/>
    <n v="2023"/>
    <n v="312.5"/>
    <m/>
    <n v="312.5"/>
    <n v="4049119.6500000018"/>
    <s v="PD Chq"/>
    <m/>
    <m/>
  </r>
  <r>
    <d v="2023-12-27T00:00:00"/>
    <x v="0"/>
    <x v="4"/>
    <s v="INV00000758"/>
    <s v="C00000042"/>
    <s v="Welltech (M) Sdn Bhd"/>
    <x v="319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d v="2023-12-27T00:00:00"/>
    <x v="0"/>
    <x v="4"/>
    <s v="INV00000759"/>
    <s v="C00000042"/>
    <s v="Welltech (M) Sdn Bhd"/>
    <x v="278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d v="2023-12-27T00:00:00"/>
    <x v="0"/>
    <x v="4"/>
    <s v="INV00000759"/>
    <s v="C00000042"/>
    <s v="Welltech (M) Sdn Bhd"/>
    <x v="246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d v="2023-12-27T00:00:00"/>
    <x v="0"/>
    <x v="4"/>
    <s v="INV00000759"/>
    <s v="C00000042"/>
    <s v="Welltech (M) Sdn Bhd"/>
    <x v="301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d v="2023-12-27T00:00:00"/>
    <x v="0"/>
    <x v="4"/>
    <s v="INV00000759"/>
    <s v="C00000042"/>
    <s v="Welltech (M) Sdn Bhd"/>
    <x v="159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d v="2023-12-30T00:00:00"/>
    <x v="0"/>
    <x v="4"/>
    <s v="INV00000760"/>
    <s v="C00000042"/>
    <s v="Welltech (M) Sdn Bhd"/>
    <x v="319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d v="2023-12-30T00:00:00"/>
    <x v="0"/>
    <x v="4"/>
    <s v="INV00000761"/>
    <s v="C00000042"/>
    <s v="Welltech (M) Sdn Bhd"/>
    <x v="188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d v="2023-12-30T00:00:00"/>
    <x v="0"/>
    <x v="4"/>
    <s v="INV00000761"/>
    <s v="C00000042"/>
    <s v="Welltech (M) Sdn Bhd"/>
    <x v="246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d v="2023-12-30T00:00:00"/>
    <x v="0"/>
    <x v="4"/>
    <s v="INV00000761"/>
    <s v="C00000042"/>
    <s v="Welltech (M) Sdn Bhd"/>
    <x v="301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d v="2023-12-30T00:00:00"/>
    <x v="0"/>
    <x v="4"/>
    <s v="INV00000761"/>
    <s v="C00000042"/>
    <s v="Welltech (M) Sdn Bhd"/>
    <x v="164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d v="2023-12-30T00:00:00"/>
    <x v="0"/>
    <x v="4"/>
    <s v="INV00000761"/>
    <s v="C00000042"/>
    <s v="Welltech (M) Sdn Bhd"/>
    <x v="171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d v="2023-12-30T00:00:00"/>
    <x v="0"/>
    <x v="4"/>
    <s v="INV00000761"/>
    <s v="C00000042"/>
    <s v="Welltech (M) Sdn Bhd"/>
    <x v="159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d v="2023-12-30T00:00:00"/>
    <x v="0"/>
    <x v="4"/>
    <s v="INV00000762"/>
    <s v="C00000021"/>
    <s v="KT Profesional Fiber"/>
    <x v="15"/>
    <n v="1"/>
    <s v="Cash"/>
    <n v="0"/>
    <d v="2023-12-30T00:00:00"/>
    <n v="12"/>
    <n v="2023"/>
    <n v="1738"/>
    <m/>
    <n v="1738"/>
    <n v="4078477.1500000018"/>
    <s v="PD Chq"/>
    <m/>
    <m/>
  </r>
  <r>
    <d v="2023-12-30T00:00:00"/>
    <x v="0"/>
    <x v="4"/>
    <s v="INV00000762"/>
    <s v="C00000021"/>
    <s v="KT Profesional Fiber"/>
    <x v="318"/>
    <n v="1"/>
    <s v="Cash"/>
    <n v="0"/>
    <d v="2023-12-30T00:00:00"/>
    <n v="12"/>
    <n v="2023"/>
    <n v="277.5"/>
    <m/>
    <n v="277.5"/>
    <n v="4078754.6500000018"/>
    <s v="PD Chq"/>
    <m/>
    <m/>
  </r>
  <r>
    <d v="2023-12-30T00:00:00"/>
    <x v="0"/>
    <x v="4"/>
    <s v="INV00000762"/>
    <s v="C00000021"/>
    <s v="KT Profesional Fiber"/>
    <x v="171"/>
    <n v="1"/>
    <s v="Cash"/>
    <n v="0"/>
    <d v="2023-12-30T00:00:00"/>
    <n v="12"/>
    <n v="2023"/>
    <n v="95"/>
    <m/>
    <n v="95"/>
    <n v="4078849.6500000018"/>
    <s v="PD Chq"/>
    <m/>
    <m/>
  </r>
  <r>
    <d v="2023-12-30T00:00:00"/>
    <x v="0"/>
    <x v="4"/>
    <s v="INV00000762"/>
    <s v="C00000021"/>
    <s v="KT Profesional Fiber"/>
    <x v="319"/>
    <n v="5"/>
    <s v="Cash"/>
    <n v="0"/>
    <d v="2023-12-30T00:00:00"/>
    <n v="12"/>
    <n v="2023"/>
    <n v="312.5"/>
    <m/>
    <n v="312.5"/>
    <n v="4079162.1500000018"/>
    <s v="PD Chq"/>
    <m/>
    <m/>
  </r>
  <r>
    <d v="2023-12-30T00:00:00"/>
    <x v="0"/>
    <x v="4"/>
    <s v="INV00000763"/>
    <s v="C00000019"/>
    <s v="Desuki Affela Empire Enterprise"/>
    <x v="7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d v="2023-12-30T00:00:00"/>
    <x v="0"/>
    <x v="4"/>
    <s v="INV00000763"/>
    <s v="C00000019"/>
    <s v="Desuki Affela Empire Enterprise"/>
    <x v="243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d v="2023-12-30T00:00:00"/>
    <x v="0"/>
    <x v="4"/>
    <s v="INV00000763"/>
    <s v="C00000019"/>
    <s v="Desuki Affela Empire Enterprise"/>
    <x v="4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d v="2023-12-30T00:00:00"/>
    <x v="0"/>
    <x v="4"/>
    <s v="INV00000763"/>
    <s v="C00000019"/>
    <s v="Desuki Affela Empire Enterprise"/>
    <x v="153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d v="2024-01-03T00:00:00"/>
    <x v="7"/>
    <x v="5"/>
    <s v="INV00000764"/>
    <s v="C00000014"/>
    <s v="IK Fibre Glass Enterprise"/>
    <x v="45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d v="2024-01-03T00:00:00"/>
    <x v="7"/>
    <x v="5"/>
    <s v="INV00000764"/>
    <s v="C00000014"/>
    <s v="IK Fibre Glass Enterprise"/>
    <x v="246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d v="2024-01-03T00:00:00"/>
    <x v="7"/>
    <x v="5"/>
    <s v="INV00000765"/>
    <s v="C00000006"/>
    <s v="Perniagaan Fibra Sahih"/>
    <x v="7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d v="2024-01-03T00:00:00"/>
    <x v="7"/>
    <x v="5"/>
    <s v="INV00000765"/>
    <s v="C00000006"/>
    <s v="Perniagaan Fibra Sahih"/>
    <x v="246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d v="2024-01-03T00:00:00"/>
    <x v="7"/>
    <x v="5"/>
    <s v="INV00000765"/>
    <s v="C00000006"/>
    <s v="Perniagaan Fibra Sahih"/>
    <x v="123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d v="2024-01-03T00:00:00"/>
    <x v="7"/>
    <x v="5"/>
    <s v="INV00000765"/>
    <s v="C00000006"/>
    <s v="Perniagaan Fibra Sahih"/>
    <x v="153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d v="2024-01-04T00:00:00"/>
    <x v="7"/>
    <x v="5"/>
    <s v="INV00000766"/>
    <s v="C00000045"/>
    <s v="Kelnico Sdn Bhd"/>
    <x v="15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d v="2024-01-04T00:00:00"/>
    <x v="7"/>
    <x v="5"/>
    <s v="INV00000766"/>
    <s v="C00000045"/>
    <s v="Kelnico Sdn Bhd"/>
    <x v="148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d v="2024-01-04T00:00:00"/>
    <x v="7"/>
    <x v="5"/>
    <s v="INV00000766"/>
    <s v="C00000045"/>
    <s v="Kelnico Sdn Bhd"/>
    <x v="4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d v="2024-01-05T00:00:00"/>
    <x v="7"/>
    <x v="5"/>
    <s v="INV00000767"/>
    <s v="C00000021"/>
    <s v="KT Profesional Fiber"/>
    <x v="15"/>
    <n v="1"/>
    <s v="Cash"/>
    <n v="0"/>
    <d v="2024-01-05T00:00:00"/>
    <n v="1"/>
    <n v="2024"/>
    <n v="1738"/>
    <m/>
    <n v="1738"/>
    <n v="4090963.1500000018"/>
    <s v="PD Chq"/>
    <m/>
    <m/>
  </r>
  <r>
    <d v="2024-01-05T00:00:00"/>
    <x v="7"/>
    <x v="5"/>
    <s v="INV00000767"/>
    <s v="C00000021"/>
    <s v="KT Profesional Fiber"/>
    <x v="318"/>
    <n v="2"/>
    <s v="Cash"/>
    <n v="0"/>
    <d v="2024-01-05T00:00:00"/>
    <n v="1"/>
    <n v="2024"/>
    <n v="555"/>
    <m/>
    <n v="555"/>
    <n v="4091518.1500000018"/>
    <s v="PD Chq"/>
    <m/>
    <m/>
  </r>
  <r>
    <d v="2024-01-05T00:00:00"/>
    <x v="7"/>
    <x v="5"/>
    <s v="INV00000767"/>
    <s v="C00000021"/>
    <s v="KT Profesional Fiber"/>
    <x v="171"/>
    <n v="1"/>
    <s v="Cash"/>
    <n v="0"/>
    <d v="2024-01-05T00:00:00"/>
    <n v="1"/>
    <n v="2024"/>
    <n v="95"/>
    <m/>
    <n v="95"/>
    <n v="4091613.1500000018"/>
    <s v="PD Chq"/>
    <m/>
    <m/>
  </r>
  <r>
    <d v="2024-01-06T00:00:00"/>
    <x v="7"/>
    <x v="5"/>
    <s v="INV00000768"/>
    <s v="C00000043"/>
    <s v="RBD World Wide Sdn Bhd"/>
    <x v="15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d v="2024-01-06T00:00:00"/>
    <x v="7"/>
    <x v="5"/>
    <s v="INV00000768"/>
    <s v="C00000043"/>
    <s v="RBD World Wide Sdn Bhd"/>
    <x v="218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d v="2024-01-06T00:00:00"/>
    <x v="7"/>
    <x v="5"/>
    <s v="INV00000768"/>
    <s v="C00000043"/>
    <s v="RBD World Wide Sdn Bhd"/>
    <x v="52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d v="2024-01-06T00:00:00"/>
    <x v="7"/>
    <x v="5"/>
    <s v="INV00000768"/>
    <s v="C00000043"/>
    <s v="RBD World Wide Sdn Bhd"/>
    <x v="319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d v="2024-01-06T00:00:00"/>
    <x v="7"/>
    <x v="5"/>
    <s v="INV00000768"/>
    <s v="C00000043"/>
    <s v="RBD World Wide Sdn Bhd"/>
    <x v="325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d v="2024-01-06T00:00:00"/>
    <x v="7"/>
    <x v="5"/>
    <s v="INV00000768"/>
    <s v="C00000043"/>
    <s v="RBD World Wide Sdn Bhd"/>
    <x v="329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d v="2024-01-06T00:00:00"/>
    <x v="7"/>
    <x v="5"/>
    <s v="INV00000768"/>
    <s v="C00000043"/>
    <s v="RBD World Wide Sdn Bhd"/>
    <x v="4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d v="2024-01-06T00:00:00"/>
    <x v="7"/>
    <x v="5"/>
    <s v="INV00000768"/>
    <s v="C00000043"/>
    <s v="RBD World Wide Sdn Bhd"/>
    <x v="218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d v="2024-01-08T00:00:00"/>
    <x v="7"/>
    <x v="5"/>
    <s v="INV00000769"/>
    <s v="C00000009"/>
    <s v="JMC Steel Engineering Sdn Bhd"/>
    <x v="7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d v="2024-01-08T00:00:00"/>
    <x v="7"/>
    <x v="5"/>
    <s v="INV00000769"/>
    <s v="C00000009"/>
    <s v="JMC Steel Engineering Sdn Bhd"/>
    <x v="43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d v="2024-01-08T00:00:00"/>
    <x v="7"/>
    <x v="5"/>
    <s v="INV00000769"/>
    <s v="C00000009"/>
    <s v="JMC Steel Engineering Sdn Bhd"/>
    <x v="225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d v="2024-01-08T00:00:00"/>
    <x v="7"/>
    <x v="5"/>
    <s v="INV00000769"/>
    <s v="C00000009"/>
    <s v="JMC Steel Engineering Sdn Bhd"/>
    <x v="218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d v="2024-01-08T00:00:00"/>
    <x v="7"/>
    <x v="5"/>
    <s v="INV00000769"/>
    <s v="C00000009"/>
    <s v="JMC Steel Engineering Sdn Bhd"/>
    <x v="4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d v="2024-01-09T00:00:00"/>
    <x v="7"/>
    <x v="5"/>
    <s v="INV00000770"/>
    <s v="C00000044"/>
    <s v="Cash - Encik Razzak"/>
    <x v="45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d v="2024-01-09T00:00:00"/>
    <x v="7"/>
    <x v="5"/>
    <s v="INV00000770"/>
    <s v="C00000044"/>
    <s v="Cash - Encik Razzak"/>
    <x v="246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d v="2024-01-10T00:00:00"/>
    <x v="7"/>
    <x v="5"/>
    <s v="INV00000771"/>
    <s v="C00000019"/>
    <s v="Desuki Affela Empire Enterprise"/>
    <x v="7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d v="2024-01-10T00:00:00"/>
    <x v="7"/>
    <x v="5"/>
    <s v="INV00000771"/>
    <s v="C00000019"/>
    <s v="Desuki Affela Empire Enterprise"/>
    <x v="141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d v="2024-01-10T00:00:00"/>
    <x v="7"/>
    <x v="5"/>
    <s v="INV00000771"/>
    <s v="C00000019"/>
    <s v="Desuki Affela Empire Enterprise"/>
    <x v="319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d v="2024-01-10T00:00:00"/>
    <x v="7"/>
    <x v="5"/>
    <s v="INV00000772"/>
    <s v="C00000042"/>
    <s v="Welltech (M) Sdn Bhd"/>
    <x v="319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d v="2024-01-10T00:00:00"/>
    <x v="7"/>
    <x v="5"/>
    <s v="INV00000773"/>
    <s v="C00000042"/>
    <s v="Welltech (M) Sdn Bhd"/>
    <x v="188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d v="2024-01-10T00:00:00"/>
    <x v="7"/>
    <x v="5"/>
    <s v="INV00000773"/>
    <s v="C00000042"/>
    <s v="Welltech (M) Sdn Bhd"/>
    <x v="331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d v="2024-01-10T00:00:00"/>
    <x v="7"/>
    <x v="5"/>
    <s v="INV00000773"/>
    <s v="C00000042"/>
    <s v="Welltech (M) Sdn Bhd"/>
    <x v="246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d v="2024-01-10T00:00:00"/>
    <x v="7"/>
    <x v="5"/>
    <s v="INV00000773"/>
    <s v="C00000042"/>
    <s v="Welltech (M) Sdn Bhd"/>
    <x v="301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d v="2024-01-10T00:00:00"/>
    <x v="7"/>
    <x v="5"/>
    <s v="INV00000773"/>
    <s v="C00000042"/>
    <s v="Welltech (M) Sdn Bhd"/>
    <x v="159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d v="2024-01-12T00:00:00"/>
    <x v="7"/>
    <x v="5"/>
    <s v="INV00000774"/>
    <s v="C00000010"/>
    <s v="Yew Seng Gardening Supply Sdn Bhd"/>
    <x v="188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d v="2024-01-12T00:00:00"/>
    <x v="7"/>
    <x v="5"/>
    <s v="INV00000774"/>
    <s v="C00000010"/>
    <s v="Yew Seng Gardening Supply Sdn Bhd"/>
    <x v="318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d v="2024-01-12T00:00:00"/>
    <x v="7"/>
    <x v="5"/>
    <s v="INV00000774"/>
    <s v="C00000010"/>
    <s v="Yew Seng Gardening Supply Sdn Bhd"/>
    <x v="132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d v="2024-01-12T00:00:00"/>
    <x v="7"/>
    <x v="5"/>
    <s v="INV00000774"/>
    <s v="C00000010"/>
    <s v="Yew Seng Gardening Supply Sdn Bhd"/>
    <x v="4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d v="2024-01-15T00:00:00"/>
    <x v="7"/>
    <x v="5"/>
    <s v="INV00000775"/>
    <s v="C00000021"/>
    <s v="KT Profesional Fiber"/>
    <x v="15"/>
    <n v="1"/>
    <s v="Cash"/>
    <n v="0"/>
    <d v="2024-01-15T00:00:00"/>
    <n v="1"/>
    <n v="2024"/>
    <n v="1738"/>
    <m/>
    <n v="1738"/>
    <n v="4138466.7500000014"/>
    <s v="PD Chq"/>
    <m/>
    <m/>
  </r>
  <r>
    <d v="2024-01-15T00:00:00"/>
    <x v="7"/>
    <x v="5"/>
    <s v="INV00000775"/>
    <s v="C00000021"/>
    <s v="KT Profesional Fiber"/>
    <x v="318"/>
    <n v="2"/>
    <s v="Cash"/>
    <n v="0"/>
    <d v="2024-01-15T00:00:00"/>
    <n v="1"/>
    <n v="2024"/>
    <n v="555"/>
    <m/>
    <n v="555"/>
    <n v="4139021.7500000014"/>
    <s v="PD Chq"/>
    <m/>
    <m/>
  </r>
  <r>
    <d v="2024-01-15T00:00:00"/>
    <x v="7"/>
    <x v="5"/>
    <s v="INV00000775"/>
    <s v="C00000021"/>
    <s v="KT Profesional Fiber"/>
    <x v="171"/>
    <n v="1"/>
    <s v="Cash"/>
    <n v="0"/>
    <d v="2024-01-15T00:00:00"/>
    <n v="1"/>
    <n v="2024"/>
    <n v="95"/>
    <m/>
    <n v="95"/>
    <n v="4139116.7500000014"/>
    <s v="PD Chq"/>
    <m/>
    <m/>
  </r>
  <r>
    <d v="2024-01-15T00:00:00"/>
    <x v="7"/>
    <x v="5"/>
    <s v="INV00000775"/>
    <s v="C00000021"/>
    <s v="KT Profesional Fiber"/>
    <x v="319"/>
    <n v="5"/>
    <s v="Cash"/>
    <n v="0"/>
    <d v="2024-01-15T00:00:00"/>
    <n v="1"/>
    <n v="2024"/>
    <n v="312.5"/>
    <m/>
    <n v="312.5"/>
    <n v="4139429.2500000014"/>
    <s v="PD Chq"/>
    <m/>
    <m/>
  </r>
  <r>
    <d v="2024-01-17T00:00:00"/>
    <x v="7"/>
    <x v="5"/>
    <s v="INV00000776"/>
    <s v="C00000019"/>
    <s v="Desuki Affela Empire Enterprise"/>
    <x v="225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d v="2024-01-17T00:00:00"/>
    <x v="7"/>
    <x v="5"/>
    <s v="INV00000776"/>
    <s v="C00000019"/>
    <s v="Desuki Affela Empire Enterprise"/>
    <x v="243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d v="2024-01-20T00:00:00"/>
    <x v="7"/>
    <x v="5"/>
    <s v="INV00000777"/>
    <s v="C00000046"/>
    <s v="Berkat Fibreglass"/>
    <x v="62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d v="2024-01-20T00:00:00"/>
    <x v="7"/>
    <x v="5"/>
    <s v="INV00000777"/>
    <s v="C00000046"/>
    <s v="Berkat Fibreglass"/>
    <x v="246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d v="2024-01-20T00:00:00"/>
    <x v="7"/>
    <x v="5"/>
    <s v="INV00000777"/>
    <s v="C00000046"/>
    <s v="Berkat Fibreglass"/>
    <x v="311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d v="2024-01-20T00:00:00"/>
    <x v="7"/>
    <x v="5"/>
    <s v="INV00000777"/>
    <s v="C00000046"/>
    <s v="Berkat Fibreglass"/>
    <x v="4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d v="2024-01-20T00:00:00"/>
    <x v="7"/>
    <x v="5"/>
    <s v="INV00000777"/>
    <s v="C00000046"/>
    <s v="Berkat Fibreglass"/>
    <x v="282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d v="2024-01-20T00:00:00"/>
    <x v="7"/>
    <x v="5"/>
    <s v="INV00000777"/>
    <s v="C00000046"/>
    <s v="Berkat Fibreglass"/>
    <x v="283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d v="2024-01-20T00:00:00"/>
    <x v="7"/>
    <x v="5"/>
    <s v="INV00000777"/>
    <s v="C00000046"/>
    <s v="Berkat Fibreglass"/>
    <x v="320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d v="2024-01-20T00:00:00"/>
    <x v="7"/>
    <x v="5"/>
    <s v="INV00000777"/>
    <s v="C00000046"/>
    <s v="Berkat Fibreglass"/>
    <x v="141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d v="2024-01-20T00:00:00"/>
    <x v="7"/>
    <x v="5"/>
    <s v="INV00000777"/>
    <s v="C00000046"/>
    <s v="Berkat Fibreglass"/>
    <x v="123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d v="2024-01-19T00:00:00"/>
    <x v="7"/>
    <x v="5"/>
    <s v="INV00000778"/>
    <s v="C00000019"/>
    <s v="Desuki Affela Empire Enterprise"/>
    <x v="7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d v="2024-01-19T00:00:00"/>
    <x v="7"/>
    <x v="5"/>
    <s v="INV00000778"/>
    <s v="C00000019"/>
    <s v="Desuki Affela Empire Enterprise"/>
    <x v="317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d v="2024-01-19T00:00:00"/>
    <x v="7"/>
    <x v="5"/>
    <s v="INV00000778"/>
    <s v="C00000019"/>
    <s v="Desuki Affela Empire Enterprise"/>
    <x v="132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d v="2024-01-19T00:00:00"/>
    <x v="7"/>
    <x v="5"/>
    <s v="INV00000778"/>
    <s v="C00000019"/>
    <s v="Desuki Affela Empire Enterprise"/>
    <x v="153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d v="2024-01-20T00:00:00"/>
    <x v="7"/>
    <x v="5"/>
    <s v="INV00000779"/>
    <s v="C00000042"/>
    <s v="Welltech (M) Sdn Bhd"/>
    <x v="319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d v="2024-01-20T00:00:00"/>
    <x v="7"/>
    <x v="5"/>
    <s v="INV00000780"/>
    <s v="C00000042"/>
    <s v="Welltech (M) Sdn Bhd"/>
    <x v="278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d v="2024-01-20T00:00:00"/>
    <x v="7"/>
    <x v="5"/>
    <s v="INV00000780"/>
    <s v="C00000042"/>
    <s v="Welltech (M) Sdn Bhd"/>
    <x v="246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d v="2024-01-20T00:00:00"/>
    <x v="7"/>
    <x v="5"/>
    <s v="INV00000780"/>
    <s v="C00000042"/>
    <s v="Welltech (M) Sdn Bhd"/>
    <x v="301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d v="2024-01-20T00:00:00"/>
    <x v="7"/>
    <x v="5"/>
    <s v="INV00000780"/>
    <s v="C00000042"/>
    <s v="Welltech (M) Sdn Bhd"/>
    <x v="171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d v="2024-01-22T00:00:00"/>
    <x v="7"/>
    <x v="5"/>
    <s v="INV00000781"/>
    <s v="C00000046"/>
    <s v="Berkat Fibreglass"/>
    <x v="132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d v="2024-01-23T00:00:00"/>
    <x v="7"/>
    <x v="5"/>
    <s v="INV00000782"/>
    <s v="C00000044"/>
    <s v="Cash - Encik Razzak"/>
    <x v="332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d v="2024-01-23T00:00:00"/>
    <x v="7"/>
    <x v="5"/>
    <s v="INV00000782"/>
    <s v="C00000044"/>
    <s v="Cash - Encik Razzak"/>
    <x v="333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d v="2024-01-23T00:00:00"/>
    <x v="7"/>
    <x v="5"/>
    <s v="INV00000782"/>
    <s v="C00000044"/>
    <s v="Cash - Encik Razzak"/>
    <x v="334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d v="2024-01-23T00:00:00"/>
    <x v="7"/>
    <x v="5"/>
    <s v="INV00000782"/>
    <s v="C00000044"/>
    <s v="Cash - Encik Razzak"/>
    <x v="117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d v="2024-01-23T00:00:00"/>
    <x v="7"/>
    <x v="5"/>
    <s v="INV00000782"/>
    <s v="C00000044"/>
    <s v="Cash - Encik Razzak"/>
    <x v="335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d v="2024-01-23T00:00:00"/>
    <x v="7"/>
    <x v="5"/>
    <s v="INV00000782"/>
    <s v="C00000044"/>
    <s v="Cash - Encik Razzak"/>
    <x v="336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d v="2024-01-23T00:00:00"/>
    <x v="7"/>
    <x v="5"/>
    <s v="INV00000782"/>
    <s v="C00000044"/>
    <s v="Cash - Encik Razzak"/>
    <x v="337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d v="2024-01-23T00:00:00"/>
    <x v="7"/>
    <x v="5"/>
    <s v="INV00000782"/>
    <s v="C00000044"/>
    <s v="Cash - Encik Razzak"/>
    <x v="236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d v="2024-01-24T00:00:00"/>
    <x v="7"/>
    <x v="5"/>
    <s v="INV00000783"/>
    <s v="C00000046"/>
    <s v="Berkat Fibreglass"/>
    <x v="15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d v="2024-01-24T00:00:00"/>
    <x v="7"/>
    <x v="5"/>
    <s v="INV00000783"/>
    <s v="C00000046"/>
    <s v="Berkat Fibreglass"/>
    <x v="246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d v="2024-01-24T00:00:00"/>
    <x v="7"/>
    <x v="5"/>
    <s v="INV00000783"/>
    <s v="C00000046"/>
    <s v="Berkat Fibreglass"/>
    <x v="311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d v="2024-01-29T00:00:00"/>
    <x v="7"/>
    <x v="5"/>
    <s v="INV00000784"/>
    <s v="C00000042"/>
    <s v="Welltech (M) Sdn Bhd"/>
    <x v="319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d v="2024-01-29T00:00:00"/>
    <x v="7"/>
    <x v="5"/>
    <s v="INV00000785"/>
    <s v="C00000042"/>
    <s v="Welltech (M) Sdn Bhd"/>
    <x v="278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d v="2024-01-29T00:00:00"/>
    <x v="7"/>
    <x v="5"/>
    <s v="INV00000785"/>
    <s v="C00000042"/>
    <s v="Welltech (M) Sdn Bhd"/>
    <x v="246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d v="2024-01-29T00:00:00"/>
    <x v="7"/>
    <x v="5"/>
    <s v="INV00000785"/>
    <s v="C00000042"/>
    <s v="Welltech (M) Sdn Bhd"/>
    <x v="301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d v="2024-01-31T00:00:00"/>
    <x v="7"/>
    <x v="5"/>
    <s v="INV00000786"/>
    <s v="C00000042"/>
    <s v="Welltech (M) Sdn Bhd"/>
    <x v="319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d v="2024-01-31T00:00:00"/>
    <x v="7"/>
    <x v="5"/>
    <s v="INV00000787"/>
    <s v="C00000042"/>
    <s v="Welltech (M) Sdn Bhd"/>
    <x v="278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d v="2024-01-31T00:00:00"/>
    <x v="7"/>
    <x v="5"/>
    <s v="INV00000787"/>
    <s v="C00000042"/>
    <s v="Welltech (M) Sdn Bhd"/>
    <x v="246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d v="2024-01-31T00:00:00"/>
    <x v="7"/>
    <x v="5"/>
    <s v="INV00000787"/>
    <s v="C00000042"/>
    <s v="Welltech (M) Sdn Bhd"/>
    <x v="331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d v="2024-01-31T00:00:00"/>
    <x v="7"/>
    <x v="5"/>
    <s v="INV00000787"/>
    <s v="C00000042"/>
    <s v="Welltech (M) Sdn Bhd"/>
    <x v="301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d v="2024-01-31T00:00:00"/>
    <x v="7"/>
    <x v="5"/>
    <s v="INV00000787"/>
    <s v="C00000042"/>
    <s v="Welltech (M) Sdn Bhd"/>
    <x v="311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d v="2024-01-31T00:00:00"/>
    <x v="7"/>
    <x v="5"/>
    <s v="INV00000787"/>
    <s v="C00000042"/>
    <s v="Welltech (M) Sdn Bhd"/>
    <x v="159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d v="2024-02-01T00:00:00"/>
    <x v="8"/>
    <x v="5"/>
    <s v="INV00000788"/>
    <s v="C00000019"/>
    <s v="Desuki Affela Empire Enterprise"/>
    <x v="7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d v="2024-02-01T00:00:00"/>
    <x v="8"/>
    <x v="5"/>
    <s v="INV00000788"/>
    <s v="C00000019"/>
    <s v="Desuki Affela Empire Enterprise"/>
    <x v="327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d v="2024-02-01T00:00:00"/>
    <x v="8"/>
    <x v="5"/>
    <s v="INV00000788"/>
    <s v="C00000019"/>
    <s v="Desuki Affela Empire Enterprise"/>
    <x v="4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d v="2024-02-01T00:00:00"/>
    <x v="8"/>
    <x v="5"/>
    <s v="INV00000788"/>
    <s v="C00000019"/>
    <s v="Desuki Affela Empire Enterprise"/>
    <x v="243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d v="2024-02-02T00:00:00"/>
    <x v="8"/>
    <x v="5"/>
    <s v="INV00000789"/>
    <s v="C00000037"/>
    <s v="Suntruck Sdn Bhd"/>
    <x v="188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d v="2024-02-02T00:00:00"/>
    <x v="8"/>
    <x v="5"/>
    <s v="INV00000789"/>
    <s v="C00000037"/>
    <s v="Suntruck Sdn Bhd"/>
    <x v="328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d v="2024-02-02T00:00:00"/>
    <x v="8"/>
    <x v="5"/>
    <s v="INV00000789"/>
    <s v="C00000037"/>
    <s v="Suntruck Sdn Bhd"/>
    <x v="223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d v="2024-02-02T00:00:00"/>
    <x v="8"/>
    <x v="5"/>
    <s v="INV00000789"/>
    <s v="C00000037"/>
    <s v="Suntruck Sdn Bhd"/>
    <x v="319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d v="2024-02-02T00:00:00"/>
    <x v="8"/>
    <x v="5"/>
    <s v="INV00000789"/>
    <s v="C00000037"/>
    <s v="Suntruck Sdn Bhd"/>
    <x v="171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d v="2024-02-02T00:00:00"/>
    <x v="8"/>
    <x v="5"/>
    <s v="INV00000790"/>
    <s v="C00000046"/>
    <s v="Berkat Fibreglass"/>
    <x v="331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d v="2024-02-03T00:00:00"/>
    <x v="8"/>
    <x v="5"/>
    <s v="INV00000791"/>
    <s v="C00000042"/>
    <s v="Welltech (M) Sdn Bhd"/>
    <x v="319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d v="2024-02-03T00:00:00"/>
    <x v="8"/>
    <x v="5"/>
    <s v="INV00000792"/>
    <s v="C00000042"/>
    <s v="Welltech (M) Sdn Bhd"/>
    <x v="188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d v="2024-02-03T00:00:00"/>
    <x v="8"/>
    <x v="5"/>
    <s v="INV00000792"/>
    <s v="C00000042"/>
    <s v="Welltech (M) Sdn Bhd"/>
    <x v="246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d v="2024-02-03T00:00:00"/>
    <x v="8"/>
    <x v="5"/>
    <s v="INV00000792"/>
    <s v="C00000042"/>
    <s v="Welltech (M) Sdn Bhd"/>
    <x v="331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d v="2024-02-03T00:00:00"/>
    <x v="8"/>
    <x v="5"/>
    <s v="INV00000792"/>
    <s v="C00000042"/>
    <s v="Welltech (M) Sdn Bhd"/>
    <x v="311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d v="2024-02-03T00:00:00"/>
    <x v="8"/>
    <x v="5"/>
    <s v="INV00000792"/>
    <s v="C00000042"/>
    <s v="Welltech (M) Sdn Bhd"/>
    <x v="303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d v="2024-02-03T00:00:00"/>
    <x v="8"/>
    <x v="5"/>
    <s v="INV00000792"/>
    <s v="C00000042"/>
    <s v="Welltech (M) Sdn Bhd"/>
    <x v="171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d v="2024-02-03T00:00:00"/>
    <x v="8"/>
    <x v="5"/>
    <s v="INV00000793"/>
    <s v="C00000042"/>
    <s v="Welltech (M) Sdn Bhd"/>
    <x v="159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d v="2024-02-05T00:00:00"/>
    <x v="8"/>
    <x v="5"/>
    <s v="INV00000794"/>
    <s v="C00000010"/>
    <s v="Yew Seng Gardening Supply Sdn Bhd"/>
    <x v="188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d v="2024-02-05T00:00:00"/>
    <x v="8"/>
    <x v="5"/>
    <s v="INV00000794"/>
    <s v="C00000010"/>
    <s v="Yew Seng Gardening Supply Sdn Bhd"/>
    <x v="215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d v="2024-02-05T00:00:00"/>
    <x v="8"/>
    <x v="5"/>
    <s v="INV00000794"/>
    <s v="C00000010"/>
    <s v="Yew Seng Gardening Supply Sdn Bhd"/>
    <x v="132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d v="2024-02-05T00:00:00"/>
    <x v="8"/>
    <x v="5"/>
    <s v="INV00000794"/>
    <s v="C00000010"/>
    <s v="Yew Seng Gardening Supply Sdn Bhd"/>
    <x v="4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d v="2024-02-05T00:00:00"/>
    <x v="8"/>
    <x v="5"/>
    <s v="INV00000794"/>
    <s v="C00000010"/>
    <s v="Yew Seng Gardening Supply Sdn Bhd"/>
    <x v="131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d v="2024-02-05T00:00:00"/>
    <x v="8"/>
    <x v="5"/>
    <s v="INV00000794"/>
    <s v="C00000010"/>
    <s v="Yew Seng Gardening Supply Sdn Bhd"/>
    <x v="48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d v="2024-02-06T00:00:00"/>
    <x v="8"/>
    <x v="5"/>
    <s v="INV00000795"/>
    <s v="C00000042"/>
    <s v="Welltech (M) Sdn Bhd"/>
    <x v="319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d v="2024-02-06T00:00:00"/>
    <x v="8"/>
    <x v="5"/>
    <s v="INV00000796"/>
    <s v="C00000042"/>
    <s v="Welltech (M) Sdn Bhd"/>
    <x v="188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d v="2024-02-06T00:00:00"/>
    <x v="8"/>
    <x v="5"/>
    <s v="INV00000796"/>
    <s v="C00000042"/>
    <s v="Welltech (M) Sdn Bhd"/>
    <x v="246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d v="2024-02-06T00:00:00"/>
    <x v="8"/>
    <x v="5"/>
    <s v="INV00000796"/>
    <s v="C00000042"/>
    <s v="Welltech (M) Sdn Bhd"/>
    <x v="301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d v="2024-02-06T00:00:00"/>
    <x v="8"/>
    <x v="5"/>
    <s v="INV00000796"/>
    <s v="C00000042"/>
    <s v="Welltech (M) Sdn Bhd"/>
    <x v="171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d v="2024-02-06T00:00:00"/>
    <x v="8"/>
    <x v="5"/>
    <s v="INV00000797"/>
    <s v="C00000026"/>
    <s v="Megapower Service"/>
    <x v="278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d v="2024-02-06T00:00:00"/>
    <x v="8"/>
    <x v="5"/>
    <s v="INV00000797"/>
    <s v="C00000026"/>
    <s v="Megapower Service"/>
    <x v="99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d v="2024-02-06T00:00:00"/>
    <x v="8"/>
    <x v="5"/>
    <s v="INV00000797"/>
    <s v="C00000026"/>
    <s v="Megapower Service"/>
    <x v="329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d v="2024-02-06T00:00:00"/>
    <x v="8"/>
    <x v="5"/>
    <s v="INV00000797"/>
    <s v="C00000026"/>
    <s v="Megapower Service"/>
    <x v="283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d v="2024-02-06T00:00:00"/>
    <x v="8"/>
    <x v="5"/>
    <s v="INV00000797"/>
    <s v="C00000026"/>
    <s v="Megapower Service"/>
    <x v="141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d v="2024-02-06T00:00:00"/>
    <x v="8"/>
    <x v="5"/>
    <s v="INV00000797"/>
    <s v="C00000026"/>
    <s v="Megapower Service"/>
    <x v="153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d v="2024-02-08T00:00:00"/>
    <x v="8"/>
    <x v="5"/>
    <s v="INV00000798"/>
    <s v="C00000046"/>
    <s v="Berkat Fibreglass"/>
    <x v="15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d v="2024-02-08T00:00:00"/>
    <x v="8"/>
    <x v="5"/>
    <s v="INV00000799"/>
    <s v="C00000010"/>
    <s v="Yew Seng Gardening Supply Sdn Bhd"/>
    <x v="188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d v="2024-02-08T00:00:00"/>
    <x v="8"/>
    <x v="5"/>
    <s v="INV00000799"/>
    <s v="C00000010"/>
    <s v="Yew Seng Gardening Supply Sdn Bhd"/>
    <x v="215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d v="2024-02-08T00:00:00"/>
    <x v="8"/>
    <x v="5"/>
    <s v="INV00000799"/>
    <s v="C00000010"/>
    <s v="Yew Seng Gardening Supply Sdn Bhd"/>
    <x v="132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d v="2024-02-08T00:00:00"/>
    <x v="8"/>
    <x v="5"/>
    <s v="INV00000799"/>
    <s v="C00000010"/>
    <s v="Yew Seng Gardening Supply Sdn Bhd"/>
    <x v="4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d v="2024-02-08T00:00:00"/>
    <x v="8"/>
    <x v="5"/>
    <s v="INV00000799"/>
    <s v="C00000010"/>
    <s v="Yew Seng Gardening Supply Sdn Bhd"/>
    <x v="131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d v="2024-02-08T00:00:00"/>
    <x v="8"/>
    <x v="5"/>
    <s v="INV00000799"/>
    <s v="C00000010"/>
    <s v="Yew Seng Gardening Supply Sdn Bhd"/>
    <x v="151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d v="2024-02-15T00:00:00"/>
    <x v="8"/>
    <x v="5"/>
    <s v="INV00000800"/>
    <s v="C00000019"/>
    <s v="Desuki Affela Empire Enterprise"/>
    <x v="120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d v="2024-02-15T00:00:00"/>
    <x v="8"/>
    <x v="5"/>
    <s v="INV00000800"/>
    <s v="C00000019"/>
    <s v="Desuki Affela Empire Enterprise"/>
    <x v="327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d v="2024-02-15T00:00:00"/>
    <x v="8"/>
    <x v="5"/>
    <s v="INV00000800"/>
    <s v="C00000019"/>
    <s v="Desuki Affela Empire Enterprise"/>
    <x v="132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d v="2024-02-15T00:00:00"/>
    <x v="8"/>
    <x v="5"/>
    <s v="INV00000800"/>
    <s v="C00000019"/>
    <s v="Desuki Affela Empire Enterprise"/>
    <x v="243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d v="2024-02-15T00:00:00"/>
    <x v="8"/>
    <x v="5"/>
    <s v="INV00000801"/>
    <s v="C00000010"/>
    <s v="Yew Seng Gardening Supply Sdn Bhd"/>
    <x v="132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d v="2024-02-15T00:00:00"/>
    <x v="8"/>
    <x v="5"/>
    <s v="INV00000801"/>
    <s v="C00000010"/>
    <s v="Yew Seng Gardening Supply Sdn Bhd"/>
    <x v="131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d v="2024-02-16T00:00:00"/>
    <x v="8"/>
    <x v="5"/>
    <s v="INV00000802"/>
    <s v="C00000021"/>
    <s v="KT Profesional Fiber"/>
    <x v="15"/>
    <n v="1"/>
    <s v="Cash"/>
    <n v="0"/>
    <d v="2024-02-16T00:00:00"/>
    <n v="2"/>
    <n v="2024"/>
    <n v="1738"/>
    <m/>
    <n v="1738"/>
    <n v="4292700.9500000011"/>
    <s v="PD Chq"/>
    <m/>
    <m/>
  </r>
  <r>
    <d v="2024-02-16T00:00:00"/>
    <x v="8"/>
    <x v="5"/>
    <s v="INV00000802"/>
    <s v="C00000021"/>
    <s v="KT Profesional Fiber"/>
    <x v="329"/>
    <n v="1"/>
    <s v="Cash"/>
    <n v="0"/>
    <d v="2024-02-16T00:00:00"/>
    <n v="2"/>
    <n v="2024"/>
    <n v="259.60000000000002"/>
    <m/>
    <n v="259.60000000000002"/>
    <n v="4292960.5500000007"/>
    <s v="PD Chq"/>
    <m/>
    <m/>
  </r>
  <r>
    <d v="2024-02-16T00:00:00"/>
    <x v="8"/>
    <x v="5"/>
    <s v="INV00000802"/>
    <s v="C00000021"/>
    <s v="KT Profesional Fiber"/>
    <x v="171"/>
    <n v="1"/>
    <s v="Cash"/>
    <n v="0"/>
    <d v="2024-02-16T00:00:00"/>
    <n v="2"/>
    <n v="2024"/>
    <n v="95"/>
    <m/>
    <n v="95"/>
    <n v="4293055.5500000007"/>
    <s v="PD Chq"/>
    <m/>
    <m/>
  </r>
  <r>
    <d v="2024-02-16T00:00:00"/>
    <x v="8"/>
    <x v="5"/>
    <s v="INV00000802"/>
    <s v="C00000021"/>
    <s v="KT Profesional Fiber"/>
    <x v="132"/>
    <n v="5"/>
    <s v="Cash"/>
    <n v="0"/>
    <d v="2024-02-16T00:00:00"/>
    <n v="2"/>
    <n v="2024"/>
    <n v="312.5"/>
    <m/>
    <n v="312.5"/>
    <n v="4293368.0500000007"/>
    <s v="PD Chq"/>
    <m/>
    <m/>
  </r>
  <r>
    <d v="2024-02-19T00:00:00"/>
    <x v="8"/>
    <x v="5"/>
    <s v="INV00000803"/>
    <s v="C00000042"/>
    <s v="Welltech (M) Sdn Bhd"/>
    <x v="132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d v="2024-02-20T00:00:00"/>
    <x v="8"/>
    <x v="5"/>
    <s v="INV00000804"/>
    <s v="C00000042"/>
    <s v="Welltech (M) Sdn Bhd"/>
    <x v="278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d v="2024-02-20T00:00:00"/>
    <x v="8"/>
    <x v="5"/>
    <s v="INV00000804"/>
    <s v="C00000042"/>
    <s v="Welltech (M) Sdn Bhd"/>
    <x v="148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d v="2024-02-20T00:00:00"/>
    <x v="8"/>
    <x v="5"/>
    <s v="INV00000804"/>
    <s v="C00000042"/>
    <s v="Welltech (M) Sdn Bhd"/>
    <x v="301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d v="2024-02-20T00:00:00"/>
    <x v="8"/>
    <x v="5"/>
    <s v="INV00000804"/>
    <s v="C00000042"/>
    <s v="Welltech (M) Sdn Bhd"/>
    <x v="171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d v="2024-02-20T00:00:00"/>
    <x v="8"/>
    <x v="5"/>
    <s v="INV00000804"/>
    <s v="C00000042"/>
    <s v="Welltech (M) Sdn Bhd"/>
    <x v="303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d v="2024-02-20T00:00:00"/>
    <x v="8"/>
    <x v="5"/>
    <s v="INV00000804"/>
    <s v="C00000042"/>
    <s v="Welltech (M) Sdn Bhd"/>
    <x v="4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d v="2024-02-20T00:00:00"/>
    <x v="8"/>
    <x v="5"/>
    <s v="INV00000805"/>
    <s v="C00000026"/>
    <s v="Megapower Service"/>
    <x v="141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d v="2024-02-20T00:00:00"/>
    <x v="8"/>
    <x v="5"/>
    <s v="INV00000805"/>
    <s v="C00000026"/>
    <s v="Megapower Service"/>
    <x v="180"/>
    <n v="1"/>
    <s v="Cash"/>
    <n v="0"/>
    <d v="2024-02-20T00:00:00"/>
    <n v="2"/>
    <n v="2024"/>
    <n v="50"/>
    <n v="-50"/>
    <n v="0"/>
    <n v="4301573.0500000007"/>
    <s v="Trsf"/>
    <s v="Trsf 28/2/24 RM967.00"/>
    <m/>
  </r>
  <r>
    <d v="2024-02-20T00:00:00"/>
    <x v="8"/>
    <x v="5"/>
    <s v="INV00000806"/>
    <s v="C00000047"/>
    <s v="KAD Builders Sdn Bhd "/>
    <x v="323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d v="2024-02-20T00:00:00"/>
    <x v="8"/>
    <x v="5"/>
    <s v="INV00000806"/>
    <s v="C00000047"/>
    <s v="KAD Builders Sdn Bhd "/>
    <x v="338"/>
    <n v="1"/>
    <s v="Cash"/>
    <n v="0"/>
    <d v="2024-02-20T00:00:00"/>
    <n v="2"/>
    <n v="2024"/>
    <n v="48"/>
    <n v="-48"/>
    <n v="0"/>
    <n v="4302196.0500000007"/>
    <s v="Cash"/>
    <s v="Cash 21/2/24 RM623.00"/>
    <m/>
  </r>
  <r>
    <d v="2024-02-21T00:00:00"/>
    <x v="8"/>
    <x v="5"/>
    <s v="INV00000807"/>
    <s v="C00000044"/>
    <s v="Cash - Encik Razzak"/>
    <x v="332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d v="2024-02-21T00:00:00"/>
    <x v="8"/>
    <x v="5"/>
    <s v="INV00000807"/>
    <s v="C00000044"/>
    <s v="Cash - Encik Razzak"/>
    <x v="333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d v="2024-02-22T00:00:00"/>
    <x v="8"/>
    <x v="5"/>
    <s v="INV00000808"/>
    <s v="C00000009"/>
    <s v="JMC Steel Engineering Sdn Bhd"/>
    <x v="7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d v="2024-02-22T00:00:00"/>
    <x v="8"/>
    <x v="5"/>
    <s v="INV00000808"/>
    <s v="C00000009"/>
    <s v="JMC Steel Engineering Sdn Bhd"/>
    <x v="96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d v="2024-02-22T00:00:00"/>
    <x v="8"/>
    <x v="5"/>
    <s v="INV00000808"/>
    <s v="C00000009"/>
    <s v="JMC Steel Engineering Sdn Bhd"/>
    <x v="225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d v="2024-02-22T00:00:00"/>
    <x v="8"/>
    <x v="5"/>
    <s v="INV00000808"/>
    <s v="C00000009"/>
    <s v="JMC Steel Engineering Sdn Bhd"/>
    <x v="4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d v="2024-02-23T00:00:00"/>
    <x v="8"/>
    <x v="5"/>
    <s v="INV00000809"/>
    <s v="C00000019"/>
    <s v="Desuki Affela Empire Enterprise"/>
    <x v="7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d v="2024-02-23T00:00:00"/>
    <x v="8"/>
    <x v="5"/>
    <s v="INV00000809"/>
    <s v="C00000019"/>
    <s v="Desuki Affela Empire Enterprise"/>
    <x v="327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d v="2024-02-23T00:00:00"/>
    <x v="8"/>
    <x v="5"/>
    <s v="INV00000809"/>
    <s v="C00000019"/>
    <s v="Desuki Affela Empire Enterprise"/>
    <x v="132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d v="2024-02-23T00:00:00"/>
    <x v="8"/>
    <x v="5"/>
    <s v="INV00000809"/>
    <s v="C00000019"/>
    <s v="Desuki Affela Empire Enterprise"/>
    <x v="131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d v="2024-02-23T00:00:00"/>
    <x v="8"/>
    <x v="5"/>
    <s v="INV00000809"/>
    <s v="C00000019"/>
    <s v="Desuki Affela Empire Enterprise"/>
    <x v="339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d v="2024-02-23T00:00:00"/>
    <x v="8"/>
    <x v="5"/>
    <s v="INV00000809"/>
    <s v="C00000019"/>
    <s v="Desuki Affela Empire Enterprise"/>
    <x v="273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d v="2024-02-26T00:00:00"/>
    <x v="8"/>
    <x v="5"/>
    <s v="INV00000810"/>
    <s v="C00000042"/>
    <s v="Welltech (M) Sdn Bhd"/>
    <x v="132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d v="2024-02-26T00:00:00"/>
    <x v="8"/>
    <x v="5"/>
    <s v="INV00000811"/>
    <s v="C00000042"/>
    <s v="Welltech (M) Sdn Bhd"/>
    <x v="278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d v="2024-02-26T00:00:00"/>
    <x v="8"/>
    <x v="5"/>
    <s v="INV00000811"/>
    <s v="C00000042"/>
    <s v="Welltech (M) Sdn Bhd"/>
    <x v="340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d v="2024-02-26T00:00:00"/>
    <x v="8"/>
    <x v="5"/>
    <s v="INV00000811"/>
    <s v="C00000042"/>
    <s v="Welltech (M) Sdn Bhd"/>
    <x v="301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d v="2024-02-26T00:00:00"/>
    <x v="8"/>
    <x v="5"/>
    <s v="INV00000811"/>
    <s v="C00000042"/>
    <s v="Welltech (M) Sdn Bhd"/>
    <x v="171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d v="2024-02-26T00:00:00"/>
    <x v="8"/>
    <x v="5"/>
    <s v="INV00000811"/>
    <s v="C00000042"/>
    <s v="Welltech (M) Sdn Bhd"/>
    <x v="303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d v="2024-02-27T00:00:00"/>
    <x v="8"/>
    <x v="5"/>
    <s v="INV00000812"/>
    <s v="C00000026"/>
    <s v="Megapower Service"/>
    <x v="329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d v="2024-02-28T00:00:00"/>
    <x v="8"/>
    <x v="5"/>
    <s v="INV00000813"/>
    <s v="C00000042"/>
    <s v="Welltech (M) Sdn Bhd"/>
    <x v="159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d v="2024-03-01T00:00:00"/>
    <x v="9"/>
    <x v="5"/>
    <s v="INV00000814"/>
    <s v="C00000021"/>
    <s v="KT Profesional Fiber"/>
    <x v="118"/>
    <n v="1"/>
    <s v="Cash"/>
    <n v="0"/>
    <d v="2024-03-01T00:00:00"/>
    <n v="3"/>
    <n v="2024"/>
    <n v="1738"/>
    <m/>
    <n v="1738"/>
    <n v="4335938.4500000011"/>
    <s v="PD Chq"/>
    <m/>
    <m/>
  </r>
  <r>
    <d v="2024-03-01T00:00:00"/>
    <x v="9"/>
    <x v="5"/>
    <s v="INV00000814"/>
    <s v="C00000021"/>
    <s v="KT Profesional Fiber"/>
    <x v="340"/>
    <n v="2"/>
    <s v="Cash"/>
    <n v="0"/>
    <d v="2024-03-01T00:00:00"/>
    <n v="3"/>
    <n v="2024"/>
    <n v="555"/>
    <m/>
    <n v="555"/>
    <n v="4336493.4500000011"/>
    <s v="PD Chq"/>
    <m/>
    <m/>
  </r>
  <r>
    <d v="2024-03-01T00:00:00"/>
    <x v="9"/>
    <x v="5"/>
    <s v="INV00000814"/>
    <s v="C00000021"/>
    <s v="KT Profesional Fiber"/>
    <x v="171"/>
    <n v="1"/>
    <s v="Cash"/>
    <n v="0"/>
    <d v="2024-03-01T00:00:00"/>
    <n v="3"/>
    <n v="2024"/>
    <n v="95"/>
    <m/>
    <n v="95"/>
    <n v="4336588.4500000011"/>
    <s v="PD Chq"/>
    <m/>
    <m/>
  </r>
  <r>
    <d v="2024-03-01T00:00:00"/>
    <x v="9"/>
    <x v="5"/>
    <s v="INV00000814"/>
    <s v="C00000021"/>
    <s v="KT Profesional Fiber"/>
    <x v="134"/>
    <n v="1"/>
    <s v="Cash"/>
    <n v="0"/>
    <d v="2024-03-01T00:00:00"/>
    <n v="3"/>
    <n v="2024"/>
    <n v="225"/>
    <m/>
    <n v="225"/>
    <n v="4336813.4500000011"/>
    <s v="PD Chq"/>
    <m/>
    <m/>
  </r>
  <r>
    <d v="2024-03-02T00:00:00"/>
    <x v="9"/>
    <x v="5"/>
    <s v="INV00000815"/>
    <s v="C00000010"/>
    <s v="Yew Seng Gardening Supply Sdn Bhd"/>
    <x v="222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d v="2024-03-02T00:00:00"/>
    <x v="9"/>
    <x v="5"/>
    <s v="INV00000815"/>
    <s v="C00000010"/>
    <s v="Yew Seng Gardening Supply Sdn Bhd"/>
    <x v="246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d v="2024-03-02T00:00:00"/>
    <x v="9"/>
    <x v="5"/>
    <s v="INV00000815"/>
    <s v="C00000010"/>
    <s v="Yew Seng Gardening Supply Sdn Bhd"/>
    <x v="132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d v="2024-03-02T00:00:00"/>
    <x v="9"/>
    <x v="5"/>
    <s v="INV00000815"/>
    <s v="C00000010"/>
    <s v="Yew Seng Gardening Supply Sdn Bhd"/>
    <x v="4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d v="2024-03-02T00:00:00"/>
    <x v="9"/>
    <x v="5"/>
    <s v="INV00000815"/>
    <s v="C00000010"/>
    <s v="Yew Seng Gardening Supply Sdn Bhd"/>
    <x v="131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d v="2024-03-02T00:00:00"/>
    <x v="9"/>
    <x v="5"/>
    <s v="INV00000815"/>
    <s v="C00000010"/>
    <s v="Yew Seng Gardening Supply Sdn Bhd"/>
    <x v="48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d v="2024-03-02T00:00:00"/>
    <x v="9"/>
    <x v="5"/>
    <s v="INV00000816"/>
    <s v="C00000043"/>
    <s v="RBD World Wide Sdn Bhd"/>
    <x v="218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d v="2024-03-05T00:00:00"/>
    <x v="9"/>
    <x v="5"/>
    <s v="INV00000817"/>
    <s v="C00000042"/>
    <s v="Welltech (M) Sdn Bhd"/>
    <x v="132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d v="2024-03-05T00:00:00"/>
    <x v="9"/>
    <x v="5"/>
    <s v="INV00000818"/>
    <s v="C00000042"/>
    <s v="Welltech (M) Sdn Bhd"/>
    <x v="278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d v="2024-03-05T00:00:00"/>
    <x v="9"/>
    <x v="5"/>
    <s v="INV00000818"/>
    <s v="C00000042"/>
    <s v="Welltech (M) Sdn Bhd"/>
    <x v="148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d v="2024-03-05T00:00:00"/>
    <x v="9"/>
    <x v="5"/>
    <s v="INV00000818"/>
    <s v="C00000042"/>
    <s v="Welltech (M) Sdn Bhd"/>
    <x v="340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d v="2024-03-05T00:00:00"/>
    <x v="9"/>
    <x v="5"/>
    <s v="INV00000818"/>
    <s v="C00000042"/>
    <s v="Welltech (M) Sdn Bhd"/>
    <x v="301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d v="2024-03-05T00:00:00"/>
    <x v="9"/>
    <x v="5"/>
    <s v="INV00000818"/>
    <s v="C00000042"/>
    <s v="Welltech (M) Sdn Bhd"/>
    <x v="171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d v="2024-03-04T00:00:00"/>
    <x v="9"/>
    <x v="5"/>
    <s v="INV00000819"/>
    <s v="C00000009"/>
    <s v="JMC Steel Engineering Sdn Bhd"/>
    <x v="7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d v="2024-03-05T00:00:00"/>
    <x v="9"/>
    <x v="5"/>
    <s v="INV00000820"/>
    <s v="C00000044"/>
    <s v="Cash - Encik Razzak"/>
    <x v="332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d v="2024-03-05T00:00:00"/>
    <x v="9"/>
    <x v="5"/>
    <s v="INV00000820"/>
    <s v="C00000044"/>
    <s v="Cash - Encik Razzak"/>
    <x v="333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d v="2024-03-05T00:00:00"/>
    <x v="9"/>
    <x v="5"/>
    <s v="INV00000821"/>
    <s v="C00000019"/>
    <s v="Desuki Affela Empire Enterprise"/>
    <x v="7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d v="2024-03-05T00:00:00"/>
    <x v="9"/>
    <x v="5"/>
    <s v="INV00000821"/>
    <s v="C00000019"/>
    <s v="Desuki Affela Empire Enterprise"/>
    <x v="4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d v="2024-03-07T00:00:00"/>
    <x v="9"/>
    <x v="5"/>
    <s v="INV00000822"/>
    <s v="C00000026"/>
    <s v="Megapower Service"/>
    <x v="278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d v="2024-03-07T00:00:00"/>
    <x v="9"/>
    <x v="5"/>
    <s v="INV00000822"/>
    <s v="C00000026"/>
    <s v="Megapower Service"/>
    <x v="4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d v="2024-03-07T00:00:00"/>
    <x v="9"/>
    <x v="5"/>
    <s v="INV00000822"/>
    <s v="C00000026"/>
    <s v="Megapower Service"/>
    <x v="132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d v="2024-03-12T00:00:00"/>
    <x v="9"/>
    <x v="5"/>
    <s v="INV00000823"/>
    <s v="C00000003"/>
    <s v="Pandian Art Gallery Manufacturing"/>
    <x v="15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d v="2024-03-12T00:00:00"/>
    <x v="9"/>
    <x v="5"/>
    <s v="INV00000823"/>
    <s v="C00000003"/>
    <s v="Pandian Art Gallery Manufacturing"/>
    <x v="4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d v="2024-03-12T00:00:00"/>
    <x v="9"/>
    <x v="5"/>
    <s v="INV00000823"/>
    <s v="C00000003"/>
    <s v="Pandian Art Gallery Manufacturing"/>
    <x v="153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d v="2024-03-13T00:00:00"/>
    <x v="9"/>
    <x v="5"/>
    <s v="INV00000824"/>
    <s v="C00000010"/>
    <s v="Yew Seng Gardening Supply Sdn Bhd"/>
    <x v="188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d v="2024-03-13T00:00:00"/>
    <x v="9"/>
    <x v="5"/>
    <s v="INV00000824"/>
    <s v="C00000010"/>
    <s v="Yew Seng Gardening Supply Sdn Bhd"/>
    <x v="331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d v="2024-03-13T00:00:00"/>
    <x v="9"/>
    <x v="5"/>
    <s v="INV00000824"/>
    <s v="C00000010"/>
    <s v="Yew Seng Gardening Supply Sdn Bhd"/>
    <x v="132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d v="2024-03-13T00:00:00"/>
    <x v="9"/>
    <x v="5"/>
    <s v="INV00000824"/>
    <s v="C00000010"/>
    <s v="Yew Seng Gardening Supply Sdn Bhd"/>
    <x v="4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d v="2024-03-13T00:00:00"/>
    <x v="9"/>
    <x v="5"/>
    <s v="INV00000824"/>
    <s v="C00000010"/>
    <s v="Yew Seng Gardening Supply Sdn Bhd"/>
    <x v="131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d v="2024-03-13T00:00:00"/>
    <x v="9"/>
    <x v="5"/>
    <s v="INV00000825"/>
    <s v="C00000042"/>
    <s v="Welltech (M) Sdn Bhd"/>
    <x v="132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d v="2024-03-13T00:00:00"/>
    <x v="9"/>
    <x v="5"/>
    <s v="INV00000826"/>
    <s v="C00000042"/>
    <s v="Welltech (M) Sdn Bhd"/>
    <x v="278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d v="2024-03-13T00:00:00"/>
    <x v="9"/>
    <x v="5"/>
    <s v="INV00000826"/>
    <s v="C00000042"/>
    <s v="Welltech (M) Sdn Bhd"/>
    <x v="148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d v="2024-03-13T00:00:00"/>
    <x v="9"/>
    <x v="5"/>
    <s v="INV00000826"/>
    <s v="C00000042"/>
    <s v="Welltech (M) Sdn Bhd"/>
    <x v="301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d v="2024-03-13T00:00:00"/>
    <x v="9"/>
    <x v="5"/>
    <s v="INV00000826"/>
    <s v="C00000042"/>
    <s v="Welltech (M) Sdn Bhd"/>
    <x v="159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d v="2024-03-13T00:00:00"/>
    <x v="9"/>
    <x v="5"/>
    <s v="INV00000826"/>
    <s v="C00000042"/>
    <s v="Welltech (M) Sdn Bhd"/>
    <x v="341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d v="2024-03-13T00:00:00"/>
    <x v="9"/>
    <x v="5"/>
    <s v="INV00000826"/>
    <s v="C00000042"/>
    <s v="Welltech (M) Sdn Bhd"/>
    <x v="171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d v="2024-03-16T00:00:00"/>
    <x v="9"/>
    <x v="5"/>
    <s v="INV00000827"/>
    <s v="C00000014"/>
    <s v="IK Fibre Glass Enterprise"/>
    <x v="45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d v="2024-03-16T00:00:00"/>
    <x v="9"/>
    <x v="5"/>
    <s v="INV00000827"/>
    <s v="C00000014"/>
    <s v="IK Fibre Glass Enterprise"/>
    <x v="246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d v="2024-03-16T00:00:00"/>
    <x v="9"/>
    <x v="5"/>
    <s v="INV00000827"/>
    <s v="C00000014"/>
    <s v="IK Fibre Glass Enterprise"/>
    <x v="315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d v="2024-03-16T00:00:00"/>
    <x v="9"/>
    <x v="5"/>
    <s v="INV00000827"/>
    <s v="C00000014"/>
    <s v="IK Fibre Glass Enterprise"/>
    <x v="4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d v="2024-03-16T00:00:00"/>
    <x v="9"/>
    <x v="5"/>
    <s v="INV00000827"/>
    <s v="C00000014"/>
    <s v="IK Fibre Glass Enterprise"/>
    <x v="293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d v="2024-03-16T00:00:00"/>
    <x v="9"/>
    <x v="5"/>
    <s v="INV00000828"/>
    <s v="C00000048"/>
    <s v="Cash - Encik Mohammad Mongal "/>
    <x v="200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d v="2024-03-16T00:00:00"/>
    <x v="9"/>
    <x v="5"/>
    <s v="INV00000829"/>
    <s v="C00000019"/>
    <s v="Desuki Affela Empire Enterprise"/>
    <x v="7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d v="2024-03-16T00:00:00"/>
    <x v="9"/>
    <x v="5"/>
    <s v="INV00000829"/>
    <s v="C00000019"/>
    <s v="Desuki Affela Empire Enterprise"/>
    <x v="225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d v="2024-03-16T00:00:00"/>
    <x v="9"/>
    <x v="5"/>
    <s v="INV00000829"/>
    <s v="C00000019"/>
    <s v="Desuki Affela Empire Enterprise"/>
    <x v="132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d v="2024-03-16T00:00:00"/>
    <x v="9"/>
    <x v="5"/>
    <s v="INV00000829"/>
    <s v="C00000019"/>
    <s v="Desuki Affela Empire Enterprise"/>
    <x v="4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d v="2024-03-16T00:00:00"/>
    <x v="9"/>
    <x v="5"/>
    <s v="INV00000829"/>
    <s v="C00000019"/>
    <s v="Desuki Affela Empire Enterprise"/>
    <x v="243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d v="2024-03-16T00:00:00"/>
    <x v="9"/>
    <x v="5"/>
    <s v="INV00000829"/>
    <s v="C00000019"/>
    <s v="Desuki Affela Empire Enterprise"/>
    <x v="317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d v="2024-03-16T00:00:00"/>
    <x v="9"/>
    <x v="5"/>
    <s v="INV00000829"/>
    <s v="C00000019"/>
    <s v="Desuki Affela Empire Enterprise"/>
    <x v="342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d v="2024-03-16T00:00:00"/>
    <x v="9"/>
    <x v="5"/>
    <s v="INV00000829"/>
    <s v="C00000019"/>
    <s v="Desuki Affela Empire Enterprise"/>
    <x v="153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d v="2024-03-16T00:00:00"/>
    <x v="9"/>
    <x v="5"/>
    <s v="INV00000830"/>
    <s v="C00000042"/>
    <s v="Welltech (M) Sdn Bhd"/>
    <x v="132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d v="2024-03-16T00:00:00"/>
    <x v="9"/>
    <x v="5"/>
    <s v="INV00000831"/>
    <s v="C00000042"/>
    <s v="Welltech (M) Sdn Bhd"/>
    <x v="278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d v="2024-03-16T00:00:00"/>
    <x v="9"/>
    <x v="5"/>
    <s v="INV00000831"/>
    <s v="C00000042"/>
    <s v="Welltech (M) Sdn Bhd"/>
    <x v="340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d v="2024-03-16T00:00:00"/>
    <x v="9"/>
    <x v="5"/>
    <s v="INV00000831"/>
    <s v="C00000042"/>
    <s v="Welltech (M) Sdn Bhd"/>
    <x v="301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d v="2024-03-16T00:00:00"/>
    <x v="9"/>
    <x v="5"/>
    <s v="INV00000831"/>
    <s v="C00000042"/>
    <s v="Welltech (M) Sdn Bhd"/>
    <x v="159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d v="2024-03-16T00:00:00"/>
    <x v="9"/>
    <x v="5"/>
    <s v="INV00000831"/>
    <s v="C00000042"/>
    <s v="Welltech (M) Sdn Bhd"/>
    <x v="171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d v="2024-03-19T00:00:00"/>
    <x v="9"/>
    <x v="5"/>
    <s v="INV00000832"/>
    <s v="C00000042"/>
    <s v="Welltech (M) Sdn Bhd"/>
    <x v="132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d v="2024-03-19T00:00:00"/>
    <x v="9"/>
    <x v="5"/>
    <s v="INV00000833"/>
    <s v="C00000042"/>
    <s v="Welltech (M) Sdn Bhd"/>
    <x v="278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d v="2024-03-19T00:00:00"/>
    <x v="9"/>
    <x v="5"/>
    <s v="INV00000833"/>
    <s v="C00000042"/>
    <s v="Welltech (M) Sdn Bhd"/>
    <x v="340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d v="2024-03-19T00:00:00"/>
    <x v="9"/>
    <x v="5"/>
    <s v="INV00000833"/>
    <s v="C00000042"/>
    <s v="Welltech (M) Sdn Bhd"/>
    <x v="301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d v="2024-03-19T00:00:00"/>
    <x v="9"/>
    <x v="5"/>
    <s v="INV00000833"/>
    <s v="C00000042"/>
    <s v="Welltech (M) Sdn Bhd"/>
    <x v="159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d v="2024-03-20T00:00:00"/>
    <x v="9"/>
    <x v="5"/>
    <s v="INV00000834"/>
    <s v="C00000037"/>
    <s v="Suntruck Sdn Bhd"/>
    <x v="188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d v="2024-03-20T00:00:00"/>
    <x v="9"/>
    <x v="5"/>
    <s v="INV00000834"/>
    <s v="C00000037"/>
    <s v="Suntruck Sdn Bhd"/>
    <x v="112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d v="2024-03-20T00:00:00"/>
    <x v="9"/>
    <x v="5"/>
    <s v="INV00000834"/>
    <s v="C00000037"/>
    <s v="Suntruck Sdn Bhd"/>
    <x v="223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d v="2024-03-20T00:00:00"/>
    <x v="9"/>
    <x v="5"/>
    <s v="INV00000834"/>
    <s v="C00000037"/>
    <s v="Suntruck Sdn Bhd"/>
    <x v="329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d v="2024-03-20T00:00:00"/>
    <x v="9"/>
    <x v="5"/>
    <s v="INV00000834"/>
    <s v="C00000037"/>
    <s v="Suntruck Sdn Bhd"/>
    <x v="171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d v="2024-03-21T00:00:00"/>
    <x v="9"/>
    <x v="5"/>
    <s v="INV00000835"/>
    <s v="C00000010"/>
    <s v="Yew Seng Gardening Supply Sdn Bhd"/>
    <x v="188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d v="2024-03-21T00:00:00"/>
    <x v="9"/>
    <x v="5"/>
    <s v="INV00000835"/>
    <s v="C00000010"/>
    <s v="Yew Seng Gardening Supply Sdn Bhd"/>
    <x v="215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d v="2024-03-21T00:00:00"/>
    <x v="9"/>
    <x v="5"/>
    <s v="INV00000835"/>
    <s v="C00000010"/>
    <s v="Yew Seng Gardening Supply Sdn Bhd"/>
    <x v="132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d v="2024-03-21T00:00:00"/>
    <x v="9"/>
    <x v="5"/>
    <s v="INV00000835"/>
    <s v="C00000010"/>
    <s v="Yew Seng Gardening Supply Sdn Bhd"/>
    <x v="4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d v="2024-03-21T00:00:00"/>
    <x v="9"/>
    <x v="5"/>
    <s v="INV00000835"/>
    <s v="C00000010"/>
    <s v="Yew Seng Gardening Supply Sdn Bhd"/>
    <x v="343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d v="2024-03-21T00:00:00"/>
    <x v="9"/>
    <x v="5"/>
    <s v="INV00000835"/>
    <s v="C00000010"/>
    <s v="Yew Seng Gardening Supply Sdn Bhd"/>
    <x v="48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d v="2024-03-21T00:00:00"/>
    <x v="9"/>
    <x v="5"/>
    <s v="INV00000835"/>
    <s v="C00000010"/>
    <s v="Yew Seng Gardening Supply Sdn Bhd"/>
    <x v="344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d v="2024-03-22T00:00:00"/>
    <x v="9"/>
    <x v="5"/>
    <s v="INV00000836"/>
    <s v="C00000044"/>
    <s v="Cash - Encik Razzak"/>
    <x v="188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d v="2024-03-22T00:00:00"/>
    <x v="9"/>
    <x v="5"/>
    <s v="INV00000836"/>
    <s v="C00000044"/>
    <s v="Cash - Encik Razzak"/>
    <x v="246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d v="2024-03-22T00:00:00"/>
    <x v="9"/>
    <x v="5"/>
    <s v="INV00000836"/>
    <s v="C00000044"/>
    <s v="Cash - Encik Razzak"/>
    <x v="311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d v="2024-03-22T00:00:00"/>
    <x v="9"/>
    <x v="5"/>
    <s v="INV00000836"/>
    <s v="C00000044"/>
    <s v="Cash - Encik Razzak"/>
    <x v="4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d v="2024-03-28T00:00:00"/>
    <x v="9"/>
    <x v="5"/>
    <s v="INV00000837"/>
    <s v="C00000019"/>
    <s v="Desuki Affela Empire Enterprise"/>
    <x v="7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d v="2024-03-28T00:00:00"/>
    <x v="9"/>
    <x v="5"/>
    <s v="INV00000837"/>
    <s v="C00000019"/>
    <s v="Desuki Affela Empire Enterprise"/>
    <x v="225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d v="2024-03-28T00:00:00"/>
    <x v="9"/>
    <x v="5"/>
    <s v="INV00000837"/>
    <s v="C00000019"/>
    <s v="Desuki Affela Empire Enterprise"/>
    <x v="243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d v="2024-03-29T00:00:00"/>
    <x v="9"/>
    <x v="5"/>
    <s v="INV00000838"/>
    <s v="C00000042"/>
    <s v="Welltech (M) Sdn Bhd"/>
    <x v="132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d v="2024-03-29T00:00:00"/>
    <x v="9"/>
    <x v="5"/>
    <s v="INV00000839"/>
    <s v="C00000042"/>
    <s v="Welltech (M) Sdn Bhd"/>
    <x v="278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d v="2024-03-29T00:00:00"/>
    <x v="9"/>
    <x v="5"/>
    <s v="INV00000839"/>
    <s v="C00000042"/>
    <s v="Welltech (M) Sdn Bhd"/>
    <x v="100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d v="2024-03-29T00:00:00"/>
    <x v="9"/>
    <x v="5"/>
    <s v="INV00000839"/>
    <s v="C00000042"/>
    <s v="Welltech (M) Sdn Bhd"/>
    <x v="301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d v="2024-03-29T00:00:00"/>
    <x v="9"/>
    <x v="5"/>
    <s v="INV00000839"/>
    <s v="C00000042"/>
    <s v="Welltech (M) Sdn Bhd"/>
    <x v="171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d v="2024-03-30T00:00:00"/>
    <x v="9"/>
    <x v="5"/>
    <s v="INV00000840"/>
    <s v="C00000021"/>
    <s v="KT Profesional Fiber"/>
    <x v="15"/>
    <n v="1"/>
    <s v="Cash"/>
    <n v="0"/>
    <d v="2024-03-30T00:00:00"/>
    <n v="3"/>
    <n v="2024"/>
    <n v="1738"/>
    <m/>
    <n v="1738"/>
    <n v="4497476.1500000004"/>
    <s v="PD Chq"/>
    <m/>
    <m/>
  </r>
  <r>
    <d v="2024-03-30T00:00:00"/>
    <x v="9"/>
    <x v="5"/>
    <s v="INV00000840"/>
    <s v="C00000021"/>
    <s v="KT Profesional Fiber"/>
    <x v="318"/>
    <n v="3"/>
    <s v="Cash"/>
    <n v="0"/>
    <d v="2024-03-30T00:00:00"/>
    <n v="3"/>
    <n v="2024"/>
    <n v="832.5"/>
    <m/>
    <n v="832.5"/>
    <n v="4498308.6500000004"/>
    <s v="PD Chq"/>
    <m/>
    <m/>
  </r>
  <r>
    <d v="2024-03-30T00:00:00"/>
    <x v="9"/>
    <x v="5"/>
    <s v="INV00000840"/>
    <s v="C00000021"/>
    <s v="KT Profesional Fiber"/>
    <x v="171"/>
    <n v="1"/>
    <s v="Cash"/>
    <n v="0"/>
    <d v="2024-03-30T00:00:00"/>
    <n v="3"/>
    <n v="2024"/>
    <n v="95"/>
    <m/>
    <n v="95"/>
    <n v="4498403.6500000004"/>
    <s v="PD Chq"/>
    <m/>
    <m/>
  </r>
  <r>
    <d v="2024-03-30T00:00:00"/>
    <x v="9"/>
    <x v="5"/>
    <s v="INV00000841"/>
    <s v="C00000003"/>
    <s v="Pandian Art Gallery Manufacturing"/>
    <x v="15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d v="2024-03-30T00:00:00"/>
    <x v="9"/>
    <x v="5"/>
    <s v="INV00000841"/>
    <s v="C00000003"/>
    <s v="Pandian Art Gallery Manufacturing"/>
    <x v="4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d v="2024-04-04T00:00:00"/>
    <x v="10"/>
    <x v="5"/>
    <s v="INV00000842"/>
    <s v="C00000044"/>
    <s v="Cash - Encik Razzak"/>
    <x v="188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d v="2024-04-04T00:00:00"/>
    <x v="10"/>
    <x v="5"/>
    <s v="INV00000842"/>
    <s v="C00000044"/>
    <s v="Cash - Encik Razzak"/>
    <x v="246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d v="2024-04-05T00:00:00"/>
    <x v="10"/>
    <x v="5"/>
    <s v="INV00000843"/>
    <s v="C00000009"/>
    <s v="JMC Steel Engineering Sdn Bhd"/>
    <x v="120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d v="2024-04-05T00:00:00"/>
    <x v="10"/>
    <x v="5"/>
    <s v="INV00000843"/>
    <s v="C00000009"/>
    <s v="JMC Steel Engineering Sdn Bhd"/>
    <x v="96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d v="2024-04-05T00:00:00"/>
    <x v="10"/>
    <x v="5"/>
    <s v="INV00000843"/>
    <s v="C00000009"/>
    <s v="JMC Steel Engineering Sdn Bhd"/>
    <x v="225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d v="2024-04-05T00:00:00"/>
    <x v="10"/>
    <x v="5"/>
    <s v="INV00000843"/>
    <s v="C00000009"/>
    <s v="JMC Steel Engineering Sdn Bhd"/>
    <x v="218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d v="2024-04-05T00:00:00"/>
    <x v="10"/>
    <x v="5"/>
    <s v="INV00000843"/>
    <s v="C00000009"/>
    <s v="JMC Steel Engineering Sdn Bhd"/>
    <x v="132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d v="2024-04-05T00:00:00"/>
    <x v="10"/>
    <x v="5"/>
    <s v="INV00000843"/>
    <s v="C00000009"/>
    <s v="JMC Steel Engineering Sdn Bhd"/>
    <x v="343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d v="2024-04-08T00:00:00"/>
    <x v="10"/>
    <x v="5"/>
    <s v="INV00000844"/>
    <s v="C00000009"/>
    <s v="JMC Steel Engineering Sdn Bhd"/>
    <x v="285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d v="2024-04-08T00:00:00"/>
    <x v="10"/>
    <x v="5"/>
    <s v="INV00000845"/>
    <s v="C00000019"/>
    <s v="Desuki Affela Empire Enterprise"/>
    <x v="120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d v="2024-04-08T00:00:00"/>
    <x v="10"/>
    <x v="5"/>
    <s v="INV00000845"/>
    <s v="C00000019"/>
    <s v="Desuki Affela Empire Enterprise"/>
    <x v="225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d v="2024-04-08T00:00:00"/>
    <x v="10"/>
    <x v="5"/>
    <s v="INV00000845"/>
    <s v="C00000019"/>
    <s v="Desuki Affela Empire Enterprise"/>
    <x v="243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d v="2024-04-08T00:00:00"/>
    <x v="10"/>
    <x v="5"/>
    <s v="INV00000845"/>
    <s v="C00000019"/>
    <s v="Desuki Affela Empire Enterprise"/>
    <x v="141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d v="2024-04-08T00:00:00"/>
    <x v="10"/>
    <x v="5"/>
    <s v="INV00000846"/>
    <s v="C00000021"/>
    <s v="KT Profesional Fiber"/>
    <x v="15"/>
    <n v="1"/>
    <s v="Cash"/>
    <n v="0"/>
    <d v="2024-04-08T00:00:00"/>
    <n v="4"/>
    <n v="2024"/>
    <n v="1738"/>
    <m/>
    <n v="1738"/>
    <n v="4503120.95"/>
    <s v="PD Chq"/>
    <m/>
    <m/>
  </r>
  <r>
    <d v="2024-04-08T00:00:00"/>
    <x v="10"/>
    <x v="5"/>
    <s v="INV00000846"/>
    <s v="C00000021"/>
    <s v="KT Profesional Fiber"/>
    <x v="318"/>
    <n v="3"/>
    <s v="Cash"/>
    <n v="0"/>
    <d v="2024-04-08T00:00:00"/>
    <n v="4"/>
    <n v="2024"/>
    <n v="832.5"/>
    <m/>
    <n v="832.5"/>
    <n v="4503953.45"/>
    <s v="PD Chq"/>
    <m/>
    <m/>
  </r>
  <r>
    <d v="2024-04-08T00:00:00"/>
    <x v="10"/>
    <x v="5"/>
    <s v="INV00000846"/>
    <s v="C00000021"/>
    <s v="KT Profesional Fiber"/>
    <x v="171"/>
    <n v="1"/>
    <s v="Cash"/>
    <n v="0"/>
    <d v="2024-04-08T00:00:00"/>
    <n v="4"/>
    <n v="2024"/>
    <n v="95"/>
    <m/>
    <n v="95"/>
    <n v="4504048.45"/>
    <s v="PD Chq"/>
    <m/>
    <m/>
  </r>
  <r>
    <d v="2024-04-06T00:00:00"/>
    <x v="10"/>
    <x v="5"/>
    <s v="INV00000847"/>
    <s v="C00000042"/>
    <s v="Welltech (M) Sdn Bhd"/>
    <x v="159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d v="2024-04-12T00:00:00"/>
    <x v="10"/>
    <x v="5"/>
    <s v="INV00000848"/>
    <s v="C00000006"/>
    <s v="Perniagaan Fibra Sahih"/>
    <x v="7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d v="2024-04-12T00:00:00"/>
    <x v="10"/>
    <x v="5"/>
    <s v="INV00000848"/>
    <s v="C00000006"/>
    <s v="Perniagaan Fibra Sahih"/>
    <x v="246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d v="2024-04-12T00:00:00"/>
    <x v="10"/>
    <x v="5"/>
    <s v="INV00000849"/>
    <s v="C00000042"/>
    <s v="Welltech (M) Sdn Bhd"/>
    <x v="132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d v="2024-04-12T00:00:00"/>
    <x v="10"/>
    <x v="5"/>
    <s v="INV00000850"/>
    <s v="C00000042"/>
    <s v="Welltech (M) Sdn Bhd"/>
    <x v="278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d v="2024-04-12T00:00:00"/>
    <x v="10"/>
    <x v="5"/>
    <s v="INV00000850"/>
    <s v="C00000042"/>
    <s v="Welltech (M) Sdn Bhd"/>
    <x v="148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d v="2024-04-12T00:00:00"/>
    <x v="10"/>
    <x v="5"/>
    <s v="INV00000850"/>
    <s v="C00000042"/>
    <s v="Welltech (M) Sdn Bhd"/>
    <x v="301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d v="2024-04-12T00:00:00"/>
    <x v="10"/>
    <x v="5"/>
    <s v="INV00000850"/>
    <s v="C00000042"/>
    <s v="Welltech (M) Sdn Bhd"/>
    <x v="171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d v="2024-04-12T00:00:00"/>
    <x v="10"/>
    <x v="5"/>
    <s v="INV00000850"/>
    <s v="C00000042"/>
    <s v="Welltech (M) Sdn Bhd"/>
    <x v="159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d v="2024-04-20T00:00:00"/>
    <x v="10"/>
    <x v="5"/>
    <s v="INV00000851"/>
    <s v="C00000019"/>
    <s v="Desuki Affela Empire Enterprise"/>
    <x v="120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d v="2024-04-20T00:00:00"/>
    <x v="10"/>
    <x v="5"/>
    <s v="INV00000851"/>
    <s v="C00000019"/>
    <s v="Desuki Affela Empire Enterprise"/>
    <x v="132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d v="2024-04-22T00:00:00"/>
    <x v="10"/>
    <x v="5"/>
    <s v="INV00000852"/>
    <s v="C00000010"/>
    <s v="Yew Seng Gardening Supply Sdn Bhd"/>
    <x v="188"/>
    <n v="6"/>
    <n v="120"/>
    <n v="120"/>
    <d v="2024-08-20T00:00:00"/>
    <n v="8"/>
    <n v="2024"/>
    <n v="9768"/>
    <n v="-9768"/>
    <n v="0"/>
    <n v="4538235.95"/>
    <s v="Trsf"/>
    <s v="Trsf 27/9/24 RM27,539.00"/>
    <m/>
  </r>
  <r>
    <d v="2024-04-22T00:00:00"/>
    <x v="10"/>
    <x v="5"/>
    <s v="INV00000852"/>
    <s v="C00000010"/>
    <s v="Yew Seng Gardening Supply Sdn Bhd"/>
    <x v="246"/>
    <n v="10"/>
    <n v="120"/>
    <n v="120"/>
    <d v="2024-08-20T00:00:00"/>
    <n v="8"/>
    <n v="2024"/>
    <n v="1740"/>
    <n v="-1740"/>
    <n v="0"/>
    <n v="4539975.95"/>
    <s v="Trsf"/>
    <s v="Trsf 27/9/24 RM27,539.00"/>
    <m/>
  </r>
  <r>
    <d v="2024-04-22T00:00:00"/>
    <x v="10"/>
    <x v="5"/>
    <s v="INV00000852"/>
    <s v="C00000010"/>
    <s v="Yew Seng Gardening Supply Sdn Bhd"/>
    <x v="4"/>
    <n v="4"/>
    <n v="120"/>
    <n v="120"/>
    <d v="2024-08-20T00:00:00"/>
    <n v="8"/>
    <n v="2024"/>
    <n v="440"/>
    <n v="-440"/>
    <n v="0"/>
    <n v="4540415.95"/>
    <s v="Trsf"/>
    <s v="Trsf 27/9/24 RM27,539.00"/>
    <m/>
  </r>
  <r>
    <d v="2024-04-22T00:00:00"/>
    <x v="10"/>
    <x v="5"/>
    <s v="INV00000852"/>
    <s v="C00000010"/>
    <s v="Yew Seng Gardening Supply Sdn Bhd"/>
    <x v="48"/>
    <n v="1"/>
    <n v="120"/>
    <n v="120"/>
    <d v="2024-08-20T00:00:00"/>
    <n v="8"/>
    <n v="2024"/>
    <n v="395"/>
    <n v="-395"/>
    <n v="0"/>
    <n v="4540810.95"/>
    <s v="Trsf"/>
    <s v="Trsf 27/9/24 RM27,539.00"/>
    <m/>
  </r>
  <r>
    <d v="2024-04-24T00:00:00"/>
    <x v="10"/>
    <x v="5"/>
    <s v="INV00000853"/>
    <s v="C00000014"/>
    <s v="IK Fibre Glass Enterprise"/>
    <x v="45"/>
    <n v="1"/>
    <s v="Cash"/>
    <n v="0"/>
    <d v="2024-04-24T00:00:00"/>
    <n v="4"/>
    <n v="2024"/>
    <n v="1628"/>
    <n v="-1628"/>
    <n v="0"/>
    <n v="4542438.95"/>
    <s v="Cash"/>
    <s v="Cash 29/4/24 RM3,087.80"/>
    <m/>
  </r>
  <r>
    <d v="2024-04-24T00:00:00"/>
    <x v="10"/>
    <x v="5"/>
    <s v="INV00000853"/>
    <s v="C00000014"/>
    <s v="IK Fibre Glass Enterprise"/>
    <x v="246"/>
    <n v="3"/>
    <s v="Cash"/>
    <n v="0"/>
    <d v="2024-04-24T00:00:00"/>
    <n v="4"/>
    <n v="2024"/>
    <n v="621"/>
    <n v="-621"/>
    <n v="0"/>
    <n v="4543059.95"/>
    <s v="Cash"/>
    <s v="Cash 29/4/24 RM3,087.80"/>
    <m/>
  </r>
  <r>
    <d v="2024-04-24T00:00:00"/>
    <x v="10"/>
    <x v="5"/>
    <s v="INV00000853"/>
    <s v="C00000014"/>
    <s v="IK Fibre Glass Enterprise"/>
    <x v="315"/>
    <n v="1"/>
    <s v="Cash"/>
    <n v="0"/>
    <d v="2024-04-24T00:00:00"/>
    <n v="4"/>
    <n v="2024"/>
    <n v="283.8"/>
    <n v="-283.8"/>
    <n v="0"/>
    <n v="4543343.75"/>
    <s v="Cash"/>
    <s v="Cash 29/4/24 RM3,087.80"/>
    <m/>
  </r>
  <r>
    <d v="2024-04-24T00:00:00"/>
    <x v="10"/>
    <x v="5"/>
    <s v="INV00000853"/>
    <s v="C00000014"/>
    <s v="IK Fibre Glass Enterprise"/>
    <x v="293"/>
    <n v="1"/>
    <s v="Cash"/>
    <n v="0"/>
    <d v="2024-04-24T00:00:00"/>
    <n v="4"/>
    <n v="2024"/>
    <n v="160"/>
    <n v="-160"/>
    <n v="0"/>
    <n v="4543503.75"/>
    <s v="Cash"/>
    <s v="Cash 29/4/24 RM3,087.80"/>
    <m/>
  </r>
  <r>
    <d v="2024-04-24T00:00:00"/>
    <x v="10"/>
    <x v="5"/>
    <s v="INV00000853"/>
    <s v="C00000014"/>
    <s v="IK Fibre Glass Enterprise"/>
    <x v="277"/>
    <n v="1"/>
    <s v="Cash"/>
    <n v="0"/>
    <d v="2024-04-24T00:00:00"/>
    <n v="4"/>
    <n v="2024"/>
    <n v="165"/>
    <n v="-165"/>
    <n v="0"/>
    <n v="4543668.75"/>
    <s v="Cash"/>
    <s v="Cash 29/4/24 RM3,087.80"/>
    <m/>
  </r>
  <r>
    <d v="2024-04-24T00:00:00"/>
    <x v="10"/>
    <x v="5"/>
    <s v="INV00000853"/>
    <s v="C00000014"/>
    <s v="IK Fibre Glass Enterprise"/>
    <x v="4"/>
    <n v="1"/>
    <s v="Cash"/>
    <n v="0"/>
    <d v="2024-04-24T00:00:00"/>
    <n v="4"/>
    <n v="2024"/>
    <n v="110"/>
    <n v="-110"/>
    <n v="0"/>
    <n v="4543778.75"/>
    <s v="Cash"/>
    <s v="Cash 29/4/24 RM3,087.80"/>
    <m/>
  </r>
  <r>
    <d v="2024-04-24T00:00:00"/>
    <x v="10"/>
    <x v="5"/>
    <s v="INV00000853"/>
    <s v="C00000014"/>
    <s v="IK Fibre Glass Enterprise"/>
    <x v="153"/>
    <n v="2"/>
    <s v="Cash"/>
    <n v="0"/>
    <d v="2024-04-24T00:00:00"/>
    <n v="4"/>
    <n v="2024"/>
    <n v="120"/>
    <n v="-120"/>
    <n v="0"/>
    <n v="4543898.75"/>
    <s v="Cash"/>
    <s v="Cash 29/4/24 RM3,087.80"/>
    <m/>
  </r>
  <r>
    <d v="2024-04-25T00:00:00"/>
    <x v="10"/>
    <x v="5"/>
    <s v="INV00000854"/>
    <s v="C00000021"/>
    <s v="KT Profesional Fiber"/>
    <x v="15"/>
    <n v="1"/>
    <s v="Cash"/>
    <n v="0"/>
    <d v="2024-04-25T00:00:00"/>
    <n v="4"/>
    <n v="2024"/>
    <n v="1738"/>
    <m/>
    <n v="1738"/>
    <n v="4545636.75"/>
    <s v="PD Chq"/>
    <m/>
    <m/>
  </r>
  <r>
    <d v="2024-04-25T00:00:00"/>
    <x v="10"/>
    <x v="5"/>
    <s v="INV00000854"/>
    <s v="C00000021"/>
    <s v="KT Profesional Fiber"/>
    <x v="318"/>
    <n v="2"/>
    <s v="Cash"/>
    <n v="0"/>
    <d v="2024-04-25T00:00:00"/>
    <n v="4"/>
    <n v="2024"/>
    <n v="555"/>
    <m/>
    <n v="555"/>
    <n v="4470238.1499999994"/>
    <s v="PD Chq"/>
    <m/>
    <m/>
  </r>
  <r>
    <d v="2024-04-25T00:00:00"/>
    <x v="10"/>
    <x v="5"/>
    <s v="INV00000854"/>
    <s v="C00000021"/>
    <s v="KT Profesional Fiber"/>
    <x v="171"/>
    <n v="1"/>
    <s v="Cash"/>
    <n v="0"/>
    <d v="2024-04-25T00:00:00"/>
    <n v="4"/>
    <n v="2024"/>
    <n v="95"/>
    <m/>
    <n v="95"/>
    <n v="4471328.1499999994"/>
    <s v="PD Chq"/>
    <m/>
    <m/>
  </r>
  <r>
    <d v="2024-04-25T00:00:00"/>
    <x v="10"/>
    <x v="5"/>
    <s v="INV00000854"/>
    <s v="C00000021"/>
    <s v="KT Profesional Fiber"/>
    <x v="12"/>
    <n v="5"/>
    <s v="Cash"/>
    <n v="0"/>
    <d v="2024-04-25T00:00:00"/>
    <n v="4"/>
    <n v="2024"/>
    <n v="312.5"/>
    <m/>
    <n v="312.5"/>
    <n v="4473173.6499999994"/>
    <s v="PD Chq"/>
    <m/>
    <m/>
  </r>
  <r>
    <d v="2024-04-25T00:00:00"/>
    <x v="10"/>
    <x v="5"/>
    <s v="INV00000854"/>
    <s v="C00000021"/>
    <s v="KT Profesional Fiber"/>
    <x v="345"/>
    <n v="12"/>
    <s v="Cash"/>
    <n v="0"/>
    <d v="2024-04-25T00:00:00"/>
    <n v="4"/>
    <n v="2024"/>
    <n v="480"/>
    <m/>
    <n v="480"/>
    <n v="4473761.1499999994"/>
    <s v="PD Chq"/>
    <m/>
    <m/>
  </r>
  <r>
    <d v="2024-04-26T00:00:00"/>
    <x v="10"/>
    <x v="5"/>
    <s v="INV00000855"/>
    <s v="C00000044"/>
    <s v="Cash - Encik Razzak"/>
    <x v="188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d v="2024-04-26T00:00:00"/>
    <x v="10"/>
    <x v="5"/>
    <s v="INV00000855"/>
    <s v="C00000044"/>
    <s v="Cash - Encik Razzak"/>
    <x v="246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d v="2024-04-26T00:00:00"/>
    <x v="10"/>
    <x v="5"/>
    <s v="INV00000855"/>
    <s v="C00000044"/>
    <s v="Cash - Encik Razzak"/>
    <x v="153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d v="2024-04-29T00:00:00"/>
    <x v="10"/>
    <x v="5"/>
    <s v="INV00000856"/>
    <s v="C00000019"/>
    <s v="Desuki Affela Empire Enterprise"/>
    <x v="131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d v="2024-04-29T00:00:00"/>
    <x v="10"/>
    <x v="5"/>
    <s v="INV00000856"/>
    <s v="C00000019"/>
    <s v="Desuki Affela Empire Enterprise"/>
    <x v="4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d v="2024-04-29T00:00:00"/>
    <x v="10"/>
    <x v="5"/>
    <s v="INV00000857"/>
    <s v="C00000041"/>
    <s v="Airebus Sdn Bhd"/>
    <x v="292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d v="2024-04-29T00:00:00"/>
    <x v="10"/>
    <x v="5"/>
    <s v="INV00000857"/>
    <s v="C00000041"/>
    <s v="Airebus Sdn Bhd"/>
    <x v="346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d v="2024-04-29T00:00:00"/>
    <x v="10"/>
    <x v="5"/>
    <s v="INV00000858"/>
    <s v="C00000009"/>
    <s v="JMC Steel Engineering Sdn Bhd"/>
    <x v="120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d v="2024-04-29T00:00:00"/>
    <x v="10"/>
    <x v="5"/>
    <s v="INV00000858"/>
    <s v="C00000009"/>
    <s v="JMC Steel Engineering Sdn Bhd"/>
    <x v="96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d v="2024-04-29T00:00:00"/>
    <x v="10"/>
    <x v="5"/>
    <s v="INV00000858"/>
    <s v="C00000009"/>
    <s v="JMC Steel Engineering Sdn Bhd"/>
    <x v="52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d v="2024-04-29T00:00:00"/>
    <x v="10"/>
    <x v="5"/>
    <s v="INV00000859"/>
    <s v="C00000042"/>
    <s v="Welltech (M) Sdn Bhd"/>
    <x v="132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d v="2024-04-29T00:00:00"/>
    <x v="10"/>
    <x v="5"/>
    <s v="INV00000859"/>
    <s v="C00000042"/>
    <s v="Welltech (M) Sdn Bhd"/>
    <x v="347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d v="2024-04-29T00:00:00"/>
    <x v="10"/>
    <x v="5"/>
    <s v="INV00000860"/>
    <s v="C00000042"/>
    <s v="Welltech (M) Sdn Bhd"/>
    <x v="278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d v="2024-04-29T00:00:00"/>
    <x v="10"/>
    <x v="5"/>
    <s v="INV00000860"/>
    <s v="C00000042"/>
    <s v="Welltech (M) Sdn Bhd"/>
    <x v="148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d v="2024-04-29T00:00:00"/>
    <x v="10"/>
    <x v="5"/>
    <s v="INV00000860"/>
    <s v="C00000042"/>
    <s v="Welltech (M) Sdn Bhd"/>
    <x v="301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d v="2024-04-29T00:00:00"/>
    <x v="10"/>
    <x v="5"/>
    <s v="INV00000860"/>
    <s v="C00000042"/>
    <s v="Welltech (M) Sdn Bhd"/>
    <x v="159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d v="2024-05-01T00:00:00"/>
    <x v="11"/>
    <x v="5"/>
    <s v="INV00000861"/>
    <s v="C00000019"/>
    <s v="Desuki Affela Empire Enterprise"/>
    <x v="7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d v="2024-05-01T00:00:00"/>
    <x v="11"/>
    <x v="5"/>
    <s v="INV00000861"/>
    <s v="C00000019"/>
    <s v="Desuki Affela Empire Enterprise"/>
    <x v="225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d v="2024-05-01T00:00:00"/>
    <x v="11"/>
    <x v="5"/>
    <s v="INV00000861"/>
    <s v="C00000019"/>
    <s v="Desuki Affela Empire Enterprise"/>
    <x v="243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d v="2024-05-01T00:00:00"/>
    <x v="11"/>
    <x v="5"/>
    <s v="INV00000861"/>
    <s v="C00000019"/>
    <s v="Desuki Affela Empire Enterprise"/>
    <x v="132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d v="2024-05-03T00:00:00"/>
    <x v="11"/>
    <x v="5"/>
    <s v="INV00000862"/>
    <s v="C00000014"/>
    <s v="IK Fibre Glass Enterprise"/>
    <x v="315"/>
    <n v="1"/>
    <s v="Cash"/>
    <n v="0"/>
    <d v="2024-05-03T00:00:00"/>
    <n v="5"/>
    <n v="2024"/>
    <n v="283.8"/>
    <n v="-283.8"/>
    <n v="0"/>
    <n v="4528433.45"/>
    <s v="Cash"/>
    <s v="Cash 14/5/24 RM443.80"/>
    <m/>
  </r>
  <r>
    <d v="2024-05-03T00:00:00"/>
    <x v="11"/>
    <x v="5"/>
    <s v="INV00000862"/>
    <s v="C00000014"/>
    <s v="IK Fibre Glass Enterprise"/>
    <x v="293"/>
    <n v="1"/>
    <s v="Cash"/>
    <n v="0"/>
    <d v="2024-05-03T00:00:00"/>
    <n v="5"/>
    <n v="2024"/>
    <n v="160"/>
    <n v="-160"/>
    <n v="0"/>
    <n v="4530048.45"/>
    <s v="Cash"/>
    <s v="Cash 14/5/24 RM443.80"/>
    <m/>
  </r>
  <r>
    <d v="2024-05-04T00:00:00"/>
    <x v="11"/>
    <x v="5"/>
    <s v="INV00000863"/>
    <s v="C00000042"/>
    <s v="Welltech (M) Sdn Bhd"/>
    <x v="132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d v="2024-05-04T00:00:00"/>
    <x v="11"/>
    <x v="5"/>
    <s v="INV00000864"/>
    <s v="C00000042"/>
    <s v="Welltech (M) Sdn Bhd"/>
    <x v="348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d v="2024-05-04T00:00:00"/>
    <x v="11"/>
    <x v="5"/>
    <s v="INV00000864"/>
    <s v="C00000042"/>
    <s v="Welltech (M) Sdn Bhd"/>
    <x v="148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d v="2024-05-04T00:00:00"/>
    <x v="11"/>
    <x v="5"/>
    <s v="INV00000864"/>
    <s v="C00000042"/>
    <s v="Welltech (M) Sdn Bhd"/>
    <x v="301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d v="2024-05-04T00:00:00"/>
    <x v="11"/>
    <x v="5"/>
    <s v="INV00000864"/>
    <s v="C00000042"/>
    <s v="Welltech (M) Sdn Bhd"/>
    <x v="159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d v="2024-05-04T00:00:00"/>
    <x v="11"/>
    <x v="5"/>
    <s v="INV00000864"/>
    <s v="C00000042"/>
    <s v="Welltech (M) Sdn Bhd"/>
    <x v="171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d v="2024-05-07T00:00:00"/>
    <x v="11"/>
    <x v="5"/>
    <s v="INV00000865"/>
    <s v="C00000026"/>
    <s v="Megapower Service"/>
    <x v="348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d v="2024-05-07T00:00:00"/>
    <x v="11"/>
    <x v="5"/>
    <s v="INV00000865"/>
    <s v="C00000026"/>
    <s v="Megapower Service"/>
    <x v="225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d v="2024-05-07T00:00:00"/>
    <x v="11"/>
    <x v="5"/>
    <s v="INV00000865"/>
    <s v="C00000026"/>
    <s v="Megapower Service"/>
    <x v="4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d v="2024-05-07T00:00:00"/>
    <x v="11"/>
    <x v="5"/>
    <s v="INV00000865"/>
    <s v="C00000026"/>
    <s v="Megapower Service"/>
    <x v="329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d v="2024-05-07T00:00:00"/>
    <x v="11"/>
    <x v="5"/>
    <s v="INV00000865"/>
    <s v="C00000026"/>
    <s v="Megapower Service"/>
    <x v="153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d v="2024-05-07T00:00:00"/>
    <x v="11"/>
    <x v="5"/>
    <s v="INV00000865"/>
    <s v="C00000026"/>
    <s v="Megapower Service"/>
    <x v="283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d v="2024-05-09T00:00:00"/>
    <x v="11"/>
    <x v="5"/>
    <s v="INV00000866"/>
    <s v="C00000037"/>
    <s v="Suntruck Sdn Bhd"/>
    <x v="222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d v="2024-05-09T00:00:00"/>
    <x v="11"/>
    <x v="5"/>
    <s v="INV00000866"/>
    <s v="C00000037"/>
    <s v="Suntruck Sdn Bhd"/>
    <x v="112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d v="2024-05-09T00:00:00"/>
    <x v="11"/>
    <x v="5"/>
    <s v="INV00000866"/>
    <s v="C00000037"/>
    <s v="Suntruck Sdn Bhd"/>
    <x v="349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d v="2024-05-09T00:00:00"/>
    <x v="11"/>
    <x v="5"/>
    <s v="INV00000866"/>
    <s v="C00000037"/>
    <s v="Suntruck Sdn Bhd"/>
    <x v="223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d v="2024-05-09T00:00:00"/>
    <x v="11"/>
    <x v="5"/>
    <s v="INV00000866"/>
    <s v="C00000037"/>
    <s v="Suntruck Sdn Bhd"/>
    <x v="132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d v="2024-05-10T00:00:00"/>
    <x v="11"/>
    <x v="5"/>
    <s v="INV00000867"/>
    <s v="C00000006"/>
    <s v="Perniagaan Fibra Sahih"/>
    <x v="7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d v="2024-05-10T00:00:00"/>
    <x v="11"/>
    <x v="5"/>
    <s v="INV00000867"/>
    <s v="C00000006"/>
    <s v="Perniagaan Fibra Sahih"/>
    <x v="246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d v="2024-05-10T00:00:00"/>
    <x v="11"/>
    <x v="5"/>
    <s v="INV00000867"/>
    <s v="C00000006"/>
    <s v="Perniagaan Fibra Sahih"/>
    <x v="4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d v="2024-05-10T00:00:00"/>
    <x v="11"/>
    <x v="5"/>
    <s v="INV00000867"/>
    <s v="C00000006"/>
    <s v="Perniagaan Fibra Sahih"/>
    <x v="53"/>
    <n v="2"/>
    <s v="Cash"/>
    <n v="0"/>
    <d v="2024-05-10T00:00:00"/>
    <n v="5"/>
    <n v="2024"/>
    <n v="96"/>
    <n v="-96"/>
    <n v="0"/>
    <n v="4551333.25"/>
    <s v="Chq"/>
    <s v="Cash deposit 30/7/24 RM5,577.00"/>
    <m/>
  </r>
  <r>
    <d v="2024-05-10T00:00:00"/>
    <x v="11"/>
    <x v="5"/>
    <s v="INV00000867"/>
    <s v="C00000006"/>
    <s v="Perniagaan Fibra Sahih"/>
    <x v="350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d v="2024-05-10T00:00:00"/>
    <x v="11"/>
    <x v="5"/>
    <s v="INV00000867"/>
    <s v="C00000006"/>
    <s v="Perniagaan Fibra Sahih"/>
    <x v="274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d v="2024-05-09T00:00:00"/>
    <x v="11"/>
    <x v="5"/>
    <s v="INV00000868"/>
    <s v="C00000042"/>
    <s v="Welltech (M) Sdn Bhd"/>
    <x v="132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d v="2024-05-09T00:00:00"/>
    <x v="11"/>
    <x v="5"/>
    <s v="INV00000869"/>
    <s v="C00000042"/>
    <s v="Welltech (M) Sdn Bhd"/>
    <x v="348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d v="2024-05-09T00:00:00"/>
    <x v="11"/>
    <x v="5"/>
    <s v="INV00000869"/>
    <s v="C00000042"/>
    <s v="Welltech (M) Sdn Bhd"/>
    <x v="148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d v="2024-05-09T00:00:00"/>
    <x v="11"/>
    <x v="5"/>
    <s v="INV00000869"/>
    <s v="C00000042"/>
    <s v="Welltech (M) Sdn Bhd"/>
    <x v="301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d v="2024-05-09T00:00:00"/>
    <x v="11"/>
    <x v="5"/>
    <s v="INV00000869"/>
    <s v="C00000042"/>
    <s v="Welltech (M) Sdn Bhd"/>
    <x v="159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d v="2024-05-09T00:00:00"/>
    <x v="11"/>
    <x v="5"/>
    <s v="INV00000869"/>
    <s v="C00000042"/>
    <s v="Welltech (M) Sdn Bhd"/>
    <x v="171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d v="2024-05-10T00:00:00"/>
    <x v="11"/>
    <x v="5"/>
    <s v="INV00000870"/>
    <s v="C00000019"/>
    <s v="Desuki Affela Empire Enterprise"/>
    <x v="7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d v="2024-05-10T00:00:00"/>
    <x v="11"/>
    <x v="5"/>
    <s v="INV00000870"/>
    <s v="C00000019"/>
    <s v="Desuki Affela Empire Enterprise"/>
    <x v="327"/>
    <n v="1"/>
    <s v="Cash"/>
    <n v="0"/>
    <d v="2024-05-10T00:00:00"/>
    <n v="5"/>
    <n v="2024"/>
    <n v="405"/>
    <m/>
    <n v="405"/>
    <n v="4573232.75"/>
    <s v="Trsf"/>
    <m/>
    <m/>
  </r>
  <r>
    <d v="2024-05-10T00:00:00"/>
    <x v="11"/>
    <x v="5"/>
    <s v="INV00000870"/>
    <s v="C00000019"/>
    <s v="Desuki Affela Empire Enterprise"/>
    <x v="132"/>
    <n v="3"/>
    <s v="Cash"/>
    <n v="0"/>
    <d v="2024-05-10T00:00:00"/>
    <n v="5"/>
    <n v="2024"/>
    <n v="187.5"/>
    <m/>
    <n v="187.5"/>
    <n v="4574887.25"/>
    <s v="Trsf"/>
    <m/>
    <m/>
  </r>
  <r>
    <d v="2024-05-10T00:00:00"/>
    <x v="11"/>
    <x v="5"/>
    <s v="INV00000870"/>
    <s v="C00000019"/>
    <s v="Desuki Affela Empire Enterprise"/>
    <x v="273"/>
    <n v="1"/>
    <s v="Cash"/>
    <n v="0"/>
    <d v="2024-05-10T00:00:00"/>
    <n v="5"/>
    <n v="2024"/>
    <n v="160"/>
    <m/>
    <n v="160"/>
    <n v="4575859.75"/>
    <s v="Trsf"/>
    <m/>
    <m/>
  </r>
  <r>
    <d v="2024-05-10T00:00:00"/>
    <x v="11"/>
    <x v="5"/>
    <s v="INV00000871"/>
    <s v="C00000010"/>
    <s v="Yew Seng Gardening Supply Sdn Bhd"/>
    <x v="188"/>
    <n v="6"/>
    <n v="120"/>
    <n v="120"/>
    <d v="2024-09-07T00:00:00"/>
    <n v="9"/>
    <n v="2024"/>
    <n v="9768"/>
    <n v="-9768"/>
    <n v="0"/>
    <n v="4532478.45"/>
    <s v="Trsf"/>
    <s v="Trsf 21/10/24 RM13,338.00"/>
    <m/>
  </r>
  <r>
    <d v="2024-05-10T00:00:00"/>
    <x v="11"/>
    <x v="5"/>
    <s v="INV00000871"/>
    <s v="C00000010"/>
    <s v="Yew Seng Gardening Supply Sdn Bhd"/>
    <x v="215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d v="2024-05-10T00:00:00"/>
    <x v="11"/>
    <x v="5"/>
    <s v="INV00000871"/>
    <s v="C00000010"/>
    <s v="Yew Seng Gardening Supply Sdn Bhd"/>
    <x v="132"/>
    <n v="10"/>
    <n v="120"/>
    <n v="120"/>
    <d v="2024-09-07T00:00:00"/>
    <n v="9"/>
    <n v="2024"/>
    <n v="575"/>
    <n v="-575"/>
    <n v="0"/>
    <n v="4527735.45"/>
    <s v="Trsf"/>
    <s v="Trsf 21/10/24 RM13,338.00"/>
    <m/>
  </r>
  <r>
    <d v="2024-05-10T00:00:00"/>
    <x v="11"/>
    <x v="5"/>
    <s v="INV00000871"/>
    <s v="C00000010"/>
    <s v="Yew Seng Gardening Supply Sdn Bhd"/>
    <x v="4"/>
    <n v="4"/>
    <n v="120"/>
    <n v="120"/>
    <d v="2024-09-07T00:00:00"/>
    <n v="9"/>
    <n v="2024"/>
    <n v="440"/>
    <n v="-440"/>
    <n v="0"/>
    <n v="4527777.95"/>
    <s v="Trsf"/>
    <s v="Trsf 21/10/24 RM13,338.00"/>
    <m/>
  </r>
  <r>
    <d v="2024-05-10T00:00:00"/>
    <x v="11"/>
    <x v="5"/>
    <s v="INV00000871"/>
    <s v="C00000010"/>
    <s v="Yew Seng Gardening Supply Sdn Bhd"/>
    <x v="343"/>
    <n v="1"/>
    <n v="120"/>
    <n v="120"/>
    <d v="2024-09-07T00:00:00"/>
    <n v="9"/>
    <n v="2024"/>
    <n v="420"/>
    <n v="-420"/>
    <n v="0"/>
    <n v="4528853.45"/>
    <s v="Trsf"/>
    <s v="Trsf 21/10/24 RM13,338.00"/>
    <m/>
  </r>
  <r>
    <d v="2024-05-10T00:00:00"/>
    <x v="11"/>
    <x v="5"/>
    <s v="INV00000871"/>
    <s v="C00000010"/>
    <s v="Yew Seng Gardening Supply Sdn Bhd"/>
    <x v="48"/>
    <n v="1"/>
    <n v="120"/>
    <n v="120"/>
    <d v="2024-09-07T00:00:00"/>
    <n v="9"/>
    <n v="2024"/>
    <n v="395"/>
    <n v="-395"/>
    <n v="0"/>
    <n v="4530443.45"/>
    <s v="Trsf"/>
    <s v="Trsf 21/10/24 RM13,338.00"/>
    <m/>
  </r>
  <r>
    <d v="2024-05-14T00:00:00"/>
    <x v="11"/>
    <x v="5"/>
    <s v="INV00000872"/>
    <s v="C00000042"/>
    <s v="Welltech (M) Sdn Bhd"/>
    <x v="148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d v="2024-05-14T00:00:00"/>
    <x v="11"/>
    <x v="5"/>
    <s v="INV00000872"/>
    <s v="C00000042"/>
    <s v="Welltech (M) Sdn Bhd"/>
    <x v="301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d v="2024-05-14T00:00:00"/>
    <x v="11"/>
    <x v="5"/>
    <s v="INV00000872"/>
    <s v="C00000042"/>
    <s v="Welltech (M) Sdn Bhd"/>
    <x v="159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d v="2024-05-14T00:00:00"/>
    <x v="11"/>
    <x v="5"/>
    <s v="INV00000872"/>
    <s v="C00000042"/>
    <s v="Welltech (M) Sdn Bhd"/>
    <x v="171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d v="2024-05-17T00:00:00"/>
    <x v="11"/>
    <x v="5"/>
    <s v="INV00000873"/>
    <s v="C00000042"/>
    <s v="Welltech (M) Sdn Bhd"/>
    <x v="132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d v="2024-05-17T00:00:00"/>
    <x v="11"/>
    <x v="5"/>
    <s v="INV00000874"/>
    <s v="C00000042"/>
    <s v="Welltech (M) Sdn Bhd"/>
    <x v="348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d v="2024-05-17T00:00:00"/>
    <x v="11"/>
    <x v="5"/>
    <s v="INV00000874"/>
    <s v="C00000042"/>
    <s v="Welltech (M) Sdn Bhd"/>
    <x v="148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d v="2024-05-17T00:00:00"/>
    <x v="11"/>
    <x v="5"/>
    <s v="INV00000874"/>
    <s v="C00000042"/>
    <s v="Welltech (M) Sdn Bhd"/>
    <x v="301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d v="2024-05-17T00:00:00"/>
    <x v="11"/>
    <x v="5"/>
    <s v="INV00000874"/>
    <s v="C00000042"/>
    <s v="Welltech (M) Sdn Bhd"/>
    <x v="159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d v="2024-05-20T00:00:00"/>
    <x v="11"/>
    <x v="5"/>
    <s v="INV00000875"/>
    <s v="C00000021"/>
    <s v="KT Profesional Fiber"/>
    <x v="15"/>
    <n v="1"/>
    <s v="Cash"/>
    <n v="0"/>
    <d v="2024-05-20T00:00:00"/>
    <n v="5"/>
    <n v="2024"/>
    <n v="1760"/>
    <m/>
    <n v="1760"/>
    <n v="4547604.3499999996"/>
    <s v="PD Chq"/>
    <m/>
    <m/>
  </r>
  <r>
    <d v="2024-05-20T00:00:00"/>
    <x v="11"/>
    <x v="5"/>
    <s v="INV00000875"/>
    <s v="C00000021"/>
    <s v="KT Profesional Fiber"/>
    <x v="318"/>
    <n v="2"/>
    <s v="Cash"/>
    <n v="0"/>
    <d v="2024-05-20T00:00:00"/>
    <n v="5"/>
    <n v="2024"/>
    <n v="555"/>
    <m/>
    <n v="555"/>
    <n v="4546061.75"/>
    <s v="PD Chq"/>
    <m/>
    <m/>
  </r>
  <r>
    <d v="2024-05-20T00:00:00"/>
    <x v="11"/>
    <x v="5"/>
    <s v="INV00000875"/>
    <s v="C00000021"/>
    <s v="KT Profesional Fiber"/>
    <x v="171"/>
    <n v="1"/>
    <s v="Cash"/>
    <n v="0"/>
    <d v="2024-05-20T00:00:00"/>
    <n v="5"/>
    <n v="2024"/>
    <n v="95"/>
    <m/>
    <n v="95"/>
    <n v="4545656.95"/>
    <s v="PD Chq"/>
    <m/>
    <m/>
  </r>
  <r>
    <d v="2024-05-20T00:00:00"/>
    <x v="11"/>
    <x v="5"/>
    <s v="INV00000875"/>
    <s v="C00000021"/>
    <s v="KT Profesional Fiber"/>
    <x v="12"/>
    <n v="5"/>
    <s v="Cash"/>
    <n v="0"/>
    <d v="2024-05-20T00:00:00"/>
    <n v="5"/>
    <n v="2024"/>
    <n v="312.5"/>
    <m/>
    <n v="312.5"/>
    <n v="4552837.25"/>
    <s v="PD Chq"/>
    <m/>
    <m/>
  </r>
  <r>
    <d v="2024-05-25T00:00:00"/>
    <x v="11"/>
    <x v="5"/>
    <s v="INV00000876"/>
    <s v="C00000021"/>
    <s v="KT Profesional Fiber"/>
    <x v="15"/>
    <n v="1"/>
    <s v="Cash"/>
    <n v="0"/>
    <d v="2024-05-25T00:00:00"/>
    <n v="5"/>
    <n v="2024"/>
    <n v="1760"/>
    <m/>
    <n v="1760"/>
    <n v="4549980.95"/>
    <s v="PD Chq"/>
    <m/>
    <m/>
  </r>
  <r>
    <d v="2024-05-25T00:00:00"/>
    <x v="11"/>
    <x v="5"/>
    <s v="INV00000876"/>
    <s v="C00000021"/>
    <s v="KT Profesional Fiber"/>
    <x v="318"/>
    <n v="2"/>
    <s v="Cash"/>
    <n v="0"/>
    <d v="2024-05-25T00:00:00"/>
    <n v="5"/>
    <n v="2024"/>
    <n v="555"/>
    <m/>
    <n v="555"/>
    <n v="4548870.95"/>
    <s v="PD Chq"/>
    <m/>
    <m/>
  </r>
  <r>
    <d v="2024-05-25T00:00:00"/>
    <x v="11"/>
    <x v="5"/>
    <s v="INV00000876"/>
    <s v="C00000021"/>
    <s v="KT Profesional Fiber"/>
    <x v="171"/>
    <n v="1"/>
    <s v="Cash"/>
    <n v="0"/>
    <d v="2024-05-25T00:00:00"/>
    <n v="5"/>
    <n v="2024"/>
    <n v="95"/>
    <m/>
    <n v="95"/>
    <n v="4548542.25"/>
    <s v="PD Chq"/>
    <m/>
    <m/>
  </r>
  <r>
    <d v="2024-05-28T00:00:00"/>
    <x v="11"/>
    <x v="5"/>
    <s v="INV00000877"/>
    <s v="C00000019"/>
    <s v="Desuki Affela Empire Enterprise"/>
    <x v="120"/>
    <n v="1"/>
    <s v="Cash"/>
    <n v="0"/>
    <d v="2024-05-28T00:00:00"/>
    <n v="5"/>
    <n v="2024"/>
    <n v="1760"/>
    <m/>
    <n v="1760"/>
    <n v="4550759.75"/>
    <s v="Trsf"/>
    <m/>
    <m/>
  </r>
  <r>
    <d v="2024-05-28T00:00:00"/>
    <x v="11"/>
    <x v="5"/>
    <s v="INV00000877"/>
    <s v="C00000019"/>
    <s v="Desuki Affela Empire Enterprise"/>
    <x v="225"/>
    <n v="1"/>
    <s v="Cash"/>
    <n v="0"/>
    <d v="2024-05-28T00:00:00"/>
    <n v="5"/>
    <n v="2024"/>
    <n v="405"/>
    <m/>
    <n v="405"/>
    <n v="4554218.25"/>
    <s v="Trsf"/>
    <m/>
    <m/>
  </r>
  <r>
    <d v="2024-05-28T00:00:00"/>
    <x v="11"/>
    <x v="5"/>
    <s v="INV00000877"/>
    <s v="C00000019"/>
    <s v="Desuki Affela Empire Enterprise"/>
    <x v="4"/>
    <n v="1"/>
    <s v="Cash"/>
    <n v="0"/>
    <d v="2024-05-28T00:00:00"/>
    <n v="5"/>
    <n v="2024"/>
    <n v="110"/>
    <m/>
    <n v="110"/>
    <n v="4552217.25"/>
    <s v="Trsf"/>
    <m/>
    <m/>
  </r>
  <r>
    <d v="2024-05-28T00:00:00"/>
    <x v="11"/>
    <x v="5"/>
    <s v="INV00000877"/>
    <s v="C00000019"/>
    <s v="Desuki Affela Empire Enterprise"/>
    <x v="141"/>
    <n v="1"/>
    <s v="Cash"/>
    <n v="0"/>
    <d v="2024-05-28T00:00:00"/>
    <n v="5"/>
    <n v="2024"/>
    <n v="150"/>
    <m/>
    <n v="150"/>
    <n v="4551187.25"/>
    <s v="Trsf"/>
    <m/>
    <m/>
  </r>
  <r>
    <d v="2024-05-28T00:00:00"/>
    <x v="11"/>
    <x v="5"/>
    <s v="INV00000877"/>
    <s v="C00000019"/>
    <s v="Desuki Affela Empire Enterprise"/>
    <x v="317"/>
    <n v="1"/>
    <s v="Cash"/>
    <n v="0"/>
    <d v="2024-05-28T00:00:00"/>
    <n v="5"/>
    <n v="2024"/>
    <n v="283.8"/>
    <m/>
    <n v="283.8"/>
    <n v="4551617.05"/>
    <s v="Trsf"/>
    <m/>
    <m/>
  </r>
  <r>
    <d v="2024-05-28T00:00:00"/>
    <x v="11"/>
    <x v="5"/>
    <s v="INV00000878"/>
    <s v="C00000014"/>
    <s v="IK Fibre Glass Enterprise"/>
    <x v="45"/>
    <n v="1"/>
    <s v="Cash"/>
    <n v="0"/>
    <d v="2024-05-28T00:00:00"/>
    <n v="5"/>
    <n v="2024"/>
    <n v="1650"/>
    <n v="-1650"/>
    <n v="0"/>
    <n v="4553272.25"/>
    <s v="Cash"/>
    <s v="Cash 29/5/24 RM3,373.80"/>
    <m/>
  </r>
  <r>
    <d v="2024-05-28T00:00:00"/>
    <x v="11"/>
    <x v="5"/>
    <s v="INV00000878"/>
    <s v="C00000014"/>
    <s v="IK Fibre Glass Enterprise"/>
    <x v="351"/>
    <n v="4"/>
    <s v="Cash"/>
    <n v="0"/>
    <d v="2024-05-28T00:00:00"/>
    <n v="5"/>
    <n v="2024"/>
    <n v="840"/>
    <n v="-840"/>
    <n v="0"/>
    <n v="4552821.25"/>
    <s v="Cash"/>
    <s v="Cash 29/5/24 RM3,373.80"/>
    <m/>
  </r>
  <r>
    <d v="2024-05-28T00:00:00"/>
    <x v="11"/>
    <x v="5"/>
    <s v="INV00000878"/>
    <s v="C00000014"/>
    <s v="IK Fibre Glass Enterprise"/>
    <x v="352"/>
    <n v="1"/>
    <s v="Cash"/>
    <n v="0"/>
    <d v="2024-05-28T00:00:00"/>
    <n v="5"/>
    <n v="2024"/>
    <n v="280"/>
    <n v="-280"/>
    <n v="0"/>
    <n v="4552723.75"/>
    <s v="Cash"/>
    <s v="Cash 29/5/24 RM3,373.80"/>
    <m/>
  </r>
  <r>
    <d v="2024-05-28T00:00:00"/>
    <x v="11"/>
    <x v="5"/>
    <s v="INV00000878"/>
    <s v="C00000014"/>
    <s v="IK Fibre Glass Enterprise"/>
    <x v="293"/>
    <n v="2"/>
    <s v="Cash"/>
    <n v="0"/>
    <d v="2024-05-28T00:00:00"/>
    <n v="5"/>
    <n v="2024"/>
    <n v="320"/>
    <n v="-320"/>
    <n v="0"/>
    <n v="4566978.25"/>
    <s v="Cash"/>
    <s v="Cash 29/5/24 RM3,373.80"/>
    <m/>
  </r>
  <r>
    <d v="2024-05-28T00:00:00"/>
    <x v="11"/>
    <x v="5"/>
    <s v="INV00000878"/>
    <s v="C00000014"/>
    <s v="IK Fibre Glass Enterprise"/>
    <x v="317"/>
    <n v="1"/>
    <s v="Cash"/>
    <n v="0"/>
    <d v="2024-05-28T00:00:00"/>
    <n v="5"/>
    <n v="2024"/>
    <n v="283.8"/>
    <n v="-283.8"/>
    <n v="0"/>
    <n v="4560828.05"/>
    <s v="Cash"/>
    <s v="Cash 29/5/24 RM3,373.80"/>
    <m/>
  </r>
  <r>
    <d v="2024-05-29T00:00:00"/>
    <x v="11"/>
    <x v="5"/>
    <s v="INV00000879"/>
    <s v="C00000046"/>
    <s v="Berkat Fibreglass"/>
    <x v="353"/>
    <n v="1"/>
    <s v="Cash"/>
    <n v="0"/>
    <d v="2024-05-29T00:00:00"/>
    <n v="5"/>
    <n v="2024"/>
    <n v="240"/>
    <n v="-240"/>
    <n v="0"/>
    <n v="4575939.75"/>
    <s v="Cash"/>
    <s v="Cash 29/5/24 RM723.00"/>
    <m/>
  </r>
  <r>
    <d v="2024-05-29T00:00:00"/>
    <x v="11"/>
    <x v="5"/>
    <s v="INV00000879"/>
    <s v="C00000046"/>
    <s v="Berkat Fibreglass"/>
    <x v="354"/>
    <n v="1"/>
    <s v="Cash"/>
    <n v="0"/>
    <d v="2024-05-29T00:00:00"/>
    <n v="5"/>
    <n v="2024"/>
    <n v="225"/>
    <n v="-225"/>
    <n v="0"/>
    <n v="4522935.45"/>
    <s v="Cash"/>
    <s v="Cash 29/5/24 RM723.00"/>
    <m/>
  </r>
  <r>
    <d v="2024-05-29T00:00:00"/>
    <x v="11"/>
    <x v="5"/>
    <s v="INV00000879"/>
    <s v="C00000046"/>
    <s v="Berkat Fibreglass"/>
    <x v="267"/>
    <n v="1"/>
    <s v="Cash"/>
    <n v="0"/>
    <d v="2024-05-29T00:00:00"/>
    <n v="5"/>
    <n v="2024"/>
    <n v="258"/>
    <n v="-258"/>
    <n v="0"/>
    <n v="4525093.45"/>
    <s v="Cash"/>
    <s v="Cash 29/5/24 RM723.00"/>
    <m/>
  </r>
  <r>
    <d v="2024-05-29T00:00:00"/>
    <x v="11"/>
    <x v="5"/>
    <s v="INV00000880"/>
    <s v="C00000044"/>
    <s v="Cash - Encik Razzak"/>
    <x v="188"/>
    <n v="1"/>
    <s v="Cash"/>
    <n v="0"/>
    <d v="2024-05-29T00:00:00"/>
    <n v="5"/>
    <n v="2024"/>
    <n v="1672"/>
    <n v="-1672"/>
    <n v="0"/>
    <n v="4528832.45"/>
    <s v="Cash"/>
    <s v="Cash 30/5/24 RM2,412.00"/>
    <m/>
  </r>
  <r>
    <d v="2024-05-29T00:00:00"/>
    <x v="11"/>
    <x v="5"/>
    <s v="INV00000880"/>
    <s v="C00000044"/>
    <s v="Cash - Encik Razzak"/>
    <x v="351"/>
    <n v="3"/>
    <s v="Cash"/>
    <n v="0"/>
    <d v="2024-05-29T00:00:00"/>
    <n v="5"/>
    <n v="2024"/>
    <n v="630"/>
    <n v="-630"/>
    <n v="0"/>
    <n v="4527967.95"/>
    <s v="Cash"/>
    <s v="Cash 30/5/24 RM2,412.00"/>
    <m/>
  </r>
  <r>
    <d v="2024-05-29T00:00:00"/>
    <x v="11"/>
    <x v="5"/>
    <s v="INV00000880"/>
    <s v="C00000044"/>
    <s v="Cash - Encik Razzak"/>
    <x v="4"/>
    <n v="1"/>
    <s v="Cash"/>
    <n v="0"/>
    <d v="2024-05-29T00:00:00"/>
    <n v="5"/>
    <n v="2024"/>
    <n v="110"/>
    <n v="-110"/>
    <n v="0"/>
    <n v="4528543.45"/>
    <s v="Cash"/>
    <s v="Cash 30/5/24 RM2,412.00"/>
    <m/>
  </r>
  <r>
    <d v="2024-05-29T00:00:00"/>
    <x v="11"/>
    <x v="5"/>
    <s v="INV00000881"/>
    <s v="C00000042"/>
    <s v="Welltech (M) Sdn Bhd"/>
    <x v="132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d v="2024-05-29T00:00:00"/>
    <x v="11"/>
    <x v="5"/>
    <s v="INV00000882"/>
    <s v="C00000042"/>
    <s v="Welltech (M) Sdn Bhd"/>
    <x v="348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d v="2024-05-29T00:00:00"/>
    <x v="11"/>
    <x v="5"/>
    <s v="INV00000882"/>
    <s v="C00000042"/>
    <s v="Welltech (M) Sdn Bhd"/>
    <x v="351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d v="2024-05-29T00:00:00"/>
    <x v="11"/>
    <x v="5"/>
    <s v="INV00000882"/>
    <s v="C00000042"/>
    <s v="Welltech (M) Sdn Bhd"/>
    <x v="301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d v="2024-05-29T00:00:00"/>
    <x v="11"/>
    <x v="5"/>
    <s v="INV00000882"/>
    <s v="C00000042"/>
    <s v="Welltech (M) Sdn Bhd"/>
    <x v="159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d v="2024-06-01T00:00:00"/>
    <x v="1"/>
    <x v="5"/>
    <s v="INV00000883"/>
    <s v="C00000010"/>
    <s v="Yew Seng Gardening Supply Sdn Bhd"/>
    <x v="222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d v="2024-06-01T00:00:00"/>
    <x v="1"/>
    <x v="5"/>
    <s v="INV00000883"/>
    <s v="C00000010"/>
    <s v="Yew Seng Gardening Supply Sdn Bhd"/>
    <x v="246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d v="2024-06-01T00:00:00"/>
    <x v="1"/>
    <x v="5"/>
    <s v="INV00000883"/>
    <s v="C00000010"/>
    <s v="Yew Seng Gardening Supply Sdn Bhd"/>
    <x v="355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d v="2024-06-01T00:00:00"/>
    <x v="1"/>
    <x v="5"/>
    <s v="INV00000883"/>
    <s v="C00000010"/>
    <s v="Yew Seng Gardening Supply Sdn Bhd"/>
    <x v="4"/>
    <n v="4"/>
    <n v="120"/>
    <n v="120"/>
    <d v="2024-09-29T00:00:00"/>
    <n v="9"/>
    <n v="2024"/>
    <n v="440"/>
    <n v="-440"/>
    <n v="0"/>
    <n v="4511622.45"/>
    <s v="Trsf"/>
    <s v="Trsf 27/11/24 RM35,750.50"/>
    <m/>
  </r>
  <r>
    <d v="2024-06-01T00:00:00"/>
    <x v="1"/>
    <x v="5"/>
    <s v="INV00000883"/>
    <s v="C00000010"/>
    <s v="Yew Seng Gardening Supply Sdn Bhd"/>
    <x v="343"/>
    <n v="1"/>
    <n v="120"/>
    <n v="120"/>
    <d v="2024-09-29T00:00:00"/>
    <n v="9"/>
    <n v="2024"/>
    <n v="420"/>
    <n v="-420"/>
    <n v="0"/>
    <n v="4521370.45"/>
    <s v="Trsf"/>
    <s v="Trsf 27/11/24 RM35,750.50"/>
    <m/>
  </r>
  <r>
    <d v="2024-06-01T00:00:00"/>
    <x v="1"/>
    <x v="5"/>
    <s v="INV00000883"/>
    <s v="C00000010"/>
    <s v="Yew Seng Gardening Supply Sdn Bhd"/>
    <x v="48"/>
    <n v="1"/>
    <n v="120"/>
    <n v="120"/>
    <d v="2024-09-29T00:00:00"/>
    <n v="9"/>
    <n v="2024"/>
    <n v="395"/>
    <n v="-395"/>
    <n v="0"/>
    <n v="4524825.45"/>
    <s v="Trsf"/>
    <s v="Trsf 27/11/24 RM35,750.50"/>
    <m/>
  </r>
  <r>
    <d v="2024-06-01T00:00:00"/>
    <x v="1"/>
    <x v="5"/>
    <s v="INV00000883"/>
    <s v="C00000010"/>
    <s v="Yew Seng Gardening Supply Sdn Bhd"/>
    <x v="151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d v="2024-06-01T00:00:00"/>
    <x v="1"/>
    <x v="5"/>
    <s v="INV00000884"/>
    <s v="C00000021"/>
    <s v="KT Profesional Fiber"/>
    <x v="15"/>
    <n v="1"/>
    <s v="Cash"/>
    <n v="0"/>
    <d v="2024-06-01T00:00:00"/>
    <n v="6"/>
    <n v="2024"/>
    <n v="1760"/>
    <m/>
    <n v="1760"/>
    <n v="4528910.45"/>
    <s v="PD Chq"/>
    <m/>
    <m/>
  </r>
  <r>
    <d v="2024-06-01T00:00:00"/>
    <x v="1"/>
    <x v="5"/>
    <s v="INV00000884"/>
    <s v="C00000021"/>
    <s v="KT Profesional Fiber"/>
    <x v="318"/>
    <n v="2"/>
    <s v="Cash"/>
    <n v="0"/>
    <d v="2024-06-01T00:00:00"/>
    <n v="6"/>
    <n v="2024"/>
    <n v="555"/>
    <m/>
    <n v="555"/>
    <n v="4528705.45"/>
    <s v="PD Chq"/>
    <m/>
    <m/>
  </r>
  <r>
    <d v="2024-06-01T00:00:00"/>
    <x v="1"/>
    <x v="5"/>
    <s v="INV00000884"/>
    <s v="C00000021"/>
    <s v="KT Profesional Fiber"/>
    <x v="171"/>
    <n v="1"/>
    <s v="Cash"/>
    <n v="0"/>
    <d v="2024-06-01T00:00:00"/>
    <n v="6"/>
    <n v="2024"/>
    <n v="95"/>
    <m/>
    <n v="95"/>
    <n v="4529983.45"/>
    <s v="PD Chq"/>
    <m/>
    <m/>
  </r>
  <r>
    <d v="2024-06-04T00:00:00"/>
    <x v="1"/>
    <x v="5"/>
    <s v="INV00000885"/>
    <s v="C00000014"/>
    <s v="IK Fibre Glass Enterprise"/>
    <x v="45"/>
    <n v="1"/>
    <s v="Cash"/>
    <n v="0"/>
    <d v="2024-06-04T00:00:00"/>
    <n v="6"/>
    <n v="2024"/>
    <n v="1650"/>
    <n v="-1650"/>
    <n v="0"/>
    <n v="4531725.95"/>
    <s v="Cash"/>
    <s v="Cash 5/6/24 RM2,090.00"/>
    <m/>
  </r>
  <r>
    <d v="2024-06-04T00:00:00"/>
    <x v="1"/>
    <x v="5"/>
    <s v="INV00000885"/>
    <s v="C00000014"/>
    <s v="IK Fibre Glass Enterprise"/>
    <x v="352"/>
    <n v="1"/>
    <s v="Cash"/>
    <n v="0"/>
    <d v="2024-06-04T00:00:00"/>
    <n v="6"/>
    <n v="2024"/>
    <n v="280"/>
    <n v="-280"/>
    <n v="0"/>
    <n v="4540123.95"/>
    <s v="Cash"/>
    <s v="Cash 5/6/24 RM2,090.00"/>
    <m/>
  </r>
  <r>
    <d v="2024-06-04T00:00:00"/>
    <x v="1"/>
    <x v="5"/>
    <s v="INV00000885"/>
    <s v="C00000014"/>
    <s v="IK Fibre Glass Enterprise"/>
    <x v="293"/>
    <n v="1"/>
    <s v="Cash"/>
    <n v="0"/>
    <d v="2024-06-04T00:00:00"/>
    <n v="6"/>
    <n v="2024"/>
    <n v="160"/>
    <n v="-160"/>
    <n v="0"/>
    <n v="4541743.95"/>
    <s v="Cash"/>
    <s v="Cash 5/6/24 RM2,090.00"/>
    <m/>
  </r>
  <r>
    <d v="2024-06-04T00:00:00"/>
    <x v="1"/>
    <x v="5"/>
    <s v="INV00000886"/>
    <s v="C00000003"/>
    <s v="Pandian Art Gallery Manufacturing"/>
    <x v="15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d v="2024-06-04T00:00:00"/>
    <x v="1"/>
    <x v="5"/>
    <s v="INV00000886"/>
    <s v="C00000003"/>
    <s v="Pandian Art Gallery Manufacturing"/>
    <x v="4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d v="2024-06-05T00:00:00"/>
    <x v="1"/>
    <x v="5"/>
    <s v="INV00000887"/>
    <s v="C00000046"/>
    <s v="Berkat Fibreglass"/>
    <x v="317"/>
    <n v="1"/>
    <s v="Cash"/>
    <n v="0"/>
    <d v="2024-06-05T00:00:00"/>
    <n v="6"/>
    <n v="2024"/>
    <n v="283.8"/>
    <n v="-283.8"/>
    <n v="0"/>
    <n v="4544330.75"/>
    <s v="Cash"/>
    <s v="Cash 5/6/24 RM283.80"/>
    <m/>
  </r>
  <r>
    <d v="2024-06-06T00:00:00"/>
    <x v="1"/>
    <x v="5"/>
    <s v="INV00000888"/>
    <s v="C00000042"/>
    <s v="Welltech (M) Sdn Bhd"/>
    <x v="132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d v="2024-06-06T00:00:00"/>
    <x v="1"/>
    <x v="5"/>
    <s v="INV00000889"/>
    <s v="C00000042"/>
    <s v="Welltech (M) Sdn Bhd"/>
    <x v="348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d v="2024-06-06T00:00:00"/>
    <x v="1"/>
    <x v="5"/>
    <s v="INV00000889"/>
    <s v="C00000042"/>
    <s v="Welltech (M) Sdn Bhd"/>
    <x v="351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d v="2024-06-06T00:00:00"/>
    <x v="1"/>
    <x v="5"/>
    <s v="INV00000889"/>
    <s v="C00000042"/>
    <s v="Welltech (M) Sdn Bhd"/>
    <x v="301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d v="2024-06-06T00:00:00"/>
    <x v="1"/>
    <x v="5"/>
    <s v="INV00000889"/>
    <s v="C00000042"/>
    <s v="Welltech (M) Sdn Bhd"/>
    <x v="171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d v="2024-06-06T00:00:00"/>
    <x v="1"/>
    <x v="5"/>
    <s v="INV00000889"/>
    <s v="C00000042"/>
    <s v="Welltech (M) Sdn Bhd"/>
    <x v="4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d v="2024-06-07T00:00:00"/>
    <x v="1"/>
    <x v="5"/>
    <s v="INV00000890"/>
    <s v="C00000019"/>
    <s v="Desuki Affela Empire Enterprise"/>
    <x v="7"/>
    <n v="1"/>
    <s v="Cash"/>
    <n v="0"/>
    <d v="2024-06-07T00:00:00"/>
    <n v="6"/>
    <n v="2024"/>
    <n v="1760"/>
    <m/>
    <n v="1760"/>
    <n v="4549004.75"/>
    <s v="Trsf"/>
    <m/>
    <m/>
  </r>
  <r>
    <d v="2024-06-07T00:00:00"/>
    <x v="1"/>
    <x v="5"/>
    <s v="INV00000890"/>
    <s v="C00000019"/>
    <s v="Desuki Affela Empire Enterprise"/>
    <x v="355"/>
    <n v="2"/>
    <s v="Cash"/>
    <n v="0"/>
    <d v="2024-06-07T00:00:00"/>
    <n v="6"/>
    <n v="2024"/>
    <n v="125"/>
    <m/>
    <n v="125"/>
    <n v="4547924.75"/>
    <s v="Trsf"/>
    <m/>
    <m/>
  </r>
  <r>
    <d v="2024-06-07T00:00:00"/>
    <x v="1"/>
    <x v="5"/>
    <s v="INV00000890"/>
    <s v="C00000019"/>
    <s v="Desuki Affela Empire Enterprise"/>
    <x v="4"/>
    <n v="1"/>
    <s v="Cash"/>
    <n v="0"/>
    <d v="2024-06-07T00:00:00"/>
    <n v="6"/>
    <n v="2024"/>
    <n v="110"/>
    <m/>
    <n v="110"/>
    <n v="4548004.75"/>
    <s v="Trsf"/>
    <m/>
    <m/>
  </r>
  <r>
    <d v="2024-06-07T00:00:00"/>
    <x v="1"/>
    <x v="5"/>
    <s v="INV00000890"/>
    <s v="C00000019"/>
    <s v="Desuki Affela Empire Enterprise"/>
    <x v="243"/>
    <n v="1"/>
    <s v="Cash"/>
    <n v="0"/>
    <d v="2024-06-07T00:00:00"/>
    <n v="6"/>
    <n v="2024"/>
    <n v="395"/>
    <m/>
    <n v="395"/>
    <n v="4548602.25"/>
    <s v="Trsf"/>
    <m/>
    <m/>
  </r>
  <r>
    <d v="2024-06-08T00:00:00"/>
    <x v="1"/>
    <x v="5"/>
    <s v="INV00000891"/>
    <s v="C00000037"/>
    <s v="Suntruck Sdn Bhd"/>
    <x v="222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d v="2024-06-08T00:00:00"/>
    <x v="1"/>
    <x v="5"/>
    <s v="INV00000891"/>
    <s v="C00000037"/>
    <s v="Suntruck Sdn Bhd"/>
    <x v="112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d v="2024-06-08T00:00:00"/>
    <x v="1"/>
    <x v="5"/>
    <s v="INV00000891"/>
    <s v="C00000037"/>
    <s v="Suntruck Sdn Bhd"/>
    <x v="223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d v="2024-06-08T00:00:00"/>
    <x v="1"/>
    <x v="5"/>
    <s v="INV00000891"/>
    <s v="C00000037"/>
    <s v="Suntruck Sdn Bhd"/>
    <x v="329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d v="2024-06-12T00:00:00"/>
    <x v="1"/>
    <x v="5"/>
    <s v="INV00000892"/>
    <s v="C00000027"/>
    <s v="Transform Star Sdn Bhd"/>
    <x v="7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d v="2024-06-12T00:00:00"/>
    <x v="1"/>
    <x v="5"/>
    <s v="INV00000892"/>
    <s v="C00000027"/>
    <s v="Transform Star Sdn Bhd"/>
    <x v="329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d v="2024-06-12T00:00:00"/>
    <x v="1"/>
    <x v="5"/>
    <s v="INV00000892"/>
    <s v="C00000027"/>
    <s v="Transform Star Sdn Bhd"/>
    <x v="141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d v="2024-06-12T00:00:00"/>
    <x v="1"/>
    <x v="5"/>
    <s v="INV00000892"/>
    <s v="C00000027"/>
    <s v="Transform Star Sdn Bhd"/>
    <x v="138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d v="2024-06-12T00:00:00"/>
    <x v="1"/>
    <x v="5"/>
    <s v="INV00000892"/>
    <s v="C00000027"/>
    <s v="Transform Star Sdn Bhd"/>
    <x v="171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d v="2024-06-12T00:00:00"/>
    <x v="1"/>
    <x v="5"/>
    <s v="INV00000892"/>
    <s v="C00000027"/>
    <s v="Transform Star Sdn Bhd"/>
    <x v="153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d v="2024-06-12T00:00:00"/>
    <x v="1"/>
    <x v="5"/>
    <s v="INV00000892"/>
    <s v="C00000027"/>
    <s v="Transform Star Sdn Bhd"/>
    <x v="343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d v="2024-06-12T00:00:00"/>
    <x v="1"/>
    <x v="5"/>
    <s v="INV00000893"/>
    <s v="C00000042"/>
    <s v="Welltech (M) Sdn Bhd"/>
    <x v="355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d v="2024-06-12T00:00:00"/>
    <x v="1"/>
    <x v="5"/>
    <s v="INV00000894"/>
    <s v="C00000042"/>
    <s v="Welltech (M) Sdn Bhd"/>
    <x v="348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d v="2024-06-12T00:00:00"/>
    <x v="1"/>
    <x v="5"/>
    <s v="INV00000894"/>
    <s v="C00000042"/>
    <s v="Welltech (M) Sdn Bhd"/>
    <x v="351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d v="2024-06-12T00:00:00"/>
    <x v="1"/>
    <x v="5"/>
    <s v="INV00000894"/>
    <s v="C00000042"/>
    <s v="Welltech (M) Sdn Bhd"/>
    <x v="301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d v="2024-06-12T00:00:00"/>
    <x v="1"/>
    <x v="5"/>
    <s v="INV00000894"/>
    <s v="C00000042"/>
    <s v="Welltech (M) Sdn Bhd"/>
    <x v="159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d v="2024-06-14T00:00:00"/>
    <x v="1"/>
    <x v="5"/>
    <s v="INV00000895"/>
    <s v="C00000042"/>
    <s v="Welltech (M) Sdn Bhd"/>
    <x v="355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d v="2024-06-14T00:00:00"/>
    <x v="1"/>
    <x v="5"/>
    <s v="INV00000896"/>
    <s v="C00000042"/>
    <s v="Welltech (M) Sdn Bhd"/>
    <x v="348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d v="2024-06-14T00:00:00"/>
    <x v="1"/>
    <x v="5"/>
    <s v="INV00000896"/>
    <s v="C00000042"/>
    <s v="Welltech (M) Sdn Bhd"/>
    <x v="351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d v="2024-06-14T00:00:00"/>
    <x v="1"/>
    <x v="5"/>
    <s v="INV00000896"/>
    <s v="C00000042"/>
    <s v="Welltech (M) Sdn Bhd"/>
    <x v="301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d v="2024-06-14T00:00:00"/>
    <x v="1"/>
    <x v="5"/>
    <s v="INV00000896"/>
    <s v="C00000042"/>
    <s v="Welltech (M) Sdn Bhd"/>
    <x v="171"/>
    <n v="8"/>
    <s v="Cash"/>
    <n v="0"/>
    <d v="2024-06-14T00:00:00"/>
    <n v="6"/>
    <n v="2024"/>
    <n v="760"/>
    <n v="-760"/>
    <n v="0"/>
    <n v="4528097.95"/>
    <s v="Trsf"/>
    <s v="Trsf 26/11/24 RM30,000.00(RM"/>
    <m/>
  </r>
  <r>
    <d v="2024-06-14T00:00:00"/>
    <x v="1"/>
    <x v="5"/>
    <s v="INV00000896"/>
    <s v="C00000042"/>
    <s v="Welltech (M) Sdn Bhd"/>
    <x v="159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d v="2024-06-20T00:00:00"/>
    <x v="1"/>
    <x v="5"/>
    <s v="INV00000897"/>
    <s v="C00000049"/>
    <s v="DOB Engineering Solutions"/>
    <x v="302"/>
    <n v="3"/>
    <s v="Cash"/>
    <n v="0"/>
    <d v="2024-06-20T00:00:00"/>
    <n v="6"/>
    <n v="2024"/>
    <n v="10800"/>
    <n v="-10800"/>
    <n v="0"/>
    <n v="4540848.45"/>
    <s v="Cash"/>
    <s v="Trsf 20/6/24 RM12,896.00"/>
    <m/>
  </r>
  <r>
    <d v="2024-06-20T00:00:00"/>
    <x v="1"/>
    <x v="5"/>
    <s v="INV00000897"/>
    <s v="C00000049"/>
    <s v="DOB Engineering Solutions"/>
    <x v="246"/>
    <n v="4"/>
    <s v="Cash"/>
    <n v="0"/>
    <d v="2024-06-20T00:00:00"/>
    <n v="6"/>
    <n v="2024"/>
    <n v="900"/>
    <n v="-900"/>
    <n v="0"/>
    <n v="4531475.95"/>
    <s v="Cash"/>
    <s v="Trsf 20/6/24 RM12,896.00"/>
    <m/>
  </r>
  <r>
    <d v="2024-06-20T00:00:00"/>
    <x v="1"/>
    <x v="5"/>
    <s v="INV00000897"/>
    <s v="C00000049"/>
    <s v="DOB Engineering Solutions"/>
    <x v="292"/>
    <n v="4"/>
    <s v="Cash"/>
    <n v="0"/>
    <d v="2024-06-20T00:00:00"/>
    <n v="6"/>
    <n v="2024"/>
    <n v="900"/>
    <n v="-900"/>
    <n v="0"/>
    <n v="4553767.95"/>
    <s v="Cash"/>
    <s v="Trsf 20/6/24 RM12,896.00"/>
    <m/>
  </r>
  <r>
    <d v="2024-06-20T00:00:00"/>
    <x v="1"/>
    <x v="5"/>
    <s v="INV00000897"/>
    <s v="C00000049"/>
    <s v="DOB Engineering Solutions"/>
    <x v="4"/>
    <n v="1"/>
    <s v="Cash"/>
    <n v="0"/>
    <d v="2024-06-20T00:00:00"/>
    <n v="6"/>
    <n v="2024"/>
    <n v="110"/>
    <n v="-110"/>
    <n v="0"/>
    <n v="4545521.95"/>
    <s v="Cash"/>
    <s v="Trsf 20/6/24 RM12,896.00"/>
    <m/>
  </r>
  <r>
    <d v="2024-06-20T00:00:00"/>
    <x v="1"/>
    <x v="5"/>
    <s v="INV00000897"/>
    <s v="C00000049"/>
    <s v="DOB Engineering Solutions"/>
    <x v="356"/>
    <n v="2"/>
    <s v="Cash"/>
    <n v="0"/>
    <d v="2024-06-20T00:00:00"/>
    <n v="6"/>
    <n v="2024"/>
    <n v="90"/>
    <n v="-90"/>
    <n v="0"/>
    <n v="4544921.95"/>
    <s v="Cash"/>
    <s v="Trsf 20/6/24 RM12,896.00"/>
    <m/>
  </r>
  <r>
    <d v="2024-06-20T00:00:00"/>
    <x v="1"/>
    <x v="5"/>
    <s v="INV00000897"/>
    <s v="C00000049"/>
    <s v="DOB Engineering Solutions"/>
    <x v="357"/>
    <n v="1"/>
    <s v="Cash"/>
    <n v="0"/>
    <d v="2024-06-20T00:00:00"/>
    <n v="6"/>
    <n v="2024"/>
    <n v="48"/>
    <n v="-48"/>
    <n v="0"/>
    <n v="4543466.95"/>
    <s v="Cash"/>
    <s v="Trsf 20/6/24 RM12,896.00"/>
    <m/>
  </r>
  <r>
    <d v="2024-06-20T00:00:00"/>
    <x v="1"/>
    <x v="5"/>
    <s v="INV00000897"/>
    <s v="C00000049"/>
    <s v="DOB Engineering Solutions"/>
    <x v="358"/>
    <n v="1"/>
    <s v="Cash"/>
    <n v="0"/>
    <d v="2024-06-20T00:00:00"/>
    <n v="6"/>
    <n v="2024"/>
    <n v="48"/>
    <n v="-48"/>
    <n v="0"/>
    <n v="4544474.95"/>
    <s v="Cash"/>
    <s v="Trsf 20/6/24 RM12,896.00"/>
    <m/>
  </r>
  <r>
    <d v="2024-06-21T00:00:00"/>
    <x v="1"/>
    <x v="5"/>
    <s v="INV00000898"/>
    <s v="C00000050"/>
    <s v="YL Professional Fiber Trading"/>
    <x v="188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d v="2024-06-21T00:00:00"/>
    <x v="1"/>
    <x v="5"/>
    <s v="INV00000898"/>
    <s v="C00000050"/>
    <s v="YL Professional Fiber Trading"/>
    <x v="171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d v="2024-06-21T00:00:00"/>
    <x v="1"/>
    <x v="5"/>
    <s v="INV00000898"/>
    <s v="C00000050"/>
    <s v="YL Professional Fiber Trading"/>
    <x v="12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d v="2024-06-21T00:00:00"/>
    <x v="1"/>
    <x v="5"/>
    <s v="INV00000898"/>
    <s v="C00000050"/>
    <s v="YL Professional Fiber Trading"/>
    <x v="134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d v="2024-06-22T00:00:00"/>
    <x v="1"/>
    <x v="5"/>
    <s v="INV00000899"/>
    <s v="C00000019"/>
    <s v="Desuki Affela Empire Enterprise"/>
    <x v="7"/>
    <n v="1"/>
    <s v="Cash"/>
    <n v="0"/>
    <d v="2024-06-22T00:00:00"/>
    <n v="6"/>
    <n v="2024"/>
    <n v="1760"/>
    <m/>
    <n v="1760"/>
    <n v="4547266.75"/>
    <s v="Trsf"/>
    <m/>
    <m/>
  </r>
  <r>
    <d v="2024-06-22T00:00:00"/>
    <x v="1"/>
    <x v="5"/>
    <s v="INV00000899"/>
    <s v="C00000019"/>
    <s v="Desuki Affela Empire Enterprise"/>
    <x v="225"/>
    <n v="1"/>
    <s v="Cash"/>
    <n v="0"/>
    <d v="2024-06-22T00:00:00"/>
    <n v="6"/>
    <n v="2024"/>
    <n v="405"/>
    <m/>
    <n v="405"/>
    <n v="4545966.95"/>
    <s v="Trsf"/>
    <m/>
    <m/>
  </r>
  <r>
    <d v="2024-06-22T00:00:00"/>
    <x v="1"/>
    <x v="5"/>
    <s v="INV00000899"/>
    <s v="C00000019"/>
    <s v="Desuki Affela Empire Enterprise"/>
    <x v="355"/>
    <n v="3"/>
    <s v="Cash"/>
    <n v="0"/>
    <d v="2024-06-22T00:00:00"/>
    <n v="6"/>
    <n v="2024"/>
    <n v="187.5"/>
    <m/>
    <n v="187.5"/>
    <n v="4552712.25"/>
    <s v="Trsf"/>
    <m/>
    <m/>
  </r>
  <r>
    <d v="2024-06-22T00:00:00"/>
    <x v="1"/>
    <x v="5"/>
    <s v="INV00000899"/>
    <s v="C00000019"/>
    <s v="Desuki Affela Empire Enterprise"/>
    <x v="4"/>
    <n v="1"/>
    <s v="Cash"/>
    <n v="0"/>
    <d v="2024-06-22T00:00:00"/>
    <n v="6"/>
    <n v="2024"/>
    <n v="110"/>
    <m/>
    <n v="110"/>
    <n v="4548330.95"/>
    <s v="Trsf"/>
    <m/>
    <m/>
  </r>
  <r>
    <d v="2024-06-24T00:00:00"/>
    <x v="1"/>
    <x v="5"/>
    <s v="INV00000900"/>
    <s v="C00000010"/>
    <s v="Yew Seng Gardening Supply Sdn Bhd"/>
    <x v="222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d v="2024-06-24T00:00:00"/>
    <x v="1"/>
    <x v="5"/>
    <s v="INV00000900"/>
    <s v="C00000010"/>
    <s v="Yew Seng Gardening Supply Sdn Bhd"/>
    <x v="318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d v="2024-06-24T00:00:00"/>
    <x v="1"/>
    <x v="5"/>
    <s v="INV00000900"/>
    <s v="C00000010"/>
    <s v="Yew Seng Gardening Supply Sdn Bhd"/>
    <x v="355"/>
    <n v="10"/>
    <n v="120"/>
    <n v="120"/>
    <d v="2024-10-22T00:00:00"/>
    <n v="10"/>
    <n v="2024"/>
    <n v="575"/>
    <n v="-575"/>
    <n v="0"/>
    <n v="4549574.75"/>
    <s v="Trsf"/>
    <s v="Trsf 27/11/24 RM35,750.50"/>
    <m/>
  </r>
  <r>
    <d v="2024-06-24T00:00:00"/>
    <x v="1"/>
    <x v="5"/>
    <s v="INV00000900"/>
    <s v="C00000010"/>
    <s v="Yew Seng Gardening Supply Sdn Bhd"/>
    <x v="4"/>
    <n v="8"/>
    <n v="120"/>
    <n v="120"/>
    <d v="2024-10-22T00:00:00"/>
    <n v="10"/>
    <n v="2024"/>
    <n v="880"/>
    <n v="-880"/>
    <n v="0"/>
    <n v="4554693.25"/>
    <s v="Trsf"/>
    <s v="Trsf 27/11/24 RM35,750.50"/>
    <m/>
  </r>
  <r>
    <d v="2024-06-25T00:00:00"/>
    <x v="1"/>
    <x v="5"/>
    <s v="INV00000901"/>
    <s v="C00000009"/>
    <s v="JMC Steel Engineering Sdn Bhd"/>
    <x v="348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d v="2024-06-25T00:00:00"/>
    <x v="1"/>
    <x v="5"/>
    <s v="INV00000901"/>
    <s v="C00000009"/>
    <s v="JMC Steel Engineering Sdn Bhd"/>
    <x v="225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d v="2024-06-25T00:00:00"/>
    <x v="1"/>
    <x v="5"/>
    <s v="INV00000901"/>
    <s v="C00000009"/>
    <s v="JMC Steel Engineering Sdn Bhd"/>
    <x v="218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d v="2024-06-25T00:00:00"/>
    <x v="1"/>
    <x v="5"/>
    <s v="INV00000901"/>
    <s v="C00000009"/>
    <s v="JMC Steel Engineering Sdn Bhd"/>
    <x v="4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d v="2024-06-26T00:00:00"/>
    <x v="1"/>
    <x v="5"/>
    <s v="INV00000902"/>
    <s v="C00000010"/>
    <s v="Yew Seng Gardening Supply Sdn Bhd"/>
    <x v="329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d v="2024-06-26T00:00:00"/>
    <x v="1"/>
    <x v="5"/>
    <s v="INV00000902"/>
    <s v="C00000010"/>
    <s v="Yew Seng Gardening Supply Sdn Bhd"/>
    <x v="219"/>
    <n v="2"/>
    <n v="120"/>
    <n v="120"/>
    <d v="2024-10-24T00:00:00"/>
    <n v="10"/>
    <n v="2024"/>
    <n v="360"/>
    <n v="-360"/>
    <n v="0"/>
    <n v="4552803.75"/>
    <s v="Trsf"/>
    <s v="Trsf 27/11/24 RM35,750.50"/>
    <m/>
  </r>
  <r>
    <d v="2024-06-26T00:00:00"/>
    <x v="1"/>
    <x v="5"/>
    <s v="INV00000902"/>
    <s v="C00000010"/>
    <s v="Yew Seng Gardening Supply Sdn Bhd"/>
    <x v="359"/>
    <n v="1"/>
    <n v="120"/>
    <n v="120"/>
    <d v="2024-10-24T00:00:00"/>
    <n v="10"/>
    <n v="2024"/>
    <n v="260"/>
    <n v="-260"/>
    <n v="0"/>
    <n v="4566918.25"/>
    <s v="Trsf"/>
    <s v="Trsf 27/11/24 RM35,750.50"/>
    <m/>
  </r>
  <r>
    <d v="2024-06-27T00:00:00"/>
    <x v="1"/>
    <x v="5"/>
    <s v="INV00000903"/>
    <s v="C00000051"/>
    <s v="Cash - Encik Aziz (Shikh House of Design)"/>
    <x v="259"/>
    <n v="1"/>
    <s v="Cash"/>
    <n v="0"/>
    <d v="2024-06-27T00:00:00"/>
    <n v="6"/>
    <n v="2024"/>
    <n v="337.5"/>
    <n v="-337.5"/>
    <n v="0"/>
    <n v="4560881.75"/>
    <s v="Cash"/>
    <s v="Cash 28/6/24 RM755.00"/>
    <m/>
  </r>
  <r>
    <d v="2024-06-27T00:00:00"/>
    <x v="1"/>
    <x v="5"/>
    <s v="INV00000903"/>
    <s v="C00000051"/>
    <s v="Cash - Encik Aziz (Shikh House of Design)"/>
    <x v="351"/>
    <n v="1"/>
    <s v="Cash"/>
    <n v="0"/>
    <d v="2024-06-27T00:00:00"/>
    <n v="6"/>
    <n v="2024"/>
    <n v="255"/>
    <n v="-255"/>
    <n v="0"/>
    <n v="4559233.25"/>
    <s v="Cash"/>
    <s v="Cash 28/6/24 RM755.00"/>
    <m/>
  </r>
  <r>
    <d v="2024-06-27T00:00:00"/>
    <x v="1"/>
    <x v="5"/>
    <s v="INV00000903"/>
    <s v="C00000051"/>
    <s v="Cash - Encik Aziz (Shikh House of Design)"/>
    <x v="171"/>
    <n v="1"/>
    <s v="Cash"/>
    <n v="0"/>
    <d v="2024-06-27T00:00:00"/>
    <n v="6"/>
    <n v="2024"/>
    <n v="100"/>
    <n v="-100"/>
    <n v="0"/>
    <n v="4558877.75"/>
    <s v="Cash"/>
    <s v="Cash 28/6/24 RM755.00"/>
    <m/>
  </r>
  <r>
    <d v="2024-06-27T00:00:00"/>
    <x v="1"/>
    <x v="5"/>
    <s v="INV00000903"/>
    <s v="C00000051"/>
    <s v="Cash - Encik Aziz (Shikh House of Design)"/>
    <x v="355"/>
    <n v="1"/>
    <s v="Cash"/>
    <n v="0"/>
    <d v="2024-06-27T00:00:00"/>
    <n v="6"/>
    <n v="2024"/>
    <n v="62.5"/>
    <n v="-62.5"/>
    <n v="0"/>
    <n v="4558220.25"/>
    <s v="Cash"/>
    <s v="Cash 28/6/24 RM755.00"/>
    <m/>
  </r>
  <r>
    <d v="2024-06-28T00:00:00"/>
    <x v="1"/>
    <x v="5"/>
    <s v="INV00000904"/>
    <s v="C00000042"/>
    <s v="Welltech (M) Sdn Bhd"/>
    <x v="355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d v="2024-06-28T00:00:00"/>
    <x v="1"/>
    <x v="5"/>
    <s v="INV00000905"/>
    <s v="C00000042"/>
    <s v="Welltech (M) Sdn Bhd"/>
    <x v="348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d v="2024-06-28T00:00:00"/>
    <x v="1"/>
    <x v="5"/>
    <s v="INV00000905"/>
    <s v="C00000042"/>
    <s v="Welltech (M) Sdn Bhd"/>
    <x v="340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d v="2024-06-28T00:00:00"/>
    <x v="1"/>
    <x v="5"/>
    <s v="INV00000905"/>
    <s v="C00000042"/>
    <s v="Welltech (M) Sdn Bhd"/>
    <x v="301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d v="2024-06-28T00:00:00"/>
    <x v="1"/>
    <x v="5"/>
    <s v="INV00000905"/>
    <s v="C00000042"/>
    <s v="Welltech (M) Sdn Bhd"/>
    <x v="101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d v="2024-06-28T00:00:00"/>
    <x v="1"/>
    <x v="5"/>
    <s v="INV00000905"/>
    <s v="C00000042"/>
    <s v="Welltech (M) Sdn Bhd"/>
    <x v="171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d v="2024-06-28T00:00:00"/>
    <x v="1"/>
    <x v="5"/>
    <s v="INV00000905"/>
    <s v="C00000042"/>
    <s v="Welltech (M) Sdn Bhd"/>
    <x v="159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d v="2024-07-02T00:00:00"/>
    <x v="2"/>
    <x v="5"/>
    <s v="INV00000906"/>
    <s v="C00000052"/>
    <s v="Cash - Mr Wong"/>
    <x v="360"/>
    <n v="1"/>
    <s v="Cash"/>
    <n v="0"/>
    <d v="2024-07-02T00:00:00"/>
    <n v="7"/>
    <n v="2024"/>
    <n v="337.5"/>
    <n v="-337.5"/>
    <n v="0"/>
    <n v="4911607.95"/>
    <s v="Cash"/>
    <s v="Trsf 1/7/24 RM1,131.50"/>
    <m/>
  </r>
  <r>
    <d v="2024-07-02T00:00:00"/>
    <x v="2"/>
    <x v="5"/>
    <s v="INV00000906"/>
    <s v="C00000052"/>
    <s v="Cash - Mr Wong"/>
    <x v="351"/>
    <n v="1"/>
    <s v="Cash"/>
    <n v="0"/>
    <d v="2024-07-02T00:00:00"/>
    <n v="7"/>
    <n v="2024"/>
    <n v="255"/>
    <n v="-255"/>
    <n v="0"/>
    <n v="4911862.95"/>
    <s v="Cash"/>
    <s v="Trsf 1/7/24 RM1,131.50"/>
    <m/>
  </r>
  <r>
    <d v="2024-07-02T00:00:00"/>
    <x v="2"/>
    <x v="5"/>
    <s v="INV00000906"/>
    <s v="C00000052"/>
    <s v="Cash - Mr Wong"/>
    <x v="4"/>
    <n v="1"/>
    <s v="Cash"/>
    <n v="0"/>
    <d v="2024-07-02T00:00:00"/>
    <n v="7"/>
    <n v="2024"/>
    <n v="115"/>
    <n v="-115"/>
    <n v="0"/>
    <n v="4911977.95"/>
    <s v="Cash"/>
    <s v="Trsf 1/7/24 RM1,131.50"/>
    <m/>
  </r>
  <r>
    <d v="2024-07-02T00:00:00"/>
    <x v="2"/>
    <x v="5"/>
    <s v="INV00000906"/>
    <s v="C00000052"/>
    <s v="Cash - Mr Wong"/>
    <x v="223"/>
    <n v="1"/>
    <s v="Cash"/>
    <n v="0"/>
    <d v="2024-07-02T00:00:00"/>
    <n v="7"/>
    <n v="2024"/>
    <n v="49"/>
    <n v="-49"/>
    <n v="0"/>
    <n v="4912026.95"/>
    <s v="Cash"/>
    <s v="Trsf 1/7/24 RM1,131.50"/>
    <m/>
  </r>
  <r>
    <d v="2024-07-02T00:00:00"/>
    <x v="2"/>
    <x v="5"/>
    <s v="INV00000906"/>
    <s v="C00000052"/>
    <s v="Cash - Mr Wong"/>
    <x v="317"/>
    <n v="1"/>
    <s v="Cash"/>
    <n v="0"/>
    <d v="2024-07-02T00:00:00"/>
    <n v="7"/>
    <n v="2024"/>
    <n v="297"/>
    <n v="-297"/>
    <n v="0"/>
    <n v="4912323.95"/>
    <s v="Cash"/>
    <s v="Trsf 1/7/24 RM1,131.50"/>
    <m/>
  </r>
  <r>
    <d v="2024-07-02T00:00:00"/>
    <x v="2"/>
    <x v="5"/>
    <s v="INV00000906"/>
    <s v="C00000052"/>
    <s v="Cash - Mr Wong"/>
    <x v="357"/>
    <n v="1"/>
    <s v="Cash"/>
    <n v="0"/>
    <d v="2024-07-02T00:00:00"/>
    <n v="7"/>
    <n v="2024"/>
    <n v="48"/>
    <n v="-48"/>
    <n v="0"/>
    <n v="4912371.95"/>
    <s v="Cash"/>
    <s v="Trsf 1/7/24 RM1,131.50"/>
    <m/>
  </r>
  <r>
    <d v="2024-07-02T00:00:00"/>
    <x v="2"/>
    <x v="5"/>
    <s v="INV00000906"/>
    <s v="C00000052"/>
    <s v="Cash - Mr Wong"/>
    <x v="361"/>
    <n v="5"/>
    <s v="Cash"/>
    <n v="0"/>
    <d v="2024-07-02T00:00:00"/>
    <n v="7"/>
    <n v="2024"/>
    <n v="30"/>
    <n v="-30"/>
    <n v="0"/>
    <n v="4912401.95"/>
    <s v="Cash"/>
    <s v="Trsf 1/7/24 RM1,131.50"/>
    <m/>
  </r>
  <r>
    <d v="2024-07-02T00:00:00"/>
    <x v="2"/>
    <x v="5"/>
    <s v="INV00000907"/>
    <s v="C00000010"/>
    <s v="Yew Seng Gardening Supply Sdn Bhd"/>
    <x v="138"/>
    <n v="1"/>
    <n v="120"/>
    <n v="120"/>
    <d v="2024-10-30T00:00:00"/>
    <n v="10"/>
    <n v="2024"/>
    <n v="160"/>
    <n v="-160"/>
    <n v="0"/>
    <n v="4912561.95"/>
    <s v="Trsf"/>
    <s v="Trsf 26/12/24 RM17,821.50"/>
    <m/>
  </r>
  <r>
    <d v="2024-07-02T00:00:00"/>
    <x v="2"/>
    <x v="5"/>
    <s v="INV00000907"/>
    <s v="C00000010"/>
    <s v="Yew Seng Gardening Supply Sdn Bhd"/>
    <x v="362"/>
    <n v="1"/>
    <n v="120"/>
    <n v="120"/>
    <d v="2024-10-30T00:00:00"/>
    <n v="10"/>
    <n v="2024"/>
    <n v="260"/>
    <n v="-260"/>
    <n v="0"/>
    <n v="4912821.95"/>
    <s v="Trsf"/>
    <s v="Trsf 26/12/24 RM17,821.50"/>
    <m/>
  </r>
  <r>
    <d v="2024-07-02T00:00:00"/>
    <x v="2"/>
    <x v="5"/>
    <s v="INV00000908"/>
    <s v="C00000044"/>
    <s v="Cash - Encik Razzak"/>
    <x v="363"/>
    <n v="3"/>
    <s v="Cash"/>
    <n v="0"/>
    <d v="2024-07-02T00:00:00"/>
    <n v="7"/>
    <n v="2024"/>
    <n v="534"/>
    <n v="-534"/>
    <n v="0"/>
    <n v="4913355.95"/>
    <s v="Cash"/>
    <s v="Cash 7/7/24 RM1,086.00"/>
    <m/>
  </r>
  <r>
    <d v="2024-07-02T00:00:00"/>
    <x v="2"/>
    <x v="5"/>
    <s v="INV00000908"/>
    <s v="C00000044"/>
    <s v="Cash - Encik Razzak"/>
    <x v="214"/>
    <n v="4"/>
    <s v="Cash"/>
    <n v="0"/>
    <d v="2024-07-02T00:00:00"/>
    <n v="7"/>
    <n v="2024"/>
    <n v="552"/>
    <n v="-552"/>
    <n v="0"/>
    <n v="4913907.95"/>
    <s v="Cash"/>
    <s v="Cash 7/7/24 RM1,086.00"/>
    <m/>
  </r>
  <r>
    <d v="2024-07-02T00:00:00"/>
    <x v="2"/>
    <x v="5"/>
    <s v="INV00000909"/>
    <s v="C00000027"/>
    <s v="Transform Star Sdn Bhd"/>
    <x v="7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d v="2024-07-02T00:00:00"/>
    <x v="2"/>
    <x v="5"/>
    <s v="INV00000909"/>
    <s v="C00000027"/>
    <s v="Transform Star Sdn Bhd"/>
    <x v="104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d v="2024-07-02T00:00:00"/>
    <x v="2"/>
    <x v="5"/>
    <s v="INV00000909"/>
    <s v="C00000027"/>
    <s v="Transform Star Sdn Bhd"/>
    <x v="141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d v="2024-07-02T00:00:00"/>
    <x v="2"/>
    <x v="5"/>
    <s v="INV00000909"/>
    <s v="C00000027"/>
    <s v="Transform Star Sdn Bhd"/>
    <x v="153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d v="2024-07-02T00:00:00"/>
    <x v="2"/>
    <x v="5"/>
    <s v="INV00000909"/>
    <s v="C00000027"/>
    <s v="Transform Star Sdn Bhd"/>
    <x v="171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d v="2024-07-02T00:00:00"/>
    <x v="2"/>
    <x v="5"/>
    <s v="INV00000909"/>
    <s v="C00000027"/>
    <s v="Transform Star Sdn Bhd"/>
    <x v="329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d v="2024-07-02T00:00:00"/>
    <x v="2"/>
    <x v="5"/>
    <s v="INV00000909"/>
    <s v="C00000027"/>
    <s v="Transform Star Sdn Bhd"/>
    <x v="140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d v="2024-07-02T00:00:00"/>
    <x v="2"/>
    <x v="5"/>
    <s v="INV00000910"/>
    <s v="C00000003"/>
    <s v="Pandian Art Gallery Manufacturing"/>
    <x v="355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d v="2024-07-03T00:00:00"/>
    <x v="2"/>
    <x v="5"/>
    <s v="INV00000911"/>
    <s v="C00000049"/>
    <s v="DOB Engineering Solutions"/>
    <x v="364"/>
    <n v="1"/>
    <s v="Cash"/>
    <n v="0"/>
    <d v="2024-07-03T00:00:00"/>
    <n v="7"/>
    <n v="2024"/>
    <n v="200"/>
    <n v="-200"/>
    <n v="0"/>
    <n v="4925504.3500000006"/>
    <s v="Cash"/>
    <s v="Trsf 3/7/24 RM375.00"/>
    <m/>
  </r>
  <r>
    <d v="2024-07-03T00:00:00"/>
    <x v="2"/>
    <x v="5"/>
    <s v="INV00000911"/>
    <s v="C00000049"/>
    <s v="DOB Engineering Solutions"/>
    <x v="297"/>
    <n v="1"/>
    <s v="Cash"/>
    <n v="0"/>
    <d v="2024-07-03T00:00:00"/>
    <n v="7"/>
    <n v="2024"/>
    <n v="175"/>
    <n v="-175"/>
    <n v="0"/>
    <n v="4925679.3500000006"/>
    <s v="Cash"/>
    <s v="Trsf 3/7/24 RM375.00"/>
    <m/>
  </r>
  <r>
    <d v="2024-07-04T00:00:00"/>
    <x v="2"/>
    <x v="5"/>
    <s v="INV00000912"/>
    <s v="C00000006"/>
    <s v="Perniagaan Fibra Sahih"/>
    <x v="7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d v="2024-07-04T00:00:00"/>
    <x v="2"/>
    <x v="5"/>
    <s v="INV00000912"/>
    <s v="C00000006"/>
    <s v="Perniagaan Fibra Sahih"/>
    <x v="340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d v="2024-07-04T00:00:00"/>
    <x v="2"/>
    <x v="5"/>
    <s v="INV00000912"/>
    <s v="C00000006"/>
    <s v="Perniagaan Fibra Sahih"/>
    <x v="98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d v="2024-07-04T00:00:00"/>
    <x v="2"/>
    <x v="5"/>
    <s v="INV00000912"/>
    <s v="C00000006"/>
    <s v="Perniagaan Fibra Sahih"/>
    <x v="153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d v="2024-07-04T00:00:00"/>
    <x v="2"/>
    <x v="5"/>
    <s v="INV00000912"/>
    <s v="C00000006"/>
    <s v="Perniagaan Fibra Sahih"/>
    <x v="286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d v="2024-07-04T00:00:00"/>
    <x v="2"/>
    <x v="5"/>
    <s v="INV00000912"/>
    <s v="C00000006"/>
    <s v="Perniagaan Fibra Sahih"/>
    <x v="4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d v="2024-07-04T00:00:00"/>
    <x v="2"/>
    <x v="5"/>
    <s v="INV00000913"/>
    <s v="C00000019"/>
    <s v="Desuki Affela Empire Enterprise"/>
    <x v="7"/>
    <n v="1"/>
    <s v="Cash"/>
    <n v="0"/>
    <d v="2024-07-04T00:00:00"/>
    <n v="7"/>
    <n v="2024"/>
    <n v="1760"/>
    <m/>
    <n v="1760"/>
    <n v="4930559.8500000006"/>
    <s v="Trsf"/>
    <m/>
    <m/>
  </r>
  <r>
    <d v="2024-07-04T00:00:00"/>
    <x v="2"/>
    <x v="5"/>
    <s v="INV00000913"/>
    <s v="C00000019"/>
    <s v="Desuki Affela Empire Enterprise"/>
    <x v="225"/>
    <n v="1"/>
    <s v="Cash"/>
    <n v="0"/>
    <d v="2024-07-04T00:00:00"/>
    <n v="7"/>
    <n v="2024"/>
    <n v="405"/>
    <m/>
    <n v="405"/>
    <n v="4930964.8500000006"/>
    <s v="Trsf"/>
    <m/>
    <m/>
  </r>
  <r>
    <d v="2024-07-04T00:00:00"/>
    <x v="2"/>
    <x v="5"/>
    <s v="INV00000913"/>
    <s v="C00000019"/>
    <s v="Desuki Affela Empire Enterprise"/>
    <x v="355"/>
    <n v="2"/>
    <s v="Cash"/>
    <n v="0"/>
    <d v="2024-07-04T00:00:00"/>
    <n v="7"/>
    <n v="2024"/>
    <n v="125"/>
    <m/>
    <n v="125"/>
    <n v="4931089.8500000006"/>
    <s v="Trsf"/>
    <m/>
    <m/>
  </r>
  <r>
    <d v="2024-07-04T00:00:00"/>
    <x v="2"/>
    <x v="5"/>
    <s v="INV00000913"/>
    <s v="C00000019"/>
    <s v="Desuki Affela Empire Enterprise"/>
    <x v="343"/>
    <n v="1"/>
    <s v="Cash"/>
    <n v="0"/>
    <d v="2024-07-04T00:00:00"/>
    <n v="7"/>
    <n v="2024"/>
    <n v="420"/>
    <m/>
    <n v="420"/>
    <n v="4931509.8500000006"/>
    <s v="Trsf"/>
    <m/>
    <m/>
  </r>
  <r>
    <d v="2024-07-04T00:00:00"/>
    <x v="2"/>
    <x v="5"/>
    <s v="INV00000913"/>
    <s v="C00000019"/>
    <s v="Desuki Affela Empire Enterprise"/>
    <x v="243"/>
    <n v="1"/>
    <s v="Cash"/>
    <n v="0"/>
    <d v="2024-07-04T00:00:00"/>
    <n v="7"/>
    <n v="2024"/>
    <n v="395"/>
    <m/>
    <n v="395"/>
    <n v="4931904.8500000006"/>
    <s v="Trsf"/>
    <m/>
    <m/>
  </r>
  <r>
    <d v="2024-07-06T00:00:00"/>
    <x v="2"/>
    <x v="5"/>
    <s v="INV00000914"/>
    <s v="C00000044"/>
    <s v="Cash - Encik Razzak"/>
    <x v="188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d v="2024-07-06T00:00:00"/>
    <x v="2"/>
    <x v="5"/>
    <s v="INV00000914"/>
    <s v="C00000044"/>
    <s v="Cash - Encik Razzak"/>
    <x v="351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d v="2024-07-06T00:00:00"/>
    <x v="2"/>
    <x v="5"/>
    <s v="INV00000915"/>
    <s v="C00000049"/>
    <s v="DOB Engineering Solutions"/>
    <x v="7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d v="2024-07-09T00:00:00"/>
    <x v="2"/>
    <x v="5"/>
    <s v="INV00000916"/>
    <s v="C00000042"/>
    <s v="Welltech (M) Sdn Bhd"/>
    <x v="355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d v="2024-07-09T00:00:00"/>
    <x v="2"/>
    <x v="5"/>
    <s v="INV00000917"/>
    <s v="C00000042"/>
    <s v="Welltech (M) Sdn Bhd"/>
    <x v="348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d v="2024-07-09T00:00:00"/>
    <x v="2"/>
    <x v="5"/>
    <s v="INV00000917"/>
    <s v="C00000042"/>
    <s v="Welltech (M) Sdn Bhd"/>
    <x v="340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d v="2024-07-09T00:00:00"/>
    <x v="2"/>
    <x v="5"/>
    <s v="INV00000917"/>
    <s v="C00000042"/>
    <s v="Welltech (M) Sdn Bhd"/>
    <x v="101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d v="2024-07-09T00:00:00"/>
    <x v="2"/>
    <x v="5"/>
    <s v="INV00000917"/>
    <s v="C00000042"/>
    <s v="Welltech (M) Sdn Bhd"/>
    <x v="101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d v="2024-07-09T00:00:00"/>
    <x v="2"/>
    <x v="5"/>
    <s v="INV00000917"/>
    <s v="C00000042"/>
    <s v="Welltech (M) Sdn Bhd"/>
    <x v="171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d v="2024-07-09T00:00:00"/>
    <x v="2"/>
    <x v="5"/>
    <s v="INV00000917"/>
    <s v="C00000042"/>
    <s v="Welltech (M) Sdn Bhd"/>
    <x v="159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d v="2024-07-12T00:00:00"/>
    <x v="2"/>
    <x v="5"/>
    <s v="INV00000918"/>
    <s v="C00000009"/>
    <s v="JMC Steel Engineering Sdn Bhd"/>
    <x v="225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d v="2024-07-12T00:00:00"/>
    <x v="2"/>
    <x v="5"/>
    <s v="INV00000918"/>
    <s v="C00000009"/>
    <s v="JMC Steel Engineering Sdn Bhd"/>
    <x v="123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d v="2024-07-12T00:00:00"/>
    <x v="2"/>
    <x v="5"/>
    <s v="INV00000919"/>
    <s v="C00000050"/>
    <s v="YL Professional Fiber Trading"/>
    <x v="188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d v="2024-07-12T00:00:00"/>
    <x v="2"/>
    <x v="5"/>
    <s v="INV00000919"/>
    <s v="C00000050"/>
    <s v="YL Professional Fiber Trading"/>
    <x v="318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d v="2024-07-12T00:00:00"/>
    <x v="2"/>
    <x v="5"/>
    <s v="INV00000919"/>
    <s v="C00000050"/>
    <s v="YL Professional Fiber Trading"/>
    <x v="171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d v="2024-07-12T00:00:00"/>
    <x v="2"/>
    <x v="5"/>
    <s v="INV00000919"/>
    <s v="C00000050"/>
    <s v="YL Professional Fiber Trading"/>
    <x v="355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d v="2024-07-16T00:00:00"/>
    <x v="2"/>
    <x v="5"/>
    <s v="INV00000920"/>
    <s v="C00000053"/>
    <s v="Cash - Shikh House of Design"/>
    <x v="365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d v="2024-07-17T00:00:00"/>
    <x v="2"/>
    <x v="5"/>
    <s v="INV00000921"/>
    <s v="C00000019"/>
    <s v="Desuki Affela Empire Enterprise"/>
    <x v="7"/>
    <n v="1"/>
    <s v="Cash"/>
    <n v="0"/>
    <d v="2024-07-17T00:00:00"/>
    <n v="7"/>
    <n v="2024"/>
    <n v="1760"/>
    <m/>
    <n v="1760"/>
    <n v="4983728.6500000004"/>
    <s v="Trsf"/>
    <m/>
    <m/>
  </r>
  <r>
    <d v="2024-07-17T00:00:00"/>
    <x v="2"/>
    <x v="5"/>
    <s v="INV00000921"/>
    <s v="C00000019"/>
    <s v="Desuki Affela Empire Enterprise"/>
    <x v="225"/>
    <n v="1"/>
    <s v="Cash"/>
    <n v="0"/>
    <d v="2024-07-17T00:00:00"/>
    <n v="7"/>
    <n v="2024"/>
    <n v="405"/>
    <m/>
    <n v="405"/>
    <n v="4984133.6500000004"/>
    <s v="Trsf"/>
    <m/>
    <m/>
  </r>
  <r>
    <d v="2024-07-18T00:00:00"/>
    <x v="2"/>
    <x v="5"/>
    <s v="INV00000922"/>
    <s v="C00000010"/>
    <s v="Yew Seng Gardening Supply Sdn Bhd"/>
    <x v="222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d v="2024-07-18T00:00:00"/>
    <x v="2"/>
    <x v="5"/>
    <s v="INV00000922"/>
    <s v="C00000010"/>
    <s v="Yew Seng Gardening Supply Sdn Bhd"/>
    <x v="246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d v="2024-07-18T00:00:00"/>
    <x v="2"/>
    <x v="5"/>
    <s v="INV00000922"/>
    <s v="C00000010"/>
    <s v="Yew Seng Gardening Supply Sdn Bhd"/>
    <x v="355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d v="2024-07-18T00:00:00"/>
    <x v="2"/>
    <x v="5"/>
    <s v="INV00000922"/>
    <s v="C00000010"/>
    <s v="Yew Seng Gardening Supply Sdn Bhd"/>
    <x v="4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d v="2024-07-18T00:00:00"/>
    <x v="2"/>
    <x v="5"/>
    <s v="INV00000922"/>
    <s v="C00000010"/>
    <s v="Yew Seng Gardening Supply Sdn Bhd"/>
    <x v="366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d v="2024-07-18T00:00:00"/>
    <x v="2"/>
    <x v="5"/>
    <s v="INV00000923"/>
    <s v="C00000010"/>
    <s v="Yew Seng Gardening Supply Sdn Bhd"/>
    <x v="90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d v="2024-07-18T00:00:00"/>
    <x v="2"/>
    <x v="5"/>
    <s v="INV00000923"/>
    <s v="C00000010"/>
    <s v="Yew Seng Gardening Supply Sdn Bhd"/>
    <x v="367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d v="2024-07-18T00:00:00"/>
    <x v="2"/>
    <x v="5"/>
    <s v="INV00000923"/>
    <s v="C00000010"/>
    <s v="Yew Seng Gardening Supply Sdn Bhd"/>
    <x v="353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d v="2024-07-20T00:00:00"/>
    <x v="2"/>
    <x v="5"/>
    <s v="INV00000924"/>
    <s v="C00000050"/>
    <s v="YL Professional Fiber Trading"/>
    <x v="188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d v="2024-07-20T00:00:00"/>
    <x v="2"/>
    <x v="5"/>
    <s v="INV00000924"/>
    <s v="C00000050"/>
    <s v="YL Professional Fiber Trading"/>
    <x v="318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d v="2024-07-20T00:00:00"/>
    <x v="2"/>
    <x v="5"/>
    <s v="INV00000924"/>
    <s v="C00000050"/>
    <s v="YL Professional Fiber Trading"/>
    <x v="171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d v="2024-07-20T00:00:00"/>
    <x v="2"/>
    <x v="5"/>
    <s v="INV00000924"/>
    <s v="C00000050"/>
    <s v="YL Professional Fiber Trading"/>
    <x v="355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d v="2024-07-20T00:00:00"/>
    <x v="2"/>
    <x v="5"/>
    <s v="INV00000924"/>
    <s v="C00000050"/>
    <s v="YL Professional Fiber Trading"/>
    <x v="345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d v="2024-07-23T00:00:00"/>
    <x v="2"/>
    <x v="5"/>
    <s v="INV00000925"/>
    <s v="C00000009"/>
    <s v="JMC Steel Engineering Sdn Bhd"/>
    <x v="224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d v="2024-07-23T00:00:00"/>
    <x v="2"/>
    <x v="5"/>
    <s v="INV00000925"/>
    <s v="C00000009"/>
    <s v="JMC Steel Engineering Sdn Bhd"/>
    <x v="96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d v="2024-07-24T00:00:00"/>
    <x v="2"/>
    <x v="5"/>
    <s v="INV00000926"/>
    <s v="C00000019"/>
    <s v="Desuki Affela Empire Enterprise"/>
    <x v="7"/>
    <n v="1"/>
    <s v="Cash"/>
    <n v="0"/>
    <d v="2024-07-24T00:00:00"/>
    <n v="7"/>
    <n v="2024"/>
    <n v="1760"/>
    <m/>
    <n v="1760"/>
    <n v="5011164.1500000004"/>
    <s v="Trsf"/>
    <m/>
    <m/>
  </r>
  <r>
    <d v="2024-07-24T00:00:00"/>
    <x v="2"/>
    <x v="5"/>
    <s v="INV00000926"/>
    <s v="C00000019"/>
    <s v="Desuki Affela Empire Enterprise"/>
    <x v="225"/>
    <n v="1"/>
    <s v="Cash"/>
    <n v="0"/>
    <d v="2024-07-24T00:00:00"/>
    <n v="7"/>
    <n v="2024"/>
    <n v="405"/>
    <m/>
    <n v="405"/>
    <n v="5011569.1500000004"/>
    <s v="Trsf"/>
    <m/>
    <m/>
  </r>
  <r>
    <d v="2024-07-24T00:00:00"/>
    <x v="2"/>
    <x v="5"/>
    <s v="INV00000926"/>
    <s v="C00000019"/>
    <s v="Desuki Affela Empire Enterprise"/>
    <x v="355"/>
    <n v="3"/>
    <s v="Cash"/>
    <n v="0"/>
    <d v="2024-07-24T00:00:00"/>
    <n v="7"/>
    <n v="2024"/>
    <n v="187.5"/>
    <m/>
    <n v="187.5"/>
    <n v="5011756.6500000004"/>
    <s v="Trsf"/>
    <m/>
    <m/>
  </r>
  <r>
    <d v="2024-07-24T00:00:00"/>
    <x v="2"/>
    <x v="5"/>
    <s v="INV00000926"/>
    <s v="C00000019"/>
    <s v="Desuki Affela Empire Enterprise"/>
    <x v="4"/>
    <n v="1"/>
    <s v="Cash"/>
    <n v="0"/>
    <d v="2024-07-24T00:00:00"/>
    <n v="7"/>
    <n v="2024"/>
    <n v="110"/>
    <m/>
    <n v="110"/>
    <n v="5011866.6500000004"/>
    <s v="Trsf"/>
    <m/>
    <m/>
  </r>
  <r>
    <d v="2024-07-24T00:00:00"/>
    <x v="2"/>
    <x v="5"/>
    <s v="INV00000926"/>
    <s v="C00000019"/>
    <s v="Desuki Affela Empire Enterprise"/>
    <x v="243"/>
    <n v="1"/>
    <s v="Cash"/>
    <n v="0"/>
    <d v="2024-07-24T00:00:00"/>
    <n v="7"/>
    <n v="2024"/>
    <n v="395"/>
    <m/>
    <n v="395"/>
    <n v="5012261.6500000004"/>
    <s v="Trsf"/>
    <m/>
    <m/>
  </r>
  <r>
    <d v="2024-07-24T00:00:00"/>
    <x v="2"/>
    <x v="5"/>
    <s v="INV00000926"/>
    <s v="C00000019"/>
    <s v="Desuki Affela Empire Enterprise"/>
    <x v="273"/>
    <n v="1"/>
    <s v="Cash"/>
    <n v="0"/>
    <d v="2024-07-24T00:00:00"/>
    <n v="7"/>
    <n v="2024"/>
    <n v="160"/>
    <m/>
    <n v="160"/>
    <n v="5012421.6500000004"/>
    <s v="Trsf"/>
    <m/>
    <m/>
  </r>
  <r>
    <d v="2024-07-24T00:00:00"/>
    <x v="2"/>
    <x v="5"/>
    <s v="INV00000926"/>
    <s v="C00000019"/>
    <s v="Desuki Affela Empire Enterprise"/>
    <x v="141"/>
    <n v="1"/>
    <s v="Cash"/>
    <n v="0"/>
    <d v="2024-07-24T00:00:00"/>
    <n v="7"/>
    <n v="2024"/>
    <n v="150"/>
    <m/>
    <n v="150"/>
    <n v="5012571.6500000004"/>
    <s v="Trsf"/>
    <m/>
    <m/>
  </r>
  <r>
    <d v="2024-07-24T00:00:00"/>
    <x v="2"/>
    <x v="5"/>
    <s v="INV00000926"/>
    <s v="C00000019"/>
    <s v="Desuki Affela Empire Enterprise"/>
    <x v="317"/>
    <n v="1"/>
    <s v="Cash"/>
    <n v="0"/>
    <d v="2024-07-24T00:00:00"/>
    <n v="7"/>
    <n v="2024"/>
    <n v="283.8"/>
    <m/>
    <n v="283.8"/>
    <n v="5012855.45"/>
    <s v="Trsf"/>
    <m/>
    <m/>
  </r>
  <r>
    <d v="2024-07-25T00:00:00"/>
    <x v="2"/>
    <x v="5"/>
    <s v="INV00000927"/>
    <s v="C00000042"/>
    <s v="Welltech (M) Sdn Bhd"/>
    <x v="355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d v="2024-07-25T00:00:00"/>
    <x v="2"/>
    <x v="5"/>
    <s v="INV00000928"/>
    <s v="C00000042"/>
    <s v="Welltech (M) Sdn Bhd"/>
    <x v="348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d v="2024-07-25T00:00:00"/>
    <x v="2"/>
    <x v="5"/>
    <s v="INV00000928"/>
    <s v="C00000042"/>
    <s v="Welltech (M) Sdn Bhd"/>
    <x v="246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d v="2024-07-25T00:00:00"/>
    <x v="2"/>
    <x v="5"/>
    <s v="INV00000928"/>
    <s v="C00000042"/>
    <s v="Welltech (M) Sdn Bhd"/>
    <x v="101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d v="2024-07-25T00:00:00"/>
    <x v="2"/>
    <x v="5"/>
    <s v="INV00000928"/>
    <s v="C00000042"/>
    <s v="Welltech (M) Sdn Bhd"/>
    <x v="171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d v="2024-07-25T00:00:00"/>
    <x v="2"/>
    <x v="5"/>
    <s v="INV00000928"/>
    <s v="C00000042"/>
    <s v="Welltech (M) Sdn Bhd"/>
    <x v="159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d v="2024-07-25T00:00:00"/>
    <x v="2"/>
    <x v="5"/>
    <s v="INV00000928"/>
    <s v="C00000042"/>
    <s v="Welltech (M) Sdn Bhd"/>
    <x v="368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d v="2024-07-27T00:00:00"/>
    <x v="2"/>
    <x v="5"/>
    <s v="INV00000929"/>
    <s v="C00000049"/>
    <s v="DOB Engineering Solutions"/>
    <x v="7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d v="2024-07-27T00:00:00"/>
    <x v="2"/>
    <x v="5"/>
    <s v="INV00000929"/>
    <s v="C00000049"/>
    <s v="DOB Engineering Solutions"/>
    <x v="292"/>
    <n v="4"/>
    <s v="Cash"/>
    <n v="0"/>
    <d v="2024-07-27T00:00:00"/>
    <n v="7"/>
    <n v="2024"/>
    <n v="900"/>
    <m/>
    <n v="900"/>
    <n v="5057107.95"/>
    <s v="Cash"/>
    <m/>
    <m/>
  </r>
  <r>
    <d v="2024-07-27T00:00:00"/>
    <x v="2"/>
    <x v="5"/>
    <s v="INV00000929"/>
    <s v="C00000049"/>
    <s v="DOB Engineering Solutions"/>
    <x v="4"/>
    <n v="1"/>
    <s v="Cash"/>
    <n v="0"/>
    <d v="2024-07-27T00:00:00"/>
    <n v="7"/>
    <n v="2024"/>
    <n v="110"/>
    <m/>
    <n v="110"/>
    <n v="5057217.95"/>
    <s v="Cash"/>
    <m/>
    <m/>
  </r>
  <r>
    <d v="2024-07-27T00:00:00"/>
    <x v="2"/>
    <x v="5"/>
    <s v="INV00000929"/>
    <s v="C00000049"/>
    <s v="DOB Engineering Solutions"/>
    <x v="369"/>
    <n v="1"/>
    <s v="Cash"/>
    <n v="0"/>
    <d v="2024-07-27T00:00:00"/>
    <n v="7"/>
    <n v="2024"/>
    <n v="40"/>
    <m/>
    <n v="40"/>
    <n v="5057257.95"/>
    <s v="Cash"/>
    <m/>
    <m/>
  </r>
  <r>
    <d v="2024-07-27T00:00:00"/>
    <x v="2"/>
    <x v="5"/>
    <s v="INV00000929"/>
    <s v="C00000049"/>
    <s v="DOB Engineering Solutions"/>
    <x v="141"/>
    <n v="1"/>
    <s v="Cash"/>
    <n v="0"/>
    <d v="2024-07-27T00:00:00"/>
    <n v="7"/>
    <n v="2024"/>
    <n v="175"/>
    <m/>
    <n v="175"/>
    <n v="5057432.95"/>
    <s v="Cash"/>
    <m/>
    <m/>
  </r>
  <r>
    <d v="2024-07-29T00:00:00"/>
    <x v="2"/>
    <x v="5"/>
    <s v="INV00000930"/>
    <s v="C00000027"/>
    <s v="Transform Star Sdn Bhd"/>
    <x v="7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d v="2024-07-29T00:00:00"/>
    <x v="2"/>
    <x v="5"/>
    <s v="INV00000930"/>
    <s v="C00000027"/>
    <s v="Transform Star Sdn Bhd"/>
    <x v="140"/>
    <n v="4"/>
    <s v="Cash"/>
    <n v="0"/>
    <d v="2024-07-29T00:00:00"/>
    <n v="7"/>
    <n v="2024"/>
    <n v="1684.8"/>
    <m/>
    <n v="1684.8"/>
    <n v="5066157.75"/>
    <s v="Trsf"/>
    <m/>
    <m/>
  </r>
  <r>
    <d v="2024-07-29T00:00:00"/>
    <x v="2"/>
    <x v="5"/>
    <s v="INV00000930"/>
    <s v="C00000027"/>
    <s v="Transform Star Sdn Bhd"/>
    <x v="101"/>
    <n v="1"/>
    <s v="Cash"/>
    <n v="0"/>
    <d v="2024-07-29T00:00:00"/>
    <n v="7"/>
    <n v="2024"/>
    <n v="280"/>
    <m/>
    <n v="280"/>
    <n v="5066437.75"/>
    <s v="Trsf"/>
    <m/>
    <m/>
  </r>
  <r>
    <d v="2024-07-29T00:00:00"/>
    <x v="2"/>
    <x v="5"/>
    <s v="INV00000930"/>
    <s v="C00000027"/>
    <s v="Transform Star Sdn Bhd"/>
    <x v="329"/>
    <n v="2"/>
    <s v="Cash"/>
    <n v="0"/>
    <d v="2024-07-29T00:00:00"/>
    <n v="7"/>
    <n v="2024"/>
    <n v="563.20000000000005"/>
    <m/>
    <n v="563.20000000000005"/>
    <n v="5067000.95"/>
    <s v="Trsf"/>
    <m/>
    <m/>
  </r>
  <r>
    <d v="2024-07-29T00:00:00"/>
    <x v="2"/>
    <x v="5"/>
    <s v="INV00000930"/>
    <s v="C00000027"/>
    <s v="Transform Star Sdn Bhd"/>
    <x v="171"/>
    <n v="4"/>
    <s v="Cash"/>
    <n v="0"/>
    <d v="2024-07-29T00:00:00"/>
    <n v="7"/>
    <n v="2024"/>
    <n v="380"/>
    <m/>
    <n v="380"/>
    <n v="5067380.95"/>
    <s v="Trsf"/>
    <m/>
    <m/>
  </r>
  <r>
    <d v="2024-07-29T00:00:00"/>
    <x v="2"/>
    <x v="5"/>
    <s v="INV00000930"/>
    <s v="C00000027"/>
    <s v="Transform Star Sdn Bhd"/>
    <x v="293"/>
    <n v="2"/>
    <s v="Cash"/>
    <n v="0"/>
    <d v="2024-07-29T00:00:00"/>
    <n v="7"/>
    <n v="2024"/>
    <n v="320"/>
    <m/>
    <n v="320"/>
    <n v="5067700.95"/>
    <s v="Trsf"/>
    <m/>
    <m/>
  </r>
  <r>
    <d v="2024-07-27T00:00:00"/>
    <x v="2"/>
    <x v="5"/>
    <s v="INV00000931"/>
    <s v="C00000042"/>
    <s v="Welltech (M) Sdn Bhd"/>
    <x v="159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d v="2024-07-29T00:00:00"/>
    <x v="2"/>
    <x v="5"/>
    <s v="INV00000932"/>
    <s v="C00000049"/>
    <s v="DOB Engineering Solutions"/>
    <x v="292"/>
    <n v="1"/>
    <s v="Cash"/>
    <n v="0"/>
    <d v="2024-07-29T00:00:00"/>
    <n v="7"/>
    <n v="2024"/>
    <n v="225"/>
    <m/>
    <n v="225"/>
    <n v="5012646.6500000004"/>
    <s v="Cash"/>
    <m/>
    <m/>
  </r>
  <r>
    <d v="2024-07-30T00:00:00"/>
    <x v="2"/>
    <x v="5"/>
    <s v="INV00000933"/>
    <s v="C00000050"/>
    <s v="YL Professional Fiber Trading"/>
    <x v="188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d v="2024-07-30T00:00:00"/>
    <x v="2"/>
    <x v="5"/>
    <s v="INV00000933"/>
    <s v="C00000050"/>
    <s v="YL Professional Fiber Trading"/>
    <x v="318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d v="2024-07-30T00:00:00"/>
    <x v="2"/>
    <x v="5"/>
    <s v="INV00000933"/>
    <s v="C00000050"/>
    <s v="YL Professional Fiber Trading"/>
    <x v="171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d v="2024-07-30T00:00:00"/>
    <x v="2"/>
    <x v="5"/>
    <s v="INV00000933"/>
    <s v="C00000050"/>
    <s v="YL Professional Fiber Trading"/>
    <x v="355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d v="2024-08-02T00:00:00"/>
    <x v="3"/>
    <x v="5"/>
    <s v="INV00000934"/>
    <s v="C00000037"/>
    <s v="Suntruck Sdn Bhd"/>
    <x v="188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d v="2024-08-02T00:00:00"/>
    <x v="3"/>
    <x v="5"/>
    <s v="INV00000934"/>
    <s v="C00000037"/>
    <s v="Suntruck Sdn Bhd"/>
    <x v="112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d v="2024-08-02T00:00:00"/>
    <x v="3"/>
    <x v="5"/>
    <s v="INV00000934"/>
    <s v="C00000037"/>
    <s v="Suntruck Sdn Bhd"/>
    <x v="349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d v="2024-08-02T00:00:00"/>
    <x v="3"/>
    <x v="5"/>
    <s v="INV00000934"/>
    <s v="C00000037"/>
    <s v="Suntruck Sdn Bhd"/>
    <x v="223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d v="2024-08-02T00:00:00"/>
    <x v="3"/>
    <x v="5"/>
    <s v="INV00000934"/>
    <s v="C00000037"/>
    <s v="Suntruck Sdn Bhd"/>
    <x v="132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d v="2024-08-02T00:00:00"/>
    <x v="3"/>
    <x v="5"/>
    <s v="INV00000934"/>
    <s v="C00000037"/>
    <s v="Suntruck Sdn Bhd"/>
    <x v="248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d v="2024-08-02T00:00:00"/>
    <x v="3"/>
    <x v="5"/>
    <s v="INV00000934"/>
    <s v="C00000037"/>
    <s v="Suntruck Sdn Bhd"/>
    <x v="171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d v="2024-08-05T00:00:00"/>
    <x v="3"/>
    <x v="5"/>
    <s v="INV00000935"/>
    <s v="C00000042"/>
    <s v="Welltech (M) Sdn Bhd"/>
    <x v="171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d v="2024-08-05T00:00:00"/>
    <x v="3"/>
    <x v="5"/>
    <s v="INV00000935"/>
    <s v="C00000042"/>
    <s v="Welltech (M) Sdn Bhd"/>
    <x v="4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d v="2024-08-05T00:00:00"/>
    <x v="3"/>
    <x v="5"/>
    <s v="INV00000936"/>
    <s v="C00000006"/>
    <s v="Perniagaan Fibra Sahih"/>
    <x v="7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d v="2024-08-05T00:00:00"/>
    <x v="3"/>
    <x v="5"/>
    <s v="INV00000936"/>
    <s v="C00000006"/>
    <s v="Perniagaan Fibra Sahih"/>
    <x v="246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d v="2024-08-05T00:00:00"/>
    <x v="3"/>
    <x v="5"/>
    <s v="INV00000936"/>
    <s v="C00000006"/>
    <s v="Perniagaan Fibra Sahih"/>
    <x v="4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d v="2024-08-05T00:00:00"/>
    <x v="3"/>
    <x v="5"/>
    <s v="INV00000936"/>
    <s v="C00000006"/>
    <s v="Perniagaan Fibra Sahih"/>
    <x v="370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d v="2024-08-05T00:00:00"/>
    <x v="3"/>
    <x v="5"/>
    <s v="INV00000937"/>
    <s v="C00000044"/>
    <s v="Cash - Encik Razzak"/>
    <x v="251"/>
    <n v="1"/>
    <s v="Cash"/>
    <n v="0"/>
    <d v="2024-08-05T00:00:00"/>
    <n v="8"/>
    <n v="2024"/>
    <n v="1694"/>
    <n v="-1694"/>
    <n v="0"/>
    <n v="5085726.75"/>
    <s v="Cash"/>
    <s v="Trsf 6/8/24 RM2,878.00"/>
    <m/>
  </r>
  <r>
    <d v="2024-08-05T00:00:00"/>
    <x v="3"/>
    <x v="5"/>
    <s v="INV00000937"/>
    <s v="C00000044"/>
    <s v="Cash - Encik Razzak"/>
    <x v="101"/>
    <n v="1"/>
    <s v="Cash"/>
    <n v="0"/>
    <d v="2024-08-05T00:00:00"/>
    <n v="8"/>
    <n v="2024"/>
    <n v="280"/>
    <n v="-280"/>
    <n v="0"/>
    <n v="5086006.75"/>
    <s v="Cash"/>
    <s v="Trsf 6/8/24 RM2,878.00"/>
    <m/>
  </r>
  <r>
    <d v="2024-08-05T00:00:00"/>
    <x v="3"/>
    <x v="5"/>
    <s v="INV00000937"/>
    <s v="C00000044"/>
    <s v="Cash - Encik Razzak"/>
    <x v="242"/>
    <n v="1"/>
    <s v="Cash"/>
    <n v="0"/>
    <d v="2024-08-05T00:00:00"/>
    <n v="8"/>
    <n v="2024"/>
    <n v="325"/>
    <n v="-325"/>
    <n v="0"/>
    <n v="5086331.75"/>
    <s v="Cash"/>
    <s v="Trsf 6/8/24 RM2,878.00"/>
    <m/>
  </r>
  <r>
    <d v="2024-08-05T00:00:00"/>
    <x v="3"/>
    <x v="5"/>
    <s v="INV00000937"/>
    <s v="C00000044"/>
    <s v="Cash - Encik Razzak"/>
    <x v="214"/>
    <n v="3"/>
    <s v="Cash"/>
    <n v="0"/>
    <d v="2024-08-05T00:00:00"/>
    <n v="8"/>
    <n v="2024"/>
    <n v="414"/>
    <n v="-414"/>
    <n v="0"/>
    <n v="5086745.75"/>
    <s v="Cash"/>
    <s v="Trsf 6/8/24 RM2,878.00"/>
    <m/>
  </r>
  <r>
    <d v="2024-08-05T00:00:00"/>
    <x v="3"/>
    <x v="5"/>
    <s v="INV00000937"/>
    <s v="C00000044"/>
    <s v="Cash - Encik Razzak"/>
    <x v="277"/>
    <n v="1"/>
    <s v="Cash"/>
    <n v="0"/>
    <d v="2024-08-05T00:00:00"/>
    <n v="8"/>
    <n v="2024"/>
    <n v="165"/>
    <n v="-165"/>
    <n v="0"/>
    <n v="5086910.75"/>
    <s v="Cash"/>
    <s v="Trsf 6/8/24 RM2,878.00"/>
    <m/>
  </r>
  <r>
    <d v="2024-08-06T00:00:00"/>
    <x v="3"/>
    <x v="5"/>
    <s v="INV00000938"/>
    <s v="C00000050"/>
    <s v="YL Professional Fiber Trading"/>
    <x v="348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d v="2024-08-06T00:00:00"/>
    <x v="3"/>
    <x v="5"/>
    <s v="INV00000938"/>
    <s v="C00000050"/>
    <s v="YL Professional Fiber Trading"/>
    <x v="318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d v="2024-08-06T00:00:00"/>
    <x v="3"/>
    <x v="5"/>
    <s v="INV00000938"/>
    <s v="C00000050"/>
    <s v="YL Professional Fiber Trading"/>
    <x v="171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d v="2024-08-06T00:00:00"/>
    <x v="3"/>
    <x v="5"/>
    <s v="INV00000939"/>
    <s v="C00000010"/>
    <s v="Yew Seng Gardening Supply Sdn Bhd"/>
    <x v="222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d v="2024-08-06T00:00:00"/>
    <x v="3"/>
    <x v="5"/>
    <s v="INV00000939"/>
    <s v="C00000010"/>
    <s v="Yew Seng Gardening Supply Sdn Bhd"/>
    <x v="246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d v="2024-08-06T00:00:00"/>
    <x v="3"/>
    <x v="5"/>
    <s v="INV00000939"/>
    <s v="C00000010"/>
    <s v="Yew Seng Gardening Supply Sdn Bhd"/>
    <x v="355"/>
    <n v="10"/>
    <n v="120"/>
    <n v="120"/>
    <d v="2024-12-04T00:00:00"/>
    <n v="12"/>
    <n v="2024"/>
    <n v="575"/>
    <n v="-575"/>
    <n v="0"/>
    <n v="5104997.25"/>
    <s v="Trsf"/>
    <s v="Trsf 19/1/25 RM20,508.60"/>
    <m/>
  </r>
  <r>
    <d v="2024-08-06T00:00:00"/>
    <x v="3"/>
    <x v="5"/>
    <s v="INV00000939"/>
    <s v="C00000010"/>
    <s v="Yew Seng Gardening Supply Sdn Bhd"/>
    <x v="4"/>
    <n v="4"/>
    <n v="120"/>
    <n v="120"/>
    <d v="2024-12-04T00:00:00"/>
    <n v="12"/>
    <n v="2024"/>
    <n v="440"/>
    <n v="-440"/>
    <n v="0"/>
    <n v="5105437.25"/>
    <s v="Trsf"/>
    <s v="Trsf 19/1/25 RM20,508.60"/>
    <m/>
  </r>
  <r>
    <d v="2024-08-06T00:00:00"/>
    <x v="3"/>
    <x v="5"/>
    <s v="INV00000939"/>
    <s v="C00000010"/>
    <s v="Yew Seng Gardening Supply Sdn Bhd"/>
    <x v="329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d v="2024-08-06T00:00:00"/>
    <x v="3"/>
    <x v="5"/>
    <s v="INV00000939"/>
    <s v="C00000010"/>
    <s v="Yew Seng Gardening Supply Sdn Bhd"/>
    <x v="343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d v="2024-08-06T00:00:00"/>
    <x v="3"/>
    <x v="5"/>
    <s v="INV00000939"/>
    <s v="C00000010"/>
    <s v="Yew Seng Gardening Supply Sdn Bhd"/>
    <x v="48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d v="2024-08-06T00:00:00"/>
    <x v="3"/>
    <x v="5"/>
    <s v="INV00000940"/>
    <s v="C00000019"/>
    <s v="Desuki Affela Empire Enterprise"/>
    <x v="7"/>
    <n v="1"/>
    <s v="Cash"/>
    <n v="0"/>
    <d v="2024-08-06T00:00:00"/>
    <n v="8"/>
    <n v="2024"/>
    <n v="1760"/>
    <m/>
    <n v="1760"/>
    <n v="5108535.8499999996"/>
    <s v="Trsf"/>
    <m/>
    <m/>
  </r>
  <r>
    <d v="2024-08-06T00:00:00"/>
    <x v="3"/>
    <x v="5"/>
    <s v="INV00000940"/>
    <s v="C00000019"/>
    <s v="Desuki Affela Empire Enterprise"/>
    <x v="323"/>
    <n v="1"/>
    <s v="Cash"/>
    <n v="0"/>
    <d v="2024-08-06T00:00:00"/>
    <n v="8"/>
    <n v="2024"/>
    <n v="600"/>
    <m/>
    <n v="600"/>
    <n v="5109135.8499999996"/>
    <s v="Trsf"/>
    <m/>
    <m/>
  </r>
  <r>
    <d v="2024-08-06T00:00:00"/>
    <x v="3"/>
    <x v="5"/>
    <s v="INV00000940"/>
    <s v="C00000019"/>
    <s v="Desuki Affela Empire Enterprise"/>
    <x v="355"/>
    <n v="3"/>
    <s v="Cash"/>
    <n v="0"/>
    <d v="2024-08-06T00:00:00"/>
    <n v="8"/>
    <n v="2024"/>
    <n v="187.5"/>
    <m/>
    <n v="187.5"/>
    <n v="5109323.3499999996"/>
    <s v="Trsf"/>
    <m/>
    <m/>
  </r>
  <r>
    <d v="2024-08-06T00:00:00"/>
    <x v="3"/>
    <x v="5"/>
    <s v="INV00000940"/>
    <s v="C00000019"/>
    <s v="Desuki Affela Empire Enterprise"/>
    <x v="52"/>
    <n v="1"/>
    <s v="Cash"/>
    <n v="0"/>
    <d v="2024-08-06T00:00:00"/>
    <n v="8"/>
    <n v="2024"/>
    <n v="450"/>
    <m/>
    <n v="450"/>
    <n v="5109773.3499999996"/>
    <s v="Trsf"/>
    <m/>
    <m/>
  </r>
  <r>
    <d v="2024-08-06T00:00:00"/>
    <x v="3"/>
    <x v="5"/>
    <s v="INV00000941"/>
    <s v="C00000012"/>
    <s v="Cash - Hamdan"/>
    <x v="259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d v="2024-08-06T00:00:00"/>
    <x v="3"/>
    <x v="5"/>
    <s v="INV00000941"/>
    <s v="C00000012"/>
    <s v="Cash - Hamdan"/>
    <x v="190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d v="2024-08-07T00:00:00"/>
    <x v="3"/>
    <x v="5"/>
    <s v="INV00000942"/>
    <s v="C00000049"/>
    <s v="DOB Engineering Solutions"/>
    <x v="7"/>
    <n v="1"/>
    <s v="Cash"/>
    <n v="0"/>
    <d v="2024-08-07T00:00:00"/>
    <n v="8"/>
    <n v="2024"/>
    <n v="1760"/>
    <m/>
    <n v="1760"/>
    <n v="5112718.3499999996"/>
    <s v="Cash"/>
    <m/>
    <m/>
  </r>
  <r>
    <d v="2024-08-07T00:00:00"/>
    <x v="3"/>
    <x v="5"/>
    <s v="INV00000942"/>
    <s v="C00000049"/>
    <s v="DOB Engineering Solutions"/>
    <x v="302"/>
    <n v="1"/>
    <s v="Cash"/>
    <n v="0"/>
    <d v="2024-08-07T00:00:00"/>
    <n v="8"/>
    <n v="2024"/>
    <n v="3600"/>
    <m/>
    <n v="3600"/>
    <n v="5116318.3499999996"/>
    <s v="Cash"/>
    <m/>
    <m/>
  </r>
  <r>
    <d v="2024-08-07T00:00:00"/>
    <x v="3"/>
    <x v="5"/>
    <s v="INV00000942"/>
    <s v="C00000049"/>
    <s v="DOB Engineering Solutions"/>
    <x v="292"/>
    <n v="3"/>
    <s v="Cash"/>
    <n v="0"/>
    <d v="2024-08-07T00:00:00"/>
    <n v="8"/>
    <n v="2024"/>
    <n v="675"/>
    <m/>
    <n v="675"/>
    <n v="5116993.3499999996"/>
    <s v="Cash"/>
    <m/>
    <m/>
  </r>
  <r>
    <d v="2024-08-07T00:00:00"/>
    <x v="3"/>
    <x v="5"/>
    <s v="INV00000942"/>
    <s v="C00000049"/>
    <s v="DOB Engineering Solutions"/>
    <x v="141"/>
    <n v="1"/>
    <s v="Cash"/>
    <n v="0"/>
    <d v="2024-08-07T00:00:00"/>
    <n v="8"/>
    <n v="2024"/>
    <n v="175"/>
    <m/>
    <n v="175"/>
    <n v="5117168.3499999996"/>
    <s v="Cash"/>
    <m/>
    <m/>
  </r>
  <r>
    <d v="2024-08-07T00:00:00"/>
    <x v="3"/>
    <x v="5"/>
    <s v="INV00000943"/>
    <s v="C00000042"/>
    <s v="Welltech (M) Sdn Bhd"/>
    <x v="355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d v="2024-08-07T00:00:00"/>
    <x v="3"/>
    <x v="5"/>
    <s v="INV00000944"/>
    <s v="C00000042"/>
    <s v="Welltech (M) Sdn Bhd"/>
    <x v="348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d v="2024-08-07T00:00:00"/>
    <x v="3"/>
    <x v="5"/>
    <s v="INV00000944"/>
    <s v="C00000042"/>
    <s v="Welltech (M) Sdn Bhd"/>
    <x v="246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d v="2024-08-07T00:00:00"/>
    <x v="3"/>
    <x v="5"/>
    <s v="INV00000944"/>
    <s v="C00000042"/>
    <s v="Welltech (M) Sdn Bhd"/>
    <x v="101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d v="2024-08-07T00:00:00"/>
    <x v="3"/>
    <x v="5"/>
    <s v="INV00000944"/>
    <s v="C00000042"/>
    <s v="Welltech (M) Sdn Bhd"/>
    <x v="171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d v="2024-08-07T00:00:00"/>
    <x v="3"/>
    <x v="5"/>
    <s v="INV00000944"/>
    <s v="C00000042"/>
    <s v="Welltech (M) Sdn Bhd"/>
    <x v="368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d v="2024-08-07T00:00:00"/>
    <x v="3"/>
    <x v="5"/>
    <s v="INV00000945"/>
    <s v="C00000026"/>
    <s v="Megapower Service"/>
    <x v="348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d v="2024-08-07T00:00:00"/>
    <x v="3"/>
    <x v="5"/>
    <s v="INV00000945"/>
    <s v="C00000026"/>
    <s v="Megapower Service"/>
    <x v="225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d v="2024-08-08T00:00:00"/>
    <x v="3"/>
    <x v="5"/>
    <s v="INV00000946"/>
    <s v="C00000003"/>
    <s v="Pandian Art Gallery Manufacturing"/>
    <x v="118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190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4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d v="2024-08-12T00:00:00"/>
    <x v="3"/>
    <x v="5"/>
    <s v="INV00000946"/>
    <s v="C00000003"/>
    <s v="Pandian Art Gallery Manufacturing"/>
    <x v="355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d v="2024-08-12T00:00:00"/>
    <x v="3"/>
    <x v="5"/>
    <s v="INV00000947"/>
    <s v="C00000049"/>
    <s v="DOB Engineering Solutions"/>
    <x v="7"/>
    <n v="2"/>
    <s v="Cash"/>
    <n v="0"/>
    <d v="2024-08-12T00:00:00"/>
    <n v="8"/>
    <n v="2024"/>
    <n v="3520"/>
    <m/>
    <n v="3520"/>
    <n v="5152503.3499999996"/>
    <s v="Cash"/>
    <m/>
    <m/>
  </r>
  <r>
    <d v="2024-08-12T00:00:00"/>
    <x v="3"/>
    <x v="5"/>
    <s v="INV00000947"/>
    <s v="C00000049"/>
    <s v="DOB Engineering Solutions"/>
    <x v="292"/>
    <n v="3"/>
    <s v="Cash"/>
    <n v="0"/>
    <d v="2024-08-12T00:00:00"/>
    <n v="8"/>
    <n v="2024"/>
    <n v="675"/>
    <m/>
    <n v="675"/>
    <n v="5153178.3499999996"/>
    <s v="Cash"/>
    <m/>
    <m/>
  </r>
  <r>
    <d v="2024-08-13T00:00:00"/>
    <x v="3"/>
    <x v="5"/>
    <s v="INV00000948"/>
    <s v="C00000049"/>
    <s v="DOB Engineering Solutions"/>
    <x v="4"/>
    <n v="1"/>
    <s v="Cash"/>
    <n v="0"/>
    <d v="2024-08-13T00:00:00"/>
    <n v="8"/>
    <n v="2024"/>
    <n v="110"/>
    <m/>
    <n v="110"/>
    <n v="5153288.3499999996"/>
    <s v="Cash"/>
    <m/>
    <m/>
  </r>
  <r>
    <d v="2024-08-12T00:00:00"/>
    <x v="3"/>
    <x v="5"/>
    <s v="INV00000949"/>
    <s v="C00000042"/>
    <s v="Welltech (M) Sdn Bhd"/>
    <x v="159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d v="2024-08-15T00:00:00"/>
    <x v="3"/>
    <x v="5"/>
    <s v="INV00000950"/>
    <s v="C00000049"/>
    <s v="DOB Engineering Solutions"/>
    <x v="371"/>
    <n v="1"/>
    <s v="Cash"/>
    <n v="0"/>
    <d v="2024-08-15T00:00:00"/>
    <n v="8"/>
    <n v="2024"/>
    <n v="250"/>
    <m/>
    <n v="250"/>
    <n v="5154538.3499999996"/>
    <s v="Cash"/>
    <m/>
    <m/>
  </r>
  <r>
    <d v="2024-08-16T00:00:00"/>
    <x v="3"/>
    <x v="5"/>
    <s v="INV00000951"/>
    <s v="C00000019"/>
    <s v="Desuki Affela Empire Enterprise"/>
    <x v="7"/>
    <n v="1"/>
    <s v="Cash"/>
    <n v="0"/>
    <d v="2024-08-16T00:00:00"/>
    <n v="8"/>
    <n v="2024"/>
    <n v="1760"/>
    <m/>
    <n v="1760"/>
    <n v="5156298.3499999996"/>
    <s v="Trsf"/>
    <m/>
    <m/>
  </r>
  <r>
    <d v="2024-08-16T00:00:00"/>
    <x v="3"/>
    <x v="5"/>
    <s v="INV00000951"/>
    <s v="C00000019"/>
    <s v="Desuki Affela Empire Enterprise"/>
    <x v="153"/>
    <n v="2"/>
    <s v="Cash"/>
    <n v="0"/>
    <d v="2024-08-16T00:00:00"/>
    <n v="8"/>
    <n v="2024"/>
    <n v="120"/>
    <m/>
    <n v="120"/>
    <n v="5156418.3499999996"/>
    <s v="Trsf"/>
    <m/>
    <m/>
  </r>
  <r>
    <d v="2024-08-16T00:00:00"/>
    <x v="3"/>
    <x v="5"/>
    <s v="INV00000952"/>
    <s v="C00000049"/>
    <s v="DOB Engineering Solutions"/>
    <x v="277"/>
    <n v="1"/>
    <s v="Cash"/>
    <n v="0"/>
    <d v="2024-08-16T00:00:00"/>
    <n v="8"/>
    <n v="2024"/>
    <n v="180"/>
    <m/>
    <n v="180"/>
    <n v="5156598.3499999996"/>
    <s v="Cash"/>
    <m/>
    <m/>
  </r>
  <r>
    <d v="2024-08-17T00:00:00"/>
    <x v="3"/>
    <x v="5"/>
    <s v="INV00000953"/>
    <s v="C00000042"/>
    <s v="Welltech (M) Sdn Bhd"/>
    <x v="355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d v="2024-08-17T00:00:00"/>
    <x v="3"/>
    <x v="5"/>
    <s v="INV00000954"/>
    <s v="C00000042"/>
    <s v="Welltech (M) Sdn Bhd"/>
    <x v="348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d v="2024-08-17T00:00:00"/>
    <x v="3"/>
    <x v="5"/>
    <s v="INV00000954"/>
    <s v="C00000042"/>
    <s v="Welltech (M) Sdn Bhd"/>
    <x v="246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d v="2024-08-17T00:00:00"/>
    <x v="3"/>
    <x v="5"/>
    <s v="INV00000954"/>
    <s v="C00000042"/>
    <s v="Welltech (M) Sdn Bhd"/>
    <x v="171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d v="2024-08-17T00:00:00"/>
    <x v="3"/>
    <x v="5"/>
    <s v="INV00000955"/>
    <s v="C00000049"/>
    <s v="DOB Engineering Solutions"/>
    <x v="286"/>
    <n v="1"/>
    <s v="Cash"/>
    <n v="0"/>
    <d v="2024-08-17T00:00:00"/>
    <n v="8"/>
    <n v="2024"/>
    <n v="175"/>
    <m/>
    <n v="175"/>
    <n v="5161632.3499999996"/>
    <s v="Cash"/>
    <m/>
    <m/>
  </r>
  <r>
    <d v="2024-08-21T00:00:00"/>
    <x v="3"/>
    <x v="5"/>
    <s v="INV00000956"/>
    <s v="C00000042"/>
    <s v="Welltech (M) Sdn Bhd"/>
    <x v="355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d v="2024-08-21T00:00:00"/>
    <x v="3"/>
    <x v="5"/>
    <s v="INV00000957"/>
    <s v="C00000042"/>
    <s v="Welltech (M) Sdn Bhd"/>
    <x v="348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d v="2024-08-21T00:00:00"/>
    <x v="3"/>
    <x v="5"/>
    <s v="INV00000957"/>
    <s v="C00000042"/>
    <s v="Welltech (M) Sdn Bhd"/>
    <x v="246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d v="2024-08-21T00:00:00"/>
    <x v="3"/>
    <x v="5"/>
    <s v="INV00000957"/>
    <s v="C00000042"/>
    <s v="Welltech (M) Sdn Bhd"/>
    <x v="101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d v="2024-08-21T00:00:00"/>
    <x v="3"/>
    <x v="5"/>
    <s v="INV00000957"/>
    <s v="C00000042"/>
    <s v="Welltech (M) Sdn Bhd"/>
    <x v="171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d v="2024-08-21T00:00:00"/>
    <x v="3"/>
    <x v="5"/>
    <s v="INV00000957"/>
    <s v="C00000042"/>
    <s v="Welltech (M) Sdn Bhd"/>
    <x v="368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d v="2024-08-21T00:00:00"/>
    <x v="3"/>
    <x v="5"/>
    <s v="INV00000958"/>
    <s v="C00000027"/>
    <s v="Transform Star Sdn Bhd"/>
    <x v="7"/>
    <n v="2"/>
    <s v="Cash"/>
    <n v="0"/>
    <d v="2024-08-21T00:00:00"/>
    <n v="8"/>
    <n v="2024"/>
    <n v="3520"/>
    <m/>
    <n v="3520"/>
    <n v="5174608.8499999996"/>
    <s v="Trsf"/>
    <m/>
    <m/>
  </r>
  <r>
    <d v="2024-08-21T00:00:00"/>
    <x v="3"/>
    <x v="5"/>
    <s v="INV00000958"/>
    <s v="C00000027"/>
    <s v="Transform Star Sdn Bhd"/>
    <x v="104"/>
    <n v="1"/>
    <s v="Cash"/>
    <n v="0"/>
    <d v="2024-08-21T00:00:00"/>
    <n v="8"/>
    <n v="2024"/>
    <n v="1108.4000000000001"/>
    <m/>
    <n v="1108.4000000000001"/>
    <n v="5175717.25"/>
    <s v="Trsf"/>
    <m/>
    <m/>
  </r>
  <r>
    <d v="2024-08-21T00:00:00"/>
    <x v="3"/>
    <x v="5"/>
    <s v="INV00000958"/>
    <s v="C00000027"/>
    <s v="Transform Star Sdn Bhd"/>
    <x v="140"/>
    <n v="4"/>
    <s v="Cash"/>
    <n v="0"/>
    <d v="2024-08-21T00:00:00"/>
    <n v="8"/>
    <n v="2024"/>
    <n v="1684.8"/>
    <m/>
    <n v="1684.8"/>
    <n v="5177402.05"/>
    <s v="Trsf"/>
    <m/>
    <m/>
  </r>
  <r>
    <d v="2024-08-21T00:00:00"/>
    <x v="3"/>
    <x v="5"/>
    <s v="INV00000958"/>
    <s v="C00000027"/>
    <s v="Transform Star Sdn Bhd"/>
    <x v="101"/>
    <n v="1"/>
    <s v="Cash"/>
    <n v="0"/>
    <d v="2024-08-21T00:00:00"/>
    <n v="8"/>
    <n v="2024"/>
    <n v="280"/>
    <m/>
    <n v="280"/>
    <n v="5177682.05"/>
    <s v="Trsf"/>
    <m/>
    <m/>
  </r>
  <r>
    <d v="2024-08-21T00:00:00"/>
    <x v="3"/>
    <x v="5"/>
    <s v="INV00000958"/>
    <s v="C00000027"/>
    <s v="Transform Star Sdn Bhd"/>
    <x v="329"/>
    <n v="2"/>
    <s v="Cash"/>
    <n v="0"/>
    <d v="2024-08-21T00:00:00"/>
    <n v="8"/>
    <n v="2024"/>
    <n v="563.20000000000005"/>
    <m/>
    <n v="563.20000000000005"/>
    <n v="5178245.25"/>
    <s v="Trsf"/>
    <m/>
    <m/>
  </r>
  <r>
    <d v="2024-08-21T00:00:00"/>
    <x v="3"/>
    <x v="5"/>
    <s v="INV00000958"/>
    <s v="C00000027"/>
    <s v="Transform Star Sdn Bhd"/>
    <x v="171"/>
    <n v="2"/>
    <s v="Cash"/>
    <n v="0"/>
    <d v="2024-08-21T00:00:00"/>
    <n v="8"/>
    <n v="2024"/>
    <n v="190"/>
    <m/>
    <n v="190"/>
    <n v="5178435.25"/>
    <s v="Trsf"/>
    <m/>
    <m/>
  </r>
  <r>
    <d v="2024-08-21T00:00:00"/>
    <x v="3"/>
    <x v="5"/>
    <s v="INV00000958"/>
    <s v="C00000027"/>
    <s v="Transform Star Sdn Bhd"/>
    <x v="141"/>
    <n v="2"/>
    <s v="Cash"/>
    <n v="0"/>
    <d v="2024-08-21T00:00:00"/>
    <n v="8"/>
    <n v="2024"/>
    <n v="320"/>
    <m/>
    <n v="320"/>
    <n v="5178755.25"/>
    <s v="Trsf"/>
    <m/>
    <m/>
  </r>
  <r>
    <d v="2024-08-21T00:00:00"/>
    <x v="3"/>
    <x v="5"/>
    <s v="INV00000958"/>
    <s v="C00000027"/>
    <s v="Transform Star Sdn Bhd"/>
    <x v="153"/>
    <n v="6"/>
    <s v="Cash"/>
    <n v="0"/>
    <d v="2024-08-21T00:00:00"/>
    <n v="8"/>
    <n v="2024"/>
    <n v="360"/>
    <m/>
    <n v="360"/>
    <n v="5179115.25"/>
    <s v="Trsf"/>
    <m/>
    <m/>
  </r>
  <r>
    <d v="2024-08-19T00:00:00"/>
    <x v="3"/>
    <x v="5"/>
    <s v="INV00000959"/>
    <s v="C00000010"/>
    <s v="Yew Seng Gardening Supply Sdn Bhd"/>
    <x v="267"/>
    <n v="2"/>
    <n v="120"/>
    <n v="120"/>
    <d v="2024-12-17T00:00:00"/>
    <n v="12"/>
    <n v="2024"/>
    <n v="476"/>
    <n v="-476"/>
    <n v="0"/>
    <n v="5179591.25"/>
    <s v="Trsf"/>
    <s v="Trsf 19/1/25 RM20,508.60"/>
    <m/>
  </r>
  <r>
    <d v="2024-08-19T00:00:00"/>
    <x v="3"/>
    <x v="5"/>
    <s v="INV00000959"/>
    <s v="C00000010"/>
    <s v="Yew Seng Gardening Supply Sdn Bhd"/>
    <x v="372"/>
    <n v="1"/>
    <n v="120"/>
    <n v="120"/>
    <d v="2024-12-17T00:00:00"/>
    <n v="12"/>
    <n v="2024"/>
    <n v="240"/>
    <n v="-240"/>
    <n v="0"/>
    <n v="5179831.25"/>
    <s v="Trsf"/>
    <s v="Trsf 19/1/25 RM20,508.60"/>
    <m/>
  </r>
  <r>
    <d v="2024-08-19T00:00:00"/>
    <x v="3"/>
    <x v="5"/>
    <s v="INV00000959"/>
    <s v="C00000010"/>
    <s v="Yew Seng Gardening Supply Sdn Bhd"/>
    <x v="274"/>
    <n v="1"/>
    <n v="120"/>
    <n v="120"/>
    <d v="2024-12-17T00:00:00"/>
    <n v="12"/>
    <n v="2024"/>
    <n v="165"/>
    <n v="-165"/>
    <n v="0"/>
    <n v="5179996.25"/>
    <s v="Trsf"/>
    <s v="Trsf 19/1/25 RM20,508.60"/>
    <m/>
  </r>
  <r>
    <d v="2024-08-22T00:00:00"/>
    <x v="3"/>
    <x v="5"/>
    <s v="INV00000960"/>
    <s v="C00000014"/>
    <s v="IK Fibre Glass Enterprise"/>
    <x v="246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d v="2024-08-22T00:00:00"/>
    <x v="3"/>
    <x v="5"/>
    <s v="INV00000960"/>
    <s v="C00000014"/>
    <s v="IK Fibre Glass Enterprise"/>
    <x v="373"/>
    <n v="1"/>
    <s v="Cash"/>
    <n v="0"/>
    <d v="2024-08-22T00:00:00"/>
    <n v="8"/>
    <n v="2024"/>
    <n v="0"/>
    <n v="0"/>
    <n v="0"/>
    <n v="5156298.3499999996"/>
    <s v="Cash"/>
    <s v="Cash 26/8/24 RM207.00"/>
    <m/>
  </r>
  <r>
    <d v="2024-08-27T00:00:00"/>
    <x v="3"/>
    <x v="5"/>
    <s v="INV00000961"/>
    <s v="C00000019"/>
    <s v="Desuki Affela Empire Enterprise"/>
    <x v="7"/>
    <n v="1"/>
    <s v="Cash"/>
    <n v="0"/>
    <d v="2024-08-27T00:00:00"/>
    <n v="8"/>
    <n v="2024"/>
    <n v="1760"/>
    <m/>
    <n v="1760"/>
    <n v="5158178.3499999996"/>
    <s v="Trsf"/>
    <m/>
    <m/>
  </r>
  <r>
    <d v="2024-08-27T00:00:00"/>
    <x v="3"/>
    <x v="5"/>
    <s v="INV00000961"/>
    <s v="C00000019"/>
    <s v="Desuki Affela Empire Enterprise"/>
    <x v="225"/>
    <n v="1"/>
    <s v="Cash"/>
    <n v="0"/>
    <d v="2024-08-27T00:00:00"/>
    <n v="8"/>
    <n v="2024"/>
    <n v="405"/>
    <m/>
    <n v="405"/>
    <n v="5157003.3499999996"/>
    <s v="Trsf"/>
    <m/>
    <m/>
  </r>
  <r>
    <d v="2024-08-27T00:00:00"/>
    <x v="3"/>
    <x v="5"/>
    <s v="INV00000961"/>
    <s v="C00000019"/>
    <s v="Desuki Affela Empire Enterprise"/>
    <x v="355"/>
    <n v="3"/>
    <s v="Cash"/>
    <n v="0"/>
    <d v="2024-08-27T00:00:00"/>
    <n v="8"/>
    <n v="2024"/>
    <n v="187.5"/>
    <m/>
    <n v="187.5"/>
    <n v="5156910.8499999996"/>
    <s v="Trsf"/>
    <m/>
    <m/>
  </r>
  <r>
    <d v="2024-08-27T00:00:00"/>
    <x v="3"/>
    <x v="5"/>
    <s v="INV00000961"/>
    <s v="C00000019"/>
    <s v="Desuki Affela Empire Enterprise"/>
    <x v="343"/>
    <n v="1"/>
    <s v="Cash"/>
    <n v="0"/>
    <d v="2024-08-27T00:00:00"/>
    <n v="8"/>
    <n v="2024"/>
    <n v="420"/>
    <m/>
    <n v="420"/>
    <n v="5160399.3499999996"/>
    <s v="Trsf"/>
    <m/>
    <m/>
  </r>
  <r>
    <d v="2024-08-28T00:00:00"/>
    <x v="3"/>
    <x v="5"/>
    <s v="INV00000962"/>
    <s v="C00000042"/>
    <s v="Welltech (M) Sdn Bhd"/>
    <x v="355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d v="2024-08-28T00:00:00"/>
    <x v="3"/>
    <x v="5"/>
    <s v="INV00000963"/>
    <s v="C00000042"/>
    <s v="Welltech (M) Sdn Bhd"/>
    <x v="348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d v="2024-08-28T00:00:00"/>
    <x v="3"/>
    <x v="5"/>
    <s v="INV00000963"/>
    <s v="C00000042"/>
    <s v="Welltech (M) Sdn Bhd"/>
    <x v="246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d v="2024-08-28T00:00:00"/>
    <x v="3"/>
    <x v="5"/>
    <s v="INV00000963"/>
    <s v="C00000042"/>
    <s v="Welltech (M) Sdn Bhd"/>
    <x v="101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d v="2024-08-30T00:00:00"/>
    <x v="3"/>
    <x v="5"/>
    <s v="INV00000964"/>
    <s v="C00000010"/>
    <s v="Yew Seng Gardening Supply Sdn Bhd"/>
    <x v="267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d v="2024-08-30T00:00:00"/>
    <x v="3"/>
    <x v="5"/>
    <s v="INV00000964"/>
    <s v="C00000010"/>
    <s v="Yew Seng Gardening Supply Sdn Bhd"/>
    <x v="374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d v="2024-08-30T00:00:00"/>
    <x v="3"/>
    <x v="5"/>
    <s v="INV00000964"/>
    <s v="C00000010"/>
    <s v="Yew Seng Gardening Supply Sdn Bhd"/>
    <x v="292"/>
    <n v="2"/>
    <n v="120"/>
    <n v="120"/>
    <d v="2024-12-28T00:00:00"/>
    <n v="12"/>
    <n v="2024"/>
    <n v="360"/>
    <n v="-360"/>
    <n v="0"/>
    <n v="5170093.8499999996"/>
    <s v="Trsf"/>
    <s v="Trsf 19/1/25 RM20,508.60"/>
    <m/>
  </r>
  <r>
    <d v="2024-09-02T00:00:00"/>
    <x v="4"/>
    <x v="5"/>
    <s v="INV00000965"/>
    <s v="C00000042"/>
    <s v="Welltech (M) Sdn Bhd"/>
    <x v="355"/>
    <n v="4"/>
    <s v="Cash"/>
    <n v="0"/>
    <d v="2024-09-02T00:00:00"/>
    <n v="9"/>
    <n v="2024"/>
    <n v="250"/>
    <n v="-250"/>
    <n v="0"/>
    <n v="5170343.8499999996"/>
    <s v="Trsf"/>
    <s v="Trsf 17/1/25 RM15,000.00(RM250.00)"/>
    <m/>
  </r>
  <r>
    <d v="2024-09-02T00:00:00"/>
    <x v="4"/>
    <x v="5"/>
    <s v="INV00000966"/>
    <s v="C00000042"/>
    <s v="Welltech (M) Sdn Bhd"/>
    <x v="348"/>
    <n v="4"/>
    <s v="Cash"/>
    <n v="0"/>
    <d v="2024-09-02T00:00:00"/>
    <n v="9"/>
    <n v="2024"/>
    <n v="6512"/>
    <n v="-6512"/>
    <n v="0"/>
    <n v="5176855.8499999996"/>
    <s v="Trsf"/>
    <s v="Trsf 17/1/25 RM15,000.00(RM6,512.00)"/>
    <m/>
  </r>
  <r>
    <d v="2024-09-02T00:00:00"/>
    <x v="4"/>
    <x v="5"/>
    <s v="INV00000966"/>
    <s v="C00000042"/>
    <s v="Welltech (M) Sdn Bhd"/>
    <x v="246"/>
    <n v="12"/>
    <s v="Cash"/>
    <n v="0"/>
    <d v="2024-09-02T00:00:00"/>
    <n v="9"/>
    <n v="2024"/>
    <n v="2124"/>
    <n v="-2124"/>
    <n v="0"/>
    <n v="5178979.8499999996"/>
    <s v="Trsf"/>
    <s v="Trsf 17/1/25 RM15,000.00(RM2,142.00)"/>
    <m/>
  </r>
  <r>
    <d v="2024-09-02T00:00:00"/>
    <x v="4"/>
    <x v="5"/>
    <s v="INV00000966"/>
    <s v="C00000042"/>
    <s v="Welltech (M) Sdn Bhd"/>
    <x v="301"/>
    <n v="5"/>
    <s v="Cash"/>
    <n v="0"/>
    <d v="2024-09-02T00:00:00"/>
    <n v="9"/>
    <n v="2024"/>
    <n v="1192.5"/>
    <n v="-1192.5"/>
    <n v="0"/>
    <n v="5180172.3499999996"/>
    <s v="Trsf"/>
    <s v="Trsf 17/1/25 RM15,000.00(RM1,192.50)"/>
    <m/>
  </r>
  <r>
    <d v="2024-09-02T00:00:00"/>
    <x v="4"/>
    <x v="5"/>
    <s v="INV00000966"/>
    <s v="C00000042"/>
    <s v="Welltech (M) Sdn Bhd"/>
    <x v="159"/>
    <n v="1"/>
    <s v="Cash"/>
    <n v="0"/>
    <d v="2024-09-02T00:00:00"/>
    <n v="9"/>
    <n v="2024"/>
    <n v="1000"/>
    <n v="-1000"/>
    <n v="0"/>
    <n v="5181172.3499999996"/>
    <s v="Trsf"/>
    <s v="Trsf 17/1/25 RM15,000.00(RM283.10), 24/1/15 RM60,000.00(RM716.90)"/>
    <m/>
  </r>
  <r>
    <d v="2024-09-02T00:00:00"/>
    <x v="4"/>
    <x v="5"/>
    <s v="INV00000967"/>
    <s v="C00000003"/>
    <s v="Pandian Art Gallery Manufacturing"/>
    <x v="118"/>
    <n v="1"/>
    <n v="45"/>
    <n v="45"/>
    <d v="2024-10-17T00:00:00"/>
    <n v="10"/>
    <n v="2024"/>
    <n v="1738"/>
    <n v="-1738"/>
    <n v="0"/>
    <n v="5182910.3499999996"/>
    <s v="PD Chq"/>
    <s v="RHB 000397 10/10/24 Cleared RM1,000.00(RM1,000.00), RHB 000398 29/10/24 Cleared RM958.00(RM738.00)"/>
    <m/>
  </r>
  <r>
    <d v="2024-09-02T00:00:00"/>
    <x v="4"/>
    <x v="5"/>
    <s v="INV00000967"/>
    <s v="C00000003"/>
    <s v="Pandian Art Gallery Manufacturing"/>
    <x v="4"/>
    <n v="2"/>
    <n v="45"/>
    <n v="45"/>
    <d v="2024-10-17T00:00:00"/>
    <n v="10"/>
    <n v="2024"/>
    <n v="220"/>
    <n v="-220"/>
    <n v="0"/>
    <n v="5183130.3499999996"/>
    <s v="PD Chq"/>
    <s v="RHB 000398 29/10/24 Cleared RM958.00(RM220.00)"/>
    <m/>
  </r>
  <r>
    <d v="2024-09-02T00:00:00"/>
    <x v="4"/>
    <x v="5"/>
    <s v="INV00000968"/>
    <s v="C00000054"/>
    <s v="Cash - Jamid"/>
    <x v="259"/>
    <n v="1"/>
    <s v="Cash"/>
    <n v="0"/>
    <d v="2024-09-02T00:00:00"/>
    <n v="9"/>
    <n v="2024"/>
    <n v="300"/>
    <n v="-300"/>
    <n v="0"/>
    <n v="5183430.3499999996"/>
    <s v="Cash"/>
    <s v="Trsf 3/9/24 RM530.00"/>
    <m/>
  </r>
  <r>
    <d v="2024-09-02T00:00:00"/>
    <x v="4"/>
    <x v="5"/>
    <s v="INV00000968"/>
    <s v="C00000054"/>
    <s v="Cash - Jamid"/>
    <x v="351"/>
    <n v="1"/>
    <s v="Cash"/>
    <n v="0"/>
    <d v="2024-09-02T00:00:00"/>
    <n v="9"/>
    <n v="2024"/>
    <n v="225"/>
    <n v="-230"/>
    <n v="-5"/>
    <n v="5183655.3499999996"/>
    <s v="Cash"/>
    <s v="Trsf 3/9/24 RM530.00 overpaid RM5.00"/>
    <m/>
  </r>
  <r>
    <d v="2024-09-03T00:00:00"/>
    <x v="4"/>
    <x v="5"/>
    <s v="INV00000969"/>
    <s v="C00000050"/>
    <s v="YL Professional Fiber Trading"/>
    <x v="222"/>
    <n v="1"/>
    <s v="Cash"/>
    <n v="0"/>
    <d v="2024-09-03T00:00:00"/>
    <n v="9"/>
    <n v="2024"/>
    <n v="1760"/>
    <n v="-1760"/>
    <n v="0"/>
    <n v="5185415.3499999996"/>
    <s v="Cash"/>
    <s v="Chq PBB 072007, cleared 26/9/24 RM2,410.00"/>
    <m/>
  </r>
  <r>
    <d v="2024-09-03T00:00:00"/>
    <x v="4"/>
    <x v="5"/>
    <s v="INV00000969"/>
    <s v="C00000050"/>
    <s v="YL Professional Fiber Trading"/>
    <x v="318"/>
    <n v="2"/>
    <s v="Cash"/>
    <n v="0"/>
    <d v="2024-09-03T00:00:00"/>
    <n v="9"/>
    <n v="2024"/>
    <n v="555"/>
    <n v="-555"/>
    <n v="0"/>
    <n v="5185970.3499999996"/>
    <s v="Cash"/>
    <s v="Chq PBB 072007, cleared 26/9/24 RM2,410.00"/>
    <m/>
  </r>
  <r>
    <d v="2024-09-03T00:00:00"/>
    <x v="4"/>
    <x v="5"/>
    <s v="INV00000969"/>
    <s v="C00000050"/>
    <s v="YL Professional Fiber Trading"/>
    <x v="171"/>
    <n v="1"/>
    <s v="Cash"/>
    <n v="0"/>
    <d v="2024-09-03T00:00:00"/>
    <n v="9"/>
    <n v="2024"/>
    <n v="95"/>
    <n v="-95"/>
    <n v="0"/>
    <n v="5186065.3499999996"/>
    <s v="Cash"/>
    <s v="Chq PBB 072007, cleared 26/9/24 RM2,410.00"/>
    <m/>
  </r>
  <r>
    <d v="2024-09-06T00:00:00"/>
    <x v="4"/>
    <x v="5"/>
    <s v="INV00000970"/>
    <s v="C00000042"/>
    <s v="Welltech (M) Sdn Bhd"/>
    <x v="355"/>
    <n v="10"/>
    <s v="Cash"/>
    <n v="0"/>
    <d v="2024-09-06T00:00:00"/>
    <n v="9"/>
    <n v="2024"/>
    <n v="625"/>
    <n v="-625"/>
    <n v="0"/>
    <n v="5186690.3499999996"/>
    <s v="Trsf"/>
    <s v="Trsf 24/1/15 RM60,000.00(RM625.00)"/>
    <m/>
  </r>
  <r>
    <d v="2024-09-06T00:00:00"/>
    <x v="4"/>
    <x v="5"/>
    <s v="INV00000971"/>
    <s v="C00000042"/>
    <s v="Welltech (M) Sdn Bhd"/>
    <x v="348"/>
    <n v="10"/>
    <s v="Cash"/>
    <n v="0"/>
    <d v="2024-09-06T00:00:00"/>
    <n v="9"/>
    <n v="2024"/>
    <n v="16280"/>
    <n v="-16280"/>
    <n v="0"/>
    <n v="5202970.3499999996"/>
    <s v="Trsf"/>
    <s v="Trsf 24/1/15 RM60,000.00(RM16,280.00)"/>
    <m/>
  </r>
  <r>
    <d v="2024-09-06T00:00:00"/>
    <x v="4"/>
    <x v="5"/>
    <s v="INV00000971"/>
    <s v="C00000042"/>
    <s v="Welltech (M) Sdn Bhd"/>
    <x v="246"/>
    <n v="36"/>
    <s v="Cash"/>
    <n v="0"/>
    <d v="2024-09-06T00:00:00"/>
    <n v="9"/>
    <n v="2024"/>
    <n v="6372"/>
    <n v="-6372"/>
    <n v="0"/>
    <n v="5209342.3499999996"/>
    <s v="Trsf"/>
    <s v="Trsf 24/1/15 RM60,000.00(RM6,372.00)"/>
    <m/>
  </r>
  <r>
    <d v="2024-09-06T00:00:00"/>
    <x v="4"/>
    <x v="5"/>
    <s v="INV00000971"/>
    <s v="C00000042"/>
    <s v="Welltech (M) Sdn Bhd"/>
    <x v="301"/>
    <n v="17"/>
    <s v="Cash"/>
    <n v="0"/>
    <d v="2024-09-06T00:00:00"/>
    <n v="9"/>
    <n v="2024"/>
    <n v="4054.5"/>
    <n v="-4054.5"/>
    <n v="0"/>
    <n v="5213396.8499999996"/>
    <s v="Trsf"/>
    <s v="Trsf 24/1/15 RM60,000.00(RM4,054.50)"/>
    <m/>
  </r>
  <r>
    <d v="2024-09-06T00:00:00"/>
    <x v="4"/>
    <x v="5"/>
    <s v="INV00000971"/>
    <s v="C00000042"/>
    <s v="Welltech (M) Sdn Bhd"/>
    <x v="159"/>
    <n v="1"/>
    <s v="Cash"/>
    <n v="0"/>
    <d v="2024-09-06T00:00:00"/>
    <n v="9"/>
    <n v="2024"/>
    <n v="1000"/>
    <n v="-1000"/>
    <n v="0"/>
    <n v="5214396.8499999996"/>
    <s v="Trsf"/>
    <s v="Trsf 24/1/15 RM60,000.00(RM1,000.00)"/>
    <m/>
  </r>
  <r>
    <d v="2024-09-06T00:00:00"/>
    <x v="4"/>
    <x v="5"/>
    <s v="INV00000971"/>
    <s v="C00000042"/>
    <s v="Welltech (M) Sdn Bhd"/>
    <x v="171"/>
    <n v="4"/>
    <s v="Cash"/>
    <n v="0"/>
    <d v="2024-09-06T00:00:00"/>
    <n v="9"/>
    <n v="2024"/>
    <n v="380"/>
    <n v="-380"/>
    <n v="0"/>
    <n v="5214776.8499999996"/>
    <s v="Trsf"/>
    <s v="Trsf 24/1/15 RM60,000.00(RM380.00)"/>
    <m/>
  </r>
  <r>
    <d v="2024-09-07T00:00:00"/>
    <x v="4"/>
    <x v="5"/>
    <s v="INV00000972"/>
    <s v="C00000044"/>
    <s v="Cash - Encik Razzak"/>
    <x v="188"/>
    <n v="1"/>
    <s v="Cash"/>
    <n v="0"/>
    <d v="2024-09-07T00:00:00"/>
    <n v="9"/>
    <n v="2024"/>
    <n v="1672"/>
    <n v="-1672"/>
    <n v="0"/>
    <n v="5216448.8499999996"/>
    <s v="Cash"/>
    <s v="Trsf 7/9/24 RM200.00, 24/9/24 RM2,064.50"/>
    <m/>
  </r>
  <r>
    <d v="2024-09-07T00:00:00"/>
    <x v="4"/>
    <x v="5"/>
    <s v="INV00000972"/>
    <s v="C00000044"/>
    <s v="Cash - Encik Razzak"/>
    <x v="351"/>
    <n v="2"/>
    <s v="Cash"/>
    <n v="0"/>
    <d v="2024-09-07T00:00:00"/>
    <n v="9"/>
    <n v="2024"/>
    <n v="420"/>
    <n v="-420"/>
    <n v="0"/>
    <n v="5216868.8499999996"/>
    <s v="Cash"/>
    <s v="Trsf 24/9/24 RM2,064.50"/>
    <m/>
  </r>
  <r>
    <d v="2024-09-07T00:00:00"/>
    <x v="4"/>
    <x v="5"/>
    <s v="INV00000972"/>
    <s v="C00000044"/>
    <s v="Cash - Encik Razzak"/>
    <x v="4"/>
    <n v="1"/>
    <s v="Cash"/>
    <n v="0"/>
    <d v="2024-09-07T00:00:00"/>
    <n v="9"/>
    <n v="2024"/>
    <n v="110"/>
    <n v="-110"/>
    <n v="0"/>
    <n v="5216978.8499999996"/>
    <s v="Cash"/>
    <s v="Trsf 24/9/24 RM2,064.50"/>
    <m/>
  </r>
  <r>
    <d v="2024-09-07T00:00:00"/>
    <x v="4"/>
    <x v="5"/>
    <s v="INV00000972"/>
    <s v="C00000044"/>
    <s v="Cash - Encik Razzak"/>
    <x v="355"/>
    <n v="1"/>
    <s v="Cash"/>
    <n v="0"/>
    <d v="2024-09-07T00:00:00"/>
    <n v="9"/>
    <n v="2024"/>
    <n v="62.5"/>
    <n v="-62.5"/>
    <n v="0"/>
    <n v="5217041.3499999996"/>
    <s v="Cash"/>
    <s v="Trsf 24/9/24 RM2,064.50"/>
    <m/>
  </r>
  <r>
    <d v="2024-09-08T00:00:00"/>
    <x v="4"/>
    <x v="5"/>
    <s v="INV00000973"/>
    <s v="C00000019"/>
    <s v="Desuki Affela Empire Enterprise"/>
    <x v="225"/>
    <n v="1"/>
    <s v="Cash"/>
    <n v="0"/>
    <d v="2024-09-08T00:00:00"/>
    <n v="9"/>
    <n v="2024"/>
    <n v="405"/>
    <m/>
    <n v="405"/>
    <n v="5217446.3499999996"/>
    <s v="Trsf"/>
    <m/>
    <m/>
  </r>
  <r>
    <d v="2024-09-08T00:00:00"/>
    <x v="4"/>
    <x v="5"/>
    <s v="INV00000973"/>
    <s v="C00000019"/>
    <s v="Desuki Affela Empire Enterprise"/>
    <x v="4"/>
    <n v="1"/>
    <s v="Cash"/>
    <n v="0"/>
    <d v="2024-09-08T00:00:00"/>
    <n v="9"/>
    <n v="2024"/>
    <n v="110"/>
    <m/>
    <n v="110"/>
    <n v="5217556.3499999996"/>
    <s v="Trsf"/>
    <m/>
    <m/>
  </r>
  <r>
    <d v="2024-09-10T00:00:00"/>
    <x v="4"/>
    <x v="5"/>
    <s v="INV00000974"/>
    <s v="C00000010"/>
    <s v="Yew Seng Gardening Supply Sdn Bhd"/>
    <x v="188"/>
    <n v="10"/>
    <n v="120"/>
    <n v="120"/>
    <d v="2025-01-08T00:00:00"/>
    <n v="1"/>
    <n v="2025"/>
    <n v="16060"/>
    <n v="-16060"/>
    <n v="0"/>
    <n v="5233616.3499999996"/>
    <s v="Trsf"/>
    <s v="Trsf 25/2/25 RM21,025.80"/>
    <m/>
  </r>
  <r>
    <d v="2024-09-10T00:00:00"/>
    <x v="4"/>
    <x v="5"/>
    <s v="INV00000974"/>
    <s v="C00000010"/>
    <s v="Yew Seng Gardening Supply Sdn Bhd"/>
    <x v="246"/>
    <n v="10"/>
    <n v="120"/>
    <n v="120"/>
    <d v="2025-01-08T00:00:00"/>
    <n v="1"/>
    <n v="2025"/>
    <n v="1740"/>
    <n v="-1740"/>
    <n v="0"/>
    <n v="5235356.3499999996"/>
    <s v="Trsf"/>
    <s v="Trsf 25/2/25 RM21,025.80"/>
    <m/>
  </r>
  <r>
    <d v="2024-09-10T00:00:00"/>
    <x v="4"/>
    <x v="5"/>
    <s v="INV00000974"/>
    <s v="C00000010"/>
    <s v="Yew Seng Gardening Supply Sdn Bhd"/>
    <x v="355"/>
    <n v="10"/>
    <n v="120"/>
    <n v="120"/>
    <d v="2025-01-08T00:00:00"/>
    <n v="1"/>
    <n v="2025"/>
    <n v="575"/>
    <n v="-575"/>
    <n v="0"/>
    <n v="5235931.3499999996"/>
    <s v="Trsf"/>
    <s v="Trsf 25/2/25 RM21,025.80"/>
    <m/>
  </r>
  <r>
    <d v="2024-09-10T00:00:00"/>
    <x v="4"/>
    <x v="5"/>
    <s v="INV00000974"/>
    <s v="C00000010"/>
    <s v="Yew Seng Gardening Supply Sdn Bhd"/>
    <x v="4"/>
    <n v="4"/>
    <n v="120"/>
    <n v="120"/>
    <d v="2025-01-08T00:00:00"/>
    <n v="1"/>
    <n v="2025"/>
    <n v="440"/>
    <n v="-440"/>
    <n v="0"/>
    <n v="5236371.3499999996"/>
    <s v="Trsf"/>
    <s v="Trsf 25/2/25 RM21,025.80"/>
    <m/>
  </r>
  <r>
    <d v="2024-09-10T00:00:00"/>
    <x v="4"/>
    <x v="5"/>
    <s v="INV00000974"/>
    <s v="C00000010"/>
    <s v="Yew Seng Gardening Supply Sdn Bhd"/>
    <x v="151"/>
    <n v="8"/>
    <n v="120"/>
    <n v="120"/>
    <d v="2025-01-08T00:00:00"/>
    <n v="1"/>
    <n v="2025"/>
    <n v="460.8"/>
    <n v="-460.8"/>
    <n v="0"/>
    <n v="5236832.1499999994"/>
    <s v="Trsf"/>
    <s v="Trsf 25/2/25 RM21,025.80"/>
    <m/>
  </r>
  <r>
    <d v="2024-09-10T00:00:00"/>
    <x v="4"/>
    <x v="5"/>
    <s v="INV00000974"/>
    <s v="C00000010"/>
    <s v="Yew Seng Gardening Supply Sdn Bhd"/>
    <x v="48"/>
    <n v="1"/>
    <n v="120"/>
    <n v="120"/>
    <d v="2025-01-08T00:00:00"/>
    <n v="1"/>
    <n v="2025"/>
    <n v="395"/>
    <n v="-395"/>
    <n v="0"/>
    <n v="5237227.1499999994"/>
    <s v="Trsf"/>
    <s v="Trsf 25/2/25 RM21,025.80"/>
    <m/>
  </r>
  <r>
    <d v="2024-09-10T00:00:00"/>
    <x v="4"/>
    <x v="5"/>
    <s v="INV00000974"/>
    <s v="C00000010"/>
    <s v="Yew Seng Gardening Supply Sdn Bhd"/>
    <x v="274"/>
    <n v="1"/>
    <n v="120"/>
    <n v="120"/>
    <d v="2025-01-08T00:00:00"/>
    <n v="1"/>
    <n v="2025"/>
    <n v="165"/>
    <n v="-165"/>
    <n v="0"/>
    <n v="5237392.1499999994"/>
    <s v="Trsf"/>
    <s v="Trsf 25/2/25 RM21,025.80"/>
    <m/>
  </r>
  <r>
    <d v="2024-09-10T00:00:00"/>
    <x v="4"/>
    <x v="5"/>
    <s v="INV00000974"/>
    <s v="C00000010"/>
    <s v="Yew Seng Gardening Supply Sdn Bhd"/>
    <x v="267"/>
    <n v="5"/>
    <n v="120"/>
    <n v="120"/>
    <d v="2025-01-08T00:00:00"/>
    <n v="1"/>
    <n v="2025"/>
    <n v="1190"/>
    <n v="-1190"/>
    <n v="0"/>
    <n v="5238582.1499999994"/>
    <s v="Trsf"/>
    <s v="Trsf 25/2/25 RM21,025.80"/>
    <m/>
  </r>
  <r>
    <d v="2024-09-11T00:00:00"/>
    <x v="4"/>
    <x v="5"/>
    <s v="INV00000975"/>
    <s v="C00000019"/>
    <s v="Desuki Affela Empire Enterprise"/>
    <x v="7"/>
    <n v="1"/>
    <s v="Cash"/>
    <n v="0"/>
    <d v="2024-09-11T00:00:00"/>
    <n v="9"/>
    <n v="2024"/>
    <n v="1760"/>
    <m/>
    <n v="1760"/>
    <n v="5240342.1499999994"/>
    <s v="Trsf"/>
    <m/>
    <m/>
  </r>
  <r>
    <d v="2024-09-11T00:00:00"/>
    <x v="4"/>
    <x v="5"/>
    <s v="INV00000975"/>
    <s v="C00000019"/>
    <s v="Desuki Affela Empire Enterprise"/>
    <x v="355"/>
    <n v="3"/>
    <s v="Cash"/>
    <n v="0"/>
    <d v="2024-09-11T00:00:00"/>
    <n v="9"/>
    <n v="2024"/>
    <n v="187.5"/>
    <m/>
    <n v="187.5"/>
    <n v="5240529.6499999994"/>
    <s v="Trsf"/>
    <m/>
    <m/>
  </r>
  <r>
    <d v="2024-09-11T00:00:00"/>
    <x v="4"/>
    <x v="5"/>
    <s v="INV00000975"/>
    <s v="C00000019"/>
    <s v="Desuki Affela Empire Enterprise"/>
    <x v="52"/>
    <n v="1"/>
    <s v="Cash"/>
    <n v="0"/>
    <d v="2024-09-11T00:00:00"/>
    <n v="9"/>
    <n v="2024"/>
    <n v="450"/>
    <m/>
    <n v="450"/>
    <n v="5240979.6499999994"/>
    <s v="Trsf"/>
    <m/>
    <m/>
  </r>
  <r>
    <d v="2024-09-14T00:00:00"/>
    <x v="4"/>
    <x v="5"/>
    <s v="INV00000976"/>
    <s v="C00000042"/>
    <s v="Welltech (M) Sdn Bhd"/>
    <x v="355"/>
    <n v="5"/>
    <s v="Cash"/>
    <n v="0"/>
    <d v="2024-09-14T00:00:00"/>
    <n v="9"/>
    <n v="2024"/>
    <n v="312.5"/>
    <n v="-312.5"/>
    <n v="0"/>
    <n v="5241292.1499999994"/>
    <s v="Trsf"/>
    <s v="Trsf 24/1/15 RM60,000.00(RM312.50)"/>
    <m/>
  </r>
  <r>
    <d v="2024-09-14T00:00:00"/>
    <x v="4"/>
    <x v="5"/>
    <s v="INV00000977"/>
    <s v="C00000042"/>
    <s v="Welltech (M) Sdn Bhd"/>
    <x v="348"/>
    <n v="5"/>
    <s v="Cash"/>
    <n v="0"/>
    <d v="2024-09-14T00:00:00"/>
    <n v="9"/>
    <n v="2024"/>
    <n v="8140"/>
    <n v="-8140"/>
    <n v="0"/>
    <n v="5249432.1499999994"/>
    <s v="Trsf"/>
    <s v="Trsf 24/1/15 RM60,000.00(RM8,140.00)"/>
    <m/>
  </r>
  <r>
    <d v="2024-09-14T00:00:00"/>
    <x v="4"/>
    <x v="5"/>
    <s v="INV00000977"/>
    <s v="C00000042"/>
    <s v="Welltech (M) Sdn Bhd"/>
    <x v="246"/>
    <n v="12"/>
    <s v="Cash"/>
    <n v="0"/>
    <d v="2024-09-14T00:00:00"/>
    <n v="9"/>
    <n v="2024"/>
    <n v="2124"/>
    <n v="-2124"/>
    <n v="0"/>
    <n v="5251556.1499999994"/>
    <s v="Trsf"/>
    <s v="Trsf 24/1/15 RM60,000.00(RM2,124.00)"/>
    <m/>
  </r>
  <r>
    <d v="2024-09-14T00:00:00"/>
    <x v="4"/>
    <x v="5"/>
    <s v="INV00000977"/>
    <s v="C00000042"/>
    <s v="Welltech (M) Sdn Bhd"/>
    <x v="301"/>
    <n v="4"/>
    <s v="Cash"/>
    <n v="0"/>
    <d v="2024-09-14T00:00:00"/>
    <n v="9"/>
    <n v="2024"/>
    <n v="954"/>
    <n v="-954"/>
    <n v="0"/>
    <n v="5252510.1499999994"/>
    <s v="Trsf"/>
    <s v="Trsf 24/1/15 RM60,000.00(RM954.00)"/>
    <m/>
  </r>
  <r>
    <d v="2024-09-14T00:00:00"/>
    <x v="4"/>
    <x v="5"/>
    <s v="INV00000977"/>
    <s v="C00000042"/>
    <s v="Welltech (M) Sdn Bhd"/>
    <x v="159"/>
    <n v="1"/>
    <s v="Cash"/>
    <n v="0"/>
    <d v="2024-09-14T00:00:00"/>
    <n v="9"/>
    <n v="2024"/>
    <n v="1000"/>
    <n v="-1000"/>
    <n v="0"/>
    <n v="5253510.1499999994"/>
    <s v="Trsf"/>
    <s v="Trsf 24/1/15 RM60,000.00(RM1,000.00)"/>
    <m/>
  </r>
  <r>
    <d v="2024-09-21T00:00:00"/>
    <x v="4"/>
    <x v="5"/>
    <s v="INV00000978"/>
    <s v="C00000042"/>
    <s v="Welltech (M) Sdn Bhd"/>
    <x v="355"/>
    <n v="3"/>
    <s v="Cash"/>
    <n v="0"/>
    <d v="2024-09-21T00:00:00"/>
    <n v="9"/>
    <n v="2024"/>
    <n v="187.5"/>
    <n v="-187.5"/>
    <n v="0"/>
    <n v="5253697.6499999994"/>
    <s v="Trsf"/>
    <s v="Trsf 24/1/15 RM60,000.00(RM187.50"/>
    <m/>
  </r>
  <r>
    <d v="2024-09-21T00:00:00"/>
    <x v="4"/>
    <x v="5"/>
    <s v="INV00000979"/>
    <s v="C00000042"/>
    <s v="Welltech (M) Sdn Bhd"/>
    <x v="375"/>
    <n v="1"/>
    <s v="Cash"/>
    <n v="0"/>
    <d v="2024-09-21T00:00:00"/>
    <n v="9"/>
    <n v="2024"/>
    <n v="1642.5"/>
    <n v="-1642.5"/>
    <n v="0"/>
    <n v="5255340.1499999994"/>
    <s v="Trsf"/>
    <s v="Trsf 24/1/15 RM60,000.00(RM1,642.50)"/>
    <m/>
  </r>
  <r>
    <d v="2024-09-21T00:00:00"/>
    <x v="4"/>
    <x v="5"/>
    <s v="INV00000979"/>
    <s v="C00000042"/>
    <s v="Welltech (M) Sdn Bhd"/>
    <x v="348"/>
    <n v="2"/>
    <s v="Cash"/>
    <n v="0"/>
    <d v="2024-09-21T00:00:00"/>
    <n v="9"/>
    <n v="2024"/>
    <n v="3256"/>
    <n v="-3256"/>
    <n v="0"/>
    <n v="5258596.1499999994"/>
    <s v="Trsf"/>
    <s v="Trsf 24/1/15 RM60,000.00(RM3,256.00)"/>
    <m/>
  </r>
  <r>
    <d v="2024-09-21T00:00:00"/>
    <x v="4"/>
    <x v="5"/>
    <s v="INV00000979"/>
    <s v="C00000042"/>
    <s v="Welltech (M) Sdn Bhd"/>
    <x v="246"/>
    <n v="6"/>
    <s v="Cash"/>
    <n v="0"/>
    <d v="2024-09-21T00:00:00"/>
    <n v="9"/>
    <n v="2024"/>
    <n v="1062"/>
    <n v="-1062"/>
    <n v="0"/>
    <n v="5259658.1499999994"/>
    <s v="Trsf"/>
    <s v="Trsf 24/1/15 RM60,000.00(RM1,062.00)"/>
    <m/>
  </r>
  <r>
    <d v="2024-09-21T00:00:00"/>
    <x v="4"/>
    <x v="5"/>
    <s v="INV00000979"/>
    <s v="C00000042"/>
    <s v="Welltech (M) Sdn Bhd"/>
    <x v="301"/>
    <n v="1"/>
    <s v="Cash"/>
    <n v="0"/>
    <d v="2024-09-21T00:00:00"/>
    <n v="9"/>
    <n v="2024"/>
    <n v="238.5"/>
    <n v="-238.5"/>
    <n v="0"/>
    <n v="5259896.6499999994"/>
    <s v="Trsf"/>
    <s v="Trsf 24/1/15 RM60,000.00(RM238.50)"/>
    <m/>
  </r>
  <r>
    <d v="2024-09-21T00:00:00"/>
    <x v="4"/>
    <x v="5"/>
    <s v="INV00000979"/>
    <s v="C00000042"/>
    <s v="Welltech (M) Sdn Bhd"/>
    <x v="171"/>
    <n v="4"/>
    <s v="Cash"/>
    <n v="0"/>
    <d v="2024-09-21T00:00:00"/>
    <n v="9"/>
    <n v="2024"/>
    <n v="380"/>
    <n v="-380"/>
    <n v="0"/>
    <n v="5260276.6499999994"/>
    <s v="Trsf"/>
    <s v="Trsf 24/1/15 RM60,000.00(RM380.00)"/>
    <m/>
  </r>
  <r>
    <d v="2024-09-23T00:00:00"/>
    <x v="4"/>
    <x v="5"/>
    <s v="INV00000980"/>
    <s v="C00000042"/>
    <s v="Welltech (M) Sdn Bhd"/>
    <x v="355"/>
    <n v="4"/>
    <s v="Cash"/>
    <n v="0"/>
    <d v="2024-09-23T00:00:00"/>
    <n v="9"/>
    <n v="2024"/>
    <n v="250"/>
    <n v="-250"/>
    <n v="0"/>
    <n v="5260526.6499999994"/>
    <s v="Trsf"/>
    <s v="Trsf 24/1/15 RM60,000.00(RM250.00)"/>
    <m/>
  </r>
  <r>
    <d v="2024-09-23T00:00:00"/>
    <x v="4"/>
    <x v="5"/>
    <s v="INV00000981"/>
    <s v="C00000042"/>
    <s v="Welltech (M) Sdn Bhd"/>
    <x v="348"/>
    <n v="4"/>
    <s v="Cash"/>
    <n v="0"/>
    <d v="2024-09-23T00:00:00"/>
    <n v="9"/>
    <n v="2024"/>
    <n v="6512"/>
    <n v="-6512"/>
    <n v="0"/>
    <n v="5267038.6499999994"/>
    <s v="Trsf"/>
    <s v="Trsf 24/1/15 RM60,000.00(RM6,512.00)"/>
    <m/>
  </r>
  <r>
    <d v="2024-09-23T00:00:00"/>
    <x v="4"/>
    <x v="5"/>
    <s v="INV00000981"/>
    <s v="C00000042"/>
    <s v="Welltech (M) Sdn Bhd"/>
    <x v="246"/>
    <n v="12"/>
    <s v="Cash"/>
    <n v="0"/>
    <d v="2024-09-23T00:00:00"/>
    <n v="9"/>
    <n v="2024"/>
    <n v="2124"/>
    <n v="-2124"/>
    <n v="0"/>
    <n v="5269162.6499999994"/>
    <s v="Trsf"/>
    <s v="Trsf 24/1/15 RM60,000.00(RM2,124.00)"/>
    <m/>
  </r>
  <r>
    <d v="2024-09-23T00:00:00"/>
    <x v="4"/>
    <x v="5"/>
    <s v="INV00000981"/>
    <s v="C00000042"/>
    <s v="Welltech (M) Sdn Bhd"/>
    <x v="301"/>
    <n v="6"/>
    <s v="Cash"/>
    <n v="0"/>
    <d v="2024-09-23T00:00:00"/>
    <n v="9"/>
    <n v="2024"/>
    <n v="1431"/>
    <n v="-1431"/>
    <n v="0"/>
    <n v="5270593.6499999994"/>
    <s v="Trsf"/>
    <s v="Trsf 24/1/15 RM60,000.00(RM1,431.00)"/>
    <m/>
  </r>
  <r>
    <d v="2024-09-23T00:00:00"/>
    <x v="4"/>
    <x v="5"/>
    <s v="INV00000981"/>
    <s v="C00000042"/>
    <s v="Welltech (M) Sdn Bhd"/>
    <x v="368"/>
    <n v="1"/>
    <s v="Cash"/>
    <n v="0"/>
    <d v="2024-09-23T00:00:00"/>
    <n v="9"/>
    <n v="2024"/>
    <n v="975"/>
    <n v="-975"/>
    <n v="0"/>
    <n v="5271568.6499999994"/>
    <s v="Trsf"/>
    <s v="Trsf 24/1/15 RM60,000.00(RM957.60), 4/2/25 RM16,000.00(RM17.40)"/>
    <m/>
  </r>
  <r>
    <d v="2024-09-25T00:00:00"/>
    <x v="4"/>
    <x v="5"/>
    <s v="INV00000982"/>
    <s v="C00000044"/>
    <s v="Cash - Encik Razzak"/>
    <x v="351"/>
    <n v="2"/>
    <s v="Cash"/>
    <n v="0"/>
    <d v="2024-09-25T00:00:00"/>
    <n v="9"/>
    <n v="2024"/>
    <n v="420"/>
    <n v="-420"/>
    <n v="0"/>
    <n v="5271988.6499999994"/>
    <s v="Cash"/>
    <s v="Trsf 30/9/24 RM420.00"/>
    <m/>
  </r>
  <r>
    <d v="2024-09-26T00:00:00"/>
    <x v="4"/>
    <x v="5"/>
    <s v="INV00000983"/>
    <s v="C00000019"/>
    <s v="Desuki Affela Empire Enterprise"/>
    <x v="7"/>
    <n v="1"/>
    <s v="Cash"/>
    <n v="0"/>
    <d v="2024-09-26T00:00:00"/>
    <n v="9"/>
    <n v="2024"/>
    <n v="1760"/>
    <m/>
    <n v="1760"/>
    <n v="5273748.6499999994"/>
    <s v="Trsf"/>
    <m/>
    <m/>
  </r>
  <r>
    <d v="2024-09-26T00:00:00"/>
    <x v="4"/>
    <x v="5"/>
    <s v="INV00000983"/>
    <s v="C00000019"/>
    <s v="Desuki Affela Empire Enterprise"/>
    <x v="225"/>
    <n v="1"/>
    <s v="Cash"/>
    <n v="0"/>
    <d v="2024-09-26T00:00:00"/>
    <n v="9"/>
    <n v="2024"/>
    <n v="405"/>
    <m/>
    <n v="405"/>
    <n v="5274153.6499999994"/>
    <s v="Trsf"/>
    <m/>
    <m/>
  </r>
  <r>
    <d v="2024-09-26T00:00:00"/>
    <x v="4"/>
    <x v="5"/>
    <s v="INV00000983"/>
    <s v="C00000019"/>
    <s v="Desuki Affela Empire Enterprise"/>
    <x v="4"/>
    <n v="1"/>
    <s v="Cash"/>
    <n v="0"/>
    <d v="2024-09-26T00:00:00"/>
    <n v="9"/>
    <n v="2024"/>
    <n v="110"/>
    <m/>
    <n v="110"/>
    <n v="5274263.6499999994"/>
    <s v="Trsf"/>
    <m/>
    <m/>
  </r>
  <r>
    <d v="2024-09-26T00:00:00"/>
    <x v="4"/>
    <x v="5"/>
    <s v="INV00000983"/>
    <s v="C00000019"/>
    <s v="Desuki Affela Empire Enterprise"/>
    <x v="243"/>
    <n v="1"/>
    <s v="Cash"/>
    <n v="0"/>
    <d v="2024-09-26T00:00:00"/>
    <n v="9"/>
    <n v="2024"/>
    <n v="390"/>
    <m/>
    <n v="390"/>
    <n v="5274653.6499999994"/>
    <s v="Trsf"/>
    <m/>
    <m/>
  </r>
  <r>
    <d v="2024-09-26T00:00:00"/>
    <x v="4"/>
    <x v="5"/>
    <s v="INV00000983"/>
    <s v="C00000019"/>
    <s v="Desuki Affela Empire Enterprise"/>
    <x v="317"/>
    <n v="1"/>
    <s v="Cash"/>
    <n v="0"/>
    <d v="2024-09-26T00:00:00"/>
    <n v="9"/>
    <n v="2024"/>
    <n v="283.8"/>
    <m/>
    <n v="283.8"/>
    <n v="5274937.4499999993"/>
    <s v="Trsf"/>
    <m/>
    <m/>
  </r>
  <r>
    <d v="2024-09-26T00:00:00"/>
    <x v="4"/>
    <x v="5"/>
    <s v="INV00000983"/>
    <s v="C00000019"/>
    <s v="Desuki Affela Empire Enterprise"/>
    <x v="141"/>
    <n v="1"/>
    <s v="Cash"/>
    <n v="0"/>
    <d v="2024-09-26T00:00:00"/>
    <n v="9"/>
    <n v="2024"/>
    <n v="150"/>
    <m/>
    <n v="150"/>
    <n v="5275087.4499999993"/>
    <s v="Trsf"/>
    <m/>
    <m/>
  </r>
  <r>
    <d v="2024-09-26T00:00:00"/>
    <x v="4"/>
    <x v="5"/>
    <s v="INV00000983"/>
    <s v="C00000019"/>
    <s v="Desuki Affela Empire Enterprise"/>
    <x v="372"/>
    <n v="1"/>
    <s v="Cash"/>
    <n v="0"/>
    <d v="2024-09-26T00:00:00"/>
    <n v="9"/>
    <n v="2024"/>
    <n v="260"/>
    <m/>
    <n v="260"/>
    <n v="5275347.4499999993"/>
    <s v="Trsf"/>
    <m/>
    <m/>
  </r>
  <r>
    <d v="2024-09-26T00:00:00"/>
    <x v="4"/>
    <x v="5"/>
    <s v="INV00000984"/>
    <s v="C00000003"/>
    <s v="Pandian Art Gallery Manufacturing"/>
    <x v="118"/>
    <n v="1"/>
    <n v="45"/>
    <n v="45"/>
    <d v="2024-11-10T00:00:00"/>
    <n v="11"/>
    <n v="2024"/>
    <n v="1738"/>
    <n v="-1738"/>
    <n v="0"/>
    <n v="5277085.4499999993"/>
    <s v="PD Chq"/>
    <s v="RHB 000416 11/11/24 Cleared RM1,000.00(RM1,000.00), RHB 000417 18/11/24 Cleared RM1,153.00(RM738.00)"/>
    <m/>
  </r>
  <r>
    <d v="2024-09-26T00:00:00"/>
    <x v="4"/>
    <x v="5"/>
    <s v="INV00000984"/>
    <s v="C00000003"/>
    <s v="Pandian Art Gallery Manufacturing"/>
    <x v="4"/>
    <n v="2"/>
    <n v="45"/>
    <n v="45"/>
    <d v="2024-11-10T00:00:00"/>
    <n v="11"/>
    <n v="2024"/>
    <n v="220"/>
    <n v="-220"/>
    <n v="0"/>
    <n v="5277305.4499999993"/>
    <s v="PD Chq"/>
    <s v="RHB 000417 18/11/24 Cleared RM1,153.00(RM220.00)"/>
    <m/>
  </r>
  <r>
    <d v="2024-09-26T00:00:00"/>
    <x v="4"/>
    <x v="5"/>
    <s v="INV00000984"/>
    <s v="C00000003"/>
    <s v="Pandian Art Gallery Manufacturing"/>
    <x v="355"/>
    <n v="3"/>
    <n v="45"/>
    <n v="45"/>
    <d v="2024-11-10T00:00:00"/>
    <n v="11"/>
    <n v="2024"/>
    <n v="195"/>
    <n v="-195"/>
    <n v="0"/>
    <n v="5277500.4499999993"/>
    <s v="PD Chq"/>
    <s v="RHB 000417 18/11/24 Cleared RM1,153.00(RM195.00)"/>
    <m/>
  </r>
  <r>
    <d v="2024-09-28T00:00:00"/>
    <x v="4"/>
    <x v="5"/>
    <s v="INV00000985"/>
    <s v="C00000042"/>
    <s v="Welltech (M) Sdn Bhd"/>
    <x v="355"/>
    <n v="13"/>
    <s v="Cash"/>
    <n v="0"/>
    <d v="2024-09-28T00:00:00"/>
    <n v="9"/>
    <n v="2024"/>
    <n v="812.5"/>
    <n v="-812.5"/>
    <n v="0"/>
    <n v="5278312.9499999993"/>
    <s v="Trsf"/>
    <s v="Trsf 4/2/25 RM16,000.00(RM812.50)"/>
    <m/>
  </r>
  <r>
    <d v="2024-09-28T00:00:00"/>
    <x v="4"/>
    <x v="5"/>
    <s v="INV00000986"/>
    <s v="C00000042"/>
    <s v="Welltech (M) Sdn Bhd"/>
    <x v="348"/>
    <n v="13"/>
    <s v="Cash"/>
    <n v="0"/>
    <d v="2024-09-28T00:00:00"/>
    <n v="9"/>
    <n v="2024"/>
    <n v="20878"/>
    <n v="-20878"/>
    <n v="0"/>
    <n v="5299190.9499999993"/>
    <s v="Trsf"/>
    <s v="Trsf 4/2/25 RM16,000.00(RM15,170.10), 12/2/25 RM24,000.00(RM5,707.90)"/>
    <m/>
  </r>
  <r>
    <d v="2024-09-28T00:00:00"/>
    <x v="4"/>
    <x v="5"/>
    <s v="INV00000986"/>
    <s v="C00000042"/>
    <s v="Welltech (M) Sdn Bhd"/>
    <x v="246"/>
    <n v="38"/>
    <s v="Cash"/>
    <n v="0"/>
    <d v="2024-09-28T00:00:00"/>
    <n v="9"/>
    <n v="2024"/>
    <n v="6726"/>
    <n v="-6726"/>
    <n v="0"/>
    <n v="5305916.9499999993"/>
    <s v="Trsf"/>
    <s v="Trsf 12/2/25 RM24,000.00(RM6,726.00)"/>
    <m/>
  </r>
  <r>
    <d v="2024-09-28T00:00:00"/>
    <x v="4"/>
    <x v="5"/>
    <s v="INV00000986"/>
    <s v="C00000042"/>
    <s v="Welltech (M) Sdn Bhd"/>
    <x v="301"/>
    <n v="20"/>
    <s v="Cash"/>
    <n v="0"/>
    <d v="2024-09-28T00:00:00"/>
    <n v="9"/>
    <n v="2024"/>
    <n v="4770"/>
    <n v="-4770"/>
    <n v="0"/>
    <n v="5310686.9499999993"/>
    <s v="Trsf"/>
    <s v="Trsf 12/2/25 RM24,000.00(RM4,770.00)"/>
    <m/>
  </r>
  <r>
    <d v="2024-09-28T00:00:00"/>
    <x v="4"/>
    <x v="5"/>
    <s v="INV00000986"/>
    <s v="C00000042"/>
    <s v="Welltech (M) Sdn Bhd"/>
    <x v="171"/>
    <n v="4"/>
    <s v="Cash"/>
    <n v="0"/>
    <d v="2024-09-28T00:00:00"/>
    <n v="9"/>
    <n v="2024"/>
    <n v="380"/>
    <n v="-380"/>
    <n v="0"/>
    <n v="5311066.9499999993"/>
    <s v="Trsf"/>
    <s v="Trsf 12/2/25 RM24,000.00(RM380.00)"/>
    <m/>
  </r>
  <r>
    <d v="2024-09-28T00:00:00"/>
    <x v="4"/>
    <x v="5"/>
    <s v="INV00000986"/>
    <s v="C00000042"/>
    <s v="Welltech (M) Sdn Bhd"/>
    <x v="159"/>
    <n v="2"/>
    <s v="Cash"/>
    <n v="0"/>
    <d v="2024-09-28T00:00:00"/>
    <n v="9"/>
    <n v="2024"/>
    <n v="2000"/>
    <n v="-2000"/>
    <n v="0"/>
    <n v="5313066.9499999993"/>
    <s v="Trsf"/>
    <s v="Trsf 12/2/25 RM24,000.00(RM2,000.00)"/>
    <m/>
  </r>
  <r>
    <d v="2024-09-30T00:00:00"/>
    <x v="4"/>
    <x v="5"/>
    <s v="INV00000987"/>
    <s v="C00000044"/>
    <s v="Cash - Encik Razzak"/>
    <x v="188"/>
    <n v="1"/>
    <s v="Cash"/>
    <n v="0"/>
    <d v="2024-09-30T00:00:00"/>
    <n v="9"/>
    <n v="2024"/>
    <n v="1672"/>
    <n v="-1672"/>
    <n v="0"/>
    <n v="5314738.9499999993"/>
    <s v="Cash"/>
    <s v="Trsf 30/9/24 RM2,000.00(RM1,672.00)"/>
    <m/>
  </r>
  <r>
    <d v="2024-09-30T00:00:00"/>
    <x v="4"/>
    <x v="5"/>
    <s v="INV00000987"/>
    <s v="C00000044"/>
    <s v="Cash - Encik Razzak"/>
    <x v="351"/>
    <n v="2"/>
    <s v="Cash"/>
    <n v="0"/>
    <d v="2024-09-30T00:00:00"/>
    <n v="9"/>
    <n v="2024"/>
    <n v="420"/>
    <n v="-420"/>
    <n v="0"/>
    <n v="5315158.9499999993"/>
    <s v="Cash"/>
    <s v="Trsf 30/9/24 RM2,000.00(RM328.00), 22/10/24 RM92.00(rm92.00)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8">
  <r>
    <x v="0"/>
    <n v="12"/>
    <n v="2019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n v="2019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n v="2020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n v="2020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n v="2020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n v="2020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n v="2020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n v="2020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n v="2020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n v="2020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n v="2020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n v="2020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n v="2020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n v="2020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n v="2020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n v="2020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n v="2020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n v="2020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n v="2020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n v="2020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n v="2020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n v="2020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n v="2020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n v="2020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n v="2020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n v="2020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n v="2020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n v="2020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n v="2020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n v="2020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n v="2020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n v="2020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n v="2020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n v="2020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n v="2020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n v="2020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n v="2020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n v="2020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n v="2020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n v="2020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n v="2020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n v="2020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n v="2020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n v="2020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n v="2020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n v="2020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n v="2020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n v="2020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n v="2020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n v="2020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n v="2020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n v="2020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n v="2020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n v="2020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n v="2020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n v="2020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n v="2020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n v="2020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n v="2020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n v="2020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n v="2020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n v="2020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n v="2020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n v="2020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n v="2020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n v="2020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n v="2020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n v="2020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n v="2020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n v="2020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n v="2020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n v="2020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n v="2020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n v="2020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n v="2020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n v="2020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n v="2020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n v="2020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n v="2020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n v="2020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n v="2020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n v="2020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n v="2020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n v="2020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n v="2020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n v="2020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n v="2020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n v="2020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n v="2020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n v="2020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n v="2020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n v="2020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n v="2020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n v="2020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n v="2020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n v="2020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n v="2020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n v="2020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n v="2020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n v="2020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n v="2020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n v="2020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n v="2020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n v="2020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n v="2020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n v="2020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n v="2020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n v="2020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n v="2020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n v="2020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n v="2020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n v="2020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n v="2020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n v="2020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n v="2020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n v="2020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n v="2020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n v="2020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n v="2020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n v="2020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n v="2020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n v="2020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n v="2020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n v="2020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n v="2020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n v="2020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n v="2020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n v="2020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n v="2020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n v="2020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n v="2020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n v="2020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n v="2020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n v="2020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n v="2020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n v="2020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n v="2020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n v="2020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n v="2020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n v="2020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n v="2020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n v="2020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n v="2020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n v="2020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n v="2020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n v="2020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n v="2020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n v="2020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n v="2020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n v="2020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n v="2020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n v="2020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n v="2020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n v="2021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n v="2021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n v="2021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n v="2021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n v="2021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n v="2021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n v="2021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n v="2021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n v="2021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n v="2021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n v="2021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n v="2021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n v="2021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n v="2021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n v="2021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n v="2021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n v="2021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n v="2021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n v="2021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n v="2021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n v="2021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n v="2021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n v="2021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n v="2021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n v="2021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n v="2021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n v="2021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n v="2021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n v="2021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n v="2021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n v="2021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n v="2021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n v="2021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n v="2021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n v="2021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n v="2021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n v="2021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n v="2021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n v="2021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n v="2021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n v="2021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n v="2021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n v="2021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n v="2021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n v="2021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n v="2021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n v="2021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n v="2021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n v="2021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n v="2021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n v="2021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n v="2021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n v="2021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n v="2021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n v="2021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n v="2021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n v="2021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n v="2021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n v="2021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n v="2021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n v="2021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n v="2021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n v="2021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n v="2021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n v="2021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n v="2021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n v="2021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n v="2021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n v="2021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n v="2021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n v="2021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n v="2021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n v="2021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n v="2021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n v="2021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n v="2021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n v="2021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n v="2021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n v="2021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n v="2021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n v="2021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n v="2021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n v="2021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n v="2021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n v="2021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n v="2021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n v="2021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n v="2021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n v="2021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n v="2021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n v="2021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n v="2021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n v="2021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n v="2021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n v="2021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n v="2021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n v="2021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n v="2021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n v="2021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n v="2021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n v="2021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n v="2021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n v="2021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n v="2021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n v="2021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n v="2021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n v="2021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n v="2021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n v="2021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n v="2021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n v="2021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n v="2021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n v="2021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n v="2021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n v="2021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n v="2021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n v="2021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n v="2021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n v="2021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n v="2021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n v="2021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n v="2021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n v="2021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n v="2021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n v="2021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n v="2021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n v="2021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n v="2021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n v="2021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n v="2021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n v="2021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n v="2021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n v="2021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n v="2021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n v="2021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n v="2021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n v="2021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n v="2021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n v="2021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n v="2021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n v="2021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n v="2021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n v="2021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n v="2021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n v="2021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n v="2021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n v="2021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n v="2021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n v="2021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n v="2021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n v="2021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n v="2021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n v="2021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n v="2021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n v="2021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n v="2021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n v="2021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n v="2021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n v="2021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n v="2021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n v="2021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n v="2021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n v="2021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n v="2021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n v="2021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n v="2021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n v="2021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n v="2021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n v="2021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n v="2021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n v="2021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n v="2021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n v="2021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n v="2021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n v="2021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n v="2021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n v="2021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n v="2021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n v="2021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n v="2021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n v="2021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n v="2021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n v="2021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n v="2021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n v="2021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n v="2021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n v="2021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n v="2021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n v="2021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n v="2021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n v="2021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n v="2021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n v="2021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n v="2021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n v="2021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n v="2021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n v="2021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n v="2021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n v="2021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n v="2021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n v="2021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n v="2021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n v="2021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n v="2021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n v="2021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n v="2021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n v="2021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n v="2021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n v="2021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n v="2021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n v="2021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n v="2021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n v="2021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n v="2021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n v="2021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n v="2021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n v="2021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n v="2021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n v="2021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n v="2021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n v="2021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n v="2021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n v="2021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n v="2021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n v="2021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n v="2021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n v="2021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n v="2021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n v="2021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n v="2021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n v="2021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n v="2021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n v="2021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n v="2021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n v="2021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n v="2021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n v="2021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n v="2021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n v="2021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n v="2021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n v="2021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n v="2021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n v="2021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n v="2021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n v="2021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n v="2021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n v="2021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n v="2021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n v="2021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n v="2021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n v="2021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n v="2021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n v="2021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n v="2021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n v="2021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n v="2021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n v="2021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n v="2021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n v="2021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n v="2021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n v="2021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n v="2021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n v="2021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n v="2021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n v="2021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n v="2021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n v="2021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n v="2021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n v="2021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n v="2021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n v="2021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n v="2021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n v="2021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n v="2021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n v="2021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n v="2021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n v="2021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n v="2021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n v="2021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n v="2021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n v="2021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n v="2021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n v="2021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n v="2021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n v="2021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n v="2021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n v="2021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n v="2021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n v="2021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n v="2021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n v="2021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n v="2021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n v="2021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n v="2021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n v="2021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n v="2021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n v="2021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n v="2021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n v="2021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n v="2021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n v="2021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n v="2021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n v="2021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n v="2021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n v="2021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n v="2021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n v="2021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n v="2021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n v="2021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n v="2021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n v="2021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n v="2021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n v="2021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n v="2021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n v="2021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n v="2021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n v="2021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n v="2021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n v="2021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n v="2021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n v="2021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n v="2021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n v="2021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n v="2021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n v="2021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n v="2021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n v="2021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n v="2021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n v="2021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n v="2021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n v="2021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n v="2021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n v="2021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n v="2021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n v="2021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n v="2021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n v="2021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n v="2021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n v="2021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n v="2021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n v="2022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n v="2022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n v="2022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n v="2022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n v="2022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n v="2022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n v="2022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n v="2022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n v="2022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n v="2022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n v="2022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n v="2022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n v="2022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n v="2022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n v="2022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n v="2022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n v="2022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n v="2022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n v="2022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n v="2022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n v="2022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n v="2022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n v="2022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n v="2022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n v="2022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n v="2022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n v="2022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n v="2022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n v="2022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n v="2022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n v="2022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n v="2022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n v="2022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n v="2022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n v="2022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n v="2022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n v="2022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n v="2022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n v="2022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n v="2022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n v="2022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n v="2022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n v="2022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n v="2022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n v="2022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n v="2022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n v="2022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n v="2022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n v="2022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n v="2022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n v="2022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n v="2022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n v="2022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n v="2022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n v="2022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n v="2022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n v="2022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n v="2022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n v="2022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n v="2022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n v="2022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n v="2022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n v="2022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n v="2022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n v="2022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n v="2022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n v="2022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n v="2022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n v="2022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n v="2022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n v="2022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n v="2022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n v="2022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n v="2022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n v="2022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n v="2022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n v="2022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n v="2022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n v="2022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n v="2022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n v="2022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n v="2022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n v="2022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n v="2022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n v="2022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n v="2022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n v="2022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n v="2022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n v="2022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n v="2022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n v="2022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n v="2022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n v="2022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n v="2022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n v="2022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n v="2022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n v="2022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n v="2022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n v="2022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n v="2022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n v="2022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n v="2022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n v="2022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n v="2022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n v="2022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n v="2022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n v="2022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n v="2022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n v="2022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n v="2022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n v="2022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n v="2022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n v="2022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n v="2022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n v="2022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n v="2022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n v="2022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n v="2022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n v="2022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n v="2022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n v="2022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n v="2022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n v="2022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n v="2022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n v="2022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n v="2022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n v="2022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n v="2022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n v="2022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n v="2022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n v="2022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n v="2022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n v="2022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n v="2022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n v="2022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n v="2022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n v="2022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n v="2022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n v="2022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n v="2022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n v="2022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n v="2022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n v="2022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n v="2022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n v="2022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n v="2022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n v="2022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n v="2022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n v="2022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n v="2022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n v="2022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n v="2022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n v="2022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n v="2022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n v="2022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n v="2022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n v="2022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n v="2022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n v="2022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n v="2022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n v="2022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n v="2022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n v="2022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n v="2022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n v="2022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n v="2022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n v="2022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n v="2022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n v="2022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n v="2022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n v="2022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n v="2022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n v="2022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n v="2022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n v="2022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n v="2022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n v="2022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n v="2022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n v="2022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n v="2022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n v="2022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n v="2022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n v="2022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n v="2022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n v="2022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n v="2022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n v="2022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n v="2022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n v="2022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n v="2022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n v="2022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n v="2022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n v="2022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n v="2022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n v="2022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n v="2022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n v="2022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n v="2022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n v="2022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n v="2022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n v="2022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n v="2022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n v="2022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n v="2022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n v="2022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n v="2022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n v="2022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n v="2022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n v="2022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n v="2022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n v="2022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n v="2022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n v="2022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n v="2022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n v="2022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n v="2022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n v="2022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n v="2022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n v="2022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n v="2022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n v="2022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n v="2022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n v="2022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n v="2022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n v="2022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n v="2022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n v="2022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n v="2022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n v="2022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n v="2022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n v="2022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n v="2022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n v="2022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n v="2022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n v="2022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n v="2022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n v="2022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n v="2022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n v="2022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n v="2022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n v="2022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n v="2022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n v="2022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n v="2022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n v="2022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n v="2022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n v="2022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n v="2022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n v="2022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n v="2022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n v="2022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n v="2022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n v="2022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n v="2022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n v="2022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n v="2022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n v="2022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n v="2022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n v="2022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n v="2022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n v="2022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n v="2022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n v="2022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n v="2022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n v="2022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n v="2022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n v="2022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n v="2022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n v="2022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n v="2022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n v="2022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n v="2022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n v="2022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n v="2022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n v="2022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n v="2022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n v="2022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n v="2022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n v="2022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n v="2022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n v="2022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n v="2022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n v="2022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n v="2022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n v="2022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n v="2022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n v="2022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n v="2022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n v="2022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n v="2022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n v="2022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n v="2022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n v="2022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n v="2022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n v="2022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n v="2022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n v="2022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n v="2022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n v="2022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n v="2022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n v="2022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n v="2022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n v="2022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n v="2022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n v="2022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n v="2022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n v="2022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n v="2022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n v="2022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n v="2022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n v="2022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n v="2022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n v="2022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n v="2022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n v="2022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n v="2022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n v="2022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n v="2022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n v="2022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n v="2022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n v="2022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n v="2022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n v="2022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n v="2022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n v="2022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n v="2022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n v="2022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n v="2022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n v="2022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n v="2022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n v="2022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n v="2022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n v="2022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n v="2022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n v="2022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n v="2022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n v="2022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n v="2022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n v="2022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n v="2022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n v="2022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n v="2022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n v="2022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n v="2022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n v="2022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n v="2022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n v="2022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n v="2022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n v="2022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n v="2022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n v="2022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n v="2022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n v="2022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n v="2022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n v="2022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n v="2022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n v="2022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n v="2022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n v="2022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n v="2022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n v="2022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n v="2022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n v="2022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n v="2022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n v="2022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n v="2022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n v="2022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n v="2022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n v="2022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n v="2022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n v="2022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n v="2022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n v="2022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n v="2022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n v="2022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n v="2022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n v="2022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n v="2022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n v="2022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n v="2022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n v="2022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n v="2022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n v="2022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n v="2022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n v="2022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n v="2022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n v="2022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n v="2022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n v="2022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n v="2022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n v="2022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n v="2022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n v="2022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n v="2022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n v="2022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n v="2022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n v="2022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n v="2022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n v="2022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n v="2022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n v="2022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n v="2022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n v="2022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n v="2022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n v="2022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n v="2022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n v="2022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n v="2022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n v="2022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n v="2022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n v="2022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n v="2022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n v="2022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n v="2022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n v="2022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n v="2022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n v="2022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n v="2022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n v="2022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n v="2022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n v="2022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n v="2022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n v="2022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n v="2022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n v="2022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n v="2022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n v="2022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n v="2022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n v="2022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n v="2022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n v="2022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n v="2022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n v="2022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n v="2022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n v="2022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n v="2022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n v="2022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n v="2022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n v="2022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n v="2022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n v="2022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n v="2022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n v="2022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n v="2022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n v="2022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n v="2022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n v="2022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n v="2022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n v="2022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n v="2022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n v="2022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n v="2022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n v="2022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n v="2022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n v="2022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n v="2022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n v="2022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n v="2022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n v="2022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n v="2022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n v="2022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n v="2022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n v="2022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n v="2022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n v="2022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n v="2022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n v="2022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n v="2022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n v="2022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n v="2022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n v="2022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n v="2022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n v="2022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n v="2022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n v="2022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n v="2022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n v="2022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n v="2022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n v="2022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n v="2022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n v="2022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n v="2022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n v="2022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n v="2022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n v="2022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n v="2022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n v="2022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n v="2022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n v="2022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n v="2022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n v="2022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n v="2022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n v="2022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n v="2022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n v="2022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n v="2022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n v="2022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n v="2022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n v="2022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n v="2022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n v="2022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n v="2022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n v="2022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n v="2022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n v="2022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n v="2022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n v="2022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n v="2022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n v="2022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n v="2022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n v="2022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n v="2022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n v="2022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n v="2022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n v="2022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n v="2022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n v="2022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n v="2022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n v="2022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n v="2022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n v="2022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n v="2022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n v="2022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n v="2022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n v="2022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n v="2022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n v="2022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n v="2022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n v="2022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n v="2022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n v="2022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n v="2022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n v="2022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n v="2022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n v="2022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n v="2022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n v="2022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n v="2022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n v="2022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n v="2022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n v="2022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n v="2022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n v="2022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n v="2022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n v="2022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n v="2022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n v="2022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n v="2022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n v="2022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n v="2022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n v="2022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n v="2022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n v="2022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n v="2022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n v="2022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n v="2022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n v="2022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n v="2022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n v="2022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n v="2022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n v="2022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n v="2022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n v="2022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n v="2022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n v="2022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n v="2022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n v="2022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n v="2022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n v="2022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n v="2022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n v="2022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n v="2022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n v="2022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n v="2022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n v="2022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n v="2022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n v="2022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n v="2022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n v="2022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n v="2022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n v="2022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n v="2022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n v="2022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n v="2022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n v="2022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n v="2022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n v="2022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n v="2022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n v="2022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n v="2022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n v="2022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n v="2022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n v="2022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n v="2022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n v="2022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n v="2022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n v="2022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n v="2022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n v="2022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n v="2022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n v="2022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n v="2022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n v="2022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n v="2022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n v="2022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n v="2022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n v="2022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n v="2022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n v="2022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n v="2022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n v="2022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n v="2022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n v="2022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n v="2022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n v="2022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n v="2022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n v="2022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n v="2022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n v="2022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n v="2022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n v="2022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n v="2022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n v="2022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n v="2022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n v="2022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n v="2022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n v="2022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n v="2022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n v="2022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n v="2022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n v="2022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n v="2022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n v="2022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n v="2022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n v="2022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n v="2022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n v="2022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n v="2022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n v="2022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n v="2022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n v="2022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n v="2022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n v="2022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n v="2022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n v="2022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n v="2022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n v="2022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n v="2022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n v="2022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n v="2022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n v="2022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n v="2022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n v="2022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n v="2022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n v="2022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n v="2022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n v="2022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n v="2022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n v="2022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n v="2022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n v="2022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n v="2022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n v="2022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n v="2022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n v="2022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n v="2022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n v="2022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n v="2022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n v="2022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n v="2022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n v="2022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n v="2022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n v="2022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n v="2022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n v="2022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n v="2022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n v="2022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n v="2022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n v="2022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n v="2022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n v="2022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n v="2022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n v="2022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n v="2022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n v="2022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n v="2022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n v="2022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n v="2022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n v="2022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n v="2022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n v="2022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n v="2022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n v="2022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n v="2022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n v="2022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n v="2022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n v="2022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n v="2022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n v="2022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n v="2022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n v="2022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n v="2022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n v="2022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n v="2022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n v="2022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n v="2022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n v="2022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n v="2022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n v="2022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n v="2022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n v="2022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n v="2022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n v="2022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n v="2022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n v="2022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n v="2022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n v="2022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n v="2022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n v="2022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n v="2022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n v="2022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n v="2022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n v="2022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n v="2022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n v="2022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n v="2022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n v="2022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n v="2022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n v="2022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n v="2022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n v="2022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n v="2022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n v="2022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n v="2022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n v="2022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n v="2022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n v="2022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n v="2022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n v="2022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n v="2022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n v="2022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n v="2022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n v="2022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n v="2022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n v="2022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n v="2022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n v="2022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n v="2022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n v="2022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n v="2022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n v="2022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n v="2022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n v="2022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n v="2022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n v="2022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n v="2022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n v="2022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n v="2022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n v="2022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n v="2022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n v="2022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n v="2022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n v="2022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n v="2022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n v="2022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n v="2022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n v="2022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n v="2022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n v="2022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n v="2022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n v="2022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n v="2022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n v="2022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n v="2022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n v="2022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n v="2023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n v="2023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n v="2023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n v="2023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n v="2023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n v="2023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n v="2023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n v="2023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n v="2023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n v="2023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n v="2023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n v="2023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n v="2023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n v="2023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n v="2023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n v="2023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n v="2023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n v="2023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n v="2023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n v="2023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n v="2023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n v="2023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n v="2023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n v="2023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n v="2023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n v="2023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n v="2023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n v="2023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n v="2023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n v="2023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n v="2023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n v="2023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n v="2023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n v="2023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n v="2023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n v="2023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n v="2023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n v="2023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n v="2023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n v="2023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n v="2023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n v="2023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n v="2023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n v="2023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n v="2023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n v="2023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n v="2023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n v="2023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n v="2023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n v="2023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n v="2023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n v="2023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n v="2023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n v="2023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n v="2023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n v="2023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n v="2023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n v="2023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n v="2023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n v="2023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n v="2023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n v="2023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n v="2023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n v="2023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n v="2023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n v="2023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n v="2023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n v="2023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n v="2023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n v="2023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n v="2023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n v="2023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n v="2023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n v="2023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n v="2023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n v="2023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n v="2023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n v="2023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n v="2023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n v="2023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n v="2023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n v="2023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n v="2023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n v="2023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n v="2023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n v="2023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n v="2023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n v="2023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n v="2023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n v="2023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n v="2023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n v="2023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n v="2023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n v="2023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n v="2023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n v="2023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n v="2023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n v="2023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n v="2023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n v="2023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n v="2023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n v="2023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n v="2023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n v="2023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n v="2023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n v="2023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n v="2023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n v="2023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n v="2023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n v="2023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n v="2023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n v="2023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n v="2023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n v="2023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n v="2023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n v="2023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n v="2023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n v="2023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n v="2023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n v="2023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n v="2023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n v="2023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n v="2023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n v="2023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n v="2023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n v="2023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n v="2023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n v="2023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n v="2023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n v="2023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n v="2023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n v="2023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n v="2023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n v="2023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n v="2023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n v="2023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n v="2023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n v="2023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n v="2023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n v="2023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n v="2023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n v="2023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n v="2023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n v="2023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n v="2023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n v="2023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n v="2023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n v="2023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n v="2023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n v="2023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n v="2023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n v="2023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n v="2023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n v="2023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n v="2023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n v="2023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n v="2023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n v="2023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n v="2023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n v="2023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n v="2023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n v="2023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n v="2023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n v="2023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n v="2023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n v="2023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n v="2023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n v="2023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n v="2023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n v="2023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n v="2023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n v="2023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n v="2023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n v="2023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n v="2023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n v="2023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n v="2023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n v="2023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n v="2023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n v="2023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n v="2023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n v="2023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n v="2023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n v="2023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n v="2023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n v="2023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n v="2023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n v="2023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n v="2023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n v="2023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n v="2023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n v="2023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n v="2023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n v="2023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n v="2023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n v="2023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n v="2023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n v="2023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n v="2023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n v="2023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n v="2023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n v="2023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n v="2023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n v="2023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n v="2023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n v="2023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n v="2023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n v="2023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n v="2023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n v="2023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n v="2023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n v="2023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n v="2023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n v="2023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n v="2023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n v="2023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n v="2023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n v="2023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n v="2023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n v="2023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n v="2023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n v="2023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n v="2023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n v="2023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n v="2023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n v="2023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n v="2023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n v="2023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n v="2023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n v="2023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n v="2023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n v="2023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n v="2023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n v="2023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n v="2023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n v="2023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n v="2023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n v="2023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n v="2023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n v="2023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n v="2023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n v="2023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n v="2023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n v="2023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n v="2023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n v="2023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n v="2023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n v="2023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n v="2023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n v="2023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n v="2023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n v="2023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n v="2023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n v="2023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n v="2023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n v="2023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n v="2023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n v="2023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n v="2023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n v="2023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n v="2023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n v="2023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n v="2023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n v="2023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n v="2023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n v="2023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n v="2023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n v="2023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n v="2023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n v="2023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n v="2023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n v="2023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n v="2023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n v="2023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n v="2023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n v="2023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n v="2023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n v="2023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n v="2023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n v="2023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n v="2023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n v="2023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n v="2023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n v="2023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n v="2023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n v="2023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n v="2023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n v="2023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n v="2023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n v="2023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n v="2023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n v="2023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n v="2023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n v="2023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n v="2023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n v="2023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n v="2023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n v="2023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n v="2023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n v="2023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n v="2023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n v="2023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n v="2023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n v="2023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n v="2023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n v="2023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n v="2023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n v="2023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n v="2023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n v="2023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n v="2023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n v="2023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n v="2023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n v="2023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n v="2023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n v="2023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n v="2023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n v="2023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n v="2023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n v="2023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n v="2023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n v="2023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n v="2023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n v="2023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n v="2023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n v="2023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n v="2023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n v="2023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n v="2023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n v="2023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n v="2023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n v="2023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n v="2023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n v="2023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n v="2023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n v="2023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n v="2023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n v="2023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n v="2023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n v="2023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n v="2023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n v="2023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n v="2023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n v="2023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n v="2023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n v="2023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n v="2023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n v="2023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n v="2023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n v="2023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n v="2023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n v="2023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n v="2023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n v="2023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n v="2023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n v="2023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n v="2023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n v="2023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n v="2023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n v="2023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n v="2023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n v="2023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n v="2023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n v="2023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n v="2023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n v="2023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n v="2023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n v="2023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n v="2023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n v="2023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n v="2023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n v="2023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n v="2023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n v="2023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n v="2023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n v="2023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n v="2023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n v="2023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n v="2023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n v="2023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n v="2023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n v="2023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n v="2023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n v="2023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n v="2023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n v="2023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n v="2023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n v="2023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n v="2023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n v="2023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n v="2023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n v="2023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n v="2023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n v="2023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n v="2023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n v="2023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n v="2023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n v="2023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n v="2023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n v="2023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n v="2023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n v="2023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n v="2023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n v="2023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n v="2023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n v="2023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n v="2023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n v="2023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n v="2023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n v="2023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n v="2023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n v="2023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n v="2023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n v="2023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n v="2023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n v="2023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n v="2023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n v="2023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n v="2023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n v="2023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n v="2023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n v="2023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n v="2023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n v="2023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n v="2023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n v="2023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n v="2023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n v="2023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n v="2023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n v="2023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n v="2023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n v="2023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n v="2023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n v="2023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n v="2023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n v="2023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n v="2023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n v="2023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n v="2023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n v="2023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n v="2023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n v="2023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n v="2023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n v="2023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n v="2023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n v="2023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n v="2023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n v="2023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n v="2023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n v="2023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n v="2023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n v="2023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n v="2023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n v="2023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n v="2023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n v="2023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n v="2023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n v="2023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n v="2023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n v="2023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n v="2023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n v="2023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n v="2023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n v="2023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n v="2023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n v="2023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n v="2023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n v="2023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n v="2023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n v="2023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n v="2023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n v="2023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n v="2023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n v="2023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n v="2023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n v="2023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n v="2023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n v="2023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n v="2023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n v="2023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n v="2023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n v="2023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n v="2023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n v="2023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n v="2023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n v="2023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n v="2023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n v="2023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n v="2023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n v="2023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n v="2023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n v="2023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n v="2023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n v="2023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n v="2023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n v="2023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n v="2023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n v="2023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n v="2023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n v="2023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n v="2023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n v="2023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n v="2023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n v="2023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n v="2023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n v="2023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n v="2023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n v="2023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n v="2023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n v="2023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n v="2023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n v="2023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n v="2023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n v="2023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n v="2023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n v="2023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n v="2023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n v="2023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n v="2023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n v="2023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n v="2023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n v="2023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n v="2023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n v="2023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n v="2023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n v="2023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n v="2023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n v="2023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n v="2023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n v="2023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n v="2023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n v="2023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n v="2023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n v="2023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n v="2023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n v="2023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n v="2023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n v="2023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n v="2023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n v="2023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n v="2023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n v="2023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n v="2023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n v="2023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n v="2023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n v="2023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n v="2023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n v="2023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n v="2023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n v="2023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n v="2023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n v="2023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n v="2023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n v="2023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n v="2023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n v="2023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n v="2023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n v="2023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n v="2023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n v="2023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n v="2023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n v="2023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n v="2023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n v="2023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n v="2023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n v="2023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n v="2023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n v="2023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n v="2023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n v="2023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n v="2023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n v="2023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n v="2023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n v="2023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n v="2023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n v="2023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n v="2023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n v="2023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n v="2023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n v="2023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n v="2023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n v="2023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n v="2023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n v="2023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n v="2023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n v="2023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n v="2023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n v="2023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n v="2023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n v="2023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n v="2023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n v="2023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n v="2023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n v="2023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n v="2023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n v="2023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n v="2023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n v="2023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n v="2023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n v="2023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n v="2023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n v="2023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n v="2023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n v="2023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n v="2023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n v="2023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n v="2023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n v="2023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n v="2023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n v="2023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n v="2023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n v="2023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n v="2023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n v="2023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n v="2023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n v="2023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n v="2023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n v="2023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n v="2023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n v="2023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n v="2023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n v="2023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n v="2023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n v="2023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n v="2023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n v="2023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n v="2023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n v="2023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n v="2023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n v="2023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n v="2023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n v="2023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n v="2023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n v="2023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n v="2023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n v="2023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n v="2023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n v="2023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n v="2023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n v="2023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n v="2023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n v="2023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n v="2023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n v="2023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n v="2023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n v="2023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n v="2023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n v="2023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n v="2023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n v="2023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n v="2023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n v="2023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n v="2023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n v="2023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n v="2023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n v="2023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n v="2023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n v="2023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n v="2023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n v="2023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n v="2023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n v="2023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n v="2023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n v="2023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n v="2023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n v="2023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n v="2023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n v="2023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n v="2023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n v="2023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n v="2023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n v="2023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n v="2023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n v="2023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n v="2023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n v="2023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n v="2023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n v="2023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n v="2023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n v="2023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n v="2023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n v="2023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n v="2023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n v="2023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n v="2023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n v="2023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n v="2023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n v="2023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n v="2023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n v="2023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n v="2023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n v="2023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n v="2023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n v="2023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n v="2023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n v="2023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n v="2023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n v="2023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n v="2023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n v="2023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n v="2023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n v="2023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n v="2023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n v="2023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n v="2023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n v="2023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n v="2023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n v="2023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n v="2023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n v="2023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n v="2023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n v="2023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n v="2023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n v="2023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n v="2023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n v="2023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n v="2023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n v="2023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n v="2023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n v="2023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n v="2023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n v="2023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n v="2023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n v="2023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n v="2023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n v="2023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n v="2023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n v="2023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n v="2023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n v="2023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n v="2023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n v="2023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n v="2023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n v="2023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n v="2023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n v="2023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n v="2023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n v="2023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n v="2023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n v="2023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n v="2023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n v="2023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n v="2023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n v="2023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n v="2023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n v="2023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n v="2023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n v="2023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n v="2023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n v="2023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n v="2023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n v="2023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n v="2023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n v="2023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n v="2023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n v="2023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n v="2023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n v="2023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n v="2023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n v="2023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n v="2023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n v="2023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n v="2023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n v="2023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n v="2023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n v="2023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n v="2023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n v="2023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n v="2023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n v="2023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n v="2023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n v="2023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n v="2023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n v="2023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n v="2023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n v="2023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n v="2023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n v="2023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n v="2023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n v="2023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n v="2023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n v="2023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n v="2023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n v="2023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n v="2023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n v="2023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n v="2023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n v="2023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n v="2023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n v="2023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n v="2023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n v="2023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n v="2023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n v="2023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n v="2023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n v="2023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n v="2023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n v="2023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n v="2023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n v="2023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n v="2023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n v="2023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n v="2023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n v="2023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n v="2023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n v="2023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n v="2023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n v="2023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n v="2023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n v="2023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n v="2023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n v="2023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n v="2023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n v="2023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n v="2023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n v="2023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n v="2023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n v="2023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n v="2023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n v="2023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n v="2023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n v="2023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n v="2023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n v="2023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n v="2023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n v="2023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n v="2023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n v="2023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n v="2023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n v="2023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n v="2023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n v="2023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n v="2023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n v="2023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n v="2023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n v="2023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n v="2023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n v="2023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n v="2023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n v="2023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n v="2023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n v="2023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n v="2023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n v="2023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n v="2023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n v="2023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n v="2023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n v="2023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n v="2023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n v="2023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n v="2023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n v="2023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n v="2023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n v="2023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n v="2023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n v="2023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n v="2023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n v="2023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n v="2023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n v="2023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n v="2023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n v="2023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n v="2023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n v="2023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n v="2023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n v="2023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n v="2023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n v="2023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n v="2023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n v="2023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n v="2023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n v="2023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n v="2023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n v="2023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n v="2023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n v="2023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n v="2023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n v="2023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n v="2023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n v="2023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n v="2023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n v="2023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n v="2023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n v="2023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n v="2023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n v="2023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n v="2023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n v="2023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n v="2023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n v="2023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n v="2023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n v="2023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n v="2023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n v="2023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n v="2023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n v="2023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n v="2023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n v="2023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n v="2023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n v="2023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n v="2023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n v="2023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n v="2023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n v="2023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n v="2023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n v="2023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n v="2023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n v="2023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n v="2023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n v="2023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n v="2023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n v="2023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n v="2023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n v="2023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n v="2023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n v="2023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n v="2023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n v="2023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n v="2023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n v="2023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n v="2023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n v="2023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n v="2023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n v="2023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n v="2023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n v="2023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n v="2023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n v="2023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n v="2023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n v="2023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n v="2023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n v="2023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n v="2023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n v="2023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n v="2023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n v="2023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n v="2023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n v="2023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n v="2023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n v="2023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n v="2023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n v="2023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n v="2023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n v="2023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n v="2023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n v="2023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n v="2023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n v="2023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n v="2023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n v="2023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n v="2023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n v="2023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n v="2023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n v="2023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n v="2023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n v="2023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n v="2023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n v="2023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n v="2023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n v="2023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n v="2023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n v="2023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n v="2023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n v="2023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n v="2023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n v="2023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n v="2023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n v="2023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n v="2023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n v="2023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n v="2023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n v="2023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n v="2023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n v="2023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n v="2023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n v="2023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n v="2023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n v="2023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n v="2023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n v="2023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n v="2023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n v="2023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n v="2023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n v="2023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n v="2023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n v="2023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n v="2023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n v="2023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n v="2023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n v="2023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n v="2023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n v="2023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n v="2023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n v="2023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n v="2023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n v="2023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n v="2023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n v="2023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n v="2023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n v="2023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n v="2023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n v="2023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n v="2023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n v="2023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n v="2023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n v="2023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n v="2023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n v="2023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n v="2023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n v="2023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n v="2023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n v="2023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n v="2023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n v="2023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n v="2023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n v="2023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n v="2023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n v="2023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n v="2023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n v="2023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n v="2023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n v="2023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n v="2023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n v="2023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n v="2023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n v="2023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n v="2023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n v="2023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n v="2023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n v="2023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n v="2023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n v="2023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n v="2023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n v="2023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n v="2023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n v="2023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n v="2023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n v="2023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n v="2023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n v="2023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n v="2023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n v="2023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n v="2023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n v="2023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n v="2023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n v="2023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n v="2023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n v="2023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n v="2023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n v="2023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n v="2023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n v="2023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n v="2023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n v="2023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n v="2023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n v="2023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n v="2023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n v="2023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n v="2023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n v="2023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n v="2023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n v="2023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n v="2023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n v="2023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n v="2023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n v="2023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n v="2023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n v="2023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n v="2023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n v="2023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n v="2023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n v="2023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n v="2023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n v="2023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n v="2023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n v="2023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n v="2023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n v="2023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n v="2023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n v="2023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n v="2023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n v="2023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n v="2023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n v="2023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n v="2023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n v="2023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n v="2023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n v="2023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n v="2023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n v="2023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n v="2023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n v="2023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n v="2023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n v="2023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n v="2023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n v="2023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n v="2023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n v="2023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n v="2023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n v="2023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n v="2023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n v="2023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n v="2023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n v="2023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n v="2023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n v="2023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n v="2023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n v="2023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n v="2023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n v="2023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n v="2023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n v="2023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n v="2023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n v="2023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n v="2023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n v="2023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n v="2023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n v="2023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n v="2023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n v="2023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n v="2023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n v="2023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n v="2023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n v="2023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n v="2023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n v="2023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n v="2023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n v="2023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n v="2023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n v="2023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n v="2023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n v="2023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n v="2023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n v="2023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n v="2023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n v="2023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n v="2023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n v="2023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n v="2023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n v="2023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n v="2023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n v="2023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n v="2023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n v="2023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n v="2023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n v="2023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n v="2023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n v="2023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n v="2023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n v="2023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n v="2023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n v="2023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n v="2023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n v="2023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n v="2023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n v="2023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n v="2023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n v="2023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n v="2023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n v="2023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n v="2023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n v="2023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n v="2023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n v="2023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n v="2023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n v="2023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n v="2023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n v="2023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n v="2023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n v="2023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n v="2023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n v="2023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n v="2023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n v="2023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n v="2023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n v="2023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n v="2023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n v="2023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n v="2023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n v="2023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n v="2023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n v="2023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n v="2023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n v="2023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n v="2023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n v="2023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n v="2023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n v="2023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n v="2023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n v="2023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n v="2023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n v="2023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n v="2023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n v="2023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n v="2023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n v="2023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n v="2023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n v="2023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n v="2023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n v="2023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n v="2023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n v="2023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n v="2023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n v="2023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n v="2023"/>
    <x v="757"/>
    <s v="C00000021"/>
    <x v="21"/>
    <s v="RA Resin 3317AW (220Kg)"/>
    <n v="1"/>
    <s v="Cash"/>
    <x v="0"/>
    <d v="2023-12-22T00:00:00"/>
    <x v="0"/>
    <x v="5"/>
    <n v="1738"/>
    <n v="-1738"/>
    <n v="0"/>
    <n v="4048712.1500000018"/>
    <s v="PD Chq"/>
    <s v="Trsf 7/7/24, RM2,145.50"/>
    <m/>
  </r>
  <r>
    <x v="499"/>
    <n v="12"/>
    <n v="2023"/>
    <x v="757"/>
    <s v="C00000021"/>
    <x v="21"/>
    <s v="RA Mepoxe (5kg)"/>
    <n v="1"/>
    <s v="Cash"/>
    <x v="0"/>
    <d v="2023-12-22T00:00:00"/>
    <x v="0"/>
    <x v="5"/>
    <n v="95"/>
    <n v="-95"/>
    <n v="0"/>
    <n v="4048807.1500000018"/>
    <s v="PD Chq"/>
    <s v="Trsf 7/7/24, RM2,145.50"/>
    <m/>
  </r>
  <r>
    <x v="499"/>
    <n v="12"/>
    <n v="2023"/>
    <x v="757"/>
    <s v="C00000021"/>
    <x v="21"/>
    <s v="RP Talcum Powder (25Kg)"/>
    <n v="5"/>
    <s v="Cash"/>
    <x v="0"/>
    <d v="2023-12-22T00:00:00"/>
    <x v="0"/>
    <x v="5"/>
    <n v="312.5"/>
    <n v="-312.5"/>
    <n v="0"/>
    <n v="4049119.6500000018"/>
    <s v="PD Chq"/>
    <s v="Trsf 7/7/24, RM2,145.50"/>
    <m/>
  </r>
  <r>
    <x v="500"/>
    <n v="12"/>
    <n v="2023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n v="2023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n v="2023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n v="2023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n v="2023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n v="2023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n v="2023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n v="2023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n v="2023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n v="2023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n v="2023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n v="2023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n v="2023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n v="2023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n v="2023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n v="2023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n v="2023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n v="2023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n v="2023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n v="2023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n v="2024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n v="2024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n v="2024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n v="2024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n v="2024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n v="2024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n v="2024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n v="2024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n v="2024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n v="2024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n v="2024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n v="2024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n v="2024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n v="2024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n v="2024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n v="2024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n v="2024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n v="2024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n v="2024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n v="2024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n v="2024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n v="2024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n v="2024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n v="2024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n v="2024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n v="2024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n v="2024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n v="2024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n v="2024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n v="2024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n v="2024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n v="2024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n v="2024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n v="2024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n v="2024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n v="2024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n v="2024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n v="2024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n v="2024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n v="2024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n v="2024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n v="2024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n v="2024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n v="2024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n v="2024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n v="2024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n v="2024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n v="2024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n v="2024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n v="2024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n v="2024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n v="2024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n v="2024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n v="2024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n v="2024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n v="2024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n v="2024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n v="2024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n v="2024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n v="2024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n v="2024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n v="2024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n v="2024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n v="2024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n v="2024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n v="2024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n v="2024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n v="2024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n v="2024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n v="2024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n v="2024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n v="2024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n v="2024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n v="2024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n v="2024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n v="2024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n v="2024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n v="2024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n v="2024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n v="2024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n v="2024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n v="2024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n v="2024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n v="2024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n v="2024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n v="2024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n v="2024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n v="2024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n v="2024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n v="2024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n v="2024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n v="2024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n v="2024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n v="2024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n v="2024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n v="2024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n v="2024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n v="2024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n v="2024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n v="2024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n v="2024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n v="2024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n v="2024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n v="2024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n v="2024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n v="2024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n v="2024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n v="2024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n v="2024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n v="2024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n v="2024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n v="2024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n v="2024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n v="2024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n v="2024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n v="2024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n v="2024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n v="2024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n v="2024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n v="2024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n v="2024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n v="2024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n v="2024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n v="2024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n v="2024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n v="2024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n v="2024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n v="2024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n v="2024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n v="2024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n v="2024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n v="2024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n v="2024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n v="2024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n v="2024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n v="2024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n v="2024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n v="2024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n v="2024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n v="2024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n v="2024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n v="2024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n v="2024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n v="2024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n v="2024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n v="2024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n v="2024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n v="2024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n v="2024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n v="2024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n v="2024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n v="2024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n v="2024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n v="2024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n v="2024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n v="2024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n v="2024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n v="2024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n v="2024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n v="2024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n v="2024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n v="2024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n v="2024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n v="2024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n v="2024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n v="2024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n v="2024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n v="2024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n v="2024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n v="2024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n v="2024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n v="2024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n v="2024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n v="2024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n v="2024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n v="2024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n v="2024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n v="2024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n v="2024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n v="2024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n v="2024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n v="2024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n v="2024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n v="2024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n v="2024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n v="2024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n v="2024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n v="2024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n v="2024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n v="2024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n v="2024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n v="2024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n v="2024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n v="2024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n v="2024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n v="2024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n v="2024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n v="2024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n v="2024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n v="2024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n v="2024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n v="2024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n v="2024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n v="2024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n v="2024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n v="2024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n v="2024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n v="2024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n v="2024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n v="2024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n v="2024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n v="2024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n v="2024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n v="2024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n v="2024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n v="2024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n v="2024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n v="2024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n v="2024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n v="2024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n v="2024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n v="2024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n v="2024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n v="2024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n v="2024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n v="2024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n v="2024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n v="2024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n v="2024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n v="2024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n v="2024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n v="2024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n v="2024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n v="2024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n v="2024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n v="2024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n v="2024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n v="2024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n v="2024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n v="2024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n v="2024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n v="2024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n v="2024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n v="2024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n v="2024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n v="2024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n v="2024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n v="2024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n v="2024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n v="2024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n v="2024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n v="2024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n v="2024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n v="2024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n v="2024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n v="2024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n v="2024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n v="2024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n v="2024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n v="2024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n v="2024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n v="2024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n v="2024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n v="2024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n v="2024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n v="2024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n v="2024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n v="2024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n v="2024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n v="2024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n v="2024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n v="2024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n v="2024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n v="2024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n v="2024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n v="2024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n v="2024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n v="2024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n v="2024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n v="2024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n v="2024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n v="2024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n v="2024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n v="2024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n v="2024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n v="2024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n v="2024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n v="2024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n v="2024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n v="2024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n v="2024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n v="2024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n v="2024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n v="2024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n v="2024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n v="2024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n v="2024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n v="2024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n v="2024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n v="2024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n v="2024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n v="2024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n v="2024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n v="2024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n v="2024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n v="2024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n v="2024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n v="2024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n v="2024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n v="2024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n v="2024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n v="2024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n v="2024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n v="2024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n v="2024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n v="2024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n v="2024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n v="2024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n v="2024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n v="2024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n v="2024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n v="2024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n v="2024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n v="2024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n v="2024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n v="2024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n v="2024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n v="2024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n v="2024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n v="2024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n v="2024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n v="2024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n v="2024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n v="2024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n v="2024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n v="2024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n v="2024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n v="2024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n v="2024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n v="2024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n v="2024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n v="2024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n v="2024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n v="2024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n v="2024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n v="2024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n v="2024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n v="2024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n v="2024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n v="2024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n v="2024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n v="2024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n v="2024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n v="2024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n v="2024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n v="2024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n v="2024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n v="2024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n v="2024"/>
    <x v="870"/>
    <s v="C00000019"/>
    <x v="18"/>
    <s v="RA Nor 3338W (220Kg)"/>
    <n v="1"/>
    <s v="Cash"/>
    <x v="0"/>
    <d v="2024-05-10T00:00:00"/>
    <x v="12"/>
    <x v="6"/>
    <n v="1760"/>
    <n v="-1760"/>
    <n v="0"/>
    <n v="4570933.75"/>
    <s v="Trsf"/>
    <s v="Trsf 18/6/25 RM1,500.00(RM302.70), 1/7/25 RM700.00(RM700.00), 13/7/25 RM500.00(RM500.00), 14/7/25 RM500.00(RM257.30)"/>
    <m/>
  </r>
  <r>
    <x v="566"/>
    <n v="5"/>
    <n v="2024"/>
    <x v="870"/>
    <s v="C00000019"/>
    <x v="18"/>
    <s v="RO CSM 450 1860mm(W) (54kg)"/>
    <n v="1"/>
    <s v="Cash"/>
    <x v="0"/>
    <d v="2024-05-10T00:00:00"/>
    <x v="12"/>
    <x v="6"/>
    <n v="405"/>
    <n v="-405"/>
    <n v="0"/>
    <n v="4573232.75"/>
    <s v="Trsf"/>
    <s v="Trsf 14/7/25 RM500.00(RM242.70), 15/7/25 RM500.00(RM162.30)"/>
    <m/>
  </r>
  <r>
    <x v="566"/>
    <n v="5"/>
    <n v="2024"/>
    <x v="870"/>
    <s v="C00000019"/>
    <x v="18"/>
    <s v="RM Talcum Powder (25kg)"/>
    <n v="3"/>
    <s v="Cash"/>
    <x v="0"/>
    <d v="2024-05-10T00:00:00"/>
    <x v="12"/>
    <x v="6"/>
    <n v="187.5"/>
    <n v="-187.5"/>
    <n v="0"/>
    <n v="4574887.25"/>
    <s v="Trsf"/>
    <s v="Trsf 15/7/25 RM500.00(RM187.50)"/>
    <m/>
  </r>
  <r>
    <x v="566"/>
    <n v="5"/>
    <n v="2024"/>
    <x v="870"/>
    <s v="C00000019"/>
    <x v="18"/>
    <s v="RM Pigment Super Black PE30 (5kg)"/>
    <n v="1"/>
    <s v="Cash"/>
    <x v="0"/>
    <d v="2024-05-10T00:00:00"/>
    <x v="12"/>
    <x v="6"/>
    <n v="160"/>
    <n v="-160"/>
    <n v="0"/>
    <n v="4575859.75"/>
    <s v="Trsf"/>
    <s v="Trsf 15/7/25 RM500.00(RM150.20), 21/7/25 RM500.00(RM9.80)"/>
    <m/>
  </r>
  <r>
    <x v="566"/>
    <n v="5"/>
    <n v="2024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n v="2024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n v="2024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n v="2024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n v="2024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n v="2024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n v="2024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n v="2024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n v="2024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n v="2024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n v="2024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n v="2024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n v="2024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n v="2024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n v="2024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n v="2024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n v="2024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n v="2024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n v="2024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n v="2024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n v="2024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n v="2024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n v="2024"/>
    <x v="877"/>
    <s v="C00000019"/>
    <x v="18"/>
    <s v="RM Nor 3338W (220Kg)"/>
    <n v="1"/>
    <s v="Cash"/>
    <x v="0"/>
    <d v="2024-05-28T00:00:00"/>
    <x v="12"/>
    <x v="6"/>
    <n v="1760"/>
    <n v="-1760"/>
    <n v="0"/>
    <n v="4550759.75"/>
    <s v="Trsf"/>
    <s v="Trsf 21/7/25 RM500.00(RM490.20), 27/7/25 RM500.00(RM500.00), 28/7/25 RM500.00(RM500.00), 29/7/25 RM500.00(269.80)"/>
    <m/>
  </r>
  <r>
    <x v="571"/>
    <n v="5"/>
    <n v="2024"/>
    <x v="877"/>
    <s v="C00000019"/>
    <x v="18"/>
    <s v="RM CSM 450 1860mm(W) (54kg)"/>
    <n v="1"/>
    <s v="Cash"/>
    <x v="0"/>
    <d v="2024-05-28T00:00:00"/>
    <x v="12"/>
    <x v="6"/>
    <n v="405"/>
    <n v="-230.2"/>
    <n v="174.8"/>
    <n v="4554218.25"/>
    <s v="Trsf"/>
    <s v="Trsf 29/7/25 RM500(RM230.20)"/>
    <m/>
  </r>
  <r>
    <x v="571"/>
    <n v="5"/>
    <n v="2024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n v="2024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n v="2024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n v="2024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n v="2024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n v="2024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n v="2024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n v="2024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n v="2024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n v="2024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n v="2024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n v="2024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n v="2024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n v="2024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n v="2024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n v="2024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n v="2024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n v="2024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n v="2024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n v="2024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n v="2024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n v="2024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n v="2024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n v="2024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n v="2024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n v="2024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n v="2024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n v="2024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n v="2024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n v="2024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n v="2024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n v="2024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n v="2024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n v="2024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n v="2024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n v="2024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n v="2024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n v="2024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n v="2024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n v="2024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n v="2024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n v="2024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n v="2024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n v="2024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n v="2024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n v="2024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n v="2024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n v="2024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n v="2024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n v="2024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n v="2024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n v="2024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n v="2024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n v="2024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n v="2024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n v="2024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n v="2024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n v="2024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n v="2024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n v="2024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n v="2024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n v="2024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n v="2024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n v="2024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n v="2024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n v="2024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n v="2024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n v="2024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n v="2024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n v="2024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n v="2024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n v="2024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n v="2024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n v="2024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n v="2024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n v="2024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n v="2024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n v="2024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n v="2024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n v="2024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n v="2024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n v="2024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n v="2024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n v="2024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n v="2024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n v="2024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n v="2024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n v="2024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n v="2024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n v="2024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n v="2024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n v="2024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n v="2024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n v="2024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n v="2024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n v="2024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n v="2024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n v="2024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n v="2024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n v="2024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n v="2024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n v="2024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n v="2024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n v="2024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n v="2024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n v="2024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n v="2024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n v="2024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n v="2024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n v="2024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n v="2024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n v="2024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n v="2024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n v="2024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n v="2024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n v="2024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n v="2024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n v="2024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n v="2024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n v="2024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n v="2024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n v="2024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n v="2024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n v="2024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n v="2024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n v="2024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n v="2024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n v="2024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n v="2024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n v="2024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n v="2024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n v="2024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n v="2024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n v="2024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n v="2024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n v="2024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n v="2024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n v="2024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n v="2024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n v="2024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n v="2024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n v="2024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n v="2024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n v="2024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n v="2024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n v="2024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n v="2024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n v="2024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n v="2024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n v="2024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n v="2024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n v="2024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n v="2024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n v="2024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n v="2024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n v="2024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n v="2024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n v="2024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n v="2024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n v="2024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n v="2024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n v="2024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n v="2024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n v="2024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n v="2024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n v="2024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n v="2024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n v="2024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n v="2024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n v="2024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n v="2024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n v="2024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n v="2024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n v="2024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n v="2024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n v="2024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n v="2024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n v="2024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n v="2024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n v="2024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n v="2024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n v="2024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n v="2024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n v="2024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n v="2024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n v="2024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n v="2024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n v="2024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n v="2024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n v="2024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n v="2024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n v="2024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n v="2024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n v="2024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n v="2024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n v="2024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n v="2024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n v="2024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n v="2024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n v="2024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n v="2024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n v="2024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n v="2024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n v="2024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n v="2024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n v="2024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n v="2024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n v="2024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n v="2024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n v="2024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n v="2024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n v="2024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n v="2024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n v="2024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n v="2024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n v="2024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n v="2024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n v="2024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n v="2024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n v="2024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n v="2024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n v="2024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n v="2024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n v="2024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n v="2024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n v="2024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n v="2024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n v="2024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n v="2024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n v="2024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n v="2024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n v="2024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n v="2024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n v="2024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n v="2024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n v="2024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n v="2024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n v="2024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n v="2024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n v="2024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n v="2024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n v="2024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n v="2024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n v="2024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n v="2024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n v="2024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n v="2024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n v="2024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n v="2024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n v="2024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n v="2024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n v="2024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n v="2024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n v="2024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n v="2024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n v="2024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n v="2024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n v="2024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n v="2024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n v="2024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n v="2024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n v="2024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n v="2024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n v="2024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n v="2024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n v="2024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n v="2024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n v="2024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n v="2024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n v="2024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n v="2024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n v="2024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n v="2024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n v="2024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n v="2024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n v="2024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n v="2024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n v="2024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n v="2024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n v="2024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n v="2024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n v="2024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n v="2024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n v="2024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n v="2024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n v="2024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n v="2024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n v="2024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n v="2024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n v="2024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n v="2024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n v="2024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n v="2024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n v="2024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n v="2024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n v="2024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n v="2024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n v="2024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n v="2024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n v="2024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n v="2024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n v="2024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n v="2024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n v="2024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n v="2024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n v="2024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n v="2024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n v="2024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n v="2024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n v="2024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n v="2024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n v="2024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n v="2024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n v="2024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n v="2024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n v="2024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n v="2024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n v="2024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n v="2024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n v="2024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n v="2024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n v="2024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n v="2024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n v="2024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n v="2024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n v="2024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n v="2024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n v="2024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n v="2024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n v="2024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n v="2024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n v="2024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n v="2024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n v="2024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n v="2024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n v="2024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n v="2024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n v="2024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n v="2024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n v="2024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n v="2024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n v="2024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n v="2024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n v="2024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n v="2024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n v="2024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n v="2024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n v="2024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n v="2024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n v="2024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n v="2024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n v="2024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n v="2024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n v="2024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n v="2024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n v="2024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n v="2024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n v="2024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n v="2024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n v="2024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n v="2024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n v="2024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n v="2024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n v="2024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n v="2024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n v="2024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n v="2024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n v="2024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n v="2024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n v="2024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n v="2024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n v="2024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n v="2024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n v="2024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n v="2024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n v="2024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n v="2024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n v="2024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n v="2024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n v="2024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n v="2024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n v="2024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n v="2024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n v="2024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n v="2024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n v="2024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n v="2024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n v="2024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n v="2024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n v="2024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n v="2024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n v="2024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n v="2024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n v="2024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n v="2024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n v="2024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n v="2024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n v="2024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n v="2024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n v="2024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n v="2024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n v="2024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n v="2024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n v="2024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n v="2024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n v="2024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n v="2024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n v="2024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n v="2024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n v="2024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n v="2024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n v="2024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n v="2024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n v="2024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n v="2024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n v="2024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n v="2024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n v="2024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n v="2024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n v="2024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n v="2024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n v="2024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n v="2024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n v="2024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n v="2024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n v="2024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n v="2024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n v="2024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n v="2024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n v="2024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n v="2024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n v="2024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n v="2024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n v="2024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n v="2024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n v="2024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n v="2024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n v="2024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n v="2024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n v="2024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n v="2024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n v="2024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n v="2024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n v="2024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n v="2024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n v="2024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n v="2024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n v="2024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n v="2024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n v="2024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n v="2024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n v="2024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n v="2024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n v="2024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n v="2024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n v="2024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n v="2024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n v="2024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n v="2024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n v="2024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n v="2024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n v="2024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n v="2024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n v="2024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n v="2024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n v="2024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n v="2024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n v="2024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n v="2024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n v="2024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n v="2024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n v="2024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n v="2024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n v="2024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n v="2024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n v="2024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n v="2024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n v="2024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n v="2024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n v="2024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n v="2024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n v="2024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n v="2024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n v="2024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n v="2024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n v="2024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n v="2024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n v="2024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n v="2024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n v="2024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n v="2024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n v="2024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n v="2024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n v="2024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n v="2024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n v="2024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n v="2024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n v="2024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n v="2024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n v="2024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n v="2024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n v="2024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n v="2024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n v="2024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n v="2024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n v="2024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n v="2024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n v="2024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n v="2024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n v="2024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n v="2024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n v="2024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n v="2024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n v="2024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n v="2024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n v="2024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n v="2024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n v="2024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n v="2024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n v="2024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n v="2024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n v="2024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n v="2024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n v="2024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n v="2024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n v="2024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n v="2024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n v="2024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n v="2024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n v="2024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n v="2024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n v="2024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n v="2024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n v="2024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n v="2024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n v="2024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n v="2024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n v="2024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n v="2024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n v="2024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n v="2024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n v="2024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n v="2024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n v="2024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n v="2024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n v="2024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n v="2024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n v="2024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n v="2024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n v="2024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n v="2024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n v="2024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n v="2024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n v="2024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n v="2024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n v="2024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n v="2024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n v="2024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n v="2024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n v="2024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n v="2024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n v="2024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n v="2024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n v="2024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n v="2024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n v="2024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n v="2024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n v="2024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n v="2024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n v="2024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n v="2024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n v="2024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n v="2024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n v="2024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n v="2024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n v="2024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n v="2024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n v="2024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n v="2024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n v="2024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n v="2024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n v="2024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n v="2024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n v="2024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n v="2024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n v="2024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n v="2024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n v="2024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n v="2024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n v="2024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n v="2024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n v="2024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n v="2024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n v="2024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n v="2024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n v="2024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n v="2024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n v="2024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n v="2024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n v="2024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n v="2024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n v="2024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n v="2024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n v="2024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n v="2024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n v="2024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n v="2024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n v="2024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n v="2024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n v="2024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n v="2024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n v="2024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n v="2024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n v="2024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n v="2024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n v="2024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n v="2024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n v="2024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n v="2024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n v="2024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n v="2024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n v="2024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n v="2024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n v="2024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n v="2024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n v="2024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n v="2024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n v="2024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n v="2024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n v="2024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n v="2024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n v="2024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n v="2024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n v="2024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n v="2024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n v="2024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n v="2024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n v="2024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n v="2024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n v="2024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n v="2024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n v="2024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n v="2024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n v="2024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n v="2024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n v="2024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n v="2024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n v="2024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n v="2024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n v="2024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n v="2024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n v="2024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n v="2024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n v="2024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n v="2024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n v="2024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n v="2024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n v="2024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n v="2024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n v="2024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n v="2025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n v="2025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n v="2025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n v="2025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n v="2025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n v="2025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n v="2025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n v="2025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n v="2025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n v="2025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n v="2025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n v="2025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n v="2025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n v="2025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n v="2025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n v="2025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n v="2025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n v="2025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n v="2025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n v="2025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n v="2025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n v="2025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n v="2025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n v="2025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n v="2025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n v="2025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n v="2025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n v="2025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n v="2025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n v="2025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n v="2025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n v="2025"/>
    <x v="1098"/>
    <s v="C00000010"/>
    <x v="9"/>
    <s v="RA Resin 268W (225kg)"/>
    <n v="8"/>
    <n v="120"/>
    <x v="2"/>
    <d v="2025-05-11T00:00:00"/>
    <x v="12"/>
    <x v="7"/>
    <n v="12960"/>
    <n v="-12960"/>
    <n v="0"/>
    <n v="5899312.6500000004"/>
    <s v="Trsf"/>
    <s v="Trsf 18/7/25 RM30,481.00"/>
    <m/>
  </r>
  <r>
    <x v="693"/>
    <n v="1"/>
    <n v="2025"/>
    <x v="1098"/>
    <s v="C00000010"/>
    <x v="9"/>
    <s v="RA CSM 450 1040mm(W) (30kg)"/>
    <n v="10"/>
    <n v="120"/>
    <x v="2"/>
    <d v="2025-05-11T00:00:00"/>
    <x v="12"/>
    <x v="7"/>
    <n v="1740"/>
    <n v="-1740"/>
    <n v="0"/>
    <n v="5901052.6500000004"/>
    <s v="Trsf"/>
    <s v="Trsf 18/7/25 RM30,481.00"/>
    <m/>
  </r>
  <r>
    <x v="693"/>
    <n v="1"/>
    <n v="2025"/>
    <x v="1098"/>
    <s v="C00000010"/>
    <x v="9"/>
    <s v="RQ Talcum Powder (25kg)"/>
    <n v="20"/>
    <n v="120"/>
    <x v="2"/>
    <d v="2025-05-11T00:00:00"/>
    <x v="12"/>
    <x v="7"/>
    <n v="1150"/>
    <n v="-1150"/>
    <n v="0"/>
    <n v="5902202.6500000004"/>
    <s v="Trsf"/>
    <s v="Trsf 18/7/25 RM30,481.00"/>
    <m/>
  </r>
  <r>
    <x v="693"/>
    <n v="1"/>
    <n v="2025"/>
    <x v="1098"/>
    <s v="C00000010"/>
    <x v="9"/>
    <s v="RA Butanox M50 (5kg)"/>
    <n v="8"/>
    <n v="120"/>
    <x v="2"/>
    <d v="2025-05-11T00:00:00"/>
    <x v="12"/>
    <x v="7"/>
    <n v="880"/>
    <n v="-880"/>
    <n v="0"/>
    <n v="5903082.6500000004"/>
    <s v="Trsf"/>
    <s v="Trsf 18/7/25 RM30,481.00"/>
    <m/>
  </r>
  <r>
    <x v="693"/>
    <n v="1"/>
    <n v="2025"/>
    <x v="1098"/>
    <s v="C00000010"/>
    <x v="9"/>
    <s v="RM Fume Silica HJSIL 200 (10Kg)"/>
    <n v="1"/>
    <n v="120"/>
    <x v="2"/>
    <d v="2025-05-11T00:00:00"/>
    <x v="12"/>
    <x v="7"/>
    <n v="420"/>
    <n v="-420"/>
    <n v="0"/>
    <n v="5903502.6500000004"/>
    <s v="Trsf"/>
    <s v="Trsf 18/7/25 RM30,481.00"/>
    <m/>
  </r>
  <r>
    <x v="693"/>
    <n v="1"/>
    <n v="2025"/>
    <x v="1098"/>
    <s v="C00000010"/>
    <x v="9"/>
    <s v="RM Pigment Super Black (5kg)"/>
    <n v="1"/>
    <n v="120"/>
    <x v="2"/>
    <d v="2025-05-11T00:00:00"/>
    <x v="12"/>
    <x v="7"/>
    <n v="160"/>
    <n v="-160"/>
    <n v="0"/>
    <n v="5903662.6500000004"/>
    <s v="Trsf"/>
    <s v="Trsf 18/7/25 RM30,481.00"/>
    <m/>
  </r>
  <r>
    <x v="694"/>
    <n v="1"/>
    <n v="2025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n v="2025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n v="2025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n v="2025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n v="2025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n v="2025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n v="2025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n v="2025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n v="2025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n v="2025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n v="2025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n v="2025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n v="2025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n v="2025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n v="2025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n v="2025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n v="2025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n v="2025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n v="2025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n v="2025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n v="2025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n v="2025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n v="2025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n v="2025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n v="2025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n v="2025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n v="2025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n v="2025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n v="2025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n v="2025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n v="2025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n v="2025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n v="2025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n v="2025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n v="2025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n v="2025"/>
    <x v="1109"/>
    <s v="C00000010"/>
    <x v="9"/>
    <s v="RA Resin 268W (225kg)"/>
    <n v="6"/>
    <n v="120"/>
    <x v="2"/>
    <d v="2025-05-22T00:00:00"/>
    <x v="12"/>
    <x v="7"/>
    <n v="9720"/>
    <n v="-9720"/>
    <n v="0"/>
    <n v="5955516.8500000006"/>
    <s v="Trsf"/>
    <s v="Trsf 18/7/25 RM30,481.00"/>
    <m/>
  </r>
  <r>
    <x v="699"/>
    <n v="1"/>
    <n v="2025"/>
    <x v="1109"/>
    <s v="C00000010"/>
    <x v="9"/>
    <s v="RA CSM 450 1040mm(W) (30kg)"/>
    <n v="10"/>
    <n v="120"/>
    <x v="2"/>
    <d v="2025-05-22T00:00:00"/>
    <x v="12"/>
    <x v="7"/>
    <n v="1740"/>
    <n v="-1740"/>
    <n v="0"/>
    <n v="5957256.8500000006"/>
    <s v="Trsf"/>
    <s v="Trsf 18/7/25 RM30,481.00"/>
    <m/>
  </r>
  <r>
    <x v="699"/>
    <n v="1"/>
    <n v="2025"/>
    <x v="1109"/>
    <s v="C00000010"/>
    <x v="9"/>
    <s v="RQ Talcum Powder (25kg)"/>
    <n v="10"/>
    <n v="120"/>
    <x v="2"/>
    <d v="2025-05-22T00:00:00"/>
    <x v="12"/>
    <x v="7"/>
    <n v="575"/>
    <n v="-575"/>
    <n v="0"/>
    <n v="5957831.8500000006"/>
    <s v="Trsf"/>
    <s v="Trsf 18/7/25 RM30,481.00"/>
    <m/>
  </r>
  <r>
    <x v="699"/>
    <n v="1"/>
    <n v="2025"/>
    <x v="1109"/>
    <s v="C00000010"/>
    <x v="9"/>
    <s v="RA Butanox M50 (5kg)"/>
    <n v="4"/>
    <n v="120"/>
    <x v="2"/>
    <d v="2025-05-22T00:00:00"/>
    <x v="12"/>
    <x v="7"/>
    <n v="440"/>
    <n v="-440"/>
    <n v="0"/>
    <n v="5958271.8500000006"/>
    <s v="Trsf"/>
    <s v="Trsf 18/7/25 RM30,481.00"/>
    <m/>
  </r>
  <r>
    <x v="699"/>
    <n v="1"/>
    <n v="2025"/>
    <x v="1109"/>
    <s v="C00000010"/>
    <x v="9"/>
    <s v="RM TR104 Hi Temp Wax"/>
    <n v="12"/>
    <n v="120"/>
    <x v="2"/>
    <d v="2025-05-22T00:00:00"/>
    <x v="12"/>
    <x v="7"/>
    <n v="696"/>
    <n v="-696"/>
    <n v="0"/>
    <n v="5958967.8500000006"/>
    <s v="Trsf"/>
    <s v="Trsf 18/7/25 RM30,481.00"/>
    <m/>
  </r>
  <r>
    <x v="700"/>
    <n v="1"/>
    <n v="2025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n v="2025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n v="2025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n v="2025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n v="2025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n v="2025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n v="2025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n v="2025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n v="2025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n v="2025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n v="2025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n v="2025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n v="2025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n v="2025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n v="2025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n v="2025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n v="2025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n v="2025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n v="2025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n v="2025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n v="2025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n v="2025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n v="2025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n v="2025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n v="2025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n v="2025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n v="2025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n v="2025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n v="2025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n v="2025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n v="2025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n v="2025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n v="2025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n v="2025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n v="2025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n v="2025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n v="2025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n v="2025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n v="2025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n v="2025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n v="2025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n v="2025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n v="2025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n v="2025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n v="2025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n v="2025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n v="2025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n v="2025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n v="2025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n v="2025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n v="2025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n v="2025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n v="2025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n v="2025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n v="2025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n v="2025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n v="2025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n v="2025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n v="2025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n v="2025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n v="2025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n v="2025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n v="2025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n v="2025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n v="2025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n v="2025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n v="2025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n v="2025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n v="2025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n v="2025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n v="2025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n v="2025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n v="2025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n v="2025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n v="2025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n v="2025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n v="2025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n v="2025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n v="2025"/>
    <x v="1137"/>
    <s v="C00000042"/>
    <x v="43"/>
    <s v="RA Resin 2100BQT-L (225Kg)"/>
    <n v="10"/>
    <s v="Cash"/>
    <x v="0"/>
    <d v="2025-02-24T00:00:00"/>
    <x v="8"/>
    <x v="7"/>
    <n v="16200"/>
    <n v="-16200"/>
    <n v="0"/>
    <n v="6097274.8500000006"/>
    <s v="Trsf"/>
    <s v="Trsf 30/6/25 RM15,000.00(RM2,206.60), 1/7/25 RM15,000.00(RM13,993.40)"/>
    <m/>
  </r>
  <r>
    <x v="711"/>
    <n v="2"/>
    <n v="2025"/>
    <x v="1137"/>
    <s v="C00000042"/>
    <x v="43"/>
    <s v="RO CSM 450 1040mm(W) (30kg)"/>
    <n v="25"/>
    <s v="Cash"/>
    <x v="0"/>
    <d v="2025-02-24T00:00:00"/>
    <x v="8"/>
    <x v="7"/>
    <n v="4350"/>
    <n v="-4350"/>
    <n v="0"/>
    <n v="6101624.8500000006"/>
    <s v="Trsf"/>
    <s v="Trsf 1/7/25 RM15,000.00(RM1,006.60), 7/7/25 RM14,000.00(RM3,343.40)"/>
    <m/>
  </r>
  <r>
    <x v="711"/>
    <n v="2"/>
    <n v="2025"/>
    <x v="1137"/>
    <s v="C00000042"/>
    <x v="43"/>
    <s v="RA Woven Roving E-600gm 1120mm (45Kg)"/>
    <n v="15"/>
    <s v="Cash"/>
    <x v="0"/>
    <d v="2025-02-24T00:00:00"/>
    <x v="8"/>
    <x v="7"/>
    <n v="3712.5"/>
    <n v="-3712.5"/>
    <n v="0"/>
    <n v="6105337.3500000006"/>
    <s v="Trsf"/>
    <s v="Trsf 7/7/25 RM14,000.00(RM3,712.50)"/>
    <m/>
  </r>
  <r>
    <x v="711"/>
    <n v="2"/>
    <n v="2025"/>
    <x v="1137"/>
    <s v="C00000042"/>
    <x v="43"/>
    <s v="RA Butanox M50 (5kg)"/>
    <n v="4"/>
    <s v="Cash"/>
    <x v="0"/>
    <d v="2025-02-24T00:00:00"/>
    <x v="8"/>
    <x v="7"/>
    <n v="460"/>
    <n v="-460"/>
    <n v="0"/>
    <n v="6105797.3500000006"/>
    <s v="Trsf"/>
    <s v="Trsf 7/7/25 RM14,000.00(RM460.00)"/>
    <m/>
  </r>
  <r>
    <x v="711"/>
    <n v="2"/>
    <n v="2025"/>
    <x v="1137"/>
    <s v="C00000042"/>
    <x v="43"/>
    <s v="RM Pigment Paste Smooth Cream M19 (25Kg)"/>
    <n v="1"/>
    <s v="Cash"/>
    <x v="0"/>
    <d v="2025-02-24T00:00:00"/>
    <x v="8"/>
    <x v="7"/>
    <n v="1000"/>
    <n v="-1000"/>
    <n v="0"/>
    <n v="6106797.3500000006"/>
    <s v="Trsf"/>
    <s v="Trsf 7/7/25 RM14,000.00(RM1,000.00)"/>
    <m/>
  </r>
  <r>
    <x v="711"/>
    <n v="2"/>
    <n v="2025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n v="2025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n v="2025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n v="2025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n v="2025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n v="2025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n v="2025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n v="2025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n v="2025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n v="2025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n v="2025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n v="2025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n v="2025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n v="2025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n v="2025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n v="2025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n v="2025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n v="2025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n v="2025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n v="2025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n v="2025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n v="2025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n v="2025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n v="2025"/>
    <x v="1142"/>
    <s v="C00000042"/>
    <x v="43"/>
    <s v="RQ Talcum Powder (25Kg)"/>
    <n v="5"/>
    <s v="Cash"/>
    <x v="0"/>
    <d v="2025-03-04T00:00:00"/>
    <x v="9"/>
    <x v="7"/>
    <n v="312.5"/>
    <n v="-312.5"/>
    <n v="0"/>
    <n v="6131708.3500000015"/>
    <s v="Trsf"/>
    <s v="Trsf 7/7/25 RM14,000.00(RM312.50)"/>
    <m/>
  </r>
  <r>
    <x v="714"/>
    <n v="3"/>
    <n v="2025"/>
    <x v="1143"/>
    <s v="C00000042"/>
    <x v="43"/>
    <s v="RA Resin 2100BQT-L (225Kg)"/>
    <n v="10"/>
    <s v="Cash"/>
    <x v="0"/>
    <d v="2025-03-04T00:00:00"/>
    <x v="9"/>
    <x v="7"/>
    <n v="16200"/>
    <n v="-16200"/>
    <n v="0"/>
    <n v="6147908.3500000015"/>
    <s v="Trsf"/>
    <s v="Trsf 7/7/25 RM14,000.00(RM5,171.60), 10/7/25 RM17,000.00(RM11,028.40)"/>
    <m/>
  </r>
  <r>
    <x v="714"/>
    <n v="3"/>
    <n v="2025"/>
    <x v="1143"/>
    <s v="C00000042"/>
    <x v="43"/>
    <s v="RO CSM 450 1040mm(W) (37kg)"/>
    <n v="30"/>
    <s v="Cash"/>
    <x v="0"/>
    <d v="2025-03-04T00:00:00"/>
    <x v="9"/>
    <x v="7"/>
    <n v="6438"/>
    <n v="-6438"/>
    <n v="0"/>
    <n v="6154346.3500000015"/>
    <s v="Trsf"/>
    <s v="Trsf 10/7/25 RM17,000.00(RM5,971.60), 14/7/25 RM15,000.00(RM466.40)"/>
    <m/>
  </r>
  <r>
    <x v="714"/>
    <n v="3"/>
    <n v="2025"/>
    <x v="1143"/>
    <s v="C00000042"/>
    <x v="43"/>
    <s v="RA Woven Roving E-600gm 1120mm (45Kg)"/>
    <n v="15"/>
    <s v="Cash"/>
    <x v="0"/>
    <d v="2025-03-04T00:00:00"/>
    <x v="9"/>
    <x v="7"/>
    <n v="3712.5"/>
    <n v="-3712.5"/>
    <n v="0"/>
    <n v="6158058.8500000015"/>
    <s v="Trsf"/>
    <s v="Trsf 14/7/25 RM15,000.00(RM3,712.50)"/>
    <m/>
  </r>
  <r>
    <x v="714"/>
    <n v="3"/>
    <n v="2025"/>
    <x v="1143"/>
    <s v="C00000042"/>
    <x v="43"/>
    <s v="RA Butanox M50 (5kg)"/>
    <n v="4"/>
    <s v="Cash"/>
    <x v="0"/>
    <d v="2025-03-04T00:00:00"/>
    <x v="9"/>
    <x v="7"/>
    <n v="460"/>
    <n v="-460"/>
    <n v="0"/>
    <n v="6158518.8500000015"/>
    <s v="Trsf"/>
    <s v="Trsf 14/7/25 RM15,000.00(RM460.00)"/>
    <m/>
  </r>
  <r>
    <x v="714"/>
    <n v="3"/>
    <n v="2025"/>
    <x v="1143"/>
    <s v="C00000042"/>
    <x v="43"/>
    <s v="RM Pigment Paste Smooth Cream M19 (25Kg)"/>
    <n v="2"/>
    <s v="Cash"/>
    <x v="0"/>
    <d v="2025-03-04T00:00:00"/>
    <x v="9"/>
    <x v="7"/>
    <n v="2000"/>
    <n v="-2000"/>
    <n v="0"/>
    <n v="6160518.8500000015"/>
    <s v="Trsf"/>
    <s v="Trsf 14/7/25 RM15,000.00(RM2,000.00)"/>
    <m/>
  </r>
  <r>
    <x v="715"/>
    <n v="3"/>
    <n v="2025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n v="2025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n v="2025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n v="2025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n v="2025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n v="2025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n v="2025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n v="2025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n v="2025"/>
    <x v="1146"/>
    <s v="C00000042"/>
    <x v="43"/>
    <s v="RA Butanox M50 (5kg)"/>
    <n v="4"/>
    <s v="Cash"/>
    <x v="0"/>
    <d v="2025-03-07T00:00:00"/>
    <x v="9"/>
    <x v="7"/>
    <n v="460"/>
    <n v="-460"/>
    <n v="0"/>
    <n v="6164380.3500000015"/>
    <s v="Trsf"/>
    <s v="Trsf 14/7/25 RM15,000.00(RM460.00)"/>
    <m/>
  </r>
  <r>
    <x v="717"/>
    <n v="3"/>
    <n v="2025"/>
    <x v="1147"/>
    <s v="C00000042"/>
    <x v="43"/>
    <s v="RQ Talcum Powder (25Kg)"/>
    <n v="2"/>
    <s v="Cash"/>
    <x v="0"/>
    <d v="2025-03-10T00:00:00"/>
    <x v="9"/>
    <x v="7"/>
    <n v="125"/>
    <n v="-125"/>
    <n v="0"/>
    <n v="6164505.3500000015"/>
    <s v="Trsf"/>
    <s v="Trsf 14/7/25 RM15,000.00(RM125.00)"/>
    <m/>
  </r>
  <r>
    <x v="717"/>
    <n v="3"/>
    <n v="2025"/>
    <x v="1148"/>
    <s v="C00000042"/>
    <x v="43"/>
    <s v="RA Resin 2100BQT-L (225Kg)"/>
    <n v="5"/>
    <s v="Cash"/>
    <x v="0"/>
    <d v="2025-03-10T00:00:00"/>
    <x v="9"/>
    <x v="7"/>
    <n v="8100"/>
    <n v="-8100"/>
    <n v="0"/>
    <n v="6172605.3500000015"/>
    <s v="Trsf"/>
    <s v="Trsf 14/7/25 RM15,000.00(RM7,776.10), 17/7/25 RM17,000.00(RM323.90)"/>
    <m/>
  </r>
  <r>
    <x v="717"/>
    <n v="3"/>
    <n v="2025"/>
    <x v="1148"/>
    <s v="C00000042"/>
    <x v="43"/>
    <s v="RO CSM 450 1040mm(W) (37kg)"/>
    <n v="15"/>
    <s v="Cash"/>
    <x v="0"/>
    <d v="2025-03-10T00:00:00"/>
    <x v="9"/>
    <x v="7"/>
    <n v="3219"/>
    <n v="-3219"/>
    <n v="0"/>
    <n v="6175824.3500000015"/>
    <s v="Trsf"/>
    <s v="Trsf 17/7/25 RM17,000.00(RM3,219.00)"/>
    <m/>
  </r>
  <r>
    <x v="717"/>
    <n v="3"/>
    <n v="2025"/>
    <x v="1148"/>
    <s v="C00000042"/>
    <x v="43"/>
    <s v="RA Woven Roving E-600gm 1120mm (45Kg)"/>
    <n v="8"/>
    <s v="Cash"/>
    <x v="0"/>
    <d v="2025-03-10T00:00:00"/>
    <x v="9"/>
    <x v="7"/>
    <n v="1980"/>
    <n v="-1980"/>
    <n v="0"/>
    <n v="6177804.3500000015"/>
    <s v="Trsf"/>
    <s v="Trsf 17/7/25 RM17,000.00(RM1,980.00)"/>
    <m/>
  </r>
  <r>
    <x v="717"/>
    <n v="3"/>
    <n v="2025"/>
    <x v="1148"/>
    <s v="C00000042"/>
    <x v="43"/>
    <s v="RA Butanox M50 (5kg)"/>
    <n v="4"/>
    <s v="Cash"/>
    <x v="0"/>
    <d v="2025-03-10T00:00:00"/>
    <x v="9"/>
    <x v="7"/>
    <n v="460"/>
    <n v="-460"/>
    <n v="0"/>
    <n v="6178264.3500000015"/>
    <s v="Trsf"/>
    <s v="Trsf 17/7/25 RM17,000.00(RM460.00)"/>
    <m/>
  </r>
  <r>
    <x v="717"/>
    <n v="3"/>
    <n v="2025"/>
    <x v="1148"/>
    <s v="C00000042"/>
    <x v="43"/>
    <s v="RM Pigment Paste Smooth Cream M19 (25Kg)"/>
    <n v="1"/>
    <s v="Cash"/>
    <x v="0"/>
    <d v="2025-03-10T00:00:00"/>
    <x v="9"/>
    <x v="7"/>
    <n v="1000"/>
    <n v="-1000"/>
    <n v="0"/>
    <n v="6179264.3500000015"/>
    <s v="Trsf"/>
    <s v="Trsf 17/7/25 RM17,000.00(RM1,000.00)"/>
    <m/>
  </r>
  <r>
    <x v="718"/>
    <n v="3"/>
    <n v="2025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n v="2025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n v="2025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n v="2025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n v="2025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n v="2025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n v="2025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n v="2025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n v="2025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n v="2025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n v="2025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n v="2025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n v="2025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n v="2025"/>
    <x v="1154"/>
    <s v="C00000042"/>
    <x v="43"/>
    <s v="RQ Talcum Powder (25Kg)"/>
    <n v="3"/>
    <s v="Cash"/>
    <x v="0"/>
    <d v="2025-03-15T00:00:00"/>
    <x v="9"/>
    <x v="7"/>
    <n v="187.5"/>
    <n v="-187.5"/>
    <n v="0"/>
    <n v="6191561.450000002"/>
    <s v="Trsf"/>
    <s v="Trsf 17/7/25 RM17,000.00(RM187.50)"/>
    <m/>
  </r>
  <r>
    <x v="721"/>
    <n v="3"/>
    <n v="2025"/>
    <x v="1155"/>
    <s v="C00000042"/>
    <x v="43"/>
    <s v="RA Resin 2100BQT-L (225Kg)"/>
    <n v="5"/>
    <s v="Cash"/>
    <x v="0"/>
    <d v="2025-03-15T00:00:00"/>
    <x v="9"/>
    <x v="7"/>
    <n v="8100"/>
    <n v="-8100"/>
    <n v="0"/>
    <n v="6199661.450000002"/>
    <s v="Trsf"/>
    <s v="Trsf 17/7/25 RM17,000.00(RM8,100.00)"/>
    <m/>
  </r>
  <r>
    <x v="721"/>
    <n v="3"/>
    <n v="2025"/>
    <x v="1155"/>
    <s v="C00000042"/>
    <x v="43"/>
    <s v="RM Pigment Paste Riviera Blue B5 (25Kg)"/>
    <n v="1"/>
    <s v="Cash"/>
    <x v="0"/>
    <d v="2025-03-15T00:00:00"/>
    <x v="9"/>
    <x v="7"/>
    <n v="975"/>
    <n v="-975"/>
    <n v="0"/>
    <n v="6200636.450000002"/>
    <s v="Trsf"/>
    <s v="Trsf 17/7/25 RM17,000.00(RM975.00)"/>
    <m/>
  </r>
  <r>
    <x v="722"/>
    <n v="3"/>
    <n v="2025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n v="2025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n v="2025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n v="2025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n v="2025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n v="2025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n v="2025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n v="2025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n v="2025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n v="2025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n v="2025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n v="2025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n v="2025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n v="2025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n v="2025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n v="2025"/>
    <x v="1160"/>
    <s v="C00000042"/>
    <x v="43"/>
    <s v="RQ Talcum Powder (25Kg)"/>
    <n v="3"/>
    <s v="Cash"/>
    <x v="0"/>
    <d v="2025-03-20T00:00:00"/>
    <x v="9"/>
    <x v="7"/>
    <n v="187.5"/>
    <n v="-187.5"/>
    <n v="0"/>
    <n v="6208399.6500000022"/>
    <s v="Trsf"/>
    <s v="Trsf 17/7/25 RM17,000.00(RM187.50)"/>
    <m/>
  </r>
  <r>
    <x v="724"/>
    <n v="3"/>
    <n v="2025"/>
    <x v="1161"/>
    <s v="C00000042"/>
    <x v="43"/>
    <s v="RA Resin 2100BQT-L (225Kg)"/>
    <n v="7"/>
    <s v="Cash"/>
    <x v="0"/>
    <d v="2025-03-20T00:00:00"/>
    <x v="9"/>
    <x v="7"/>
    <n v="11340"/>
    <n v="-11340"/>
    <n v="0"/>
    <n v="6219739.6500000022"/>
    <s v="Trsf"/>
    <s v="Trsf 17/7/25 RM17,000.00(RM567.10), 21/7/25 RM15,000.00(RM10,772.90)"/>
    <m/>
  </r>
  <r>
    <x v="724"/>
    <n v="3"/>
    <n v="2025"/>
    <x v="1161"/>
    <s v="C00000042"/>
    <x v="43"/>
    <s v="RO CSM 450 1040mm(W) (37kg)"/>
    <n v="18"/>
    <s v="Cash"/>
    <x v="0"/>
    <d v="2025-03-20T00:00:00"/>
    <x v="9"/>
    <x v="7"/>
    <n v="3862.8"/>
    <n v="-3862.8"/>
    <n v="0"/>
    <n v="6223602.450000002"/>
    <s v="Trsf"/>
    <s v="Trsf 21/7/25 RM15,000.00(RM3,862.80)"/>
    <m/>
  </r>
  <r>
    <x v="724"/>
    <n v="3"/>
    <n v="2025"/>
    <x v="1161"/>
    <s v="C00000042"/>
    <x v="43"/>
    <s v="RA Woven Roving E-600gm 1120mm (45Kg)"/>
    <n v="9"/>
    <s v="Cash"/>
    <x v="0"/>
    <d v="2025-03-20T00:00:00"/>
    <x v="9"/>
    <x v="7"/>
    <n v="2227.5"/>
    <n v="-2227.5"/>
    <n v="0"/>
    <n v="6225829.950000002"/>
    <s v="Trsf"/>
    <s v="Trsf 21/7/25 RM15,000.00(RM364.30), 30/7/25 RM10,000.00(RM1,863.20)"/>
    <m/>
  </r>
  <r>
    <x v="724"/>
    <n v="3"/>
    <n v="2025"/>
    <x v="1161"/>
    <s v="C00000042"/>
    <x v="43"/>
    <s v="RA Butanox M50 (5kg)"/>
    <n v="4"/>
    <s v="Cash"/>
    <x v="0"/>
    <d v="2025-03-20T00:00:00"/>
    <x v="9"/>
    <x v="7"/>
    <n v="460"/>
    <n v="-460"/>
    <n v="0"/>
    <n v="6226289.950000002"/>
    <s v="Trsf"/>
    <s v="Trsf 30/7/25 RM10,000.00(RM460.00)"/>
    <m/>
  </r>
  <r>
    <x v="725"/>
    <n v="3"/>
    <n v="2025"/>
    <x v="1162"/>
    <s v="C00000042"/>
    <x v="43"/>
    <s v="RA Woven Roving E-600gm 1120mm (45Kg)"/>
    <n v="4"/>
    <s v="Cash"/>
    <x v="0"/>
    <d v="2025-03-22T00:00:00"/>
    <x v="9"/>
    <x v="7"/>
    <n v="990"/>
    <n v="-990"/>
    <n v="0"/>
    <n v="6227279.950000002"/>
    <s v="Trsf"/>
    <s v="Trsf 30/7/25 RM10,000.00(RM990.00)"/>
    <m/>
  </r>
  <r>
    <x v="725"/>
    <n v="3"/>
    <n v="2025"/>
    <x v="1162"/>
    <s v="C00000042"/>
    <x v="43"/>
    <s v="RM Pigment Paste Smooth Cream M19 (25Kg)"/>
    <n v="1"/>
    <s v="Cash"/>
    <x v="0"/>
    <d v="2025-03-22T00:00:00"/>
    <x v="9"/>
    <x v="7"/>
    <n v="1000"/>
    <n v="-1000"/>
    <n v="0"/>
    <n v="6228279.950000002"/>
    <s v="Trsf"/>
    <s v="Trsf 30/7/25 RM10,000.00(RM1,000.00)"/>
    <m/>
  </r>
  <r>
    <x v="726"/>
    <n v="3"/>
    <n v="2025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n v="2025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n v="2025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n v="2025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n v="2025"/>
    <x v="1164"/>
    <s v="C00000042"/>
    <x v="43"/>
    <s v="RQ Talcum Powder (25Kg)"/>
    <n v="6"/>
    <s v="Cash"/>
    <x v="0"/>
    <d v="2025-03-24T00:00:00"/>
    <x v="9"/>
    <x v="7"/>
    <n v="375"/>
    <n v="-375"/>
    <n v="0"/>
    <n v="6230898.1500000022"/>
    <s v="Trsf"/>
    <s v="Trsf 30/7/25 RM10,000.00(RM375.00)"/>
    <m/>
  </r>
  <r>
    <x v="726"/>
    <n v="3"/>
    <n v="2025"/>
    <x v="1165"/>
    <s v="C00000042"/>
    <x v="43"/>
    <s v="RA Resin 2100BQT-L (225Kg)"/>
    <n v="12"/>
    <s v="Cash"/>
    <x v="0"/>
    <d v="2025-03-24T00:00:00"/>
    <x v="9"/>
    <x v="7"/>
    <n v="19440"/>
    <n v="-5311.8"/>
    <n v="14128.2"/>
    <n v="6250338.1500000022"/>
    <s v="Trsf"/>
    <s v="Trsf 30/7/25 RM10,000.00(RM5,311.80)"/>
    <m/>
  </r>
  <r>
    <x v="726"/>
    <n v="3"/>
    <n v="2025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n v="2025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n v="2025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n v="2025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n v="2025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n v="2025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n v="2025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n v="2025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n v="2025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n v="2025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n v="2025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n v="2025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n v="2025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n v="2025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n v="2025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n v="2025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n v="2025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n v="2025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n v="2025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n v="2025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n v="2025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n v="2025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n v="2025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n v="2025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n v="2025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n v="2025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n v="2025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n v="2025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n v="2025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n v="2025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n v="2025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n v="2025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n v="2025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n v="2025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n v="2025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n v="2025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n v="2025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n v="2025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n v="2025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n v="2025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n v="2025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n v="2025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n v="2025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n v="2025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n v="2025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n v="2025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n v="2025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n v="2025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n v="2025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n v="2025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n v="2025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n v="2025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n v="2025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n v="2025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n v="2025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n v="2025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n v="2025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n v="2025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n v="2025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n v="2025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n v="2025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n v="2025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n v="2025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n v="2025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n v="2025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n v="2025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n v="2025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n v="2025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n v="2025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n v="2025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n v="2025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n v="2025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n v="2025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n v="2025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n v="2025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n v="2025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n v="2025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n v="2025"/>
    <x v="1187"/>
    <s v="C00000010"/>
    <x v="9"/>
    <s v="RO Resin 8213WPT (225kg)"/>
    <n v="2"/>
    <n v="120"/>
    <x v="2"/>
    <d v="2025-08-16T00:00:00"/>
    <x v="2"/>
    <x v="7"/>
    <n v="3195"/>
    <n v="-3195"/>
    <n v="0"/>
    <n v="6410338.3500000024"/>
    <s v="Trsf"/>
    <s v="Trsf 26/7/25 RM3,195.00"/>
    <m/>
  </r>
  <r>
    <x v="742"/>
    <n v="4"/>
    <n v="2025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n v="2025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n v="2025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n v="2025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n v="2025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n v="2025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n v="2025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n v="2025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n v="2025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n v="2025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n v="2025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n v="2025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n v="2025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n v="2025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n v="2025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n v="2025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n v="2025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n v="2025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n v="2025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n v="2025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n v="2025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n v="2025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n v="2025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n v="2025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n v="2025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n v="2025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n v="2025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n v="2025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n v="2025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n v="2025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n v="2025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n v="2025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n v="2025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n v="2025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n v="2025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n v="2025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n v="2025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n v="2025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n v="2025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n v="2025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n v="2025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n v="2025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n v="2025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n v="2025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n v="2025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n v="2025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n v="2025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n v="2025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n v="2025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n v="2025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n v="2025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n v="2025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n v="2025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n v="2025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n v="2025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n v="2025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n v="2025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n v="2025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n v="2025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n v="2025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n v="2025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n v="2025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n v="2025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n v="2025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n v="2025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n v="2025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n v="2025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n v="2025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n v="2025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n v="2025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n v="2025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n v="2025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n v="2025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n v="2025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n v="2025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n v="2025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n v="2025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n v="2025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n v="2025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n v="2025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n v="2025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n v="2025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n v="2025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n v="2025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n v="2025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n v="2025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n v="2025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n v="2025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n v="2025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n v="2025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n v="2025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n v="2025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n v="2025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n v="2025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n v="2025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n v="2025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n v="2025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n v="2025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n v="2025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n v="2025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n v="2025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n v="2025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n v="2025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n v="2025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n v="2025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n v="2025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n v="2025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n v="2025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n v="2025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n v="2025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n v="2025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n v="2025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n v="2025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n v="2025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n v="2025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n v="2025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n v="2025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n v="2025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n v="2025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n v="2025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n v="2025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n v="2025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n v="2025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n v="2025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n v="2025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n v="2025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n v="2025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n v="2025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n v="2025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n v="2025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n v="2025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n v="2025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n v="2025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n v="2025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n v="2025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n v="2025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n v="2025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n v="2025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n v="2025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n v="2025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n v="2025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n v="2025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n v="2025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n v="2025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n v="2025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n v="2025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n v="2025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n v="2025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n v="2025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n v="2025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n v="2025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n v="2025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n v="2025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n v="2025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n v="2025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n v="2025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n v="2025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n v="2025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n v="2025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n v="2025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n v="2025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n v="2025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n v="2025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n v="2025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n v="2025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n v="2025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n v="2025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n v="2025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n v="2025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n v="2025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n v="2025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n v="2025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n v="2025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n v="2025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n v="2025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n v="2025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n v="2025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n v="2025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n v="2025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n v="2025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n v="2025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n v="2025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n v="2025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n v="2025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n v="2025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n v="2025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n v="2025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n v="2025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n v="2025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n v="2025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n v="2025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n v="2025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n v="2025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n v="2025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n v="2025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n v="2025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n v="2025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n v="2025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n v="2025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n v="2025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n v="2025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n v="2025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n v="2025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n v="2025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n v="2025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n v="2025"/>
    <x v="1250"/>
    <s v="C00000003"/>
    <x v="2"/>
    <s v="RA Resin 2100BQT-L (225Kg)"/>
    <n v="1"/>
    <n v="45"/>
    <x v="1"/>
    <d v="2025-08-01T00:00:00"/>
    <x v="2"/>
    <x v="7"/>
    <n v="1687.5"/>
    <n v="-1300"/>
    <n v="387.5"/>
    <n v="6769612.2500000028"/>
    <s v="PD Chq"/>
    <s v="AIBB 001044 28/7/25 RM1,300.00(RM1,300.00)"/>
    <m/>
  </r>
  <r>
    <x v="775"/>
    <n v="6"/>
    <n v="2025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n v="2025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n v="2025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n v="2025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n v="2025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n v="2025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n v="2025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n v="2025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n v="2025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n v="2025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n v="2025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n v="2025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n v="2025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n v="2025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n v="2025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n v="2025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n v="2025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n v="2025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n v="2025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n v="2025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n v="2025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n v="2025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n v="2025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n v="2025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n v="2025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n v="2025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n v="2025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n v="2025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n v="2025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n v="2025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n v="2025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n v="2025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n v="2025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n v="2025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n v="2025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n v="2025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n v="2025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n v="2025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  <r>
    <x v="782"/>
    <n v="7"/>
    <n v="2025"/>
    <x v="1262"/>
    <s v="C00000042"/>
    <x v="43"/>
    <s v="RQ Talcum Powder (25Kg)"/>
    <n v="1"/>
    <s v="Cash"/>
    <x v="0"/>
    <d v="2025-07-01T00:00:00"/>
    <x v="4"/>
    <x v="7"/>
    <n v="62.5"/>
    <m/>
    <n v="62.5"/>
    <n v="6833632.2500000028"/>
    <s v="Trsf"/>
    <m/>
    <m/>
  </r>
  <r>
    <x v="782"/>
    <n v="7"/>
    <n v="2025"/>
    <x v="1263"/>
    <s v="C00000042"/>
    <x v="43"/>
    <s v="RA Resin 2100BQT-L (225Kg)"/>
    <n v="2"/>
    <s v="Cash"/>
    <x v="0"/>
    <d v="2025-07-01T00:00:00"/>
    <x v="4"/>
    <x v="7"/>
    <n v="3240"/>
    <m/>
    <n v="3240"/>
    <n v="6836872.2500000028"/>
    <s v="Trsf"/>
    <m/>
    <m/>
  </r>
  <r>
    <x v="782"/>
    <n v="7"/>
    <n v="2025"/>
    <x v="1263"/>
    <s v="C00000042"/>
    <x v="43"/>
    <s v="RM CSM 450 1040mm(W) (30kg)"/>
    <n v="6"/>
    <s v="Cash"/>
    <x v="0"/>
    <d v="2025-07-01T00:00:00"/>
    <x v="4"/>
    <x v="7"/>
    <n v="1062"/>
    <m/>
    <n v="1062"/>
    <n v="6837934.2500000028"/>
    <s v="Trsf"/>
    <m/>
    <m/>
  </r>
  <r>
    <x v="782"/>
    <n v="7"/>
    <n v="2025"/>
    <x v="1263"/>
    <s v="C00000042"/>
    <x v="43"/>
    <s v="RA Woven Roving E-600gm 1120mm (45Kg)"/>
    <n v="3"/>
    <s v="Cash"/>
    <x v="0"/>
    <d v="2025-07-01T00:00:00"/>
    <x v="4"/>
    <x v="7"/>
    <n v="742.5"/>
    <m/>
    <n v="742.5"/>
    <n v="6838676.7500000028"/>
    <s v="Trsf"/>
    <m/>
    <m/>
  </r>
  <r>
    <x v="782"/>
    <n v="7"/>
    <n v="2025"/>
    <x v="1264"/>
    <s v="C00000019"/>
    <x v="18"/>
    <s v="RA Resin 268BQT (225Kg)"/>
    <n v="1"/>
    <s v="Cash"/>
    <x v="0"/>
    <d v="2025-07-01T00:00:00"/>
    <x v="4"/>
    <x v="7"/>
    <n v="1710"/>
    <m/>
    <n v="1710"/>
    <n v="6840386.7500000028"/>
    <s v="Trsf"/>
    <m/>
    <m/>
  </r>
  <r>
    <x v="782"/>
    <n v="7"/>
    <n v="2025"/>
    <x v="1264"/>
    <s v="C00000019"/>
    <x v="18"/>
    <s v="RM CSM 450 1860mm(W) (54kg)"/>
    <n v="1"/>
    <s v="Cash"/>
    <x v="0"/>
    <d v="2025-07-01T00:00:00"/>
    <x v="4"/>
    <x v="7"/>
    <n v="405"/>
    <m/>
    <n v="405"/>
    <n v="6840791.7500000028"/>
    <s v="Trsf"/>
    <m/>
    <m/>
  </r>
  <r>
    <x v="782"/>
    <n v="7"/>
    <n v="2025"/>
    <x v="1264"/>
    <s v="C00000019"/>
    <x v="18"/>
    <s v="RM Chemlease 71-90 EZ (1 gallon)"/>
    <n v="1"/>
    <s v="Cash"/>
    <x v="0"/>
    <d v="2025-07-01T00:00:00"/>
    <x v="4"/>
    <x v="7"/>
    <n v="390"/>
    <m/>
    <n v="390"/>
    <n v="6841181.7500000028"/>
    <s v="Trsf"/>
    <m/>
    <m/>
  </r>
  <r>
    <x v="783"/>
    <n v="7"/>
    <n v="2025"/>
    <x v="1265"/>
    <s v="C00000042"/>
    <x v="43"/>
    <s v="RQ Talcum Powder (25Kg)"/>
    <n v="2"/>
    <s v="Cash"/>
    <x v="0"/>
    <d v="2025-07-02T00:00:00"/>
    <x v="4"/>
    <x v="7"/>
    <n v="125"/>
    <m/>
    <n v="125"/>
    <n v="6841306.7500000028"/>
    <s v="Trsf"/>
    <m/>
    <m/>
  </r>
  <r>
    <x v="783"/>
    <n v="7"/>
    <n v="2025"/>
    <x v="1266"/>
    <s v="C00000042"/>
    <x v="43"/>
    <s v="RA Resin 2100BQT-L (225Kg)"/>
    <n v="3"/>
    <s v="Cash"/>
    <x v="0"/>
    <d v="2025-07-02T00:00:00"/>
    <x v="4"/>
    <x v="7"/>
    <n v="4860"/>
    <m/>
    <n v="4860"/>
    <n v="6846166.7500000028"/>
    <s v="Trsf"/>
    <m/>
    <m/>
  </r>
  <r>
    <x v="783"/>
    <n v="7"/>
    <n v="2025"/>
    <x v="1266"/>
    <s v="C00000042"/>
    <x v="43"/>
    <s v="RM CSM 450 1040mm(W) (30kg)"/>
    <n v="9"/>
    <s v="Cash"/>
    <x v="0"/>
    <d v="2025-07-02T00:00:00"/>
    <x v="4"/>
    <x v="7"/>
    <n v="1593"/>
    <m/>
    <n v="1593"/>
    <n v="6847759.7500000028"/>
    <s v="Trsf"/>
    <m/>
    <m/>
  </r>
  <r>
    <x v="783"/>
    <n v="7"/>
    <n v="2025"/>
    <x v="1266"/>
    <s v="C00000042"/>
    <x v="43"/>
    <s v="RA Woven Roving E-600gm 1120mm (45Kg)"/>
    <n v="4"/>
    <s v="Cash"/>
    <x v="0"/>
    <d v="2025-07-02T00:00:00"/>
    <x v="4"/>
    <x v="7"/>
    <n v="990"/>
    <m/>
    <n v="990"/>
    <n v="6848749.7500000028"/>
    <s v="Trsf"/>
    <m/>
    <m/>
  </r>
  <r>
    <x v="783"/>
    <n v="7"/>
    <n v="2025"/>
    <x v="1266"/>
    <s v="C00000042"/>
    <x v="43"/>
    <s v="RM Pigment Paste Smooth Cream M19 (25Kg)"/>
    <n v="1"/>
    <s v="Cash"/>
    <x v="0"/>
    <d v="2025-07-02T00:00:00"/>
    <x v="4"/>
    <x v="7"/>
    <n v="1000"/>
    <m/>
    <n v="1000"/>
    <n v="6849749.7500000028"/>
    <s v="Trsf"/>
    <m/>
    <m/>
  </r>
  <r>
    <x v="784"/>
    <n v="7"/>
    <n v="2025"/>
    <x v="1267"/>
    <s v="C00000044"/>
    <x v="46"/>
    <s v="RM Resin 268 Non Wax (225Kg)"/>
    <n v="1"/>
    <s v="Cash"/>
    <x v="0"/>
    <d v="2025-07-04T00:00:00"/>
    <x v="4"/>
    <x v="7"/>
    <n v="1687.5"/>
    <n v="-1687.5"/>
    <n v="0"/>
    <n v="6851437.2500000028"/>
    <s v="Cash"/>
    <s v="Trsf 9/7/25 RM2,279.50"/>
    <m/>
  </r>
  <r>
    <x v="784"/>
    <n v="7"/>
    <n v="2025"/>
    <x v="1267"/>
    <s v="C00000044"/>
    <x v="46"/>
    <s v="RM CSM 450 1040mm (30kg)"/>
    <n v="2"/>
    <s v="Cash"/>
    <x v="0"/>
    <d v="2025-07-04T00:00:00"/>
    <x v="4"/>
    <x v="7"/>
    <n v="432"/>
    <n v="-432"/>
    <n v="0"/>
    <n v="6851869.2500000028"/>
    <s v="Cash"/>
    <s v="Trsf 9/7/25 RM2,279.50"/>
    <m/>
  </r>
  <r>
    <x v="784"/>
    <n v="7"/>
    <n v="2025"/>
    <x v="1267"/>
    <s v="C00000044"/>
    <x v="46"/>
    <s v="RM Pigment Super Black PE30 (5kg)"/>
    <n v="1"/>
    <s v="Cash"/>
    <x v="0"/>
    <d v="2025-07-04T00:00:00"/>
    <x v="4"/>
    <x v="7"/>
    <n v="160"/>
    <n v="-160"/>
    <n v="0"/>
    <n v="6852029.2500000028"/>
    <s v="Cash"/>
    <s v="Trsf 9/7/25 RM2,279.50"/>
    <m/>
  </r>
  <r>
    <x v="785"/>
    <n v="7"/>
    <n v="2025"/>
    <x v="1268"/>
    <s v="C00000042"/>
    <x v="43"/>
    <s v="RQ Talcum Powder (25Kg)"/>
    <n v="3"/>
    <s v="Cash"/>
    <x v="0"/>
    <d v="2025-07-05T00:00:00"/>
    <x v="4"/>
    <x v="7"/>
    <n v="187.5"/>
    <m/>
    <n v="187.5"/>
    <n v="6852216.7500000028"/>
    <s v="Trsf"/>
    <m/>
    <m/>
  </r>
  <r>
    <x v="785"/>
    <n v="7"/>
    <n v="2025"/>
    <x v="1269"/>
    <s v="C00000042"/>
    <x v="43"/>
    <s v="RA Resin 2100BQT-L (225Kg)"/>
    <n v="5"/>
    <s v="Cash"/>
    <x v="0"/>
    <d v="2025-07-05T00:00:00"/>
    <x v="4"/>
    <x v="7"/>
    <n v="8100"/>
    <m/>
    <n v="8100"/>
    <n v="6860316.7500000028"/>
    <s v="Trsf"/>
    <m/>
    <m/>
  </r>
  <r>
    <x v="785"/>
    <n v="7"/>
    <n v="2025"/>
    <x v="1269"/>
    <s v="C00000042"/>
    <x v="43"/>
    <s v="RM CSM 450 1040mm(W) (30kg)"/>
    <n v="15"/>
    <s v="Cash"/>
    <x v="0"/>
    <d v="2025-07-05T00:00:00"/>
    <x v="4"/>
    <x v="7"/>
    <n v="2655"/>
    <m/>
    <n v="2655"/>
    <n v="6862971.7500000028"/>
    <s v="Trsf"/>
    <m/>
    <m/>
  </r>
  <r>
    <x v="785"/>
    <n v="7"/>
    <n v="2025"/>
    <x v="1269"/>
    <s v="C00000042"/>
    <x v="43"/>
    <s v="RA Woven Roving E-600gm 1120mm (45Kg)"/>
    <n v="7"/>
    <s v="Cash"/>
    <x v="0"/>
    <d v="2025-07-05T00:00:00"/>
    <x v="4"/>
    <x v="7"/>
    <n v="1732.5"/>
    <m/>
    <n v="1732.5"/>
    <n v="6864704.2500000028"/>
    <s v="Trsf"/>
    <m/>
    <m/>
  </r>
  <r>
    <x v="785"/>
    <n v="7"/>
    <n v="2025"/>
    <x v="1269"/>
    <s v="C00000042"/>
    <x v="43"/>
    <s v="RM Pigment Paste Riviera Blue B5 (25Kg)"/>
    <n v="1"/>
    <s v="Cash"/>
    <x v="0"/>
    <d v="2025-07-05T00:00:00"/>
    <x v="4"/>
    <x v="7"/>
    <n v="975"/>
    <m/>
    <n v="975"/>
    <n v="6865679.2500000028"/>
    <s v="Trsf"/>
    <m/>
    <m/>
  </r>
  <r>
    <x v="786"/>
    <n v="7"/>
    <n v="2025"/>
    <x v="1270"/>
    <s v="C00000042"/>
    <x v="43"/>
    <s v="RQ Talcum Powder (25Kg)"/>
    <n v="3"/>
    <s v="Cash"/>
    <x v="0"/>
    <d v="2025-07-08T00:00:00"/>
    <x v="4"/>
    <x v="7"/>
    <n v="187.5"/>
    <m/>
    <n v="187.5"/>
    <n v="6865866.7500000028"/>
    <s v="Trsf"/>
    <m/>
    <m/>
  </r>
  <r>
    <x v="786"/>
    <n v="7"/>
    <n v="2025"/>
    <x v="1271"/>
    <s v="C00000042"/>
    <x v="43"/>
    <s v="RO Resin 8213WPT (225kg)"/>
    <n v="6"/>
    <s v="Cash"/>
    <x v="0"/>
    <d v="2025-07-08T00:00:00"/>
    <x v="4"/>
    <x v="7"/>
    <n v="9720"/>
    <m/>
    <n v="9720"/>
    <n v="6875586.7500000028"/>
    <s v="Trsf"/>
    <m/>
    <m/>
  </r>
  <r>
    <x v="786"/>
    <n v="7"/>
    <n v="2025"/>
    <x v="1271"/>
    <s v="C00000042"/>
    <x v="43"/>
    <s v="RM CSM 450 1040mm(W) (30kg)"/>
    <n v="18"/>
    <s v="Cash"/>
    <x v="0"/>
    <d v="2025-07-08T00:00:00"/>
    <x v="4"/>
    <x v="7"/>
    <n v="3186"/>
    <m/>
    <n v="3186"/>
    <n v="6878772.7500000028"/>
    <s v="Trsf"/>
    <m/>
    <m/>
  </r>
  <r>
    <x v="786"/>
    <n v="7"/>
    <n v="2025"/>
    <x v="1271"/>
    <s v="C00000042"/>
    <x v="43"/>
    <s v="RA Woven Roving E-600gm 1120mm (45Kg)"/>
    <n v="8"/>
    <s v="Cash"/>
    <x v="0"/>
    <d v="2025-07-08T00:00:00"/>
    <x v="4"/>
    <x v="7"/>
    <n v="1980"/>
    <m/>
    <n v="1980"/>
    <n v="6880752.7500000028"/>
    <s v="Trsf"/>
    <m/>
    <m/>
  </r>
  <r>
    <x v="786"/>
    <n v="7"/>
    <n v="2025"/>
    <x v="1271"/>
    <s v="C00000042"/>
    <x v="43"/>
    <s v="RM Pigment Paste Riviera Blue B5 (25Kg)"/>
    <n v="1"/>
    <s v="Cash"/>
    <x v="0"/>
    <d v="2025-07-08T00:00:00"/>
    <x v="4"/>
    <x v="7"/>
    <n v="975"/>
    <m/>
    <n v="975"/>
    <n v="6881727.7500000028"/>
    <s v="Trsf"/>
    <m/>
    <m/>
  </r>
  <r>
    <x v="786"/>
    <n v="7"/>
    <n v="2025"/>
    <x v="1271"/>
    <s v="C00000042"/>
    <x v="43"/>
    <s v="RA Butanox M50 (5kg)"/>
    <n v="4"/>
    <s v="Cash"/>
    <x v="0"/>
    <d v="2025-07-08T00:00:00"/>
    <x v="4"/>
    <x v="7"/>
    <n v="460"/>
    <m/>
    <n v="460"/>
    <n v="6882187.7500000028"/>
    <s v="Trsf"/>
    <m/>
    <m/>
  </r>
  <r>
    <x v="787"/>
    <n v="7"/>
    <n v="2025"/>
    <x v="1272"/>
    <s v="C00000042"/>
    <x v="43"/>
    <s v="RQ Talcum Powder (25Kg)"/>
    <n v="2"/>
    <s v="Cash"/>
    <x v="0"/>
    <d v="2025-07-10T00:00:00"/>
    <x v="4"/>
    <x v="7"/>
    <n v="125"/>
    <m/>
    <n v="125"/>
    <n v="6882312.7500000028"/>
    <s v="Trsf"/>
    <m/>
    <m/>
  </r>
  <r>
    <x v="787"/>
    <n v="7"/>
    <n v="2025"/>
    <x v="1273"/>
    <s v="C00000042"/>
    <x v="43"/>
    <s v="RA Resin 2100BQT-L (225Kg)"/>
    <n v="5"/>
    <s v="Cash"/>
    <x v="0"/>
    <d v="2025-07-10T00:00:00"/>
    <x v="4"/>
    <x v="7"/>
    <n v="8100"/>
    <m/>
    <n v="8100"/>
    <n v="6890412.7500000028"/>
    <s v="Trsf"/>
    <m/>
    <m/>
  </r>
  <r>
    <x v="787"/>
    <n v="7"/>
    <n v="2025"/>
    <x v="1273"/>
    <s v="C00000042"/>
    <x v="43"/>
    <s v="RO CSM 450 1040mm(W) (37kg)"/>
    <n v="15"/>
    <s v="Cash"/>
    <x v="0"/>
    <d v="2025-07-10T00:00:00"/>
    <x v="4"/>
    <x v="7"/>
    <n v="3274.5"/>
    <m/>
    <n v="3274.5"/>
    <n v="6893687.2500000028"/>
    <s v="Trsf"/>
    <m/>
    <m/>
  </r>
  <r>
    <x v="787"/>
    <n v="7"/>
    <n v="2025"/>
    <x v="1273"/>
    <s v="C00000042"/>
    <x v="43"/>
    <s v="RA Woven Roving E-600gm 1120mm (45Kg)"/>
    <n v="10"/>
    <s v="Cash"/>
    <x v="0"/>
    <d v="2025-07-10T00:00:00"/>
    <x v="4"/>
    <x v="7"/>
    <n v="2475"/>
    <m/>
    <n v="2475"/>
    <n v="6896162.2500000028"/>
    <s v="Trsf"/>
    <m/>
    <m/>
  </r>
  <r>
    <x v="787"/>
    <n v="7"/>
    <n v="2025"/>
    <x v="1273"/>
    <s v="C00000042"/>
    <x v="43"/>
    <s v="RM Pigment Paste Smooth Cream M19 (25Kg)"/>
    <n v="1"/>
    <s v="Cash"/>
    <x v="0"/>
    <d v="2025-07-10T00:00:00"/>
    <x v="4"/>
    <x v="7"/>
    <n v="1000"/>
    <m/>
    <n v="1000"/>
    <n v="6897162.2500000028"/>
    <s v="Trsf"/>
    <m/>
    <m/>
  </r>
  <r>
    <x v="788"/>
    <n v="7"/>
    <n v="2025"/>
    <x v="1274"/>
    <s v="C00000010"/>
    <x v="9"/>
    <s v="RQ Talcum Powder (5kg)"/>
    <n v="1"/>
    <n v="120"/>
    <x v="2"/>
    <d v="2025-11-08T00:00:00"/>
    <x v="5"/>
    <x v="7"/>
    <n v="0"/>
    <m/>
    <n v="0"/>
    <n v="6897162.2500000028"/>
    <s v="Trsf"/>
    <m/>
    <m/>
  </r>
  <r>
    <x v="789"/>
    <n v="7"/>
    <n v="2025"/>
    <x v="1275"/>
    <s v="C00000042"/>
    <x v="43"/>
    <s v="RQ Talcum Powder (25Kg)"/>
    <n v="2"/>
    <s v="Cash"/>
    <x v="0"/>
    <d v="2025-07-15T00:00:00"/>
    <x v="4"/>
    <x v="7"/>
    <n v="125"/>
    <m/>
    <n v="125"/>
    <n v="6897287.2500000028"/>
    <s v="Trsf"/>
    <m/>
    <m/>
  </r>
  <r>
    <x v="789"/>
    <n v="7"/>
    <n v="2025"/>
    <x v="1276"/>
    <s v="C00000042"/>
    <x v="43"/>
    <s v="RA Resin 2100BQT-L (225Kg)"/>
    <n v="6"/>
    <s v="Cash"/>
    <x v="0"/>
    <d v="2025-07-15T00:00:00"/>
    <x v="4"/>
    <x v="7"/>
    <n v="9720"/>
    <m/>
    <n v="9720"/>
    <n v="6907007.2500000028"/>
    <s v="Trsf"/>
    <m/>
    <m/>
  </r>
  <r>
    <x v="789"/>
    <n v="7"/>
    <n v="2025"/>
    <x v="1276"/>
    <s v="C00000042"/>
    <x v="43"/>
    <s v="RO CSM 450 1040mm(W) (30kg)"/>
    <n v="18"/>
    <s v="Cash"/>
    <x v="0"/>
    <d v="2025-07-15T00:00:00"/>
    <x v="4"/>
    <x v="7"/>
    <n v="3186"/>
    <m/>
    <n v="3186"/>
    <n v="6910193.2500000028"/>
    <s v="Trsf"/>
    <m/>
    <m/>
  </r>
  <r>
    <x v="789"/>
    <n v="7"/>
    <n v="2025"/>
    <x v="1276"/>
    <s v="C00000042"/>
    <x v="43"/>
    <s v="RA Woven Roving E-600gm 1120mm (45Kg)"/>
    <n v="9"/>
    <s v="Cash"/>
    <x v="0"/>
    <d v="2025-07-15T00:00:00"/>
    <x v="4"/>
    <x v="7"/>
    <n v="2227.5"/>
    <m/>
    <n v="2227.5"/>
    <n v="6912420.7500000028"/>
    <s v="Trsf"/>
    <m/>
    <m/>
  </r>
  <r>
    <x v="789"/>
    <n v="7"/>
    <n v="2025"/>
    <x v="1276"/>
    <s v="C00000042"/>
    <x v="43"/>
    <s v="RA Butanox M50 (5kg)"/>
    <n v="4"/>
    <s v="Cash"/>
    <x v="0"/>
    <d v="2025-07-15T00:00:00"/>
    <x v="4"/>
    <x v="7"/>
    <n v="460"/>
    <m/>
    <n v="460"/>
    <n v="6912880.7500000028"/>
    <s v="Trsf"/>
    <m/>
    <m/>
  </r>
  <r>
    <x v="789"/>
    <n v="7"/>
    <n v="2025"/>
    <x v="1276"/>
    <s v="C00000042"/>
    <x v="43"/>
    <s v="RM Pigment Paste Riviera Blue B5 (25Kg)"/>
    <n v="1"/>
    <s v="Cash"/>
    <x v="0"/>
    <d v="2025-07-15T00:00:00"/>
    <x v="4"/>
    <x v="7"/>
    <n v="975"/>
    <m/>
    <n v="975"/>
    <n v="6913855.7500000028"/>
    <s v="Trsf"/>
    <m/>
    <m/>
  </r>
  <r>
    <x v="790"/>
    <n v="7"/>
    <n v="2025"/>
    <x v="1277"/>
    <s v="C00000019"/>
    <x v="18"/>
    <s v="RA Resin 268BQT (225Kg)"/>
    <n v="1"/>
    <s v="Cash"/>
    <x v="0"/>
    <d v="2025-07-16T00:00:00"/>
    <x v="4"/>
    <x v="7"/>
    <n v="1710"/>
    <m/>
    <n v="1710"/>
    <n v="6915565.7500000028"/>
    <s v="Trsf"/>
    <m/>
    <m/>
  </r>
  <r>
    <x v="790"/>
    <n v="7"/>
    <n v="2025"/>
    <x v="1277"/>
    <s v="C00000019"/>
    <x v="18"/>
    <s v="RM CSM 450 1860mm(W) (54kg)"/>
    <n v="1"/>
    <s v="Cash"/>
    <x v="0"/>
    <d v="2025-07-16T00:00:00"/>
    <x v="4"/>
    <x v="7"/>
    <n v="405"/>
    <m/>
    <n v="405"/>
    <n v="6915970.7500000028"/>
    <s v="Trsf"/>
    <m/>
    <m/>
  </r>
  <r>
    <x v="790"/>
    <n v="7"/>
    <n v="2025"/>
    <x v="1277"/>
    <s v="C00000019"/>
    <x v="18"/>
    <s v="RA Butanox M50 (5kg)"/>
    <n v="1"/>
    <s v="Cash"/>
    <x v="0"/>
    <d v="2025-07-16T00:00:00"/>
    <x v="4"/>
    <x v="7"/>
    <n v="110"/>
    <m/>
    <n v="110"/>
    <n v="6916080.7500000028"/>
    <s v="Trsf"/>
    <m/>
    <m/>
  </r>
  <r>
    <x v="790"/>
    <n v="7"/>
    <n v="2025"/>
    <x v="1277"/>
    <s v="C00000019"/>
    <x v="18"/>
    <s v="RQ Talcum Powder (25kg)"/>
    <n v="1"/>
    <s v="Cash"/>
    <x v="0"/>
    <d v="2025-07-16T00:00:00"/>
    <x v="4"/>
    <x v="7"/>
    <n v="62.5"/>
    <m/>
    <n v="62.5"/>
    <n v="6916143.2500000028"/>
    <s v="Trsf"/>
    <m/>
    <m/>
  </r>
  <r>
    <x v="790"/>
    <n v="7"/>
    <n v="2025"/>
    <x v="1277"/>
    <s v="C00000019"/>
    <x v="18"/>
    <s v="RM Fume Silica HJSIL 200 (10Kg)"/>
    <n v="1"/>
    <s v="Cash"/>
    <x v="0"/>
    <d v="2025-07-16T00:00:00"/>
    <x v="4"/>
    <x v="7"/>
    <n v="420"/>
    <m/>
    <n v="420"/>
    <n v="6916563.2500000028"/>
    <s v="Trsf"/>
    <m/>
    <m/>
  </r>
  <r>
    <x v="790"/>
    <n v="7"/>
    <n v="2025"/>
    <x v="1277"/>
    <s v="C00000019"/>
    <x v="18"/>
    <s v="RM Pigment Paste Orange (5Kg)"/>
    <n v="1"/>
    <s v="Cash"/>
    <x v="0"/>
    <d v="2025-07-16T00:00:00"/>
    <x v="4"/>
    <x v="7"/>
    <n v="260"/>
    <m/>
    <n v="260"/>
    <n v="6916823.2500000028"/>
    <s v="Trsf"/>
    <m/>
    <m/>
  </r>
  <r>
    <x v="790"/>
    <n v="7"/>
    <n v="2025"/>
    <x v="1277"/>
    <s v="C00000019"/>
    <x v="18"/>
    <s v="RO Gelcoat LB9888 (22kg)"/>
    <n v="1"/>
    <s v="Cash"/>
    <x v="0"/>
    <d v="2025-07-16T00:00:00"/>
    <x v="4"/>
    <x v="7"/>
    <n v="283.8"/>
    <m/>
    <n v="283.8"/>
    <n v="6917107.0500000026"/>
    <s v="Trsf"/>
    <m/>
    <m/>
  </r>
  <r>
    <x v="791"/>
    <n v="7"/>
    <n v="2025"/>
    <x v="1278"/>
    <s v="C00000044"/>
    <x v="46"/>
    <s v="RA Resin 268BQT (225Kg)"/>
    <n v="1"/>
    <s v="Cash"/>
    <x v="0"/>
    <d v="2025-07-17T00:00:00"/>
    <x v="4"/>
    <x v="7"/>
    <n v="1687.5"/>
    <n v="-1687.5"/>
    <n v="0"/>
    <n v="6918794.5500000026"/>
    <s v="Cash"/>
    <s v="Trsf 25/7/25 RM3,553.00"/>
    <m/>
  </r>
  <r>
    <x v="791"/>
    <n v="7"/>
    <n v="2025"/>
    <x v="1278"/>
    <s v="C00000044"/>
    <x v="46"/>
    <s v="RA CSM 450 1040mm (30kg)"/>
    <n v="3"/>
    <s v="Cash"/>
    <x v="0"/>
    <d v="2025-07-17T00:00:00"/>
    <x v="4"/>
    <x v="7"/>
    <n v="648"/>
    <n v="-648"/>
    <n v="0"/>
    <n v="6919442.5500000026"/>
    <s v="Cash"/>
    <s v="Trsf 25/7/25 RM3,553.00"/>
    <m/>
  </r>
  <r>
    <x v="791"/>
    <n v="7"/>
    <n v="2025"/>
    <x v="1278"/>
    <s v="C00000044"/>
    <x v="46"/>
    <s v="RA Honeycomb 19mm - 1220(W) x 2440(L)"/>
    <n v="5"/>
    <s v="Cash"/>
    <x v="0"/>
    <d v="2025-07-17T00:00:00"/>
    <x v="4"/>
    <x v="7"/>
    <n v="875"/>
    <n v="-875"/>
    <n v="0"/>
    <n v="6920317.5500000026"/>
    <s v="Cash"/>
    <s v="Trsf 25/7/25 RM3,553.00"/>
    <m/>
  </r>
  <r>
    <x v="791"/>
    <n v="7"/>
    <n v="2025"/>
    <x v="1278"/>
    <s v="C00000044"/>
    <x v="46"/>
    <s v="RA Butanox M50 (5kg)"/>
    <n v="1"/>
    <s v="Cash"/>
    <x v="0"/>
    <d v="2025-07-17T00:00:00"/>
    <x v="4"/>
    <x v="7"/>
    <n v="115"/>
    <n v="-115"/>
    <n v="0"/>
    <n v="6920432.5500000026"/>
    <s v="Cash"/>
    <s v="Trsf 25/7/25 RM3,553.00"/>
    <m/>
  </r>
  <r>
    <x v="791"/>
    <n v="7"/>
    <n v="2025"/>
    <x v="1278"/>
    <s v="C00000044"/>
    <x v="46"/>
    <s v="RQ Talcum Powder (25Kg)"/>
    <n v="1"/>
    <s v="Cash"/>
    <x v="0"/>
    <d v="2025-07-17T00:00:00"/>
    <x v="4"/>
    <x v="7"/>
    <n v="62.5"/>
    <n v="-62.5"/>
    <n v="0"/>
    <n v="6920495.0500000026"/>
    <s v="Cash"/>
    <s v="Trsf 25/7/25 RM3,553.00"/>
    <m/>
  </r>
  <r>
    <x v="791"/>
    <n v="7"/>
    <n v="2025"/>
    <x v="1278"/>
    <s v="C00000044"/>
    <x v="46"/>
    <s v="RM Pigment Light Grey G1 (5kg)"/>
    <n v="1"/>
    <s v="Cash"/>
    <x v="0"/>
    <d v="2025-07-17T00:00:00"/>
    <x v="4"/>
    <x v="7"/>
    <n v="165"/>
    <n v="-165"/>
    <n v="0"/>
    <n v="6920660.0500000026"/>
    <s v="Cash"/>
    <s v="Trsf 25/7/25 RM3,553.00"/>
    <m/>
  </r>
  <r>
    <x v="792"/>
    <n v="7"/>
    <n v="2025"/>
    <x v="1279"/>
    <s v="C00000042"/>
    <x v="43"/>
    <s v="RQ Talcum Powder (25Kg)"/>
    <n v="3"/>
    <s v="Cash"/>
    <x v="0"/>
    <d v="2025-07-18T00:00:00"/>
    <x v="4"/>
    <x v="7"/>
    <n v="187.5"/>
    <m/>
    <n v="187.5"/>
    <n v="6920847.5500000026"/>
    <s v="Trsf"/>
    <m/>
    <m/>
  </r>
  <r>
    <x v="792"/>
    <n v="7"/>
    <n v="2025"/>
    <x v="1280"/>
    <s v="C00000042"/>
    <x v="43"/>
    <s v="RO Resin 8213WPT (225kg)"/>
    <n v="6"/>
    <s v="Cash"/>
    <x v="0"/>
    <d v="2025-07-18T00:00:00"/>
    <x v="4"/>
    <x v="7"/>
    <n v="9720"/>
    <m/>
    <n v="9720"/>
    <n v="6930567.5500000026"/>
    <s v="Trsf"/>
    <m/>
    <m/>
  </r>
  <r>
    <x v="792"/>
    <n v="7"/>
    <n v="2025"/>
    <x v="1280"/>
    <s v="C00000042"/>
    <x v="43"/>
    <s v="RO CSM 450 1040mm(W) (30kg)"/>
    <n v="12"/>
    <s v="Cash"/>
    <x v="0"/>
    <d v="2025-07-18T00:00:00"/>
    <x v="4"/>
    <x v="7"/>
    <n v="2124"/>
    <m/>
    <n v="2124"/>
    <n v="6932691.5500000026"/>
    <s v="Trsf"/>
    <m/>
    <m/>
  </r>
  <r>
    <x v="792"/>
    <n v="7"/>
    <n v="2025"/>
    <x v="1280"/>
    <s v="C00000042"/>
    <x v="43"/>
    <s v="RA Woven Roving E-600gm 1120mm (45Kg)"/>
    <n v="7"/>
    <s v="Cash"/>
    <x v="0"/>
    <d v="2025-07-18T00:00:00"/>
    <x v="4"/>
    <x v="7"/>
    <n v="1732.5"/>
    <m/>
    <n v="1732.5"/>
    <n v="6934424.0500000026"/>
    <s v="Trsf"/>
    <m/>
    <m/>
  </r>
  <r>
    <x v="792"/>
    <n v="7"/>
    <n v="2025"/>
    <x v="1280"/>
    <s v="C00000042"/>
    <x v="43"/>
    <s v="RA Butanox M50 (5kg)"/>
    <n v="8"/>
    <s v="Cash"/>
    <x v="0"/>
    <d v="2025-07-18T00:00:00"/>
    <x v="4"/>
    <x v="7"/>
    <n v="920"/>
    <m/>
    <n v="920"/>
    <n v="6935344.0500000026"/>
    <s v="Trsf"/>
    <m/>
    <m/>
  </r>
  <r>
    <x v="793"/>
    <n v="7"/>
    <n v="2025"/>
    <x v="1281"/>
    <s v="C00000010"/>
    <x v="9"/>
    <s v="RO Resin 8213WPT (225kg)"/>
    <n v="5"/>
    <n v="120"/>
    <x v="2"/>
    <d v="2025-11-18T00:00:00"/>
    <x v="5"/>
    <x v="7"/>
    <n v="7762.5"/>
    <m/>
    <n v="7762.5"/>
    <n v="6943106.5500000026"/>
    <s v="Trsf"/>
    <m/>
    <m/>
  </r>
  <r>
    <x v="793"/>
    <n v="7"/>
    <n v="2025"/>
    <x v="1281"/>
    <s v="C00000010"/>
    <x v="9"/>
    <s v="RO CSM 450 1040mm(W) (37kg)"/>
    <n v="15"/>
    <n v="120"/>
    <x v="2"/>
    <d v="2025-11-18T00:00:00"/>
    <x v="5"/>
    <x v="7"/>
    <n v="3219"/>
    <m/>
    <n v="3219"/>
    <n v="6946325.5500000026"/>
    <s v="Trsf"/>
    <m/>
    <m/>
  </r>
  <r>
    <x v="793"/>
    <n v="7"/>
    <n v="2025"/>
    <x v="1281"/>
    <s v="C00000010"/>
    <x v="9"/>
    <s v="RD Brush 3&quot; (12Pc)"/>
    <n v="4"/>
    <n v="120"/>
    <x v="2"/>
    <d v="2025-11-18T00:00:00"/>
    <x v="5"/>
    <x v="7"/>
    <n v="230.4"/>
    <m/>
    <n v="230.4"/>
    <n v="6946555.950000003"/>
    <s v="Trsf"/>
    <m/>
    <m/>
  </r>
  <r>
    <x v="793"/>
    <n v="7"/>
    <n v="2025"/>
    <x v="1281"/>
    <s v="C00000010"/>
    <x v="9"/>
    <s v="RA Butanox M50 (5kg)"/>
    <n v="4"/>
    <n v="120"/>
    <x v="2"/>
    <d v="2025-11-18T00:00:00"/>
    <x v="5"/>
    <x v="7"/>
    <n v="440"/>
    <m/>
    <n v="440"/>
    <n v="6946995.950000003"/>
    <s v="Trsf"/>
    <m/>
    <m/>
  </r>
  <r>
    <x v="793"/>
    <n v="7"/>
    <n v="2025"/>
    <x v="1281"/>
    <s v="C00000010"/>
    <x v="9"/>
    <s v="RH Bosny Wax (15Kg)"/>
    <n v="1"/>
    <n v="120"/>
    <x v="2"/>
    <d v="2025-11-18T00:00:00"/>
    <x v="5"/>
    <x v="7"/>
    <n v="395"/>
    <m/>
    <n v="395"/>
    <n v="6947390.950000003"/>
    <s v="Trsf"/>
    <m/>
    <m/>
  </r>
  <r>
    <x v="793"/>
    <n v="7"/>
    <n v="2025"/>
    <x v="1282"/>
    <s v="C00000010"/>
    <x v="9"/>
    <s v="RM Fume Silica HJSIL 200 (10Kg)"/>
    <n v="2"/>
    <n v="120"/>
    <x v="2"/>
    <d v="2025-11-18T00:00:00"/>
    <x v="5"/>
    <x v="7"/>
    <n v="840"/>
    <m/>
    <n v="840"/>
    <n v="6948230.950000003"/>
    <s v="Trsf"/>
    <m/>
    <m/>
  </r>
  <r>
    <x v="794"/>
    <n v="7"/>
    <n v="2025"/>
    <x v="1283"/>
    <s v="C00000042"/>
    <x v="43"/>
    <s v="RQ Talcum Powder (25Kg)"/>
    <n v="4"/>
    <s v="Cash"/>
    <x v="0"/>
    <d v="2025-07-22T00:00:00"/>
    <x v="4"/>
    <x v="7"/>
    <n v="250"/>
    <m/>
    <n v="250"/>
    <n v="6948480.950000003"/>
    <s v="Trsf"/>
    <m/>
    <m/>
  </r>
  <r>
    <x v="794"/>
    <n v="7"/>
    <n v="2025"/>
    <x v="1284"/>
    <s v="C00000042"/>
    <x v="43"/>
    <s v="RA Resin 2100BQT-L (225Kg)"/>
    <n v="8"/>
    <s v="Cash"/>
    <x v="0"/>
    <d v="2025-07-22T00:00:00"/>
    <x v="4"/>
    <x v="7"/>
    <n v="12960"/>
    <m/>
    <n v="12960"/>
    <n v="6961440.950000003"/>
    <s v="Trsf"/>
    <m/>
    <m/>
  </r>
  <r>
    <x v="794"/>
    <n v="7"/>
    <n v="2025"/>
    <x v="1284"/>
    <s v="C00000042"/>
    <x v="43"/>
    <s v="RO CSM 450 1040mm(W) (30kg)"/>
    <n v="24"/>
    <s v="Cash"/>
    <x v="0"/>
    <d v="2025-07-22T00:00:00"/>
    <x v="4"/>
    <x v="7"/>
    <n v="4248"/>
    <m/>
    <n v="4248"/>
    <n v="6965688.950000003"/>
    <s v="Trsf"/>
    <m/>
    <m/>
  </r>
  <r>
    <x v="794"/>
    <n v="7"/>
    <n v="2025"/>
    <x v="1284"/>
    <s v="C00000042"/>
    <x v="43"/>
    <s v="RA Woven Roving E-600gm 1120mm (45Kg)"/>
    <n v="12"/>
    <s v="Cash"/>
    <x v="0"/>
    <d v="2025-07-22T00:00:00"/>
    <x v="4"/>
    <x v="7"/>
    <n v="2970"/>
    <m/>
    <n v="2970"/>
    <n v="6968658.950000003"/>
    <s v="Trsf"/>
    <m/>
    <m/>
  </r>
  <r>
    <x v="794"/>
    <n v="7"/>
    <n v="2025"/>
    <x v="1284"/>
    <s v="C00000042"/>
    <x v="43"/>
    <s v="RA Butanox M50 (5kg)"/>
    <n v="4"/>
    <s v="Cash"/>
    <x v="0"/>
    <d v="2025-07-22T00:00:00"/>
    <x v="4"/>
    <x v="7"/>
    <n v="460"/>
    <m/>
    <n v="460"/>
    <n v="6969118.950000003"/>
    <s v="Trsf"/>
    <m/>
    <m/>
  </r>
  <r>
    <x v="794"/>
    <n v="7"/>
    <n v="2025"/>
    <x v="1284"/>
    <s v="C00000042"/>
    <x v="43"/>
    <s v="RM Pigment Paste Smooth Cream M19 (25Kg)"/>
    <n v="1"/>
    <s v="Cash"/>
    <x v="0"/>
    <d v="2025-07-22T00:00:00"/>
    <x v="4"/>
    <x v="7"/>
    <n v="1000"/>
    <m/>
    <n v="1000"/>
    <n v="6970118.950000003"/>
    <s v="Trsf"/>
    <m/>
    <m/>
  </r>
  <r>
    <x v="795"/>
    <n v="7"/>
    <n v="2025"/>
    <x v="1285"/>
    <s v="C00000061"/>
    <x v="63"/>
    <s v="RO CSM 450 1860mm(W) (67kg)"/>
    <n v="1"/>
    <s v="Cash"/>
    <x v="0"/>
    <d v="2025-07-26T00:00:00"/>
    <x v="4"/>
    <x v="7"/>
    <n v="408.7"/>
    <n v="-408.7"/>
    <n v="0"/>
    <n v="6970527.6500000032"/>
    <s v="Cash"/>
    <s v="Trsf 26/7/25 RM17.60+448.60 = RM466.20"/>
    <m/>
  </r>
  <r>
    <x v="795"/>
    <n v="7"/>
    <n v="2025"/>
    <x v="1285"/>
    <s v="C00000061"/>
    <x v="63"/>
    <s v="RQ Talcum Powder (25kg)"/>
    <n v="1"/>
    <s v="Cash"/>
    <x v="0"/>
    <d v="2025-07-26T00:00:00"/>
    <x v="4"/>
    <x v="7"/>
    <n v="57.5"/>
    <n v="-57.5"/>
    <n v="0"/>
    <n v="6970585.1500000032"/>
    <s v="Cash"/>
    <s v="Trsf 26/7/25 RM17.60+448.60 = RM466.20"/>
    <m/>
  </r>
  <r>
    <x v="796"/>
    <n v="7"/>
    <n v="2025"/>
    <x v="1286"/>
    <s v="C00000044"/>
    <x v="46"/>
    <s v="RA Resin 268BQT (225Kg)"/>
    <n v="1"/>
    <s v="Cash"/>
    <x v="0"/>
    <d v="2025-07-28T00:00:00"/>
    <x v="4"/>
    <x v="7"/>
    <n v="1687.5"/>
    <n v="-1687.5"/>
    <n v="0"/>
    <n v="6972272.6500000032"/>
    <s v="Cash"/>
    <s v="Trsf 28/7/25 RM2,119.50"/>
    <m/>
  </r>
  <r>
    <x v="796"/>
    <n v="7"/>
    <n v="2025"/>
    <x v="1286"/>
    <s v="C00000044"/>
    <x v="46"/>
    <s v="RA CSM 450 1040mm (30kg)"/>
    <n v="2"/>
    <s v="Cash"/>
    <x v="0"/>
    <d v="2025-07-28T00:00:00"/>
    <x v="4"/>
    <x v="7"/>
    <n v="432"/>
    <n v="-432"/>
    <n v="0"/>
    <n v="6972704.6500000032"/>
    <s v="Cash"/>
    <s v="Trsf 28/7/25 RM2,119.50"/>
    <m/>
  </r>
  <r>
    <x v="796"/>
    <n v="7"/>
    <n v="2025"/>
    <x v="1287"/>
    <s v="C00000042"/>
    <x v="43"/>
    <s v="RQ Talcum Powder (25Kg)"/>
    <n v="2"/>
    <s v="Cash"/>
    <x v="0"/>
    <d v="2025-07-28T00:00:00"/>
    <x v="4"/>
    <x v="7"/>
    <n v="125"/>
    <m/>
    <n v="125"/>
    <n v="6972829.6500000032"/>
    <s v="Trsf"/>
    <m/>
    <m/>
  </r>
  <r>
    <x v="796"/>
    <n v="7"/>
    <n v="2025"/>
    <x v="1288"/>
    <s v="C00000042"/>
    <x v="43"/>
    <s v="RA Resin 2100BQT-L (225Kg)"/>
    <n v="3"/>
    <s v="Cash"/>
    <x v="0"/>
    <d v="2025-07-28T00:00:00"/>
    <x v="4"/>
    <x v="7"/>
    <n v="4860"/>
    <m/>
    <n v="4860"/>
    <n v="6977689.6500000032"/>
    <s v="Trsf"/>
    <m/>
    <m/>
  </r>
  <r>
    <x v="796"/>
    <n v="7"/>
    <n v="2025"/>
    <x v="1288"/>
    <s v="C00000042"/>
    <x v="43"/>
    <s v="RA Woven Roving E-600gm 1120mm (45Kg)"/>
    <n v="4"/>
    <s v="Cash"/>
    <x v="0"/>
    <d v="2025-07-28T00:00:00"/>
    <x v="4"/>
    <x v="7"/>
    <n v="990"/>
    <m/>
    <n v="990"/>
    <n v="6978679.6500000032"/>
    <s v="Trsf"/>
    <m/>
    <m/>
  </r>
  <r>
    <x v="796"/>
    <n v="7"/>
    <n v="2025"/>
    <x v="1288"/>
    <s v="C00000042"/>
    <x v="43"/>
    <s v="RA Butanox M50 (5kg)"/>
    <n v="4"/>
    <s v="Cash"/>
    <x v="0"/>
    <d v="2025-07-28T00:00:00"/>
    <x v="4"/>
    <x v="7"/>
    <n v="460"/>
    <m/>
    <n v="460"/>
    <n v="6979139.6500000032"/>
    <s v="Trsf"/>
    <m/>
    <m/>
  </r>
  <r>
    <x v="796"/>
    <n v="7"/>
    <n v="2025"/>
    <x v="1288"/>
    <s v="C00000042"/>
    <x v="43"/>
    <s v="RM Pigment Paste Smooth Cream M19 (25Kg)"/>
    <n v="1"/>
    <s v="Cash"/>
    <x v="0"/>
    <d v="2025-07-28T00:00:00"/>
    <x v="4"/>
    <x v="7"/>
    <n v="1000"/>
    <m/>
    <n v="1000"/>
    <n v="6980139.6500000032"/>
    <s v="Trsf"/>
    <m/>
    <m/>
  </r>
  <r>
    <x v="797"/>
    <n v="7"/>
    <n v="2025"/>
    <x v="1289"/>
    <s v="C00000019"/>
    <x v="18"/>
    <s v="RA Resin 268BQT (225Kg)"/>
    <n v="1"/>
    <s v="Cash"/>
    <x v="0"/>
    <d v="2025-07-29T00:00:00"/>
    <x v="4"/>
    <x v="7"/>
    <n v="1710"/>
    <m/>
    <n v="1710"/>
    <n v="6981849.6500000032"/>
    <s v="Trsf"/>
    <m/>
    <m/>
  </r>
  <r>
    <x v="797"/>
    <n v="7"/>
    <n v="2025"/>
    <x v="1289"/>
    <s v="C00000019"/>
    <x v="18"/>
    <s v="RQ Talcum Powder (25kg)"/>
    <n v="3"/>
    <s v="Cash"/>
    <x v="0"/>
    <d v="2025-07-29T00:00:00"/>
    <x v="4"/>
    <x v="7"/>
    <n v="187.5"/>
    <m/>
    <n v="187.5"/>
    <n v="6982037.1500000032"/>
    <s v="Trsf"/>
    <m/>
    <m/>
  </r>
  <r>
    <x v="797"/>
    <n v="7"/>
    <n v="2025"/>
    <x v="1289"/>
    <s v="C00000019"/>
    <x v="18"/>
    <s v="RA Butanox M50 (5kg)"/>
    <n v="1"/>
    <s v="Cash"/>
    <x v="0"/>
    <d v="2025-07-29T00:00:00"/>
    <x v="4"/>
    <x v="7"/>
    <n v="110"/>
    <m/>
    <n v="110"/>
    <n v="6982147.1500000032"/>
    <s v="Trsf"/>
    <m/>
    <m/>
  </r>
  <r>
    <x v="797"/>
    <n v="7"/>
    <n v="2025"/>
    <x v="1289"/>
    <s v="C00000019"/>
    <x v="18"/>
    <s v="RM Chemlease 71-90 EZ (1 gallon)"/>
    <n v="1"/>
    <s v="Cash"/>
    <x v="0"/>
    <d v="2025-07-29T00:00:00"/>
    <x v="4"/>
    <x v="7"/>
    <n v="390"/>
    <m/>
    <n v="390"/>
    <n v="6982537.1500000032"/>
    <s v="Trsf"/>
    <m/>
    <m/>
  </r>
  <r>
    <x v="797"/>
    <n v="7"/>
    <n v="2025"/>
    <x v="1290"/>
    <s v="C00000061"/>
    <x v="63"/>
    <s v="RA Resin 268BQT (225Kg)"/>
    <n v="1"/>
    <s v="Cash"/>
    <x v="0"/>
    <d v="2025-07-29T00:00:00"/>
    <x v="4"/>
    <x v="7"/>
    <n v="1642.5"/>
    <n v="-1642.5"/>
    <n v="0"/>
    <n v="6984179.6500000032"/>
    <s v="Cash"/>
    <s v="Trsf 28/7/25 RM1,700.00"/>
    <m/>
  </r>
  <r>
    <x v="797"/>
    <n v="7"/>
    <n v="2025"/>
    <x v="1290"/>
    <s v="C00000061"/>
    <x v="63"/>
    <s v="RQ Talcum Powder (25kg)"/>
    <n v="1"/>
    <s v="Cash"/>
    <x v="0"/>
    <d v="2025-07-29T00:00:00"/>
    <x v="4"/>
    <x v="7"/>
    <n v="57.5"/>
    <n v="-57.5"/>
    <n v="0"/>
    <n v="6984237.1500000032"/>
    <s v="Cash"/>
    <s v="Trsf 28/7/25 RM1,700.00"/>
    <m/>
  </r>
  <r>
    <x v="798"/>
    <n v="7"/>
    <n v="2025"/>
    <x v="1291"/>
    <s v="C00000027"/>
    <x v="28"/>
    <s v="RA Resin 268BQT (225Kg)"/>
    <n v="2"/>
    <s v="Cash"/>
    <x v="0"/>
    <d v="2025-07-30T00:00:00"/>
    <x v="4"/>
    <x v="7"/>
    <n v="3420"/>
    <m/>
    <n v="3420"/>
    <n v="6987657.1500000032"/>
    <s v="Trsf"/>
    <m/>
    <m/>
  </r>
  <r>
    <x v="798"/>
    <n v="7"/>
    <n v="2025"/>
    <x v="1291"/>
    <s v="C00000027"/>
    <x v="28"/>
    <s v="RA CSM 300 1040mm (30kg)"/>
    <n v="4"/>
    <s v="Cash"/>
    <x v="0"/>
    <d v="2025-07-30T00:00:00"/>
    <x v="4"/>
    <x v="7"/>
    <n v="876"/>
    <m/>
    <n v="876"/>
    <n v="6988533.1500000032"/>
    <s v="Trsf"/>
    <m/>
    <m/>
  </r>
  <r>
    <x v="798"/>
    <n v="7"/>
    <n v="2025"/>
    <x v="1291"/>
    <s v="C00000027"/>
    <x v="28"/>
    <s v="RM CSM 450 1860mm(W) (54Kg)"/>
    <n v="1"/>
    <s v="Cash"/>
    <x v="0"/>
    <d v="2025-07-30T00:00:00"/>
    <x v="4"/>
    <x v="7"/>
    <n v="394.2"/>
    <m/>
    <n v="394.2"/>
    <n v="6988927.3500000034"/>
    <s v="Trsf"/>
    <m/>
    <m/>
  </r>
  <r>
    <x v="798"/>
    <n v="7"/>
    <n v="2025"/>
    <x v="1291"/>
    <s v="C00000027"/>
    <x v="28"/>
    <s v="RM Woven Roving E-600gm 1000mm (40Kg)"/>
    <n v="1"/>
    <s v="Cash"/>
    <x v="0"/>
    <d v="2025-07-30T00:00:00"/>
    <x v="4"/>
    <x v="7"/>
    <n v="280"/>
    <m/>
    <n v="280"/>
    <n v="6989207.3500000034"/>
    <s v="Trsf"/>
    <m/>
    <m/>
  </r>
  <r>
    <x v="798"/>
    <n v="7"/>
    <n v="2025"/>
    <x v="1291"/>
    <s v="C00000027"/>
    <x v="28"/>
    <s v="RO Gelcoat LB9888 (22kg)"/>
    <n v="2"/>
    <s v="Cash"/>
    <x v="0"/>
    <d v="2025-07-30T00:00:00"/>
    <x v="4"/>
    <x v="7"/>
    <n v="563.20000000000005"/>
    <m/>
    <n v="563.20000000000005"/>
    <n v="6989770.5500000035"/>
    <s v="Trsf"/>
    <m/>
    <m/>
  </r>
  <r>
    <x v="798"/>
    <n v="7"/>
    <n v="2025"/>
    <x v="1291"/>
    <s v="C00000027"/>
    <x v="28"/>
    <s v="RM Acetone (163kg)"/>
    <n v="1"/>
    <s v="Cash"/>
    <x v="0"/>
    <d v="2025-07-30T00:00:00"/>
    <x v="4"/>
    <x v="7"/>
    <n v="1108.4000000000001"/>
    <m/>
    <n v="1108.4000000000001"/>
    <n v="6990878.9500000039"/>
    <s v="Trsf"/>
    <m/>
    <m/>
  </r>
  <r>
    <x v="798"/>
    <n v="7"/>
    <n v="2025"/>
    <x v="1291"/>
    <s v="C00000027"/>
    <x v="28"/>
    <s v="RM TR104 Hi Temp Wax"/>
    <n v="6"/>
    <s v="Cash"/>
    <x v="0"/>
    <d v="2025-07-30T00:00:00"/>
    <x v="4"/>
    <x v="7"/>
    <n v="360"/>
    <m/>
    <n v="360"/>
    <n v="6991238.9500000039"/>
    <s v="Trsf"/>
    <m/>
    <m/>
  </r>
  <r>
    <x v="798"/>
    <n v="7"/>
    <n v="2025"/>
    <x v="1291"/>
    <s v="C00000027"/>
    <x v="28"/>
    <s v="RM Pigment Super White (5kg)"/>
    <n v="2"/>
    <s v="Cash"/>
    <x v="0"/>
    <d v="2025-07-30T00:00:00"/>
    <x v="4"/>
    <x v="7"/>
    <n v="320"/>
    <m/>
    <n v="320"/>
    <n v="6991558.9500000039"/>
    <s v="Trsf"/>
    <m/>
    <m/>
  </r>
  <r>
    <x v="799"/>
    <n v="7"/>
    <n v="2025"/>
    <x v="1292"/>
    <s v="C00000013"/>
    <x v="64"/>
    <s v="RA Resin 268BQT (225Kg)"/>
    <n v="1"/>
    <s v="Cash"/>
    <x v="0"/>
    <d v="2025-07-31T00:00:00"/>
    <x v="4"/>
    <x v="7"/>
    <n v="1710"/>
    <n v="-1710"/>
    <n v="0"/>
    <n v="6993268.9500000039"/>
    <s v="Chq"/>
    <s v="Trsf 30/7/25 RM3,129.10"/>
    <m/>
  </r>
  <r>
    <x v="799"/>
    <n v="7"/>
    <n v="2025"/>
    <x v="1292"/>
    <s v="C00000013"/>
    <x v="64"/>
    <s v="RA CSM 450 GSM Jushi 2080mm (60kg)"/>
    <n v="1"/>
    <s v="Cash"/>
    <x v="0"/>
    <d v="2025-07-31T00:00:00"/>
    <x v="4"/>
    <x v="7"/>
    <n v="438"/>
    <n v="-438"/>
    <n v="0"/>
    <n v="6993706.9500000039"/>
    <s v="Chq"/>
    <s v="Trsf 30/7/25 RM3,129.10"/>
    <m/>
  </r>
  <r>
    <x v="799"/>
    <n v="7"/>
    <n v="2025"/>
    <x v="1292"/>
    <s v="C00000013"/>
    <x v="64"/>
    <s v="RO Gelcoat LB9888 (22kg)"/>
    <n v="2"/>
    <s v="Cash"/>
    <x v="0"/>
    <d v="2025-07-31T00:00:00"/>
    <x v="4"/>
    <x v="7"/>
    <n v="567.6"/>
    <n v="-567.6"/>
    <n v="0"/>
    <n v="6994274.5500000035"/>
    <s v="Chq"/>
    <s v="Trsf 30/7/25 RM3,129.10"/>
    <m/>
  </r>
  <r>
    <x v="799"/>
    <n v="7"/>
    <n v="2025"/>
    <x v="1292"/>
    <s v="C00000013"/>
    <x v="64"/>
    <s v="RM Butanox M50 (5Kg)"/>
    <n v="1"/>
    <s v="Cash"/>
    <x v="0"/>
    <d v="2025-07-31T00:00:00"/>
    <x v="4"/>
    <x v="7"/>
    <n v="115"/>
    <n v="-115"/>
    <n v="0"/>
    <n v="6994389.5500000035"/>
    <s v="Chq"/>
    <s v="Trsf 30/7/25 RM3,129.10"/>
    <m/>
  </r>
  <r>
    <x v="799"/>
    <n v="7"/>
    <n v="2025"/>
    <x v="1292"/>
    <s v="C00000013"/>
    <x v="64"/>
    <s v="RD Brush 3&quot; "/>
    <n v="5"/>
    <s v="Cash"/>
    <x v="0"/>
    <d v="2025-07-31T00:00:00"/>
    <x v="4"/>
    <x v="7"/>
    <n v="27.5"/>
    <n v="-27.5"/>
    <n v="0"/>
    <n v="6994417.0500000035"/>
    <s v="Chq"/>
    <s v="Trsf 30/7/25 RM3,129.10"/>
    <m/>
  </r>
  <r>
    <x v="799"/>
    <n v="7"/>
    <n v="2025"/>
    <x v="1292"/>
    <s v="C00000013"/>
    <x v="64"/>
    <s v="RD Brush 2&quot;"/>
    <n v="5"/>
    <s v="Cash"/>
    <x v="0"/>
    <d v="2025-07-31T00:00:00"/>
    <x v="4"/>
    <x v="7"/>
    <n v="25"/>
    <n v="-25"/>
    <n v="0"/>
    <n v="6994442.0500000035"/>
    <s v="Chq"/>
    <s v="Trsf 30/7/25 RM3,129.10"/>
    <m/>
  </r>
  <r>
    <x v="799"/>
    <n v="7"/>
    <n v="2025"/>
    <x v="1292"/>
    <s v="C00000013"/>
    <x v="64"/>
    <s v="RA Pigment Super Black (1Kg)"/>
    <n v="1"/>
    <s v="Cash"/>
    <x v="0"/>
    <d v="2025-07-31T00:00:00"/>
    <x v="4"/>
    <x v="7"/>
    <n v="36"/>
    <n v="-36"/>
    <n v="0"/>
    <n v="6994478.0500000035"/>
    <s v="Chq"/>
    <s v="Trsf 30/7/25 RM3,129.10"/>
    <m/>
  </r>
  <r>
    <x v="799"/>
    <n v="7"/>
    <n v="2025"/>
    <x v="1292"/>
    <s v="C00000013"/>
    <x v="64"/>
    <s v="RM Miracle Gloss Wax No. 8 (311g/Can) "/>
    <n v="3"/>
    <s v="Cash"/>
    <x v="0"/>
    <d v="2025-07-31T00:00:00"/>
    <x v="4"/>
    <x v="7"/>
    <n v="174"/>
    <n v="-174"/>
    <n v="0"/>
    <n v="6994652.0500000035"/>
    <s v="Chq"/>
    <s v="Trsf 30/7/25 RM3,129.10"/>
    <m/>
  </r>
  <r>
    <x v="799"/>
    <n v="7"/>
    <n v="2025"/>
    <x v="1292"/>
    <s v="C00000013"/>
    <x v="64"/>
    <s v="Paint Roller PR4101 (10pcs)"/>
    <n v="2"/>
    <s v="Cash"/>
    <x v="0"/>
    <d v="2025-07-31T00:00:00"/>
    <x v="4"/>
    <x v="7"/>
    <n v="26"/>
    <n v="-26"/>
    <n v="0"/>
    <n v="6994678.0500000035"/>
    <s v="Chq"/>
    <s v="Trsf 30/7/25 RM3,129.10"/>
    <m/>
  </r>
  <r>
    <x v="799"/>
    <n v="7"/>
    <n v="2025"/>
    <x v="1292"/>
    <s v="C00000013"/>
    <x v="64"/>
    <s v="Polar Modelling Glay"/>
    <n v="4"/>
    <s v="Cash"/>
    <x v="0"/>
    <d v="2025-07-31T00:00:00"/>
    <x v="4"/>
    <x v="7"/>
    <n v="10"/>
    <n v="-10"/>
    <n v="0"/>
    <n v="6994688.0500000035"/>
    <s v="Chq"/>
    <s v="Trsf 30/7/25 RM3,129.10"/>
    <m/>
  </r>
  <r>
    <x v="799"/>
    <n v="7"/>
    <n v="2025"/>
    <x v="1293"/>
    <s v="C00000061"/>
    <x v="63"/>
    <s v="RO CSM 450 1860mm(W) (67kg)"/>
    <n v="1"/>
    <s v="Cash"/>
    <x v="0"/>
    <d v="2025-07-31T00:00:00"/>
    <x v="4"/>
    <x v="7"/>
    <n v="408.7"/>
    <n v="-408.7"/>
    <n v="0"/>
    <n v="6995096.7500000037"/>
    <s v="Cash"/>
    <s v="Trsf 31/7/25 RM696.20"/>
    <m/>
  </r>
  <r>
    <x v="799"/>
    <n v="7"/>
    <n v="2025"/>
    <x v="1293"/>
    <s v="C00000061"/>
    <x v="63"/>
    <s v="RA Butanox M50 (5kg)"/>
    <n v="1"/>
    <s v="Cash"/>
    <x v="0"/>
    <d v="2025-07-31T00:00:00"/>
    <x v="4"/>
    <x v="7"/>
    <n v="115"/>
    <n v="-115"/>
    <n v="0"/>
    <n v="6995211.7500000037"/>
    <s v="Cash"/>
    <s v="Trsf 31/7/25 RM696.20"/>
    <m/>
  </r>
  <r>
    <x v="799"/>
    <n v="7"/>
    <n v="2025"/>
    <x v="1293"/>
    <s v="C00000061"/>
    <x v="63"/>
    <s v="RQ Talcum Powder (25kg)"/>
    <n v="3"/>
    <s v="Cash"/>
    <x v="0"/>
    <d v="2025-07-31T00:00:00"/>
    <x v="4"/>
    <x v="7"/>
    <n v="172.5"/>
    <n v="-172.5"/>
    <n v="0"/>
    <n v="6995384.2500000037"/>
    <s v="Cash"/>
    <s v="Trsf 31/7/25 RM696.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Q69" firstHeaderRow="1" firstDataRow="3" firstDataCol="3"/>
  <pivotFields count="20">
    <pivotField axis="axisRow" compact="0" numFmtId="14" outline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6">
        <item h="1" x="0"/>
        <item h="1" x="1"/>
        <item h="1" x="2"/>
        <item x="3"/>
        <item h="1" x="4"/>
        <item t="default"/>
      </items>
    </pivotField>
    <pivotField axis="axisRow" compact="0" outline="0" showAll="0" defaultSubtotal="0">
      <items count="8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</items>
    </pivotField>
    <pivotField compact="0" outline="0" showAll="0"/>
    <pivotField axis="axisRow" compact="0" outline="0" showAll="0">
      <items count="50">
        <item h="1" x="4"/>
        <item h="1" x="6"/>
        <item h="1" x="8"/>
        <item h="1" x="0"/>
        <item h="1" x="2"/>
        <item h="1" x="5"/>
        <item h="1" x="3"/>
        <item h="1" x="1"/>
        <item h="1" x="7"/>
        <item h="1" x="9"/>
        <item h="1" x="10"/>
        <item h="1" x="11"/>
        <item h="1" x="22"/>
        <item h="1" x="13"/>
        <item h="1" x="14"/>
        <item h="1" x="15"/>
        <item h="1" x="17"/>
        <item h="1" x="18"/>
        <item x="19"/>
        <item h="1" x="20"/>
        <item h="1" x="21"/>
        <item h="1" x="23"/>
        <item h="1" x="24"/>
        <item h="1" x="25"/>
        <item h="1" x="26"/>
        <item h="1" x="27"/>
        <item h="1" x="28"/>
        <item h="1" x="30"/>
        <item h="1" x="29"/>
        <item h="1" x="31"/>
        <item h="1" x="32"/>
        <item h="1" x="33"/>
        <item h="1" x="34"/>
        <item h="1" x="12"/>
        <item h="1" x="16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m="1" x="47"/>
        <item h="1" x="45"/>
        <item h="1" m="1" x="48"/>
        <item h="1" x="44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64">
    <i>
      <x v="18"/>
      <x v="181"/>
      <x v="135"/>
    </i>
    <i r="1">
      <x v="183"/>
      <x v="137"/>
    </i>
    <i r="1">
      <x v="184"/>
      <x v="138"/>
    </i>
    <i r="1">
      <x v="188"/>
      <x v="141"/>
    </i>
    <i r="1">
      <x v="192"/>
      <x v="144"/>
    </i>
    <i r="1">
      <x v="205"/>
      <x v="156"/>
    </i>
    <i r="1">
      <x v="206"/>
      <x v="157"/>
    </i>
    <i r="1">
      <x v="215"/>
      <x v="163"/>
    </i>
    <i r="1">
      <x v="217"/>
      <x v="164"/>
    </i>
    <i r="1">
      <x v="219"/>
      <x v="166"/>
    </i>
    <i r="1">
      <x v="222"/>
      <x v="169"/>
    </i>
    <i r="1">
      <x v="223"/>
      <x v="170"/>
    </i>
    <i r="1">
      <x v="225"/>
      <x v="171"/>
    </i>
    <i r="1">
      <x v="228"/>
      <x v="173"/>
    </i>
    <i r="1">
      <x v="230"/>
      <x v="174"/>
    </i>
    <i r="1">
      <x v="234"/>
      <x v="176"/>
    </i>
    <i r="1">
      <x v="238"/>
      <x v="178"/>
    </i>
    <i r="1">
      <x v="241"/>
      <x v="181"/>
    </i>
    <i r="1">
      <x v="243"/>
      <x v="182"/>
    </i>
    <i r="1">
      <x v="248"/>
      <x v="186"/>
    </i>
    <i r="1">
      <x v="252"/>
      <x v="189"/>
    </i>
    <i r="1">
      <x v="255"/>
      <x v="191"/>
    </i>
    <i r="1">
      <x v="256"/>
      <x v="192"/>
    </i>
    <i r="1">
      <x v="258"/>
      <x v="193"/>
    </i>
    <i r="1">
      <x v="264"/>
      <x v="197"/>
    </i>
    <i r="1">
      <x v="266"/>
      <x v="199"/>
    </i>
    <i r="1">
      <x v="268"/>
      <x v="201"/>
    </i>
    <i r="1">
      <x v="270"/>
      <x v="202"/>
    </i>
    <i r="1">
      <x v="272"/>
      <x v="203"/>
    </i>
    <i r="1">
      <x v="275"/>
      <x v="205"/>
    </i>
    <i r="1">
      <x v="277"/>
      <x v="207"/>
    </i>
    <i r="1">
      <x v="279"/>
      <x v="209"/>
    </i>
    <i r="1">
      <x v="284"/>
      <x v="213"/>
    </i>
    <i r="1">
      <x v="288"/>
      <x v="216"/>
    </i>
    <i r="1">
      <x v="291"/>
      <x v="218"/>
    </i>
    <i r="1">
      <x v="296"/>
      <x v="223"/>
    </i>
    <i r="1">
      <x v="298"/>
      <x v="224"/>
    </i>
    <i r="1">
      <x v="299"/>
      <x v="225"/>
    </i>
    <i r="1">
      <x v="300"/>
      <x v="226"/>
    </i>
    <i r="1">
      <x v="306"/>
      <x v="230"/>
    </i>
    <i r="1">
      <x v="309"/>
      <x v="232"/>
    </i>
    <i r="1">
      <x v="315"/>
      <x v="235"/>
    </i>
    <i r="1">
      <x v="320"/>
      <x v="238"/>
    </i>
    <i r="1">
      <x v="322"/>
      <x v="240"/>
    </i>
    <i r="1">
      <x v="324"/>
      <x v="241"/>
    </i>
    <i r="1">
      <x v="326"/>
      <x v="242"/>
    </i>
    <i r="1">
      <x v="327"/>
      <x v="242"/>
    </i>
    <i r="1">
      <x v="338"/>
      <x v="250"/>
    </i>
    <i r="1">
      <x v="344"/>
      <x v="254"/>
    </i>
    <i r="1">
      <x v="352"/>
      <x v="260"/>
    </i>
    <i r="1">
      <x v="354"/>
      <x v="261"/>
    </i>
    <i r="1">
      <x v="355"/>
      <x v="262"/>
    </i>
    <i r="1">
      <x v="360"/>
      <x v="265"/>
    </i>
    <i r="1">
      <x v="365"/>
      <x v="270"/>
    </i>
    <i r="1">
      <x v="371"/>
      <x v="274"/>
    </i>
    <i r="1">
      <x v="378"/>
      <x v="278"/>
    </i>
    <i r="1">
      <x v="379"/>
      <x v="278"/>
    </i>
    <i r="1">
      <x v="381"/>
      <x v="279"/>
    </i>
    <i r="1">
      <x v="385"/>
      <x v="283"/>
    </i>
    <i r="1">
      <x v="388"/>
      <x v="286"/>
    </i>
    <i r="1">
      <x v="394"/>
      <x v="291"/>
    </i>
    <i r="1">
      <x v="395"/>
      <x v="292"/>
    </i>
    <i t="default">
      <x v="18"/>
    </i>
    <i t="grand">
      <x/>
    </i>
  </rowItems>
  <colFields count="2">
    <field x="2"/>
    <field x="1"/>
  </colFields>
  <colItems count="14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29">
      <pivotArea dataOnly="0" outline="0" fieldPosition="0">
        <references count="1">
          <reference field="1" count="0" defaultSubtotal="1"/>
        </references>
      </pivotArea>
    </format>
    <format dxfId="28">
      <pivotArea dataOnly="0" outline="0" fieldPosition="0">
        <references count="1">
          <reference field="5" count="0" defaultSubtotal="1"/>
        </references>
      </pivotArea>
    </format>
    <format dxfId="27">
      <pivotArea dataOnly="0" outline="0" fieldPosition="0">
        <references count="1">
          <reference field="5" count="0" defaultSubtotal="1"/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Z3:AL18" firstHeaderRow="1" firstDataRow="3" firstDataCol="3"/>
  <pivotFields count="20">
    <pivotField axis="axisRow" compact="0" numFmtId="14" outline="0" showAll="0">
      <items count="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5">
        <item h="1" x="0"/>
        <item h="1" x="1"/>
        <item h="1" x="2"/>
        <item x="3"/>
        <item t="default"/>
      </items>
    </pivotField>
    <pivotField axis="axisRow" compact="0" outline="0" showAll="0" defaultSubtotal="0">
      <items count="3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compact="0" outline="0" showAll="0"/>
    <pivotField axis="axisRow" compact="0" outline="0" showAll="0">
      <items count="33">
        <item h="1" x="4"/>
        <item h="1" x="6"/>
        <item h="1" x="8"/>
        <item h="1" x="0"/>
        <item h="1" x="2"/>
        <item h="1" x="5"/>
        <item h="1" x="3"/>
        <item h="1" x="1"/>
        <item h="1" x="7"/>
        <item x="9"/>
        <item h="1" x="10"/>
        <item h="1" x="11"/>
        <item h="1" x="22"/>
        <item h="1" x="13"/>
        <item h="1" x="14"/>
        <item h="1" x="15"/>
        <item h="1" m="1" x="30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m="1" x="31"/>
        <item h="1" x="29"/>
        <item h="1" x="12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13">
    <i>
      <x v="9"/>
      <x v="186"/>
      <x v="140"/>
    </i>
    <i r="1">
      <x v="194"/>
      <x v="146"/>
    </i>
    <i r="1">
      <x v="199"/>
      <x v="151"/>
    </i>
    <i r="1">
      <x v="210"/>
      <x v="159"/>
    </i>
    <i r="1">
      <x v="216"/>
      <x v="164"/>
    </i>
    <i r="1">
      <x v="250"/>
      <x v="188"/>
    </i>
    <i r="1">
      <x v="271"/>
      <x v="203"/>
    </i>
    <i r="1">
      <x v="281"/>
      <x v="211"/>
    </i>
    <i r="1">
      <x v="293"/>
      <x v="220"/>
    </i>
    <i r="1">
      <x v="302"/>
      <x v="227"/>
    </i>
    <i r="1">
      <x v="317"/>
      <x v="236"/>
    </i>
    <i t="default">
      <x v="9"/>
    </i>
    <i t="grand">
      <x/>
    </i>
  </rowItems>
  <colFields count="2">
    <field x="2"/>
    <field x="1"/>
  </colFields>
  <colItems count="10">
    <i>
      <x v="3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34">
      <pivotArea dataOnly="0" outline="0" fieldPosition="0">
        <references count="1">
          <reference field="1" count="0" defaultSubtotal="1"/>
        </references>
      </pivotArea>
    </format>
    <format dxfId="33">
      <pivotArea dataOnly="0" outline="0" fieldPosition="0">
        <references count="1">
          <reference field="5" count="0" defaultSubtotal="1"/>
        </references>
      </pivotArea>
    </format>
    <format dxfId="32">
      <pivotArea dataOnly="0" outline="0" fieldPosition="0">
        <references count="1">
          <reference field="5" count="0" defaultSubtotal="1"/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R4:BA628" firstHeaderRow="1" firstDataRow="2" firstDataCol="3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1"/>
        <item x="52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>
      <items count="14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  <item t="default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12"/>
    <field x="11"/>
  </rowFields>
  <rowItems count="623">
    <i>
      <x/>
      <x/>
      <x v="6"/>
    </i>
    <i r="2">
      <x v="8"/>
    </i>
    <i r="2">
      <x v="9"/>
    </i>
    <i r="1">
      <x v="1"/>
      <x v="1"/>
    </i>
    <i r="2">
      <x v="3"/>
    </i>
    <i r="2">
      <x v="7"/>
    </i>
    <i r="2">
      <x v="8"/>
    </i>
    <i r="2">
      <x v="9"/>
    </i>
    <i r="1">
      <x v="6"/>
      <x v="8"/>
    </i>
    <i r="2">
      <x v="9"/>
    </i>
    <i t="default">
      <x/>
    </i>
    <i>
      <x v="1"/>
      <x/>
      <x v="6"/>
    </i>
    <i r="2">
      <x v="8"/>
    </i>
    <i t="default">
      <x v="1"/>
    </i>
    <i>
      <x v="2"/>
      <x/>
      <x v="8"/>
    </i>
    <i r="1">
      <x v="1"/>
      <x/>
    </i>
    <i r="2">
      <x v="3"/>
    </i>
    <i r="2">
      <x v="4"/>
    </i>
    <i r="2">
      <x v="5"/>
    </i>
    <i r="2">
      <x v="10"/>
    </i>
    <i r="1">
      <x v="3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6"/>
      <x v="1"/>
    </i>
    <i r="2">
      <x v="2"/>
    </i>
    <i r="2">
      <x v="3"/>
    </i>
    <i r="2">
      <x v="4"/>
    </i>
    <i r="2">
      <x v="6"/>
    </i>
    <i r="2">
      <x v="7"/>
    </i>
    <i r="2">
      <x v="11"/>
    </i>
    <i t="default">
      <x v="2"/>
    </i>
    <i>
      <x v="3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3"/>
    </i>
    <i r="2">
      <x v="7"/>
    </i>
    <i r="2">
      <x v="8"/>
    </i>
    <i r="2">
      <x v="10"/>
    </i>
    <i r="2">
      <x v="11"/>
    </i>
    <i r="1">
      <x v="2"/>
      <x v="10"/>
    </i>
    <i r="1">
      <x v="3"/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2"/>
    </i>
    <i r="2">
      <x v="3"/>
    </i>
    <i r="2">
      <x v="11"/>
    </i>
    <i t="default">
      <x v="3"/>
    </i>
    <i>
      <x v="4"/>
      <x/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 r="2">
      <x v="3"/>
    </i>
    <i r="2">
      <x v="5"/>
    </i>
    <i r="2">
      <x v="8"/>
    </i>
    <i r="2">
      <x v="9"/>
    </i>
    <i r="2">
      <x v="10"/>
    </i>
    <i r="1">
      <x v="3"/>
      <x/>
    </i>
    <i r="2">
      <x v="1"/>
    </i>
    <i r="2">
      <x v="3"/>
    </i>
    <i r="2">
      <x v="4"/>
    </i>
    <i r="2">
      <x v="7"/>
    </i>
    <i r="2">
      <x v="9"/>
    </i>
    <i r="2">
      <x v="11"/>
    </i>
    <i r="1">
      <x v="4"/>
      <x/>
    </i>
    <i r="2">
      <x v="5"/>
    </i>
    <i r="2">
      <x v="7"/>
    </i>
    <i r="2">
      <x v="8"/>
    </i>
    <i r="1">
      <x v="6"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11"/>
    </i>
    <i t="default">
      <x v="4"/>
    </i>
    <i>
      <x v="5"/>
      <x/>
      <x v="6"/>
    </i>
    <i r="2">
      <x v="9"/>
    </i>
    <i r="1">
      <x v="1"/>
      <x v="8"/>
    </i>
    <i r="1">
      <x v="3"/>
      <x/>
    </i>
    <i r="2">
      <x v="1"/>
    </i>
    <i r="2">
      <x v="2"/>
    </i>
    <i r="2">
      <x v="3"/>
    </i>
    <i r="2">
      <x v="4"/>
    </i>
    <i r="2">
      <x v="8"/>
    </i>
    <i r="1">
      <x v="4"/>
      <x v="6"/>
    </i>
    <i r="2">
      <x v="8"/>
    </i>
    <i r="2">
      <x v="9"/>
    </i>
    <i r="2">
      <x v="11"/>
    </i>
    <i r="1">
      <x v="6"/>
      <x/>
    </i>
    <i r="2">
      <x v="3"/>
    </i>
    <i r="2">
      <x v="5"/>
    </i>
    <i r="2">
      <x v="6"/>
    </i>
    <i r="2">
      <x v="11"/>
    </i>
    <i r="1">
      <x v="7"/>
      <x v="2"/>
    </i>
    <i t="default">
      <x v="5"/>
    </i>
    <i>
      <x v="6"/>
      <x/>
      <x v="8"/>
    </i>
    <i r="2">
      <x v="9"/>
    </i>
    <i r="2">
      <x v="10"/>
    </i>
    <i r="1">
      <x v="1"/>
      <x/>
    </i>
    <i r="2">
      <x v="1"/>
    </i>
    <i r="2">
      <x v="4"/>
    </i>
    <i r="2">
      <x v="5"/>
    </i>
    <i r="2">
      <x v="6"/>
    </i>
    <i r="2">
      <x v="10"/>
    </i>
    <i r="2">
      <x v="11"/>
    </i>
    <i r="1">
      <x v="3"/>
      <x/>
    </i>
    <i r="2">
      <x v="3"/>
    </i>
    <i r="2">
      <x v="4"/>
    </i>
    <i r="2">
      <x v="6"/>
    </i>
    <i r="2">
      <x v="7"/>
    </i>
    <i r="2">
      <x v="10"/>
    </i>
    <i r="2">
      <x v="11"/>
    </i>
    <i r="1">
      <x v="4"/>
      <x v="1"/>
    </i>
    <i r="2">
      <x v="2"/>
    </i>
    <i r="2">
      <x v="4"/>
    </i>
    <i t="default">
      <x v="6"/>
    </i>
    <i>
      <x v="7"/>
      <x/>
      <x v="4"/>
    </i>
    <i r="1">
      <x v="1"/>
      <x v="7"/>
    </i>
    <i t="default">
      <x v="7"/>
    </i>
    <i>
      <x v="8"/>
      <x/>
      <x v="6"/>
    </i>
    <i r="2">
      <x v="7"/>
    </i>
    <i r="2">
      <x v="9"/>
    </i>
    <i r="1">
      <x v="1"/>
      <x v="1"/>
    </i>
    <i r="2">
      <x v="8"/>
    </i>
    <i r="2">
      <x v="9"/>
    </i>
    <i t="default">
      <x v="8"/>
    </i>
    <i>
      <x v="9"/>
      <x/>
      <x v="10"/>
    </i>
    <i r="1">
      <x v="1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11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t="default">
      <x v="9"/>
    </i>
    <i>
      <x v="10"/>
      <x/>
      <x v="9"/>
    </i>
    <i t="default">
      <x v="10"/>
    </i>
    <i>
      <x v="11"/>
      <x v="5"/>
      <x v="12"/>
    </i>
    <i t="default">
      <x v="11"/>
    </i>
    <i>
      <x v="12"/>
      <x v="5"/>
      <x v="12"/>
    </i>
    <i t="default">
      <x v="12"/>
    </i>
    <i>
      <x v="13"/>
      <x v="1"/>
      <x v="1"/>
    </i>
    <i r="2">
      <x v="2"/>
    </i>
    <i r="2">
      <x v="8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2"/>
    </i>
    <i r="2">
      <x v="3"/>
    </i>
    <i r="2">
      <x v="4"/>
    </i>
    <i r="2">
      <x v="6"/>
    </i>
    <i r="2">
      <x v="11"/>
    </i>
    <i t="default">
      <x v="13"/>
    </i>
    <i>
      <x v="14"/>
      <x v="1"/>
      <x v="1"/>
    </i>
    <i r="2">
      <x v="11"/>
    </i>
    <i t="default">
      <x v="14"/>
    </i>
    <i>
      <x v="15"/>
      <x v="1"/>
      <x v="2"/>
    </i>
    <i t="default">
      <x v="15"/>
    </i>
    <i>
      <x v="16"/>
      <x v="1"/>
      <x v="7"/>
    </i>
    <i t="default">
      <x v="16"/>
    </i>
    <i>
      <x v="17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17"/>
    </i>
    <i>
      <x v="18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t="default">
      <x v="18"/>
    </i>
    <i>
      <x v="19"/>
      <x v="5"/>
      <x v="12"/>
    </i>
    <i t="default">
      <x v="19"/>
    </i>
    <i>
      <x v="20"/>
      <x v="1"/>
      <x v="9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11"/>
    </i>
    <i t="default">
      <x v="20"/>
    </i>
    <i>
      <x v="21"/>
      <x v="3"/>
      <x v="2"/>
    </i>
    <i r="2">
      <x v="3"/>
    </i>
    <i r="2">
      <x v="4"/>
    </i>
    <i r="2">
      <x v="7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5"/>
    </i>
    <i r="2">
      <x v="7"/>
    </i>
    <i r="2">
      <x v="8"/>
    </i>
    <i r="2">
      <x v="10"/>
    </i>
    <i r="2">
      <x v="11"/>
    </i>
    <i t="default">
      <x v="21"/>
    </i>
    <i>
      <x v="22"/>
      <x v="3"/>
      <x v="2"/>
    </i>
    <i r="2">
      <x v="3"/>
    </i>
    <i r="2">
      <x v="4"/>
    </i>
    <i r="2">
      <x v="11"/>
    </i>
    <i r="1">
      <x v="4"/>
      <x/>
    </i>
    <i r="2">
      <x v="4"/>
    </i>
    <i t="default">
      <x v="22"/>
    </i>
    <i>
      <x v="23"/>
      <x v="3"/>
      <x v="11"/>
    </i>
    <i t="default">
      <x v="23"/>
    </i>
    <i>
      <x v="24"/>
      <x v="3"/>
      <x v="3"/>
    </i>
    <i r="2">
      <x v="11"/>
    </i>
    <i t="default">
      <x v="24"/>
    </i>
    <i>
      <x v="25"/>
      <x v="3"/>
      <x v="3"/>
    </i>
    <i r="2">
      <x v="6"/>
    </i>
    <i r="2">
      <x v="8"/>
    </i>
    <i r="2">
      <x v="10"/>
    </i>
    <i r="1">
      <x v="4"/>
      <x v="2"/>
    </i>
    <i r="2">
      <x v="10"/>
    </i>
    <i r="1">
      <x v="6"/>
      <x v="1"/>
    </i>
    <i r="2">
      <x v="2"/>
    </i>
    <i r="2">
      <x v="3"/>
    </i>
    <i r="2">
      <x v="6"/>
    </i>
    <i r="1">
      <x v="7"/>
      <x v="2"/>
    </i>
    <i t="default">
      <x v="25"/>
    </i>
    <i>
      <x v="26"/>
      <x v="3"/>
      <x v="5"/>
    </i>
    <i r="2">
      <x v="6"/>
    </i>
    <i r="2">
      <x v="7"/>
    </i>
    <i r="2">
      <x v="9"/>
    </i>
    <i r="1">
      <x v="4"/>
      <x v="1"/>
    </i>
    <i r="2">
      <x v="3"/>
    </i>
    <i r="2">
      <x v="5"/>
    </i>
    <i r="2">
      <x v="9"/>
    </i>
    <i r="2">
      <x v="11"/>
    </i>
    <i r="1">
      <x v="6"/>
      <x v="4"/>
    </i>
    <i r="2">
      <x v="5"/>
    </i>
    <i r="2">
      <x v="6"/>
    </i>
    <i r="1">
      <x v="7"/>
      <x/>
    </i>
    <i r="2">
      <x v="5"/>
    </i>
    <i t="default">
      <x v="26"/>
    </i>
    <i>
      <x v="27"/>
      <x v="3"/>
      <x v="7"/>
    </i>
    <i r="1">
      <x v="4"/>
      <x/>
    </i>
    <i t="default">
      <x v="27"/>
    </i>
    <i>
      <x v="28"/>
      <x v="5"/>
      <x v="12"/>
    </i>
    <i t="default">
      <x v="28"/>
    </i>
    <i>
      <x v="29"/>
      <x v="3"/>
      <x v="9"/>
    </i>
    <i r="2">
      <x v="10"/>
    </i>
    <i t="default">
      <x v="29"/>
    </i>
    <i>
      <x v="30"/>
      <x v="3"/>
      <x v="9"/>
    </i>
    <i t="default">
      <x v="30"/>
    </i>
    <i>
      <x v="31"/>
      <x v="3"/>
      <x v="9"/>
    </i>
    <i t="default">
      <x v="31"/>
    </i>
    <i>
      <x v="32"/>
      <x v="3"/>
      <x v="9"/>
    </i>
    <i t="default">
      <x v="32"/>
    </i>
    <i>
      <x v="3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t="default">
      <x v="33"/>
    </i>
    <i>
      <x v="34"/>
      <x v="4"/>
      <x v="1"/>
    </i>
    <i r="2">
      <x v="11"/>
    </i>
    <i t="default">
      <x v="34"/>
    </i>
    <i>
      <x v="35"/>
      <x v="4"/>
      <x v="2"/>
    </i>
    <i t="default">
      <x v="35"/>
    </i>
    <i>
      <x v="36"/>
      <x v="4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2"/>
    </i>
    <i r="2">
      <x v="4"/>
    </i>
    <i r="2">
      <x v="5"/>
    </i>
    <i r="2">
      <x v="7"/>
    </i>
    <i r="2">
      <x v="9"/>
    </i>
    <i r="2">
      <x v="11"/>
    </i>
    <i r="1">
      <x v="7"/>
      <x/>
    </i>
    <i r="2">
      <x v="2"/>
    </i>
    <i r="2">
      <x v="3"/>
    </i>
    <i r="2">
      <x v="11"/>
    </i>
    <i t="default">
      <x v="36"/>
    </i>
    <i>
      <x v="37"/>
      <x v="4"/>
      <x v="3"/>
    </i>
    <i r="2">
      <x v="4"/>
    </i>
    <i r="2">
      <x v="5"/>
    </i>
    <i r="2">
      <x v="11"/>
    </i>
    <i t="default">
      <x v="37"/>
    </i>
    <i>
      <x v="38"/>
      <x v="1"/>
      <x/>
    </i>
    <i r="2">
      <x v="1"/>
    </i>
    <i r="2">
      <x v="3"/>
    </i>
    <i r="2">
      <x v="8"/>
    </i>
    <i r="2">
      <x v="10"/>
    </i>
    <i r="1">
      <x v="4"/>
      <x v="3"/>
    </i>
    <i r="2">
      <x v="4"/>
    </i>
    <i r="2">
      <x v="5"/>
    </i>
    <i r="2">
      <x v="7"/>
    </i>
    <i r="2">
      <x v="8"/>
    </i>
    <i r="2">
      <x v="9"/>
    </i>
    <i r="2">
      <x v="11"/>
    </i>
    <i r="1">
      <x v="7"/>
      <x v="2"/>
    </i>
    <i t="default">
      <x v="38"/>
    </i>
    <i>
      <x v="39"/>
      <x v="1"/>
      <x v="7"/>
    </i>
    <i t="default">
      <x v="39"/>
    </i>
    <i>
      <x v="40"/>
      <x v="4"/>
      <x v="4"/>
    </i>
    <i r="2">
      <x v="6"/>
    </i>
    <i r="1">
      <x v="7"/>
      <x v="11"/>
    </i>
    <i t="default">
      <x v="40"/>
    </i>
    <i>
      <x v="41"/>
      <x v="4"/>
      <x v="7"/>
    </i>
    <i t="default">
      <x v="41"/>
    </i>
    <i>
      <x v="42"/>
      <x v="4"/>
      <x v="7"/>
    </i>
    <i r="2">
      <x v="10"/>
    </i>
    <i r="1">
      <x v="6"/>
      <x v="8"/>
    </i>
    <i r="2">
      <x v="9"/>
    </i>
    <i r="2">
      <x v="11"/>
    </i>
    <i r="1">
      <x v="7"/>
      <x v="1"/>
    </i>
    <i r="2">
      <x v="4"/>
    </i>
    <i t="default">
      <x v="42"/>
    </i>
    <i>
      <x v="43"/>
      <x v="4"/>
      <x v="8"/>
    </i>
    <i r="2">
      <x v="9"/>
    </i>
    <i r="2">
      <x v="10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43"/>
    </i>
    <i>
      <x v="44"/>
      <x v="4"/>
      <x v="10"/>
    </i>
    <i r="1">
      <x v="6"/>
      <x/>
    </i>
    <i r="2">
      <x v="2"/>
    </i>
    <i t="default">
      <x v="44"/>
    </i>
    <i>
      <x v="45"/>
      <x v="6"/>
      <x/>
    </i>
    <i r="1">
      <x v="7"/>
      <x v="2"/>
    </i>
    <i t="default">
      <x v="45"/>
    </i>
    <i>
      <x v="46"/>
      <x v="6"/>
      <x/>
    </i>
    <i r="2">
      <x v="1"/>
    </i>
    <i r="2">
      <x v="3"/>
    </i>
    <i r="2">
      <x v="4"/>
    </i>
    <i t="default">
      <x v="46"/>
    </i>
    <i>
      <x v="47"/>
      <x v="6"/>
      <x v="1"/>
    </i>
    <i t="default">
      <x v="47"/>
    </i>
    <i>
      <x v="48"/>
      <x v="6"/>
      <x v="2"/>
    </i>
    <i t="default">
      <x v="48"/>
    </i>
    <i>
      <x v="49"/>
      <x v="6"/>
      <x v="4"/>
    </i>
    <i r="2">
      <x v="5"/>
    </i>
    <i r="2">
      <x v="6"/>
    </i>
    <i r="2">
      <x v="9"/>
    </i>
    <i r="2">
      <x v="10"/>
    </i>
    <i t="default">
      <x v="49"/>
    </i>
    <i>
      <x v="50"/>
      <x v="6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7"/>
      <x v="1"/>
    </i>
    <i r="2">
      <x v="2"/>
    </i>
    <i r="2">
      <x v="3"/>
    </i>
    <i r="2">
      <x v="4"/>
    </i>
    <i r="2">
      <x v="11"/>
    </i>
    <i t="default">
      <x v="50"/>
    </i>
    <i>
      <x v="51"/>
      <x v="6"/>
      <x v="5"/>
    </i>
    <i t="default">
      <x v="51"/>
    </i>
    <i>
      <x v="52"/>
      <x v="6"/>
      <x v="5"/>
    </i>
    <i t="default">
      <x v="52"/>
    </i>
    <i>
      <x v="53"/>
      <x v="4"/>
      <x v="8"/>
    </i>
    <i r="2">
      <x v="9"/>
    </i>
    <i r="1">
      <x v="6"/>
      <x v="6"/>
    </i>
    <i t="default">
      <x v="53"/>
    </i>
    <i>
      <x v="54"/>
      <x v="4"/>
      <x v="10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3"/>
    </i>
    <i r="2">
      <x v="4"/>
    </i>
    <i r="2">
      <x v="5"/>
    </i>
    <i r="2">
      <x v="11"/>
    </i>
    <i t="default">
      <x v="54"/>
    </i>
    <i>
      <x v="55"/>
      <x v="6"/>
      <x v="7"/>
    </i>
    <i r="2">
      <x v="8"/>
    </i>
    <i r="2">
      <x v="10"/>
    </i>
    <i r="1">
      <x v="7"/>
      <x v="1"/>
    </i>
    <i t="default">
      <x v="55"/>
    </i>
    <i>
      <x v="56"/>
      <x v="6"/>
      <x v="4"/>
    </i>
    <i t="default">
      <x v="56"/>
    </i>
    <i>
      <x v="57"/>
      <x v="6"/>
      <x v="8"/>
    </i>
    <i t="default">
      <x v="57"/>
    </i>
    <i>
      <x v="58"/>
      <x v="5"/>
      <x v="12"/>
    </i>
    <i t="default">
      <x v="58"/>
    </i>
    <i>
      <x v="59"/>
      <x v="6"/>
      <x v="10"/>
    </i>
    <i t="default">
      <x v="59"/>
    </i>
    <i>
      <x v="60"/>
      <x v="6"/>
      <x v="10"/>
    </i>
    <i r="1">
      <x v="7"/>
      <x/>
    </i>
    <i t="default">
      <x v="60"/>
    </i>
    <i>
      <x v="61"/>
      <x v="6"/>
      <x v="10"/>
    </i>
    <i t="default">
      <x v="61"/>
    </i>
    <i>
      <x v="62"/>
      <x v="7"/>
      <x/>
    </i>
    <i t="default">
      <x v="62"/>
    </i>
    <i>
      <x v="63"/>
      <x v="7"/>
      <x v="2"/>
    </i>
    <i r="2">
      <x v="3"/>
    </i>
    <i r="2">
      <x v="4"/>
    </i>
    <i r="2">
      <x v="5"/>
    </i>
    <i r="2">
      <x v="11"/>
    </i>
    <i t="default">
      <x v="63"/>
    </i>
    <i>
      <x v="64"/>
      <x v="7"/>
      <x v="2"/>
    </i>
    <i r="2">
      <x v="3"/>
    </i>
    <i r="2">
      <x v="4"/>
    </i>
    <i r="2">
      <x v="5"/>
    </i>
    <i r="2">
      <x v="11"/>
    </i>
    <i t="default">
      <x v="64"/>
    </i>
    <i>
      <x v="65"/>
      <x v="7"/>
      <x v="4"/>
    </i>
    <i t="default">
      <x v="65"/>
    </i>
    <i>
      <x v="66"/>
      <x v="7"/>
      <x v="4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2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W4:AH1377" firstHeaderRow="1" firstDataRow="2" firstDataCol="5"/>
  <pivotFields count="20"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0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43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compact="0" outline="0" showAll="0"/>
    <pivotField compact="0" outline="0" showAll="0"/>
    <pivotField axis="axisRow" compact="0" outline="0" showAll="0">
      <items count="1295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 defaultSubtotal="0">
      <items count="13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5">
    <field x="5"/>
    <field x="12"/>
    <field x="11"/>
    <field x="0"/>
    <field x="3"/>
  </rowFields>
  <rowItems count="1372">
    <i>
      <x/>
      <x/>
      <x v="6"/>
      <x v="10"/>
      <x v="27"/>
    </i>
    <i r="2">
      <x v="8"/>
      <x v="25"/>
      <x v="48"/>
    </i>
    <i r="3">
      <x v="30"/>
      <x v="57"/>
    </i>
    <i r="3">
      <x v="31"/>
      <x v="58"/>
    </i>
    <i r="3">
      <x v="33"/>
      <x v="62"/>
    </i>
    <i r="2">
      <x v="9"/>
      <x v="35"/>
      <x v="65"/>
    </i>
    <i r="3">
      <x v="40"/>
      <x v="71"/>
    </i>
    <i r="1">
      <x v="1"/>
      <x v="1"/>
      <x v="57"/>
      <x v="93"/>
    </i>
    <i r="3">
      <x v="61"/>
      <x v="96"/>
    </i>
    <i r="2">
      <x v="3"/>
      <x v="79"/>
      <x v="102"/>
    </i>
    <i r="3">
      <x v="81"/>
      <x v="104"/>
    </i>
    <i r="3">
      <x v="83"/>
      <x v="106"/>
    </i>
    <i r="2">
      <x v="7"/>
      <x v="85"/>
      <x v="112"/>
    </i>
    <i r="4">
      <x v="113"/>
    </i>
    <i r="3">
      <x v="90"/>
      <x v="121"/>
    </i>
    <i r="2">
      <x v="8"/>
      <x v="102"/>
      <x v="136"/>
    </i>
    <i r="2">
      <x v="9"/>
      <x v="111"/>
      <x v="149"/>
    </i>
    <i r="1">
      <x v="6"/>
      <x v="8"/>
      <x v="641"/>
      <x v="1000"/>
    </i>
    <i r="2">
      <x v="9"/>
      <x v="650"/>
      <x v="1021"/>
    </i>
    <i t="default">
      <x/>
    </i>
    <i>
      <x v="1"/>
      <x/>
      <x v="6"/>
      <x v="14"/>
      <x v="33"/>
    </i>
    <i r="2">
      <x v="8"/>
      <x v="28"/>
      <x v="53"/>
    </i>
    <i r="3">
      <x v="30"/>
      <x v="53"/>
    </i>
    <i t="default">
      <x v="1"/>
    </i>
    <i>
      <x v="2"/>
      <x/>
      <x v="8"/>
      <x v="16"/>
      <x v="36"/>
    </i>
    <i r="1">
      <x v="1"/>
      <x/>
      <x v="36"/>
      <x v="66"/>
    </i>
    <i r="3">
      <x v="43"/>
      <x v="75"/>
    </i>
    <i r="2">
      <x v="3"/>
      <x v="67"/>
      <x v="1"/>
    </i>
    <i r="3">
      <x v="69"/>
      <x v="4"/>
    </i>
    <i r="2">
      <x v="4"/>
      <x v="75"/>
      <x v="13"/>
    </i>
    <i r="2">
      <x v="5"/>
      <x v="84"/>
      <x v="108"/>
    </i>
    <i r="4">
      <x v="109"/>
    </i>
    <i r="2">
      <x v="10"/>
      <x v="101"/>
      <x v="134"/>
    </i>
    <i r="1">
      <x v="3"/>
      <x v="4"/>
      <x v="176"/>
      <x v="233"/>
    </i>
    <i r="2">
      <x v="5"/>
      <x v="194"/>
      <x v="259"/>
    </i>
    <i r="2">
      <x v="6"/>
      <x v="215"/>
      <x v="286"/>
    </i>
    <i r="3">
      <x v="221"/>
      <x v="294"/>
    </i>
    <i r="2">
      <x v="7"/>
      <x v="228"/>
      <x v="304"/>
    </i>
    <i r="2">
      <x v="8"/>
      <x v="235"/>
      <x v="316"/>
    </i>
    <i r="2">
      <x v="9"/>
      <x v="239"/>
      <x v="321"/>
    </i>
    <i r="2">
      <x v="10"/>
      <x v="257"/>
      <x v="349"/>
    </i>
    <i r="2">
      <x v="11"/>
      <x v="152"/>
      <x v="200"/>
    </i>
    <i r="1">
      <x v="4"/>
      <x/>
      <x v="264"/>
      <x v="359"/>
    </i>
    <i r="2">
      <x v="1"/>
      <x v="279"/>
      <x v="380"/>
    </i>
    <i r="2">
      <x v="2"/>
      <x v="305"/>
      <x v="416"/>
    </i>
    <i r="2">
      <x v="3"/>
      <x v="329"/>
      <x v="462"/>
    </i>
    <i r="2">
      <x v="4"/>
      <x v="341"/>
      <x v="484"/>
    </i>
    <i r="3">
      <x v="351"/>
      <x v="497"/>
    </i>
    <i r="2">
      <x v="5"/>
      <x v="360"/>
      <x v="511"/>
    </i>
    <i r="3">
      <x v="368"/>
      <x v="529"/>
    </i>
    <i r="2">
      <x v="6"/>
      <x v="391"/>
      <x v="560"/>
    </i>
    <i r="2">
      <x v="7"/>
      <x v="409"/>
      <x v="587"/>
    </i>
    <i r="2">
      <x v="8"/>
      <x v="415"/>
      <x v="598"/>
    </i>
    <i r="2">
      <x v="9"/>
      <x v="433"/>
      <x v="633"/>
    </i>
    <i r="2">
      <x v="10"/>
      <x v="459"/>
      <x v="674"/>
    </i>
    <i r="3">
      <x v="461"/>
      <x v="679"/>
    </i>
    <i r="1">
      <x v="6"/>
      <x v="1"/>
      <x v="491"/>
      <x v="736"/>
    </i>
    <i r="2">
      <x v="2"/>
      <x v="506"/>
      <x v="769"/>
    </i>
    <i r="2">
      <x v="3"/>
      <x v="538"/>
      <x v="819"/>
    </i>
    <i r="2">
      <x v="4"/>
      <x v="551"/>
      <x v="843"/>
    </i>
    <i r="3">
      <x v="552"/>
      <x v="844"/>
    </i>
    <i r="3">
      <x v="560"/>
      <x v="858"/>
    </i>
    <i r="2">
      <x v="6"/>
      <x v="585"/>
      <x v="901"/>
    </i>
    <i r="2">
      <x v="7"/>
      <x v="594"/>
      <x v="918"/>
    </i>
    <i r="3">
      <x v="599"/>
      <x v="925"/>
    </i>
    <i r="2">
      <x v="11"/>
      <x v="530"/>
      <x v="808"/>
    </i>
    <i t="default">
      <x v="2"/>
    </i>
    <i>
      <x v="3"/>
      <x/>
      <x v="4"/>
      <x v="1"/>
      <x v="17"/>
    </i>
    <i r="3">
      <x v="3"/>
      <x v="19"/>
    </i>
    <i r="2">
      <x v="5"/>
      <x v="7"/>
      <x v="23"/>
    </i>
    <i r="2">
      <x v="6"/>
      <x v="11"/>
      <x v="29"/>
    </i>
    <i r="3">
      <x v="12"/>
      <x v="30"/>
    </i>
    <i r="3">
      <x v="16"/>
      <x v="37"/>
    </i>
    <i r="2">
      <x v="7"/>
      <x v="19"/>
      <x v="40"/>
    </i>
    <i r="3">
      <x v="20"/>
      <x v="41"/>
    </i>
    <i r="3">
      <x v="21"/>
      <x v="43"/>
    </i>
    <i r="3">
      <x v="23"/>
      <x v="46"/>
    </i>
    <i r="3">
      <x v="24"/>
      <x v="47"/>
    </i>
    <i r="2">
      <x v="8"/>
      <x v="27"/>
      <x v="52"/>
    </i>
    <i r="3">
      <x v="30"/>
      <x v="56"/>
    </i>
    <i r="3">
      <x v="33"/>
      <x v="61"/>
    </i>
    <i r="2">
      <x v="9"/>
      <x v="35"/>
      <x v="64"/>
    </i>
    <i r="3">
      <x v="37"/>
      <x v="67"/>
    </i>
    <i r="3">
      <x v="41"/>
      <x v="68"/>
    </i>
    <i r="3">
      <x v="42"/>
      <x v="74"/>
    </i>
    <i r="2">
      <x v="10"/>
      <x v="46"/>
      <x v="80"/>
    </i>
    <i r="1">
      <x v="1"/>
      <x/>
      <x v="56"/>
      <x v="90"/>
    </i>
    <i r="2">
      <x v="1"/>
      <x v="62"/>
      <x v="97"/>
    </i>
    <i r="2">
      <x v="3"/>
      <x v="80"/>
      <x v="103"/>
    </i>
    <i r="2">
      <x v="7"/>
      <x v="88"/>
      <x v="119"/>
    </i>
    <i r="2">
      <x v="8"/>
      <x v="107"/>
      <x v="142"/>
    </i>
    <i r="2">
      <x v="10"/>
      <x v="132"/>
      <x v="177"/>
    </i>
    <i r="2">
      <x v="11"/>
      <x v="74"/>
      <x v="12"/>
    </i>
    <i r="1">
      <x v="2"/>
      <x v="10"/>
      <x/>
      <x v="16"/>
    </i>
    <i r="1">
      <x v="3"/>
      <x v="2"/>
      <x v="171"/>
      <x v="224"/>
    </i>
    <i r="2">
      <x v="4"/>
      <x v="210"/>
      <x v="280"/>
    </i>
    <i r="3">
      <x v="215"/>
      <x v="287"/>
    </i>
    <i r="2">
      <x v="5"/>
      <x v="226"/>
      <x v="301"/>
    </i>
    <i r="2">
      <x v="6"/>
      <x v="230"/>
      <x v="307"/>
    </i>
    <i r="2">
      <x v="7"/>
      <x v="243"/>
      <x v="328"/>
    </i>
    <i r="2">
      <x v="8"/>
      <x v="259"/>
      <x v="351"/>
    </i>
    <i r="2">
      <x v="9"/>
      <x v="274"/>
      <x v="369"/>
    </i>
    <i r="2">
      <x v="10"/>
      <x v="287"/>
      <x v="389"/>
    </i>
    <i r="2">
      <x v="11"/>
      <x v="184"/>
      <x v="247"/>
    </i>
    <i r="3">
      <x v="185"/>
      <x v="247"/>
    </i>
    <i r="1">
      <x v="4"/>
      <x/>
      <x v="297"/>
      <x v="402"/>
    </i>
    <i r="2">
      <x v="2"/>
      <x v="322"/>
      <x v="447"/>
    </i>
    <i r="2">
      <x v="3"/>
      <x v="370"/>
      <x v="532"/>
    </i>
    <i r="2">
      <x v="11"/>
      <x v="353"/>
      <x v="500"/>
    </i>
    <i t="default">
      <x v="3"/>
    </i>
    <i>
      <x v="4"/>
      <x/>
      <x v="6"/>
      <x v="4"/>
      <x v="20"/>
    </i>
    <i r="3">
      <x v="6"/>
      <x v="22"/>
    </i>
    <i r="2">
      <x v="7"/>
      <x v="10"/>
      <x v="28"/>
    </i>
    <i r="2">
      <x v="8"/>
      <x v="13"/>
      <x v="31"/>
    </i>
    <i r="3">
      <x v="15"/>
      <x v="35"/>
    </i>
    <i r="2">
      <x v="9"/>
      <x v="25"/>
      <x v="49"/>
    </i>
    <i r="2">
      <x v="10"/>
      <x v="29"/>
      <x v="54"/>
    </i>
    <i r="4">
      <x v="55"/>
    </i>
    <i r="3">
      <x v="32"/>
      <x v="60"/>
    </i>
    <i r="1">
      <x v="1"/>
      <x/>
      <x v="41"/>
      <x v="73"/>
    </i>
    <i r="2">
      <x v="1"/>
      <x v="48"/>
      <x v="82"/>
    </i>
    <i r="3">
      <x v="52"/>
      <x v="87"/>
    </i>
    <i r="2">
      <x v="2"/>
      <x v="55"/>
      <x v="89"/>
    </i>
    <i r="2">
      <x v="3"/>
      <x v="72"/>
      <x v="8"/>
    </i>
    <i r="4">
      <x v="9"/>
    </i>
    <i r="2">
      <x v="5"/>
      <x v="82"/>
      <x v="105"/>
    </i>
    <i r="2">
      <x v="8"/>
      <x v="86"/>
      <x v="116"/>
    </i>
    <i r="2">
      <x v="9"/>
      <x v="95"/>
      <x v="127"/>
    </i>
    <i r="3">
      <x v="96"/>
      <x v="128"/>
    </i>
    <i r="2">
      <x v="10"/>
      <x v="112"/>
      <x v="151"/>
    </i>
    <i r="1">
      <x v="3"/>
      <x/>
      <x v="120"/>
      <x v="162"/>
    </i>
    <i r="2">
      <x v="1"/>
      <x v="139"/>
      <x v="185"/>
    </i>
    <i r="2">
      <x v="3"/>
      <x v="175"/>
      <x v="232"/>
    </i>
    <i r="2">
      <x v="4"/>
      <x v="198"/>
      <x v="265"/>
    </i>
    <i r="2">
      <x v="7"/>
      <x v="233"/>
      <x v="312"/>
    </i>
    <i r="2">
      <x v="9"/>
      <x v="252"/>
      <x v="340"/>
    </i>
    <i r="4">
      <x v="341"/>
    </i>
    <i r="2">
      <x v="11"/>
      <x v="153"/>
      <x v="201"/>
    </i>
    <i r="3">
      <x v="157"/>
      <x v="207"/>
    </i>
    <i r="1">
      <x v="4"/>
      <x/>
      <x v="275"/>
      <x v="372"/>
    </i>
    <i r="2">
      <x v="5"/>
      <x v="364"/>
      <x v="518"/>
    </i>
    <i r="2">
      <x v="7"/>
      <x v="406"/>
      <x v="584"/>
    </i>
    <i r="3">
      <x v="407"/>
      <x v="584"/>
    </i>
    <i r="3">
      <x v="419"/>
      <x v="605"/>
    </i>
    <i r="2">
      <x v="8"/>
      <x v="435"/>
      <x v="639"/>
    </i>
    <i r="1">
      <x v="6"/>
      <x v="3"/>
      <x v="549"/>
      <x v="841"/>
    </i>
    <i r="2">
      <x v="5"/>
      <x v="574"/>
      <x v="886"/>
    </i>
    <i r="2">
      <x v="6"/>
      <x v="589"/>
      <x v="910"/>
    </i>
    <i r="2">
      <x v="7"/>
      <x v="609"/>
      <x v="946"/>
    </i>
    <i r="3">
      <x v="610"/>
      <x v="946"/>
    </i>
    <i r="2">
      <x v="8"/>
      <x v="621"/>
      <x v="967"/>
    </i>
    <i r="2">
      <x v="9"/>
      <x v="632"/>
      <x v="984"/>
    </i>
    <i r="2">
      <x v="10"/>
      <x v="659"/>
      <x v="1032"/>
    </i>
    <i r="2">
      <x v="11"/>
      <x v="540"/>
      <x v="823"/>
    </i>
    <i r="1">
      <x v="7"/>
      <x/>
      <x v="674"/>
      <x v="1063"/>
    </i>
    <i r="2">
      <x v="1"/>
      <x v="687"/>
      <x v="1085"/>
    </i>
    <i r="3">
      <x v="688"/>
      <x v="1088"/>
    </i>
    <i r="2">
      <x v="2"/>
      <x v="701"/>
      <x v="1111"/>
    </i>
    <i r="3">
      <x v="703"/>
      <x v="1116"/>
    </i>
    <i r="2">
      <x v="3"/>
      <x v="722"/>
      <x v="1156"/>
    </i>
    <i r="2">
      <x v="6"/>
      <x v="775"/>
      <x v="1250"/>
    </i>
    <i r="2">
      <x v="11"/>
      <x v="709"/>
      <x v="1130"/>
    </i>
    <i t="default">
      <x v="4"/>
    </i>
    <i>
      <x v="5"/>
      <x/>
      <x v="6"/>
      <x v="13"/>
      <x v="32"/>
    </i>
    <i r="2">
      <x v="9"/>
      <x v="34"/>
      <x v="63"/>
    </i>
    <i r="1">
      <x v="1"/>
      <x v="8"/>
      <x v="92"/>
      <x v="123"/>
    </i>
    <i r="1">
      <x v="3"/>
      <x/>
      <x v="147"/>
      <x v="195"/>
    </i>
    <i r="2">
      <x v="1"/>
      <x v="154"/>
      <x v="203"/>
    </i>
    <i r="2">
      <x v="2"/>
      <x v="162"/>
      <x v="214"/>
    </i>
    <i r="3">
      <x v="168"/>
      <x v="221"/>
    </i>
    <i r="2">
      <x v="3"/>
      <x v="195"/>
      <x v="260"/>
    </i>
    <i r="3">
      <x v="197"/>
      <x v="263"/>
    </i>
    <i r="2">
      <x v="4"/>
      <x v="217"/>
      <x v="289"/>
    </i>
    <i r="2">
      <x v="8"/>
      <x v="253"/>
      <x v="342"/>
    </i>
    <i r="1">
      <x v="4"/>
      <x v="6"/>
      <x v="411"/>
      <x v="590"/>
    </i>
    <i r="3">
      <x v="421"/>
      <x v="608"/>
    </i>
    <i r="2">
      <x v="8"/>
      <x v="455"/>
      <x v="669"/>
    </i>
    <i r="2">
      <x v="9"/>
      <x v="479"/>
      <x v="714"/>
    </i>
    <i r="2">
      <x v="11"/>
      <x v="343"/>
      <x v="487"/>
    </i>
    <i r="1">
      <x v="6"/>
      <x/>
      <x v="502"/>
      <x v="765"/>
    </i>
    <i r="2">
      <x v="3"/>
      <x v="566"/>
      <x v="867"/>
    </i>
    <i r="2">
      <x v="5"/>
      <x v="591"/>
      <x v="912"/>
    </i>
    <i r="2">
      <x v="6"/>
      <x v="606"/>
      <x v="936"/>
    </i>
    <i r="2">
      <x v="11"/>
      <x v="554"/>
      <x v="848"/>
    </i>
    <i r="1">
      <x v="7"/>
      <x v="2"/>
      <x v="718"/>
      <x v="1149"/>
    </i>
    <i t="default">
      <x v="5"/>
    </i>
    <i>
      <x v="6"/>
      <x/>
      <x v="8"/>
      <x v="5"/>
      <x v="21"/>
    </i>
    <i r="2">
      <x v="9"/>
      <x v="8"/>
      <x v="24"/>
    </i>
    <i r="2">
      <x v="10"/>
      <x v="9"/>
      <x v="25"/>
    </i>
    <i r="4">
      <x v="26"/>
    </i>
    <i r="1">
      <x v="1"/>
      <x/>
      <x v="21"/>
      <x v="42"/>
    </i>
    <i r="3">
      <x v="22"/>
      <x v="44"/>
    </i>
    <i r="2">
      <x v="1"/>
      <x v="26"/>
      <x v="50"/>
    </i>
    <i r="3">
      <x v="27"/>
      <x v="51"/>
    </i>
    <i r="2">
      <x v="4"/>
      <x v="77"/>
      <x v="98"/>
    </i>
    <i r="2">
      <x v="5"/>
      <x v="65"/>
      <x v="101"/>
    </i>
    <i r="3">
      <x v="68"/>
      <x v="3"/>
    </i>
    <i r="3">
      <x v="71"/>
      <x v="7"/>
    </i>
    <i r="2">
      <x v="6"/>
      <x v="78"/>
      <x v="14"/>
    </i>
    <i r="2">
      <x v="10"/>
      <x v="85"/>
      <x v="114"/>
    </i>
    <i r="2">
      <x v="11"/>
      <x v="47"/>
      <x v="81"/>
    </i>
    <i r="1">
      <x v="3"/>
      <x/>
      <x v="89"/>
      <x v="120"/>
    </i>
    <i r="3">
      <x v="91"/>
      <x v="122"/>
    </i>
    <i r="2">
      <x v="3"/>
      <x v="142"/>
      <x v="189"/>
    </i>
    <i r="4">
      <x v="190"/>
    </i>
    <i r="3">
      <x v="143"/>
      <x v="191"/>
    </i>
    <i r="3">
      <x v="148"/>
      <x v="196"/>
    </i>
    <i r="2">
      <x v="4"/>
      <x v="150"/>
      <x v="198"/>
    </i>
    <i r="2">
      <x v="6"/>
      <x v="184"/>
      <x v="245"/>
    </i>
    <i r="2">
      <x v="7"/>
      <x v="204"/>
      <x v="274"/>
    </i>
    <i r="2">
      <x v="10"/>
      <x v="233"/>
      <x v="311"/>
    </i>
    <i r="2">
      <x v="11"/>
      <x v="125"/>
      <x v="170"/>
    </i>
    <i r="3">
      <x v="126"/>
      <x v="171"/>
    </i>
    <i r="3">
      <x v="128"/>
      <x v="173"/>
    </i>
    <i r="1">
      <x v="4"/>
      <x v="1"/>
      <x v="258"/>
      <x v="350"/>
    </i>
    <i r="2">
      <x v="2"/>
      <x v="263"/>
      <x v="357"/>
    </i>
    <i r="2">
      <x v="4"/>
      <x v="317"/>
      <x v="439"/>
    </i>
    <i t="default">
      <x v="6"/>
    </i>
    <i>
      <x v="7"/>
      <x/>
      <x v="4"/>
      <x v="2"/>
      <x v="18"/>
    </i>
    <i r="1">
      <x v="1"/>
      <x v="7"/>
      <x v="85"/>
      <x v="115"/>
    </i>
    <i t="default">
      <x v="7"/>
    </i>
    <i>
      <x v="8"/>
      <x/>
      <x v="6"/>
      <x v="14"/>
      <x v="34"/>
    </i>
    <i r="2">
      <x v="7"/>
      <x v="18"/>
      <x v="39"/>
    </i>
    <i r="2">
      <x v="9"/>
      <x v="39"/>
      <x v="70"/>
    </i>
    <i r="3">
      <x v="44"/>
      <x v="76"/>
    </i>
    <i r="1">
      <x v="1"/>
      <x v="1"/>
      <x v="63"/>
      <x v="99"/>
    </i>
    <i r="2">
      <x v="8"/>
      <x v="106"/>
      <x v="141"/>
    </i>
    <i r="3">
      <x v="108"/>
      <x v="144"/>
    </i>
    <i r="2">
      <x v="9"/>
      <x v="122"/>
      <x v="165"/>
    </i>
    <i t="default">
      <x v="8"/>
    </i>
    <i>
      <x v="9"/>
      <x/>
      <x v="10"/>
      <x v="17"/>
      <x v="38"/>
    </i>
    <i r="1">
      <x v="1"/>
      <x/>
      <x v="23"/>
      <x v="45"/>
    </i>
    <i r="2">
      <x v="1"/>
      <x v="31"/>
      <x v="59"/>
    </i>
    <i r="2">
      <x v="2"/>
      <x v="38"/>
      <x v="69"/>
    </i>
    <i r="3">
      <x v="44"/>
      <x v="77"/>
    </i>
    <i r="4">
      <x v="78"/>
    </i>
    <i r="2">
      <x v="3"/>
      <x v="53"/>
      <x v="85"/>
    </i>
    <i r="3">
      <x v="56"/>
      <x v="91"/>
    </i>
    <i r="2">
      <x v="5"/>
      <x v="69"/>
      <x v="5"/>
    </i>
    <i r="2">
      <x v="6"/>
      <x v="73"/>
      <x v="11"/>
    </i>
    <i r="3">
      <x v="76"/>
      <x v="15"/>
    </i>
    <i r="2">
      <x v="7"/>
      <x v="84"/>
      <x v="107"/>
    </i>
    <i r="4">
      <x v="110"/>
    </i>
    <i r="2">
      <x v="11"/>
      <x v="49"/>
      <x v="83"/>
    </i>
    <i r="1">
      <x v="3"/>
      <x/>
      <x v="86"/>
      <x v="117"/>
    </i>
    <i r="2">
      <x v="1"/>
      <x v="94"/>
      <x v="126"/>
    </i>
    <i r="3">
      <x v="108"/>
      <x v="146"/>
    </i>
    <i r="3">
      <x v="110"/>
      <x v="148"/>
    </i>
    <i r="2">
      <x v="2"/>
      <x v="113"/>
      <x v="153"/>
    </i>
    <i r="3">
      <x v="115"/>
      <x v="155"/>
    </i>
    <i r="2">
      <x v="3"/>
      <x v="140"/>
      <x v="186"/>
    </i>
    <i r="3">
      <x v="146"/>
      <x v="194"/>
    </i>
    <i r="2">
      <x v="4"/>
      <x v="151"/>
      <x v="199"/>
    </i>
    <i r="2">
      <x v="5"/>
      <x v="159"/>
      <x v="210"/>
    </i>
    <i r="3">
      <x v="164"/>
      <x v="216"/>
    </i>
    <i r="2">
      <x v="6"/>
      <x v="188"/>
      <x v="250"/>
    </i>
    <i r="2">
      <x v="7"/>
      <x v="203"/>
      <x v="271"/>
    </i>
    <i r="2">
      <x v="8"/>
      <x v="211"/>
      <x v="281"/>
    </i>
    <i r="3">
      <x v="220"/>
      <x v="293"/>
    </i>
    <i r="2">
      <x v="9"/>
      <x v="227"/>
      <x v="302"/>
    </i>
    <i r="2">
      <x v="10"/>
      <x v="236"/>
      <x v="317"/>
    </i>
    <i r="2">
      <x v="11"/>
      <x v="125"/>
      <x v="169"/>
    </i>
    <i r="3">
      <x v="134"/>
      <x v="179"/>
    </i>
    <i r="1">
      <x v="4"/>
      <x/>
      <x v="246"/>
      <x v="331"/>
    </i>
    <i r="3">
      <x v="249"/>
      <x v="337"/>
    </i>
    <i r="2">
      <x v="1"/>
      <x v="255"/>
      <x v="346"/>
    </i>
    <i r="3">
      <x v="256"/>
      <x v="348"/>
    </i>
    <i r="2">
      <x v="2"/>
      <x v="263"/>
      <x v="358"/>
    </i>
    <i r="3">
      <x v="275"/>
      <x v="373"/>
    </i>
    <i r="2">
      <x v="3"/>
      <x v="298"/>
      <x v="405"/>
    </i>
    <i r="3">
      <x v="302"/>
      <x v="413"/>
    </i>
    <i r="2">
      <x v="4"/>
      <x v="312"/>
      <x v="429"/>
    </i>
    <i r="2">
      <x v="5"/>
      <x v="329"/>
      <x v="458"/>
    </i>
    <i r="2">
      <x v="6"/>
      <x v="341"/>
      <x v="481"/>
    </i>
    <i r="2">
      <x v="7"/>
      <x v="362"/>
      <x v="516"/>
    </i>
    <i r="2">
      <x v="8"/>
      <x v="375"/>
      <x v="537"/>
    </i>
    <i r="2">
      <x v="9"/>
      <x v="395"/>
      <x v="567"/>
    </i>
    <i r="3">
      <x v="402"/>
      <x v="576"/>
    </i>
    <i r="3">
      <x v="410"/>
      <x v="589"/>
    </i>
    <i r="2">
      <x v="11"/>
      <x v="290"/>
      <x v="393"/>
    </i>
    <i r="1">
      <x v="6"/>
      <x/>
      <x v="430"/>
      <x v="627"/>
    </i>
    <i r="2">
      <x v="1"/>
      <x v="454"/>
      <x v="667"/>
    </i>
    <i r="2">
      <x v="2"/>
      <x v="476"/>
      <x v="706"/>
    </i>
    <i r="4">
      <x v="707"/>
    </i>
    <i r="3">
      <x v="485"/>
      <x v="722"/>
    </i>
    <i r="2">
      <x v="3"/>
      <x v="509"/>
      <x v="774"/>
    </i>
    <i r="2">
      <x v="4"/>
      <x v="522"/>
      <x v="794"/>
    </i>
    <i r="3">
      <x v="524"/>
      <x v="799"/>
    </i>
    <i r="3">
      <x v="525"/>
      <x v="801"/>
    </i>
    <i r="3">
      <x v="536"/>
      <x v="815"/>
    </i>
    <i r="2">
      <x v="5"/>
      <x v="541"/>
      <x v="824"/>
    </i>
    <i r="3">
      <x v="545"/>
      <x v="835"/>
    </i>
    <i r="2">
      <x v="6"/>
      <x v="556"/>
      <x v="852"/>
    </i>
    <i r="2">
      <x v="7"/>
      <x v="566"/>
      <x v="871"/>
    </i>
    <i r="3">
      <x v="573"/>
      <x v="883"/>
    </i>
    <i r="2">
      <x v="8"/>
      <x v="584"/>
      <x v="900"/>
    </i>
    <i r="3">
      <x v="586"/>
      <x v="902"/>
    </i>
    <i r="3">
      <x v="589"/>
      <x v="907"/>
    </i>
    <i r="2">
      <x v="9"/>
      <x v="597"/>
      <x v="922"/>
    </i>
    <i r="4">
      <x v="923"/>
    </i>
    <i r="2">
      <x v="10"/>
      <x v="607"/>
      <x v="939"/>
    </i>
    <i r="3">
      <x v="616"/>
      <x v="959"/>
    </i>
    <i r="3">
      <x v="620"/>
      <x v="964"/>
    </i>
    <i r="2">
      <x v="11"/>
      <x v="495"/>
      <x v="747"/>
    </i>
    <i r="1">
      <x v="7"/>
      <x/>
      <x v="626"/>
      <x v="974"/>
    </i>
    <i r="2">
      <x v="1"/>
      <x v="639"/>
      <x v="995"/>
    </i>
    <i r="3">
      <x v="645"/>
      <x v="1009"/>
    </i>
    <i r="2">
      <x v="2"/>
      <x v="656"/>
      <x v="1029"/>
    </i>
    <i r="2">
      <x v="3"/>
      <x v="693"/>
      <x v="1098"/>
    </i>
    <i r="3">
      <x v="699"/>
      <x v="1109"/>
    </i>
    <i r="2">
      <x v="6"/>
      <x v="741"/>
      <x v="1187"/>
    </i>
    <i r="2">
      <x v="7"/>
      <x v="763"/>
      <x v="1229"/>
    </i>
    <i r="2">
      <x v="8"/>
      <x v="779"/>
      <x v="1259"/>
    </i>
    <i r="2">
      <x v="9"/>
      <x v="788"/>
      <x v="1274"/>
    </i>
    <i r="3">
      <x v="793"/>
      <x v="1281"/>
    </i>
    <i r="4">
      <x v="1282"/>
    </i>
    <i r="2">
      <x v="11"/>
      <x v="672"/>
      <x v="1056"/>
    </i>
    <i r="3">
      <x v="677"/>
      <x v="1069"/>
    </i>
    <i t="default">
      <x v="9"/>
    </i>
    <i>
      <x v="10"/>
      <x/>
      <x v="9"/>
      <x v="41"/>
      <x v="72"/>
    </i>
    <i t="default">
      <x v="10"/>
    </i>
    <i>
      <x v="11"/>
      <x v="5"/>
      <x v="12"/>
      <x v="45"/>
      <x v="79"/>
    </i>
    <i t="default">
      <x v="11"/>
    </i>
    <i>
      <x v="12"/>
      <x v="5"/>
      <x v="12"/>
      <x v="119"/>
      <x v="160"/>
    </i>
    <i t="default">
      <x v="12"/>
    </i>
    <i>
      <x v="13"/>
      <x v="1"/>
      <x v="1"/>
      <x v="58"/>
      <x v="92"/>
    </i>
    <i r="3">
      <x v="59"/>
      <x v="94"/>
    </i>
    <i r="2">
      <x v="2"/>
      <x v="70"/>
      <x v="6"/>
    </i>
    <i r="2">
      <x v="8"/>
      <x v="102"/>
      <x v="135"/>
    </i>
    <i r="1">
      <x v="4"/>
      <x/>
      <x v="297"/>
      <x v="403"/>
    </i>
    <i r="2">
      <x v="2"/>
      <x v="327"/>
      <x v="456"/>
    </i>
    <i r="3">
      <x v="330"/>
      <x v="464"/>
    </i>
    <i r="2">
      <x v="3"/>
      <x v="360"/>
      <x v="514"/>
    </i>
    <i r="3">
      <x v="366"/>
      <x v="526"/>
    </i>
    <i r="3">
      <x v="367"/>
      <x v="526"/>
    </i>
    <i r="3">
      <x v="368"/>
      <x v="530"/>
    </i>
    <i r="3">
      <x v="369"/>
      <x v="530"/>
    </i>
    <i r="2">
      <x v="4"/>
      <x v="374"/>
      <x v="538"/>
    </i>
    <i r="3">
      <x v="380"/>
      <x v="543"/>
    </i>
    <i r="3">
      <x v="387"/>
      <x v="555"/>
    </i>
    <i r="2">
      <x v="5"/>
      <x v="394"/>
      <x v="566"/>
    </i>
    <i r="2">
      <x v="6"/>
      <x v="409"/>
      <x v="588"/>
    </i>
    <i r="3">
      <x v="413"/>
      <x v="593"/>
    </i>
    <i r="3">
      <x v="420"/>
      <x v="606"/>
    </i>
    <i r="2">
      <x v="7"/>
      <x v="431"/>
      <x v="629"/>
    </i>
    <i r="4">
      <x v="630"/>
    </i>
    <i r="3">
      <x v="437"/>
      <x v="640"/>
    </i>
    <i r="3">
      <x v="444"/>
      <x v="651"/>
    </i>
    <i r="2">
      <x v="8"/>
      <x v="450"/>
      <x v="660"/>
    </i>
    <i r="3">
      <x v="458"/>
      <x v="672"/>
    </i>
    <i r="2">
      <x v="9"/>
      <x v="474"/>
      <x v="701"/>
    </i>
    <i r="3">
      <x v="476"/>
      <x v="705"/>
    </i>
    <i r="3">
      <x v="478"/>
      <x v="711"/>
    </i>
    <i r="2">
      <x v="10"/>
      <x v="486"/>
      <x v="726"/>
    </i>
    <i r="3">
      <x v="494"/>
      <x v="742"/>
    </i>
    <i r="2">
      <x v="11"/>
      <x v="353"/>
      <x v="499"/>
    </i>
    <i r="1">
      <x v="6"/>
      <x/>
      <x v="502"/>
      <x v="764"/>
    </i>
    <i r="2">
      <x v="2"/>
      <x v="542"/>
      <x v="827"/>
    </i>
    <i r="2">
      <x v="3"/>
      <x v="562"/>
      <x v="862"/>
    </i>
    <i r="3">
      <x v="571"/>
      <x v="878"/>
    </i>
    <i r="2">
      <x v="4"/>
      <x v="574"/>
      <x v="885"/>
    </i>
    <i r="2">
      <x v="6"/>
      <x v="617"/>
      <x v="960"/>
    </i>
    <i r="2">
      <x v="11"/>
      <x v="557"/>
      <x v="853"/>
    </i>
    <i t="default">
      <x v="13"/>
    </i>
    <i>
      <x v="14"/>
      <x v="1"/>
      <x v="1"/>
      <x v="64"/>
      <x v="100"/>
    </i>
    <i r="2">
      <x v="11"/>
      <x v="73"/>
      <x v="10"/>
    </i>
    <i t="default">
      <x v="14"/>
    </i>
    <i>
      <x v="15"/>
      <x v="1"/>
      <x v="2"/>
      <x v="66"/>
      <x/>
    </i>
    <i t="default">
      <x v="15"/>
    </i>
    <i>
      <x v="16"/>
      <x v="1"/>
      <x v="7"/>
      <x v="87"/>
      <x v="118"/>
    </i>
    <i t="default">
      <x v="16"/>
    </i>
    <i>
      <x v="17"/>
      <x v="1"/>
      <x v="8"/>
      <x v="93"/>
      <x v="124"/>
    </i>
    <i r="3">
      <x v="94"/>
      <x v="125"/>
    </i>
    <i r="3">
      <x v="100"/>
      <x v="132"/>
    </i>
    <i r="3">
      <x v="101"/>
      <x v="133"/>
    </i>
    <i r="3">
      <x v="108"/>
      <x v="147"/>
    </i>
    <i r="2">
      <x v="9"/>
      <x v="112"/>
      <x v="150"/>
    </i>
    <i r="3">
      <x v="119"/>
      <x v="161"/>
    </i>
    <i r="3">
      <x v="121"/>
      <x v="163"/>
    </i>
    <i r="4">
      <x v="164"/>
    </i>
    <i r="2">
      <x v="10"/>
      <x v="134"/>
      <x v="180"/>
    </i>
    <i r="1">
      <x v="3"/>
      <x/>
      <x v="136"/>
      <x v="182"/>
    </i>
    <i r="3">
      <x v="141"/>
      <x v="187"/>
    </i>
    <i r="3">
      <x v="145"/>
      <x v="193"/>
    </i>
    <i r="2">
      <x v="1"/>
      <x v="149"/>
      <x v="197"/>
    </i>
    <i r="3">
      <x v="155"/>
      <x v="204"/>
    </i>
    <i r="2">
      <x v="2"/>
      <x v="161"/>
      <x v="212"/>
    </i>
    <i r="3">
      <x v="165"/>
      <x v="218"/>
    </i>
    <i r="2">
      <x v="3"/>
      <x v="203"/>
      <x v="273"/>
    </i>
    <i r="2">
      <x v="4"/>
      <x v="219"/>
      <x v="292"/>
    </i>
    <i r="2">
      <x v="5"/>
      <x v="222"/>
      <x v="295"/>
    </i>
    <i r="2">
      <x v="6"/>
      <x v="236"/>
      <x v="319"/>
    </i>
    <i r="3">
      <x v="237"/>
      <x v="319"/>
    </i>
    <i r="2">
      <x v="7"/>
      <x v="245"/>
      <x v="330"/>
    </i>
    <i r="2">
      <x v="8"/>
      <x v="253"/>
      <x v="343"/>
    </i>
    <i r="2">
      <x v="9"/>
      <x v="272"/>
      <x v="367"/>
    </i>
    <i r="3">
      <x v="273"/>
      <x v="368"/>
    </i>
    <i r="2">
      <x v="10"/>
      <x v="288"/>
      <x v="391"/>
    </i>
    <i r="2">
      <x v="11"/>
      <x v="175"/>
      <x v="231"/>
    </i>
    <i r="3">
      <x v="189"/>
      <x v="253"/>
    </i>
    <i r="1">
      <x v="4"/>
      <x/>
      <x v="304"/>
      <x v="415"/>
    </i>
    <i r="2">
      <x v="1"/>
      <x v="313"/>
      <x v="432"/>
    </i>
    <i r="3">
      <x v="319"/>
      <x v="444"/>
    </i>
    <i r="3">
      <x v="320"/>
      <x v="445"/>
    </i>
    <i r="2">
      <x v="2"/>
      <x v="325"/>
      <x v="454"/>
    </i>
    <i r="3">
      <x v="326"/>
      <x v="455"/>
    </i>
    <i r="3">
      <x v="329"/>
      <x v="461"/>
    </i>
    <i r="2">
      <x v="3"/>
      <x v="361"/>
      <x v="515"/>
    </i>
    <i r="2">
      <x v="4"/>
      <x v="373"/>
      <x v="535"/>
    </i>
    <i r="3">
      <x v="379"/>
      <x v="542"/>
    </i>
    <i r="3">
      <x v="387"/>
      <x v="556"/>
    </i>
    <i r="2">
      <x v="5"/>
      <x v="399"/>
      <x v="573"/>
    </i>
    <i r="3">
      <x v="401"/>
      <x v="575"/>
    </i>
    <i r="2">
      <x v="6"/>
      <x v="412"/>
      <x v="591"/>
    </i>
    <i r="3">
      <x v="417"/>
      <x v="601"/>
    </i>
    <i r="3">
      <x v="420"/>
      <x v="607"/>
    </i>
    <i r="3">
      <x v="422"/>
      <x v="612"/>
    </i>
    <i r="3">
      <x v="426"/>
      <x v="616"/>
    </i>
    <i r="3">
      <x v="428"/>
      <x v="620"/>
    </i>
    <i r="2">
      <x v="7"/>
      <x v="433"/>
      <x v="632"/>
    </i>
    <i r="3">
      <x v="438"/>
      <x v="643"/>
    </i>
    <i r="3">
      <x v="445"/>
      <x v="652"/>
    </i>
    <i r="3">
      <x v="446"/>
      <x v="654"/>
    </i>
    <i r="2">
      <x v="8"/>
      <x v="451"/>
      <x v="662"/>
    </i>
    <i r="3">
      <x v="459"/>
      <x v="675"/>
    </i>
    <i r="3">
      <x v="465"/>
      <x v="686"/>
    </i>
    <i r="3">
      <x v="466"/>
      <x v="688"/>
    </i>
    <i r="2">
      <x v="9"/>
      <x v="470"/>
      <x v="696"/>
    </i>
    <i r="3">
      <x v="476"/>
      <x v="708"/>
    </i>
    <i r="3">
      <x v="484"/>
      <x v="721"/>
    </i>
    <i r="2">
      <x v="10"/>
      <x v="489"/>
      <x v="733"/>
    </i>
    <i r="3">
      <x v="496"/>
      <x v="748"/>
    </i>
    <i r="3">
      <x v="501"/>
      <x v="763"/>
    </i>
    <i r="2">
      <x v="11"/>
      <x v="354"/>
      <x v="501"/>
    </i>
    <i r="4">
      <x v="504"/>
    </i>
    <i r="3">
      <x v="371"/>
      <x v="485"/>
    </i>
    <i r="1">
      <x v="6"/>
      <x/>
      <x v="508"/>
      <x v="771"/>
    </i>
    <i r="3">
      <x v="511"/>
      <x v="776"/>
    </i>
    <i r="3">
      <x v="513"/>
      <x v="778"/>
    </i>
    <i r="2">
      <x v="1"/>
      <x v="519"/>
      <x v="788"/>
    </i>
    <i r="3">
      <x v="525"/>
      <x v="800"/>
    </i>
    <i r="3">
      <x v="531"/>
      <x v="809"/>
    </i>
    <i r="2">
      <x v="2"/>
      <x v="537"/>
      <x v="821"/>
    </i>
    <i r="3">
      <x v="542"/>
      <x v="829"/>
    </i>
    <i r="3">
      <x v="547"/>
      <x v="837"/>
    </i>
    <i r="2">
      <x v="3"/>
      <x v="561"/>
      <x v="861"/>
    </i>
    <i r="3">
      <x v="566"/>
      <x v="870"/>
    </i>
    <i r="3">
      <x v="571"/>
      <x v="877"/>
    </i>
    <i r="2">
      <x v="4"/>
      <x v="577"/>
      <x v="890"/>
    </i>
    <i r="3">
      <x v="583"/>
      <x v="899"/>
    </i>
    <i r="2">
      <x v="5"/>
      <x v="591"/>
      <x v="913"/>
    </i>
    <i r="3">
      <x v="596"/>
      <x v="921"/>
    </i>
    <i r="3">
      <x v="600"/>
      <x v="926"/>
    </i>
    <i r="2">
      <x v="6"/>
      <x v="607"/>
      <x v="940"/>
    </i>
    <i r="3">
      <x v="613"/>
      <x v="951"/>
    </i>
    <i r="3">
      <x v="618"/>
      <x v="961"/>
    </i>
    <i r="2">
      <x v="7"/>
      <x v="625"/>
      <x v="973"/>
    </i>
    <i r="3">
      <x v="627"/>
      <x v="975"/>
    </i>
    <i r="3">
      <x v="632"/>
      <x v="983"/>
    </i>
    <i r="2">
      <x v="8"/>
      <x v="637"/>
      <x v="992"/>
    </i>
    <i r="3">
      <x v="642"/>
      <x v="1003"/>
    </i>
    <i r="3">
      <x v="644"/>
      <x v="1008"/>
    </i>
    <i r="3">
      <x v="647"/>
      <x v="1013"/>
    </i>
    <i r="2">
      <x v="9"/>
      <x v="648"/>
      <x v="1017"/>
    </i>
    <i r="3">
      <x v="655"/>
      <x v="1028"/>
    </i>
    <i r="3">
      <x v="657"/>
      <x v="1030"/>
    </i>
    <i r="3">
      <x v="665"/>
      <x v="1042"/>
    </i>
    <i r="2">
      <x v="10"/>
      <x v="672"/>
      <x v="1055"/>
    </i>
    <i r="3">
      <x v="675"/>
      <x v="1066"/>
    </i>
    <i r="3">
      <x v="679"/>
      <x v="1073"/>
    </i>
    <i r="3">
      <x v="687"/>
      <x v="1086"/>
    </i>
    <i r="2">
      <x v="11"/>
      <x v="552"/>
      <x v="845"/>
    </i>
    <i r="3">
      <x v="555"/>
      <x v="851"/>
    </i>
    <i r="3">
      <x v="560"/>
      <x v="856"/>
    </i>
    <i r="1">
      <x v="7"/>
      <x/>
      <x v="689"/>
      <x v="1090"/>
    </i>
    <i r="3">
      <x v="695"/>
      <x v="1101"/>
    </i>
    <i r="3">
      <x v="700"/>
      <x v="1110"/>
    </i>
    <i r="2">
      <x v="1"/>
      <x v="705"/>
      <x v="1122"/>
    </i>
    <i r="3">
      <x v="708"/>
      <x v="1127"/>
    </i>
    <i r="3">
      <x v="711"/>
      <x v="1138"/>
    </i>
    <i r="2">
      <x v="2"/>
      <x v="715"/>
      <x v="1144"/>
    </i>
    <i r="3">
      <x v="723"/>
      <x v="1157"/>
    </i>
    <i r="3">
      <x v="729"/>
      <x v="1169"/>
    </i>
    <i r="2">
      <x v="3"/>
      <x v="748"/>
      <x v="1201"/>
    </i>
    <i r="3">
      <x v="753"/>
      <x v="1210"/>
    </i>
    <i r="3">
      <x v="761"/>
      <x v="1224"/>
    </i>
    <i r="2">
      <x v="4"/>
      <x v="767"/>
      <x v="1237"/>
    </i>
    <i r="3">
      <x v="776"/>
      <x v="1251"/>
    </i>
    <i r="2">
      <x v="5"/>
      <x v="782"/>
      <x v="1264"/>
    </i>
    <i r="3">
      <x v="790"/>
      <x v="1277"/>
    </i>
    <i r="3">
      <x v="797"/>
      <x v="1289"/>
    </i>
    <i r="2">
      <x v="11"/>
      <x v="736"/>
      <x v="1181"/>
    </i>
    <i r="3">
      <x v="743"/>
      <x v="1191"/>
    </i>
    <i t="default">
      <x v="17"/>
    </i>
    <i>
      <x v="18"/>
      <x v="1"/>
      <x v="8"/>
      <x v="97"/>
      <x v="129"/>
    </i>
    <i r="3">
      <x v="99"/>
      <x v="131"/>
    </i>
    <i r="3">
      <x v="102"/>
      <x v="137"/>
    </i>
    <i r="3">
      <x v="103"/>
      <x v="138"/>
    </i>
    <i r="3">
      <x v="104"/>
      <x v="139"/>
    </i>
    <i r="3">
      <x v="105"/>
      <x v="140"/>
    </i>
    <i r="3">
      <x v="107"/>
      <x v="143"/>
    </i>
    <i r="3">
      <x v="109"/>
      <x v="145"/>
    </i>
    <i r="2">
      <x v="9"/>
      <x v="113"/>
      <x v="152"/>
    </i>
    <i r="3">
      <x v="114"/>
      <x v="154"/>
    </i>
    <i r="3">
      <x v="118"/>
      <x v="158"/>
    </i>
    <i r="4">
      <x v="159"/>
    </i>
    <i r="2">
      <x v="10"/>
      <x v="123"/>
      <x v="166"/>
    </i>
    <i r="3">
      <x v="124"/>
      <x v="168"/>
    </i>
    <i r="3">
      <x v="127"/>
      <x v="172"/>
    </i>
    <i r="3">
      <x v="129"/>
      <x v="174"/>
    </i>
    <i r="3">
      <x v="130"/>
      <x v="175"/>
    </i>
    <i r="3">
      <x v="131"/>
      <x v="176"/>
    </i>
    <i r="3">
      <x v="133"/>
      <x v="178"/>
    </i>
    <i r="1">
      <x v="3"/>
      <x/>
      <x v="135"/>
      <x v="181"/>
    </i>
    <i r="3">
      <x v="137"/>
      <x v="183"/>
    </i>
    <i r="3">
      <x v="138"/>
      <x v="184"/>
    </i>
    <i r="3">
      <x v="141"/>
      <x v="188"/>
    </i>
    <i r="3">
      <x v="144"/>
      <x v="192"/>
    </i>
    <i r="2">
      <x v="1"/>
      <x v="156"/>
      <x v="205"/>
    </i>
    <i r="3">
      <x v="157"/>
      <x v="206"/>
    </i>
    <i r="2">
      <x v="2"/>
      <x v="163"/>
      <x v="215"/>
    </i>
    <i r="3">
      <x v="164"/>
      <x v="217"/>
    </i>
    <i r="3">
      <x v="166"/>
      <x v="219"/>
    </i>
    <i r="3">
      <x v="169"/>
      <x v="222"/>
    </i>
    <i r="3">
      <x v="170"/>
      <x v="223"/>
    </i>
    <i r="3">
      <x v="171"/>
      <x v="225"/>
    </i>
    <i r="2">
      <x v="3"/>
      <x v="192"/>
      <x v="256"/>
    </i>
    <i r="3">
      <x v="193"/>
      <x v="258"/>
    </i>
    <i r="3">
      <x v="197"/>
      <x v="264"/>
    </i>
    <i r="3">
      <x v="199"/>
      <x v="266"/>
    </i>
    <i r="3">
      <x v="201"/>
      <x v="268"/>
    </i>
    <i r="3">
      <x v="202"/>
      <x v="270"/>
    </i>
    <i r="3">
      <x v="203"/>
      <x v="272"/>
    </i>
    <i r="3">
      <x v="205"/>
      <x v="275"/>
    </i>
    <i r="2">
      <x v="4"/>
      <x v="207"/>
      <x v="277"/>
    </i>
    <i r="3">
      <x v="209"/>
      <x v="279"/>
    </i>
    <i r="3">
      <x v="213"/>
      <x v="284"/>
    </i>
    <i r="3">
      <x v="216"/>
      <x v="288"/>
    </i>
    <i r="3">
      <x v="218"/>
      <x v="291"/>
    </i>
    <i r="2">
      <x v="5"/>
      <x v="223"/>
      <x v="296"/>
    </i>
    <i r="3">
      <x v="224"/>
      <x v="298"/>
    </i>
    <i r="3">
      <x v="225"/>
      <x v="299"/>
    </i>
    <i r="3">
      <x v="226"/>
      <x v="300"/>
    </i>
    <i r="2">
      <x v="6"/>
      <x v="230"/>
      <x v="306"/>
    </i>
    <i r="3">
      <x v="232"/>
      <x v="309"/>
    </i>
    <i r="3">
      <x v="235"/>
      <x v="315"/>
    </i>
    <i r="2">
      <x v="7"/>
      <x v="238"/>
      <x v="320"/>
    </i>
    <i r="3">
      <x v="240"/>
      <x v="322"/>
    </i>
    <i r="3">
      <x v="241"/>
      <x v="324"/>
    </i>
    <i r="3">
      <x v="242"/>
      <x v="326"/>
    </i>
    <i r="4">
      <x v="327"/>
    </i>
    <i r="2">
      <x v="8"/>
      <x v="250"/>
      <x v="338"/>
    </i>
    <i r="3">
      <x v="254"/>
      <x v="344"/>
    </i>
    <i r="3">
      <x v="260"/>
      <x v="352"/>
    </i>
    <i r="3">
      <x v="261"/>
      <x v="354"/>
    </i>
    <i r="3">
      <x v="262"/>
      <x v="355"/>
    </i>
    <i r="2">
      <x v="9"/>
      <x v="265"/>
      <x v="360"/>
    </i>
    <i r="3">
      <x v="270"/>
      <x v="365"/>
    </i>
    <i r="3">
      <x v="274"/>
      <x v="371"/>
    </i>
    <i r="2">
      <x v="10"/>
      <x v="278"/>
      <x v="378"/>
    </i>
    <i r="4">
      <x v="379"/>
    </i>
    <i r="3">
      <x v="279"/>
      <x v="381"/>
    </i>
    <i r="3">
      <x v="283"/>
      <x v="385"/>
    </i>
    <i r="3">
      <x v="286"/>
      <x v="388"/>
    </i>
    <i r="3">
      <x v="291"/>
      <x v="394"/>
    </i>
    <i r="3">
      <x v="292"/>
      <x v="395"/>
    </i>
    <i r="2">
      <x v="11"/>
      <x v="173"/>
      <x v="228"/>
    </i>
    <i r="3">
      <x v="174"/>
      <x v="230"/>
    </i>
    <i r="3">
      <x v="176"/>
      <x v="234"/>
    </i>
    <i r="3">
      <x v="178"/>
      <x v="238"/>
    </i>
    <i r="3">
      <x v="181"/>
      <x v="241"/>
    </i>
    <i r="3">
      <x v="182"/>
      <x v="243"/>
    </i>
    <i r="3">
      <x v="186"/>
      <x v="248"/>
    </i>
    <i r="3">
      <x v="189"/>
      <x v="252"/>
    </i>
    <i r="3">
      <x v="191"/>
      <x v="255"/>
    </i>
    <i r="1">
      <x v="4"/>
      <x/>
      <x v="293"/>
      <x v="396"/>
    </i>
    <i r="3">
      <x v="295"/>
      <x v="398"/>
    </i>
    <i r="3">
      <x v="296"/>
      <x v="401"/>
    </i>
    <i r="3">
      <x v="298"/>
      <x v="406"/>
    </i>
    <i r="3">
      <x v="300"/>
      <x v="410"/>
    </i>
    <i r="3">
      <x v="303"/>
      <x v="414"/>
    </i>
    <i r="3">
      <x v="306"/>
      <x v="418"/>
    </i>
    <i r="2">
      <x v="1"/>
      <x v="309"/>
      <x v="422"/>
    </i>
    <i r="3">
      <x v="311"/>
      <x v="425"/>
    </i>
    <i r="4">
      <x v="426"/>
    </i>
    <i r="3">
      <x v="313"/>
      <x v="430"/>
    </i>
    <i r="4">
      <x v="431"/>
    </i>
    <i r="3">
      <x v="315"/>
      <x v="434"/>
    </i>
    <i r="4">
      <x v="435"/>
    </i>
    <i r="4">
      <x v="436"/>
    </i>
    <i r="3">
      <x v="317"/>
      <x v="440"/>
    </i>
    <i r="4">
      <x v="441"/>
    </i>
    <i r="3">
      <x v="319"/>
      <x v="443"/>
    </i>
    <i r="2">
      <x v="2"/>
      <x v="323"/>
      <x v="449"/>
    </i>
    <i r="4">
      <x v="450"/>
    </i>
    <i r="3">
      <x v="328"/>
      <x v="457"/>
    </i>
    <i r="3">
      <x v="329"/>
      <x v="459"/>
    </i>
    <i r="4">
      <x v="460"/>
    </i>
    <i r="3">
      <x v="332"/>
      <x v="466"/>
    </i>
    <i r="4">
      <x v="467"/>
    </i>
    <i r="3">
      <x v="336"/>
      <x v="475"/>
    </i>
    <i r="4">
      <x v="476"/>
    </i>
    <i r="2">
      <x v="3"/>
      <x v="358"/>
      <x v="507"/>
    </i>
    <i r="4">
      <x v="508"/>
    </i>
    <i r="3">
      <x v="360"/>
      <x v="512"/>
    </i>
    <i r="4">
      <x v="513"/>
    </i>
    <i r="3">
      <x v="366"/>
      <x v="524"/>
    </i>
    <i r="4">
      <x v="525"/>
    </i>
    <i r="3">
      <x v="368"/>
      <x v="528"/>
    </i>
    <i r="2">
      <x v="4"/>
      <x v="381"/>
      <x v="546"/>
    </i>
    <i r="4">
      <x v="547"/>
    </i>
    <i r="2">
      <x v="5"/>
      <x v="391"/>
      <x v="561"/>
    </i>
    <i r="3">
      <x v="400"/>
      <x v="574"/>
    </i>
    <i r="3">
      <x v="405"/>
      <x v="580"/>
    </i>
    <i r="3">
      <x v="406"/>
      <x v="582"/>
    </i>
    <i r="4">
      <x v="583"/>
    </i>
    <i r="2">
      <x v="6"/>
      <x v="412"/>
      <x v="592"/>
    </i>
    <i r="3">
      <x v="413"/>
      <x v="594"/>
    </i>
    <i r="4">
      <x v="595"/>
    </i>
    <i r="3">
      <x v="418"/>
      <x v="602"/>
    </i>
    <i r="4">
      <x v="603"/>
    </i>
    <i r="3">
      <x v="422"/>
      <x v="610"/>
    </i>
    <i r="4">
      <x v="611"/>
    </i>
    <i r="3">
      <x v="427"/>
      <x v="618"/>
    </i>
    <i r="4">
      <x v="619"/>
    </i>
    <i r="2">
      <x v="7"/>
      <x v="429"/>
      <x v="621"/>
    </i>
    <i r="4">
      <x v="622"/>
    </i>
    <i r="4">
      <x v="625"/>
    </i>
    <i r="4">
      <x v="626"/>
    </i>
    <i r="3">
      <x v="434"/>
      <x v="634"/>
    </i>
    <i r="4">
      <x v="635"/>
    </i>
    <i r="3">
      <x v="438"/>
      <x v="641"/>
    </i>
    <i r="4">
      <x v="642"/>
    </i>
    <i r="3">
      <x v="439"/>
      <x v="644"/>
    </i>
    <i r="4">
      <x v="645"/>
    </i>
    <i r="3">
      <x v="442"/>
      <x v="648"/>
    </i>
    <i r="4">
      <x v="649"/>
    </i>
    <i r="3">
      <x v="447"/>
      <x v="655"/>
    </i>
    <i r="4">
      <x v="656"/>
    </i>
    <i r="3">
      <x v="449"/>
      <x v="658"/>
    </i>
    <i r="4">
      <x v="659"/>
    </i>
    <i r="2">
      <x v="8"/>
      <x v="453"/>
      <x v="664"/>
    </i>
    <i r="4">
      <x v="665"/>
    </i>
    <i r="3">
      <x v="454"/>
      <x v="668"/>
    </i>
    <i r="3">
      <x v="456"/>
      <x v="670"/>
    </i>
    <i r="2">
      <x v="11"/>
      <x v="342"/>
      <x v="483"/>
    </i>
    <i r="3">
      <x v="345"/>
      <x v="489"/>
    </i>
    <i r="3">
      <x v="349"/>
      <x v="494"/>
    </i>
    <i r="4">
      <x v="495"/>
    </i>
    <i r="3">
      <x v="355"/>
      <x v="502"/>
    </i>
    <i t="default">
      <x v="18"/>
    </i>
    <i>
      <x v="19"/>
      <x v="5"/>
      <x v="12"/>
      <x v="116"/>
      <x v="156"/>
    </i>
    <i t="default">
      <x v="19"/>
    </i>
    <i>
      <x v="20"/>
      <x v="1"/>
      <x v="9"/>
      <x v="117"/>
      <x v="157"/>
    </i>
    <i r="1">
      <x v="3"/>
      <x v="1"/>
      <x v="154"/>
      <x v="202"/>
    </i>
    <i r="2">
      <x v="2"/>
      <x v="158"/>
      <x v="208"/>
    </i>
    <i r="3">
      <x v="167"/>
      <x v="220"/>
    </i>
    <i r="2">
      <x v="3"/>
      <x v="200"/>
      <x v="267"/>
    </i>
    <i r="3">
      <x v="206"/>
      <x v="276"/>
    </i>
    <i r="2">
      <x v="4"/>
      <x v="212"/>
      <x v="283"/>
    </i>
    <i r="3">
      <x v="218"/>
      <x v="290"/>
    </i>
    <i r="2">
      <x v="5"/>
      <x v="228"/>
      <x v="303"/>
    </i>
    <i r="2">
      <x v="6"/>
      <x v="234"/>
      <x v="313"/>
    </i>
    <i r="2">
      <x v="7"/>
      <x v="241"/>
      <x v="325"/>
    </i>
    <i r="3">
      <x v="244"/>
      <x v="329"/>
    </i>
    <i r="3">
      <x v="247"/>
      <x v="332"/>
    </i>
    <i r="2">
      <x v="8"/>
      <x v="251"/>
      <x v="339"/>
    </i>
    <i r="3">
      <x v="254"/>
      <x v="345"/>
    </i>
    <i r="3">
      <x v="260"/>
      <x v="353"/>
    </i>
    <i r="3">
      <x v="262"/>
      <x v="356"/>
    </i>
    <i r="2">
      <x v="9"/>
      <x v="269"/>
      <x v="364"/>
    </i>
    <i r="2">
      <x v="10"/>
      <x v="281"/>
      <x v="383"/>
    </i>
    <i r="3">
      <x v="284"/>
      <x v="386"/>
    </i>
    <i r="3">
      <x v="289"/>
      <x v="392"/>
    </i>
    <i r="2">
      <x v="11"/>
      <x v="173"/>
      <x v="227"/>
    </i>
    <i r="3">
      <x v="179"/>
      <x v="239"/>
    </i>
    <i r="3">
      <x v="189"/>
      <x v="251"/>
    </i>
    <i r="1">
      <x v="4"/>
      <x/>
      <x v="296"/>
      <x v="399"/>
    </i>
    <i r="3">
      <x v="301"/>
      <x v="411"/>
    </i>
    <i r="2">
      <x v="1"/>
      <x v="308"/>
      <x v="421"/>
    </i>
    <i r="3">
      <x v="312"/>
      <x v="428"/>
    </i>
    <i r="3">
      <x v="316"/>
      <x v="438"/>
    </i>
    <i r="2">
      <x v="2"/>
      <x v="324"/>
      <x v="453"/>
    </i>
    <i r="3">
      <x v="330"/>
      <x v="463"/>
    </i>
    <i r="3">
      <x v="333"/>
      <x v="468"/>
    </i>
    <i r="2">
      <x v="3"/>
      <x v="364"/>
      <x v="520"/>
    </i>
    <i r="2">
      <x v="4"/>
      <x v="386"/>
      <x v="553"/>
    </i>
    <i r="3">
      <x v="390"/>
      <x v="559"/>
    </i>
    <i r="2">
      <x v="5"/>
      <x v="396"/>
      <x v="569"/>
    </i>
    <i r="3">
      <x v="398"/>
      <x v="572"/>
    </i>
    <i r="3">
      <x v="406"/>
      <x v="581"/>
    </i>
    <i r="2">
      <x v="6"/>
      <x v="425"/>
      <x v="615"/>
    </i>
    <i r="2">
      <x v="7"/>
      <x v="432"/>
      <x v="631"/>
    </i>
    <i r="2">
      <x v="8"/>
      <x v="452"/>
      <x v="663"/>
    </i>
    <i r="3">
      <x v="464"/>
      <x v="685"/>
    </i>
    <i r="2">
      <x v="9"/>
      <x v="473"/>
      <x v="700"/>
    </i>
    <i r="3">
      <x v="481"/>
      <x v="717"/>
    </i>
    <i r="2">
      <x v="10"/>
      <x v="486"/>
      <x v="727"/>
    </i>
    <i r="3">
      <x v="488"/>
      <x v="730"/>
    </i>
    <i r="3">
      <x v="493"/>
      <x v="739"/>
    </i>
    <i r="3">
      <x v="495"/>
      <x v="746"/>
    </i>
    <i r="3">
      <x v="499"/>
      <x v="757"/>
    </i>
    <i r="3">
      <x v="501"/>
      <x v="762"/>
    </i>
    <i r="2">
      <x v="11"/>
      <x v="341"/>
      <x v="482"/>
    </i>
    <i r="3">
      <x v="347"/>
      <x v="491"/>
    </i>
    <i r="3">
      <x v="350"/>
      <x v="496"/>
    </i>
    <i r="3">
      <x v="356"/>
      <x v="503"/>
    </i>
    <i r="1">
      <x v="6"/>
      <x/>
      <x v="504"/>
      <x v="767"/>
    </i>
    <i r="3">
      <x v="510"/>
      <x v="775"/>
    </i>
    <i r="2">
      <x v="1"/>
      <x v="526"/>
      <x v="802"/>
    </i>
    <i r="2">
      <x v="2"/>
      <x v="535"/>
      <x v="814"/>
    </i>
    <i r="3">
      <x v="549"/>
      <x v="840"/>
    </i>
    <i r="2">
      <x v="3"/>
      <x v="569"/>
      <x v="875"/>
    </i>
    <i r="3">
      <x v="570"/>
      <x v="876"/>
    </i>
    <i r="2">
      <x v="4"/>
      <x v="573"/>
      <x v="884"/>
    </i>
    <i r="2">
      <x v="11"/>
      <x v="552"/>
      <x v="846"/>
    </i>
    <i r="3">
      <x v="558"/>
      <x v="854"/>
    </i>
    <i t="default">
      <x v="20"/>
    </i>
    <i>
      <x v="21"/>
      <x v="3"/>
      <x v="2"/>
      <x v="159"/>
      <x v="209"/>
    </i>
    <i r="3">
      <x v="160"/>
      <x v="211"/>
    </i>
    <i r="3">
      <x v="162"/>
      <x v="213"/>
    </i>
    <i r="2">
      <x v="3"/>
      <x v="196"/>
      <x v="261"/>
    </i>
    <i r="2">
      <x v="4"/>
      <x v="208"/>
      <x v="278"/>
    </i>
    <i r="3">
      <x v="211"/>
      <x v="282"/>
    </i>
    <i r="2">
      <x v="7"/>
      <x v="247"/>
      <x v="333"/>
    </i>
    <i r="4">
      <x v="334"/>
    </i>
    <i r="2">
      <x v="9"/>
      <x v="267"/>
      <x v="362"/>
    </i>
    <i r="2">
      <x v="10"/>
      <x v="277"/>
      <x v="377"/>
    </i>
    <i r="3">
      <x v="280"/>
      <x v="382"/>
    </i>
    <i r="3">
      <x v="282"/>
      <x v="384"/>
    </i>
    <i r="3">
      <x v="286"/>
      <x v="390"/>
    </i>
    <i r="2">
      <x v="11"/>
      <x v="173"/>
      <x v="229"/>
    </i>
    <i r="3">
      <x v="177"/>
      <x v="236"/>
    </i>
    <i r="1">
      <x v="4"/>
      <x/>
      <x v="298"/>
      <x v="407"/>
    </i>
    <i r="3">
      <x v="302"/>
      <x v="412"/>
    </i>
    <i r="3">
      <x v="306"/>
      <x v="419"/>
    </i>
    <i r="2">
      <x v="1"/>
      <x v="310"/>
      <x v="423"/>
    </i>
    <i r="3">
      <x v="311"/>
      <x v="427"/>
    </i>
    <i r="3">
      <x v="315"/>
      <x v="437"/>
    </i>
    <i r="2">
      <x v="2"/>
      <x v="321"/>
      <x v="446"/>
    </i>
    <i r="2">
      <x v="5"/>
      <x v="393"/>
      <x v="564"/>
    </i>
    <i r="2">
      <x v="7"/>
      <x v="440"/>
      <x v="646"/>
    </i>
    <i r="2">
      <x v="8"/>
      <x v="454"/>
      <x v="666"/>
    </i>
    <i r="3">
      <x v="457"/>
      <x v="671"/>
    </i>
    <i r="3">
      <x v="459"/>
      <x v="676"/>
    </i>
    <i r="2">
      <x v="10"/>
      <x v="489"/>
      <x v="731"/>
    </i>
    <i r="4">
      <x v="732"/>
    </i>
    <i r="3">
      <x v="496"/>
      <x v="749"/>
    </i>
    <i r="4">
      <x v="750"/>
    </i>
    <i r="2">
      <x v="11"/>
      <x v="337"/>
      <x v="477"/>
    </i>
    <i r="3">
      <x v="343"/>
      <x v="486"/>
    </i>
    <i r="3">
      <x v="357"/>
      <x v="493"/>
    </i>
    <i t="default">
      <x v="21"/>
    </i>
    <i>
      <x v="22"/>
      <x v="3"/>
      <x v="2"/>
      <x v="172"/>
      <x v="226"/>
    </i>
    <i r="2">
      <x v="3"/>
      <x v="192"/>
      <x v="257"/>
    </i>
    <i r="2">
      <x v="4"/>
      <x v="214"/>
      <x v="285"/>
    </i>
    <i r="2">
      <x v="11"/>
      <x v="181"/>
      <x v="242"/>
    </i>
    <i r="3">
      <x v="187"/>
      <x v="249"/>
    </i>
    <i r="3">
      <x v="190"/>
      <x v="254"/>
    </i>
    <i r="1">
      <x v="4"/>
      <x/>
      <x v="294"/>
      <x v="397"/>
    </i>
    <i r="3">
      <x v="296"/>
      <x v="400"/>
    </i>
    <i r="3">
      <x v="297"/>
      <x v="404"/>
    </i>
    <i r="3">
      <x v="299"/>
      <x v="408"/>
    </i>
    <i r="2">
      <x v="4"/>
      <x v="374"/>
      <x v="536"/>
    </i>
    <i t="default">
      <x v="22"/>
    </i>
    <i>
      <x v="23"/>
      <x v="3"/>
      <x v="11"/>
      <x v="183"/>
      <x v="244"/>
    </i>
    <i r="3">
      <x v="184"/>
      <x v="246"/>
    </i>
    <i t="default">
      <x v="23"/>
    </i>
    <i>
      <x v="24"/>
      <x v="3"/>
      <x v="3"/>
      <x v="196"/>
      <x v="262"/>
    </i>
    <i r="2">
      <x v="11"/>
      <x v="176"/>
      <x v="235"/>
    </i>
    <i r="3">
      <x v="178"/>
      <x v="237"/>
    </i>
    <i r="3">
      <x v="180"/>
      <x v="240"/>
    </i>
    <i t="default">
      <x v="24"/>
    </i>
    <i>
      <x v="25"/>
      <x v="3"/>
      <x v="3"/>
      <x v="202"/>
      <x v="269"/>
    </i>
    <i r="2">
      <x v="6"/>
      <x v="231"/>
      <x v="308"/>
    </i>
    <i r="2">
      <x v="8"/>
      <x v="256"/>
      <x v="347"/>
    </i>
    <i r="2">
      <x v="10"/>
      <x v="285"/>
      <x v="387"/>
    </i>
    <i r="1">
      <x v="4"/>
      <x v="2"/>
      <x v="335"/>
      <x v="471"/>
    </i>
    <i r="2">
      <x v="10"/>
      <x v="498"/>
      <x v="754"/>
    </i>
    <i r="3">
      <x v="499"/>
      <x v="756"/>
    </i>
    <i r="1">
      <x v="6"/>
      <x v="1"/>
      <x v="523"/>
      <x v="797"/>
    </i>
    <i r="3">
      <x v="528"/>
      <x v="805"/>
    </i>
    <i r="3">
      <x v="533"/>
      <x v="812"/>
    </i>
    <i r="2">
      <x v="2"/>
      <x v="539"/>
      <x v="822"/>
    </i>
    <i r="2">
      <x v="3"/>
      <x v="564"/>
      <x v="865"/>
    </i>
    <i r="2">
      <x v="6"/>
      <x v="608"/>
      <x v="945"/>
    </i>
    <i r="1">
      <x v="7"/>
      <x v="2"/>
      <x v="723"/>
      <x v="1158"/>
    </i>
    <i t="default">
      <x v="25"/>
    </i>
    <i>
      <x v="26"/>
      <x v="3"/>
      <x v="5"/>
      <x v="223"/>
      <x v="297"/>
    </i>
    <i r="2">
      <x v="6"/>
      <x v="229"/>
      <x v="305"/>
    </i>
    <i r="3">
      <x v="235"/>
      <x v="314"/>
    </i>
    <i r="3">
      <x v="236"/>
      <x v="318"/>
    </i>
    <i r="2">
      <x v="7"/>
      <x v="248"/>
      <x v="335"/>
    </i>
    <i r="2">
      <x v="9"/>
      <x v="271"/>
      <x v="366"/>
    </i>
    <i r="1">
      <x v="4"/>
      <x v="1"/>
      <x v="318"/>
      <x v="442"/>
    </i>
    <i r="2">
      <x v="3"/>
      <x v="359"/>
      <x v="509"/>
    </i>
    <i r="2">
      <x v="5"/>
      <x v="394"/>
      <x v="565"/>
    </i>
    <i r="2">
      <x v="9"/>
      <x v="482"/>
      <x v="718"/>
    </i>
    <i r="2">
      <x v="11"/>
      <x v="339"/>
      <x v="480"/>
    </i>
    <i r="3">
      <x v="340"/>
      <x v="480"/>
    </i>
    <i r="1">
      <x v="6"/>
      <x v="4"/>
      <x v="579"/>
      <x v="892"/>
    </i>
    <i r="2">
      <x v="5"/>
      <x v="589"/>
      <x v="909"/>
    </i>
    <i r="3">
      <x v="603"/>
      <x v="930"/>
    </i>
    <i r="2">
      <x v="6"/>
      <x v="615"/>
      <x v="958"/>
    </i>
    <i r="1">
      <x v="7"/>
      <x/>
      <x v="690"/>
      <x v="1093"/>
    </i>
    <i r="3">
      <x v="698"/>
      <x v="1106"/>
    </i>
    <i r="2">
      <x v="5"/>
      <x v="798"/>
      <x v="1291"/>
    </i>
    <i t="default">
      <x v="26"/>
    </i>
    <i>
      <x v="27"/>
      <x v="3"/>
      <x v="7"/>
      <x v="241"/>
      <x v="323"/>
    </i>
    <i r="3">
      <x v="248"/>
      <x v="336"/>
    </i>
    <i r="1">
      <x v="4"/>
      <x/>
      <x v="300"/>
      <x v="409"/>
    </i>
    <i t="default">
      <x v="27"/>
    </i>
    <i>
      <x v="28"/>
      <x v="5"/>
      <x v="12"/>
      <x v="233"/>
      <x v="310"/>
    </i>
    <i r="3">
      <x v="463"/>
      <x v="681"/>
    </i>
    <i t="default">
      <x v="28"/>
    </i>
    <i>
      <x v="29"/>
      <x v="3"/>
      <x v="9"/>
      <x v="266"/>
      <x v="361"/>
    </i>
    <i r="3">
      <x v="274"/>
      <x v="370"/>
    </i>
    <i r="2">
      <x v="10"/>
      <x v="277"/>
      <x v="376"/>
    </i>
    <i t="default">
      <x v="29"/>
    </i>
    <i>
      <x v="30"/>
      <x v="3"/>
      <x v="9"/>
      <x v="268"/>
      <x v="363"/>
    </i>
    <i t="default">
      <x v="30"/>
    </i>
    <i>
      <x v="31"/>
      <x v="3"/>
      <x v="9"/>
      <x v="276"/>
      <x v="374"/>
    </i>
    <i t="default">
      <x v="31"/>
    </i>
    <i>
      <x v="32"/>
      <x v="3"/>
      <x v="9"/>
      <x v="276"/>
      <x v="375"/>
    </i>
    <i t="default">
      <x v="32"/>
    </i>
    <i>
      <x v="33"/>
      <x v="4"/>
      <x/>
      <x v="305"/>
      <x v="417"/>
    </i>
    <i r="2">
      <x v="1"/>
      <x v="307"/>
      <x v="420"/>
    </i>
    <i r="3">
      <x v="310"/>
      <x v="424"/>
    </i>
    <i r="2">
      <x v="2"/>
      <x v="333"/>
      <x v="469"/>
    </i>
    <i r="3">
      <x v="334"/>
      <x v="470"/>
    </i>
    <i r="3">
      <x v="336"/>
      <x v="473"/>
    </i>
    <i r="4">
      <x v="474"/>
    </i>
    <i r="2">
      <x v="3"/>
      <x v="358"/>
      <x v="506"/>
    </i>
    <i r="3">
      <x v="360"/>
      <x v="510"/>
    </i>
    <i r="3">
      <x v="365"/>
      <x v="522"/>
    </i>
    <i r="3">
      <x v="366"/>
      <x v="523"/>
    </i>
    <i r="3">
      <x v="369"/>
      <x v="531"/>
    </i>
    <i r="2">
      <x v="4"/>
      <x v="373"/>
      <x v="534"/>
    </i>
    <i r="3">
      <x v="377"/>
      <x v="540"/>
    </i>
    <i r="3">
      <x v="378"/>
      <x v="541"/>
    </i>
    <i r="3">
      <x v="380"/>
      <x v="545"/>
    </i>
    <i r="3">
      <x v="383"/>
      <x v="550"/>
    </i>
    <i r="3">
      <x v="384"/>
      <x v="551"/>
    </i>
    <i r="3">
      <x v="386"/>
      <x v="554"/>
    </i>
    <i r="3">
      <x v="389"/>
      <x v="558"/>
    </i>
    <i r="2">
      <x v="5"/>
      <x v="392"/>
      <x v="562"/>
    </i>
    <i r="4">
      <x v="563"/>
    </i>
    <i r="3">
      <x v="395"/>
      <x v="568"/>
    </i>
    <i r="3">
      <x v="397"/>
      <x v="571"/>
    </i>
    <i r="3">
      <x v="403"/>
      <x v="578"/>
    </i>
    <i r="2">
      <x v="6"/>
      <x v="409"/>
      <x v="586"/>
    </i>
    <i r="3">
      <x v="413"/>
      <x v="596"/>
    </i>
    <i r="3">
      <x v="416"/>
      <x v="599"/>
    </i>
    <i r="3">
      <x v="419"/>
      <x v="604"/>
    </i>
    <i r="3">
      <x v="423"/>
      <x v="613"/>
    </i>
    <i r="3">
      <x v="424"/>
      <x v="614"/>
    </i>
    <i r="3">
      <x v="427"/>
      <x v="617"/>
    </i>
    <i r="2">
      <x v="7"/>
      <x v="429"/>
      <x v="623"/>
    </i>
    <i r="3">
      <x v="430"/>
      <x v="628"/>
    </i>
    <i r="3">
      <x v="436"/>
      <x v="638"/>
    </i>
    <i r="3">
      <x v="446"/>
      <x v="653"/>
    </i>
    <i r="3">
      <x v="448"/>
      <x v="657"/>
    </i>
    <i r="2">
      <x v="8"/>
      <x v="458"/>
      <x v="673"/>
    </i>
    <i r="3">
      <x v="466"/>
      <x v="689"/>
    </i>
    <i r="2">
      <x v="9"/>
      <x v="471"/>
      <x v="697"/>
    </i>
    <i r="2">
      <x v="11"/>
      <x v="337"/>
      <x v="478"/>
    </i>
    <i r="3">
      <x v="344"/>
      <x v="488"/>
    </i>
    <i t="default">
      <x v="33"/>
    </i>
    <i>
      <x v="34"/>
      <x v="4"/>
      <x v="1"/>
      <x v="314"/>
      <x v="433"/>
    </i>
    <i r="2">
      <x v="11"/>
      <x v="338"/>
      <x v="479"/>
    </i>
    <i t="default">
      <x v="34"/>
    </i>
    <i>
      <x v="35"/>
      <x v="4"/>
      <x v="2"/>
      <x v="322"/>
      <x v="448"/>
    </i>
    <i r="3">
      <x v="324"/>
      <x v="452"/>
    </i>
    <i t="default">
      <x v="35"/>
    </i>
    <i>
      <x v="36"/>
      <x v="4"/>
      <x v="3"/>
      <x v="348"/>
      <x v="492"/>
    </i>
    <i r="2">
      <x v="4"/>
      <x v="358"/>
      <x v="505"/>
    </i>
    <i r="3">
      <x v="363"/>
      <x v="517"/>
    </i>
    <i r="2">
      <x v="5"/>
      <x v="382"/>
      <x v="549"/>
    </i>
    <i r="3">
      <x v="385"/>
      <x v="552"/>
    </i>
    <i r="2">
      <x v="6"/>
      <x v="396"/>
      <x v="570"/>
    </i>
    <i r="3">
      <x v="402"/>
      <x v="577"/>
    </i>
    <i r="2">
      <x v="7"/>
      <x v="414"/>
      <x v="597"/>
    </i>
    <i r="3">
      <x v="422"/>
      <x v="609"/>
    </i>
    <i r="2">
      <x v="8"/>
      <x v="443"/>
      <x v="650"/>
    </i>
    <i r="2">
      <x v="9"/>
      <x v="468"/>
      <x v="692"/>
    </i>
    <i r="2">
      <x v="11"/>
      <x v="323"/>
      <x v="451"/>
    </i>
    <i r="3">
      <x v="331"/>
      <x v="465"/>
    </i>
    <i r="3">
      <x v="336"/>
      <x v="472"/>
    </i>
    <i r="1">
      <x v="6"/>
      <x/>
      <x v="497"/>
      <x v="751"/>
    </i>
    <i r="2">
      <x v="2"/>
      <x v="520"/>
      <x v="789"/>
    </i>
    <i r="2">
      <x v="4"/>
      <x v="565"/>
      <x v="866"/>
    </i>
    <i r="2">
      <x v="5"/>
      <x v="578"/>
      <x v="891"/>
    </i>
    <i r="2">
      <x v="7"/>
      <x v="605"/>
      <x v="934"/>
    </i>
    <i r="2">
      <x v="9"/>
      <x v="641"/>
      <x v="999"/>
    </i>
    <i r="2">
      <x v="11"/>
      <x v="544"/>
      <x v="834"/>
    </i>
    <i r="1">
      <x v="7"/>
      <x/>
      <x v="681"/>
      <x v="1075"/>
    </i>
    <i r="2">
      <x v="2"/>
      <x v="710"/>
      <x v="1133"/>
    </i>
    <i r="2">
      <x v="3"/>
      <x v="733"/>
      <x v="1176"/>
    </i>
    <i r="2">
      <x v="11"/>
      <x v="716"/>
      <x v="1145"/>
    </i>
    <i t="default">
      <x v="36"/>
    </i>
    <i>
      <x v="37"/>
      <x v="4"/>
      <x v="3"/>
      <x v="364"/>
      <x v="519"/>
    </i>
    <i r="3">
      <x v="367"/>
      <x v="527"/>
    </i>
    <i r="2">
      <x v="4"/>
      <x v="372"/>
      <x v="533"/>
    </i>
    <i r="3">
      <x v="380"/>
      <x v="544"/>
    </i>
    <i r="2">
      <x v="5"/>
      <x v="404"/>
      <x v="579"/>
    </i>
    <i r="2">
      <x v="11"/>
      <x v="346"/>
      <x v="490"/>
    </i>
    <i t="default">
      <x v="37"/>
    </i>
    <i>
      <x v="38"/>
      <x v="1"/>
      <x/>
      <x v="50"/>
      <x v="84"/>
    </i>
    <i r="3">
      <x v="51"/>
      <x v="86"/>
    </i>
    <i r="3">
      <x v="54"/>
      <x v="88"/>
    </i>
    <i r="2">
      <x v="1"/>
      <x v="60"/>
      <x v="95"/>
    </i>
    <i r="2">
      <x v="3"/>
      <x v="83"/>
      <x v="2"/>
    </i>
    <i r="2">
      <x v="8"/>
      <x v="98"/>
      <x v="130"/>
    </i>
    <i r="2">
      <x v="10"/>
      <x v="124"/>
      <x v="167"/>
    </i>
    <i r="1">
      <x v="4"/>
      <x v="3"/>
      <x v="364"/>
      <x v="521"/>
    </i>
    <i r="3">
      <x v="365"/>
      <x v="521"/>
    </i>
    <i r="2">
      <x v="4"/>
      <x v="381"/>
      <x v="548"/>
    </i>
    <i r="3">
      <x v="382"/>
      <x v="548"/>
    </i>
    <i r="3">
      <x v="388"/>
      <x v="557"/>
    </i>
    <i r="2">
      <x v="5"/>
      <x v="408"/>
      <x v="585"/>
    </i>
    <i r="2">
      <x v="7"/>
      <x v="429"/>
      <x v="624"/>
    </i>
    <i r="3">
      <x v="441"/>
      <x v="647"/>
    </i>
    <i r="2">
      <x v="8"/>
      <x v="451"/>
      <x v="661"/>
    </i>
    <i r="2">
      <x v="9"/>
      <x v="469"/>
      <x v="694"/>
    </i>
    <i r="2">
      <x v="11"/>
      <x v="352"/>
      <x v="498"/>
    </i>
    <i r="1">
      <x v="7"/>
      <x v="2"/>
      <x v="714"/>
      <x v="1141"/>
    </i>
    <i r="3">
      <x v="720"/>
      <x v="1152"/>
    </i>
    <i t="default">
      <x v="38"/>
    </i>
    <i>
      <x v="39"/>
      <x v="1"/>
      <x v="7"/>
      <x v="85"/>
      <x v="111"/>
    </i>
    <i t="default">
      <x v="39"/>
    </i>
    <i>
      <x v="40"/>
      <x v="4"/>
      <x v="4"/>
      <x v="376"/>
      <x v="539"/>
    </i>
    <i r="2">
      <x v="6"/>
      <x v="417"/>
      <x v="600"/>
    </i>
    <i r="1">
      <x v="7"/>
      <x v="11"/>
      <x v="746"/>
      <x v="1196"/>
    </i>
    <i t="default">
      <x v="40"/>
    </i>
    <i>
      <x v="41"/>
      <x v="4"/>
      <x v="7"/>
      <x v="434"/>
      <x v="636"/>
    </i>
    <i t="default">
      <x v="41"/>
    </i>
    <i>
      <x v="42"/>
      <x v="4"/>
      <x v="7"/>
      <x v="435"/>
      <x v="637"/>
    </i>
    <i r="2">
      <x v="10"/>
      <x v="485"/>
      <x v="725"/>
    </i>
    <i r="1">
      <x v="6"/>
      <x v="8"/>
      <x v="640"/>
      <x v="996"/>
    </i>
    <i r="2">
      <x v="9"/>
      <x v="651"/>
      <x v="1022"/>
    </i>
    <i r="3">
      <x v="665"/>
      <x v="1043"/>
    </i>
    <i r="2">
      <x v="11"/>
      <x v="560"/>
      <x v="857"/>
    </i>
    <i r="1">
      <x v="7"/>
      <x v="1"/>
      <x v="707"/>
      <x v="1125"/>
    </i>
    <i r="2">
      <x v="4"/>
      <x v="772"/>
      <x v="1245"/>
    </i>
    <i t="default">
      <x v="42"/>
    </i>
    <i>
      <x v="43"/>
      <x v="4"/>
      <x v="8"/>
      <x v="460"/>
      <x v="677"/>
    </i>
    <i r="4">
      <x v="678"/>
    </i>
    <i r="3">
      <x v="462"/>
      <x v="680"/>
    </i>
    <i r="3">
      <x v="464"/>
      <x v="682"/>
    </i>
    <i r="4">
      <x v="683"/>
    </i>
    <i r="3">
      <x v="465"/>
      <x v="687"/>
    </i>
    <i r="3">
      <x v="467"/>
      <x v="690"/>
    </i>
    <i r="4">
      <x v="691"/>
    </i>
    <i r="3">
      <x v="468"/>
      <x v="693"/>
    </i>
    <i r="2">
      <x v="9"/>
      <x v="472"/>
      <x v="698"/>
    </i>
    <i r="4">
      <x v="699"/>
    </i>
    <i r="3">
      <x v="475"/>
      <x v="702"/>
    </i>
    <i r="4">
      <x v="703"/>
    </i>
    <i r="3">
      <x v="476"/>
      <x v="704"/>
    </i>
    <i r="3">
      <x v="477"/>
      <x v="709"/>
    </i>
    <i r="4">
      <x v="710"/>
    </i>
    <i r="3">
      <x v="478"/>
      <x v="712"/>
    </i>
    <i r="4">
      <x v="713"/>
    </i>
    <i r="3">
      <x v="480"/>
      <x v="715"/>
    </i>
    <i r="4">
      <x v="716"/>
    </i>
    <i r="3">
      <x v="483"/>
      <x v="719"/>
    </i>
    <i r="4">
      <x v="720"/>
    </i>
    <i r="2">
      <x v="10"/>
      <x v="485"/>
      <x v="723"/>
    </i>
    <i r="4">
      <x v="724"/>
    </i>
    <i r="3">
      <x v="487"/>
      <x v="728"/>
    </i>
    <i r="4">
      <x v="729"/>
    </i>
    <i r="3">
      <x v="490"/>
      <x v="734"/>
    </i>
    <i r="4">
      <x v="735"/>
    </i>
    <i r="3">
      <x v="492"/>
      <x v="737"/>
    </i>
    <i r="3">
      <x v="493"/>
      <x v="738"/>
    </i>
    <i r="3">
      <x v="494"/>
      <x v="744"/>
    </i>
    <i r="4">
      <x v="745"/>
    </i>
    <i r="3">
      <x v="498"/>
      <x v="752"/>
    </i>
    <i r="4">
      <x v="753"/>
    </i>
    <i r="3">
      <x v="500"/>
      <x v="758"/>
    </i>
    <i r="4">
      <x v="759"/>
    </i>
    <i r="3">
      <x v="501"/>
      <x v="760"/>
    </i>
    <i r="4">
      <x v="761"/>
    </i>
    <i r="1">
      <x v="6"/>
      <x/>
      <x v="508"/>
      <x v="772"/>
    </i>
    <i r="4">
      <x v="773"/>
    </i>
    <i r="3">
      <x v="512"/>
      <x v="779"/>
    </i>
    <i r="4">
      <x v="780"/>
    </i>
    <i r="3">
      <x v="517"/>
      <x v="784"/>
    </i>
    <i r="4">
      <x v="785"/>
    </i>
    <i r="3">
      <x v="518"/>
      <x v="786"/>
    </i>
    <i r="4">
      <x v="787"/>
    </i>
    <i r="2">
      <x v="1"/>
      <x v="521"/>
      <x v="791"/>
    </i>
    <i r="4">
      <x v="792"/>
    </i>
    <i r="4">
      <x v="793"/>
    </i>
    <i r="3">
      <x v="523"/>
      <x v="795"/>
    </i>
    <i r="4">
      <x v="796"/>
    </i>
    <i r="3">
      <x v="527"/>
      <x v="803"/>
    </i>
    <i r="3">
      <x v="528"/>
      <x v="804"/>
    </i>
    <i r="3">
      <x v="532"/>
      <x v="810"/>
    </i>
    <i r="4">
      <x v="811"/>
    </i>
    <i r="3">
      <x v="534"/>
      <x v="813"/>
    </i>
    <i r="2">
      <x v="2"/>
      <x v="537"/>
      <x v="817"/>
    </i>
    <i r="4">
      <x v="818"/>
    </i>
    <i r="3">
      <x v="541"/>
      <x v="825"/>
    </i>
    <i r="4">
      <x v="826"/>
    </i>
    <i r="3">
      <x v="542"/>
      <x v="830"/>
    </i>
    <i r="4">
      <x v="831"/>
    </i>
    <i r="3">
      <x v="543"/>
      <x v="832"/>
    </i>
    <i r="4">
      <x v="833"/>
    </i>
    <i r="3">
      <x v="548"/>
      <x v="838"/>
    </i>
    <i r="4">
      <x v="839"/>
    </i>
    <i r="2">
      <x v="3"/>
      <x v="563"/>
      <x v="863"/>
    </i>
    <i r="4">
      <x v="864"/>
    </i>
    <i r="3">
      <x v="565"/>
      <x v="868"/>
    </i>
    <i r="4">
      <x v="869"/>
    </i>
    <i r="3">
      <x v="567"/>
      <x v="872"/>
    </i>
    <i r="3">
      <x v="568"/>
      <x v="873"/>
    </i>
    <i r="4">
      <x v="874"/>
    </i>
    <i r="3">
      <x v="572"/>
      <x v="881"/>
    </i>
    <i r="4">
      <x v="882"/>
    </i>
    <i r="2">
      <x v="4"/>
      <x v="576"/>
      <x v="888"/>
    </i>
    <i r="4">
      <x v="889"/>
    </i>
    <i r="3">
      <x v="579"/>
      <x v="893"/>
    </i>
    <i r="4">
      <x v="894"/>
    </i>
    <i r="3">
      <x v="580"/>
      <x v="895"/>
    </i>
    <i r="4">
      <x v="896"/>
    </i>
    <i r="3">
      <x v="588"/>
      <x v="904"/>
    </i>
    <i r="4">
      <x v="905"/>
    </i>
    <i r="2">
      <x v="5"/>
      <x v="593"/>
      <x v="916"/>
    </i>
    <i r="4">
      <x v="917"/>
    </i>
    <i r="3">
      <x v="601"/>
      <x v="927"/>
    </i>
    <i r="4">
      <x v="928"/>
    </i>
    <i r="3">
      <x v="602"/>
      <x v="931"/>
    </i>
    <i r="2">
      <x v="6"/>
      <x v="606"/>
      <x v="935"/>
    </i>
    <i r="3">
      <x v="608"/>
      <x v="943"/>
    </i>
    <i r="4">
      <x v="944"/>
    </i>
    <i r="3">
      <x v="610"/>
      <x v="949"/>
    </i>
    <i r="3">
      <x v="614"/>
      <x v="953"/>
    </i>
    <i r="4">
      <x v="954"/>
    </i>
    <i r="3">
      <x v="615"/>
      <x v="956"/>
    </i>
    <i r="4">
      <x v="957"/>
    </i>
    <i r="3">
      <x v="619"/>
      <x v="962"/>
    </i>
    <i r="4">
      <x v="963"/>
    </i>
    <i r="2">
      <x v="7"/>
      <x v="621"/>
      <x v="965"/>
    </i>
    <i r="4">
      <x v="966"/>
    </i>
    <i r="3">
      <x v="623"/>
      <x v="970"/>
    </i>
    <i r="4">
      <x v="971"/>
    </i>
    <i r="3">
      <x v="628"/>
      <x v="976"/>
    </i>
    <i r="4">
      <x v="977"/>
    </i>
    <i r="3">
      <x v="629"/>
      <x v="978"/>
    </i>
    <i r="4">
      <x v="979"/>
    </i>
    <i r="3">
      <x v="630"/>
      <x v="980"/>
    </i>
    <i r="4">
      <x v="981"/>
    </i>
    <i r="3">
      <x v="633"/>
      <x v="985"/>
    </i>
    <i r="4">
      <x v="986"/>
    </i>
    <i r="2">
      <x v="8"/>
      <x v="635"/>
      <x v="988"/>
    </i>
    <i r="3">
      <x v="637"/>
      <x v="990"/>
    </i>
    <i r="4">
      <x v="991"/>
    </i>
    <i r="3">
      <x v="638"/>
      <x v="993"/>
    </i>
    <i r="4">
      <x v="994"/>
    </i>
    <i r="3">
      <x v="640"/>
      <x v="997"/>
    </i>
    <i r="4">
      <x v="998"/>
    </i>
    <i r="3">
      <x v="644"/>
      <x v="1005"/>
    </i>
    <i r="4">
      <x v="1006"/>
    </i>
    <i r="3">
      <x v="646"/>
      <x v="1010"/>
    </i>
    <i r="4">
      <x v="1011"/>
    </i>
    <i r="2">
      <x v="9"/>
      <x v="648"/>
      <x v="1020"/>
    </i>
    <i r="3">
      <x v="649"/>
      <x v="1019"/>
    </i>
    <i r="3">
      <x v="651"/>
      <x v="1024"/>
    </i>
    <i r="3">
      <x v="653"/>
      <x v="1025"/>
    </i>
    <i r="4">
      <x v="1026"/>
    </i>
    <i r="3">
      <x v="659"/>
      <x v="1033"/>
    </i>
    <i r="4">
      <x v="1034"/>
    </i>
    <i r="3">
      <x v="661"/>
      <x v="1036"/>
    </i>
    <i r="4">
      <x v="1037"/>
    </i>
    <i r="3">
      <x v="666"/>
      <x v="1044"/>
    </i>
    <i r="4">
      <x v="1045"/>
    </i>
    <i r="2">
      <x v="10"/>
      <x v="669"/>
      <x v="1048"/>
    </i>
    <i r="4">
      <x v="1049"/>
    </i>
    <i r="3">
      <x v="671"/>
      <x v="1053"/>
    </i>
    <i r="4">
      <x v="1054"/>
    </i>
    <i r="3">
      <x v="672"/>
      <x v="1058"/>
    </i>
    <i r="3">
      <x v="673"/>
      <x v="1060"/>
    </i>
    <i r="4">
      <x v="1061"/>
    </i>
    <i r="3">
      <x v="676"/>
      <x v="1067"/>
    </i>
    <i r="4">
      <x v="1068"/>
    </i>
    <i r="3">
      <x v="678"/>
      <x v="1071"/>
    </i>
    <i r="4">
      <x v="1072"/>
    </i>
    <i r="3">
      <x v="683"/>
      <x v="1077"/>
    </i>
    <i r="4">
      <x v="1078"/>
    </i>
    <i r="3">
      <x v="684"/>
      <x v="1082"/>
    </i>
    <i r="2">
      <x v="11"/>
      <x v="553"/>
      <x v="847"/>
    </i>
    <i r="3">
      <x v="554"/>
      <x v="849"/>
    </i>
    <i r="4">
      <x v="850"/>
    </i>
    <i r="3">
      <x v="560"/>
      <x v="859"/>
    </i>
    <i r="4">
      <x v="860"/>
    </i>
    <i r="1">
      <x v="7"/>
      <x/>
      <x v="689"/>
      <x v="1091"/>
    </i>
    <i r="4">
      <x v="1092"/>
    </i>
    <i r="3">
      <x v="691"/>
      <x v="1094"/>
    </i>
    <i r="4">
      <x v="1095"/>
    </i>
    <i r="3">
      <x v="692"/>
      <x v="1096"/>
    </i>
    <i r="4">
      <x v="1097"/>
    </i>
    <i r="3">
      <x v="694"/>
      <x v="1099"/>
    </i>
    <i r="4">
      <x v="1100"/>
    </i>
    <i r="3">
      <x v="696"/>
      <x v="1103"/>
    </i>
    <i r="3">
      <x v="697"/>
      <x v="1104"/>
    </i>
    <i r="4">
      <x v="1105"/>
    </i>
    <i r="3">
      <x v="698"/>
      <x v="1107"/>
    </i>
    <i r="4">
      <x v="1108"/>
    </i>
    <i r="3">
      <x v="702"/>
      <x v="1114"/>
    </i>
    <i r="4">
      <x v="1115"/>
    </i>
    <i r="2">
      <x v="1"/>
      <x v="703"/>
      <x v="1117"/>
    </i>
    <i r="4">
      <x v="1118"/>
    </i>
    <i r="3">
      <x v="704"/>
      <x v="1119"/>
    </i>
    <i r="4">
      <x v="1120"/>
    </i>
    <i r="3">
      <x v="706"/>
      <x v="1123"/>
    </i>
    <i r="4">
      <x v="1124"/>
    </i>
    <i r="3">
      <x v="709"/>
      <x v="1131"/>
    </i>
    <i r="4">
      <x v="1132"/>
    </i>
    <i r="3">
      <x v="710"/>
      <x v="1134"/>
    </i>
    <i r="4">
      <x v="1135"/>
    </i>
    <i r="3">
      <x v="711"/>
      <x v="1136"/>
    </i>
    <i r="4">
      <x v="1137"/>
    </i>
    <i r="2">
      <x v="2"/>
      <x v="714"/>
      <x v="1142"/>
    </i>
    <i r="4">
      <x v="1143"/>
    </i>
    <i r="3">
      <x v="716"/>
      <x v="1146"/>
    </i>
    <i r="3">
      <x v="717"/>
      <x v="1147"/>
    </i>
    <i r="4">
      <x v="1148"/>
    </i>
    <i r="3">
      <x v="721"/>
      <x v="1154"/>
    </i>
    <i r="4">
      <x v="1155"/>
    </i>
    <i r="3">
      <x v="724"/>
      <x v="1160"/>
    </i>
    <i r="4">
      <x v="1161"/>
    </i>
    <i r="3">
      <x v="725"/>
      <x v="1162"/>
    </i>
    <i r="3">
      <x v="726"/>
      <x v="1164"/>
    </i>
    <i r="4">
      <x v="1165"/>
    </i>
    <i r="3">
      <x v="728"/>
      <x v="1167"/>
    </i>
    <i r="4">
      <x v="1168"/>
    </i>
    <i r="2">
      <x v="3"/>
      <x v="747"/>
      <x v="1199"/>
    </i>
    <i r="4">
      <x v="1200"/>
    </i>
    <i r="3">
      <x v="750"/>
      <x v="1203"/>
    </i>
    <i r="4">
      <x v="1204"/>
    </i>
    <i r="3">
      <x v="751"/>
      <x v="1206"/>
    </i>
    <i r="4">
      <x v="1207"/>
    </i>
    <i r="3">
      <x v="752"/>
      <x v="1208"/>
    </i>
    <i r="4">
      <x v="1209"/>
    </i>
    <i r="3">
      <x v="753"/>
      <x v="1212"/>
    </i>
    <i r="3">
      <x v="755"/>
      <x v="1214"/>
    </i>
    <i r="4">
      <x v="1215"/>
    </i>
    <i r="3">
      <x v="756"/>
      <x v="1216"/>
    </i>
    <i r="4">
      <x v="1217"/>
    </i>
    <i r="3">
      <x v="757"/>
      <x v="1218"/>
    </i>
    <i r="3">
      <x v="758"/>
      <x v="1219"/>
    </i>
    <i r="3">
      <x v="759"/>
      <x v="1220"/>
    </i>
    <i r="4">
      <x v="1221"/>
    </i>
    <i r="3">
      <x v="761"/>
      <x v="1225"/>
    </i>
    <i r="4">
      <x v="1226"/>
    </i>
    <i r="3">
      <x v="762"/>
      <x v="1227"/>
    </i>
    <i r="4">
      <x v="1228"/>
    </i>
    <i r="2">
      <x v="4"/>
      <x v="764"/>
      <x v="1230"/>
    </i>
    <i r="4">
      <x v="1231"/>
    </i>
    <i r="3">
      <x v="766"/>
      <x v="1233"/>
    </i>
    <i r="4">
      <x v="1234"/>
    </i>
    <i r="3">
      <x v="767"/>
      <x v="1235"/>
    </i>
    <i r="4">
      <x v="1236"/>
    </i>
    <i r="3">
      <x v="770"/>
      <x v="1240"/>
    </i>
    <i r="4">
      <x v="1241"/>
    </i>
    <i r="3">
      <x v="771"/>
      <x v="1242"/>
    </i>
    <i r="4">
      <x v="1243"/>
    </i>
    <i r="3">
      <x v="773"/>
      <x v="1248"/>
    </i>
    <i r="4">
      <x v="1249"/>
    </i>
    <i r="3">
      <x v="776"/>
      <x v="1252"/>
    </i>
    <i r="4">
      <x v="1253"/>
    </i>
    <i r="3">
      <x v="777"/>
      <x v="1254"/>
    </i>
    <i r="4">
      <x v="1255"/>
    </i>
    <i r="3">
      <x v="778"/>
      <x v="1257"/>
    </i>
    <i r="4">
      <x v="1258"/>
    </i>
    <i r="2">
      <x v="5"/>
      <x v="782"/>
      <x v="1262"/>
    </i>
    <i r="4">
      <x v="1263"/>
    </i>
    <i r="3">
      <x v="783"/>
      <x v="1265"/>
    </i>
    <i r="4">
      <x v="1266"/>
    </i>
    <i r="3">
      <x v="785"/>
      <x v="1268"/>
    </i>
    <i r="4">
      <x v="1269"/>
    </i>
    <i r="3">
      <x v="786"/>
      <x v="1270"/>
    </i>
    <i r="4">
      <x v="1271"/>
    </i>
    <i r="3">
      <x v="787"/>
      <x v="1272"/>
    </i>
    <i r="4">
      <x v="1273"/>
    </i>
    <i r="3">
      <x v="789"/>
      <x v="1275"/>
    </i>
    <i r="4">
      <x v="1276"/>
    </i>
    <i r="3">
      <x v="792"/>
      <x v="1279"/>
    </i>
    <i r="4">
      <x v="1280"/>
    </i>
    <i r="3">
      <x v="794"/>
      <x v="1283"/>
    </i>
    <i r="4">
      <x v="1284"/>
    </i>
    <i r="3">
      <x v="796"/>
      <x v="1287"/>
    </i>
    <i r="4">
      <x v="1288"/>
    </i>
    <i r="2">
      <x v="11"/>
      <x v="731"/>
      <x v="1172"/>
    </i>
    <i r="4">
      <x v="1173"/>
    </i>
    <i r="3">
      <x v="734"/>
      <x v="1177"/>
    </i>
    <i r="3">
      <x v="738"/>
      <x v="1183"/>
    </i>
    <i r="3">
      <x v="740"/>
      <x v="1185"/>
    </i>
    <i r="4">
      <x v="1186"/>
    </i>
    <i r="3">
      <x v="742"/>
      <x v="1188"/>
    </i>
    <i r="4">
      <x v="1189"/>
    </i>
    <i r="3">
      <x v="743"/>
      <x v="1190"/>
    </i>
    <i r="3">
      <x v="745"/>
      <x v="1193"/>
    </i>
    <i r="4">
      <x v="1194"/>
    </i>
    <i t="default">
      <x v="43"/>
    </i>
    <i>
      <x v="44"/>
      <x v="4"/>
      <x v="10"/>
      <x v="493"/>
      <x v="740"/>
    </i>
    <i r="4">
      <x v="741"/>
    </i>
    <i r="3">
      <x v="498"/>
      <x v="755"/>
    </i>
    <i r="1">
      <x v="6"/>
      <x/>
      <x v="505"/>
      <x v="768"/>
    </i>
    <i r="2">
      <x v="2"/>
      <x v="536"/>
      <x v="816"/>
    </i>
    <i t="default">
      <x v="44"/>
    </i>
    <i>
      <x v="45"/>
      <x v="6"/>
      <x/>
      <x v="503"/>
      <x v="766"/>
    </i>
    <i r="1">
      <x v="7"/>
      <x v="2"/>
      <x v="719"/>
      <x v="1151"/>
    </i>
    <i t="default">
      <x v="45"/>
    </i>
    <i>
      <x v="46"/>
      <x v="6"/>
      <x/>
      <x v="512"/>
      <x v="777"/>
    </i>
    <i r="3">
      <x v="514"/>
      <x v="781"/>
    </i>
    <i r="3">
      <x v="516"/>
      <x v="783"/>
    </i>
    <i r="2">
      <x v="1"/>
      <x v="520"/>
      <x v="790"/>
    </i>
    <i r="3">
      <x v="524"/>
      <x v="798"/>
    </i>
    <i r="2">
      <x v="3"/>
      <x v="572"/>
      <x v="879"/>
    </i>
    <i r="2">
      <x v="4"/>
      <x v="575"/>
      <x v="887"/>
    </i>
    <i t="default">
      <x v="46"/>
    </i>
    <i>
      <x v="47"/>
      <x v="6"/>
      <x v="1"/>
      <x v="528"/>
      <x v="806"/>
    </i>
    <i t="default">
      <x v="47"/>
    </i>
    <i>
      <x v="48"/>
      <x v="6"/>
      <x v="2"/>
      <x v="542"/>
      <x v="828"/>
    </i>
    <i t="default">
      <x v="48"/>
    </i>
    <i>
      <x v="49"/>
      <x v="6"/>
      <x v="4"/>
      <x v="582"/>
      <x v="898"/>
    </i>
    <i r="2">
      <x v="5"/>
      <x v="594"/>
      <x v="919"/>
    </i>
    <i r="3">
      <x v="598"/>
      <x v="924"/>
    </i>
    <i r="3">
      <x v="604"/>
      <x v="933"/>
    </i>
    <i r="2">
      <x v="6"/>
      <x v="607"/>
      <x v="938"/>
    </i>
    <i r="2">
      <x v="7"/>
      <x v="622"/>
      <x v="969"/>
    </i>
    <i r="2">
      <x v="8"/>
      <x v="636"/>
      <x v="989"/>
    </i>
    <i r="3">
      <x v="641"/>
      <x v="1001"/>
    </i>
    <i r="2">
      <x v="9"/>
      <x v="648"/>
      <x v="1018"/>
    </i>
    <i r="3">
      <x v="654"/>
      <x v="1027"/>
    </i>
    <i r="3">
      <x v="658"/>
      <x v="1031"/>
    </i>
    <i r="3">
      <x v="663"/>
      <x v="1039"/>
    </i>
    <i r="3">
      <x v="667"/>
      <x v="1046"/>
    </i>
    <i r="2">
      <x v="10"/>
      <x v="670"/>
      <x v="1051"/>
    </i>
    <i r="3">
      <x v="672"/>
      <x v="1057"/>
    </i>
    <i r="3">
      <x v="675"/>
      <x v="1064"/>
    </i>
    <i r="3">
      <x v="678"/>
      <x v="1070"/>
    </i>
    <i r="3">
      <x v="682"/>
      <x v="1076"/>
    </i>
    <i r="3">
      <x v="685"/>
      <x v="1083"/>
    </i>
    <i r="1">
      <x v="7"/>
      <x v="1"/>
      <x v="709"/>
      <x v="1129"/>
    </i>
    <i r="2">
      <x v="2"/>
      <x v="713"/>
      <x v="1140"/>
    </i>
    <i r="3">
      <x v="719"/>
      <x v="1150"/>
    </i>
    <i r="2">
      <x v="3"/>
      <x v="747"/>
      <x v="1197"/>
    </i>
    <i r="3">
      <x v="753"/>
      <x v="1211"/>
    </i>
    <i r="2">
      <x v="4"/>
      <x v="774"/>
      <x v="1247"/>
    </i>
    <i r="2">
      <x v="11"/>
      <x v="730"/>
      <x v="1171"/>
    </i>
    <i r="3">
      <x v="736"/>
      <x v="1180"/>
    </i>
    <i t="default">
      <x v="49"/>
    </i>
    <i>
      <x v="50"/>
      <x v="6"/>
      <x v="4"/>
      <x v="581"/>
      <x v="897"/>
    </i>
    <i r="2">
      <x v="5"/>
      <x v="590"/>
      <x v="911"/>
    </i>
    <i r="3">
      <x v="592"/>
      <x v="915"/>
    </i>
    <i r="3">
      <x v="602"/>
      <x v="929"/>
    </i>
    <i r="3">
      <x v="603"/>
      <x v="932"/>
    </i>
    <i r="2">
      <x v="6"/>
      <x v="608"/>
      <x v="942"/>
    </i>
    <i r="3">
      <x v="610"/>
      <x v="947"/>
    </i>
    <i r="3">
      <x v="611"/>
      <x v="948"/>
    </i>
    <i r="3">
      <x v="612"/>
      <x v="950"/>
    </i>
    <i r="3">
      <x v="613"/>
      <x v="952"/>
    </i>
    <i r="3">
      <x v="614"/>
      <x v="955"/>
    </i>
    <i r="2">
      <x v="9"/>
      <x v="660"/>
      <x v="1035"/>
    </i>
    <i r="3">
      <x v="663"/>
      <x v="1040"/>
    </i>
    <i r="3">
      <x v="664"/>
      <x v="1041"/>
    </i>
    <i r="3">
      <x v="668"/>
      <x v="1047"/>
    </i>
    <i r="2">
      <x v="10"/>
      <x v="669"/>
      <x v="1050"/>
    </i>
    <i r="3">
      <x v="670"/>
      <x v="1052"/>
    </i>
    <i r="3">
      <x v="683"/>
      <x v="1079"/>
    </i>
    <i t="default">
      <x v="50"/>
    </i>
    <i>
      <x v="51"/>
      <x v="6"/>
      <x v="5"/>
      <x v="589"/>
      <x v="906"/>
    </i>
    <i t="default">
      <x v="51"/>
    </i>
    <i>
      <x v="52"/>
      <x v="6"/>
      <x v="5"/>
      <x v="595"/>
      <x v="920"/>
    </i>
    <i t="default">
      <x v="52"/>
    </i>
    <i>
      <x v="53"/>
      <x v="4"/>
      <x v="8"/>
      <x v="464"/>
      <x v="684"/>
    </i>
    <i r="2">
      <x v="9"/>
      <x v="470"/>
      <x v="695"/>
    </i>
    <i r="1">
      <x v="6"/>
      <x v="6"/>
      <x v="607"/>
      <x v="941"/>
    </i>
    <i t="default">
      <x v="53"/>
    </i>
    <i>
      <x v="54"/>
      <x v="4"/>
      <x v="10"/>
      <x v="494"/>
      <x v="743"/>
    </i>
    <i r="1">
      <x v="6"/>
      <x/>
      <x v="507"/>
      <x v="770"/>
    </i>
    <i r="3">
      <x v="515"/>
      <x v="782"/>
    </i>
    <i r="2">
      <x v="1"/>
      <x v="529"/>
      <x v="807"/>
    </i>
    <i r="2">
      <x v="2"/>
      <x v="537"/>
      <x v="820"/>
    </i>
    <i r="3">
      <x v="546"/>
      <x v="836"/>
    </i>
    <i r="2">
      <x v="3"/>
      <x v="572"/>
      <x v="880"/>
    </i>
    <i r="2">
      <x v="5"/>
      <x v="589"/>
      <x v="908"/>
    </i>
    <i r="3">
      <x v="592"/>
      <x v="914"/>
    </i>
    <i r="2">
      <x v="6"/>
      <x v="606"/>
      <x v="937"/>
    </i>
    <i r="2">
      <x v="7"/>
      <x v="624"/>
      <x v="972"/>
    </i>
    <i r="3">
      <x v="631"/>
      <x v="982"/>
    </i>
    <i r="3">
      <x v="634"/>
      <x v="987"/>
    </i>
    <i r="2">
      <x v="8"/>
      <x v="643"/>
      <x v="1004"/>
    </i>
    <i r="3">
      <x v="647"/>
      <x v="1012"/>
    </i>
    <i r="4">
      <x v="1014"/>
    </i>
    <i r="4">
      <x v="1015"/>
    </i>
    <i r="2">
      <x v="9"/>
      <x v="652"/>
      <x v="1023"/>
    </i>
    <i r="3">
      <x v="662"/>
      <x v="1038"/>
    </i>
    <i r="2">
      <x v="10"/>
      <x v="675"/>
      <x v="1065"/>
    </i>
    <i r="3">
      <x v="680"/>
      <x v="1074"/>
    </i>
    <i r="3">
      <x v="684"/>
      <x v="1081"/>
    </i>
    <i r="2">
      <x v="11"/>
      <x v="550"/>
      <x v="842"/>
    </i>
    <i r="3">
      <x v="559"/>
      <x v="855"/>
    </i>
    <i r="1">
      <x v="7"/>
      <x/>
      <x v="696"/>
      <x v="1102"/>
    </i>
    <i r="3">
      <x v="701"/>
      <x v="1113"/>
    </i>
    <i r="2">
      <x v="1"/>
      <x v="707"/>
      <x v="1126"/>
    </i>
    <i r="3">
      <x v="708"/>
      <x v="1128"/>
    </i>
    <i r="3">
      <x v="712"/>
      <x v="1139"/>
    </i>
    <i r="2">
      <x v="3"/>
      <x v="749"/>
      <x v="1202"/>
    </i>
    <i r="3">
      <x v="760"/>
      <x v="1222"/>
    </i>
    <i r="2">
      <x v="4"/>
      <x v="772"/>
      <x v="1244"/>
    </i>
    <i r="3">
      <x v="780"/>
      <x v="1260"/>
    </i>
    <i r="2">
      <x v="5"/>
      <x v="784"/>
      <x v="1267"/>
    </i>
    <i r="3">
      <x v="791"/>
      <x v="1278"/>
    </i>
    <i r="3">
      <x v="796"/>
      <x v="1286"/>
    </i>
    <i r="2">
      <x v="11"/>
      <x v="732"/>
      <x v="1174"/>
    </i>
    <i r="3">
      <x v="734"/>
      <x v="1178"/>
    </i>
    <i r="3">
      <x v="746"/>
      <x v="1195"/>
    </i>
    <i t="default">
      <x v="54"/>
    </i>
    <i>
      <x v="55"/>
      <x v="6"/>
      <x v="7"/>
      <x v="621"/>
      <x v="968"/>
    </i>
    <i r="2">
      <x v="8"/>
      <x v="642"/>
      <x v="1002"/>
    </i>
    <i r="2">
      <x v="10"/>
      <x v="687"/>
      <x v="1087"/>
    </i>
    <i r="1">
      <x v="7"/>
      <x v="1"/>
      <x v="705"/>
      <x v="1121"/>
    </i>
    <i t="default">
      <x v="55"/>
    </i>
    <i>
      <x v="56"/>
      <x v="6"/>
      <x v="4"/>
      <x v="587"/>
      <x v="903"/>
    </i>
    <i t="default">
      <x v="56"/>
    </i>
    <i>
      <x v="57"/>
      <x v="6"/>
      <x v="8"/>
      <x v="644"/>
      <x v="1007"/>
    </i>
    <i t="default">
      <x v="57"/>
    </i>
    <i>
      <x v="58"/>
      <x v="5"/>
      <x v="12"/>
      <x v="648"/>
      <x v="1016"/>
    </i>
    <i t="default">
      <x v="58"/>
    </i>
    <i>
      <x v="59"/>
      <x v="6"/>
      <x v="10"/>
      <x v="673"/>
      <x v="1059"/>
    </i>
    <i t="default">
      <x v="59"/>
    </i>
    <i>
      <x v="60"/>
      <x v="6"/>
      <x v="10"/>
      <x v="673"/>
      <x v="1062"/>
    </i>
    <i r="3">
      <x v="686"/>
      <x v="1084"/>
    </i>
    <i r="1">
      <x v="7"/>
      <x/>
      <x v="688"/>
      <x v="1089"/>
    </i>
    <i t="default">
      <x v="60"/>
    </i>
    <i>
      <x v="61"/>
      <x v="6"/>
      <x v="10"/>
      <x v="683"/>
      <x v="1080"/>
    </i>
    <i t="default">
      <x v="61"/>
    </i>
    <i>
      <x v="62"/>
      <x v="7"/>
      <x/>
      <x v="701"/>
      <x v="1112"/>
    </i>
    <i t="default">
      <x v="62"/>
    </i>
    <i>
      <x v="63"/>
      <x v="7"/>
      <x v="2"/>
      <x v="720"/>
      <x v="1153"/>
    </i>
    <i r="3">
      <x v="724"/>
      <x v="1159"/>
    </i>
    <i r="3">
      <x v="726"/>
      <x v="1163"/>
    </i>
    <i r="3">
      <x v="729"/>
      <x v="1170"/>
    </i>
    <i r="2">
      <x v="3"/>
      <x v="748"/>
      <x v="1198"/>
    </i>
    <i r="3">
      <x v="750"/>
      <x v="1205"/>
    </i>
    <i r="3">
      <x v="760"/>
      <x v="1223"/>
    </i>
    <i r="2">
      <x v="4"/>
      <x v="768"/>
      <x v="1238"/>
    </i>
    <i r="3">
      <x v="778"/>
      <x v="1256"/>
    </i>
    <i r="2">
      <x v="5"/>
      <x v="795"/>
      <x v="1285"/>
    </i>
    <i r="3">
      <x v="797"/>
      <x v="1290"/>
    </i>
    <i r="3">
      <x v="799"/>
      <x v="1293"/>
    </i>
    <i r="2">
      <x v="11"/>
      <x v="735"/>
      <x v="1179"/>
    </i>
    <i r="3">
      <x v="737"/>
      <x v="1182"/>
    </i>
    <i r="3">
      <x v="739"/>
      <x v="1184"/>
    </i>
    <i r="3">
      <x v="744"/>
      <x v="1192"/>
    </i>
    <i t="default">
      <x v="63"/>
    </i>
    <i>
      <x v="64"/>
      <x v="7"/>
      <x v="2"/>
      <x v="727"/>
      <x v="1166"/>
    </i>
    <i r="2">
      <x v="3"/>
      <x v="754"/>
      <x v="1213"/>
    </i>
    <i r="2">
      <x v="4"/>
      <x v="781"/>
      <x v="1261"/>
    </i>
    <i r="2">
      <x v="5"/>
      <x v="799"/>
      <x v="1292"/>
    </i>
    <i r="2">
      <x v="11"/>
      <x v="733"/>
      <x v="1175"/>
    </i>
    <i t="default">
      <x v="64"/>
    </i>
    <i>
      <x v="65"/>
      <x v="7"/>
      <x v="4"/>
      <x v="765"/>
      <x v="1232"/>
    </i>
    <i r="3">
      <x v="769"/>
      <x v="1239"/>
    </i>
    <i t="default">
      <x v="65"/>
    </i>
    <i>
      <x v="66"/>
      <x v="7"/>
      <x v="4"/>
      <x v="773"/>
      <x v="1246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3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H73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 defaultSubtotal="0"/>
    <pivotField compact="0" outline="0" showAll="0"/>
    <pivotField compact="0" outline="0" showAll="0"/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7" numFmtId="4"/>
  </dataFields>
  <formats count="1"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I148" firstHeaderRow="1" firstDataRow="2" firstDataCol="2"/>
  <pivotFields count="20"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x="58"/>
        <item x="54"/>
        <item x="55"/>
        <item x="53"/>
        <item x="56"/>
        <item x="57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43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9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7"/>
    </i>
    <i r="1">
      <x v="18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4"/>
    </i>
    <i>
      <x v="5"/>
      <x/>
    </i>
    <i r="1">
      <x v="2"/>
    </i>
    <i r="1">
      <x v="4"/>
    </i>
    <i r="1">
      <x v="5"/>
    </i>
    <i r="1">
      <x v="9"/>
    </i>
    <i r="1">
      <x v="13"/>
    </i>
    <i r="1">
      <x v="17"/>
    </i>
    <i r="1">
      <x v="20"/>
    </i>
    <i r="1">
      <x v="25"/>
    </i>
    <i r="1">
      <x v="26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5"/>
    </i>
    <i>
      <x v="6"/>
      <x v="4"/>
    </i>
    <i r="1">
      <x v="5"/>
    </i>
    <i r="1">
      <x v="9"/>
    </i>
    <i r="1">
      <x v="17"/>
    </i>
    <i r="1">
      <x v="25"/>
    </i>
    <i r="1">
      <x v="26"/>
    </i>
    <i r="1">
      <x v="34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52"/>
    </i>
    <i r="1">
      <x v="57"/>
    </i>
    <i r="1">
      <x v="60"/>
    </i>
    <i r="1">
      <x v="62"/>
    </i>
    <i r="1">
      <x v="63"/>
    </i>
    <i r="1">
      <x v="64"/>
    </i>
    <i r="1">
      <x v="65"/>
    </i>
    <i r="1">
      <x v="66"/>
    </i>
    <i t="default">
      <x v="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13" baseField="4" baseItem="9" numFmtId="4"/>
  </dataFields>
  <formats count="2">
    <format dxfId="20">
      <pivotArea outline="0" fieldPosition="0">
        <references count="1">
          <reference field="4294967294" count="1">
            <x v="0"/>
          </reference>
        </references>
      </pivotArea>
    </format>
    <format dxfId="19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V4:AQ40" firstHeaderRow="1" firstDataRow="3" firstDataCol="1"/>
  <pivotFields count="20"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5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m="1" x="33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12"/>
        <item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21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dataFields count="1">
    <dataField name="Sum of Sales Amount" fld="13" baseField="4" baseItem="9" numFmtId="4"/>
  </dataFields>
  <formats count="1">
    <format dxfId="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5" firstHeaderRow="2" firstDataRow="2" firstDataCol="4" rowPageCount="1" colPageCount="1"/>
  <pivotFields count="20">
    <pivotField axis="axisRow" compact="0" outline="0" showAll="0" defaultSubtotal="0">
      <items count="621">
        <item x="251"/>
        <item x="195"/>
        <item x="273"/>
        <item x="274"/>
        <item x="187"/>
        <item x="250"/>
        <item x="2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</items>
    </pivotField>
    <pivotField axis="axisRow" compact="0" outline="0" showAll="0">
      <items count="13">
        <item h="1" x="7"/>
        <item h="1" x="8"/>
        <item x="9"/>
        <item x="10"/>
        <item x="11"/>
        <item x="1"/>
        <item x="2"/>
        <item x="3"/>
        <item x="4"/>
        <item x="5"/>
        <item x="6"/>
        <item x="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24"/>
        <item x="29"/>
        <item x="31"/>
        <item x="20"/>
        <item x="11"/>
        <item x="22"/>
        <item x="30"/>
        <item x="34"/>
        <item x="33"/>
        <item x="6"/>
        <item x="18"/>
        <item x="32"/>
        <item x="13"/>
        <item x="8"/>
        <item x="10"/>
        <item x="0"/>
        <item x="21"/>
        <item x="17"/>
        <item x="26"/>
        <item x="27"/>
        <item x="2"/>
        <item x="5"/>
        <item x="14"/>
        <item x="23"/>
        <item x="3"/>
        <item x="1"/>
        <item x="28"/>
        <item x="15"/>
        <item x="7"/>
        <item x="25"/>
        <item x="19"/>
        <item x="9"/>
        <item x="35"/>
        <item x="12"/>
        <item x="16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1"/>
    <field x="0"/>
    <field x="3"/>
    <field x="5"/>
  </rowFields>
  <rowItems count="201">
    <i>
      <x v="2"/>
      <x v="165"/>
      <x v="122"/>
      <x v="17"/>
    </i>
    <i r="1">
      <x v="166"/>
      <x v="123"/>
      <x v="24"/>
    </i>
    <i r="2">
      <x v="124"/>
      <x v="32"/>
    </i>
    <i r="1">
      <x v="167"/>
      <x v="125"/>
      <x v="24"/>
    </i>
    <i r="1">
      <x v="168"/>
      <x v="126"/>
      <x v="11"/>
    </i>
    <i r="1">
      <x v="169"/>
      <x v="127"/>
      <x v="24"/>
    </i>
    <i r="2">
      <x v="128"/>
      <x v="22"/>
    </i>
    <i r="1">
      <x v="170"/>
      <x v="129"/>
      <x v="31"/>
    </i>
    <i r="1">
      <x v="171"/>
      <x v="130"/>
      <x v="32"/>
    </i>
    <i r="2">
      <x v="131"/>
      <x v="31"/>
    </i>
    <i r="1">
      <x v="172"/>
      <x v="132"/>
      <x v="11"/>
    </i>
    <i r="1">
      <x v="173"/>
      <x v="133"/>
      <x v="31"/>
    </i>
    <i r="1">
      <x v="174"/>
      <x v="134"/>
      <x v="17"/>
    </i>
    <i r="1">
      <x v="175"/>
      <x v="135"/>
      <x v="22"/>
    </i>
    <i r="1">
      <x v="176"/>
      <x v="136"/>
      <x v="31"/>
    </i>
    <i r="1">
      <x v="177"/>
      <x v="137"/>
      <x v="31"/>
    </i>
    <i r="1">
      <x v="178"/>
      <x v="138"/>
      <x v="16"/>
    </i>
    <i r="2">
      <x v="139"/>
      <x v="31"/>
    </i>
    <i r="1">
      <x v="179"/>
      <x v="140"/>
      <x v="1"/>
    </i>
    <i t="default">
      <x v="2"/>
    </i>
    <i>
      <x v="3"/>
      <x v="4"/>
      <x v="163"/>
      <x v="1"/>
    </i>
    <i r="1">
      <x v="180"/>
      <x v="141"/>
      <x v="17"/>
    </i>
    <i r="2">
      <x v="142"/>
      <x v="31"/>
    </i>
    <i r="2">
      <x v="143"/>
      <x v="24"/>
    </i>
    <i r="1">
      <x v="181"/>
      <x v="144"/>
      <x v="31"/>
    </i>
    <i r="1">
      <x v="182"/>
      <x v="145"/>
      <x v="11"/>
    </i>
    <i r="2">
      <x v="146"/>
      <x v="21"/>
    </i>
    <i r="1">
      <x v="183"/>
      <x v="147"/>
      <x v="14"/>
    </i>
    <i r="2">
      <x v="148"/>
      <x v="31"/>
    </i>
    <i r="2">
      <x v="149"/>
      <x v="30"/>
    </i>
    <i r="1">
      <x v="184"/>
      <x v="150"/>
      <x v="24"/>
    </i>
    <i r="1">
      <x v="185"/>
      <x v="151"/>
      <x v="30"/>
    </i>
    <i r="2">
      <x v="152"/>
      <x v="31"/>
    </i>
    <i r="1">
      <x v="186"/>
      <x v="153"/>
      <x v="17"/>
    </i>
    <i r="1">
      <x v="187"/>
      <x v="154"/>
      <x v="30"/>
    </i>
    <i r="1">
      <x v="188"/>
      <x v="155"/>
      <x v="31"/>
    </i>
    <i r="2">
      <x v="156"/>
      <x v="1"/>
    </i>
    <i r="1">
      <x v="189"/>
      <x v="157"/>
      <x v="31"/>
    </i>
    <i r="1">
      <x v="190"/>
      <x v="158"/>
      <x v="19"/>
    </i>
    <i r="1">
      <x v="191"/>
      <x v="159"/>
      <x v="25"/>
    </i>
    <i r="2">
      <x v="160"/>
      <x v="19"/>
    </i>
    <i r="2">
      <x v="161"/>
      <x v="16"/>
    </i>
    <i r="1">
      <x v="192"/>
      <x v="161"/>
      <x v="16"/>
    </i>
    <i r="1">
      <x v="193"/>
      <x v="162"/>
      <x v="31"/>
    </i>
    <i r="1">
      <x v="194"/>
      <x v="164"/>
      <x v="32"/>
    </i>
    <i r="1">
      <x v="195"/>
      <x v="165"/>
      <x v="17"/>
    </i>
    <i r="2">
      <x v="166"/>
      <x v="31"/>
    </i>
    <i r="2">
      <x v="167"/>
      <x v="11"/>
    </i>
    <i r="1">
      <x v="196"/>
      <x v="168"/>
      <x v="1"/>
    </i>
    <i r="1">
      <x v="197"/>
      <x v="169"/>
      <x v="31"/>
    </i>
    <i t="default">
      <x v="3"/>
    </i>
    <i>
      <x v="4"/>
      <x v="1"/>
      <x v="174"/>
      <x v="22"/>
    </i>
    <i r="1">
      <x v="198"/>
      <x v="170"/>
      <x v="31"/>
    </i>
    <i r="2">
      <x v="171"/>
      <x v="1"/>
    </i>
    <i r="1">
      <x v="199"/>
      <x v="172"/>
      <x v="31"/>
    </i>
    <i r="1">
      <x v="200"/>
      <x v="173"/>
      <x v="14"/>
    </i>
    <i r="1">
      <x v="201"/>
      <x v="175"/>
      <x v="24"/>
    </i>
    <i r="2">
      <x v="176"/>
      <x v="30"/>
    </i>
    <i r="1">
      <x v="202"/>
      <x v="177"/>
      <x v="22"/>
    </i>
    <i r="2">
      <x v="178"/>
      <x v="31"/>
    </i>
    <i r="1">
      <x v="203"/>
      <x v="179"/>
      <x v="21"/>
    </i>
    <i r="1">
      <x v="204"/>
      <x v="180"/>
      <x v="31"/>
    </i>
    <i r="1">
      <x v="205"/>
      <x v="181"/>
      <x v="17"/>
    </i>
    <i r="1">
      <x v="206"/>
      <x v="182"/>
      <x v="31"/>
    </i>
    <i r="1">
      <x v="207"/>
      <x v="183"/>
      <x v="20"/>
    </i>
    <i r="2">
      <x v="184"/>
      <x v="31"/>
    </i>
    <i r="1">
      <x v="208"/>
      <x v="185"/>
      <x v="32"/>
    </i>
    <i r="2">
      <x v="186"/>
      <x v="31"/>
    </i>
    <i r="2">
      <x v="187"/>
      <x v="11"/>
    </i>
    <i r="1">
      <x v="209"/>
      <x v="188"/>
      <x v="25"/>
    </i>
    <i r="1">
      <x v="210"/>
      <x v="189"/>
      <x v="31"/>
    </i>
    <i r="1">
      <x v="211"/>
      <x v="190"/>
      <x v="17"/>
    </i>
    <i t="default">
      <x v="4"/>
    </i>
    <i>
      <x v="5"/>
      <x v="212"/>
      <x v="191"/>
      <x v="31"/>
    </i>
    <i r="1">
      <x v="213"/>
      <x v="192"/>
      <x v="24"/>
    </i>
    <i r="1">
      <x v="214"/>
      <x v="193"/>
      <x v="31"/>
    </i>
    <i r="1">
      <x v="215"/>
      <x v="194"/>
      <x v="16"/>
    </i>
    <i r="1">
      <x v="216"/>
      <x v="195"/>
      <x v="32"/>
    </i>
    <i r="2">
      <x v="196"/>
      <x v="24"/>
    </i>
    <i r="1">
      <x v="217"/>
      <x v="197"/>
      <x v="17"/>
    </i>
    <i r="1">
      <x v="218"/>
      <x v="198"/>
      <x v="31"/>
    </i>
    <i r="1">
      <x v="219"/>
      <x v="199"/>
      <x v="1"/>
    </i>
    <i r="1">
      <x v="220"/>
      <x v="200"/>
      <x v="14"/>
    </i>
    <i r="2">
      <x v="201"/>
      <x v="16"/>
    </i>
    <i r="1">
      <x v="221"/>
      <x v="202"/>
      <x v="31"/>
    </i>
    <i r="1">
      <x v="222"/>
      <x v="203"/>
      <x v="22"/>
    </i>
    <i r="1">
      <x v="223"/>
      <x v="204"/>
      <x v="17"/>
    </i>
    <i r="2">
      <x v="205"/>
      <x v="31"/>
    </i>
    <i r="1">
      <x v="224"/>
      <x v="206"/>
      <x v="11"/>
    </i>
    <i r="1">
      <x v="225"/>
      <x v="207"/>
      <x v="32"/>
    </i>
    <i t="default">
      <x v="5"/>
    </i>
    <i>
      <x v="6"/>
      <x v="226"/>
      <x v="208"/>
      <x v="14"/>
    </i>
    <i r="1">
      <x v="227"/>
      <x v="209"/>
      <x v="11"/>
    </i>
    <i r="1">
      <x v="228"/>
      <x v="210"/>
      <x v="31"/>
    </i>
    <i r="2">
      <x v="211"/>
      <x v="27"/>
    </i>
    <i r="1">
      <x v="229"/>
      <x v="212"/>
      <x v="31"/>
    </i>
    <i r="1">
      <x v="230"/>
      <x v="213"/>
      <x v="31"/>
    </i>
    <i r="1">
      <x v="231"/>
      <x v="214"/>
      <x v="31"/>
    </i>
    <i r="2">
      <x v="215"/>
      <x v="16"/>
    </i>
    <i r="1">
      <x v="232"/>
      <x v="216"/>
      <x v="32"/>
    </i>
    <i r="1">
      <x v="233"/>
      <x v="217"/>
      <x v="17"/>
    </i>
    <i r="2">
      <x v="218"/>
      <x v="14"/>
    </i>
    <i t="default">
      <x v="6"/>
    </i>
    <i>
      <x v="7"/>
      <x v="234"/>
      <x v="219"/>
      <x v="27"/>
    </i>
    <i r="1">
      <x v="235"/>
      <x v="220"/>
      <x v="31"/>
    </i>
    <i r="2">
      <x v="221"/>
      <x v="16"/>
    </i>
    <i r="1">
      <x v="236"/>
      <x v="222"/>
      <x v="20"/>
    </i>
    <i r="1">
      <x v="237"/>
      <x v="223"/>
      <x v="31"/>
    </i>
    <i r="1">
      <x v="238"/>
      <x v="224"/>
      <x v="2"/>
    </i>
    <i r="2">
      <x v="225"/>
      <x v="25"/>
    </i>
    <i r="2">
      <x v="226"/>
      <x v="21"/>
    </i>
    <i r="1">
      <x v="239"/>
      <x v="227"/>
      <x v="17"/>
    </i>
    <i r="1">
      <x v="240"/>
      <x v="228"/>
      <x v="27"/>
    </i>
    <i r="2">
      <x v="229"/>
      <x v="31"/>
    </i>
    <i r="2">
      <x v="230"/>
      <x v="14"/>
    </i>
    <i r="1">
      <x v="241"/>
      <x v="231"/>
      <x v="32"/>
    </i>
    <i r="2">
      <x v="232"/>
      <x v="27"/>
    </i>
    <i r="2">
      <x v="233"/>
      <x v="11"/>
    </i>
    <i r="1">
      <x v="242"/>
      <x v="233"/>
      <x v="11"/>
    </i>
    <i t="default">
      <x v="7"/>
    </i>
    <i>
      <x v="8"/>
      <x v="6"/>
      <x v="235"/>
      <x v="14"/>
    </i>
    <i r="1">
      <x v="243"/>
      <x v="234"/>
      <x v="31"/>
    </i>
    <i r="1">
      <x v="244"/>
      <x v="236"/>
      <x v="31"/>
    </i>
    <i r="1">
      <x v="245"/>
      <x v="237"/>
      <x v="7"/>
    </i>
    <i r="2">
      <x v="238"/>
      <x v="31"/>
    </i>
    <i r="2">
      <x v="239"/>
      <x v="17"/>
    </i>
    <i r="1">
      <x v="246"/>
      <x v="240"/>
      <x v="31"/>
    </i>
    <i r="2">
      <x v="241"/>
      <x v="31"/>
    </i>
    <i r="1">
      <x v="247"/>
      <x v="242"/>
      <x v="16"/>
    </i>
    <i r="1">
      <x v="248"/>
      <x v="243"/>
      <x v="17"/>
    </i>
    <i r="1">
      <x v="249"/>
      <x v="244"/>
      <x v="11"/>
    </i>
    <i r="1">
      <x v="250"/>
      <x v="245"/>
      <x v="32"/>
    </i>
    <i r="1">
      <x v="251"/>
      <x v="246"/>
      <x v="17"/>
    </i>
    <i r="2">
      <x v="247"/>
      <x v="24"/>
    </i>
    <i r="2">
      <x v="248"/>
      <x v="24"/>
    </i>
    <i r="1">
      <x v="252"/>
      <x v="249"/>
      <x v="27"/>
    </i>
    <i r="2">
      <x v="250"/>
      <x v="7"/>
    </i>
    <i t="default">
      <x v="8"/>
    </i>
    <i>
      <x v="9"/>
      <x/>
      <x v="253"/>
      <x v="17"/>
    </i>
    <i r="1">
      <x v="5"/>
      <x v="252"/>
      <x v="31"/>
    </i>
    <i r="1">
      <x v="253"/>
      <x v="251"/>
      <x v="32"/>
    </i>
    <i r="1">
      <x v="254"/>
      <x v="254"/>
      <x v="21"/>
    </i>
    <i r="2">
      <x v="255"/>
      <x v="21"/>
    </i>
    <i r="1">
      <x v="255"/>
      <x v="256"/>
      <x v="22"/>
    </i>
    <i r="2">
      <x v="257"/>
      <x v="11"/>
    </i>
    <i r="1">
      <x v="256"/>
      <x v="258"/>
      <x v="31"/>
    </i>
    <i r="2">
      <x v="259"/>
      <x v="17"/>
    </i>
    <i r="1">
      <x v="257"/>
      <x v="260"/>
      <x v="32"/>
    </i>
    <i r="1">
      <x v="258"/>
      <x v="261"/>
      <x v="20"/>
    </i>
    <i r="2">
      <x v="262"/>
      <x v="32"/>
    </i>
    <i r="1">
      <x v="259"/>
      <x v="263"/>
      <x v="14"/>
    </i>
    <i r="1">
      <x v="260"/>
      <x v="264"/>
      <x v="25"/>
    </i>
    <i r="1">
      <x v="261"/>
      <x v="265"/>
      <x v="16"/>
    </i>
    <i r="1">
      <x v="262"/>
      <x v="266"/>
      <x v="31"/>
    </i>
    <i r="2">
      <x v="267"/>
      <x v="17"/>
    </i>
    <i r="1">
      <x v="263"/>
      <x v="268"/>
      <x v="31"/>
    </i>
    <i r="1">
      <x v="264"/>
      <x v="269"/>
      <x v="31"/>
    </i>
    <i r="2">
      <x v="270"/>
      <x v="17"/>
    </i>
    <i t="default">
      <x v="9"/>
    </i>
    <i>
      <x v="10"/>
      <x v="2"/>
      <x v="282"/>
      <x v="11"/>
    </i>
    <i r="1">
      <x v="3"/>
      <x v="283"/>
      <x v="16"/>
    </i>
    <i r="2">
      <x v="284"/>
      <x v="3"/>
    </i>
    <i r="2">
      <x v="285"/>
      <x v="31"/>
    </i>
    <i r="1">
      <x v="265"/>
      <x v="271"/>
      <x v="25"/>
    </i>
    <i r="2">
      <x v="272"/>
      <x v="32"/>
    </i>
    <i r="1">
      <x v="266"/>
      <x v="273"/>
      <x v="14"/>
    </i>
    <i r="1">
      <x v="267"/>
      <x v="274"/>
      <x v="31"/>
    </i>
    <i r="1">
      <x v="268"/>
      <x v="275"/>
      <x v="3"/>
    </i>
    <i r="1">
      <x v="269"/>
      <x v="276"/>
      <x v="24"/>
    </i>
    <i r="1">
      <x v="270"/>
      <x v="277"/>
      <x v="12"/>
    </i>
    <i r="1">
      <x v="271"/>
      <x v="278"/>
      <x v="17"/>
    </i>
    <i r="1">
      <x v="272"/>
      <x v="279"/>
      <x v="31"/>
    </i>
    <i r="1">
      <x v="273"/>
      <x v="280"/>
      <x v="27"/>
    </i>
    <i r="1">
      <x v="274"/>
      <x v="281"/>
      <x v="11"/>
    </i>
    <i r="1">
      <x v="275"/>
      <x v="286"/>
      <x v="21"/>
    </i>
    <i r="2">
      <x v="287"/>
      <x v="32"/>
    </i>
    <i r="1">
      <x v="276"/>
      <x v="288"/>
      <x v="9"/>
    </i>
    <i r="2">
      <x v="289"/>
      <x v="8"/>
    </i>
    <i t="default">
      <x v="10"/>
    </i>
    <i>
      <x v="11"/>
      <x v="277"/>
      <x v="376"/>
      <x v="3"/>
    </i>
    <i r="2">
      <x v="377"/>
      <x v="24"/>
    </i>
    <i r="1">
      <x v="278"/>
      <x v="378"/>
      <x v="31"/>
    </i>
    <i r="2">
      <x v="379"/>
      <x v="31"/>
    </i>
    <i r="1">
      <x v="279"/>
      <x v="380"/>
      <x v="14"/>
    </i>
    <i r="2">
      <x v="381"/>
      <x v="31"/>
    </i>
    <i r="1">
      <x v="280"/>
      <x v="382"/>
      <x v="24"/>
    </i>
    <i r="1">
      <x v="281"/>
      <x v="383"/>
      <x v="17"/>
    </i>
    <i r="1">
      <x v="282"/>
      <x v="384"/>
      <x v="24"/>
    </i>
    <i r="1">
      <x v="283"/>
      <x v="385"/>
      <x v="31"/>
    </i>
    <i r="1">
      <x v="284"/>
      <x v="386"/>
      <x v="17"/>
    </i>
    <i r="1">
      <x v="285"/>
      <x v="387"/>
      <x v="20"/>
    </i>
    <i r="1">
      <x v="286"/>
      <x v="388"/>
      <x v="31"/>
    </i>
    <i r="2">
      <x v="390"/>
      <x v="24"/>
    </i>
    <i r="1">
      <x v="287"/>
      <x v="389"/>
      <x v="16"/>
    </i>
    <i r="1">
      <x v="288"/>
      <x v="391"/>
      <x v="11"/>
    </i>
    <i r="1">
      <x v="289"/>
      <x v="392"/>
      <x v="17"/>
    </i>
    <i r="1">
      <x v="290"/>
      <x v="393"/>
      <x v="32"/>
    </i>
    <i r="1">
      <x v="291"/>
      <x v="394"/>
      <x v="31"/>
    </i>
    <i r="1">
      <x v="292"/>
      <x v="395"/>
      <x v="31"/>
    </i>
    <i t="default">
      <x v="11"/>
    </i>
    <i t="grand">
      <x/>
    </i>
  </rowItems>
  <colItems count="1">
    <i/>
  </colItems>
  <pageFields count="1">
    <pageField fld="2" hier="-1"/>
  </pageFields>
  <dataFields count="1">
    <dataField name="Sum of Sales Amount" fld="13" baseField="5" baseItem="25" numFmtId="4"/>
  </dataFields>
  <formats count="2">
    <format dxfId="18">
      <pivotArea dataOnly="0" outline="0" fieldPosition="0">
        <references count="1">
          <reference field="1" count="0" defaultSubtotal="1"/>
        </references>
      </pivotArea>
    </format>
    <format dxfId="17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232" firstHeaderRow="1" firstDataRow="2" firstDataCol="3" rowPageCount="1" colPageCount="1"/>
  <pivotFields count="20">
    <pivotField compact="0" numFmtId="14" outline="0" showAll="0"/>
    <pivotField axis="axisRow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1"/>
    <field x="3"/>
    <field x="5"/>
  </rowFields>
  <rowItems count="228">
    <i>
      <x/>
      <x v="277"/>
      <x v="18"/>
    </i>
    <i r="1">
      <x v="278"/>
      <x v="21"/>
    </i>
    <i r="1">
      <x v="279"/>
      <x v="18"/>
    </i>
    <i r="1">
      <x v="280"/>
      <x v="5"/>
    </i>
    <i r="1">
      <x v="281"/>
      <x v="11"/>
    </i>
    <i r="1">
      <x v="282"/>
      <x v="21"/>
    </i>
    <i r="1">
      <x v="283"/>
      <x v="20"/>
    </i>
    <i r="1">
      <x v="284"/>
      <x v="18"/>
    </i>
    <i r="1">
      <x v="285"/>
      <x v="22"/>
    </i>
    <i r="1">
      <x v="286"/>
      <x v="3"/>
    </i>
    <i r="1">
      <x v="287"/>
      <x v="5"/>
    </i>
    <i r="1">
      <x v="288"/>
      <x v="18"/>
    </i>
    <i r="1">
      <x v="289"/>
      <x v="7"/>
    </i>
    <i r="1">
      <x v="290"/>
      <x v="20"/>
    </i>
    <i r="1">
      <x v="291"/>
      <x v="18"/>
    </i>
    <i r="1">
      <x v="292"/>
      <x v="17"/>
    </i>
    <i r="1">
      <x v="293"/>
      <x v="11"/>
    </i>
    <i t="default">
      <x/>
    </i>
    <i>
      <x v="1"/>
      <x v="294"/>
      <x v="3"/>
    </i>
    <i r="1">
      <x v="295"/>
      <x v="17"/>
    </i>
    <i r="1">
      <x v="296"/>
      <x v="18"/>
    </i>
    <i r="1">
      <x v="297"/>
      <x v="26"/>
    </i>
    <i r="1">
      <x v="298"/>
      <x v="18"/>
    </i>
    <i r="1">
      <x v="299"/>
      <x v="18"/>
    </i>
    <i r="1">
      <x v="300"/>
      <x v="18"/>
    </i>
    <i r="1">
      <x v="301"/>
      <x v="5"/>
    </i>
    <i r="1">
      <x v="302"/>
      <x v="11"/>
    </i>
    <i r="1">
      <x v="303"/>
      <x v="20"/>
    </i>
    <i r="1">
      <x v="304"/>
      <x v="3"/>
    </i>
    <i t="default">
      <x v="1"/>
    </i>
    <i>
      <x v="2"/>
      <x v="305"/>
      <x v="26"/>
    </i>
    <i r="1">
      <x v="306"/>
      <x v="18"/>
    </i>
    <i r="1">
      <x v="307"/>
      <x v="5"/>
    </i>
    <i r="1">
      <x v="308"/>
      <x v="25"/>
    </i>
    <i r="1">
      <x v="309"/>
      <x v="18"/>
    </i>
    <i r="1">
      <x v="310"/>
      <x v="28"/>
    </i>
    <i r="1">
      <x v="311"/>
      <x v="8"/>
    </i>
    <i r="1">
      <x v="312"/>
      <x v="6"/>
    </i>
    <i r="1">
      <x v="313"/>
      <x v="20"/>
    </i>
    <i r="1">
      <x v="314"/>
      <x v="26"/>
    </i>
    <i r="1">
      <x v="315"/>
      <x v="18"/>
    </i>
    <i r="1">
      <x v="316"/>
      <x v="3"/>
    </i>
    <i r="1">
      <x v="317"/>
      <x v="11"/>
    </i>
    <i r="1">
      <x v="318"/>
      <x v="26"/>
    </i>
    <i r="1">
      <x v="319"/>
      <x v="17"/>
    </i>
    <i t="default">
      <x v="2"/>
    </i>
    <i>
      <x v="3"/>
      <x v="320"/>
      <x v="18"/>
    </i>
    <i r="1">
      <x v="321"/>
      <x v="3"/>
    </i>
    <i r="1">
      <x v="322"/>
      <x v="18"/>
    </i>
    <i r="1">
      <x v="323"/>
      <x v="27"/>
    </i>
    <i r="1">
      <x v="324"/>
      <x v="18"/>
    </i>
    <i r="1">
      <x v="325"/>
      <x v="20"/>
    </i>
    <i r="1">
      <x v="326"/>
      <x v="18"/>
    </i>
    <i r="1">
      <x v="327"/>
      <x v="18"/>
    </i>
    <i r="1">
      <x v="328"/>
      <x v="5"/>
    </i>
    <i r="1">
      <x v="329"/>
      <x v="20"/>
    </i>
    <i r="1">
      <x v="330"/>
      <x v="17"/>
    </i>
    <i r="1">
      <x v="331"/>
      <x v="11"/>
    </i>
    <i r="1">
      <x v="332"/>
      <x v="20"/>
    </i>
    <i r="1">
      <x v="333"/>
      <x v="21"/>
    </i>
    <i r="1">
      <x v="334"/>
      <x v="21"/>
    </i>
    <i r="1">
      <x v="335"/>
      <x v="26"/>
    </i>
    <i r="1">
      <x v="336"/>
      <x v="27"/>
    </i>
    <i t="default">
      <x v="3"/>
    </i>
    <i>
      <x v="4"/>
      <x v="337"/>
      <x v="11"/>
    </i>
    <i r="1">
      <x v="338"/>
      <x v="18"/>
    </i>
    <i r="1">
      <x v="339"/>
      <x v="20"/>
    </i>
    <i r="1">
      <x v="340"/>
      <x v="6"/>
    </i>
    <i r="1">
      <x v="341"/>
      <x v="6"/>
    </i>
    <i r="1">
      <x v="342"/>
      <x v="7"/>
    </i>
    <i r="1">
      <x v="343"/>
      <x v="17"/>
    </i>
    <i r="1">
      <x v="344"/>
      <x v="18"/>
    </i>
    <i r="1">
      <x v="345"/>
      <x v="20"/>
    </i>
    <i r="1">
      <x v="346"/>
      <x v="11"/>
    </i>
    <i r="1">
      <x v="347"/>
      <x v="25"/>
    </i>
    <i r="1">
      <x v="348"/>
      <x v="11"/>
    </i>
    <i r="1">
      <x v="349"/>
      <x v="3"/>
    </i>
    <i r="1">
      <x v="350"/>
      <x v="8"/>
    </i>
    <i r="1">
      <x v="351"/>
      <x v="5"/>
    </i>
    <i r="1">
      <x v="352"/>
      <x v="18"/>
    </i>
    <i r="1">
      <x v="353"/>
      <x v="20"/>
    </i>
    <i r="1">
      <x v="354"/>
      <x v="18"/>
    </i>
    <i r="1">
      <x v="355"/>
      <x v="18"/>
    </i>
    <i r="1">
      <x v="356"/>
      <x v="20"/>
    </i>
    <i t="default">
      <x v="4"/>
    </i>
    <i>
      <x v="5"/>
      <x v="357"/>
      <x v="8"/>
    </i>
    <i r="1">
      <x v="358"/>
      <x v="11"/>
    </i>
    <i r="1">
      <x v="359"/>
      <x v="3"/>
    </i>
    <i r="1">
      <x v="360"/>
      <x v="18"/>
    </i>
    <i r="1">
      <x v="361"/>
      <x v="29"/>
    </i>
    <i r="1">
      <x v="362"/>
      <x v="21"/>
    </i>
    <i r="1">
      <x v="363"/>
      <x v="30"/>
    </i>
    <i r="1">
      <x v="364"/>
      <x v="20"/>
    </i>
    <i r="1">
      <x v="365"/>
      <x v="18"/>
    </i>
    <i r="1">
      <x v="366"/>
      <x v="26"/>
    </i>
    <i r="1">
      <x v="367"/>
      <x v="17"/>
    </i>
    <i r="1">
      <x v="368"/>
      <x v="17"/>
    </i>
    <i r="1">
      <x v="369"/>
      <x v="5"/>
    </i>
    <i r="1">
      <x v="370"/>
      <x v="29"/>
    </i>
    <i r="1">
      <x v="371"/>
      <x v="18"/>
    </i>
    <i r="1">
      <x v="372"/>
      <x v="6"/>
    </i>
    <i r="1">
      <x v="373"/>
      <x v="11"/>
    </i>
    <i r="1">
      <x v="374"/>
      <x v="31"/>
    </i>
    <i r="1">
      <x v="375"/>
      <x v="32"/>
    </i>
    <i t="default">
      <x v="5"/>
    </i>
    <i>
      <x v="6"/>
      <x v="376"/>
      <x v="29"/>
    </i>
    <i r="1">
      <x v="377"/>
      <x v="21"/>
    </i>
    <i r="1">
      <x v="378"/>
      <x v="18"/>
    </i>
    <i r="1">
      <x v="379"/>
      <x v="18"/>
    </i>
    <i r="1">
      <x v="380"/>
      <x v="3"/>
    </i>
    <i r="1">
      <x v="381"/>
      <x v="18"/>
    </i>
    <i r="1">
      <x v="382"/>
      <x v="21"/>
    </i>
    <i r="1">
      <x v="383"/>
      <x v="20"/>
    </i>
    <i r="1">
      <x v="384"/>
      <x v="21"/>
    </i>
    <i r="1">
      <x v="385"/>
      <x v="18"/>
    </i>
    <i r="1">
      <x v="386"/>
      <x v="20"/>
    </i>
    <i r="1">
      <x v="387"/>
      <x v="25"/>
    </i>
    <i r="1">
      <x v="388"/>
      <x v="18"/>
    </i>
    <i r="1">
      <x v="389"/>
      <x v="5"/>
    </i>
    <i r="1">
      <x v="390"/>
      <x v="21"/>
    </i>
    <i r="1">
      <x v="391"/>
      <x v="17"/>
    </i>
    <i r="1">
      <x v="392"/>
      <x v="20"/>
    </i>
    <i r="1">
      <x v="393"/>
      <x v="11"/>
    </i>
    <i r="1">
      <x v="394"/>
      <x v="18"/>
    </i>
    <i r="1">
      <x v="395"/>
      <x v="18"/>
    </i>
    <i t="default">
      <x v="6"/>
    </i>
    <i>
      <x v="7"/>
      <x v="181"/>
      <x v="18"/>
    </i>
    <i r="1">
      <x v="182"/>
      <x v="17"/>
    </i>
    <i r="1">
      <x v="183"/>
      <x v="18"/>
    </i>
    <i r="1">
      <x v="184"/>
      <x v="18"/>
    </i>
    <i r="1">
      <x v="185"/>
      <x v="6"/>
    </i>
    <i r="1">
      <x v="186"/>
      <x v="11"/>
    </i>
    <i r="1">
      <x v="187"/>
      <x v="17"/>
    </i>
    <i r="1">
      <x v="188"/>
      <x v="18"/>
    </i>
    <i r="1">
      <x v="189"/>
      <x v="8"/>
    </i>
    <i r="1">
      <x v="190"/>
      <x v="8"/>
    </i>
    <i r="1">
      <x v="191"/>
      <x v="8"/>
    </i>
    <i r="1">
      <x v="192"/>
      <x v="18"/>
    </i>
    <i r="1">
      <x v="193"/>
      <x v="17"/>
    </i>
    <i r="1">
      <x v="194"/>
      <x v="11"/>
    </i>
    <i r="1">
      <x v="195"/>
      <x v="7"/>
    </i>
    <i r="1">
      <x v="196"/>
      <x v="8"/>
    </i>
    <i t="default">
      <x v="7"/>
    </i>
    <i>
      <x v="8"/>
      <x v="197"/>
      <x v="17"/>
    </i>
    <i r="1">
      <x v="198"/>
      <x v="8"/>
    </i>
    <i r="1">
      <x v="199"/>
      <x v="11"/>
    </i>
    <i r="1">
      <x v="200"/>
      <x v="3"/>
    </i>
    <i r="1">
      <x v="201"/>
      <x v="6"/>
    </i>
    <i r="1">
      <x v="202"/>
      <x v="20"/>
    </i>
    <i r="1">
      <x v="203"/>
      <x v="7"/>
    </i>
    <i r="1">
      <x v="204"/>
      <x v="17"/>
    </i>
    <i r="1">
      <x v="205"/>
      <x v="18"/>
    </i>
    <i r="1">
      <x v="206"/>
      <x v="18"/>
    </i>
    <i r="1">
      <x v="207"/>
      <x v="6"/>
    </i>
    <i t="default">
      <x v="8"/>
    </i>
    <i>
      <x v="9"/>
      <x v="208"/>
      <x v="20"/>
    </i>
    <i r="1">
      <x v="209"/>
      <x v="21"/>
    </i>
    <i r="1">
      <x v="210"/>
      <x v="11"/>
    </i>
    <i r="1">
      <x v="211"/>
      <x v="21"/>
    </i>
    <i r="1">
      <x v="212"/>
      <x v="17"/>
    </i>
    <i r="1">
      <x v="213"/>
      <x v="21"/>
    </i>
    <i r="1">
      <x v="214"/>
      <x v="7"/>
    </i>
    <i r="1">
      <x v="215"/>
      <x v="18"/>
    </i>
    <i r="1">
      <x v="216"/>
      <x v="11"/>
    </i>
    <i r="1">
      <x v="217"/>
      <x v="18"/>
    </i>
    <i r="1">
      <x v="218"/>
      <x v="17"/>
    </i>
    <i r="1">
      <x v="219"/>
      <x v="18"/>
    </i>
    <i r="1">
      <x v="220"/>
      <x v="20"/>
    </i>
    <i r="1">
      <x v="221"/>
      <x v="7"/>
    </i>
    <i r="1">
      <x v="222"/>
      <x v="18"/>
    </i>
    <i r="1">
      <x v="223"/>
      <x v="18"/>
    </i>
    <i r="1">
      <x v="224"/>
      <x v="5"/>
    </i>
    <i r="1">
      <x v="225"/>
      <x v="18"/>
    </i>
    <i r="1">
      <x v="226"/>
      <x v="22"/>
    </i>
    <i t="default">
      <x v="9"/>
    </i>
    <i>
      <x v="10"/>
      <x v="227"/>
      <x v="20"/>
    </i>
    <i r="1">
      <x v="228"/>
      <x v="18"/>
    </i>
    <i r="1">
      <x v="229"/>
      <x v="21"/>
    </i>
    <i r="1">
      <x v="230"/>
      <x v="18"/>
    </i>
    <i r="1">
      <x v="231"/>
      <x v="17"/>
    </i>
    <i r="1">
      <x v="232"/>
      <x v="6"/>
    </i>
    <i r="1">
      <x v="233"/>
      <x v="3"/>
    </i>
    <i r="1">
      <x v="234"/>
      <x v="18"/>
    </i>
    <i r="1">
      <x v="235"/>
      <x v="24"/>
    </i>
    <i r="1">
      <x v="236"/>
      <x v="21"/>
    </i>
    <i r="1">
      <x v="237"/>
      <x v="24"/>
    </i>
    <i r="1">
      <x v="238"/>
      <x v="18"/>
    </i>
    <i r="1">
      <x v="239"/>
      <x v="20"/>
    </i>
    <i r="1">
      <x v="240"/>
      <x v="24"/>
    </i>
    <i r="1">
      <x v="241"/>
      <x v="18"/>
    </i>
    <i r="1">
      <x v="242"/>
      <x v="22"/>
    </i>
    <i r="1">
      <x v="243"/>
      <x v="18"/>
    </i>
    <i r="1">
      <x v="244"/>
      <x v="23"/>
    </i>
    <i r="1">
      <x v="245"/>
      <x v="8"/>
    </i>
    <i r="1">
      <x v="246"/>
      <x v="23"/>
    </i>
    <i r="1">
      <x v="247"/>
      <x v="5"/>
    </i>
    <i r="1">
      <x v="248"/>
      <x v="18"/>
    </i>
    <i r="1">
      <x v="249"/>
      <x v="22"/>
    </i>
    <i r="1">
      <x v="250"/>
      <x v="11"/>
    </i>
    <i r="1">
      <x v="251"/>
      <x v="20"/>
    </i>
    <i r="1">
      <x v="252"/>
      <x v="18"/>
    </i>
    <i r="1">
      <x v="253"/>
      <x v="17"/>
    </i>
    <i r="1">
      <x v="254"/>
      <x v="22"/>
    </i>
    <i r="1">
      <x v="255"/>
      <x v="18"/>
    </i>
    <i t="default">
      <x v="10"/>
    </i>
    <i>
      <x v="11"/>
      <x v="256"/>
      <x v="18"/>
    </i>
    <i r="1">
      <x v="257"/>
      <x v="22"/>
    </i>
    <i r="1">
      <x v="258"/>
      <x v="18"/>
    </i>
    <i r="1">
      <x v="259"/>
      <x v="3"/>
    </i>
    <i r="1">
      <x v="260"/>
      <x v="7"/>
    </i>
    <i r="1">
      <x v="261"/>
      <x v="21"/>
    </i>
    <i r="1">
      <x v="262"/>
      <x v="24"/>
    </i>
    <i r="1">
      <x v="263"/>
      <x v="7"/>
    </i>
    <i r="1">
      <x v="264"/>
      <x v="18"/>
    </i>
    <i r="1">
      <x v="265"/>
      <x v="6"/>
    </i>
    <i r="1">
      <x v="266"/>
      <x v="18"/>
    </i>
    <i r="1">
      <x v="267"/>
      <x v="20"/>
    </i>
    <i r="1">
      <x v="268"/>
      <x v="18"/>
    </i>
    <i r="1">
      <x v="269"/>
      <x v="25"/>
    </i>
    <i r="1">
      <x v="270"/>
      <x v="18"/>
    </i>
    <i r="1">
      <x v="271"/>
      <x v="11"/>
    </i>
    <i r="1">
      <x v="272"/>
      <x v="18"/>
    </i>
    <i r="1">
      <x v="273"/>
      <x v="17"/>
    </i>
    <i r="1">
      <x v="274"/>
      <x v="8"/>
    </i>
    <i r="1">
      <x v="275"/>
      <x v="18"/>
    </i>
    <i r="1">
      <x v="276"/>
      <x v="20"/>
    </i>
    <i t="default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4">
    <format dxfId="11">
      <pivotArea dataOnly="0" outline="0" fieldPosition="0">
        <references count="1">
          <reference field="1" count="0" defaultSubtotal="1"/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BT1027" firstHeaderRow="1" firstDataRow="3" firstDataCol="2"/>
  <pivotFields count="20">
    <pivotField compact="0" numFmtId="14" outline="0" showAll="0"/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022">
    <i>
      <x/>
      <x v="10"/>
    </i>
    <i r="1">
      <x v="31"/>
    </i>
    <i r="1">
      <x v="40"/>
    </i>
    <i r="1">
      <x v="41"/>
    </i>
    <i r="1">
      <x v="45"/>
    </i>
    <i r="1">
      <x v="48"/>
    </i>
    <i r="1">
      <x v="54"/>
    </i>
    <i r="1">
      <x v="76"/>
    </i>
    <i r="1">
      <x v="79"/>
    </i>
    <i r="1">
      <x v="102"/>
    </i>
    <i r="1">
      <x v="104"/>
    </i>
    <i r="1">
      <x v="106"/>
    </i>
    <i r="1">
      <x v="112"/>
    </i>
    <i r="1">
      <x v="113"/>
    </i>
    <i r="1">
      <x v="121"/>
    </i>
    <i r="1">
      <x v="136"/>
    </i>
    <i r="1">
      <x v="149"/>
    </i>
    <i t="default">
      <x/>
    </i>
    <i>
      <x v="1"/>
      <x v="16"/>
    </i>
    <i r="1">
      <x v="36"/>
    </i>
    <i t="default">
      <x v="1"/>
    </i>
    <i>
      <x v="2"/>
      <x v="19"/>
    </i>
    <i r="1">
      <x v="49"/>
    </i>
    <i r="1">
      <x v="58"/>
    </i>
    <i r="1">
      <x v="87"/>
    </i>
    <i r="1">
      <x v="90"/>
    </i>
    <i r="1">
      <x v="99"/>
    </i>
    <i r="1">
      <x v="108"/>
    </i>
    <i r="1">
      <x v="109"/>
    </i>
    <i r="1">
      <x v="134"/>
    </i>
    <i r="1">
      <x v="200"/>
    </i>
    <i r="1">
      <x v="233"/>
    </i>
    <i r="1">
      <x v="259"/>
    </i>
    <i r="1">
      <x v="286"/>
    </i>
    <i r="1">
      <x v="294"/>
    </i>
    <i r="1">
      <x v="304"/>
    </i>
    <i r="1">
      <x v="316"/>
    </i>
    <i r="1">
      <x v="321"/>
    </i>
    <i r="1">
      <x v="349"/>
    </i>
    <i r="1">
      <x v="359"/>
    </i>
    <i r="1">
      <x v="380"/>
    </i>
    <i r="1">
      <x v="416"/>
    </i>
    <i r="1">
      <x v="462"/>
    </i>
    <i r="1">
      <x v="484"/>
    </i>
    <i r="1">
      <x v="497"/>
    </i>
    <i r="1">
      <x v="511"/>
    </i>
    <i r="1">
      <x v="529"/>
    </i>
    <i r="1">
      <x v="560"/>
    </i>
    <i r="1">
      <x v="587"/>
    </i>
    <i r="1">
      <x v="598"/>
    </i>
    <i r="1">
      <x v="633"/>
    </i>
    <i r="1">
      <x v="674"/>
    </i>
    <i r="1">
      <x v="679"/>
    </i>
    <i r="1">
      <x v="736"/>
    </i>
    <i r="1">
      <x v="769"/>
    </i>
    <i r="1">
      <x v="808"/>
    </i>
    <i r="1">
      <x v="819"/>
    </i>
    <i r="1">
      <x v="843"/>
    </i>
    <i r="1">
      <x v="844"/>
    </i>
    <i r="1">
      <x v="858"/>
    </i>
    <i r="1">
      <x v="901"/>
    </i>
    <i r="1">
      <x v="918"/>
    </i>
    <i r="1">
      <x v="925"/>
    </i>
    <i t="default">
      <x v="2"/>
    </i>
    <i>
      <x v="3"/>
      <x/>
    </i>
    <i r="1">
      <x v="2"/>
    </i>
    <i r="1">
      <x v="6"/>
    </i>
    <i r="1">
      <x v="12"/>
    </i>
    <i r="1">
      <x v="13"/>
    </i>
    <i r="1">
      <x v="20"/>
    </i>
    <i r="1">
      <x v="23"/>
    </i>
    <i r="1">
      <x v="24"/>
    </i>
    <i r="1">
      <x v="26"/>
    </i>
    <i r="1">
      <x v="29"/>
    </i>
    <i r="1">
      <x v="30"/>
    </i>
    <i r="1">
      <x v="35"/>
    </i>
    <i r="1">
      <x v="39"/>
    </i>
    <i r="1">
      <x v="44"/>
    </i>
    <i r="1">
      <x v="47"/>
    </i>
    <i r="1">
      <x v="50"/>
    </i>
    <i r="1">
      <x v="51"/>
    </i>
    <i r="1">
      <x v="57"/>
    </i>
    <i r="1">
      <x v="63"/>
    </i>
    <i r="1">
      <x v="73"/>
    </i>
    <i r="1">
      <x v="80"/>
    </i>
    <i r="1">
      <x v="85"/>
    </i>
    <i r="1">
      <x v="98"/>
    </i>
    <i r="1">
      <x v="103"/>
    </i>
    <i r="1">
      <x v="119"/>
    </i>
    <i r="1">
      <x v="142"/>
    </i>
    <i r="1">
      <x v="177"/>
    </i>
    <i r="1">
      <x v="224"/>
    </i>
    <i r="1">
      <x v="247"/>
    </i>
    <i r="1">
      <x v="280"/>
    </i>
    <i r="1">
      <x v="287"/>
    </i>
    <i r="1">
      <x v="301"/>
    </i>
    <i r="1">
      <x v="307"/>
    </i>
    <i r="1">
      <x v="328"/>
    </i>
    <i r="1">
      <x v="351"/>
    </i>
    <i r="1">
      <x v="369"/>
    </i>
    <i r="1">
      <x v="389"/>
    </i>
    <i r="1">
      <x v="402"/>
    </i>
    <i r="1">
      <x v="447"/>
    </i>
    <i r="1">
      <x v="500"/>
    </i>
    <i r="1">
      <x v="532"/>
    </i>
    <i t="default">
      <x v="3"/>
    </i>
    <i>
      <x v="4"/>
      <x v="3"/>
    </i>
    <i r="1">
      <x v="5"/>
    </i>
    <i r="1">
      <x v="11"/>
    </i>
    <i r="1">
      <x v="14"/>
    </i>
    <i r="1">
      <x v="18"/>
    </i>
    <i r="1">
      <x v="32"/>
    </i>
    <i r="1">
      <x v="37"/>
    </i>
    <i r="1">
      <x v="38"/>
    </i>
    <i r="1">
      <x v="43"/>
    </i>
    <i r="1">
      <x v="56"/>
    </i>
    <i r="1">
      <x v="65"/>
    </i>
    <i r="1">
      <x v="70"/>
    </i>
    <i r="1">
      <x v="72"/>
    </i>
    <i r="1">
      <x v="94"/>
    </i>
    <i r="1">
      <x v="95"/>
    </i>
    <i r="1">
      <x v="105"/>
    </i>
    <i r="1">
      <x v="116"/>
    </i>
    <i r="1">
      <x v="127"/>
    </i>
    <i r="1">
      <x v="128"/>
    </i>
    <i r="1">
      <x v="151"/>
    </i>
    <i r="1">
      <x v="162"/>
    </i>
    <i r="1">
      <x v="185"/>
    </i>
    <i r="1">
      <x v="201"/>
    </i>
    <i r="1">
      <x v="207"/>
    </i>
    <i r="1">
      <x v="232"/>
    </i>
    <i r="1">
      <x v="265"/>
    </i>
    <i r="1">
      <x v="312"/>
    </i>
    <i r="1">
      <x v="340"/>
    </i>
    <i r="1">
      <x v="341"/>
    </i>
    <i r="1">
      <x v="372"/>
    </i>
    <i r="1">
      <x v="518"/>
    </i>
    <i r="1">
      <x v="584"/>
    </i>
    <i r="1">
      <x v="605"/>
    </i>
    <i r="1">
      <x v="639"/>
    </i>
    <i r="1">
      <x v="823"/>
    </i>
    <i r="1">
      <x v="841"/>
    </i>
    <i r="1">
      <x v="886"/>
    </i>
    <i r="1">
      <x v="910"/>
    </i>
    <i r="1">
      <x v="946"/>
    </i>
    <i t="default">
      <x v="4"/>
    </i>
    <i>
      <x v="5"/>
      <x v="15"/>
    </i>
    <i r="1">
      <x v="46"/>
    </i>
    <i r="1">
      <x v="123"/>
    </i>
    <i r="1">
      <x v="195"/>
    </i>
    <i r="1">
      <x v="203"/>
    </i>
    <i r="1">
      <x v="214"/>
    </i>
    <i r="1">
      <x v="221"/>
    </i>
    <i r="1">
      <x v="260"/>
    </i>
    <i r="1">
      <x v="263"/>
    </i>
    <i r="1">
      <x v="289"/>
    </i>
    <i r="1">
      <x v="342"/>
    </i>
    <i r="1">
      <x v="487"/>
    </i>
    <i r="1">
      <x v="590"/>
    </i>
    <i r="1">
      <x v="608"/>
    </i>
    <i r="1">
      <x v="669"/>
    </i>
    <i r="1">
      <x v="714"/>
    </i>
    <i r="1">
      <x v="765"/>
    </i>
    <i r="1">
      <x v="848"/>
    </i>
    <i r="1">
      <x v="867"/>
    </i>
    <i r="1">
      <x v="912"/>
    </i>
    <i r="1">
      <x v="936"/>
    </i>
    <i t="default">
      <x v="5"/>
    </i>
    <i>
      <x v="6"/>
      <x v="4"/>
    </i>
    <i r="1">
      <x v="7"/>
    </i>
    <i r="1">
      <x v="8"/>
    </i>
    <i r="1">
      <x v="9"/>
    </i>
    <i r="1">
      <x v="25"/>
    </i>
    <i r="1">
      <x v="27"/>
    </i>
    <i r="1">
      <x v="33"/>
    </i>
    <i r="1">
      <x v="34"/>
    </i>
    <i r="1">
      <x v="64"/>
    </i>
    <i r="1">
      <x v="81"/>
    </i>
    <i r="1">
      <x v="84"/>
    </i>
    <i r="1">
      <x v="89"/>
    </i>
    <i r="1">
      <x v="93"/>
    </i>
    <i r="1">
      <x v="100"/>
    </i>
    <i r="1">
      <x v="114"/>
    </i>
    <i r="1">
      <x v="120"/>
    </i>
    <i r="1">
      <x v="122"/>
    </i>
    <i r="1">
      <x v="170"/>
    </i>
    <i r="1">
      <x v="171"/>
    </i>
    <i r="1">
      <x v="173"/>
    </i>
    <i r="1">
      <x v="189"/>
    </i>
    <i r="1">
      <x v="190"/>
    </i>
    <i r="1">
      <x v="191"/>
    </i>
    <i r="1">
      <x v="196"/>
    </i>
    <i r="1">
      <x v="198"/>
    </i>
    <i r="1">
      <x v="245"/>
    </i>
    <i r="1">
      <x v="274"/>
    </i>
    <i r="1">
      <x v="311"/>
    </i>
    <i r="1">
      <x v="350"/>
    </i>
    <i r="1">
      <x v="357"/>
    </i>
    <i r="1">
      <x v="439"/>
    </i>
    <i t="default">
      <x v="6"/>
    </i>
    <i>
      <x v="7"/>
      <x v="1"/>
    </i>
    <i r="1">
      <x v="115"/>
    </i>
    <i t="default">
      <x v="7"/>
    </i>
    <i>
      <x v="8"/>
      <x v="17"/>
    </i>
    <i r="1">
      <x v="22"/>
    </i>
    <i r="1">
      <x v="53"/>
    </i>
    <i r="1">
      <x v="59"/>
    </i>
    <i r="1">
      <x v="82"/>
    </i>
    <i r="1">
      <x v="141"/>
    </i>
    <i r="1">
      <x v="144"/>
    </i>
    <i r="1">
      <x v="165"/>
    </i>
    <i t="default">
      <x v="8"/>
    </i>
    <i>
      <x v="9"/>
      <x v="21"/>
    </i>
    <i r="1">
      <x v="28"/>
    </i>
    <i r="1">
      <x v="42"/>
    </i>
    <i r="1">
      <x v="52"/>
    </i>
    <i r="1">
      <x v="60"/>
    </i>
    <i r="1">
      <x v="61"/>
    </i>
    <i r="1">
      <x v="66"/>
    </i>
    <i r="1">
      <x v="68"/>
    </i>
    <i r="1">
      <x v="74"/>
    </i>
    <i r="1">
      <x v="91"/>
    </i>
    <i r="1">
      <x v="97"/>
    </i>
    <i r="1">
      <x v="101"/>
    </i>
    <i r="1">
      <x v="107"/>
    </i>
    <i r="1">
      <x v="110"/>
    </i>
    <i r="1">
      <x v="117"/>
    </i>
    <i r="1">
      <x v="126"/>
    </i>
    <i r="1">
      <x v="146"/>
    </i>
    <i r="1">
      <x v="148"/>
    </i>
    <i r="1">
      <x v="153"/>
    </i>
    <i r="1">
      <x v="155"/>
    </i>
    <i r="1">
      <x v="169"/>
    </i>
    <i r="1">
      <x v="179"/>
    </i>
    <i r="1">
      <x v="186"/>
    </i>
    <i r="1">
      <x v="194"/>
    </i>
    <i r="1">
      <x v="199"/>
    </i>
    <i r="1">
      <x v="210"/>
    </i>
    <i r="1">
      <x v="216"/>
    </i>
    <i r="1">
      <x v="250"/>
    </i>
    <i r="1">
      <x v="271"/>
    </i>
    <i r="1">
      <x v="281"/>
    </i>
    <i r="1">
      <x v="293"/>
    </i>
    <i r="1">
      <x v="302"/>
    </i>
    <i r="1">
      <x v="317"/>
    </i>
    <i r="1">
      <x v="331"/>
    </i>
    <i r="1">
      <x v="337"/>
    </i>
    <i r="1">
      <x v="346"/>
    </i>
    <i r="1">
      <x v="348"/>
    </i>
    <i r="1">
      <x v="358"/>
    </i>
    <i r="1">
      <x v="373"/>
    </i>
    <i r="1">
      <x v="393"/>
    </i>
    <i r="1">
      <x v="405"/>
    </i>
    <i r="1">
      <x v="413"/>
    </i>
    <i r="1">
      <x v="429"/>
    </i>
    <i r="1">
      <x v="458"/>
    </i>
    <i r="1">
      <x v="481"/>
    </i>
    <i r="1">
      <x v="516"/>
    </i>
    <i r="1">
      <x v="537"/>
    </i>
    <i r="1">
      <x v="567"/>
    </i>
    <i r="1">
      <x v="576"/>
    </i>
    <i r="1">
      <x v="589"/>
    </i>
    <i r="1">
      <x v="627"/>
    </i>
    <i r="1">
      <x v="667"/>
    </i>
    <i r="1">
      <x v="706"/>
    </i>
    <i r="1">
      <x v="707"/>
    </i>
    <i r="1">
      <x v="722"/>
    </i>
    <i r="1">
      <x v="747"/>
    </i>
    <i r="1">
      <x v="774"/>
    </i>
    <i r="1">
      <x v="794"/>
    </i>
    <i r="1">
      <x v="799"/>
    </i>
    <i r="1">
      <x v="801"/>
    </i>
    <i r="1">
      <x v="815"/>
    </i>
    <i r="1">
      <x v="824"/>
    </i>
    <i r="1">
      <x v="835"/>
    </i>
    <i r="1">
      <x v="852"/>
    </i>
    <i r="1">
      <x v="871"/>
    </i>
    <i r="1">
      <x v="883"/>
    </i>
    <i r="1">
      <x v="900"/>
    </i>
    <i r="1">
      <x v="902"/>
    </i>
    <i r="1">
      <x v="907"/>
    </i>
    <i r="1">
      <x v="922"/>
    </i>
    <i r="1">
      <x v="923"/>
    </i>
    <i r="1">
      <x v="939"/>
    </i>
    <i r="1">
      <x v="959"/>
    </i>
    <i r="1">
      <x v="964"/>
    </i>
    <i t="default">
      <x v="9"/>
    </i>
    <i>
      <x v="10"/>
      <x v="55"/>
    </i>
    <i t="default">
      <x v="10"/>
    </i>
    <i>
      <x v="11"/>
      <x v="62"/>
    </i>
    <i t="default">
      <x v="11"/>
    </i>
    <i>
      <x v="12"/>
      <x v="160"/>
    </i>
    <i t="default">
      <x v="12"/>
    </i>
    <i>
      <x v="13"/>
      <x v="75"/>
    </i>
    <i r="1">
      <x v="77"/>
    </i>
    <i r="1">
      <x v="92"/>
    </i>
    <i r="1">
      <x v="135"/>
    </i>
    <i r="1">
      <x v="403"/>
    </i>
    <i r="1">
      <x v="456"/>
    </i>
    <i r="1">
      <x v="464"/>
    </i>
    <i r="1">
      <x v="499"/>
    </i>
    <i r="1">
      <x v="514"/>
    </i>
    <i r="1">
      <x v="526"/>
    </i>
    <i r="1">
      <x v="530"/>
    </i>
    <i r="1">
      <x v="538"/>
    </i>
    <i r="1">
      <x v="543"/>
    </i>
    <i r="1">
      <x v="555"/>
    </i>
    <i r="1">
      <x v="566"/>
    </i>
    <i r="1">
      <x v="588"/>
    </i>
    <i r="1">
      <x v="593"/>
    </i>
    <i r="1">
      <x v="606"/>
    </i>
    <i r="1">
      <x v="629"/>
    </i>
    <i r="1">
      <x v="630"/>
    </i>
    <i r="1">
      <x v="640"/>
    </i>
    <i r="1">
      <x v="651"/>
    </i>
    <i r="1">
      <x v="660"/>
    </i>
    <i r="1">
      <x v="672"/>
    </i>
    <i r="1">
      <x v="701"/>
    </i>
    <i r="1">
      <x v="705"/>
    </i>
    <i r="1">
      <x v="711"/>
    </i>
    <i r="1">
      <x v="726"/>
    </i>
    <i r="1">
      <x v="742"/>
    </i>
    <i r="1">
      <x v="764"/>
    </i>
    <i r="1">
      <x v="827"/>
    </i>
    <i r="1">
      <x v="853"/>
    </i>
    <i r="1">
      <x v="862"/>
    </i>
    <i r="1">
      <x v="878"/>
    </i>
    <i r="1">
      <x v="885"/>
    </i>
    <i r="1">
      <x v="960"/>
    </i>
    <i t="default">
      <x v="13"/>
    </i>
    <i>
      <x v="14"/>
      <x v="83"/>
    </i>
    <i r="1">
      <x v="96"/>
    </i>
    <i t="default">
      <x v="14"/>
    </i>
    <i>
      <x v="15"/>
      <x v="86"/>
    </i>
    <i t="default">
      <x v="15"/>
    </i>
    <i>
      <x v="16"/>
      <x v="118"/>
    </i>
    <i t="default">
      <x v="16"/>
    </i>
    <i>
      <x v="17"/>
      <x v="124"/>
    </i>
    <i r="1">
      <x v="125"/>
    </i>
    <i r="1">
      <x v="132"/>
    </i>
    <i r="1">
      <x v="133"/>
    </i>
    <i r="1">
      <x v="147"/>
    </i>
    <i r="1">
      <x v="150"/>
    </i>
    <i r="1">
      <x v="161"/>
    </i>
    <i r="1">
      <x v="163"/>
    </i>
    <i r="1">
      <x v="164"/>
    </i>
    <i r="1">
      <x v="180"/>
    </i>
    <i r="1">
      <x v="182"/>
    </i>
    <i r="1">
      <x v="187"/>
    </i>
    <i r="1">
      <x v="193"/>
    </i>
    <i r="1">
      <x v="197"/>
    </i>
    <i r="1">
      <x v="204"/>
    </i>
    <i r="1">
      <x v="212"/>
    </i>
    <i r="1">
      <x v="218"/>
    </i>
    <i r="1">
      <x v="231"/>
    </i>
    <i r="1">
      <x v="253"/>
    </i>
    <i r="1">
      <x v="273"/>
    </i>
    <i r="1">
      <x v="292"/>
    </i>
    <i r="1">
      <x v="295"/>
    </i>
    <i r="1">
      <x v="319"/>
    </i>
    <i r="1">
      <x v="330"/>
    </i>
    <i r="1">
      <x v="343"/>
    </i>
    <i r="1">
      <x v="367"/>
    </i>
    <i r="1">
      <x v="368"/>
    </i>
    <i r="1">
      <x v="391"/>
    </i>
    <i r="1">
      <x v="415"/>
    </i>
    <i r="1">
      <x v="432"/>
    </i>
    <i r="1">
      <x v="444"/>
    </i>
    <i r="1">
      <x v="445"/>
    </i>
    <i r="1">
      <x v="454"/>
    </i>
    <i r="1">
      <x v="455"/>
    </i>
    <i r="1">
      <x v="461"/>
    </i>
    <i r="1">
      <x v="485"/>
    </i>
    <i r="1">
      <x v="501"/>
    </i>
    <i r="1">
      <x v="504"/>
    </i>
    <i r="1">
      <x v="515"/>
    </i>
    <i r="1">
      <x v="535"/>
    </i>
    <i r="1">
      <x v="542"/>
    </i>
    <i r="1">
      <x v="556"/>
    </i>
    <i r="1">
      <x v="573"/>
    </i>
    <i r="1">
      <x v="575"/>
    </i>
    <i r="1">
      <x v="591"/>
    </i>
    <i r="1">
      <x v="601"/>
    </i>
    <i r="1">
      <x v="607"/>
    </i>
    <i r="1">
      <x v="612"/>
    </i>
    <i r="1">
      <x v="616"/>
    </i>
    <i r="1">
      <x v="620"/>
    </i>
    <i r="1">
      <x v="632"/>
    </i>
    <i r="1">
      <x v="643"/>
    </i>
    <i r="1">
      <x v="652"/>
    </i>
    <i r="1">
      <x v="654"/>
    </i>
    <i r="1">
      <x v="662"/>
    </i>
    <i r="1">
      <x v="675"/>
    </i>
    <i r="1">
      <x v="686"/>
    </i>
    <i r="1">
      <x v="688"/>
    </i>
    <i r="1">
      <x v="696"/>
    </i>
    <i r="1">
      <x v="708"/>
    </i>
    <i r="1">
      <x v="721"/>
    </i>
    <i r="1">
      <x v="733"/>
    </i>
    <i r="1">
      <x v="748"/>
    </i>
    <i r="1">
      <x v="763"/>
    </i>
    <i r="1">
      <x v="771"/>
    </i>
    <i r="1">
      <x v="776"/>
    </i>
    <i r="1">
      <x v="778"/>
    </i>
    <i r="1">
      <x v="788"/>
    </i>
    <i r="1">
      <x v="800"/>
    </i>
    <i r="1">
      <x v="809"/>
    </i>
    <i r="1">
      <x v="821"/>
    </i>
    <i r="1">
      <x v="829"/>
    </i>
    <i r="1">
      <x v="837"/>
    </i>
    <i r="1">
      <x v="845"/>
    </i>
    <i r="1">
      <x v="851"/>
    </i>
    <i r="1">
      <x v="856"/>
    </i>
    <i r="1">
      <x v="861"/>
    </i>
    <i r="1">
      <x v="870"/>
    </i>
    <i r="1">
      <x v="877"/>
    </i>
    <i r="1">
      <x v="890"/>
    </i>
    <i r="1">
      <x v="899"/>
    </i>
    <i r="1">
      <x v="913"/>
    </i>
    <i r="1">
      <x v="921"/>
    </i>
    <i r="1">
      <x v="926"/>
    </i>
    <i r="1">
      <x v="940"/>
    </i>
    <i r="1">
      <x v="951"/>
    </i>
    <i r="1">
      <x v="961"/>
    </i>
    <i t="default">
      <x v="17"/>
    </i>
    <i>
      <x v="18"/>
      <x v="129"/>
    </i>
    <i r="1">
      <x v="131"/>
    </i>
    <i r="1">
      <x v="137"/>
    </i>
    <i r="1">
      <x v="138"/>
    </i>
    <i r="1">
      <x v="139"/>
    </i>
    <i r="1">
      <x v="140"/>
    </i>
    <i r="1">
      <x v="143"/>
    </i>
    <i r="1">
      <x v="145"/>
    </i>
    <i r="1">
      <x v="152"/>
    </i>
    <i r="1">
      <x v="154"/>
    </i>
    <i r="1">
      <x v="158"/>
    </i>
    <i r="1">
      <x v="159"/>
    </i>
    <i r="1">
      <x v="166"/>
    </i>
    <i r="1">
      <x v="168"/>
    </i>
    <i r="1">
      <x v="172"/>
    </i>
    <i r="1">
      <x v="174"/>
    </i>
    <i r="1">
      <x v="175"/>
    </i>
    <i r="1">
      <x v="176"/>
    </i>
    <i r="1">
      <x v="178"/>
    </i>
    <i r="1">
      <x v="181"/>
    </i>
    <i r="1">
      <x v="183"/>
    </i>
    <i r="1">
      <x v="184"/>
    </i>
    <i r="1">
      <x v="188"/>
    </i>
    <i r="1">
      <x v="192"/>
    </i>
    <i r="1">
      <x v="205"/>
    </i>
    <i r="1">
      <x v="206"/>
    </i>
    <i r="1">
      <x v="215"/>
    </i>
    <i r="1">
      <x v="217"/>
    </i>
    <i r="1">
      <x v="219"/>
    </i>
    <i r="1">
      <x v="222"/>
    </i>
    <i r="1">
      <x v="223"/>
    </i>
    <i r="1">
      <x v="225"/>
    </i>
    <i r="1">
      <x v="228"/>
    </i>
    <i r="1">
      <x v="230"/>
    </i>
    <i r="1">
      <x v="234"/>
    </i>
    <i r="1">
      <x v="238"/>
    </i>
    <i r="1">
      <x v="241"/>
    </i>
    <i r="1">
      <x v="243"/>
    </i>
    <i r="1">
      <x v="248"/>
    </i>
    <i r="1">
      <x v="252"/>
    </i>
    <i r="1">
      <x v="255"/>
    </i>
    <i r="1">
      <x v="256"/>
    </i>
    <i r="1">
      <x v="258"/>
    </i>
    <i r="1">
      <x v="264"/>
    </i>
    <i r="1">
      <x v="266"/>
    </i>
    <i r="1">
      <x v="268"/>
    </i>
    <i r="1">
      <x v="270"/>
    </i>
    <i r="1">
      <x v="272"/>
    </i>
    <i r="1">
      <x v="275"/>
    </i>
    <i r="1">
      <x v="277"/>
    </i>
    <i r="1">
      <x v="279"/>
    </i>
    <i r="1">
      <x v="284"/>
    </i>
    <i r="1">
      <x v="288"/>
    </i>
    <i r="1">
      <x v="291"/>
    </i>
    <i r="1">
      <x v="296"/>
    </i>
    <i r="1">
      <x v="298"/>
    </i>
    <i r="1">
      <x v="299"/>
    </i>
    <i r="1">
      <x v="300"/>
    </i>
    <i r="1">
      <x v="306"/>
    </i>
    <i r="1">
      <x v="309"/>
    </i>
    <i r="1">
      <x v="315"/>
    </i>
    <i r="1">
      <x v="320"/>
    </i>
    <i r="1">
      <x v="322"/>
    </i>
    <i r="1">
      <x v="324"/>
    </i>
    <i r="1">
      <x v="326"/>
    </i>
    <i r="1">
      <x v="327"/>
    </i>
    <i r="1">
      <x v="338"/>
    </i>
    <i r="1">
      <x v="344"/>
    </i>
    <i r="1">
      <x v="352"/>
    </i>
    <i r="1">
      <x v="354"/>
    </i>
    <i r="1">
      <x v="355"/>
    </i>
    <i r="1">
      <x v="360"/>
    </i>
    <i r="1">
      <x v="365"/>
    </i>
    <i r="1">
      <x v="371"/>
    </i>
    <i r="1">
      <x v="378"/>
    </i>
    <i r="1">
      <x v="379"/>
    </i>
    <i r="1">
      <x v="381"/>
    </i>
    <i r="1">
      <x v="385"/>
    </i>
    <i r="1">
      <x v="388"/>
    </i>
    <i r="1">
      <x v="394"/>
    </i>
    <i r="1">
      <x v="395"/>
    </i>
    <i r="1">
      <x v="396"/>
    </i>
    <i r="1">
      <x v="398"/>
    </i>
    <i r="1">
      <x v="401"/>
    </i>
    <i r="1">
      <x v="406"/>
    </i>
    <i r="1">
      <x v="410"/>
    </i>
    <i r="1">
      <x v="414"/>
    </i>
    <i r="1">
      <x v="418"/>
    </i>
    <i r="1">
      <x v="422"/>
    </i>
    <i r="1">
      <x v="425"/>
    </i>
    <i r="1">
      <x v="426"/>
    </i>
    <i r="1">
      <x v="430"/>
    </i>
    <i r="1">
      <x v="431"/>
    </i>
    <i r="1">
      <x v="434"/>
    </i>
    <i r="1">
      <x v="435"/>
    </i>
    <i r="1">
      <x v="436"/>
    </i>
    <i r="1">
      <x v="440"/>
    </i>
    <i r="1">
      <x v="441"/>
    </i>
    <i r="1">
      <x v="443"/>
    </i>
    <i r="1">
      <x v="449"/>
    </i>
    <i r="1">
      <x v="450"/>
    </i>
    <i r="1">
      <x v="457"/>
    </i>
    <i r="1">
      <x v="459"/>
    </i>
    <i r="1">
      <x v="460"/>
    </i>
    <i r="1">
      <x v="466"/>
    </i>
    <i r="1">
      <x v="467"/>
    </i>
    <i r="1">
      <x v="475"/>
    </i>
    <i r="1">
      <x v="476"/>
    </i>
    <i r="1">
      <x v="483"/>
    </i>
    <i r="1">
      <x v="489"/>
    </i>
    <i r="1">
      <x v="494"/>
    </i>
    <i r="1">
      <x v="495"/>
    </i>
    <i r="1">
      <x v="502"/>
    </i>
    <i r="1">
      <x v="507"/>
    </i>
    <i r="1">
      <x v="508"/>
    </i>
    <i r="1">
      <x v="512"/>
    </i>
    <i r="1">
      <x v="513"/>
    </i>
    <i r="1">
      <x v="524"/>
    </i>
    <i r="1">
      <x v="525"/>
    </i>
    <i r="1">
      <x v="528"/>
    </i>
    <i r="1">
      <x v="546"/>
    </i>
    <i r="1">
      <x v="547"/>
    </i>
    <i r="1">
      <x v="561"/>
    </i>
    <i r="1">
      <x v="574"/>
    </i>
    <i r="1">
      <x v="580"/>
    </i>
    <i r="1">
      <x v="582"/>
    </i>
    <i r="1">
      <x v="583"/>
    </i>
    <i r="1">
      <x v="592"/>
    </i>
    <i r="1">
      <x v="594"/>
    </i>
    <i r="1">
      <x v="595"/>
    </i>
    <i r="1">
      <x v="602"/>
    </i>
    <i r="1">
      <x v="603"/>
    </i>
    <i r="1">
      <x v="610"/>
    </i>
    <i r="1">
      <x v="611"/>
    </i>
    <i r="1">
      <x v="618"/>
    </i>
    <i r="1">
      <x v="619"/>
    </i>
    <i r="1">
      <x v="621"/>
    </i>
    <i r="1">
      <x v="622"/>
    </i>
    <i r="1">
      <x v="625"/>
    </i>
    <i r="1">
      <x v="626"/>
    </i>
    <i r="1">
      <x v="634"/>
    </i>
    <i r="1">
      <x v="635"/>
    </i>
    <i r="1">
      <x v="641"/>
    </i>
    <i r="1">
      <x v="642"/>
    </i>
    <i r="1">
      <x v="644"/>
    </i>
    <i r="1">
      <x v="645"/>
    </i>
    <i r="1">
      <x v="648"/>
    </i>
    <i r="1">
      <x v="649"/>
    </i>
    <i r="1">
      <x v="655"/>
    </i>
    <i r="1">
      <x v="656"/>
    </i>
    <i r="1">
      <x v="658"/>
    </i>
    <i r="1">
      <x v="659"/>
    </i>
    <i r="1">
      <x v="664"/>
    </i>
    <i r="1">
      <x v="665"/>
    </i>
    <i r="1">
      <x v="668"/>
    </i>
    <i r="1">
      <x v="670"/>
    </i>
    <i t="default">
      <x v="18"/>
    </i>
    <i>
      <x v="19"/>
      <x v="156"/>
    </i>
    <i t="default">
      <x v="19"/>
    </i>
    <i>
      <x v="20"/>
      <x v="157"/>
    </i>
    <i r="1">
      <x v="202"/>
    </i>
    <i r="1">
      <x v="208"/>
    </i>
    <i r="1">
      <x v="220"/>
    </i>
    <i r="1">
      <x v="227"/>
    </i>
    <i r="1">
      <x v="239"/>
    </i>
    <i r="1">
      <x v="251"/>
    </i>
    <i r="1">
      <x v="267"/>
    </i>
    <i r="1">
      <x v="276"/>
    </i>
    <i r="1">
      <x v="283"/>
    </i>
    <i r="1">
      <x v="290"/>
    </i>
    <i r="1">
      <x v="303"/>
    </i>
    <i r="1">
      <x v="313"/>
    </i>
    <i r="1">
      <x v="325"/>
    </i>
    <i r="1">
      <x v="329"/>
    </i>
    <i r="1">
      <x v="332"/>
    </i>
    <i r="1">
      <x v="339"/>
    </i>
    <i r="1">
      <x v="345"/>
    </i>
    <i r="1">
      <x v="353"/>
    </i>
    <i r="1">
      <x v="356"/>
    </i>
    <i r="1">
      <x v="364"/>
    </i>
    <i r="1">
      <x v="383"/>
    </i>
    <i r="1">
      <x v="386"/>
    </i>
    <i r="1">
      <x v="392"/>
    </i>
    <i r="1">
      <x v="399"/>
    </i>
    <i r="1">
      <x v="411"/>
    </i>
    <i r="1">
      <x v="421"/>
    </i>
    <i r="1">
      <x v="428"/>
    </i>
    <i r="1">
      <x v="438"/>
    </i>
    <i r="1">
      <x v="453"/>
    </i>
    <i r="1">
      <x v="463"/>
    </i>
    <i r="1">
      <x v="468"/>
    </i>
    <i r="1">
      <x v="482"/>
    </i>
    <i r="1">
      <x v="491"/>
    </i>
    <i r="1">
      <x v="496"/>
    </i>
    <i r="1">
      <x v="503"/>
    </i>
    <i r="1">
      <x v="520"/>
    </i>
    <i r="1">
      <x v="553"/>
    </i>
    <i r="1">
      <x v="559"/>
    </i>
    <i r="1">
      <x v="569"/>
    </i>
    <i r="1">
      <x v="572"/>
    </i>
    <i r="1">
      <x v="581"/>
    </i>
    <i r="1">
      <x v="615"/>
    </i>
    <i r="1">
      <x v="631"/>
    </i>
    <i r="1">
      <x v="663"/>
    </i>
    <i r="1">
      <x v="685"/>
    </i>
    <i r="1">
      <x v="700"/>
    </i>
    <i r="1">
      <x v="717"/>
    </i>
    <i r="1">
      <x v="727"/>
    </i>
    <i r="1">
      <x v="730"/>
    </i>
    <i r="1">
      <x v="739"/>
    </i>
    <i r="1">
      <x v="746"/>
    </i>
    <i r="1">
      <x v="757"/>
    </i>
    <i r="1">
      <x v="762"/>
    </i>
    <i r="1">
      <x v="767"/>
    </i>
    <i r="1">
      <x v="775"/>
    </i>
    <i r="1">
      <x v="802"/>
    </i>
    <i r="1">
      <x v="814"/>
    </i>
    <i r="1">
      <x v="840"/>
    </i>
    <i r="1">
      <x v="846"/>
    </i>
    <i r="1">
      <x v="854"/>
    </i>
    <i r="1">
      <x v="875"/>
    </i>
    <i r="1">
      <x v="876"/>
    </i>
    <i r="1">
      <x v="884"/>
    </i>
    <i t="default">
      <x v="20"/>
    </i>
    <i>
      <x v="21"/>
      <x v="209"/>
    </i>
    <i r="1">
      <x v="211"/>
    </i>
    <i r="1">
      <x v="213"/>
    </i>
    <i r="1">
      <x v="229"/>
    </i>
    <i r="1">
      <x v="236"/>
    </i>
    <i r="1">
      <x v="261"/>
    </i>
    <i r="1">
      <x v="278"/>
    </i>
    <i r="1">
      <x v="282"/>
    </i>
    <i r="1">
      <x v="333"/>
    </i>
    <i r="1">
      <x v="334"/>
    </i>
    <i r="1">
      <x v="362"/>
    </i>
    <i r="1">
      <x v="377"/>
    </i>
    <i r="1">
      <x v="382"/>
    </i>
    <i r="1">
      <x v="384"/>
    </i>
    <i r="1">
      <x v="390"/>
    </i>
    <i r="1">
      <x v="407"/>
    </i>
    <i r="1">
      <x v="412"/>
    </i>
    <i r="1">
      <x v="419"/>
    </i>
    <i r="1">
      <x v="423"/>
    </i>
    <i r="1">
      <x v="427"/>
    </i>
    <i r="1">
      <x v="437"/>
    </i>
    <i r="1">
      <x v="446"/>
    </i>
    <i r="1">
      <x v="477"/>
    </i>
    <i r="1">
      <x v="486"/>
    </i>
    <i r="1">
      <x v="493"/>
    </i>
    <i r="1">
      <x v="564"/>
    </i>
    <i r="1">
      <x v="646"/>
    </i>
    <i r="1">
      <x v="666"/>
    </i>
    <i r="1">
      <x v="671"/>
    </i>
    <i r="1">
      <x v="676"/>
    </i>
    <i r="1">
      <x v="731"/>
    </i>
    <i r="1">
      <x v="732"/>
    </i>
    <i r="1">
      <x v="749"/>
    </i>
    <i r="1">
      <x v="750"/>
    </i>
    <i t="default">
      <x v="21"/>
    </i>
    <i>
      <x v="22"/>
      <x v="226"/>
    </i>
    <i r="1">
      <x v="242"/>
    </i>
    <i r="1">
      <x v="249"/>
    </i>
    <i r="1">
      <x v="254"/>
    </i>
    <i r="1">
      <x v="257"/>
    </i>
    <i r="1">
      <x v="285"/>
    </i>
    <i r="1">
      <x v="397"/>
    </i>
    <i r="1">
      <x v="400"/>
    </i>
    <i r="1">
      <x v="404"/>
    </i>
    <i r="1">
      <x v="408"/>
    </i>
    <i r="1">
      <x v="536"/>
    </i>
    <i t="default">
      <x v="22"/>
    </i>
    <i>
      <x v="23"/>
      <x v="244"/>
    </i>
    <i r="1">
      <x v="246"/>
    </i>
    <i t="default">
      <x v="23"/>
    </i>
    <i>
      <x v="24"/>
      <x v="235"/>
    </i>
    <i r="1">
      <x v="237"/>
    </i>
    <i r="1">
      <x v="240"/>
    </i>
    <i r="1">
      <x v="262"/>
    </i>
    <i t="default">
      <x v="24"/>
    </i>
    <i>
      <x v="25"/>
      <x v="269"/>
    </i>
    <i r="1">
      <x v="308"/>
    </i>
    <i r="1">
      <x v="347"/>
    </i>
    <i r="1">
      <x v="387"/>
    </i>
    <i r="1">
      <x v="471"/>
    </i>
    <i r="1">
      <x v="754"/>
    </i>
    <i r="1">
      <x v="756"/>
    </i>
    <i r="1">
      <x v="797"/>
    </i>
    <i r="1">
      <x v="805"/>
    </i>
    <i r="1">
      <x v="812"/>
    </i>
    <i r="1">
      <x v="822"/>
    </i>
    <i r="1">
      <x v="865"/>
    </i>
    <i r="1">
      <x v="945"/>
    </i>
    <i t="default">
      <x v="25"/>
    </i>
    <i>
      <x v="26"/>
      <x v="297"/>
    </i>
    <i r="1">
      <x v="305"/>
    </i>
    <i r="1">
      <x v="314"/>
    </i>
    <i r="1">
      <x v="318"/>
    </i>
    <i r="1">
      <x v="335"/>
    </i>
    <i r="1">
      <x v="366"/>
    </i>
    <i r="1">
      <x v="442"/>
    </i>
    <i r="1">
      <x v="480"/>
    </i>
    <i r="1">
      <x v="509"/>
    </i>
    <i r="1">
      <x v="565"/>
    </i>
    <i r="1">
      <x v="718"/>
    </i>
    <i r="1">
      <x v="892"/>
    </i>
    <i r="1">
      <x v="909"/>
    </i>
    <i r="1">
      <x v="930"/>
    </i>
    <i r="1">
      <x v="958"/>
    </i>
    <i t="default">
      <x v="26"/>
    </i>
    <i>
      <x v="27"/>
      <x v="323"/>
    </i>
    <i r="1">
      <x v="336"/>
    </i>
    <i r="1">
      <x v="409"/>
    </i>
    <i t="default">
      <x v="27"/>
    </i>
    <i>
      <x v="28"/>
      <x v="310"/>
    </i>
    <i r="1">
      <x v="681"/>
    </i>
    <i t="default">
      <x v="28"/>
    </i>
    <i>
      <x v="29"/>
      <x v="361"/>
    </i>
    <i r="1">
      <x v="370"/>
    </i>
    <i r="1">
      <x v="376"/>
    </i>
    <i t="default">
      <x v="29"/>
    </i>
    <i>
      <x v="30"/>
      <x v="363"/>
    </i>
    <i t="default">
      <x v="30"/>
    </i>
    <i>
      <x v="31"/>
      <x v="374"/>
    </i>
    <i t="default">
      <x v="31"/>
    </i>
    <i>
      <x v="32"/>
      <x v="375"/>
    </i>
    <i t="default">
      <x v="32"/>
    </i>
    <i>
      <x v="33"/>
      <x v="417"/>
    </i>
    <i r="1">
      <x v="420"/>
    </i>
    <i r="1">
      <x v="424"/>
    </i>
    <i r="1">
      <x v="469"/>
    </i>
    <i r="1">
      <x v="470"/>
    </i>
    <i r="1">
      <x v="473"/>
    </i>
    <i r="1">
      <x v="474"/>
    </i>
    <i r="1">
      <x v="478"/>
    </i>
    <i r="1">
      <x v="488"/>
    </i>
    <i r="1">
      <x v="506"/>
    </i>
    <i r="1">
      <x v="510"/>
    </i>
    <i r="1">
      <x v="522"/>
    </i>
    <i r="1">
      <x v="523"/>
    </i>
    <i r="1">
      <x v="531"/>
    </i>
    <i r="1">
      <x v="534"/>
    </i>
    <i r="1">
      <x v="540"/>
    </i>
    <i r="1">
      <x v="541"/>
    </i>
    <i r="1">
      <x v="545"/>
    </i>
    <i r="1">
      <x v="550"/>
    </i>
    <i r="1">
      <x v="551"/>
    </i>
    <i r="1">
      <x v="554"/>
    </i>
    <i r="1">
      <x v="558"/>
    </i>
    <i r="1">
      <x v="562"/>
    </i>
    <i r="1">
      <x v="563"/>
    </i>
    <i r="1">
      <x v="568"/>
    </i>
    <i r="1">
      <x v="571"/>
    </i>
    <i r="1">
      <x v="578"/>
    </i>
    <i r="1">
      <x v="586"/>
    </i>
    <i r="1">
      <x v="596"/>
    </i>
    <i r="1">
      <x v="599"/>
    </i>
    <i r="1">
      <x v="604"/>
    </i>
    <i r="1">
      <x v="613"/>
    </i>
    <i r="1">
      <x v="614"/>
    </i>
    <i r="1">
      <x v="617"/>
    </i>
    <i r="1">
      <x v="623"/>
    </i>
    <i r="1">
      <x v="628"/>
    </i>
    <i r="1">
      <x v="638"/>
    </i>
    <i r="1">
      <x v="653"/>
    </i>
    <i r="1">
      <x v="657"/>
    </i>
    <i r="1">
      <x v="673"/>
    </i>
    <i r="1">
      <x v="689"/>
    </i>
    <i r="1">
      <x v="697"/>
    </i>
    <i t="default">
      <x v="33"/>
    </i>
    <i>
      <x v="34"/>
      <x v="67"/>
    </i>
    <i r="1">
      <x v="69"/>
    </i>
    <i r="1">
      <x v="71"/>
    </i>
    <i r="1">
      <x v="78"/>
    </i>
    <i r="1">
      <x v="88"/>
    </i>
    <i r="1">
      <x v="130"/>
    </i>
    <i r="1">
      <x v="167"/>
    </i>
    <i r="1">
      <x v="498"/>
    </i>
    <i r="1">
      <x v="521"/>
    </i>
    <i r="1">
      <x v="548"/>
    </i>
    <i r="1">
      <x v="557"/>
    </i>
    <i r="1">
      <x v="585"/>
    </i>
    <i r="1">
      <x v="624"/>
    </i>
    <i r="1">
      <x v="647"/>
    </i>
    <i r="1">
      <x v="661"/>
    </i>
    <i r="1">
      <x v="694"/>
    </i>
    <i t="default">
      <x v="34"/>
    </i>
    <i>
      <x v="35"/>
      <x v="111"/>
    </i>
    <i t="default">
      <x v="35"/>
    </i>
    <i>
      <x v="36"/>
      <x v="433"/>
    </i>
    <i r="1">
      <x v="479"/>
    </i>
    <i t="default">
      <x v="36"/>
    </i>
    <i>
      <x v="37"/>
      <x v="448"/>
    </i>
    <i r="1">
      <x v="452"/>
    </i>
    <i t="default">
      <x v="37"/>
    </i>
    <i>
      <x v="38"/>
      <x v="451"/>
    </i>
    <i r="1">
      <x v="465"/>
    </i>
    <i r="1">
      <x v="472"/>
    </i>
    <i r="1">
      <x v="492"/>
    </i>
    <i r="1">
      <x v="505"/>
    </i>
    <i r="1">
      <x v="517"/>
    </i>
    <i r="1">
      <x v="549"/>
    </i>
    <i r="1">
      <x v="552"/>
    </i>
    <i r="1">
      <x v="570"/>
    </i>
    <i r="1">
      <x v="577"/>
    </i>
    <i r="1">
      <x v="597"/>
    </i>
    <i r="1">
      <x v="609"/>
    </i>
    <i r="1">
      <x v="650"/>
    </i>
    <i r="1">
      <x v="692"/>
    </i>
    <i r="1">
      <x v="751"/>
    </i>
    <i r="1">
      <x v="789"/>
    </i>
    <i r="1">
      <x v="834"/>
    </i>
    <i r="1">
      <x v="866"/>
    </i>
    <i r="1">
      <x v="891"/>
    </i>
    <i r="1">
      <x v="934"/>
    </i>
    <i t="default">
      <x v="38"/>
    </i>
    <i>
      <x v="39"/>
      <x v="490"/>
    </i>
    <i r="1">
      <x v="519"/>
    </i>
    <i r="1">
      <x v="527"/>
    </i>
    <i r="1">
      <x v="533"/>
    </i>
    <i r="1">
      <x v="544"/>
    </i>
    <i r="1">
      <x v="579"/>
    </i>
    <i t="default">
      <x v="39"/>
    </i>
    <i>
      <x v="40"/>
      <x v="539"/>
    </i>
    <i r="1">
      <x v="600"/>
    </i>
    <i t="default">
      <x v="40"/>
    </i>
    <i>
      <x v="41"/>
      <x v="636"/>
    </i>
    <i t="default">
      <x v="41"/>
    </i>
    <i>
      <x v="42"/>
      <x v="637"/>
    </i>
    <i r="1">
      <x v="725"/>
    </i>
    <i r="1">
      <x v="857"/>
    </i>
    <i t="default">
      <x v="42"/>
    </i>
    <i>
      <x v="43"/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1"/>
    </i>
    <i r="1">
      <x v="693"/>
    </i>
    <i r="1">
      <x v="698"/>
    </i>
    <i r="1">
      <x v="699"/>
    </i>
    <i r="1">
      <x v="702"/>
    </i>
    <i r="1">
      <x v="703"/>
    </i>
    <i r="1">
      <x v="704"/>
    </i>
    <i r="1">
      <x v="709"/>
    </i>
    <i r="1">
      <x v="710"/>
    </i>
    <i r="1">
      <x v="712"/>
    </i>
    <i r="1">
      <x v="713"/>
    </i>
    <i r="1">
      <x v="715"/>
    </i>
    <i r="1">
      <x v="716"/>
    </i>
    <i r="1">
      <x v="719"/>
    </i>
    <i r="1">
      <x v="720"/>
    </i>
    <i r="1">
      <x v="723"/>
    </i>
    <i r="1">
      <x v="724"/>
    </i>
    <i r="1">
      <x v="728"/>
    </i>
    <i r="1">
      <x v="729"/>
    </i>
    <i r="1">
      <x v="734"/>
    </i>
    <i r="1">
      <x v="735"/>
    </i>
    <i r="1">
      <x v="737"/>
    </i>
    <i r="1">
      <x v="738"/>
    </i>
    <i r="1">
      <x v="744"/>
    </i>
    <i r="1">
      <x v="745"/>
    </i>
    <i r="1">
      <x v="752"/>
    </i>
    <i r="1">
      <x v="753"/>
    </i>
    <i r="1">
      <x v="758"/>
    </i>
    <i r="1">
      <x v="759"/>
    </i>
    <i r="1">
      <x v="760"/>
    </i>
    <i r="1">
      <x v="761"/>
    </i>
    <i r="1">
      <x v="772"/>
    </i>
    <i r="1">
      <x v="773"/>
    </i>
    <i r="1">
      <x v="779"/>
    </i>
    <i r="1">
      <x v="780"/>
    </i>
    <i r="1">
      <x v="784"/>
    </i>
    <i r="1">
      <x v="785"/>
    </i>
    <i r="1">
      <x v="786"/>
    </i>
    <i r="1">
      <x v="787"/>
    </i>
    <i r="1">
      <x v="791"/>
    </i>
    <i r="1">
      <x v="792"/>
    </i>
    <i r="1">
      <x v="793"/>
    </i>
    <i r="1">
      <x v="795"/>
    </i>
    <i r="1">
      <x v="796"/>
    </i>
    <i r="1">
      <x v="803"/>
    </i>
    <i r="1">
      <x v="804"/>
    </i>
    <i r="1">
      <x v="810"/>
    </i>
    <i r="1">
      <x v="811"/>
    </i>
    <i r="1">
      <x v="813"/>
    </i>
    <i r="1">
      <x v="817"/>
    </i>
    <i r="1">
      <x v="818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8"/>
    </i>
    <i r="1">
      <x v="839"/>
    </i>
    <i r="1">
      <x v="847"/>
    </i>
    <i r="1">
      <x v="849"/>
    </i>
    <i r="1">
      <x v="850"/>
    </i>
    <i r="1">
      <x v="859"/>
    </i>
    <i r="1">
      <x v="860"/>
    </i>
    <i r="1">
      <x v="863"/>
    </i>
    <i r="1">
      <x v="864"/>
    </i>
    <i r="1">
      <x v="868"/>
    </i>
    <i r="1">
      <x v="869"/>
    </i>
    <i r="1">
      <x v="872"/>
    </i>
    <i r="1">
      <x v="873"/>
    </i>
    <i r="1">
      <x v="874"/>
    </i>
    <i r="1">
      <x v="881"/>
    </i>
    <i r="1">
      <x v="882"/>
    </i>
    <i r="1">
      <x v="888"/>
    </i>
    <i r="1">
      <x v="889"/>
    </i>
    <i r="1">
      <x v="893"/>
    </i>
    <i r="1">
      <x v="894"/>
    </i>
    <i r="1">
      <x v="895"/>
    </i>
    <i r="1">
      <x v="896"/>
    </i>
    <i r="1">
      <x v="904"/>
    </i>
    <i r="1">
      <x v="905"/>
    </i>
    <i r="1">
      <x v="916"/>
    </i>
    <i r="1">
      <x v="917"/>
    </i>
    <i r="1">
      <x v="927"/>
    </i>
    <i r="1">
      <x v="928"/>
    </i>
    <i r="1">
      <x v="931"/>
    </i>
    <i r="1">
      <x v="935"/>
    </i>
    <i r="1">
      <x v="943"/>
    </i>
    <i r="1">
      <x v="944"/>
    </i>
    <i r="1">
      <x v="949"/>
    </i>
    <i r="1">
      <x v="953"/>
    </i>
    <i r="1">
      <x v="954"/>
    </i>
    <i r="1">
      <x v="956"/>
    </i>
    <i r="1">
      <x v="957"/>
    </i>
    <i r="1">
      <x v="962"/>
    </i>
    <i r="1">
      <x v="963"/>
    </i>
    <i t="default">
      <x v="43"/>
    </i>
    <i>
      <x v="44"/>
      <x v="740"/>
    </i>
    <i r="1">
      <x v="741"/>
    </i>
    <i r="1">
      <x v="755"/>
    </i>
    <i r="1">
      <x v="768"/>
    </i>
    <i r="1">
      <x v="816"/>
    </i>
    <i t="default">
      <x v="44"/>
    </i>
    <i>
      <x v="45"/>
      <x v="684"/>
    </i>
    <i r="1">
      <x v="695"/>
    </i>
    <i r="1">
      <x v="941"/>
    </i>
    <i t="default">
      <x v="45"/>
    </i>
    <i>
      <x v="46"/>
      <x v="743"/>
    </i>
    <i r="1">
      <x v="770"/>
    </i>
    <i r="1">
      <x v="782"/>
    </i>
    <i r="1">
      <x v="807"/>
    </i>
    <i r="1">
      <x v="820"/>
    </i>
    <i r="1">
      <x v="836"/>
    </i>
    <i r="1">
      <x v="842"/>
    </i>
    <i r="1">
      <x v="855"/>
    </i>
    <i r="1">
      <x v="880"/>
    </i>
    <i r="1">
      <x v="908"/>
    </i>
    <i r="1">
      <x v="914"/>
    </i>
    <i r="1">
      <x v="937"/>
    </i>
    <i t="default">
      <x v="46"/>
    </i>
    <i>
      <x v="47"/>
      <x v="766"/>
    </i>
    <i t="default">
      <x v="47"/>
    </i>
    <i>
      <x v="48"/>
      <x v="777"/>
    </i>
    <i r="1">
      <x v="781"/>
    </i>
    <i r="1">
      <x v="783"/>
    </i>
    <i r="1">
      <x v="790"/>
    </i>
    <i r="1">
      <x v="798"/>
    </i>
    <i r="1">
      <x v="879"/>
    </i>
    <i r="1">
      <x v="887"/>
    </i>
    <i t="default">
      <x v="48"/>
    </i>
    <i>
      <x v="49"/>
      <x v="806"/>
    </i>
    <i t="default">
      <x v="49"/>
    </i>
    <i>
      <x v="50"/>
      <x v="828"/>
    </i>
    <i t="default">
      <x v="50"/>
    </i>
    <i>
      <x v="51"/>
      <x v="897"/>
    </i>
    <i r="1">
      <x v="911"/>
    </i>
    <i r="1">
      <x v="915"/>
    </i>
    <i r="1">
      <x v="929"/>
    </i>
    <i r="1">
      <x v="932"/>
    </i>
    <i r="1">
      <x v="942"/>
    </i>
    <i r="1">
      <x v="947"/>
    </i>
    <i r="1">
      <x v="948"/>
    </i>
    <i r="1">
      <x v="950"/>
    </i>
    <i r="1">
      <x v="952"/>
    </i>
    <i r="1">
      <x v="955"/>
    </i>
    <i t="default">
      <x v="51"/>
    </i>
    <i>
      <x v="52"/>
      <x v="898"/>
    </i>
    <i r="1">
      <x v="919"/>
    </i>
    <i r="1">
      <x v="924"/>
    </i>
    <i r="1">
      <x v="933"/>
    </i>
    <i r="1">
      <x v="938"/>
    </i>
    <i t="default">
      <x v="52"/>
    </i>
    <i>
      <x v="54"/>
      <x v="906"/>
    </i>
    <i t="default">
      <x v="54"/>
    </i>
    <i>
      <x v="55"/>
      <x v="920"/>
    </i>
    <i t="default">
      <x v="55"/>
    </i>
    <i>
      <x v="56"/>
      <x v="903"/>
    </i>
    <i t="default">
      <x v="56"/>
    </i>
    <i t="grand">
      <x/>
    </i>
  </rowItems>
  <colFields count="2">
    <field x="2"/>
    <field x="1"/>
  </colFields>
  <colItems count="57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Sales Amount" fld="13" baseField="2" baseItem="37" numFmtId="4"/>
  </dataFields>
  <formats count="5">
    <format dxfId="16">
      <pivotArea dataOnly="0" outline="0" fieldPosition="0">
        <references count="1">
          <reference field="1" count="0" defaultSubtotal="1"/>
        </references>
      </pivotArea>
    </format>
    <format dxfId="15">
      <pivotArea dataOnly="0" outline="0" fieldPosition="0">
        <references count="1">
          <reference field="5" count="0" defaultSubtotal="1"/>
        </references>
      </pivotArea>
    </format>
    <format dxfId="14">
      <pivotArea dataOnly="0" outline="0" fieldPosition="0">
        <references count="1">
          <reference field="5" count="0" defaultSubtotal="1"/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B32" firstHeaderRow="2" firstDataRow="2" firstDataCol="1" rowPageCount="2" colPageCount="1"/>
  <pivotFields count="20">
    <pivotField compact="0" numFmtId="14" outline="0" showAll="0"/>
    <pivotField axis="axisPage" compact="0" outline="0" multipleItemSelectionAllowed="1" showAll="0">
      <items count="13">
        <item h="1" x="1"/>
        <item h="1" x="2"/>
        <item h="1" x="3"/>
        <item x="4"/>
        <item h="1" x="5"/>
        <item h="1" x="6"/>
        <item h="1" x="0"/>
        <item h="1" x="7"/>
        <item h="1" x="8"/>
        <item h="1" x="9"/>
        <item h="1" x="10"/>
        <item h="1"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outline="0" showAll="0">
      <items count="378">
        <item x="23"/>
        <item x="20"/>
        <item x="17"/>
        <item x="14"/>
        <item x="4"/>
        <item x="16"/>
        <item x="9"/>
        <item x="10"/>
        <item x="1"/>
        <item x="26"/>
        <item x="5"/>
        <item x="11"/>
        <item x="2"/>
        <item x="22"/>
        <item x="25"/>
        <item x="18"/>
        <item x="7"/>
        <item x="13"/>
        <item x="27"/>
        <item x="21"/>
        <item x="19"/>
        <item x="15"/>
        <item x="0"/>
        <item x="6"/>
        <item x="12"/>
        <item x="3"/>
        <item x="24"/>
        <item x="8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38"/>
        <item x="43"/>
        <item x="44"/>
        <item x="52"/>
        <item x="53"/>
        <item x="54"/>
        <item x="55"/>
        <item x="56"/>
        <item x="45"/>
        <item x="46"/>
        <item x="47"/>
        <item x="49"/>
        <item x="50"/>
        <item x="48"/>
        <item x="51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67"/>
        <item x="74"/>
        <item x="76"/>
        <item x="77"/>
        <item x="78"/>
        <item x="79"/>
        <item x="80"/>
        <item x="81"/>
        <item x="82"/>
        <item x="75"/>
        <item x="83"/>
        <item x="84"/>
        <item x="85"/>
        <item x="87"/>
        <item x="88"/>
        <item x="89"/>
        <item x="90"/>
        <item x="91"/>
        <item x="92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37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06"/>
        <item x="324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7">
    <i>
      <x v="4"/>
    </i>
    <i>
      <x v="16"/>
    </i>
    <i>
      <x v="45"/>
    </i>
    <i>
      <x v="55"/>
    </i>
    <i>
      <x v="118"/>
    </i>
    <i>
      <x v="141"/>
    </i>
    <i>
      <x v="151"/>
    </i>
    <i>
      <x v="159"/>
    </i>
    <i>
      <x v="171"/>
    </i>
    <i>
      <x v="188"/>
    </i>
    <i>
      <x v="223"/>
    </i>
    <i>
      <x v="226"/>
    </i>
    <i>
      <x v="244"/>
    </i>
    <i>
      <x v="247"/>
    </i>
    <i>
      <x v="260"/>
    </i>
    <i>
      <x v="268"/>
    </i>
    <i>
      <x v="275"/>
    </i>
    <i>
      <x v="302"/>
    </i>
    <i>
      <x v="317"/>
    </i>
    <i>
      <x v="318"/>
    </i>
    <i>
      <x v="349"/>
    </i>
    <i>
      <x v="352"/>
    </i>
    <i>
      <x v="356"/>
    </i>
    <i>
      <x v="369"/>
    </i>
    <i>
      <x v="373"/>
    </i>
    <i>
      <x v="376"/>
    </i>
    <i t="grand">
      <x/>
    </i>
  </rowItems>
  <colItems count="1">
    <i/>
  </colItems>
  <pageFields count="2">
    <pageField fld="2" hier="-1"/>
    <pageField fld="1" hier="-1"/>
  </pageFields>
  <dataFields count="1">
    <dataField name="Sum of Qty" fld="7" baseField="6" baseItem="70"/>
  </dataFields>
  <formats count="2">
    <format dxfId="7">
      <pivotArea dataOnly="0" labelOnly="1" grandCol="1" outline="0" fieldPosition="0"/>
    </format>
    <format dxfId="6">
      <pivotArea field="1" type="button" dataOnly="0" labelOnly="1" outline="0" axis="axisPage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G38" firstHeaderRow="1" firstDataRow="2" firstDataCol="4"/>
  <pivotFields count="20">
    <pivotField compact="0" numFmtId="14" outline="0" showAll="0"/>
    <pivotField axis="axisRow" compact="0" outline="0" showAll="0" sortType="ascending">
      <items count="13">
        <item h="1" x="7"/>
        <item h="1" x="8"/>
        <item h="1" x="9"/>
        <item h="1" x="10"/>
        <item h="1" x="11"/>
        <item h="1" x="1"/>
        <item h="1" x="2"/>
        <item x="3"/>
        <item h="1" x="4"/>
        <item h="1" x="5"/>
        <item h="1" x="6"/>
        <item h="1" x="0"/>
        <item t="default"/>
      </items>
    </pivotField>
    <pivotField axis="axisRow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2"/>
    <field x="1"/>
    <field x="3"/>
    <field x="5"/>
  </rowFields>
  <rowItems count="34">
    <i>
      <x v="5"/>
      <x v="7"/>
      <x v="934"/>
      <x v="38"/>
    </i>
    <i r="2">
      <x v="935"/>
      <x v="43"/>
    </i>
    <i r="2">
      <x v="936"/>
      <x v="7"/>
    </i>
    <i r="2">
      <x v="937"/>
      <x v="46"/>
    </i>
    <i r="2">
      <x v="938"/>
      <x v="52"/>
    </i>
    <i r="2">
      <x v="939"/>
      <x v="11"/>
    </i>
    <i r="2">
      <x v="940"/>
      <x v="17"/>
    </i>
    <i r="2">
      <x v="941"/>
      <x v="45"/>
    </i>
    <i r="2">
      <x v="942"/>
      <x v="51"/>
    </i>
    <i r="2">
      <x v="943"/>
      <x v="43"/>
    </i>
    <i r="2">
      <x v="944"/>
      <x v="43"/>
    </i>
    <i r="2">
      <x v="945"/>
      <x v="25"/>
    </i>
    <i r="2">
      <x v="946"/>
      <x v="6"/>
    </i>
    <i r="2">
      <x v="947"/>
      <x v="51"/>
    </i>
    <i r="2">
      <x v="948"/>
      <x v="51"/>
    </i>
    <i r="2">
      <x v="949"/>
      <x v="43"/>
    </i>
    <i r="2">
      <x v="950"/>
      <x v="51"/>
    </i>
    <i r="2">
      <x v="951"/>
      <x v="17"/>
    </i>
    <i r="2">
      <x v="952"/>
      <x v="51"/>
    </i>
    <i r="2">
      <x v="953"/>
      <x v="43"/>
    </i>
    <i r="2">
      <x v="954"/>
      <x v="43"/>
    </i>
    <i r="2">
      <x v="955"/>
      <x v="51"/>
    </i>
    <i r="2">
      <x v="956"/>
      <x v="43"/>
    </i>
    <i r="2">
      <x v="957"/>
      <x v="43"/>
    </i>
    <i r="2">
      <x v="958"/>
      <x v="26"/>
    </i>
    <i r="2">
      <x v="959"/>
      <x v="11"/>
    </i>
    <i r="2">
      <x v="960"/>
      <x v="13"/>
    </i>
    <i r="2">
      <x v="961"/>
      <x v="17"/>
    </i>
    <i r="2">
      <x v="962"/>
      <x v="43"/>
    </i>
    <i r="2">
      <x v="963"/>
      <x v="43"/>
    </i>
    <i r="2">
      <x v="964"/>
      <x v="11"/>
    </i>
    <i t="default" r="1">
      <x v="7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6">
    <format dxfId="5">
      <pivotArea dataOnly="0" outline="0" fieldPosition="0">
        <references count="1">
          <reference field="1" count="0" defaultSubtotal="1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2" count="1" defaultSubtotal="1">
            <x v="0"/>
          </reference>
        </references>
      </pivotArea>
    </format>
    <format dxfId="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4BEB35"/>
  </sheetPr>
  <dimension ref="A3:AL69"/>
  <sheetViews>
    <sheetView workbookViewId="0">
      <selection activeCell="E10" sqref="E10"/>
    </sheetView>
  </sheetViews>
  <sheetFormatPr defaultRowHeight="14.4" x14ac:dyDescent="0.3"/>
  <cols>
    <col min="1" max="1" width="35.21875" customWidth="1"/>
    <col min="2" max="2" width="14.6640625" customWidth="1"/>
    <col min="3" max="3" width="13.44140625" bestFit="1" customWidth="1"/>
    <col min="4" max="15" width="14.44140625" bestFit="1" customWidth="1"/>
    <col min="16" max="16" width="9.88671875" bestFit="1" customWidth="1"/>
    <col min="17" max="17" width="10.77734375" bestFit="1" customWidth="1"/>
    <col min="18" max="25" width="1.6640625" customWidth="1"/>
    <col min="26" max="26" width="12.77734375" bestFit="1" customWidth="1"/>
    <col min="27" max="27" width="14.5546875" customWidth="1"/>
    <col min="28" max="28" width="13.44140625" bestFit="1" customWidth="1"/>
    <col min="29" max="36" width="14.44140625" bestFit="1" customWidth="1"/>
    <col min="37" max="37" width="9.88671875" bestFit="1" customWidth="1"/>
    <col min="38" max="38" width="10.77734375" bestFit="1" customWidth="1"/>
    <col min="39" max="39" width="9.88671875" bestFit="1" customWidth="1"/>
    <col min="40" max="40" width="10.77734375" bestFit="1" customWidth="1"/>
  </cols>
  <sheetData>
    <row r="3" spans="1:38" x14ac:dyDescent="0.3">
      <c r="A3" s="14" t="s">
        <v>198</v>
      </c>
      <c r="D3" s="14" t="s">
        <v>225</v>
      </c>
      <c r="E3" s="26" t="s">
        <v>162</v>
      </c>
      <c r="Z3" s="14" t="s">
        <v>198</v>
      </c>
      <c r="AC3" s="14" t="s">
        <v>225</v>
      </c>
      <c r="AD3" s="26" t="s">
        <v>162</v>
      </c>
    </row>
    <row r="4" spans="1:38" x14ac:dyDescent="0.3">
      <c r="D4">
        <v>2022</v>
      </c>
      <c r="P4" t="s">
        <v>584</v>
      </c>
      <c r="Q4" t="s">
        <v>131</v>
      </c>
      <c r="AC4">
        <v>2022</v>
      </c>
      <c r="AK4" t="s">
        <v>584</v>
      </c>
      <c r="AL4" t="s">
        <v>131</v>
      </c>
    </row>
    <row r="5" spans="1:38" x14ac:dyDescent="0.3">
      <c r="A5" s="14" t="s">
        <v>1</v>
      </c>
      <c r="B5" s="14" t="s">
        <v>2</v>
      </c>
      <c r="C5" s="14" t="s">
        <v>3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  <c r="Z5" s="14" t="s">
        <v>1</v>
      </c>
      <c r="AA5" s="14" t="s">
        <v>2</v>
      </c>
      <c r="AB5" s="14" t="s">
        <v>3</v>
      </c>
      <c r="AC5">
        <v>6</v>
      </c>
      <c r="AD5">
        <v>7</v>
      </c>
      <c r="AE5">
        <v>8</v>
      </c>
      <c r="AF5">
        <v>1</v>
      </c>
      <c r="AG5">
        <v>2</v>
      </c>
      <c r="AH5">
        <v>3</v>
      </c>
      <c r="AI5">
        <v>4</v>
      </c>
      <c r="AJ5">
        <v>5</v>
      </c>
    </row>
    <row r="6" spans="1:38" x14ac:dyDescent="0.3">
      <c r="A6" t="s">
        <v>409</v>
      </c>
      <c r="B6" t="s">
        <v>546</v>
      </c>
      <c r="C6" s="57">
        <v>44564</v>
      </c>
      <c r="D6" s="18"/>
      <c r="E6" s="18"/>
      <c r="F6" s="18"/>
      <c r="G6" s="18"/>
      <c r="H6" s="18"/>
      <c r="I6" s="18"/>
      <c r="J6" s="18"/>
      <c r="K6" s="18">
        <v>8273</v>
      </c>
      <c r="L6" s="18"/>
      <c r="M6" s="18"/>
      <c r="N6" s="18"/>
      <c r="O6" s="18"/>
      <c r="P6" s="18">
        <v>8273</v>
      </c>
      <c r="Q6" s="18">
        <v>8273</v>
      </c>
      <c r="R6" s="18"/>
      <c r="S6" s="18"/>
      <c r="T6" s="18"/>
      <c r="U6" s="18"/>
      <c r="V6" s="18"/>
      <c r="W6" s="18"/>
      <c r="X6" s="18"/>
      <c r="Z6" t="s">
        <v>62</v>
      </c>
      <c r="AA6" t="s">
        <v>552</v>
      </c>
      <c r="AB6" s="57">
        <v>44572</v>
      </c>
      <c r="AC6" s="18"/>
      <c r="AD6" s="18"/>
      <c r="AE6" s="18"/>
      <c r="AF6" s="18">
        <v>15346</v>
      </c>
      <c r="AG6" s="18"/>
      <c r="AH6" s="18"/>
      <c r="AI6" s="18"/>
      <c r="AJ6" s="18"/>
      <c r="AK6" s="18">
        <v>15346</v>
      </c>
      <c r="AL6" s="18">
        <v>15346</v>
      </c>
    </row>
    <row r="7" spans="1:38" x14ac:dyDescent="0.3">
      <c r="B7" t="s">
        <v>548</v>
      </c>
      <c r="C7" s="57">
        <v>44568</v>
      </c>
      <c r="D7" s="18"/>
      <c r="E7" s="18"/>
      <c r="F7" s="18"/>
      <c r="G7" s="18"/>
      <c r="H7" s="18"/>
      <c r="I7" s="18"/>
      <c r="J7" s="18"/>
      <c r="K7" s="18">
        <v>1233</v>
      </c>
      <c r="L7" s="18"/>
      <c r="M7" s="18"/>
      <c r="N7" s="18"/>
      <c r="O7" s="18"/>
      <c r="P7" s="18">
        <v>1233</v>
      </c>
      <c r="Q7" s="18">
        <v>1233</v>
      </c>
      <c r="R7" s="18"/>
      <c r="S7" s="18"/>
      <c r="T7" s="18"/>
      <c r="U7" s="18"/>
      <c r="V7" s="18"/>
      <c r="W7" s="18"/>
      <c r="X7" s="18"/>
      <c r="AA7" t="s">
        <v>567</v>
      </c>
      <c r="AB7" s="57">
        <v>44585</v>
      </c>
      <c r="AC7" s="18"/>
      <c r="AD7" s="18"/>
      <c r="AE7" s="18"/>
      <c r="AF7" s="18">
        <v>13474</v>
      </c>
      <c r="AG7" s="18"/>
      <c r="AH7" s="18"/>
      <c r="AI7" s="18"/>
      <c r="AJ7" s="18"/>
      <c r="AK7" s="18">
        <v>13474</v>
      </c>
      <c r="AL7" s="18">
        <v>13474</v>
      </c>
    </row>
    <row r="8" spans="1:38" x14ac:dyDescent="0.3">
      <c r="B8" t="s">
        <v>549</v>
      </c>
      <c r="C8" s="57">
        <v>44569</v>
      </c>
      <c r="D8" s="18"/>
      <c r="E8" s="18"/>
      <c r="F8" s="18"/>
      <c r="G8" s="18"/>
      <c r="H8" s="18"/>
      <c r="I8" s="18"/>
      <c r="J8" s="18"/>
      <c r="K8" s="18">
        <v>7377</v>
      </c>
      <c r="L8" s="18"/>
      <c r="M8" s="18"/>
      <c r="N8" s="18"/>
      <c r="O8" s="18"/>
      <c r="P8" s="18">
        <v>7377</v>
      </c>
      <c r="Q8" s="18">
        <v>7377</v>
      </c>
      <c r="R8" s="18"/>
      <c r="S8" s="18"/>
      <c r="T8" s="18"/>
      <c r="U8" s="18"/>
      <c r="V8" s="18"/>
      <c r="W8" s="18"/>
      <c r="X8" s="18"/>
      <c r="AA8" t="s">
        <v>603</v>
      </c>
      <c r="AB8" s="57">
        <v>44609</v>
      </c>
      <c r="AC8" s="18"/>
      <c r="AD8" s="18"/>
      <c r="AE8" s="18"/>
      <c r="AF8" s="18"/>
      <c r="AG8" s="18">
        <v>14395</v>
      </c>
      <c r="AH8" s="18"/>
      <c r="AI8" s="18"/>
      <c r="AJ8" s="18"/>
      <c r="AK8" s="18">
        <v>14395</v>
      </c>
      <c r="AL8" s="18">
        <v>14395</v>
      </c>
    </row>
    <row r="9" spans="1:38" x14ac:dyDescent="0.3">
      <c r="B9" t="s">
        <v>558</v>
      </c>
      <c r="C9" s="57">
        <v>44574</v>
      </c>
      <c r="D9" s="18"/>
      <c r="E9" s="18"/>
      <c r="F9" s="18"/>
      <c r="G9" s="18"/>
      <c r="H9" s="18"/>
      <c r="I9" s="18"/>
      <c r="J9" s="18"/>
      <c r="K9" s="18">
        <v>28549</v>
      </c>
      <c r="L9" s="18"/>
      <c r="M9" s="18"/>
      <c r="N9" s="18"/>
      <c r="O9" s="18"/>
      <c r="P9" s="18">
        <v>28549</v>
      </c>
      <c r="Q9" s="18">
        <v>28549</v>
      </c>
      <c r="R9" s="18"/>
      <c r="S9" s="18"/>
      <c r="T9" s="18"/>
      <c r="U9" s="18"/>
      <c r="V9" s="18"/>
      <c r="W9" s="18"/>
      <c r="X9" s="18"/>
      <c r="AA9" t="s">
        <v>635</v>
      </c>
      <c r="AB9" s="57">
        <v>44628</v>
      </c>
      <c r="AC9" s="18"/>
      <c r="AD9" s="18"/>
      <c r="AE9" s="18"/>
      <c r="AF9" s="18"/>
      <c r="AG9" s="18"/>
      <c r="AH9" s="18">
        <v>15280</v>
      </c>
      <c r="AI9" s="18"/>
      <c r="AJ9" s="18"/>
      <c r="AK9" s="18">
        <v>15280</v>
      </c>
      <c r="AL9" s="18">
        <v>15280</v>
      </c>
    </row>
    <row r="10" spans="1:38" x14ac:dyDescent="0.3">
      <c r="B10" t="s">
        <v>564</v>
      </c>
      <c r="C10" s="57">
        <v>44579</v>
      </c>
      <c r="D10" s="18"/>
      <c r="E10" s="18"/>
      <c r="F10" s="18"/>
      <c r="G10" s="18"/>
      <c r="H10" s="18"/>
      <c r="I10" s="18"/>
      <c r="J10" s="18"/>
      <c r="K10" s="18">
        <v>11502</v>
      </c>
      <c r="L10" s="18"/>
      <c r="M10" s="18"/>
      <c r="N10" s="18"/>
      <c r="O10" s="18"/>
      <c r="P10" s="18">
        <v>11502</v>
      </c>
      <c r="Q10" s="18">
        <v>11502</v>
      </c>
      <c r="R10" s="18"/>
      <c r="S10" s="18"/>
      <c r="T10" s="18"/>
      <c r="U10" s="18"/>
      <c r="V10" s="18"/>
      <c r="W10" s="18"/>
      <c r="X10" s="18"/>
      <c r="AA10" t="s">
        <v>647</v>
      </c>
      <c r="AB10" s="57">
        <v>44635</v>
      </c>
      <c r="AC10" s="18"/>
      <c r="AD10" s="18"/>
      <c r="AE10" s="18"/>
      <c r="AF10" s="18"/>
      <c r="AG10" s="18"/>
      <c r="AH10" s="18">
        <v>14185</v>
      </c>
      <c r="AI10" s="18"/>
      <c r="AJ10" s="18"/>
      <c r="AK10" s="18">
        <v>14185</v>
      </c>
      <c r="AL10" s="18">
        <v>14185</v>
      </c>
    </row>
    <row r="11" spans="1:38" x14ac:dyDescent="0.3">
      <c r="B11" t="s">
        <v>609</v>
      </c>
      <c r="C11" s="57">
        <v>44616</v>
      </c>
      <c r="D11" s="18"/>
      <c r="E11" s="18"/>
      <c r="F11" s="18"/>
      <c r="G11" s="18"/>
      <c r="H11" s="18"/>
      <c r="I11" s="18"/>
      <c r="J11" s="18"/>
      <c r="K11" s="18"/>
      <c r="L11" s="18">
        <v>7961</v>
      </c>
      <c r="M11" s="18"/>
      <c r="N11" s="18"/>
      <c r="O11" s="18"/>
      <c r="P11" s="18">
        <v>7961</v>
      </c>
      <c r="Q11" s="18">
        <v>7961</v>
      </c>
      <c r="R11" s="18"/>
      <c r="S11" s="18"/>
      <c r="T11" s="18"/>
      <c r="U11" s="18"/>
      <c r="V11" s="18"/>
      <c r="W11" s="18"/>
      <c r="X11" s="18"/>
      <c r="AA11" t="s">
        <v>723</v>
      </c>
      <c r="AB11" s="57">
        <v>44678</v>
      </c>
      <c r="AC11" s="18"/>
      <c r="AD11" s="18"/>
      <c r="AE11" s="18"/>
      <c r="AF11" s="18"/>
      <c r="AG11" s="18"/>
      <c r="AH11" s="18"/>
      <c r="AI11" s="18">
        <v>11160</v>
      </c>
      <c r="AJ11" s="18"/>
      <c r="AK11" s="18">
        <v>11160</v>
      </c>
      <c r="AL11" s="18">
        <v>11160</v>
      </c>
    </row>
    <row r="12" spans="1:38" x14ac:dyDescent="0.3">
      <c r="B12" t="s">
        <v>610</v>
      </c>
      <c r="C12" s="57">
        <v>44618</v>
      </c>
      <c r="D12" s="18"/>
      <c r="E12" s="18"/>
      <c r="F12" s="18"/>
      <c r="G12" s="18"/>
      <c r="H12" s="18"/>
      <c r="I12" s="18"/>
      <c r="J12" s="18"/>
      <c r="K12" s="18"/>
      <c r="L12" s="18">
        <v>2678</v>
      </c>
      <c r="M12" s="18"/>
      <c r="N12" s="18"/>
      <c r="O12" s="18"/>
      <c r="P12" s="18">
        <v>2678</v>
      </c>
      <c r="Q12" s="18">
        <v>2678</v>
      </c>
      <c r="R12" s="18"/>
      <c r="S12" s="18"/>
      <c r="T12" s="18"/>
      <c r="U12" s="18"/>
      <c r="V12" s="18"/>
      <c r="W12" s="18"/>
      <c r="X12" s="18"/>
      <c r="AA12" t="s">
        <v>790</v>
      </c>
      <c r="AB12" s="57">
        <v>44704</v>
      </c>
      <c r="AC12" s="18"/>
      <c r="AD12" s="18"/>
      <c r="AE12" s="18"/>
      <c r="AF12" s="18"/>
      <c r="AG12" s="18"/>
      <c r="AH12" s="18"/>
      <c r="AI12" s="18"/>
      <c r="AJ12" s="18">
        <v>14715</v>
      </c>
      <c r="AK12" s="18">
        <v>14715</v>
      </c>
      <c r="AL12" s="18">
        <v>14715</v>
      </c>
    </row>
    <row r="13" spans="1:38" x14ac:dyDescent="0.3">
      <c r="B13" t="s">
        <v>646</v>
      </c>
      <c r="C13" s="57">
        <v>44634</v>
      </c>
      <c r="D13" s="18"/>
      <c r="E13" s="18"/>
      <c r="F13" s="18"/>
      <c r="G13" s="18"/>
      <c r="H13" s="18"/>
      <c r="I13" s="18"/>
      <c r="J13" s="18"/>
      <c r="K13" s="18"/>
      <c r="L13" s="18"/>
      <c r="M13" s="18">
        <v>3029</v>
      </c>
      <c r="N13" s="18"/>
      <c r="O13" s="18"/>
      <c r="P13" s="18">
        <v>3029</v>
      </c>
      <c r="Q13" s="18">
        <v>3029</v>
      </c>
      <c r="R13" s="18"/>
      <c r="S13" s="18"/>
      <c r="T13" s="18"/>
      <c r="U13" s="18"/>
      <c r="V13" s="18"/>
      <c r="W13" s="18"/>
      <c r="X13" s="18"/>
      <c r="AA13" t="s">
        <v>831</v>
      </c>
      <c r="AB13" s="57">
        <v>44721</v>
      </c>
      <c r="AC13" s="18">
        <v>12690</v>
      </c>
      <c r="AD13" s="18"/>
      <c r="AE13" s="18"/>
      <c r="AF13" s="18"/>
      <c r="AG13" s="18"/>
      <c r="AH13" s="18"/>
      <c r="AI13" s="18"/>
      <c r="AJ13" s="18"/>
      <c r="AK13" s="18">
        <v>12690</v>
      </c>
      <c r="AL13" s="18">
        <v>12690</v>
      </c>
    </row>
    <row r="14" spans="1:38" x14ac:dyDescent="0.3">
      <c r="B14" t="s">
        <v>648</v>
      </c>
      <c r="C14" s="57">
        <v>44635</v>
      </c>
      <c r="D14" s="18"/>
      <c r="E14" s="18"/>
      <c r="F14" s="18"/>
      <c r="G14" s="18"/>
      <c r="H14" s="18"/>
      <c r="I14" s="18"/>
      <c r="J14" s="18"/>
      <c r="K14" s="18"/>
      <c r="L14" s="18"/>
      <c r="M14" s="18">
        <v>11425</v>
      </c>
      <c r="N14" s="18"/>
      <c r="O14" s="18"/>
      <c r="P14" s="18">
        <v>11425</v>
      </c>
      <c r="Q14" s="18">
        <v>11425</v>
      </c>
      <c r="R14" s="18"/>
      <c r="S14" s="18"/>
      <c r="T14" s="18"/>
      <c r="U14" s="18"/>
      <c r="V14" s="18"/>
      <c r="W14" s="18"/>
      <c r="X14" s="18"/>
      <c r="AA14" t="s">
        <v>847</v>
      </c>
      <c r="AB14" s="57">
        <v>44741</v>
      </c>
      <c r="AC14" s="18">
        <v>18515</v>
      </c>
      <c r="AD14" s="18"/>
      <c r="AE14" s="18"/>
      <c r="AF14" s="18"/>
      <c r="AG14" s="18"/>
      <c r="AH14" s="18"/>
      <c r="AI14" s="18"/>
      <c r="AJ14" s="18"/>
      <c r="AK14" s="18">
        <v>18515</v>
      </c>
      <c r="AL14" s="18">
        <v>18515</v>
      </c>
    </row>
    <row r="15" spans="1:38" x14ac:dyDescent="0.3">
      <c r="B15" t="s">
        <v>650</v>
      </c>
      <c r="C15" s="57">
        <v>44638</v>
      </c>
      <c r="D15" s="18"/>
      <c r="E15" s="18"/>
      <c r="F15" s="18"/>
      <c r="G15" s="18"/>
      <c r="H15" s="18"/>
      <c r="I15" s="18"/>
      <c r="J15" s="18"/>
      <c r="K15" s="18"/>
      <c r="L15" s="18"/>
      <c r="M15" s="18">
        <v>9888</v>
      </c>
      <c r="N15" s="18"/>
      <c r="O15" s="18"/>
      <c r="P15" s="18">
        <v>9888</v>
      </c>
      <c r="Q15" s="18">
        <v>9888</v>
      </c>
      <c r="R15" s="18"/>
      <c r="S15" s="18"/>
      <c r="T15" s="18"/>
      <c r="U15" s="18"/>
      <c r="V15" s="18"/>
      <c r="W15" s="18"/>
      <c r="X15" s="18"/>
      <c r="AA15" t="s">
        <v>870</v>
      </c>
      <c r="AB15" s="57">
        <v>44768</v>
      </c>
      <c r="AC15" s="18"/>
      <c r="AD15" s="18">
        <v>13445</v>
      </c>
      <c r="AE15" s="18"/>
      <c r="AF15" s="18"/>
      <c r="AG15" s="18"/>
      <c r="AH15" s="18"/>
      <c r="AI15" s="18"/>
      <c r="AJ15" s="18"/>
      <c r="AK15" s="18">
        <v>13445</v>
      </c>
      <c r="AL15" s="18">
        <v>13445</v>
      </c>
    </row>
    <row r="16" spans="1:38" x14ac:dyDescent="0.3">
      <c r="B16" t="s">
        <v>653</v>
      </c>
      <c r="C16" s="57">
        <v>44643</v>
      </c>
      <c r="D16" s="18"/>
      <c r="E16" s="18"/>
      <c r="F16" s="18"/>
      <c r="G16" s="18"/>
      <c r="H16" s="18"/>
      <c r="I16" s="18"/>
      <c r="J16" s="18"/>
      <c r="K16" s="18"/>
      <c r="L16" s="18"/>
      <c r="M16" s="18">
        <v>8819</v>
      </c>
      <c r="N16" s="18"/>
      <c r="O16" s="18"/>
      <c r="P16" s="18">
        <v>8819</v>
      </c>
      <c r="Q16" s="18">
        <v>8819</v>
      </c>
      <c r="R16" s="18"/>
      <c r="S16" s="18"/>
      <c r="T16" s="18"/>
      <c r="U16" s="18"/>
      <c r="V16" s="18"/>
      <c r="W16" s="18"/>
      <c r="X16" s="18"/>
      <c r="AA16" t="s">
        <v>912</v>
      </c>
      <c r="AB16" s="57">
        <v>44798</v>
      </c>
      <c r="AC16" s="18"/>
      <c r="AD16" s="18"/>
      <c r="AE16" s="18">
        <v>15671</v>
      </c>
      <c r="AF16" s="18"/>
      <c r="AG16" s="18"/>
      <c r="AH16" s="18"/>
      <c r="AI16" s="18"/>
      <c r="AJ16" s="18"/>
      <c r="AK16" s="18">
        <v>15671</v>
      </c>
      <c r="AL16" s="18">
        <v>15671</v>
      </c>
    </row>
    <row r="17" spans="2:38" x14ac:dyDescent="0.3">
      <c r="B17" t="s">
        <v>660</v>
      </c>
      <c r="C17" s="57">
        <v>44645</v>
      </c>
      <c r="D17" s="18"/>
      <c r="E17" s="18"/>
      <c r="F17" s="18"/>
      <c r="G17" s="18"/>
      <c r="H17" s="18"/>
      <c r="I17" s="18"/>
      <c r="J17" s="18"/>
      <c r="K17" s="18"/>
      <c r="L17" s="18"/>
      <c r="M17" s="18">
        <v>14422</v>
      </c>
      <c r="N17" s="18"/>
      <c r="O17" s="18"/>
      <c r="P17" s="18">
        <v>14422</v>
      </c>
      <c r="Q17" s="18">
        <v>14422</v>
      </c>
      <c r="R17" s="18"/>
      <c r="S17" s="18"/>
      <c r="T17" s="18"/>
      <c r="U17" s="18"/>
      <c r="V17" s="18"/>
      <c r="W17" s="18"/>
      <c r="X17" s="18"/>
      <c r="Z17" s="17" t="s">
        <v>204</v>
      </c>
      <c r="AA17" s="17"/>
      <c r="AB17" s="17"/>
      <c r="AC17" s="19">
        <v>31205</v>
      </c>
      <c r="AD17" s="19">
        <v>13445</v>
      </c>
      <c r="AE17" s="19">
        <v>15671</v>
      </c>
      <c r="AF17" s="19">
        <v>28820</v>
      </c>
      <c r="AG17" s="19">
        <v>14395</v>
      </c>
      <c r="AH17" s="19">
        <v>29465</v>
      </c>
      <c r="AI17" s="19">
        <v>11160</v>
      </c>
      <c r="AJ17" s="19">
        <v>14715</v>
      </c>
      <c r="AK17" s="19">
        <v>158876</v>
      </c>
      <c r="AL17" s="19">
        <v>158876</v>
      </c>
    </row>
    <row r="18" spans="2:38" x14ac:dyDescent="0.3">
      <c r="B18" t="s">
        <v>662</v>
      </c>
      <c r="C18" s="57">
        <v>44649</v>
      </c>
      <c r="D18" s="18"/>
      <c r="E18" s="18"/>
      <c r="F18" s="18"/>
      <c r="G18" s="18"/>
      <c r="H18" s="18"/>
      <c r="I18" s="18"/>
      <c r="J18" s="18"/>
      <c r="K18" s="18"/>
      <c r="L18" s="18"/>
      <c r="M18" s="18">
        <v>7593</v>
      </c>
      <c r="N18" s="18"/>
      <c r="O18" s="18"/>
      <c r="P18" s="18">
        <v>7593</v>
      </c>
      <c r="Q18" s="18">
        <v>7593</v>
      </c>
      <c r="R18" s="18"/>
      <c r="S18" s="18"/>
      <c r="T18" s="18"/>
      <c r="U18" s="18"/>
      <c r="V18" s="18"/>
      <c r="W18" s="18"/>
      <c r="X18" s="18"/>
      <c r="Z18" t="s">
        <v>131</v>
      </c>
      <c r="AC18" s="18">
        <v>31205</v>
      </c>
      <c r="AD18" s="18">
        <v>13445</v>
      </c>
      <c r="AE18" s="18">
        <v>15671</v>
      </c>
      <c r="AF18" s="18">
        <v>28820</v>
      </c>
      <c r="AG18" s="18">
        <v>14395</v>
      </c>
      <c r="AH18" s="18">
        <v>29465</v>
      </c>
      <c r="AI18" s="18">
        <v>11160</v>
      </c>
      <c r="AJ18" s="18">
        <v>14715</v>
      </c>
      <c r="AK18" s="18">
        <v>158876</v>
      </c>
      <c r="AL18" s="18">
        <v>158876</v>
      </c>
    </row>
    <row r="19" spans="2:38" x14ac:dyDescent="0.3">
      <c r="B19" t="s">
        <v>683</v>
      </c>
      <c r="C19" s="57">
        <v>44652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9157.5</v>
      </c>
      <c r="O19" s="18"/>
      <c r="P19" s="18">
        <v>9157.5</v>
      </c>
      <c r="Q19" s="18">
        <v>9157.5</v>
      </c>
      <c r="R19" s="18"/>
      <c r="S19" s="18"/>
      <c r="T19" s="18"/>
      <c r="U19" s="18"/>
      <c r="V19" s="18"/>
      <c r="W19" s="18"/>
      <c r="X19" s="18"/>
    </row>
    <row r="20" spans="2:38" x14ac:dyDescent="0.3">
      <c r="B20" t="s">
        <v>685</v>
      </c>
      <c r="C20" s="57">
        <v>44656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10497.5</v>
      </c>
      <c r="O20" s="18"/>
      <c r="P20" s="18">
        <v>10497.5</v>
      </c>
      <c r="Q20" s="18">
        <v>10497.5</v>
      </c>
      <c r="R20" s="18"/>
      <c r="S20" s="18"/>
      <c r="T20" s="18"/>
      <c r="U20" s="18"/>
      <c r="V20" s="18"/>
      <c r="W20" s="18"/>
      <c r="X20" s="18"/>
    </row>
    <row r="21" spans="2:38" x14ac:dyDescent="0.3">
      <c r="B21" t="s">
        <v>689</v>
      </c>
      <c r="C21" s="57">
        <v>44660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8569.5</v>
      </c>
      <c r="O21" s="18"/>
      <c r="P21" s="18">
        <v>8569.5</v>
      </c>
      <c r="Q21" s="18">
        <v>8569.5</v>
      </c>
      <c r="R21" s="18"/>
      <c r="S21" s="18"/>
      <c r="T21" s="18"/>
      <c r="U21" s="18"/>
      <c r="V21" s="18"/>
      <c r="W21" s="18"/>
      <c r="X21" s="18"/>
    </row>
    <row r="22" spans="2:38" x14ac:dyDescent="0.3">
      <c r="B22" t="s">
        <v>693</v>
      </c>
      <c r="C22" s="57">
        <v>44664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v>10975.5</v>
      </c>
      <c r="O22" s="18"/>
      <c r="P22" s="18">
        <v>10975.5</v>
      </c>
      <c r="Q22" s="18">
        <v>10975.5</v>
      </c>
      <c r="R22" s="18"/>
      <c r="S22" s="18"/>
      <c r="T22" s="18"/>
      <c r="U22" s="18"/>
      <c r="V22" s="18"/>
      <c r="W22" s="18"/>
      <c r="X22" s="18"/>
    </row>
    <row r="23" spans="2:38" x14ac:dyDescent="0.3">
      <c r="B23" t="s">
        <v>696</v>
      </c>
      <c r="C23" s="57">
        <v>44667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>
        <v>10103.5</v>
      </c>
      <c r="O23" s="18"/>
      <c r="P23" s="18">
        <v>10103.5</v>
      </c>
      <c r="Q23" s="18">
        <v>10103.5</v>
      </c>
      <c r="R23" s="18"/>
      <c r="S23" s="18"/>
      <c r="T23" s="18"/>
      <c r="U23" s="18"/>
      <c r="V23" s="18"/>
      <c r="W23" s="18"/>
      <c r="X23" s="18"/>
    </row>
    <row r="24" spans="2:38" x14ac:dyDescent="0.3">
      <c r="B24" t="s">
        <v>698</v>
      </c>
      <c r="C24" s="57">
        <v>44670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3076</v>
      </c>
      <c r="O24" s="18"/>
      <c r="P24" s="18">
        <v>3076</v>
      </c>
      <c r="Q24" s="18">
        <v>3076</v>
      </c>
      <c r="R24" s="18"/>
      <c r="S24" s="18"/>
      <c r="T24" s="18"/>
      <c r="U24" s="18"/>
      <c r="V24" s="18"/>
      <c r="W24" s="18"/>
      <c r="X24" s="18"/>
    </row>
    <row r="25" spans="2:38" x14ac:dyDescent="0.3">
      <c r="B25" t="s">
        <v>718</v>
      </c>
      <c r="C25" s="57">
        <v>44674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11151</v>
      </c>
      <c r="O25" s="18"/>
      <c r="P25" s="18">
        <v>11151</v>
      </c>
      <c r="Q25" s="18">
        <v>11151</v>
      </c>
      <c r="R25" s="18"/>
      <c r="S25" s="18"/>
      <c r="T25" s="18"/>
      <c r="U25" s="18"/>
      <c r="V25" s="18"/>
      <c r="W25" s="18"/>
      <c r="X25" s="18"/>
    </row>
    <row r="26" spans="2:38" x14ac:dyDescent="0.3">
      <c r="B26" t="s">
        <v>725</v>
      </c>
      <c r="C26" s="57">
        <v>44679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>
        <v>11858.5</v>
      </c>
      <c r="O26" s="18"/>
      <c r="P26" s="18">
        <v>11858.5</v>
      </c>
      <c r="Q26" s="18">
        <v>11858.5</v>
      </c>
      <c r="R26" s="18"/>
      <c r="S26" s="18"/>
      <c r="T26" s="18"/>
      <c r="U26" s="18"/>
      <c r="V26" s="18"/>
      <c r="W26" s="18"/>
      <c r="X26" s="18"/>
    </row>
    <row r="27" spans="2:38" x14ac:dyDescent="0.3">
      <c r="B27" t="s">
        <v>729</v>
      </c>
      <c r="C27" s="57">
        <v>44681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15244</v>
      </c>
      <c r="O27" s="18"/>
      <c r="P27" s="18">
        <v>15244</v>
      </c>
      <c r="Q27" s="18">
        <v>15244</v>
      </c>
    </row>
    <row r="28" spans="2:38" x14ac:dyDescent="0.3">
      <c r="B28" t="s">
        <v>762</v>
      </c>
      <c r="C28" s="57">
        <v>44687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11530</v>
      </c>
      <c r="P28" s="18">
        <v>11530</v>
      </c>
      <c r="Q28" s="18">
        <v>11530</v>
      </c>
    </row>
    <row r="29" spans="2:38" x14ac:dyDescent="0.3">
      <c r="B29" t="s">
        <v>764</v>
      </c>
      <c r="C29" s="57">
        <v>44688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16245</v>
      </c>
      <c r="P29" s="18">
        <v>16245</v>
      </c>
      <c r="Q29" s="18">
        <v>16245</v>
      </c>
    </row>
    <row r="30" spans="2:38" x14ac:dyDescent="0.3">
      <c r="B30" t="s">
        <v>777</v>
      </c>
      <c r="C30" s="57">
        <v>44695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10369.5</v>
      </c>
      <c r="P30" s="18">
        <v>10369.5</v>
      </c>
      <c r="Q30" s="18">
        <v>10369.5</v>
      </c>
    </row>
    <row r="31" spans="2:38" x14ac:dyDescent="0.3">
      <c r="B31" t="s">
        <v>780</v>
      </c>
      <c r="C31" s="57">
        <v>44699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8417</v>
      </c>
      <c r="P31" s="18">
        <v>8417</v>
      </c>
      <c r="Q31" s="18">
        <v>8417</v>
      </c>
    </row>
    <row r="32" spans="2:38" x14ac:dyDescent="0.3">
      <c r="B32" t="s">
        <v>783</v>
      </c>
      <c r="C32" s="57">
        <v>44701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13110</v>
      </c>
      <c r="P32" s="18">
        <v>13110</v>
      </c>
      <c r="Q32" s="18">
        <v>13110</v>
      </c>
    </row>
    <row r="33" spans="2:17" x14ac:dyDescent="0.3">
      <c r="B33" t="s">
        <v>789</v>
      </c>
      <c r="C33" s="57">
        <v>44702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13110</v>
      </c>
      <c r="P33" s="18">
        <v>13110</v>
      </c>
      <c r="Q33" s="18">
        <v>13110</v>
      </c>
    </row>
    <row r="34" spans="2:17" x14ac:dyDescent="0.3">
      <c r="B34" t="s">
        <v>793</v>
      </c>
      <c r="C34" s="57">
        <v>44704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6750</v>
      </c>
      <c r="P34" s="18">
        <v>6750</v>
      </c>
      <c r="Q34" s="18">
        <v>6750</v>
      </c>
    </row>
    <row r="35" spans="2:17" x14ac:dyDescent="0.3">
      <c r="B35" t="s">
        <v>796</v>
      </c>
      <c r="C35" s="57">
        <v>44706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>
        <v>14068</v>
      </c>
      <c r="P35" s="18">
        <v>14068</v>
      </c>
      <c r="Q35" s="18">
        <v>14068</v>
      </c>
    </row>
    <row r="36" spans="2:17" x14ac:dyDescent="0.3">
      <c r="B36" t="s">
        <v>826</v>
      </c>
      <c r="C36" s="57">
        <v>44714</v>
      </c>
      <c r="D36" s="18">
        <v>12427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>
        <v>12427</v>
      </c>
      <c r="Q36" s="18">
        <v>12427</v>
      </c>
    </row>
    <row r="37" spans="2:17" x14ac:dyDescent="0.3">
      <c r="B37" t="s">
        <v>828</v>
      </c>
      <c r="C37" s="57">
        <v>44716</v>
      </c>
      <c r="D37" s="18">
        <v>9000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9000</v>
      </c>
      <c r="Q37" s="18">
        <v>9000</v>
      </c>
    </row>
    <row r="38" spans="2:17" x14ac:dyDescent="0.3">
      <c r="B38" t="s">
        <v>834</v>
      </c>
      <c r="C38" s="57">
        <v>44723</v>
      </c>
      <c r="D38" s="18">
        <v>4950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>
        <v>4950</v>
      </c>
      <c r="Q38" s="18">
        <v>4950</v>
      </c>
    </row>
    <row r="39" spans="2:17" x14ac:dyDescent="0.3">
      <c r="B39" t="s">
        <v>842</v>
      </c>
      <c r="C39" s="57">
        <v>44730</v>
      </c>
      <c r="D39" s="18">
        <v>4431.5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4431.5</v>
      </c>
      <c r="Q39" s="18">
        <v>4431.5</v>
      </c>
    </row>
    <row r="40" spans="2:17" x14ac:dyDescent="0.3">
      <c r="B40" t="s">
        <v>845</v>
      </c>
      <c r="C40" s="57">
        <v>44736</v>
      </c>
      <c r="D40" s="18">
        <v>5889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v>5889</v>
      </c>
      <c r="Q40" s="18">
        <v>5889</v>
      </c>
    </row>
    <row r="41" spans="2:17" x14ac:dyDescent="0.3">
      <c r="B41" t="s">
        <v>858</v>
      </c>
      <c r="C41" s="57">
        <v>44756</v>
      </c>
      <c r="D41" s="18"/>
      <c r="E41" s="18">
        <v>12855.5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12855.5</v>
      </c>
      <c r="Q41" s="18">
        <v>12855.5</v>
      </c>
    </row>
    <row r="42" spans="2:17" x14ac:dyDescent="0.3">
      <c r="B42" t="s">
        <v>866</v>
      </c>
      <c r="C42" s="57">
        <v>44760</v>
      </c>
      <c r="D42" s="18"/>
      <c r="E42" s="18">
        <v>9153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9153</v>
      </c>
      <c r="Q42" s="18">
        <v>9153</v>
      </c>
    </row>
    <row r="43" spans="2:17" x14ac:dyDescent="0.3">
      <c r="B43" t="s">
        <v>867</v>
      </c>
      <c r="C43" s="57">
        <v>44762</v>
      </c>
      <c r="D43" s="18"/>
      <c r="E43" s="18">
        <v>925.5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925.5</v>
      </c>
      <c r="Q43" s="18">
        <v>925.5</v>
      </c>
    </row>
    <row r="44" spans="2:17" x14ac:dyDescent="0.3">
      <c r="B44" t="s">
        <v>868</v>
      </c>
      <c r="C44" s="57">
        <v>44765</v>
      </c>
      <c r="D44" s="18"/>
      <c r="E44" s="18">
        <v>6625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6625</v>
      </c>
      <c r="Q44" s="18">
        <v>6625</v>
      </c>
    </row>
    <row r="45" spans="2:17" x14ac:dyDescent="0.3">
      <c r="B45" t="s">
        <v>895</v>
      </c>
      <c r="C45" s="57">
        <v>44779</v>
      </c>
      <c r="D45" s="18"/>
      <c r="E45" s="18"/>
      <c r="F45" s="18">
        <v>5268.6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5268.6</v>
      </c>
      <c r="Q45" s="18">
        <v>5268.6</v>
      </c>
    </row>
    <row r="46" spans="2:17" x14ac:dyDescent="0.3">
      <c r="B46" t="s">
        <v>899</v>
      </c>
      <c r="C46" s="57">
        <v>44785</v>
      </c>
      <c r="D46" s="18"/>
      <c r="E46" s="18"/>
      <c r="F46" s="18">
        <v>4312.5</v>
      </c>
      <c r="G46" s="18"/>
      <c r="H46" s="18"/>
      <c r="I46" s="18"/>
      <c r="J46" s="18"/>
      <c r="K46" s="18"/>
      <c r="L46" s="18"/>
      <c r="M46" s="18"/>
      <c r="N46" s="18"/>
      <c r="O46" s="18"/>
      <c r="P46" s="18">
        <v>4312.5</v>
      </c>
      <c r="Q46" s="18">
        <v>4312.5</v>
      </c>
    </row>
    <row r="47" spans="2:17" x14ac:dyDescent="0.3">
      <c r="B47" t="s">
        <v>910</v>
      </c>
      <c r="C47" s="57">
        <v>44796</v>
      </c>
      <c r="D47" s="18"/>
      <c r="E47" s="18"/>
      <c r="F47" s="18">
        <v>6838.5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6838.5</v>
      </c>
      <c r="Q47" s="18">
        <v>6838.5</v>
      </c>
    </row>
    <row r="48" spans="2:17" x14ac:dyDescent="0.3">
      <c r="B48" t="s">
        <v>924</v>
      </c>
      <c r="C48" s="57">
        <v>44806</v>
      </c>
      <c r="D48" s="18"/>
      <c r="E48" s="18"/>
      <c r="F48" s="18"/>
      <c r="G48" s="18">
        <v>9343.9</v>
      </c>
      <c r="H48" s="18"/>
      <c r="I48" s="18"/>
      <c r="J48" s="18"/>
      <c r="K48" s="18"/>
      <c r="L48" s="18"/>
      <c r="M48" s="18"/>
      <c r="N48" s="18"/>
      <c r="O48" s="18"/>
      <c r="P48" s="18">
        <v>9343.9</v>
      </c>
      <c r="Q48" s="18">
        <v>9343.9</v>
      </c>
    </row>
    <row r="49" spans="2:17" x14ac:dyDescent="0.3">
      <c r="B49" t="s">
        <v>927</v>
      </c>
      <c r="C49" s="57">
        <v>44810</v>
      </c>
      <c r="D49" s="18"/>
      <c r="E49" s="18"/>
      <c r="F49" s="18"/>
      <c r="G49" s="18">
        <v>11453.6</v>
      </c>
      <c r="H49" s="18"/>
      <c r="I49" s="18"/>
      <c r="J49" s="18"/>
      <c r="K49" s="18"/>
      <c r="L49" s="18"/>
      <c r="M49" s="18"/>
      <c r="N49" s="18"/>
      <c r="O49" s="18"/>
      <c r="P49" s="18">
        <v>11453.6</v>
      </c>
      <c r="Q49" s="18">
        <v>11453.6</v>
      </c>
    </row>
    <row r="50" spans="2:17" x14ac:dyDescent="0.3">
      <c r="B50" t="s">
        <v>931</v>
      </c>
      <c r="C50" s="57">
        <v>44813</v>
      </c>
      <c r="D50" s="18"/>
      <c r="E50" s="18"/>
      <c r="F50" s="18"/>
      <c r="G50" s="18">
        <v>1914</v>
      </c>
      <c r="H50" s="18"/>
      <c r="I50" s="18"/>
      <c r="J50" s="18"/>
      <c r="K50" s="18"/>
      <c r="L50" s="18"/>
      <c r="M50" s="18"/>
      <c r="N50" s="18"/>
      <c r="O50" s="18"/>
      <c r="P50" s="18">
        <v>1914</v>
      </c>
      <c r="Q50" s="18">
        <v>1914</v>
      </c>
    </row>
    <row r="51" spans="2:17" x14ac:dyDescent="0.3">
      <c r="B51" t="s">
        <v>933</v>
      </c>
      <c r="C51" s="57">
        <v>44817</v>
      </c>
      <c r="D51" s="18"/>
      <c r="E51" s="18"/>
      <c r="F51" s="18"/>
      <c r="G51" s="18">
        <v>13163</v>
      </c>
      <c r="H51" s="18"/>
      <c r="I51" s="18"/>
      <c r="J51" s="18"/>
      <c r="K51" s="18"/>
      <c r="L51" s="18"/>
      <c r="M51" s="18"/>
      <c r="N51" s="18"/>
      <c r="O51" s="18"/>
      <c r="P51" s="18">
        <v>13163</v>
      </c>
      <c r="Q51" s="18">
        <v>13163</v>
      </c>
    </row>
    <row r="52" spans="2:17" x14ac:dyDescent="0.3">
      <c r="B52" t="s">
        <v>934</v>
      </c>
      <c r="C52" s="57">
        <v>44817</v>
      </c>
      <c r="D52" s="18"/>
      <c r="E52" s="18"/>
      <c r="F52" s="18"/>
      <c r="G52" s="18">
        <v>11823</v>
      </c>
      <c r="H52" s="18"/>
      <c r="I52" s="18"/>
      <c r="J52" s="18"/>
      <c r="K52" s="18"/>
      <c r="L52" s="18"/>
      <c r="M52" s="18"/>
      <c r="N52" s="18"/>
      <c r="O52" s="18"/>
      <c r="P52" s="18">
        <v>11823</v>
      </c>
      <c r="Q52" s="18">
        <v>11823</v>
      </c>
    </row>
    <row r="53" spans="2:17" x14ac:dyDescent="0.3">
      <c r="B53" t="s">
        <v>987</v>
      </c>
      <c r="C53" s="57" t="s">
        <v>992</v>
      </c>
      <c r="D53" s="18"/>
      <c r="E53" s="18"/>
      <c r="F53" s="18"/>
      <c r="G53" s="18"/>
      <c r="H53" s="18">
        <v>48172.5</v>
      </c>
      <c r="I53" s="18"/>
      <c r="J53" s="18"/>
      <c r="K53" s="18"/>
      <c r="L53" s="18"/>
      <c r="M53" s="18"/>
      <c r="N53" s="18"/>
      <c r="O53" s="18"/>
      <c r="P53" s="18">
        <v>48172.5</v>
      </c>
      <c r="Q53" s="18">
        <v>48172.5</v>
      </c>
    </row>
    <row r="54" spans="2:17" x14ac:dyDescent="0.3">
      <c r="B54" t="s">
        <v>999</v>
      </c>
      <c r="C54" s="57">
        <v>44847</v>
      </c>
      <c r="D54" s="18"/>
      <c r="E54" s="18"/>
      <c r="F54" s="18"/>
      <c r="G54" s="18"/>
      <c r="H54" s="18">
        <v>10166.299999999999</v>
      </c>
      <c r="I54" s="18"/>
      <c r="J54" s="18"/>
      <c r="K54" s="18"/>
      <c r="L54" s="18"/>
      <c r="M54" s="18"/>
      <c r="N54" s="18"/>
      <c r="O54" s="18"/>
      <c r="P54" s="18">
        <v>10166.299999999999</v>
      </c>
      <c r="Q54" s="18">
        <v>10166.299999999999</v>
      </c>
    </row>
    <row r="55" spans="2:17" x14ac:dyDescent="0.3">
      <c r="B55" t="s">
        <v>1010</v>
      </c>
      <c r="C55" s="57">
        <v>44856</v>
      </c>
      <c r="D55" s="18"/>
      <c r="E55" s="18"/>
      <c r="F55" s="18"/>
      <c r="G55" s="18"/>
      <c r="H55" s="18">
        <v>7590.5</v>
      </c>
      <c r="I55" s="18"/>
      <c r="J55" s="18"/>
      <c r="K55" s="18"/>
      <c r="L55" s="18"/>
      <c r="M55" s="18"/>
      <c r="N55" s="18"/>
      <c r="O55" s="18"/>
      <c r="P55" s="18">
        <v>7590.5</v>
      </c>
      <c r="Q55" s="18">
        <v>7590.5</v>
      </c>
    </row>
    <row r="56" spans="2:17" x14ac:dyDescent="0.3">
      <c r="B56" t="s">
        <v>1012</v>
      </c>
      <c r="C56" s="57">
        <v>44861</v>
      </c>
      <c r="D56" s="18"/>
      <c r="E56" s="18"/>
      <c r="F56" s="18"/>
      <c r="G56" s="18"/>
      <c r="H56" s="18">
        <v>250</v>
      </c>
      <c r="I56" s="18"/>
      <c r="J56" s="18"/>
      <c r="K56" s="18"/>
      <c r="L56" s="18"/>
      <c r="M56" s="18"/>
      <c r="N56" s="18"/>
      <c r="O56" s="18"/>
      <c r="P56" s="18">
        <v>250</v>
      </c>
      <c r="Q56" s="18">
        <v>250</v>
      </c>
    </row>
    <row r="57" spans="2:17" x14ac:dyDescent="0.3">
      <c r="B57" t="s">
        <v>1014</v>
      </c>
      <c r="C57" s="57">
        <v>44865</v>
      </c>
      <c r="D57" s="18"/>
      <c r="E57" s="18"/>
      <c r="F57" s="18"/>
      <c r="G57" s="18"/>
      <c r="H57" s="18">
        <v>47685</v>
      </c>
      <c r="I57" s="18"/>
      <c r="J57" s="18"/>
      <c r="K57" s="18"/>
      <c r="L57" s="18"/>
      <c r="M57" s="18"/>
      <c r="N57" s="18"/>
      <c r="O57" s="18"/>
      <c r="P57" s="18">
        <v>47685</v>
      </c>
      <c r="Q57" s="18">
        <v>47685</v>
      </c>
    </row>
    <row r="58" spans="2:17" x14ac:dyDescent="0.3">
      <c r="B58" t="s">
        <v>1050</v>
      </c>
      <c r="C58" s="57">
        <v>44869</v>
      </c>
      <c r="D58" s="18"/>
      <c r="E58" s="18"/>
      <c r="F58" s="18"/>
      <c r="G58" s="18"/>
      <c r="H58" s="18"/>
      <c r="I58" s="18">
        <v>403.8</v>
      </c>
      <c r="J58" s="18"/>
      <c r="K58" s="18"/>
      <c r="L58" s="18"/>
      <c r="M58" s="18"/>
      <c r="N58" s="18"/>
      <c r="O58" s="18"/>
      <c r="P58" s="18">
        <v>403.8</v>
      </c>
      <c r="Q58" s="18">
        <v>403.8</v>
      </c>
    </row>
    <row r="59" spans="2:17" x14ac:dyDescent="0.3">
      <c r="B59" t="s">
        <v>1064</v>
      </c>
      <c r="C59" s="57">
        <v>44876</v>
      </c>
      <c r="D59" s="18"/>
      <c r="E59" s="18"/>
      <c r="F59" s="18"/>
      <c r="G59" s="18"/>
      <c r="H59" s="18"/>
      <c r="I59" s="18">
        <v>14886.5</v>
      </c>
      <c r="J59" s="18"/>
      <c r="K59" s="18"/>
      <c r="L59" s="18"/>
      <c r="M59" s="18"/>
      <c r="N59" s="18"/>
      <c r="O59" s="18"/>
      <c r="P59" s="18">
        <v>14886.5</v>
      </c>
      <c r="Q59" s="18">
        <v>14886.5</v>
      </c>
    </row>
    <row r="60" spans="2:17" x14ac:dyDescent="0.3">
      <c r="B60" t="s">
        <v>1075</v>
      </c>
      <c r="C60" s="57" t="s">
        <v>1070</v>
      </c>
      <c r="D60" s="18"/>
      <c r="E60" s="18"/>
      <c r="F60" s="18"/>
      <c r="G60" s="18"/>
      <c r="H60" s="18"/>
      <c r="I60" s="18">
        <v>17236.599999999999</v>
      </c>
      <c r="J60" s="18"/>
      <c r="K60" s="18"/>
      <c r="L60" s="18"/>
      <c r="M60" s="18"/>
      <c r="N60" s="18"/>
      <c r="O60" s="18"/>
      <c r="P60" s="18">
        <v>17236.599999999999</v>
      </c>
      <c r="Q60" s="18">
        <v>17236.599999999999</v>
      </c>
    </row>
    <row r="61" spans="2:17" x14ac:dyDescent="0.3">
      <c r="B61" t="s">
        <v>1109</v>
      </c>
      <c r="C61" s="57">
        <v>44897</v>
      </c>
      <c r="D61" s="18"/>
      <c r="E61" s="18"/>
      <c r="F61" s="18"/>
      <c r="G61" s="18"/>
      <c r="H61" s="18"/>
      <c r="I61" s="18"/>
      <c r="J61" s="18">
        <v>4489</v>
      </c>
      <c r="K61" s="18"/>
      <c r="L61" s="18"/>
      <c r="M61" s="18"/>
      <c r="N61" s="18"/>
      <c r="O61" s="18"/>
      <c r="P61" s="18">
        <v>4489</v>
      </c>
      <c r="Q61" s="18">
        <v>4489</v>
      </c>
    </row>
    <row r="62" spans="2:17" x14ac:dyDescent="0.3">
      <c r="B62" t="s">
        <v>1111</v>
      </c>
      <c r="C62" s="57">
        <v>44897</v>
      </c>
      <c r="D62" s="18"/>
      <c r="E62" s="18"/>
      <c r="F62" s="18"/>
      <c r="G62" s="18"/>
      <c r="H62" s="18"/>
      <c r="I62" s="18"/>
      <c r="J62" s="18">
        <v>3915</v>
      </c>
      <c r="K62" s="18"/>
      <c r="L62" s="18"/>
      <c r="M62" s="18"/>
      <c r="N62" s="18"/>
      <c r="O62" s="18"/>
      <c r="P62" s="18">
        <v>3915</v>
      </c>
      <c r="Q62" s="18">
        <v>3915</v>
      </c>
    </row>
    <row r="63" spans="2:17" x14ac:dyDescent="0.3">
      <c r="B63" t="s">
        <v>1115</v>
      </c>
      <c r="C63" s="57">
        <v>44898</v>
      </c>
      <c r="D63" s="18"/>
      <c r="E63" s="18"/>
      <c r="F63" s="18"/>
      <c r="G63" s="18"/>
      <c r="H63" s="18"/>
      <c r="I63" s="18"/>
      <c r="J63" s="18">
        <v>7395.5</v>
      </c>
      <c r="K63" s="18"/>
      <c r="L63" s="18"/>
      <c r="M63" s="18"/>
      <c r="N63" s="18"/>
      <c r="O63" s="18"/>
      <c r="P63" s="18">
        <v>7395.5</v>
      </c>
      <c r="Q63" s="18">
        <v>7395.5</v>
      </c>
    </row>
    <row r="64" spans="2:17" x14ac:dyDescent="0.3">
      <c r="B64" t="s">
        <v>1122</v>
      </c>
      <c r="C64" s="57">
        <v>44904</v>
      </c>
      <c r="D64" s="18"/>
      <c r="E64" s="18"/>
      <c r="F64" s="18"/>
      <c r="G64" s="18"/>
      <c r="H64" s="18"/>
      <c r="I64" s="18"/>
      <c r="J64" s="18">
        <v>49088.1</v>
      </c>
      <c r="K64" s="18"/>
      <c r="L64" s="18"/>
      <c r="M64" s="18"/>
      <c r="N64" s="18"/>
      <c r="O64" s="18"/>
      <c r="P64" s="18">
        <v>49088.1</v>
      </c>
      <c r="Q64" s="18">
        <v>49088.1</v>
      </c>
    </row>
    <row r="65" spans="1:17" x14ac:dyDescent="0.3">
      <c r="B65" t="s">
        <v>1127</v>
      </c>
      <c r="C65" s="57">
        <v>44917</v>
      </c>
      <c r="D65" s="18"/>
      <c r="E65" s="18"/>
      <c r="F65" s="18"/>
      <c r="G65" s="18"/>
      <c r="H65" s="18"/>
      <c r="I65" s="18"/>
      <c r="J65" s="18">
        <v>47686.5</v>
      </c>
      <c r="K65" s="18"/>
      <c r="L65" s="18"/>
      <c r="M65" s="18"/>
      <c r="N65" s="18"/>
      <c r="O65" s="18"/>
      <c r="P65" s="18">
        <v>47686.5</v>
      </c>
      <c r="Q65" s="18">
        <v>47686.5</v>
      </c>
    </row>
    <row r="66" spans="1:17" x14ac:dyDescent="0.3">
      <c r="B66" t="s">
        <v>1138</v>
      </c>
      <c r="C66" s="57">
        <v>44923</v>
      </c>
      <c r="D66" s="18"/>
      <c r="E66" s="18"/>
      <c r="F66" s="18"/>
      <c r="G66" s="18"/>
      <c r="H66" s="18"/>
      <c r="I66" s="18"/>
      <c r="J66" s="18">
        <v>1008</v>
      </c>
      <c r="K66" s="18"/>
      <c r="L66" s="18"/>
      <c r="M66" s="18"/>
      <c r="N66" s="18"/>
      <c r="O66" s="18"/>
      <c r="P66" s="18">
        <v>1008</v>
      </c>
      <c r="Q66" s="18">
        <v>1008</v>
      </c>
    </row>
    <row r="67" spans="1:17" x14ac:dyDescent="0.3">
      <c r="B67" t="s">
        <v>1139</v>
      </c>
      <c r="C67" s="57">
        <v>44925</v>
      </c>
      <c r="D67" s="18"/>
      <c r="E67" s="18"/>
      <c r="F67" s="18"/>
      <c r="G67" s="18"/>
      <c r="H67" s="18"/>
      <c r="I67" s="18"/>
      <c r="J67" s="18">
        <v>21740.5</v>
      </c>
      <c r="K67" s="18"/>
      <c r="L67" s="18"/>
      <c r="M67" s="18"/>
      <c r="N67" s="18"/>
      <c r="O67" s="18"/>
      <c r="P67" s="18">
        <v>21740.5</v>
      </c>
      <c r="Q67" s="18">
        <v>21740.5</v>
      </c>
    </row>
    <row r="68" spans="1:17" x14ac:dyDescent="0.3">
      <c r="A68" s="17" t="s">
        <v>422</v>
      </c>
      <c r="B68" s="17"/>
      <c r="C68" s="17"/>
      <c r="D68" s="19">
        <v>36697.5</v>
      </c>
      <c r="E68" s="19">
        <v>29559</v>
      </c>
      <c r="F68" s="19">
        <v>16419.599999999999</v>
      </c>
      <c r="G68" s="19">
        <v>47697.5</v>
      </c>
      <c r="H68" s="19">
        <v>113864.3</v>
      </c>
      <c r="I68" s="19">
        <v>32526.899999999998</v>
      </c>
      <c r="J68" s="19">
        <v>135322.6</v>
      </c>
      <c r="K68" s="19">
        <v>56934</v>
      </c>
      <c r="L68" s="19">
        <v>10639</v>
      </c>
      <c r="M68" s="19">
        <v>55176</v>
      </c>
      <c r="N68" s="19">
        <v>90633</v>
      </c>
      <c r="O68" s="19">
        <v>93599.5</v>
      </c>
      <c r="P68" s="19">
        <v>719068.89999999991</v>
      </c>
      <c r="Q68" s="19">
        <v>719068.89999999991</v>
      </c>
    </row>
    <row r="69" spans="1:17" x14ac:dyDescent="0.3">
      <c r="A69" t="s">
        <v>131</v>
      </c>
      <c r="D69" s="18">
        <v>36697.5</v>
      </c>
      <c r="E69" s="18">
        <v>29559</v>
      </c>
      <c r="F69" s="18">
        <v>16419.599999999999</v>
      </c>
      <c r="G69" s="18">
        <v>47697.5</v>
      </c>
      <c r="H69" s="18">
        <v>113864.3</v>
      </c>
      <c r="I69" s="18">
        <v>32526.899999999998</v>
      </c>
      <c r="J69" s="18">
        <v>135322.6</v>
      </c>
      <c r="K69" s="18">
        <v>56934</v>
      </c>
      <c r="L69" s="18">
        <v>10639</v>
      </c>
      <c r="M69" s="18">
        <v>55176</v>
      </c>
      <c r="N69" s="18">
        <v>90633</v>
      </c>
      <c r="O69" s="18">
        <v>93599.5</v>
      </c>
      <c r="P69" s="18">
        <v>719068.89999999991</v>
      </c>
      <c r="Q69" s="18">
        <v>719068.89999999991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1377"/>
  <sheetViews>
    <sheetView topLeftCell="A58" zoomScaleNormal="100" workbookViewId="0">
      <selection activeCell="H75" sqref="H75"/>
    </sheetView>
  </sheetViews>
  <sheetFormatPr defaultRowHeight="14.4" x14ac:dyDescent="0.3"/>
  <cols>
    <col min="1" max="1" width="38.33203125" bestFit="1" customWidth="1"/>
    <col min="2" max="7" width="9.88671875" bestFit="1" customWidth="1"/>
    <col min="8" max="9" width="10.77734375" bestFit="1" customWidth="1"/>
    <col min="10" max="22" width="1.6640625" customWidth="1"/>
    <col min="23" max="23" width="17.6640625" bestFit="1" customWidth="1"/>
    <col min="24" max="24" width="11.77734375" customWidth="1"/>
    <col min="25" max="25" width="13.5546875" customWidth="1"/>
    <col min="26" max="26" width="13.44140625" bestFit="1" customWidth="1"/>
    <col min="27" max="27" width="16.6640625" bestFit="1" customWidth="1"/>
    <col min="28" max="33" width="9.88671875" bestFit="1" customWidth="1"/>
    <col min="34" max="35" width="10.77734375" bestFit="1" customWidth="1"/>
    <col min="36" max="43" width="1.6640625" customWidth="1"/>
    <col min="44" max="44" width="31.77734375" customWidth="1"/>
    <col min="45" max="45" width="11.6640625" customWidth="1"/>
    <col min="46" max="46" width="13.6640625" bestFit="1" customWidth="1"/>
    <col min="47" max="52" width="9.88671875" bestFit="1" customWidth="1"/>
    <col min="53" max="54" width="10.77734375" bestFit="1" customWidth="1"/>
    <col min="55" max="56" width="9.88671875" bestFit="1" customWidth="1"/>
    <col min="57" max="57" width="10.77734375" bestFit="1" customWidth="1"/>
  </cols>
  <sheetData>
    <row r="1" spans="1:53" x14ac:dyDescent="0.3">
      <c r="A1" t="s">
        <v>202</v>
      </c>
    </row>
    <row r="2" spans="1:53" x14ac:dyDescent="0.3">
      <c r="A2" t="s">
        <v>4077</v>
      </c>
    </row>
    <row r="4" spans="1:53" x14ac:dyDescent="0.3">
      <c r="A4" s="14" t="s">
        <v>199</v>
      </c>
      <c r="B4" s="14" t="s">
        <v>87</v>
      </c>
      <c r="W4" s="14" t="s">
        <v>199</v>
      </c>
      <c r="AB4" s="14" t="s">
        <v>87</v>
      </c>
      <c r="AR4" s="14" t="s">
        <v>199</v>
      </c>
      <c r="AU4" s="14" t="s">
        <v>87</v>
      </c>
    </row>
    <row r="5" spans="1:53" x14ac:dyDescent="0.3">
      <c r="A5" s="14" t="s">
        <v>1</v>
      </c>
      <c r="B5">
        <v>0</v>
      </c>
      <c r="C5">
        <v>45</v>
      </c>
      <c r="D5">
        <v>60</v>
      </c>
      <c r="E5">
        <v>120</v>
      </c>
      <c r="F5" t="s">
        <v>1763</v>
      </c>
      <c r="G5">
        <v>30</v>
      </c>
      <c r="H5" t="s">
        <v>131</v>
      </c>
      <c r="W5" s="14" t="s">
        <v>1</v>
      </c>
      <c r="X5" s="14" t="s">
        <v>206</v>
      </c>
      <c r="Y5" s="14" t="s">
        <v>161</v>
      </c>
      <c r="Z5" s="14" t="s">
        <v>3</v>
      </c>
      <c r="AA5" s="14" t="s">
        <v>2</v>
      </c>
      <c r="AB5">
        <v>0</v>
      </c>
      <c r="AC5">
        <v>45</v>
      </c>
      <c r="AD5">
        <v>60</v>
      </c>
      <c r="AE5">
        <v>120</v>
      </c>
      <c r="AF5" t="s">
        <v>1763</v>
      </c>
      <c r="AG5">
        <v>30</v>
      </c>
      <c r="AH5" t="s">
        <v>131</v>
      </c>
      <c r="AR5" s="14" t="s">
        <v>1</v>
      </c>
      <c r="AS5" s="14" t="s">
        <v>206</v>
      </c>
      <c r="AT5" s="14" t="s">
        <v>161</v>
      </c>
      <c r="AU5">
        <v>0</v>
      </c>
      <c r="AV5">
        <v>45</v>
      </c>
      <c r="AW5">
        <v>60</v>
      </c>
      <c r="AX5">
        <v>120</v>
      </c>
      <c r="AY5" t="s">
        <v>1763</v>
      </c>
      <c r="AZ5">
        <v>30</v>
      </c>
      <c r="BA5" t="s">
        <v>131</v>
      </c>
    </row>
    <row r="6" spans="1:53" x14ac:dyDescent="0.3">
      <c r="A6" t="s">
        <v>35</v>
      </c>
      <c r="B6" s="18">
        <v>0</v>
      </c>
      <c r="C6" s="18"/>
      <c r="D6" s="18"/>
      <c r="E6" s="18"/>
      <c r="F6" s="18"/>
      <c r="G6" s="18"/>
      <c r="H6" s="18">
        <v>0</v>
      </c>
      <c r="W6" t="s">
        <v>35</v>
      </c>
      <c r="X6">
        <v>2020</v>
      </c>
      <c r="Y6">
        <v>8</v>
      </c>
      <c r="Z6" s="57">
        <v>44053</v>
      </c>
      <c r="AA6" t="s">
        <v>33</v>
      </c>
      <c r="AB6" s="18">
        <v>0</v>
      </c>
      <c r="AC6" s="18"/>
      <c r="AD6" s="18"/>
      <c r="AE6" s="18"/>
      <c r="AF6" s="18"/>
      <c r="AG6" s="18"/>
      <c r="AH6" s="18">
        <v>0</v>
      </c>
      <c r="AR6" t="s">
        <v>35</v>
      </c>
      <c r="AS6">
        <v>2020</v>
      </c>
      <c r="AT6">
        <v>8</v>
      </c>
      <c r="AU6" s="18">
        <v>0</v>
      </c>
      <c r="AV6" s="18"/>
      <c r="AW6" s="18"/>
      <c r="AX6" s="18"/>
      <c r="AY6" s="18"/>
      <c r="AZ6" s="18"/>
      <c r="BA6" s="18">
        <v>0</v>
      </c>
    </row>
    <row r="7" spans="1:53" x14ac:dyDescent="0.3">
      <c r="A7" t="s">
        <v>47</v>
      </c>
      <c r="B7" s="18">
        <v>0</v>
      </c>
      <c r="C7" s="18"/>
      <c r="D7" s="18"/>
      <c r="E7" s="18"/>
      <c r="F7" s="18"/>
      <c r="G7" s="18"/>
      <c r="H7" s="18">
        <v>0</v>
      </c>
      <c r="Y7">
        <v>10</v>
      </c>
      <c r="Z7" s="57">
        <v>44109</v>
      </c>
      <c r="AA7" t="s">
        <v>106</v>
      </c>
      <c r="AB7" s="18">
        <v>0</v>
      </c>
      <c r="AC7" s="18"/>
      <c r="AD7" s="18"/>
      <c r="AE7" s="18"/>
      <c r="AF7" s="18"/>
      <c r="AG7" s="18"/>
      <c r="AH7" s="18">
        <v>0</v>
      </c>
      <c r="AT7">
        <v>10</v>
      </c>
      <c r="AU7" s="18">
        <v>0</v>
      </c>
      <c r="AV7" s="18"/>
      <c r="AW7" s="18"/>
      <c r="AX7" s="18"/>
      <c r="AY7" s="18"/>
      <c r="AZ7" s="18"/>
      <c r="BA7" s="18">
        <v>0</v>
      </c>
    </row>
    <row r="8" spans="1:53" x14ac:dyDescent="0.3">
      <c r="A8" t="s">
        <v>58</v>
      </c>
      <c r="B8" s="18"/>
      <c r="C8" s="18"/>
      <c r="D8" s="18">
        <v>0</v>
      </c>
      <c r="E8" s="18"/>
      <c r="F8" s="18"/>
      <c r="G8" s="18"/>
      <c r="H8" s="18">
        <v>0</v>
      </c>
      <c r="Z8" s="57">
        <v>44123</v>
      </c>
      <c r="AA8" t="s">
        <v>123</v>
      </c>
      <c r="AB8" s="18">
        <v>0</v>
      </c>
      <c r="AC8" s="18"/>
      <c r="AD8" s="18"/>
      <c r="AE8" s="18"/>
      <c r="AF8" s="18"/>
      <c r="AG8" s="18"/>
      <c r="AH8" s="18">
        <v>0</v>
      </c>
      <c r="AT8">
        <v>11</v>
      </c>
      <c r="AU8" s="18">
        <v>0</v>
      </c>
      <c r="AV8" s="18"/>
      <c r="AW8" s="18"/>
      <c r="AX8" s="18"/>
      <c r="AY8" s="18"/>
      <c r="AZ8" s="18"/>
      <c r="BA8" s="18">
        <v>0</v>
      </c>
    </row>
    <row r="9" spans="1:53" x14ac:dyDescent="0.3">
      <c r="A9" t="s">
        <v>7</v>
      </c>
      <c r="B9" s="18">
        <v>0</v>
      </c>
      <c r="C9" s="18"/>
      <c r="D9" s="18"/>
      <c r="E9" s="18"/>
      <c r="F9" s="18"/>
      <c r="G9" s="18"/>
      <c r="H9" s="18">
        <v>0</v>
      </c>
      <c r="Z9" s="57">
        <v>44125</v>
      </c>
      <c r="AA9" t="s">
        <v>126</v>
      </c>
      <c r="AB9" s="18">
        <v>0</v>
      </c>
      <c r="AC9" s="18"/>
      <c r="AD9" s="18"/>
      <c r="AE9" s="18"/>
      <c r="AF9" s="18"/>
      <c r="AG9" s="18"/>
      <c r="AH9" s="18">
        <v>0</v>
      </c>
      <c r="AS9">
        <v>2021</v>
      </c>
      <c r="AT9">
        <v>2</v>
      </c>
      <c r="AU9" s="18">
        <v>0</v>
      </c>
      <c r="AV9" s="18"/>
      <c r="AW9" s="18"/>
      <c r="AX9" s="18"/>
      <c r="AY9" s="18"/>
      <c r="AZ9" s="18"/>
      <c r="BA9" s="18">
        <v>0</v>
      </c>
    </row>
    <row r="10" spans="1:53" x14ac:dyDescent="0.3">
      <c r="A10" t="s">
        <v>20</v>
      </c>
      <c r="B10" s="18"/>
      <c r="C10" s="18">
        <v>1277.5</v>
      </c>
      <c r="D10" s="18"/>
      <c r="E10" s="18"/>
      <c r="F10" s="18"/>
      <c r="G10" s="18"/>
      <c r="H10" s="18">
        <v>1277.5</v>
      </c>
      <c r="Z10" s="57">
        <v>44135</v>
      </c>
      <c r="AA10" t="s">
        <v>149</v>
      </c>
      <c r="AB10" s="18">
        <v>0</v>
      </c>
      <c r="AC10" s="18"/>
      <c r="AD10" s="18"/>
      <c r="AE10" s="18"/>
      <c r="AF10" s="18"/>
      <c r="AG10" s="18"/>
      <c r="AH10" s="18">
        <v>0</v>
      </c>
      <c r="AT10">
        <v>5</v>
      </c>
      <c r="AU10" s="18">
        <v>0</v>
      </c>
      <c r="AV10" s="18"/>
      <c r="AW10" s="18"/>
      <c r="AX10" s="18"/>
      <c r="AY10" s="18"/>
      <c r="AZ10" s="18"/>
      <c r="BA10" s="18">
        <v>0</v>
      </c>
    </row>
    <row r="11" spans="1:53" x14ac:dyDescent="0.3">
      <c r="A11" t="s">
        <v>43</v>
      </c>
      <c r="B11" s="18">
        <v>0.19999999999998863</v>
      </c>
      <c r="C11" s="18"/>
      <c r="D11" s="18"/>
      <c r="E11" s="18"/>
      <c r="F11" s="18"/>
      <c r="G11" s="18"/>
      <c r="H11" s="18">
        <v>0.19999999999998863</v>
      </c>
      <c r="Y11">
        <v>11</v>
      </c>
      <c r="Z11" s="57">
        <v>44145</v>
      </c>
      <c r="AA11" t="s">
        <v>154</v>
      </c>
      <c r="AB11" s="18">
        <v>0</v>
      </c>
      <c r="AC11" s="18"/>
      <c r="AD11" s="18"/>
      <c r="AE11" s="18"/>
      <c r="AF11" s="18"/>
      <c r="AG11" s="18"/>
      <c r="AH11" s="18">
        <v>0</v>
      </c>
      <c r="AT11">
        <v>9</v>
      </c>
      <c r="AU11" s="18">
        <v>0</v>
      </c>
      <c r="AV11" s="18"/>
      <c r="AW11" s="18"/>
      <c r="AX11" s="18"/>
      <c r="AY11" s="18"/>
      <c r="AZ11" s="18"/>
      <c r="BA11" s="18">
        <v>0</v>
      </c>
    </row>
    <row r="12" spans="1:53" x14ac:dyDescent="0.3">
      <c r="A12" t="s">
        <v>23</v>
      </c>
      <c r="B12" s="18"/>
      <c r="C12" s="18"/>
      <c r="D12" s="18"/>
      <c r="E12" s="18">
        <v>0</v>
      </c>
      <c r="F12" s="18"/>
      <c r="G12" s="18"/>
      <c r="H12" s="18">
        <v>0</v>
      </c>
      <c r="Z12" s="57">
        <v>44158</v>
      </c>
      <c r="AA12" t="s">
        <v>172</v>
      </c>
      <c r="AB12" s="18">
        <v>0</v>
      </c>
      <c r="AC12" s="18"/>
      <c r="AD12" s="18"/>
      <c r="AE12" s="18"/>
      <c r="AF12" s="18"/>
      <c r="AG12" s="18"/>
      <c r="AH12" s="18">
        <v>0</v>
      </c>
      <c r="AT12">
        <v>10</v>
      </c>
      <c r="AU12" s="18">
        <v>0</v>
      </c>
      <c r="AV12" s="18"/>
      <c r="AW12" s="18"/>
      <c r="AX12" s="18"/>
      <c r="AY12" s="18"/>
      <c r="AZ12" s="18"/>
      <c r="BA12" s="18">
        <v>0</v>
      </c>
    </row>
    <row r="13" spans="1:53" x14ac:dyDescent="0.3">
      <c r="A13" t="s">
        <v>14</v>
      </c>
      <c r="B13" s="18">
        <v>0</v>
      </c>
      <c r="C13" s="18"/>
      <c r="D13" s="18"/>
      <c r="E13" s="18"/>
      <c r="F13" s="18"/>
      <c r="G13" s="18"/>
      <c r="H13" s="18">
        <v>0</v>
      </c>
      <c r="X13">
        <v>2021</v>
      </c>
      <c r="Y13">
        <v>2</v>
      </c>
      <c r="Z13" s="57">
        <v>44229</v>
      </c>
      <c r="AA13" t="s">
        <v>260</v>
      </c>
      <c r="AB13" s="18">
        <v>0</v>
      </c>
      <c r="AC13" s="18"/>
      <c r="AD13" s="18"/>
      <c r="AE13" s="18"/>
      <c r="AF13" s="18"/>
      <c r="AG13" s="18"/>
      <c r="AH13" s="18">
        <v>0</v>
      </c>
      <c r="AT13">
        <v>11</v>
      </c>
      <c r="AU13" s="18">
        <v>0</v>
      </c>
      <c r="AV13" s="18"/>
      <c r="AW13" s="18"/>
      <c r="AX13" s="18"/>
      <c r="AY13" s="18"/>
      <c r="AZ13" s="18"/>
      <c r="BA13" s="18">
        <v>0</v>
      </c>
    </row>
    <row r="14" spans="1:53" x14ac:dyDescent="0.3">
      <c r="A14" t="s">
        <v>52</v>
      </c>
      <c r="B14" s="18">
        <v>0</v>
      </c>
      <c r="C14" s="18"/>
      <c r="D14" s="18"/>
      <c r="E14" s="18"/>
      <c r="F14" s="18"/>
      <c r="G14" s="18"/>
      <c r="H14" s="18">
        <v>0</v>
      </c>
      <c r="Z14" s="57">
        <v>44244</v>
      </c>
      <c r="AA14" t="s">
        <v>266</v>
      </c>
      <c r="AB14" s="18">
        <v>0</v>
      </c>
      <c r="AC14" s="18"/>
      <c r="AD14" s="18"/>
      <c r="AE14" s="18"/>
      <c r="AF14" s="18"/>
      <c r="AG14" s="18"/>
      <c r="AH14" s="18">
        <v>0</v>
      </c>
      <c r="AS14">
        <v>2024</v>
      </c>
      <c r="AT14">
        <v>10</v>
      </c>
      <c r="AU14" s="18">
        <v>0</v>
      </c>
      <c r="AV14" s="18"/>
      <c r="AW14" s="18"/>
      <c r="AX14" s="18"/>
      <c r="AY14" s="18"/>
      <c r="AZ14" s="18"/>
      <c r="BA14" s="18">
        <v>0</v>
      </c>
    </row>
    <row r="15" spans="1:53" x14ac:dyDescent="0.3">
      <c r="A15" t="s">
        <v>62</v>
      </c>
      <c r="B15" s="18"/>
      <c r="C15" s="18"/>
      <c r="D15" s="18"/>
      <c r="E15" s="18">
        <v>52482.9</v>
      </c>
      <c r="F15" s="18"/>
      <c r="G15" s="18"/>
      <c r="H15" s="18">
        <v>52482.9</v>
      </c>
      <c r="Y15">
        <v>5</v>
      </c>
      <c r="Z15" s="57">
        <v>44322</v>
      </c>
      <c r="AA15" t="s">
        <v>337</v>
      </c>
      <c r="AB15" s="18">
        <v>0</v>
      </c>
      <c r="AC15" s="18"/>
      <c r="AD15" s="18"/>
      <c r="AE15" s="18"/>
      <c r="AF15" s="18"/>
      <c r="AG15" s="18"/>
      <c r="AH15" s="18">
        <v>0</v>
      </c>
      <c r="AT15">
        <v>11</v>
      </c>
      <c r="AU15" s="18">
        <v>0</v>
      </c>
      <c r="AV15" s="18"/>
      <c r="AW15" s="18"/>
      <c r="AX15" s="18"/>
      <c r="AY15" s="18"/>
      <c r="AZ15" s="18"/>
      <c r="BA15" s="18">
        <v>0</v>
      </c>
    </row>
    <row r="16" spans="1:53" x14ac:dyDescent="0.3">
      <c r="A16" t="s">
        <v>173</v>
      </c>
      <c r="B16" s="18">
        <v>0</v>
      </c>
      <c r="C16" s="18"/>
      <c r="D16" s="18"/>
      <c r="E16" s="18"/>
      <c r="F16" s="18"/>
      <c r="G16" s="18"/>
      <c r="H16" s="18">
        <v>0</v>
      </c>
      <c r="Z16" s="57">
        <v>44335</v>
      </c>
      <c r="AA16" t="s">
        <v>340</v>
      </c>
      <c r="AB16" s="18">
        <v>0</v>
      </c>
      <c r="AC16" s="18"/>
      <c r="AD16" s="18"/>
      <c r="AE16" s="18"/>
      <c r="AF16" s="18"/>
      <c r="AG16" s="18"/>
      <c r="AH16" s="18">
        <v>0</v>
      </c>
      <c r="AR16" s="36" t="s">
        <v>132</v>
      </c>
      <c r="AS16" s="36"/>
      <c r="AT16" s="36"/>
      <c r="AU16" s="37">
        <v>0</v>
      </c>
      <c r="AV16" s="37"/>
      <c r="AW16" s="37"/>
      <c r="AX16" s="37"/>
      <c r="AY16" s="37"/>
      <c r="AZ16" s="37"/>
      <c r="BA16" s="37">
        <v>0</v>
      </c>
    </row>
    <row r="17" spans="1:53" x14ac:dyDescent="0.3">
      <c r="A17" t="s">
        <v>223</v>
      </c>
      <c r="B17" s="18"/>
      <c r="C17" s="18"/>
      <c r="D17" s="18"/>
      <c r="E17" s="18"/>
      <c r="F17" s="18">
        <v>0</v>
      </c>
      <c r="G17" s="18"/>
      <c r="H17" s="18">
        <v>0</v>
      </c>
      <c r="Z17" s="57">
        <v>44341</v>
      </c>
      <c r="AA17" t="s">
        <v>342</v>
      </c>
      <c r="AB17" s="18">
        <v>0</v>
      </c>
      <c r="AC17" s="18"/>
      <c r="AD17" s="18"/>
      <c r="AE17" s="18"/>
      <c r="AF17" s="18"/>
      <c r="AG17" s="18"/>
      <c r="AH17" s="18">
        <v>0</v>
      </c>
      <c r="AR17" t="s">
        <v>47</v>
      </c>
      <c r="AS17">
        <v>2020</v>
      </c>
      <c r="AT17">
        <v>8</v>
      </c>
      <c r="AU17" s="18">
        <v>0</v>
      </c>
      <c r="AV17" s="18"/>
      <c r="AW17" s="18"/>
      <c r="AX17" s="18"/>
      <c r="AY17" s="18"/>
      <c r="AZ17" s="18"/>
      <c r="BA17" s="18">
        <v>0</v>
      </c>
    </row>
    <row r="18" spans="1:53" x14ac:dyDescent="0.3">
      <c r="A18" t="s">
        <v>228</v>
      </c>
      <c r="B18" s="18"/>
      <c r="C18" s="18"/>
      <c r="D18" s="18"/>
      <c r="E18" s="18"/>
      <c r="F18" s="18">
        <v>0</v>
      </c>
      <c r="G18" s="18"/>
      <c r="H18" s="18">
        <v>0</v>
      </c>
      <c r="Y18">
        <v>9</v>
      </c>
      <c r="Z18" s="57">
        <v>44440</v>
      </c>
      <c r="AA18" t="s">
        <v>367</v>
      </c>
      <c r="AB18" s="18">
        <v>0</v>
      </c>
      <c r="AC18" s="18"/>
      <c r="AD18" s="18"/>
      <c r="AE18" s="18"/>
      <c r="AF18" s="18"/>
      <c r="AG18" s="18"/>
      <c r="AH18" s="18">
        <v>0</v>
      </c>
      <c r="AT18">
        <v>10</v>
      </c>
      <c r="AU18" s="18">
        <v>0</v>
      </c>
      <c r="AV18" s="18"/>
      <c r="AW18" s="18"/>
      <c r="AX18" s="18"/>
      <c r="AY18" s="18"/>
      <c r="AZ18" s="18"/>
      <c r="BA18" s="18">
        <v>0</v>
      </c>
    </row>
    <row r="19" spans="1:53" x14ac:dyDescent="0.3">
      <c r="A19" t="s">
        <v>262</v>
      </c>
      <c r="B19" s="18">
        <v>0</v>
      </c>
      <c r="C19" s="18"/>
      <c r="D19" s="18"/>
      <c r="E19" s="18"/>
      <c r="F19" s="18"/>
      <c r="G19" s="18"/>
      <c r="H19" s="18">
        <v>0</v>
      </c>
      <c r="AA19" t="s">
        <v>368</v>
      </c>
      <c r="AB19" s="18">
        <v>0</v>
      </c>
      <c r="AC19" s="18"/>
      <c r="AD19" s="18"/>
      <c r="AE19" s="18"/>
      <c r="AF19" s="18"/>
      <c r="AG19" s="18"/>
      <c r="AH19" s="18">
        <v>0</v>
      </c>
      <c r="AR19" s="36" t="s">
        <v>133</v>
      </c>
      <c r="AS19" s="36"/>
      <c r="AT19" s="36"/>
      <c r="AU19" s="37">
        <v>0</v>
      </c>
      <c r="AV19" s="37"/>
      <c r="AW19" s="37"/>
      <c r="AX19" s="37"/>
      <c r="AY19" s="37"/>
      <c r="AZ19" s="37"/>
      <c r="BA19" s="37">
        <v>0</v>
      </c>
    </row>
    <row r="20" spans="1:53" x14ac:dyDescent="0.3">
      <c r="A20" t="s">
        <v>280</v>
      </c>
      <c r="B20" s="18">
        <v>0</v>
      </c>
      <c r="C20" s="18"/>
      <c r="D20" s="18"/>
      <c r="E20" s="18"/>
      <c r="F20" s="18"/>
      <c r="G20" s="18"/>
      <c r="H20" s="18">
        <v>0</v>
      </c>
      <c r="Z20" s="57">
        <v>44467</v>
      </c>
      <c r="AA20" t="s">
        <v>379</v>
      </c>
      <c r="AB20" s="18">
        <v>0</v>
      </c>
      <c r="AC20" s="18"/>
      <c r="AD20" s="18"/>
      <c r="AE20" s="18"/>
      <c r="AF20" s="18"/>
      <c r="AG20" s="18"/>
      <c r="AH20" s="18">
        <v>0</v>
      </c>
      <c r="AR20" t="s">
        <v>58</v>
      </c>
      <c r="AS20">
        <v>2020</v>
      </c>
      <c r="AT20">
        <v>10</v>
      </c>
      <c r="AU20" s="18"/>
      <c r="AV20" s="18"/>
      <c r="AW20" s="18">
        <v>0</v>
      </c>
      <c r="AX20" s="18"/>
      <c r="AY20" s="18"/>
      <c r="AZ20" s="18"/>
      <c r="BA20" s="18">
        <v>0</v>
      </c>
    </row>
    <row r="21" spans="1:53" x14ac:dyDescent="0.3">
      <c r="A21" t="s">
        <v>289</v>
      </c>
      <c r="B21" s="18">
        <v>0</v>
      </c>
      <c r="C21" s="18"/>
      <c r="D21" s="18"/>
      <c r="E21" s="18"/>
      <c r="F21" s="18"/>
      <c r="G21" s="18"/>
      <c r="H21" s="18">
        <v>0</v>
      </c>
      <c r="Y21">
        <v>10</v>
      </c>
      <c r="Z21" s="57">
        <v>44484</v>
      </c>
      <c r="AA21" t="s">
        <v>423</v>
      </c>
      <c r="AB21" s="18">
        <v>0</v>
      </c>
      <c r="AC21" s="18"/>
      <c r="AD21" s="18"/>
      <c r="AE21" s="18"/>
      <c r="AF21" s="18"/>
      <c r="AG21" s="18"/>
      <c r="AH21" s="18">
        <v>0</v>
      </c>
      <c r="AS21">
        <v>2021</v>
      </c>
      <c r="AT21">
        <v>1</v>
      </c>
      <c r="AU21" s="18"/>
      <c r="AV21" s="18"/>
      <c r="AW21" s="18">
        <v>0</v>
      </c>
      <c r="AX21" s="18"/>
      <c r="AY21" s="18"/>
      <c r="AZ21" s="18"/>
      <c r="BA21" s="18">
        <v>0</v>
      </c>
    </row>
    <row r="22" spans="1:53" x14ac:dyDescent="0.3">
      <c r="A22" t="s">
        <v>375</v>
      </c>
      <c r="B22" s="18">
        <v>0</v>
      </c>
      <c r="C22" s="18"/>
      <c r="D22" s="18"/>
      <c r="E22" s="18"/>
      <c r="F22" s="18"/>
      <c r="G22" s="18"/>
      <c r="H22" s="18">
        <v>0</v>
      </c>
      <c r="Y22">
        <v>11</v>
      </c>
      <c r="Z22" s="57">
        <v>44501</v>
      </c>
      <c r="AA22" t="s">
        <v>455</v>
      </c>
      <c r="AB22" s="18">
        <v>0</v>
      </c>
      <c r="AC22" s="18"/>
      <c r="AD22" s="18"/>
      <c r="AE22" s="18"/>
      <c r="AF22" s="18"/>
      <c r="AG22" s="18"/>
      <c r="AH22" s="18">
        <v>0</v>
      </c>
      <c r="AT22">
        <v>5</v>
      </c>
      <c r="AU22" s="18"/>
      <c r="AV22" s="18"/>
      <c r="AW22" s="18">
        <v>0</v>
      </c>
      <c r="AX22" s="18"/>
      <c r="AY22" s="18"/>
      <c r="AZ22" s="18"/>
      <c r="BA22" s="18">
        <v>0</v>
      </c>
    </row>
    <row r="23" spans="1:53" x14ac:dyDescent="0.3">
      <c r="A23" t="s">
        <v>400</v>
      </c>
      <c r="B23" s="18">
        <v>96862.300000000017</v>
      </c>
      <c r="C23" s="18"/>
      <c r="D23" s="18"/>
      <c r="E23" s="18"/>
      <c r="F23" s="18"/>
      <c r="G23" s="18"/>
      <c r="H23" s="18">
        <v>96862.300000000017</v>
      </c>
      <c r="X23">
        <v>2024</v>
      </c>
      <c r="Y23">
        <v>10</v>
      </c>
      <c r="Z23" s="57">
        <v>45582</v>
      </c>
      <c r="AA23" t="s">
        <v>3019</v>
      </c>
      <c r="AB23" s="18">
        <v>0</v>
      </c>
      <c r="AC23" s="18"/>
      <c r="AD23" s="18"/>
      <c r="AE23" s="18"/>
      <c r="AF23" s="18"/>
      <c r="AG23" s="18"/>
      <c r="AH23" s="18">
        <v>0</v>
      </c>
      <c r="AT23">
        <v>6</v>
      </c>
      <c r="AU23" s="18"/>
      <c r="AV23" s="18"/>
      <c r="AW23" s="18">
        <v>0</v>
      </c>
      <c r="AX23" s="18"/>
      <c r="AY23" s="18"/>
      <c r="AZ23" s="18"/>
      <c r="BA23" s="18">
        <v>0</v>
      </c>
    </row>
    <row r="24" spans="1:53" x14ac:dyDescent="0.3">
      <c r="A24" t="s">
        <v>409</v>
      </c>
      <c r="B24" s="18">
        <v>4.5474735088646412E-13</v>
      </c>
      <c r="C24" s="18"/>
      <c r="D24" s="18"/>
      <c r="E24" s="18"/>
      <c r="F24" s="18"/>
      <c r="G24" s="18"/>
      <c r="H24" s="18">
        <v>4.5474735088646412E-13</v>
      </c>
      <c r="Y24">
        <v>11</v>
      </c>
      <c r="Z24" s="57">
        <v>45600</v>
      </c>
      <c r="AA24" t="s">
        <v>3105</v>
      </c>
      <c r="AB24" s="18">
        <v>0</v>
      </c>
      <c r="AC24" s="18"/>
      <c r="AD24" s="18"/>
      <c r="AE24" s="18"/>
      <c r="AF24" s="18"/>
      <c r="AG24" s="18"/>
      <c r="AH24" s="18">
        <v>0</v>
      </c>
      <c r="AT24">
        <v>7</v>
      </c>
      <c r="AU24" s="18"/>
      <c r="AV24" s="18"/>
      <c r="AW24" s="18">
        <v>0</v>
      </c>
      <c r="AX24" s="18"/>
      <c r="AY24" s="18"/>
      <c r="AZ24" s="18"/>
      <c r="BA24" s="18">
        <v>0</v>
      </c>
    </row>
    <row r="25" spans="1:53" x14ac:dyDescent="0.3">
      <c r="A25" t="s">
        <v>469</v>
      </c>
      <c r="B25" s="18"/>
      <c r="C25" s="18"/>
      <c r="D25" s="18"/>
      <c r="E25" s="18"/>
      <c r="F25" s="18">
        <v>0</v>
      </c>
      <c r="G25" s="18"/>
      <c r="H25" s="18">
        <v>0</v>
      </c>
      <c r="W25" s="36" t="s">
        <v>132</v>
      </c>
      <c r="X25" s="36"/>
      <c r="Y25" s="36"/>
      <c r="Z25" s="36"/>
      <c r="AA25" s="36"/>
      <c r="AB25" s="37">
        <v>0</v>
      </c>
      <c r="AC25" s="37"/>
      <c r="AD25" s="37"/>
      <c r="AE25" s="37"/>
      <c r="AF25" s="37"/>
      <c r="AG25" s="37"/>
      <c r="AH25" s="37">
        <v>0</v>
      </c>
      <c r="AT25">
        <v>12</v>
      </c>
      <c r="AU25" s="18"/>
      <c r="AV25" s="18"/>
      <c r="AW25" s="18">
        <v>0</v>
      </c>
      <c r="AX25" s="18"/>
      <c r="AY25" s="18"/>
      <c r="AZ25" s="18"/>
      <c r="BA25" s="18">
        <v>0</v>
      </c>
    </row>
    <row r="26" spans="1:53" x14ac:dyDescent="0.3">
      <c r="A26" t="s">
        <v>491</v>
      </c>
      <c r="B26" s="18">
        <v>28583.599999999999</v>
      </c>
      <c r="C26" s="18"/>
      <c r="D26" s="18"/>
      <c r="E26" s="18"/>
      <c r="F26" s="18"/>
      <c r="G26" s="18"/>
      <c r="H26" s="18">
        <v>28583.599999999999</v>
      </c>
      <c r="W26" t="s">
        <v>47</v>
      </c>
      <c r="X26">
        <v>2020</v>
      </c>
      <c r="Y26">
        <v>8</v>
      </c>
      <c r="Z26" s="57">
        <v>44065</v>
      </c>
      <c r="AA26" t="s">
        <v>49</v>
      </c>
      <c r="AB26" s="18">
        <v>0</v>
      </c>
      <c r="AC26" s="18"/>
      <c r="AD26" s="18"/>
      <c r="AE26" s="18"/>
      <c r="AF26" s="18"/>
      <c r="AG26" s="18"/>
      <c r="AH26" s="18">
        <v>0</v>
      </c>
      <c r="AS26">
        <v>2022</v>
      </c>
      <c r="AT26">
        <v>6</v>
      </c>
      <c r="AU26" s="18"/>
      <c r="AV26" s="18"/>
      <c r="AW26" s="18">
        <v>0</v>
      </c>
      <c r="AX26" s="18"/>
      <c r="AY26" s="18"/>
      <c r="AZ26" s="18"/>
      <c r="BA26" s="18">
        <v>0</v>
      </c>
    </row>
    <row r="27" spans="1:53" x14ac:dyDescent="0.3">
      <c r="A27" t="s">
        <v>637</v>
      </c>
      <c r="B27" s="18">
        <v>514.19999999999982</v>
      </c>
      <c r="C27" s="18"/>
      <c r="D27" s="18"/>
      <c r="E27" s="18"/>
      <c r="F27" s="18"/>
      <c r="G27" s="18"/>
      <c r="H27" s="18">
        <v>514.19999999999982</v>
      </c>
      <c r="Y27">
        <v>10</v>
      </c>
      <c r="Z27" s="57">
        <v>44118</v>
      </c>
      <c r="AA27" t="s">
        <v>117</v>
      </c>
      <c r="AB27" s="18">
        <v>0</v>
      </c>
      <c r="AC27" s="18"/>
      <c r="AD27" s="18"/>
      <c r="AE27" s="18"/>
      <c r="AF27" s="18"/>
      <c r="AG27" s="18"/>
      <c r="AH27" s="18">
        <v>0</v>
      </c>
      <c r="AT27">
        <v>7</v>
      </c>
      <c r="AU27" s="18"/>
      <c r="AV27" s="18"/>
      <c r="AW27" s="18">
        <v>0</v>
      </c>
      <c r="AX27" s="18"/>
      <c r="AY27" s="18"/>
      <c r="AZ27" s="18"/>
      <c r="BA27" s="18">
        <v>0</v>
      </c>
    </row>
    <row r="28" spans="1:53" x14ac:dyDescent="0.3">
      <c r="A28" t="s">
        <v>665</v>
      </c>
      <c r="B28" s="18">
        <v>0</v>
      </c>
      <c r="C28" s="18"/>
      <c r="D28" s="18"/>
      <c r="E28" s="18"/>
      <c r="F28" s="18"/>
      <c r="G28" s="18"/>
      <c r="H28" s="18">
        <v>0</v>
      </c>
      <c r="Z28" s="57">
        <v>44123</v>
      </c>
      <c r="AA28" t="s">
        <v>117</v>
      </c>
      <c r="AB28" s="18">
        <v>0</v>
      </c>
      <c r="AC28" s="18"/>
      <c r="AD28" s="18"/>
      <c r="AE28" s="18"/>
      <c r="AF28" s="18"/>
      <c r="AG28" s="18"/>
      <c r="AH28" s="18">
        <v>0</v>
      </c>
      <c r="AT28">
        <v>8</v>
      </c>
      <c r="AU28" s="18"/>
      <c r="AV28" s="18"/>
      <c r="AW28" s="18">
        <v>0</v>
      </c>
      <c r="AX28" s="18"/>
      <c r="AY28" s="18"/>
      <c r="AZ28" s="18"/>
      <c r="BA28" s="18">
        <v>0</v>
      </c>
    </row>
    <row r="29" spans="1:53" x14ac:dyDescent="0.3">
      <c r="A29" t="s">
        <v>709</v>
      </c>
      <c r="B29" s="18">
        <v>0</v>
      </c>
      <c r="C29" s="18"/>
      <c r="D29" s="18"/>
      <c r="E29" s="18"/>
      <c r="F29" s="18"/>
      <c r="G29" s="18"/>
      <c r="H29" s="18">
        <v>0</v>
      </c>
      <c r="W29" s="36" t="s">
        <v>133</v>
      </c>
      <c r="X29" s="36"/>
      <c r="Y29" s="36"/>
      <c r="Z29" s="36"/>
      <c r="AA29" s="36"/>
      <c r="AB29" s="37">
        <v>0</v>
      </c>
      <c r="AC29" s="37"/>
      <c r="AD29" s="37"/>
      <c r="AE29" s="37"/>
      <c r="AF29" s="37"/>
      <c r="AG29" s="37"/>
      <c r="AH29" s="37">
        <v>0</v>
      </c>
      <c r="AT29">
        <v>9</v>
      </c>
      <c r="AU29" s="18"/>
      <c r="AV29" s="18"/>
      <c r="AW29" s="18">
        <v>0</v>
      </c>
      <c r="AX29" s="18"/>
      <c r="AY29" s="18"/>
      <c r="AZ29" s="18"/>
      <c r="BA29" s="18">
        <v>0</v>
      </c>
    </row>
    <row r="30" spans="1:53" x14ac:dyDescent="0.3">
      <c r="A30" t="s">
        <v>773</v>
      </c>
      <c r="B30" s="18">
        <v>0</v>
      </c>
      <c r="C30" s="18"/>
      <c r="D30" s="18"/>
      <c r="E30" s="18"/>
      <c r="F30" s="18"/>
      <c r="G30" s="18"/>
      <c r="H30" s="18">
        <v>0</v>
      </c>
      <c r="W30" t="s">
        <v>58</v>
      </c>
      <c r="X30">
        <v>2020</v>
      </c>
      <c r="Y30">
        <v>10</v>
      </c>
      <c r="Z30" s="57">
        <v>44068</v>
      </c>
      <c r="AA30" t="s">
        <v>55</v>
      </c>
      <c r="AB30" s="18"/>
      <c r="AC30" s="18"/>
      <c r="AD30" s="18">
        <v>0</v>
      </c>
      <c r="AE30" s="18"/>
      <c r="AF30" s="18"/>
      <c r="AG30" s="18"/>
      <c r="AH30" s="18">
        <v>0</v>
      </c>
      <c r="AT30">
        <v>10</v>
      </c>
      <c r="AU30" s="18"/>
      <c r="AV30" s="18"/>
      <c r="AW30" s="18">
        <v>0</v>
      </c>
      <c r="AX30" s="18"/>
      <c r="AY30" s="18"/>
      <c r="AZ30" s="18"/>
      <c r="BA30" s="18">
        <v>0</v>
      </c>
    </row>
    <row r="31" spans="1:53" x14ac:dyDescent="0.3">
      <c r="A31" t="s">
        <v>784</v>
      </c>
      <c r="B31" s="18">
        <v>0</v>
      </c>
      <c r="C31" s="18"/>
      <c r="D31" s="18"/>
      <c r="E31" s="18"/>
      <c r="F31" s="18"/>
      <c r="G31" s="18"/>
      <c r="H31" s="18">
        <v>0</v>
      </c>
      <c r="X31">
        <v>2021</v>
      </c>
      <c r="Y31">
        <v>1</v>
      </c>
      <c r="Z31" s="57">
        <v>44146</v>
      </c>
      <c r="AA31" t="s">
        <v>155</v>
      </c>
      <c r="AB31" s="18"/>
      <c r="AC31" s="18"/>
      <c r="AD31" s="18">
        <v>0</v>
      </c>
      <c r="AE31" s="18"/>
      <c r="AF31" s="18"/>
      <c r="AG31" s="18"/>
      <c r="AH31" s="18">
        <v>0</v>
      </c>
      <c r="AT31">
        <v>11</v>
      </c>
      <c r="AU31" s="18"/>
      <c r="AV31" s="18"/>
      <c r="AW31" s="18">
        <v>0</v>
      </c>
      <c r="AX31" s="18"/>
      <c r="AY31" s="18"/>
      <c r="AZ31" s="18"/>
      <c r="BA31" s="18">
        <v>0</v>
      </c>
    </row>
    <row r="32" spans="1:53" x14ac:dyDescent="0.3">
      <c r="A32" t="s">
        <v>859</v>
      </c>
      <c r="B32" s="18">
        <v>33600.600000000006</v>
      </c>
      <c r="C32" s="18"/>
      <c r="D32" s="18"/>
      <c r="E32" s="18"/>
      <c r="F32" s="18"/>
      <c r="G32" s="18"/>
      <c r="H32" s="18">
        <v>33600.600000000006</v>
      </c>
      <c r="Z32" s="57">
        <v>44163</v>
      </c>
      <c r="AA32" t="s">
        <v>182</v>
      </c>
      <c r="AB32" s="18"/>
      <c r="AC32" s="18"/>
      <c r="AD32" s="18">
        <v>0</v>
      </c>
      <c r="AE32" s="18"/>
      <c r="AF32" s="18"/>
      <c r="AG32" s="18"/>
      <c r="AH32" s="18">
        <v>0</v>
      </c>
      <c r="AT32">
        <v>12</v>
      </c>
      <c r="AU32" s="18"/>
      <c r="AV32" s="18"/>
      <c r="AW32" s="18">
        <v>0</v>
      </c>
      <c r="AX32" s="18"/>
      <c r="AY32" s="18"/>
      <c r="AZ32" s="18"/>
      <c r="BA32" s="18">
        <v>0</v>
      </c>
    </row>
    <row r="33" spans="1:53" x14ac:dyDescent="0.3">
      <c r="A33" t="s">
        <v>958</v>
      </c>
      <c r="B33" s="18">
        <v>0</v>
      </c>
      <c r="C33" s="18"/>
      <c r="D33" s="18"/>
      <c r="E33" s="18"/>
      <c r="F33" s="18"/>
      <c r="G33" s="18"/>
      <c r="H33" s="18">
        <v>0</v>
      </c>
      <c r="Y33">
        <v>5</v>
      </c>
      <c r="Z33" s="57">
        <v>44266</v>
      </c>
      <c r="AA33" t="s">
        <v>316</v>
      </c>
      <c r="AB33" s="18"/>
      <c r="AC33" s="18"/>
      <c r="AD33" s="18">
        <v>0</v>
      </c>
      <c r="AE33" s="18"/>
      <c r="AF33" s="18"/>
      <c r="AG33" s="18"/>
      <c r="AH33" s="18">
        <v>0</v>
      </c>
      <c r="AT33">
        <v>4</v>
      </c>
      <c r="AU33" s="18"/>
      <c r="AV33" s="18"/>
      <c r="AW33" s="18">
        <v>0</v>
      </c>
      <c r="AX33" s="18"/>
      <c r="AY33" s="18"/>
      <c r="AZ33" s="18"/>
      <c r="BA33" s="18">
        <v>0</v>
      </c>
    </row>
    <row r="34" spans="1:53" x14ac:dyDescent="0.3">
      <c r="A34" t="s">
        <v>1044</v>
      </c>
      <c r="B34" s="18"/>
      <c r="C34" s="18"/>
      <c r="D34" s="18"/>
      <c r="E34" s="18"/>
      <c r="F34" s="18">
        <v>0</v>
      </c>
      <c r="G34" s="18"/>
      <c r="H34" s="18">
        <v>0</v>
      </c>
      <c r="Z34" s="57">
        <v>44279</v>
      </c>
      <c r="AA34" t="s">
        <v>319</v>
      </c>
      <c r="AB34" s="18"/>
      <c r="AC34" s="18"/>
      <c r="AD34" s="18">
        <v>0</v>
      </c>
      <c r="AE34" s="18"/>
      <c r="AF34" s="18"/>
      <c r="AG34" s="18"/>
      <c r="AH34" s="18">
        <v>0</v>
      </c>
      <c r="AS34">
        <v>2023</v>
      </c>
      <c r="AT34">
        <v>1</v>
      </c>
      <c r="AU34" s="18"/>
      <c r="AV34" s="18"/>
      <c r="AW34" s="18">
        <v>0</v>
      </c>
      <c r="AX34" s="18"/>
      <c r="AY34" s="18"/>
      <c r="AZ34" s="18"/>
      <c r="BA34" s="18">
        <v>0</v>
      </c>
    </row>
    <row r="35" spans="1:53" x14ac:dyDescent="0.3">
      <c r="A35" t="s">
        <v>1051</v>
      </c>
      <c r="B35" s="18">
        <v>0</v>
      </c>
      <c r="C35" s="18"/>
      <c r="D35" s="18"/>
      <c r="E35" s="18"/>
      <c r="F35" s="18"/>
      <c r="G35" s="18"/>
      <c r="H35" s="18">
        <v>0</v>
      </c>
      <c r="Y35">
        <v>6</v>
      </c>
      <c r="Z35" s="57">
        <v>44313</v>
      </c>
      <c r="AA35" t="s">
        <v>328</v>
      </c>
      <c r="AB35" s="18"/>
      <c r="AC35" s="18"/>
      <c r="AD35" s="18">
        <v>0</v>
      </c>
      <c r="AE35" s="18"/>
      <c r="AF35" s="18"/>
      <c r="AG35" s="18"/>
      <c r="AH35" s="18">
        <v>0</v>
      </c>
      <c r="AT35">
        <v>2</v>
      </c>
      <c r="AU35" s="18"/>
      <c r="AV35" s="18"/>
      <c r="AW35" s="18">
        <v>0</v>
      </c>
      <c r="AX35" s="18"/>
      <c r="AY35" s="18"/>
      <c r="AZ35" s="18"/>
      <c r="BA35" s="18">
        <v>0</v>
      </c>
    </row>
    <row r="36" spans="1:53" x14ac:dyDescent="0.3">
      <c r="A36" t="s">
        <v>1057</v>
      </c>
      <c r="B36" s="18">
        <v>0</v>
      </c>
      <c r="C36" s="18"/>
      <c r="D36" s="18"/>
      <c r="E36" s="18"/>
      <c r="F36" s="18"/>
      <c r="G36" s="18"/>
      <c r="H36" s="18">
        <v>0</v>
      </c>
      <c r="Y36">
        <v>7</v>
      </c>
      <c r="Z36" s="57">
        <v>44348</v>
      </c>
      <c r="AA36" t="s">
        <v>356</v>
      </c>
      <c r="AB36" s="18"/>
      <c r="AC36" s="18"/>
      <c r="AD36" s="18">
        <v>0</v>
      </c>
      <c r="AE36" s="18"/>
      <c r="AF36" s="18"/>
      <c r="AG36" s="18"/>
      <c r="AH36" s="18">
        <v>0</v>
      </c>
      <c r="AT36">
        <v>3</v>
      </c>
      <c r="AU36" s="18"/>
      <c r="AV36" s="18"/>
      <c r="AW36" s="18">
        <v>0</v>
      </c>
      <c r="AX36" s="18"/>
      <c r="AY36" s="18"/>
      <c r="AZ36" s="18"/>
      <c r="BA36" s="18">
        <v>0</v>
      </c>
    </row>
    <row r="37" spans="1:53" x14ac:dyDescent="0.3">
      <c r="A37" t="s">
        <v>1101</v>
      </c>
      <c r="B37" s="18">
        <v>0</v>
      </c>
      <c r="C37" s="18"/>
      <c r="D37" s="18"/>
      <c r="E37" s="18"/>
      <c r="F37" s="18"/>
      <c r="G37" s="18"/>
      <c r="H37" s="18">
        <v>0</v>
      </c>
      <c r="AA37" t="s">
        <v>357</v>
      </c>
      <c r="AB37" s="18"/>
      <c r="AC37" s="18"/>
      <c r="AD37" s="18">
        <v>0</v>
      </c>
      <c r="AE37" s="18"/>
      <c r="AF37" s="18"/>
      <c r="AG37" s="18"/>
      <c r="AH37" s="18">
        <v>0</v>
      </c>
      <c r="AT37">
        <v>5</v>
      </c>
      <c r="AU37" s="18"/>
      <c r="AV37" s="18"/>
      <c r="AW37" s="18">
        <v>0</v>
      </c>
      <c r="AX37" s="18"/>
      <c r="AY37" s="18"/>
      <c r="AZ37" s="18"/>
      <c r="BA37" s="18">
        <v>0</v>
      </c>
    </row>
    <row r="38" spans="1:53" x14ac:dyDescent="0.3">
      <c r="A38" t="s">
        <v>1100</v>
      </c>
      <c r="B38" s="18">
        <v>0</v>
      </c>
      <c r="C38" s="18"/>
      <c r="D38" s="18"/>
      <c r="E38" s="18"/>
      <c r="F38" s="18"/>
      <c r="G38" s="18"/>
      <c r="H38" s="18">
        <v>0</v>
      </c>
      <c r="Y38">
        <v>12</v>
      </c>
      <c r="Z38" s="57">
        <v>44483</v>
      </c>
      <c r="AA38" t="s">
        <v>418</v>
      </c>
      <c r="AB38" s="18"/>
      <c r="AC38" s="18"/>
      <c r="AD38" s="18">
        <v>0</v>
      </c>
      <c r="AE38" s="18"/>
      <c r="AF38" s="18"/>
      <c r="AG38" s="18"/>
      <c r="AH38" s="18">
        <v>0</v>
      </c>
      <c r="AT38">
        <v>6</v>
      </c>
      <c r="AU38" s="18"/>
      <c r="AV38" s="18"/>
      <c r="AW38" s="18">
        <v>0</v>
      </c>
      <c r="AX38" s="18"/>
      <c r="AY38" s="18"/>
      <c r="AZ38" s="18"/>
      <c r="BA38" s="18">
        <v>0</v>
      </c>
    </row>
    <row r="39" spans="1:53" x14ac:dyDescent="0.3">
      <c r="A39" t="s">
        <v>1196</v>
      </c>
      <c r="B39" s="18">
        <v>2576.3000000000002</v>
      </c>
      <c r="C39" s="18"/>
      <c r="D39" s="18"/>
      <c r="E39" s="18"/>
      <c r="F39" s="18"/>
      <c r="G39" s="18"/>
      <c r="H39" s="18">
        <v>2576.3000000000002</v>
      </c>
      <c r="X39">
        <v>2022</v>
      </c>
      <c r="Y39">
        <v>6</v>
      </c>
      <c r="Z39" s="57">
        <v>44660</v>
      </c>
      <c r="AA39" t="s">
        <v>688</v>
      </c>
      <c r="AB39" s="18"/>
      <c r="AC39" s="18"/>
      <c r="AD39" s="18">
        <v>0</v>
      </c>
      <c r="AE39" s="18"/>
      <c r="AF39" s="18"/>
      <c r="AG39" s="18"/>
      <c r="AH39" s="18">
        <v>0</v>
      </c>
      <c r="AT39">
        <v>7</v>
      </c>
      <c r="AU39" s="18"/>
      <c r="AV39" s="18"/>
      <c r="AW39" s="18">
        <v>0</v>
      </c>
      <c r="AX39" s="18"/>
      <c r="AY39" s="18"/>
      <c r="AZ39" s="18"/>
      <c r="BA39" s="18">
        <v>0</v>
      </c>
    </row>
    <row r="40" spans="1:53" x14ac:dyDescent="0.3">
      <c r="A40" t="s">
        <v>1257</v>
      </c>
      <c r="B40" s="18">
        <v>0</v>
      </c>
      <c r="C40" s="18"/>
      <c r="D40" s="18"/>
      <c r="E40" s="18"/>
      <c r="F40" s="18"/>
      <c r="G40" s="18"/>
      <c r="H40" s="18">
        <v>0</v>
      </c>
      <c r="Y40">
        <v>7</v>
      </c>
      <c r="Z40" s="57">
        <v>44691</v>
      </c>
      <c r="AA40" t="s">
        <v>765</v>
      </c>
      <c r="AB40" s="18"/>
      <c r="AC40" s="18"/>
      <c r="AD40" s="18">
        <v>0</v>
      </c>
      <c r="AE40" s="18"/>
      <c r="AF40" s="18"/>
      <c r="AG40" s="18"/>
      <c r="AH40" s="18">
        <v>0</v>
      </c>
      <c r="AT40">
        <v>8</v>
      </c>
      <c r="AU40" s="18"/>
      <c r="AV40" s="18"/>
      <c r="AW40" s="18">
        <v>0</v>
      </c>
      <c r="AX40" s="18"/>
      <c r="AY40" s="18"/>
      <c r="AZ40" s="18"/>
      <c r="BA40" s="18">
        <v>0</v>
      </c>
    </row>
    <row r="41" spans="1:53" x14ac:dyDescent="0.3">
      <c r="A41" t="s">
        <v>1304</v>
      </c>
      <c r="B41" s="18">
        <v>0</v>
      </c>
      <c r="C41" s="18"/>
      <c r="D41" s="18"/>
      <c r="E41" s="18"/>
      <c r="F41" s="18"/>
      <c r="G41" s="18"/>
      <c r="H41" s="18">
        <v>0</v>
      </c>
      <c r="Y41">
        <v>8</v>
      </c>
      <c r="Z41" s="57">
        <v>44726</v>
      </c>
      <c r="AA41" t="s">
        <v>836</v>
      </c>
      <c r="AB41" s="18"/>
      <c r="AC41" s="18"/>
      <c r="AD41" s="18">
        <v>0</v>
      </c>
      <c r="AE41" s="18"/>
      <c r="AF41" s="18"/>
      <c r="AG41" s="18"/>
      <c r="AH41" s="18">
        <v>0</v>
      </c>
      <c r="AT41">
        <v>9</v>
      </c>
      <c r="AU41" s="18"/>
      <c r="AV41" s="18"/>
      <c r="AW41" s="18">
        <v>0</v>
      </c>
      <c r="AX41" s="18"/>
      <c r="AY41" s="18"/>
      <c r="AZ41" s="18"/>
      <c r="BA41" s="18">
        <v>0</v>
      </c>
    </row>
    <row r="42" spans="1:53" x14ac:dyDescent="0.3">
      <c r="A42" t="s">
        <v>1309</v>
      </c>
      <c r="B42" s="18"/>
      <c r="C42" s="18"/>
      <c r="D42" s="18"/>
      <c r="E42" s="18"/>
      <c r="F42" s="18"/>
      <c r="G42" s="18">
        <v>18660</v>
      </c>
      <c r="H42" s="18">
        <v>18660</v>
      </c>
      <c r="Z42" s="57">
        <v>44743</v>
      </c>
      <c r="AA42" t="s">
        <v>856</v>
      </c>
      <c r="AB42" s="18"/>
      <c r="AC42" s="18"/>
      <c r="AD42" s="18">
        <v>0</v>
      </c>
      <c r="AE42" s="18"/>
      <c r="AF42" s="18"/>
      <c r="AG42" s="18"/>
      <c r="AH42" s="18">
        <v>0</v>
      </c>
      <c r="AT42">
        <v>10</v>
      </c>
      <c r="AU42" s="18"/>
      <c r="AV42" s="18"/>
      <c r="AW42" s="18">
        <v>0</v>
      </c>
      <c r="AX42" s="18"/>
      <c r="AY42" s="18"/>
      <c r="AZ42" s="18"/>
      <c r="BA42" s="18">
        <v>0</v>
      </c>
    </row>
    <row r="43" spans="1:53" x14ac:dyDescent="0.3">
      <c r="A43" t="s">
        <v>1420</v>
      </c>
      <c r="B43" s="18">
        <v>0</v>
      </c>
      <c r="C43" s="18"/>
      <c r="D43" s="18"/>
      <c r="E43" s="18"/>
      <c r="F43" s="18"/>
      <c r="G43" s="18"/>
      <c r="H43" s="18">
        <v>0</v>
      </c>
      <c r="Y43">
        <v>9</v>
      </c>
      <c r="Z43" s="57">
        <v>44771</v>
      </c>
      <c r="AA43" t="s">
        <v>873</v>
      </c>
      <c r="AB43" s="18"/>
      <c r="AC43" s="18"/>
      <c r="AD43" s="18">
        <v>0</v>
      </c>
      <c r="AE43" s="18"/>
      <c r="AF43" s="18"/>
      <c r="AG43" s="18"/>
      <c r="AH43" s="18">
        <v>0</v>
      </c>
      <c r="AT43">
        <v>11</v>
      </c>
      <c r="AU43" s="18"/>
      <c r="AV43" s="18"/>
      <c r="AW43" s="18">
        <v>0</v>
      </c>
      <c r="AX43" s="18"/>
      <c r="AY43" s="18"/>
      <c r="AZ43" s="18"/>
      <c r="BA43" s="18">
        <v>0</v>
      </c>
    </row>
    <row r="44" spans="1:53" x14ac:dyDescent="0.3">
      <c r="A44" t="s">
        <v>1453</v>
      </c>
      <c r="B44" s="18">
        <v>0</v>
      </c>
      <c r="C44" s="18"/>
      <c r="D44" s="18"/>
      <c r="E44" s="18"/>
      <c r="F44" s="18"/>
      <c r="G44" s="18"/>
      <c r="H44" s="18">
        <v>0</v>
      </c>
      <c r="Y44">
        <v>10</v>
      </c>
      <c r="Z44" s="57">
        <v>44796</v>
      </c>
      <c r="AA44" t="s">
        <v>911</v>
      </c>
      <c r="AB44" s="18"/>
      <c r="AC44" s="18"/>
      <c r="AD44" s="18">
        <v>0</v>
      </c>
      <c r="AE44" s="18"/>
      <c r="AF44" s="18"/>
      <c r="AG44" s="18"/>
      <c r="AH44" s="18">
        <v>0</v>
      </c>
      <c r="AT44">
        <v>12</v>
      </c>
      <c r="AU44" s="18"/>
      <c r="AV44" s="18"/>
      <c r="AW44" s="18">
        <v>0</v>
      </c>
      <c r="AX44" s="18"/>
      <c r="AY44" s="18"/>
      <c r="AZ44" s="18"/>
      <c r="BA44" s="18">
        <v>0</v>
      </c>
    </row>
    <row r="45" spans="1:53" x14ac:dyDescent="0.3">
      <c r="A45" t="s">
        <v>1697</v>
      </c>
      <c r="B45" s="18">
        <v>0</v>
      </c>
      <c r="C45" s="18"/>
      <c r="D45" s="18"/>
      <c r="E45" s="18"/>
      <c r="F45" s="18"/>
      <c r="G45" s="18"/>
      <c r="H45" s="18">
        <v>0</v>
      </c>
      <c r="Y45">
        <v>11</v>
      </c>
      <c r="Z45" t="s">
        <v>926</v>
      </c>
      <c r="AA45" t="s">
        <v>925</v>
      </c>
      <c r="AB45" s="18"/>
      <c r="AC45" s="18"/>
      <c r="AD45" s="18">
        <v>0</v>
      </c>
      <c r="AE45" s="18"/>
      <c r="AF45" s="18"/>
      <c r="AG45" s="18"/>
      <c r="AH45" s="18">
        <v>0</v>
      </c>
      <c r="AS45">
        <v>2024</v>
      </c>
      <c r="AT45">
        <v>2</v>
      </c>
      <c r="AU45" s="18"/>
      <c r="AV45" s="18"/>
      <c r="AW45" s="18">
        <v>0</v>
      </c>
      <c r="AX45" s="18"/>
      <c r="AY45" s="18"/>
      <c r="AZ45" s="18"/>
      <c r="BA45" s="18">
        <v>0</v>
      </c>
    </row>
    <row r="46" spans="1:53" x14ac:dyDescent="0.3">
      <c r="A46" t="s">
        <v>1620</v>
      </c>
      <c r="B46" s="18">
        <v>0</v>
      </c>
      <c r="C46" s="18"/>
      <c r="D46" s="18"/>
      <c r="E46" s="18"/>
      <c r="F46" s="18"/>
      <c r="G46" s="18"/>
      <c r="H46" s="18">
        <v>0</v>
      </c>
      <c r="Y46">
        <v>12</v>
      </c>
      <c r="Z46" s="57">
        <v>44852</v>
      </c>
      <c r="AA46" t="s">
        <v>1006</v>
      </c>
      <c r="AB46" s="18"/>
      <c r="AC46" s="18"/>
      <c r="AD46" s="18">
        <v>0</v>
      </c>
      <c r="AE46" s="18"/>
      <c r="AF46" s="18"/>
      <c r="AG46" s="18"/>
      <c r="AH46" s="18">
        <v>0</v>
      </c>
      <c r="AT46">
        <v>3</v>
      </c>
      <c r="AU46" s="18"/>
      <c r="AV46" s="18"/>
      <c r="AW46" s="18">
        <v>0</v>
      </c>
      <c r="AX46" s="18"/>
      <c r="AY46" s="18"/>
      <c r="AZ46" s="18"/>
      <c r="BA46" s="18">
        <v>0</v>
      </c>
    </row>
    <row r="47" spans="1:53" x14ac:dyDescent="0.3">
      <c r="A47" t="s">
        <v>1702</v>
      </c>
      <c r="B47" s="18">
        <v>0</v>
      </c>
      <c r="C47" s="18"/>
      <c r="D47" s="18"/>
      <c r="E47" s="18"/>
      <c r="F47" s="18"/>
      <c r="G47" s="18"/>
      <c r="H47" s="18">
        <v>0</v>
      </c>
      <c r="Y47">
        <v>4</v>
      </c>
      <c r="Z47" s="57">
        <v>44610</v>
      </c>
      <c r="AA47" t="s">
        <v>604</v>
      </c>
      <c r="AB47" s="18"/>
      <c r="AC47" s="18"/>
      <c r="AD47" s="18">
        <v>0</v>
      </c>
      <c r="AE47" s="18"/>
      <c r="AF47" s="18"/>
      <c r="AG47" s="18"/>
      <c r="AH47" s="18">
        <v>0</v>
      </c>
      <c r="AT47">
        <v>5</v>
      </c>
      <c r="AU47" s="18"/>
      <c r="AV47" s="18"/>
      <c r="AW47" s="18">
        <v>0</v>
      </c>
      <c r="AX47" s="18"/>
      <c r="AY47" s="18"/>
      <c r="AZ47" s="18"/>
      <c r="BA47" s="18">
        <v>0</v>
      </c>
    </row>
    <row r="48" spans="1:53" x14ac:dyDescent="0.3">
      <c r="A48" t="s">
        <v>1704</v>
      </c>
      <c r="B48" s="18">
        <v>0</v>
      </c>
      <c r="C48" s="18"/>
      <c r="D48" s="18"/>
      <c r="E48" s="18"/>
      <c r="F48" s="18"/>
      <c r="G48" s="18"/>
      <c r="H48" s="18">
        <v>0</v>
      </c>
      <c r="X48">
        <v>2023</v>
      </c>
      <c r="Y48">
        <v>1</v>
      </c>
      <c r="Z48" s="57">
        <v>44868</v>
      </c>
      <c r="AA48" t="s">
        <v>1048</v>
      </c>
      <c r="AB48" s="18"/>
      <c r="AC48" s="18"/>
      <c r="AD48" s="18">
        <v>0</v>
      </c>
      <c r="AE48" s="18"/>
      <c r="AF48" s="18"/>
      <c r="AG48" s="18"/>
      <c r="AH48" s="18">
        <v>0</v>
      </c>
      <c r="AT48">
        <v>6</v>
      </c>
      <c r="AU48" s="18"/>
      <c r="AV48" s="18"/>
      <c r="AW48" s="18">
        <v>0</v>
      </c>
      <c r="AX48" s="18"/>
      <c r="AY48" s="18"/>
      <c r="AZ48" s="18"/>
      <c r="BA48" s="18">
        <v>0</v>
      </c>
    </row>
    <row r="49" spans="1:53" x14ac:dyDescent="0.3">
      <c r="A49" t="s">
        <v>2012</v>
      </c>
      <c r="B49" s="18">
        <v>522339.3</v>
      </c>
      <c r="C49" s="18"/>
      <c r="D49" s="18"/>
      <c r="E49" s="18"/>
      <c r="F49" s="18"/>
      <c r="G49" s="18"/>
      <c r="H49" s="18">
        <v>522339.3</v>
      </c>
      <c r="Y49">
        <v>2</v>
      </c>
      <c r="Z49" s="57">
        <v>44898</v>
      </c>
      <c r="AA49" t="s">
        <v>1113</v>
      </c>
      <c r="AB49" s="18"/>
      <c r="AC49" s="18"/>
      <c r="AD49" s="18">
        <v>0</v>
      </c>
      <c r="AE49" s="18"/>
      <c r="AF49" s="18"/>
      <c r="AG49" s="18"/>
      <c r="AH49" s="18">
        <v>0</v>
      </c>
      <c r="AT49">
        <v>8</v>
      </c>
      <c r="AU49" s="18"/>
      <c r="AV49" s="18"/>
      <c r="AW49" s="18">
        <v>0</v>
      </c>
      <c r="AX49" s="18"/>
      <c r="AY49" s="18"/>
      <c r="AZ49" s="18"/>
      <c r="BA49" s="18">
        <v>0</v>
      </c>
    </row>
    <row r="50" spans="1:53" x14ac:dyDescent="0.3">
      <c r="A50" t="s">
        <v>2134</v>
      </c>
      <c r="B50" s="18">
        <v>0</v>
      </c>
      <c r="C50" s="18"/>
      <c r="D50" s="18"/>
      <c r="E50" s="18"/>
      <c r="F50" s="18"/>
      <c r="G50" s="18"/>
      <c r="H50" s="18">
        <v>0</v>
      </c>
      <c r="Y50">
        <v>3</v>
      </c>
      <c r="Z50" s="57">
        <v>44953</v>
      </c>
      <c r="AA50" t="s">
        <v>1195</v>
      </c>
      <c r="AB50" s="18"/>
      <c r="AC50" s="18"/>
      <c r="AD50" s="18">
        <v>0</v>
      </c>
      <c r="AE50" s="18"/>
      <c r="AF50" s="18"/>
      <c r="AG50" s="18"/>
      <c r="AH50" s="18">
        <v>0</v>
      </c>
      <c r="AT50">
        <v>9</v>
      </c>
      <c r="AU50" s="18"/>
      <c r="AV50" s="18"/>
      <c r="AW50" s="18">
        <v>0</v>
      </c>
      <c r="AX50" s="18"/>
      <c r="AY50" s="18"/>
      <c r="AZ50" s="18"/>
      <c r="BA50" s="18">
        <v>0</v>
      </c>
    </row>
    <row r="51" spans="1:53" x14ac:dyDescent="0.3">
      <c r="A51" t="s">
        <v>2271</v>
      </c>
      <c r="B51" s="18">
        <v>0</v>
      </c>
      <c r="C51" s="18"/>
      <c r="D51" s="18"/>
      <c r="E51" s="18"/>
      <c r="F51" s="18"/>
      <c r="G51" s="18"/>
      <c r="H51" s="18">
        <v>0</v>
      </c>
      <c r="Y51">
        <v>5</v>
      </c>
      <c r="Z51" t="s">
        <v>1334</v>
      </c>
      <c r="AA51" t="s">
        <v>1338</v>
      </c>
      <c r="AB51" s="18"/>
      <c r="AC51" s="18"/>
      <c r="AD51" s="18">
        <v>0</v>
      </c>
      <c r="AE51" s="18"/>
      <c r="AF51" s="18"/>
      <c r="AG51" s="18"/>
      <c r="AH51" s="18">
        <v>0</v>
      </c>
      <c r="AT51">
        <v>4</v>
      </c>
      <c r="AU51" s="18"/>
      <c r="AV51" s="18"/>
      <c r="AW51" s="18">
        <v>0</v>
      </c>
      <c r="AX51" s="18"/>
      <c r="AY51" s="18"/>
      <c r="AZ51" s="18"/>
      <c r="BA51" s="18">
        <v>0</v>
      </c>
    </row>
    <row r="52" spans="1:53" x14ac:dyDescent="0.3">
      <c r="A52" t="s">
        <v>2284</v>
      </c>
      <c r="B52" s="18">
        <v>0</v>
      </c>
      <c r="C52" s="18"/>
      <c r="D52" s="18"/>
      <c r="E52" s="18"/>
      <c r="F52" s="18"/>
      <c r="G52" s="18"/>
      <c r="H52" s="18">
        <v>0</v>
      </c>
      <c r="Y52">
        <v>6</v>
      </c>
      <c r="Z52" t="s">
        <v>1403</v>
      </c>
      <c r="AA52" t="s">
        <v>1410</v>
      </c>
      <c r="AB52" s="18"/>
      <c r="AC52" s="18"/>
      <c r="AD52" s="18">
        <v>0</v>
      </c>
      <c r="AE52" s="18"/>
      <c r="AF52" s="18"/>
      <c r="AG52" s="18"/>
      <c r="AH52" s="18">
        <v>0</v>
      </c>
      <c r="AR52" s="36" t="s">
        <v>134</v>
      </c>
      <c r="AS52" s="36"/>
      <c r="AT52" s="36"/>
      <c r="AU52" s="37"/>
      <c r="AV52" s="37"/>
      <c r="AW52" s="37">
        <v>0</v>
      </c>
      <c r="AX52" s="37"/>
      <c r="AY52" s="37"/>
      <c r="AZ52" s="37"/>
      <c r="BA52" s="37">
        <v>0</v>
      </c>
    </row>
    <row r="53" spans="1:53" x14ac:dyDescent="0.3">
      <c r="A53" t="s">
        <v>2362</v>
      </c>
      <c r="B53" s="18">
        <v>0</v>
      </c>
      <c r="C53" s="18"/>
      <c r="D53" s="18"/>
      <c r="E53" s="18"/>
      <c r="F53" s="18"/>
      <c r="G53" s="18"/>
      <c r="H53" s="18">
        <v>0</v>
      </c>
      <c r="Z53" t="s">
        <v>1441</v>
      </c>
      <c r="AA53" t="s">
        <v>1440</v>
      </c>
      <c r="AB53" s="18"/>
      <c r="AC53" s="18"/>
      <c r="AD53" s="18">
        <v>0</v>
      </c>
      <c r="AE53" s="18"/>
      <c r="AF53" s="18"/>
      <c r="AG53" s="18"/>
      <c r="AH53" s="18">
        <v>0</v>
      </c>
      <c r="AR53" t="s">
        <v>7</v>
      </c>
      <c r="AS53">
        <v>2020</v>
      </c>
      <c r="AT53">
        <v>6</v>
      </c>
      <c r="AU53" s="18">
        <v>0</v>
      </c>
      <c r="AV53" s="18"/>
      <c r="AW53" s="18"/>
      <c r="AX53" s="18"/>
      <c r="AY53" s="18"/>
      <c r="AZ53" s="18"/>
      <c r="BA53" s="18">
        <v>0</v>
      </c>
    </row>
    <row r="54" spans="1:53" x14ac:dyDescent="0.3">
      <c r="A54" t="s">
        <v>2440</v>
      </c>
      <c r="B54" s="18">
        <v>0</v>
      </c>
      <c r="C54" s="18"/>
      <c r="D54" s="18"/>
      <c r="E54" s="18"/>
      <c r="F54" s="18"/>
      <c r="G54" s="18"/>
      <c r="H54" s="18">
        <v>0</v>
      </c>
      <c r="Y54">
        <v>7</v>
      </c>
      <c r="Z54" s="57">
        <v>45054</v>
      </c>
      <c r="AA54" t="s">
        <v>1537</v>
      </c>
      <c r="AB54" s="18"/>
      <c r="AC54" s="18"/>
      <c r="AD54" s="18">
        <v>0</v>
      </c>
      <c r="AE54" s="18"/>
      <c r="AF54" s="18"/>
      <c r="AG54" s="18"/>
      <c r="AH54" s="18">
        <v>0</v>
      </c>
      <c r="AT54">
        <v>7</v>
      </c>
      <c r="AU54" s="18">
        <v>0</v>
      </c>
      <c r="AV54" s="18"/>
      <c r="AW54" s="18"/>
      <c r="AX54" s="18"/>
      <c r="AY54" s="18"/>
      <c r="AZ54" s="18"/>
      <c r="BA54" s="18">
        <v>0</v>
      </c>
    </row>
    <row r="55" spans="1:53" x14ac:dyDescent="0.3">
      <c r="A55" t="s">
        <v>2656</v>
      </c>
      <c r="B55" s="18">
        <v>2360</v>
      </c>
      <c r="C55" s="18"/>
      <c r="D55" s="18"/>
      <c r="E55" s="18"/>
      <c r="F55" s="18"/>
      <c r="G55" s="18"/>
      <c r="H55" s="18">
        <v>2360</v>
      </c>
      <c r="Z55" s="57">
        <v>45072</v>
      </c>
      <c r="AA55" t="s">
        <v>1560</v>
      </c>
      <c r="AB55" s="18"/>
      <c r="AC55" s="18"/>
      <c r="AD55" s="18">
        <v>0</v>
      </c>
      <c r="AE55" s="18"/>
      <c r="AF55" s="18"/>
      <c r="AG55" s="18"/>
      <c r="AH55" s="18">
        <v>0</v>
      </c>
      <c r="AT55">
        <v>8</v>
      </c>
      <c r="AU55" s="18">
        <v>0</v>
      </c>
      <c r="AV55" s="18"/>
      <c r="AW55" s="18"/>
      <c r="AX55" s="18"/>
      <c r="AY55" s="18"/>
      <c r="AZ55" s="18"/>
      <c r="BA55" s="18">
        <v>0</v>
      </c>
    </row>
    <row r="56" spans="1:53" x14ac:dyDescent="0.3">
      <c r="A56" t="s">
        <v>2728</v>
      </c>
      <c r="B56" s="18">
        <v>18972.5</v>
      </c>
      <c r="C56" s="18"/>
      <c r="D56" s="18"/>
      <c r="E56" s="18"/>
      <c r="F56" s="18"/>
      <c r="G56" s="18"/>
      <c r="H56" s="18">
        <v>18972.5</v>
      </c>
      <c r="Y56">
        <v>8</v>
      </c>
      <c r="Z56" t="s">
        <v>1708</v>
      </c>
      <c r="AA56" t="s">
        <v>1705</v>
      </c>
      <c r="AB56" s="18"/>
      <c r="AC56" s="18"/>
      <c r="AD56" s="18">
        <v>0</v>
      </c>
      <c r="AE56" s="18"/>
      <c r="AF56" s="18"/>
      <c r="AG56" s="18"/>
      <c r="AH56" s="18">
        <v>0</v>
      </c>
      <c r="AT56">
        <v>9</v>
      </c>
      <c r="AU56" s="18">
        <v>0</v>
      </c>
      <c r="AV56" s="18"/>
      <c r="AW56" s="18"/>
      <c r="AX56" s="18"/>
      <c r="AY56" s="18"/>
      <c r="AZ56" s="18"/>
      <c r="BA56" s="18">
        <v>0</v>
      </c>
    </row>
    <row r="57" spans="1:53" x14ac:dyDescent="0.3">
      <c r="A57" t="s">
        <v>2734</v>
      </c>
      <c r="B57" s="18">
        <v>0</v>
      </c>
      <c r="C57" s="18"/>
      <c r="D57" s="18"/>
      <c r="E57" s="18"/>
      <c r="F57" s="18"/>
      <c r="G57" s="18"/>
      <c r="H57" s="18">
        <v>0</v>
      </c>
      <c r="Y57">
        <v>9</v>
      </c>
      <c r="Z57" s="57">
        <v>45139</v>
      </c>
      <c r="AA57" t="s">
        <v>1792</v>
      </c>
      <c r="AB57" s="18"/>
      <c r="AC57" s="18"/>
      <c r="AD57" s="18">
        <v>0</v>
      </c>
      <c r="AE57" s="18"/>
      <c r="AF57" s="18"/>
      <c r="AG57" s="18"/>
      <c r="AH57" s="18">
        <v>0</v>
      </c>
      <c r="AT57">
        <v>10</v>
      </c>
      <c r="AU57" s="18">
        <v>0</v>
      </c>
      <c r="AV57" s="18"/>
      <c r="AW57" s="18"/>
      <c r="AX57" s="18"/>
      <c r="AY57" s="18"/>
      <c r="AZ57" s="18"/>
      <c r="BA57" s="18">
        <v>0</v>
      </c>
    </row>
    <row r="58" spans="1:53" x14ac:dyDescent="0.3">
      <c r="A58" t="s">
        <v>2740</v>
      </c>
      <c r="B58" s="18">
        <v>0</v>
      </c>
      <c r="C58" s="18"/>
      <c r="D58" s="18"/>
      <c r="E58" s="18"/>
      <c r="F58" s="18"/>
      <c r="G58" s="18"/>
      <c r="H58" s="18">
        <v>0</v>
      </c>
      <c r="Y58">
        <v>10</v>
      </c>
      <c r="Z58" s="57">
        <v>45147</v>
      </c>
      <c r="AA58" t="s">
        <v>1809</v>
      </c>
      <c r="AB58" s="18"/>
      <c r="AC58" s="18"/>
      <c r="AD58" s="18">
        <v>0</v>
      </c>
      <c r="AE58" s="18"/>
      <c r="AF58" s="18"/>
      <c r="AG58" s="18"/>
      <c r="AH58" s="18">
        <v>0</v>
      </c>
      <c r="AT58">
        <v>11</v>
      </c>
      <c r="AU58" s="18">
        <v>0</v>
      </c>
      <c r="AV58" s="18"/>
      <c r="AW58" s="18"/>
      <c r="AX58" s="18"/>
      <c r="AY58" s="18"/>
      <c r="AZ58" s="18"/>
      <c r="BA58" s="18">
        <v>0</v>
      </c>
    </row>
    <row r="59" spans="1:53" x14ac:dyDescent="0.3">
      <c r="A59" t="s">
        <v>2928</v>
      </c>
      <c r="B59" s="18">
        <v>0</v>
      </c>
      <c r="C59" s="18"/>
      <c r="D59" s="18"/>
      <c r="E59" s="18"/>
      <c r="F59" s="18"/>
      <c r="G59" s="18"/>
      <c r="H59" s="18">
        <v>0</v>
      </c>
      <c r="Y59">
        <v>11</v>
      </c>
      <c r="Z59" s="57">
        <v>45177</v>
      </c>
      <c r="AA59" t="s">
        <v>1890</v>
      </c>
      <c r="AB59" s="18"/>
      <c r="AC59" s="18"/>
      <c r="AD59" s="18">
        <v>0</v>
      </c>
      <c r="AE59" s="18"/>
      <c r="AF59" s="18"/>
      <c r="AG59" s="18"/>
      <c r="AH59" s="18">
        <v>0</v>
      </c>
      <c r="AT59">
        <v>12</v>
      </c>
      <c r="AU59" s="18">
        <v>0</v>
      </c>
      <c r="AV59" s="18"/>
      <c r="AW59" s="18"/>
      <c r="AX59" s="18"/>
      <c r="AY59" s="18"/>
      <c r="AZ59" s="18"/>
      <c r="BA59" s="18">
        <v>0</v>
      </c>
    </row>
    <row r="60" spans="1:53" x14ac:dyDescent="0.3">
      <c r="A60" t="s">
        <v>2929</v>
      </c>
      <c r="B60" s="18">
        <v>0.5</v>
      </c>
      <c r="C60" s="18"/>
      <c r="D60" s="18"/>
      <c r="E60" s="18"/>
      <c r="F60" s="18"/>
      <c r="G60" s="18"/>
      <c r="H60" s="18">
        <v>0.5</v>
      </c>
      <c r="Y60">
        <v>12</v>
      </c>
      <c r="Z60" t="s">
        <v>2009</v>
      </c>
      <c r="AA60" t="s">
        <v>2008</v>
      </c>
      <c r="AB60" s="18"/>
      <c r="AC60" s="18"/>
      <c r="AD60" s="18">
        <v>0</v>
      </c>
      <c r="AE60" s="18"/>
      <c r="AF60" s="18"/>
      <c r="AG60" s="18"/>
      <c r="AH60" s="18">
        <v>0</v>
      </c>
      <c r="AS60">
        <v>2021</v>
      </c>
      <c r="AT60">
        <v>1</v>
      </c>
      <c r="AU60" s="18">
        <v>0</v>
      </c>
      <c r="AV60" s="18"/>
      <c r="AW60" s="18"/>
      <c r="AX60" s="18"/>
      <c r="AY60" s="18"/>
      <c r="AZ60" s="18"/>
      <c r="BA60" s="18">
        <v>0</v>
      </c>
    </row>
    <row r="61" spans="1:53" x14ac:dyDescent="0.3">
      <c r="A61" t="s">
        <v>2939</v>
      </c>
      <c r="B61" s="18">
        <v>515</v>
      </c>
      <c r="C61" s="18"/>
      <c r="D61" s="18"/>
      <c r="E61" s="18"/>
      <c r="F61" s="18"/>
      <c r="G61" s="18"/>
      <c r="H61" s="18">
        <v>515</v>
      </c>
      <c r="Z61" s="57">
        <v>45218</v>
      </c>
      <c r="AA61" t="s">
        <v>2016</v>
      </c>
      <c r="AB61" s="18"/>
      <c r="AC61" s="18"/>
      <c r="AD61" s="18">
        <v>0</v>
      </c>
      <c r="AE61" s="18"/>
      <c r="AF61" s="18"/>
      <c r="AG61" s="18"/>
      <c r="AH61" s="18">
        <v>0</v>
      </c>
      <c r="AT61">
        <v>2</v>
      </c>
      <c r="AU61" s="18">
        <v>0</v>
      </c>
      <c r="AV61" s="18"/>
      <c r="AW61" s="18"/>
      <c r="AX61" s="18"/>
      <c r="AY61" s="18"/>
      <c r="AZ61" s="18"/>
      <c r="BA61" s="18">
        <v>0</v>
      </c>
    </row>
    <row r="62" spans="1:53" x14ac:dyDescent="0.3">
      <c r="A62" t="s">
        <v>3061</v>
      </c>
      <c r="B62" s="18">
        <v>0</v>
      </c>
      <c r="C62" s="18"/>
      <c r="D62" s="18"/>
      <c r="E62" s="18"/>
      <c r="F62" s="18"/>
      <c r="G62" s="18"/>
      <c r="H62" s="18">
        <v>0</v>
      </c>
      <c r="X62">
        <v>2024</v>
      </c>
      <c r="Y62">
        <v>2</v>
      </c>
      <c r="Z62" s="57">
        <v>45273</v>
      </c>
      <c r="AA62" t="s">
        <v>2189</v>
      </c>
      <c r="AB62" s="18"/>
      <c r="AC62" s="18"/>
      <c r="AD62" s="18">
        <v>0</v>
      </c>
      <c r="AE62" s="18"/>
      <c r="AF62" s="18"/>
      <c r="AG62" s="18"/>
      <c r="AH62" s="18">
        <v>0</v>
      </c>
      <c r="AT62">
        <v>5</v>
      </c>
      <c r="AU62" s="18">
        <v>0</v>
      </c>
      <c r="AV62" s="18"/>
      <c r="AW62" s="18"/>
      <c r="AX62" s="18"/>
      <c r="AY62" s="18"/>
      <c r="AZ62" s="18"/>
      <c r="BA62" s="18">
        <v>0</v>
      </c>
    </row>
    <row r="63" spans="1:53" x14ac:dyDescent="0.3">
      <c r="A63" t="s">
        <v>3063</v>
      </c>
      <c r="B63" s="18">
        <v>0</v>
      </c>
      <c r="C63" s="18"/>
      <c r="D63" s="18"/>
      <c r="E63" s="18"/>
      <c r="F63" s="18"/>
      <c r="G63" s="18"/>
      <c r="H63" s="18">
        <v>0</v>
      </c>
      <c r="Y63">
        <v>3</v>
      </c>
      <c r="Z63" s="57">
        <v>45299</v>
      </c>
      <c r="AA63" t="s">
        <v>2274</v>
      </c>
      <c r="AB63" s="18"/>
      <c r="AC63" s="18"/>
      <c r="AD63" s="18">
        <v>0</v>
      </c>
      <c r="AE63" s="18"/>
      <c r="AF63" s="18"/>
      <c r="AG63" s="18"/>
      <c r="AH63" s="18">
        <v>0</v>
      </c>
      <c r="AT63">
        <v>9</v>
      </c>
      <c r="AU63" s="18">
        <v>0</v>
      </c>
      <c r="AV63" s="18"/>
      <c r="AW63" s="18"/>
      <c r="AX63" s="18"/>
      <c r="AY63" s="18"/>
      <c r="AZ63" s="18"/>
      <c r="BA63" s="18">
        <v>0</v>
      </c>
    </row>
    <row r="64" spans="1:53" x14ac:dyDescent="0.3">
      <c r="A64" t="s">
        <v>3100</v>
      </c>
      <c r="B64" s="18"/>
      <c r="C64" s="18"/>
      <c r="D64" s="18"/>
      <c r="E64" s="18"/>
      <c r="F64" s="18">
        <v>0</v>
      </c>
      <c r="G64" s="18"/>
      <c r="H64" s="18">
        <v>0</v>
      </c>
      <c r="Y64">
        <v>5</v>
      </c>
      <c r="Z64" s="57">
        <v>45355</v>
      </c>
      <c r="AA64" t="s">
        <v>2428</v>
      </c>
      <c r="AB64" s="18"/>
      <c r="AC64" s="18"/>
      <c r="AD64" s="18">
        <v>0</v>
      </c>
      <c r="AE64" s="18"/>
      <c r="AF64" s="18"/>
      <c r="AG64" s="18"/>
      <c r="AH64" s="18">
        <v>0</v>
      </c>
      <c r="AT64">
        <v>10</v>
      </c>
      <c r="AU64" s="18">
        <v>0</v>
      </c>
      <c r="AV64" s="18"/>
      <c r="AW64" s="18"/>
      <c r="AX64" s="18"/>
      <c r="AY64" s="18"/>
      <c r="AZ64" s="18"/>
      <c r="BA64" s="18">
        <v>0</v>
      </c>
    </row>
    <row r="65" spans="1:53" x14ac:dyDescent="0.3">
      <c r="A65" t="s">
        <v>3225</v>
      </c>
      <c r="B65" s="18">
        <v>0</v>
      </c>
      <c r="C65" s="18"/>
      <c r="D65" s="18"/>
      <c r="E65" s="18"/>
      <c r="F65" s="18"/>
      <c r="G65" s="18"/>
      <c r="H65" s="18">
        <v>0</v>
      </c>
      <c r="Y65">
        <v>6</v>
      </c>
      <c r="Z65" s="57">
        <v>45387</v>
      </c>
      <c r="AA65" t="s">
        <v>2507</v>
      </c>
      <c r="AB65" s="18"/>
      <c r="AC65" s="18"/>
      <c r="AD65" s="18">
        <v>0</v>
      </c>
      <c r="AE65" s="18"/>
      <c r="AF65" s="18"/>
      <c r="AG65" s="18"/>
      <c r="AH65" s="18">
        <v>0</v>
      </c>
      <c r="AT65">
        <v>12</v>
      </c>
      <c r="AU65" s="18">
        <v>0</v>
      </c>
      <c r="AV65" s="18"/>
      <c r="AW65" s="18"/>
      <c r="AX65" s="18"/>
      <c r="AY65" s="18"/>
      <c r="AZ65" s="18"/>
      <c r="BA65" s="18">
        <v>0</v>
      </c>
    </row>
    <row r="66" spans="1:53" x14ac:dyDescent="0.3">
      <c r="A66" t="s">
        <v>3230</v>
      </c>
      <c r="B66" s="18">
        <v>0</v>
      </c>
      <c r="C66" s="18"/>
      <c r="D66" s="18"/>
      <c r="E66" s="18"/>
      <c r="F66" s="18"/>
      <c r="G66" s="18"/>
      <c r="H66" s="18">
        <v>0</v>
      </c>
      <c r="Z66" s="57">
        <v>45390</v>
      </c>
      <c r="AA66" t="s">
        <v>2508</v>
      </c>
      <c r="AB66" s="18"/>
      <c r="AC66" s="18"/>
      <c r="AD66" s="18">
        <v>0</v>
      </c>
      <c r="AE66" s="18"/>
      <c r="AF66" s="18"/>
      <c r="AG66" s="18"/>
      <c r="AH66" s="18">
        <v>0</v>
      </c>
      <c r="AT66">
        <v>4</v>
      </c>
      <c r="AU66" s="18">
        <v>0</v>
      </c>
      <c r="AV66" s="18"/>
      <c r="AW66" s="18"/>
      <c r="AX66" s="18"/>
      <c r="AY66" s="18"/>
      <c r="AZ66" s="18"/>
      <c r="BA66" s="18">
        <v>0</v>
      </c>
    </row>
    <row r="67" spans="1:53" x14ac:dyDescent="0.3">
      <c r="A67" t="s">
        <v>3268</v>
      </c>
      <c r="B67" s="18">
        <v>0</v>
      </c>
      <c r="C67" s="18"/>
      <c r="D67" s="18"/>
      <c r="E67" s="18"/>
      <c r="F67" s="18"/>
      <c r="G67" s="18"/>
      <c r="H67" s="18">
        <v>0</v>
      </c>
      <c r="Z67" s="57">
        <v>45411</v>
      </c>
      <c r="AA67" t="s">
        <v>2525</v>
      </c>
      <c r="AB67" s="18"/>
      <c r="AC67" s="18"/>
      <c r="AD67" s="18">
        <v>0</v>
      </c>
      <c r="AE67" s="18"/>
      <c r="AF67" s="18"/>
      <c r="AG67" s="18"/>
      <c r="AH67" s="18">
        <v>0</v>
      </c>
      <c r="AS67">
        <v>2019</v>
      </c>
      <c r="AT67">
        <v>12</v>
      </c>
      <c r="AU67" s="18">
        <v>0</v>
      </c>
      <c r="AV67" s="18"/>
      <c r="AW67" s="18"/>
      <c r="AX67" s="18"/>
      <c r="AY67" s="18"/>
      <c r="AZ67" s="18"/>
      <c r="BA67" s="18">
        <v>0</v>
      </c>
    </row>
    <row r="68" spans="1:53" x14ac:dyDescent="0.3">
      <c r="A68" t="s">
        <v>3330</v>
      </c>
      <c r="B68" s="18">
        <v>0</v>
      </c>
      <c r="C68" s="18"/>
      <c r="D68" s="18"/>
      <c r="E68" s="18"/>
      <c r="F68" s="18"/>
      <c r="G68" s="18"/>
      <c r="H68" s="18">
        <v>0</v>
      </c>
      <c r="Y68">
        <v>8</v>
      </c>
      <c r="Z68" s="57">
        <v>45468</v>
      </c>
      <c r="AA68" t="s">
        <v>2659</v>
      </c>
      <c r="AB68" s="18"/>
      <c r="AC68" s="18"/>
      <c r="AD68" s="18">
        <v>0</v>
      </c>
      <c r="AE68" s="18"/>
      <c r="AF68" s="18"/>
      <c r="AG68" s="18"/>
      <c r="AH68" s="18">
        <v>0</v>
      </c>
      <c r="AS68">
        <v>2022</v>
      </c>
      <c r="AT68">
        <v>3</v>
      </c>
      <c r="AU68" s="18">
        <v>0</v>
      </c>
      <c r="AV68" s="18"/>
      <c r="AW68" s="18"/>
      <c r="AX68" s="18"/>
      <c r="AY68" s="18"/>
      <c r="AZ68" s="18"/>
      <c r="BA68" s="18">
        <v>0</v>
      </c>
    </row>
    <row r="69" spans="1:53" x14ac:dyDescent="0.3">
      <c r="A69" t="s">
        <v>3532</v>
      </c>
      <c r="B69" s="18">
        <v>3923.7</v>
      </c>
      <c r="C69" s="18"/>
      <c r="D69" s="18"/>
      <c r="E69" s="18"/>
      <c r="F69" s="18"/>
      <c r="G69" s="18"/>
      <c r="H69" s="18">
        <v>3923.7</v>
      </c>
      <c r="Y69">
        <v>9</v>
      </c>
      <c r="Z69" s="57">
        <v>45485</v>
      </c>
      <c r="AA69" t="s">
        <v>2759</v>
      </c>
      <c r="AB69" s="18"/>
      <c r="AC69" s="18"/>
      <c r="AD69" s="18">
        <v>0</v>
      </c>
      <c r="AE69" s="18"/>
      <c r="AF69" s="18"/>
      <c r="AG69" s="18"/>
      <c r="AH69" s="18">
        <v>0</v>
      </c>
      <c r="AT69">
        <v>6</v>
      </c>
      <c r="AU69" s="18">
        <v>0</v>
      </c>
      <c r="AV69" s="18"/>
      <c r="AW69" s="18"/>
      <c r="AX69" s="18"/>
      <c r="AY69" s="18"/>
      <c r="AZ69" s="18"/>
      <c r="BA69" s="18">
        <v>0</v>
      </c>
    </row>
    <row r="70" spans="1:53" x14ac:dyDescent="0.3">
      <c r="A70" t="s">
        <v>3549</v>
      </c>
      <c r="B70" s="18">
        <v>0.5</v>
      </c>
      <c r="C70" s="18"/>
      <c r="D70" s="18"/>
      <c r="E70" s="18"/>
      <c r="F70" s="18"/>
      <c r="G70" s="18"/>
      <c r="H70" s="18">
        <v>0.5</v>
      </c>
      <c r="Z70" s="57">
        <v>45496</v>
      </c>
      <c r="AA70" t="s">
        <v>2766</v>
      </c>
      <c r="AB70" s="18"/>
      <c r="AC70" s="18"/>
      <c r="AD70" s="18">
        <v>0</v>
      </c>
      <c r="AE70" s="18"/>
      <c r="AF70" s="18"/>
      <c r="AG70" s="18"/>
      <c r="AH70" s="18">
        <v>0</v>
      </c>
      <c r="AT70">
        <v>7</v>
      </c>
      <c r="AU70" s="18">
        <v>0</v>
      </c>
      <c r="AV70" s="18"/>
      <c r="AW70" s="18"/>
      <c r="AX70" s="18"/>
      <c r="AY70" s="18"/>
      <c r="AZ70" s="18"/>
      <c r="BA70" s="18">
        <v>0</v>
      </c>
    </row>
    <row r="71" spans="1:53" x14ac:dyDescent="0.3">
      <c r="A71" t="s">
        <v>3837</v>
      </c>
      <c r="B71" s="18">
        <v>0</v>
      </c>
      <c r="C71" s="18"/>
      <c r="D71" s="18"/>
      <c r="E71" s="18"/>
      <c r="F71" s="18"/>
      <c r="G71" s="18"/>
      <c r="H71" s="18">
        <v>0</v>
      </c>
      <c r="Y71">
        <v>4</v>
      </c>
      <c r="Z71" s="57">
        <v>45344</v>
      </c>
      <c r="AA71" t="s">
        <v>2365</v>
      </c>
      <c r="AB71" s="18"/>
      <c r="AC71" s="18"/>
      <c r="AD71" s="18">
        <v>0</v>
      </c>
      <c r="AE71" s="18"/>
      <c r="AF71" s="18"/>
      <c r="AG71" s="18"/>
      <c r="AH71" s="18">
        <v>0</v>
      </c>
      <c r="AT71">
        <v>8</v>
      </c>
      <c r="AU71" s="18">
        <v>0</v>
      </c>
      <c r="AV71" s="18"/>
      <c r="AW71" s="18"/>
      <c r="AX71" s="18"/>
      <c r="AY71" s="18"/>
      <c r="AZ71" s="18"/>
      <c r="BA71" s="18">
        <v>0</v>
      </c>
    </row>
    <row r="72" spans="1:53" x14ac:dyDescent="0.3">
      <c r="A72" t="s">
        <v>3867</v>
      </c>
      <c r="B72" s="18">
        <v>0</v>
      </c>
      <c r="C72" s="18"/>
      <c r="D72" s="18"/>
      <c r="E72" s="18"/>
      <c r="F72" s="18"/>
      <c r="G72" s="18"/>
      <c r="H72" s="18">
        <v>0</v>
      </c>
      <c r="W72" s="36" t="s">
        <v>134</v>
      </c>
      <c r="X72" s="36"/>
      <c r="Y72" s="36"/>
      <c r="Z72" s="36"/>
      <c r="AA72" s="36"/>
      <c r="AB72" s="37"/>
      <c r="AC72" s="37"/>
      <c r="AD72" s="37">
        <v>0</v>
      </c>
      <c r="AE72" s="37"/>
      <c r="AF72" s="37"/>
      <c r="AG72" s="37"/>
      <c r="AH72" s="37">
        <v>0</v>
      </c>
      <c r="AT72">
        <v>9</v>
      </c>
      <c r="AU72" s="18">
        <v>0</v>
      </c>
      <c r="AV72" s="18"/>
      <c r="AW72" s="18"/>
      <c r="AX72" s="18"/>
      <c r="AY72" s="18"/>
      <c r="AZ72" s="18"/>
      <c r="BA72" s="18">
        <v>0</v>
      </c>
    </row>
    <row r="73" spans="1:53" x14ac:dyDescent="0.3">
      <c r="A73" t="s">
        <v>131</v>
      </c>
      <c r="B73" s="18">
        <v>710248.7</v>
      </c>
      <c r="C73" s="18">
        <v>1277.5</v>
      </c>
      <c r="D73" s="18">
        <v>0</v>
      </c>
      <c r="E73" s="18">
        <v>52482.9</v>
      </c>
      <c r="F73" s="18">
        <v>0</v>
      </c>
      <c r="G73" s="18">
        <v>18660</v>
      </c>
      <c r="H73" s="18">
        <v>782669.1</v>
      </c>
      <c r="W73" t="s">
        <v>7</v>
      </c>
      <c r="X73">
        <v>2020</v>
      </c>
      <c r="Y73">
        <v>6</v>
      </c>
      <c r="Z73" s="57">
        <v>43984</v>
      </c>
      <c r="AA73" t="s">
        <v>10</v>
      </c>
      <c r="AB73" s="18">
        <v>0</v>
      </c>
      <c r="AC73" s="18"/>
      <c r="AD73" s="18"/>
      <c r="AE73" s="18"/>
      <c r="AF73" s="18"/>
      <c r="AG73" s="18"/>
      <c r="AH73" s="18">
        <v>0</v>
      </c>
      <c r="AT73">
        <v>10</v>
      </c>
      <c r="AU73" s="18">
        <v>0</v>
      </c>
      <c r="AV73" s="18"/>
      <c r="AW73" s="18"/>
      <c r="AX73" s="18"/>
      <c r="AY73" s="18"/>
      <c r="AZ73" s="18"/>
      <c r="BA73" s="18">
        <v>0</v>
      </c>
    </row>
    <row r="74" spans="1:53" x14ac:dyDescent="0.3">
      <c r="Z74" s="57">
        <v>43999</v>
      </c>
      <c r="AA74" t="s">
        <v>12</v>
      </c>
      <c r="AB74" s="18">
        <v>0</v>
      </c>
      <c r="AC74" s="18"/>
      <c r="AD74" s="18"/>
      <c r="AE74" s="18"/>
      <c r="AF74" s="18"/>
      <c r="AG74" s="18"/>
      <c r="AH74" s="18">
        <v>0</v>
      </c>
      <c r="AT74">
        <v>11</v>
      </c>
      <c r="AU74" s="18">
        <v>0</v>
      </c>
      <c r="AV74" s="18"/>
      <c r="AW74" s="18"/>
      <c r="AX74" s="18"/>
      <c r="AY74" s="18"/>
      <c r="AZ74" s="18"/>
      <c r="BA74" s="18">
        <v>0</v>
      </c>
    </row>
    <row r="75" spans="1:53" x14ac:dyDescent="0.3">
      <c r="Y75">
        <v>7</v>
      </c>
      <c r="Z75" s="57">
        <v>44027</v>
      </c>
      <c r="AA75" t="s">
        <v>27</v>
      </c>
      <c r="AB75" s="18">
        <v>0</v>
      </c>
      <c r="AC75" s="18"/>
      <c r="AD75" s="18"/>
      <c r="AE75" s="18"/>
      <c r="AF75" s="18"/>
      <c r="AG75" s="18"/>
      <c r="AH75" s="18">
        <v>0</v>
      </c>
      <c r="AT75">
        <v>12</v>
      </c>
      <c r="AU75" s="18">
        <v>0</v>
      </c>
      <c r="AV75" s="18"/>
      <c r="AW75" s="18"/>
      <c r="AX75" s="18"/>
      <c r="AY75" s="18"/>
      <c r="AZ75" s="18"/>
      <c r="BA75" s="18">
        <v>0</v>
      </c>
    </row>
    <row r="76" spans="1:53" x14ac:dyDescent="0.3">
      <c r="Y76">
        <v>8</v>
      </c>
      <c r="Z76" s="57">
        <v>44055</v>
      </c>
      <c r="AA76" t="s">
        <v>37</v>
      </c>
      <c r="AB76" s="18">
        <v>0</v>
      </c>
      <c r="AC76" s="18"/>
      <c r="AD76" s="18"/>
      <c r="AE76" s="18"/>
      <c r="AF76" s="18"/>
      <c r="AG76" s="18"/>
      <c r="AH76" s="18">
        <v>0</v>
      </c>
      <c r="AT76">
        <v>4</v>
      </c>
      <c r="AU76" s="18">
        <v>0</v>
      </c>
      <c r="AV76" s="18"/>
      <c r="AW76" s="18"/>
      <c r="AX76" s="18"/>
      <c r="AY76" s="18"/>
      <c r="AZ76" s="18"/>
      <c r="BA76" s="18">
        <v>0</v>
      </c>
    </row>
    <row r="77" spans="1:53" x14ac:dyDescent="0.3">
      <c r="Z77" s="57">
        <v>44056</v>
      </c>
      <c r="AA77" t="s">
        <v>38</v>
      </c>
      <c r="AB77" s="18">
        <v>0</v>
      </c>
      <c r="AC77" s="18"/>
      <c r="AD77" s="18"/>
      <c r="AE77" s="18"/>
      <c r="AF77" s="18"/>
      <c r="AG77" s="18"/>
      <c r="AH77" s="18">
        <v>0</v>
      </c>
      <c r="AS77">
        <v>2023</v>
      </c>
      <c r="AT77">
        <v>1</v>
      </c>
      <c r="AU77" s="18">
        <v>0</v>
      </c>
      <c r="AV77" s="18"/>
      <c r="AW77" s="18"/>
      <c r="AX77" s="18"/>
      <c r="AY77" s="18"/>
      <c r="AZ77" s="18"/>
      <c r="BA77" s="18">
        <v>0</v>
      </c>
    </row>
    <row r="78" spans="1:53" x14ac:dyDescent="0.3">
      <c r="Z78" s="57">
        <v>44068</v>
      </c>
      <c r="AA78" t="s">
        <v>56</v>
      </c>
      <c r="AB78" s="18">
        <v>0</v>
      </c>
      <c r="AC78" s="18"/>
      <c r="AD78" s="18"/>
      <c r="AE78" s="18"/>
      <c r="AF78" s="18"/>
      <c r="AG78" s="18"/>
      <c r="AH78" s="18">
        <v>0</v>
      </c>
      <c r="AT78">
        <v>3</v>
      </c>
      <c r="AU78" s="18">
        <v>0</v>
      </c>
      <c r="AV78" s="18"/>
      <c r="AW78" s="18"/>
      <c r="AX78" s="18"/>
      <c r="AY78" s="18"/>
      <c r="AZ78" s="18"/>
      <c r="BA78" s="18">
        <v>0</v>
      </c>
    </row>
    <row r="79" spans="1:53" x14ac:dyDescent="0.3">
      <c r="Y79">
        <v>9</v>
      </c>
      <c r="Z79" s="57">
        <v>44076</v>
      </c>
      <c r="AA79" t="s">
        <v>68</v>
      </c>
      <c r="AB79" s="18">
        <v>0</v>
      </c>
      <c r="AC79" s="18"/>
      <c r="AD79" s="18"/>
      <c r="AE79" s="18"/>
      <c r="AF79" s="18"/>
      <c r="AG79" s="18"/>
      <c r="AH79" s="18">
        <v>0</v>
      </c>
      <c r="AT79">
        <v>5</v>
      </c>
      <c r="AU79" s="18">
        <v>0</v>
      </c>
      <c r="AV79" s="18"/>
      <c r="AW79" s="18"/>
      <c r="AX79" s="18"/>
      <c r="AY79" s="18"/>
      <c r="AZ79" s="18"/>
      <c r="BA79" s="18">
        <v>0</v>
      </c>
    </row>
    <row r="80" spans="1:53" x14ac:dyDescent="0.3">
      <c r="Z80" s="57">
        <v>44079</v>
      </c>
      <c r="AA80" t="s">
        <v>91</v>
      </c>
      <c r="AB80" s="18">
        <v>0</v>
      </c>
      <c r="AC80" s="18"/>
      <c r="AD80" s="18"/>
      <c r="AE80" s="18"/>
      <c r="AF80" s="18"/>
      <c r="AG80" s="18"/>
      <c r="AH80" s="18">
        <v>0</v>
      </c>
      <c r="AT80">
        <v>4</v>
      </c>
      <c r="AU80" s="18">
        <v>0</v>
      </c>
      <c r="AV80" s="18"/>
      <c r="AW80" s="18"/>
      <c r="AX80" s="18"/>
      <c r="AY80" s="18"/>
      <c r="AZ80" s="18"/>
      <c r="BA80" s="18">
        <v>0</v>
      </c>
    </row>
    <row r="81" spans="24:53" x14ac:dyDescent="0.3">
      <c r="Z81" s="57">
        <v>44091</v>
      </c>
      <c r="AA81" t="s">
        <v>100</v>
      </c>
      <c r="AB81" s="18">
        <v>0</v>
      </c>
      <c r="AC81" s="18"/>
      <c r="AD81" s="18"/>
      <c r="AE81" s="18"/>
      <c r="AF81" s="18"/>
      <c r="AG81" s="18"/>
      <c r="AH81" s="18">
        <v>0</v>
      </c>
      <c r="AR81" s="36" t="s">
        <v>135</v>
      </c>
      <c r="AS81" s="36"/>
      <c r="AT81" s="36"/>
      <c r="AU81" s="37">
        <v>0</v>
      </c>
      <c r="AV81" s="37"/>
      <c r="AW81" s="37"/>
      <c r="AX81" s="37"/>
      <c r="AY81" s="37"/>
      <c r="AZ81" s="37"/>
      <c r="BA81" s="37">
        <v>0</v>
      </c>
    </row>
    <row r="82" spans="24:53" x14ac:dyDescent="0.3">
      <c r="Z82" s="57">
        <v>44097</v>
      </c>
      <c r="AA82" t="s">
        <v>103</v>
      </c>
      <c r="AB82" s="18">
        <v>0</v>
      </c>
      <c r="AC82" s="18"/>
      <c r="AD82" s="18"/>
      <c r="AE82" s="18"/>
      <c r="AF82" s="18"/>
      <c r="AG82" s="18"/>
      <c r="AH82" s="18">
        <v>0</v>
      </c>
      <c r="AR82" t="s">
        <v>20</v>
      </c>
      <c r="AS82">
        <v>2020</v>
      </c>
      <c r="AT82">
        <v>8</v>
      </c>
      <c r="AU82" s="18"/>
      <c r="AV82" s="18">
        <v>0</v>
      </c>
      <c r="AW82" s="18"/>
      <c r="AX82" s="18"/>
      <c r="AY82" s="18"/>
      <c r="AZ82" s="18"/>
      <c r="BA82" s="18">
        <v>0</v>
      </c>
    </row>
    <row r="83" spans="24:53" x14ac:dyDescent="0.3">
      <c r="Z83" s="57">
        <v>44100</v>
      </c>
      <c r="AA83" t="s">
        <v>105</v>
      </c>
      <c r="AB83" s="18">
        <v>0</v>
      </c>
      <c r="AC83" s="18"/>
      <c r="AD83" s="18"/>
      <c r="AE83" s="18"/>
      <c r="AF83" s="18"/>
      <c r="AG83" s="18"/>
      <c r="AH83" s="18">
        <v>0</v>
      </c>
      <c r="AT83">
        <v>9</v>
      </c>
      <c r="AU83" s="18"/>
      <c r="AV83" s="18">
        <v>0</v>
      </c>
      <c r="AW83" s="18"/>
      <c r="AX83" s="18"/>
      <c r="AY83" s="18"/>
      <c r="AZ83" s="18"/>
      <c r="BA83" s="18">
        <v>0</v>
      </c>
    </row>
    <row r="84" spans="24:53" x14ac:dyDescent="0.3">
      <c r="Y84">
        <v>10</v>
      </c>
      <c r="Z84" s="57">
        <v>44116</v>
      </c>
      <c r="AA84" t="s">
        <v>116</v>
      </c>
      <c r="AB84" s="18">
        <v>0</v>
      </c>
      <c r="AC84" s="18"/>
      <c r="AD84" s="18"/>
      <c r="AE84" s="18"/>
      <c r="AF84" s="18"/>
      <c r="AG84" s="18"/>
      <c r="AH84" s="18">
        <v>0</v>
      </c>
      <c r="AT84">
        <v>10</v>
      </c>
      <c r="AU84" s="18"/>
      <c r="AV84" s="18">
        <v>0</v>
      </c>
      <c r="AW84" s="18"/>
      <c r="AX84" s="18"/>
      <c r="AY84" s="18"/>
      <c r="AZ84" s="18"/>
      <c r="BA84" s="18">
        <v>0</v>
      </c>
    </row>
    <row r="85" spans="24:53" x14ac:dyDescent="0.3">
      <c r="Z85" s="57">
        <v>44123</v>
      </c>
      <c r="AA85" t="s">
        <v>122</v>
      </c>
      <c r="AB85" s="18">
        <v>0</v>
      </c>
      <c r="AC85" s="18"/>
      <c r="AD85" s="18"/>
      <c r="AE85" s="18"/>
      <c r="AF85" s="18"/>
      <c r="AG85" s="18"/>
      <c r="AH85" s="18">
        <v>0</v>
      </c>
      <c r="AT85">
        <v>11</v>
      </c>
      <c r="AU85" s="18"/>
      <c r="AV85" s="18">
        <v>0</v>
      </c>
      <c r="AW85" s="18"/>
      <c r="AX85" s="18"/>
      <c r="AY85" s="18"/>
      <c r="AZ85" s="18"/>
      <c r="BA85" s="18">
        <v>0</v>
      </c>
    </row>
    <row r="86" spans="24:53" x14ac:dyDescent="0.3">
      <c r="Z86" s="57">
        <v>44135</v>
      </c>
      <c r="AA86" t="s">
        <v>148</v>
      </c>
      <c r="AB86" s="18">
        <v>0</v>
      </c>
      <c r="AC86" s="18"/>
      <c r="AD86" s="18"/>
      <c r="AE86" s="18"/>
      <c r="AF86" s="18"/>
      <c r="AG86" s="18"/>
      <c r="AH86" s="18">
        <v>0</v>
      </c>
      <c r="AT86">
        <v>12</v>
      </c>
      <c r="AU86" s="18"/>
      <c r="AV86" s="18">
        <v>0</v>
      </c>
      <c r="AW86" s="18"/>
      <c r="AX86" s="18"/>
      <c r="AY86" s="18"/>
      <c r="AZ86" s="18"/>
      <c r="BA86" s="18">
        <v>0</v>
      </c>
    </row>
    <row r="87" spans="24:53" x14ac:dyDescent="0.3">
      <c r="Y87">
        <v>11</v>
      </c>
      <c r="Z87" s="57">
        <v>44145</v>
      </c>
      <c r="AA87" t="s">
        <v>153</v>
      </c>
      <c r="AB87" s="18">
        <v>0</v>
      </c>
      <c r="AC87" s="18"/>
      <c r="AD87" s="18"/>
      <c r="AE87" s="18"/>
      <c r="AF87" s="18"/>
      <c r="AG87" s="18"/>
      <c r="AH87" s="18">
        <v>0</v>
      </c>
      <c r="AS87">
        <v>2021</v>
      </c>
      <c r="AT87">
        <v>1</v>
      </c>
      <c r="AU87" s="18"/>
      <c r="AV87" s="18">
        <v>0</v>
      </c>
      <c r="AW87" s="18"/>
      <c r="AX87" s="18"/>
      <c r="AY87" s="18"/>
      <c r="AZ87" s="18"/>
      <c r="BA87" s="18">
        <v>0</v>
      </c>
    </row>
    <row r="88" spans="24:53" x14ac:dyDescent="0.3">
      <c r="Z88" s="57">
        <v>44153</v>
      </c>
      <c r="AA88" t="s">
        <v>165</v>
      </c>
      <c r="AB88" s="18">
        <v>0</v>
      </c>
      <c r="AC88" s="18"/>
      <c r="AD88" s="18"/>
      <c r="AE88" s="18"/>
      <c r="AF88" s="18"/>
      <c r="AG88" s="18"/>
      <c r="AH88" s="18">
        <v>0</v>
      </c>
      <c r="AT88">
        <v>2</v>
      </c>
      <c r="AU88" s="18"/>
      <c r="AV88" s="18">
        <v>0</v>
      </c>
      <c r="AW88" s="18"/>
      <c r="AX88" s="18"/>
      <c r="AY88" s="18"/>
      <c r="AZ88" s="18"/>
      <c r="BA88" s="18">
        <v>0</v>
      </c>
    </row>
    <row r="89" spans="24:53" x14ac:dyDescent="0.3">
      <c r="Z89" s="57">
        <v>44159</v>
      </c>
      <c r="AA89" t="s">
        <v>166</v>
      </c>
      <c r="AB89" s="18">
        <v>0</v>
      </c>
      <c r="AC89" s="18"/>
      <c r="AD89" s="18"/>
      <c r="AE89" s="18"/>
      <c r="AF89" s="18"/>
      <c r="AG89" s="18"/>
      <c r="AH89" s="18">
        <v>0</v>
      </c>
      <c r="AT89">
        <v>3</v>
      </c>
      <c r="AU89" s="18"/>
      <c r="AV89" s="18">
        <v>0</v>
      </c>
      <c r="AW89" s="18"/>
      <c r="AX89" s="18"/>
      <c r="AY89" s="18"/>
      <c r="AZ89" s="18"/>
      <c r="BA89" s="18">
        <v>0</v>
      </c>
    </row>
    <row r="90" spans="24:53" x14ac:dyDescent="0.3">
      <c r="Z90" s="57">
        <v>44162</v>
      </c>
      <c r="AA90" t="s">
        <v>181</v>
      </c>
      <c r="AB90" s="18">
        <v>0</v>
      </c>
      <c r="AC90" s="18"/>
      <c r="AD90" s="18"/>
      <c r="AE90" s="18"/>
      <c r="AF90" s="18"/>
      <c r="AG90" s="18"/>
      <c r="AH90" s="18">
        <v>0</v>
      </c>
      <c r="AT90">
        <v>5</v>
      </c>
      <c r="AU90" s="18"/>
      <c r="AV90" s="18">
        <v>0</v>
      </c>
      <c r="AW90" s="18"/>
      <c r="AX90" s="18"/>
      <c r="AY90" s="18"/>
      <c r="AZ90" s="18"/>
      <c r="BA90" s="18">
        <v>0</v>
      </c>
    </row>
    <row r="91" spans="24:53" x14ac:dyDescent="0.3">
      <c r="Y91">
        <v>12</v>
      </c>
      <c r="Z91" s="57">
        <v>44180</v>
      </c>
      <c r="AA91" t="s">
        <v>210</v>
      </c>
      <c r="AB91" s="18">
        <v>0</v>
      </c>
      <c r="AC91" s="18"/>
      <c r="AD91" s="18"/>
      <c r="AE91" s="18"/>
      <c r="AF91" s="18"/>
      <c r="AG91" s="18"/>
      <c r="AH91" s="18">
        <v>0</v>
      </c>
      <c r="AT91">
        <v>7</v>
      </c>
      <c r="AU91" s="18"/>
      <c r="AV91" s="18">
        <v>0</v>
      </c>
      <c r="AW91" s="18"/>
      <c r="AX91" s="18"/>
      <c r="AY91" s="18"/>
      <c r="AZ91" s="18"/>
      <c r="BA91" s="18">
        <v>0</v>
      </c>
    </row>
    <row r="92" spans="24:53" x14ac:dyDescent="0.3">
      <c r="X92">
        <v>2021</v>
      </c>
      <c r="Y92">
        <v>1</v>
      </c>
      <c r="Z92" s="57">
        <v>44225</v>
      </c>
      <c r="AA92" t="s">
        <v>252</v>
      </c>
      <c r="AB92" s="18">
        <v>0</v>
      </c>
      <c r="AC92" s="18"/>
      <c r="AD92" s="18"/>
      <c r="AE92" s="18"/>
      <c r="AF92" s="18"/>
      <c r="AG92" s="18"/>
      <c r="AH92" s="18">
        <v>0</v>
      </c>
      <c r="AT92">
        <v>10</v>
      </c>
      <c r="AU92" s="18"/>
      <c r="AV92" s="18">
        <v>0</v>
      </c>
      <c r="AW92" s="18"/>
      <c r="AX92" s="18"/>
      <c r="AY92" s="18"/>
      <c r="AZ92" s="18"/>
      <c r="BA92" s="18">
        <v>0</v>
      </c>
    </row>
    <row r="93" spans="24:53" x14ac:dyDescent="0.3">
      <c r="Y93">
        <v>2</v>
      </c>
      <c r="Z93" s="57">
        <v>44246</v>
      </c>
      <c r="AA93" t="s">
        <v>273</v>
      </c>
      <c r="AB93" s="18">
        <v>0</v>
      </c>
      <c r="AC93" s="18"/>
      <c r="AD93" s="18"/>
      <c r="AE93" s="18"/>
      <c r="AF93" s="18"/>
      <c r="AG93" s="18"/>
      <c r="AH93" s="18">
        <v>0</v>
      </c>
      <c r="AT93">
        <v>11</v>
      </c>
      <c r="AU93" s="18"/>
      <c r="AV93" s="18">
        <v>0</v>
      </c>
      <c r="AW93" s="18"/>
      <c r="AX93" s="18"/>
      <c r="AY93" s="18"/>
      <c r="AZ93" s="18"/>
      <c r="BA93" s="18">
        <v>0</v>
      </c>
    </row>
    <row r="94" spans="24:53" x14ac:dyDescent="0.3">
      <c r="Y94">
        <v>5</v>
      </c>
      <c r="Z94" s="57">
        <v>44323</v>
      </c>
      <c r="AA94" t="s">
        <v>338</v>
      </c>
      <c r="AB94" s="18">
        <v>0</v>
      </c>
      <c r="AC94" s="18"/>
      <c r="AD94" s="18"/>
      <c r="AE94" s="18"/>
      <c r="AF94" s="18"/>
      <c r="AG94" s="18"/>
      <c r="AH94" s="18">
        <v>0</v>
      </c>
      <c r="AT94">
        <v>12</v>
      </c>
      <c r="AU94" s="18"/>
      <c r="AV94" s="18">
        <v>0</v>
      </c>
      <c r="AW94" s="18"/>
      <c r="AX94" s="18"/>
      <c r="AY94" s="18"/>
      <c r="AZ94" s="18"/>
      <c r="BA94" s="18">
        <v>0</v>
      </c>
    </row>
    <row r="95" spans="24:53" x14ac:dyDescent="0.3">
      <c r="Y95">
        <v>9</v>
      </c>
      <c r="Z95" s="57">
        <v>44464</v>
      </c>
      <c r="AA95" t="s">
        <v>376</v>
      </c>
      <c r="AB95" s="18">
        <v>0</v>
      </c>
      <c r="AC95" s="18"/>
      <c r="AD95" s="18"/>
      <c r="AE95" s="18"/>
      <c r="AF95" s="18"/>
      <c r="AG95" s="18"/>
      <c r="AH95" s="18">
        <v>0</v>
      </c>
      <c r="AS95">
        <v>2022</v>
      </c>
      <c r="AT95">
        <v>1</v>
      </c>
      <c r="AU95" s="18"/>
      <c r="AV95" s="18">
        <v>0</v>
      </c>
      <c r="AW95" s="18"/>
      <c r="AX95" s="18"/>
      <c r="AY95" s="18"/>
      <c r="AZ95" s="18"/>
      <c r="BA95" s="18">
        <v>0</v>
      </c>
    </row>
    <row r="96" spans="24:53" x14ac:dyDescent="0.3">
      <c r="Y96">
        <v>10</v>
      </c>
      <c r="Z96" s="57">
        <v>44495</v>
      </c>
      <c r="AA96" t="s">
        <v>442</v>
      </c>
      <c r="AB96" s="18">
        <v>0</v>
      </c>
      <c r="AC96" s="18"/>
      <c r="AD96" s="18"/>
      <c r="AE96" s="18"/>
      <c r="AF96" s="18"/>
      <c r="AG96" s="18"/>
      <c r="AH96" s="18">
        <v>0</v>
      </c>
      <c r="AT96">
        <v>2</v>
      </c>
      <c r="AU96" s="18"/>
      <c r="AV96" s="18">
        <v>0</v>
      </c>
      <c r="AW96" s="18"/>
      <c r="AX96" s="18"/>
      <c r="AY96" s="18"/>
      <c r="AZ96" s="18"/>
      <c r="BA96" s="18">
        <v>0</v>
      </c>
    </row>
    <row r="97" spans="24:53" x14ac:dyDescent="0.3">
      <c r="Y97">
        <v>12</v>
      </c>
      <c r="Z97" s="57">
        <v>44558</v>
      </c>
      <c r="AA97" t="s">
        <v>531</v>
      </c>
      <c r="AB97" s="18">
        <v>0</v>
      </c>
      <c r="AC97" s="18"/>
      <c r="AD97" s="18"/>
      <c r="AE97" s="18"/>
      <c r="AF97" s="18"/>
      <c r="AG97" s="18"/>
      <c r="AH97" s="18">
        <v>0</v>
      </c>
      <c r="AT97">
        <v>5</v>
      </c>
      <c r="AU97" s="18"/>
      <c r="AV97" s="18">
        <v>0</v>
      </c>
      <c r="AW97" s="18"/>
      <c r="AX97" s="18"/>
      <c r="AY97" s="18"/>
      <c r="AZ97" s="18"/>
      <c r="BA97" s="18">
        <v>0</v>
      </c>
    </row>
    <row r="98" spans="24:53" x14ac:dyDescent="0.3">
      <c r="Y98">
        <v>4</v>
      </c>
      <c r="Z98" s="57">
        <v>44295</v>
      </c>
      <c r="AA98" t="s">
        <v>327</v>
      </c>
      <c r="AB98" s="18">
        <v>0</v>
      </c>
      <c r="AC98" s="18"/>
      <c r="AD98" s="18"/>
      <c r="AE98" s="18"/>
      <c r="AF98" s="18"/>
      <c r="AG98" s="18"/>
      <c r="AH98" s="18">
        <v>0</v>
      </c>
      <c r="AT98">
        <v>6</v>
      </c>
      <c r="AU98" s="18"/>
      <c r="AV98" s="18">
        <v>0</v>
      </c>
      <c r="AW98" s="18"/>
      <c r="AX98" s="18"/>
      <c r="AY98" s="18"/>
      <c r="AZ98" s="18"/>
      <c r="BA98" s="18">
        <v>0</v>
      </c>
    </row>
    <row r="99" spans="24:53" x14ac:dyDescent="0.3">
      <c r="X99">
        <v>2019</v>
      </c>
      <c r="Y99">
        <v>12</v>
      </c>
      <c r="Z99" s="57">
        <v>43822</v>
      </c>
      <c r="AA99" t="s">
        <v>311</v>
      </c>
      <c r="AB99" s="18">
        <v>0</v>
      </c>
      <c r="AC99" s="18"/>
      <c r="AD99" s="18"/>
      <c r="AE99" s="18"/>
      <c r="AF99" s="18"/>
      <c r="AG99" s="18"/>
      <c r="AH99" s="18">
        <v>0</v>
      </c>
      <c r="AT99">
        <v>9</v>
      </c>
      <c r="AU99" s="18"/>
      <c r="AV99" s="18">
        <v>0</v>
      </c>
      <c r="AW99" s="18"/>
      <c r="AX99" s="18"/>
      <c r="AY99" s="18"/>
      <c r="AZ99" s="18"/>
      <c r="BA99" s="18">
        <v>0</v>
      </c>
    </row>
    <row r="100" spans="24:53" x14ac:dyDescent="0.3">
      <c r="X100">
        <v>2022</v>
      </c>
      <c r="Y100">
        <v>3</v>
      </c>
      <c r="Z100" s="57">
        <v>44649</v>
      </c>
      <c r="AA100" t="s">
        <v>661</v>
      </c>
      <c r="AB100" s="18">
        <v>0</v>
      </c>
      <c r="AC100" s="18"/>
      <c r="AD100" s="18"/>
      <c r="AE100" s="18"/>
      <c r="AF100" s="18"/>
      <c r="AG100" s="18"/>
      <c r="AH100" s="18">
        <v>0</v>
      </c>
      <c r="AT100">
        <v>11</v>
      </c>
      <c r="AU100" s="18"/>
      <c r="AV100" s="18">
        <v>0</v>
      </c>
      <c r="AW100" s="18"/>
      <c r="AX100" s="18"/>
      <c r="AY100" s="18"/>
      <c r="AZ100" s="18"/>
      <c r="BA100" s="18">
        <v>0</v>
      </c>
    </row>
    <row r="101" spans="24:53" x14ac:dyDescent="0.3">
      <c r="Y101">
        <v>6</v>
      </c>
      <c r="Z101" s="57">
        <v>44719</v>
      </c>
      <c r="AA101" t="s">
        <v>829</v>
      </c>
      <c r="AB101" s="18">
        <v>0</v>
      </c>
      <c r="AC101" s="18"/>
      <c r="AD101" s="18"/>
      <c r="AE101" s="18"/>
      <c r="AF101" s="18"/>
      <c r="AG101" s="18"/>
      <c r="AH101" s="18">
        <v>0</v>
      </c>
      <c r="AT101">
        <v>4</v>
      </c>
      <c r="AU101" s="18"/>
      <c r="AV101" s="18">
        <v>0</v>
      </c>
      <c r="AW101" s="18"/>
      <c r="AX101" s="18"/>
      <c r="AY101" s="18"/>
      <c r="AZ101" s="18"/>
      <c r="BA101" s="18">
        <v>0</v>
      </c>
    </row>
    <row r="102" spans="24:53" x14ac:dyDescent="0.3">
      <c r="Z102" s="57">
        <v>44726</v>
      </c>
      <c r="AA102" t="s">
        <v>837</v>
      </c>
      <c r="AB102" s="18">
        <v>0</v>
      </c>
      <c r="AC102" s="18"/>
      <c r="AD102" s="18"/>
      <c r="AE102" s="18"/>
      <c r="AF102" s="18"/>
      <c r="AG102" s="18"/>
      <c r="AH102" s="18">
        <v>0</v>
      </c>
      <c r="AS102">
        <v>2023</v>
      </c>
      <c r="AT102">
        <v>1</v>
      </c>
      <c r="AU102" s="18"/>
      <c r="AV102" s="18">
        <v>0</v>
      </c>
      <c r="AW102" s="18"/>
      <c r="AX102" s="18"/>
      <c r="AY102" s="18"/>
      <c r="AZ102" s="18"/>
      <c r="BA102" s="18">
        <v>0</v>
      </c>
    </row>
    <row r="103" spans="24:53" x14ac:dyDescent="0.3">
      <c r="Y103">
        <v>7</v>
      </c>
      <c r="Z103" s="57">
        <v>44765</v>
      </c>
      <c r="AA103" t="s">
        <v>869</v>
      </c>
      <c r="AB103" s="18">
        <v>0</v>
      </c>
      <c r="AC103" s="18"/>
      <c r="AD103" s="18"/>
      <c r="AE103" s="18"/>
      <c r="AF103" s="18"/>
      <c r="AG103" s="18"/>
      <c r="AH103" s="18">
        <v>0</v>
      </c>
      <c r="AT103">
        <v>7</v>
      </c>
      <c r="AU103" s="18"/>
      <c r="AV103" s="18">
        <v>0</v>
      </c>
      <c r="AW103" s="18"/>
      <c r="AX103" s="18"/>
      <c r="AY103" s="18"/>
      <c r="AZ103" s="18"/>
      <c r="BA103" s="18">
        <v>0</v>
      </c>
    </row>
    <row r="104" spans="24:53" x14ac:dyDescent="0.3">
      <c r="Y104">
        <v>8</v>
      </c>
      <c r="Z104" s="57">
        <v>44779</v>
      </c>
      <c r="AA104" t="s">
        <v>897</v>
      </c>
      <c r="AB104" s="18">
        <v>0</v>
      </c>
      <c r="AC104" s="18"/>
      <c r="AD104" s="18"/>
      <c r="AE104" s="18"/>
      <c r="AF104" s="18"/>
      <c r="AG104" s="18"/>
      <c r="AH104" s="18">
        <v>0</v>
      </c>
      <c r="AT104">
        <v>9</v>
      </c>
      <c r="AU104" s="18"/>
      <c r="AV104" s="18">
        <v>0</v>
      </c>
      <c r="AW104" s="18"/>
      <c r="AX104" s="18"/>
      <c r="AY104" s="18"/>
      <c r="AZ104" s="18"/>
      <c r="BA104" s="18">
        <v>0</v>
      </c>
    </row>
    <row r="105" spans="24:53" x14ac:dyDescent="0.3">
      <c r="Y105">
        <v>9</v>
      </c>
      <c r="Z105" s="57">
        <v>44818</v>
      </c>
      <c r="AA105" t="s">
        <v>936</v>
      </c>
      <c r="AB105" s="18">
        <v>0</v>
      </c>
      <c r="AC105" s="18"/>
      <c r="AD105" s="18"/>
      <c r="AE105" s="18"/>
      <c r="AF105" s="18"/>
      <c r="AG105" s="18"/>
      <c r="AH105" s="18">
        <v>0</v>
      </c>
      <c r="AT105">
        <v>10</v>
      </c>
      <c r="AU105" s="18"/>
      <c r="AV105" s="18">
        <v>0</v>
      </c>
      <c r="AW105" s="18"/>
      <c r="AX105" s="18"/>
      <c r="AY105" s="18"/>
      <c r="AZ105" s="18"/>
      <c r="BA105" s="18">
        <v>0</v>
      </c>
    </row>
    <row r="106" spans="24:53" x14ac:dyDescent="0.3">
      <c r="Y106">
        <v>10</v>
      </c>
      <c r="Z106" s="57">
        <v>44855</v>
      </c>
      <c r="AA106" t="s">
        <v>1009</v>
      </c>
      <c r="AB106" s="18">
        <v>0</v>
      </c>
      <c r="AC106" s="18"/>
      <c r="AD106" s="18"/>
      <c r="AE106" s="18"/>
      <c r="AF106" s="18"/>
      <c r="AG106" s="18"/>
      <c r="AH106" s="18">
        <v>0</v>
      </c>
      <c r="AS106">
        <v>2024</v>
      </c>
      <c r="AT106">
        <v>5</v>
      </c>
      <c r="AU106" s="18"/>
      <c r="AV106" s="18">
        <v>0</v>
      </c>
      <c r="AW106" s="18"/>
      <c r="AX106" s="18"/>
      <c r="AY106" s="18"/>
      <c r="AZ106" s="18"/>
      <c r="BA106" s="18">
        <v>0</v>
      </c>
    </row>
    <row r="107" spans="24:53" x14ac:dyDescent="0.3">
      <c r="Y107">
        <v>11</v>
      </c>
      <c r="Z107" t="s">
        <v>1070</v>
      </c>
      <c r="AA107" t="s">
        <v>1068</v>
      </c>
      <c r="AB107" s="18">
        <v>0</v>
      </c>
      <c r="AC107" s="18"/>
      <c r="AD107" s="18"/>
      <c r="AE107" s="18"/>
      <c r="AF107" s="18"/>
      <c r="AG107" s="18"/>
      <c r="AH107" s="18">
        <v>0</v>
      </c>
      <c r="AT107">
        <v>7</v>
      </c>
      <c r="AU107" s="18"/>
      <c r="AV107" s="18">
        <v>0</v>
      </c>
      <c r="AW107" s="18"/>
      <c r="AX107" s="18"/>
      <c r="AY107" s="18"/>
      <c r="AZ107" s="18"/>
      <c r="BA107" s="18">
        <v>0</v>
      </c>
    </row>
    <row r="108" spans="24:53" x14ac:dyDescent="0.3">
      <c r="Y108">
        <v>12</v>
      </c>
      <c r="Z108" s="57">
        <v>44915</v>
      </c>
      <c r="AA108" t="s">
        <v>1128</v>
      </c>
      <c r="AB108" s="18">
        <v>0</v>
      </c>
      <c r="AC108" s="18"/>
      <c r="AD108" s="18"/>
      <c r="AE108" s="18"/>
      <c r="AF108" s="18"/>
      <c r="AG108" s="18"/>
      <c r="AH108" s="18">
        <v>0</v>
      </c>
      <c r="AT108">
        <v>8</v>
      </c>
      <c r="AU108" s="18"/>
      <c r="AV108" s="18">
        <v>0</v>
      </c>
      <c r="AW108" s="18"/>
      <c r="AX108" s="18"/>
      <c r="AY108" s="18"/>
      <c r="AZ108" s="18"/>
      <c r="BA108" s="18">
        <v>0</v>
      </c>
    </row>
    <row r="109" spans="24:53" x14ac:dyDescent="0.3">
      <c r="Y109">
        <v>4</v>
      </c>
      <c r="Z109" s="57">
        <v>44672</v>
      </c>
      <c r="AA109" t="s">
        <v>715</v>
      </c>
      <c r="AB109" s="18">
        <v>0</v>
      </c>
      <c r="AC109" s="18"/>
      <c r="AD109" s="18"/>
      <c r="AE109" s="18"/>
      <c r="AF109" s="18"/>
      <c r="AG109" s="18"/>
      <c r="AH109" s="18">
        <v>0</v>
      </c>
      <c r="AT109">
        <v>9</v>
      </c>
      <c r="AU109" s="18"/>
      <c r="AV109" s="18">
        <v>0</v>
      </c>
      <c r="AW109" s="18"/>
      <c r="AX109" s="18"/>
      <c r="AY109" s="18"/>
      <c r="AZ109" s="18"/>
      <c r="BA109" s="18">
        <v>0</v>
      </c>
    </row>
    <row r="110" spans="24:53" x14ac:dyDescent="0.3">
      <c r="Z110" s="57">
        <v>44673</v>
      </c>
      <c r="AA110" t="s">
        <v>715</v>
      </c>
      <c r="AB110" s="18">
        <v>0</v>
      </c>
      <c r="AC110" s="18"/>
      <c r="AD110" s="18"/>
      <c r="AE110" s="18"/>
      <c r="AF110" s="18"/>
      <c r="AG110" s="18"/>
      <c r="AH110" s="18">
        <v>0</v>
      </c>
      <c r="AT110">
        <v>10</v>
      </c>
      <c r="AU110" s="18"/>
      <c r="AV110" s="18">
        <v>0</v>
      </c>
      <c r="AW110" s="18"/>
      <c r="AX110" s="18"/>
      <c r="AY110" s="18"/>
      <c r="AZ110" s="18"/>
      <c r="BA110" s="18">
        <v>0</v>
      </c>
    </row>
    <row r="111" spans="24:53" x14ac:dyDescent="0.3">
      <c r="X111">
        <v>2023</v>
      </c>
      <c r="Y111">
        <v>1</v>
      </c>
      <c r="Z111" s="57">
        <v>44937</v>
      </c>
      <c r="AA111" t="s">
        <v>1176</v>
      </c>
      <c r="AB111" s="18">
        <v>0</v>
      </c>
      <c r="AC111" s="18"/>
      <c r="AD111" s="18"/>
      <c r="AE111" s="18"/>
      <c r="AF111" s="18"/>
      <c r="AG111" s="18"/>
      <c r="AH111" s="18">
        <v>0</v>
      </c>
      <c r="AT111">
        <v>11</v>
      </c>
      <c r="AU111" s="18"/>
      <c r="AV111" s="18">
        <v>0</v>
      </c>
      <c r="AW111" s="18"/>
      <c r="AX111" s="18"/>
      <c r="AY111" s="18"/>
      <c r="AZ111" s="18"/>
      <c r="BA111" s="18">
        <v>0</v>
      </c>
    </row>
    <row r="112" spans="24:53" x14ac:dyDescent="0.3">
      <c r="Y112">
        <v>3</v>
      </c>
      <c r="Z112" t="s">
        <v>1303</v>
      </c>
      <c r="AA112" t="s">
        <v>1302</v>
      </c>
      <c r="AB112" s="18">
        <v>0</v>
      </c>
      <c r="AC112" s="18"/>
      <c r="AD112" s="18"/>
      <c r="AE112" s="18"/>
      <c r="AF112" s="18"/>
      <c r="AG112" s="18"/>
      <c r="AH112" s="18">
        <v>0</v>
      </c>
      <c r="AT112">
        <v>12</v>
      </c>
      <c r="AU112" s="18"/>
      <c r="AV112" s="18">
        <v>0</v>
      </c>
      <c r="AW112" s="18"/>
      <c r="AX112" s="18"/>
      <c r="AY112" s="18"/>
      <c r="AZ112" s="18"/>
      <c r="BA112" s="18">
        <v>0</v>
      </c>
    </row>
    <row r="113" spans="23:53" x14ac:dyDescent="0.3">
      <c r="Y113">
        <v>5</v>
      </c>
      <c r="Z113" s="57">
        <v>45077</v>
      </c>
      <c r="AA113" t="s">
        <v>1565</v>
      </c>
      <c r="AB113" s="18">
        <v>0</v>
      </c>
      <c r="AC113" s="18"/>
      <c r="AD113" s="18"/>
      <c r="AE113" s="18"/>
      <c r="AF113" s="18"/>
      <c r="AG113" s="18"/>
      <c r="AH113" s="18">
        <v>0</v>
      </c>
      <c r="AT113">
        <v>4</v>
      </c>
      <c r="AU113" s="18"/>
      <c r="AV113" s="18">
        <v>0</v>
      </c>
      <c r="AW113" s="18"/>
      <c r="AX113" s="18"/>
      <c r="AY113" s="18"/>
      <c r="AZ113" s="18"/>
      <c r="BA113" s="18">
        <v>0</v>
      </c>
    </row>
    <row r="114" spans="23:53" x14ac:dyDescent="0.3">
      <c r="Y114">
        <v>4</v>
      </c>
      <c r="Z114" t="s">
        <v>1458</v>
      </c>
      <c r="AA114" t="s">
        <v>1457</v>
      </c>
      <c r="AB114" s="18">
        <v>0</v>
      </c>
      <c r="AC114" s="18"/>
      <c r="AD114" s="18"/>
      <c r="AE114" s="18"/>
      <c r="AF114" s="18"/>
      <c r="AG114" s="18"/>
      <c r="AH114" s="18">
        <v>0</v>
      </c>
      <c r="AS114">
        <v>2025</v>
      </c>
      <c r="AT114">
        <v>1</v>
      </c>
      <c r="AU114" s="18"/>
      <c r="AV114" s="18">
        <v>0</v>
      </c>
      <c r="AW114" s="18"/>
      <c r="AX114" s="18"/>
      <c r="AY114" s="18"/>
      <c r="AZ114" s="18"/>
      <c r="BA114" s="18">
        <v>0</v>
      </c>
    </row>
    <row r="115" spans="23:53" x14ac:dyDescent="0.3">
      <c r="W115" s="36" t="s">
        <v>135</v>
      </c>
      <c r="X115" s="36"/>
      <c r="Y115" s="36"/>
      <c r="Z115" s="36"/>
      <c r="AA115" s="36"/>
      <c r="AB115" s="37">
        <v>0</v>
      </c>
      <c r="AC115" s="37"/>
      <c r="AD115" s="37"/>
      <c r="AE115" s="37"/>
      <c r="AF115" s="37"/>
      <c r="AG115" s="37"/>
      <c r="AH115" s="37">
        <v>0</v>
      </c>
      <c r="AT115">
        <v>2</v>
      </c>
      <c r="AU115" s="18"/>
      <c r="AV115" s="18">
        <v>0</v>
      </c>
      <c r="AW115" s="18"/>
      <c r="AX115" s="18"/>
      <c r="AY115" s="18"/>
      <c r="AZ115" s="18"/>
      <c r="BA115" s="18">
        <v>0</v>
      </c>
    </row>
    <row r="116" spans="23:53" x14ac:dyDescent="0.3">
      <c r="W116" t="s">
        <v>20</v>
      </c>
      <c r="X116">
        <v>2020</v>
      </c>
      <c r="Y116">
        <v>8</v>
      </c>
      <c r="Z116" s="57">
        <v>44004</v>
      </c>
      <c r="AA116" t="s">
        <v>18</v>
      </c>
      <c r="AB116" s="18"/>
      <c r="AC116" s="18">
        <v>0</v>
      </c>
      <c r="AD116" s="18"/>
      <c r="AE116" s="18"/>
      <c r="AF116" s="18"/>
      <c r="AG116" s="18"/>
      <c r="AH116" s="18">
        <v>0</v>
      </c>
      <c r="AT116">
        <v>3</v>
      </c>
      <c r="AU116" s="18"/>
      <c r="AV116" s="18">
        <v>0</v>
      </c>
      <c r="AW116" s="18"/>
      <c r="AX116" s="18"/>
      <c r="AY116" s="18"/>
      <c r="AZ116" s="18"/>
      <c r="BA116" s="18">
        <v>0</v>
      </c>
    </row>
    <row r="117" spans="23:53" x14ac:dyDescent="0.3">
      <c r="Z117" s="57">
        <v>44026</v>
      </c>
      <c r="AA117" t="s">
        <v>26</v>
      </c>
      <c r="AB117" s="18"/>
      <c r="AC117" s="18">
        <v>0</v>
      </c>
      <c r="AD117" s="18"/>
      <c r="AE117" s="18"/>
      <c r="AF117" s="18"/>
      <c r="AG117" s="18"/>
      <c r="AH117" s="18">
        <v>0</v>
      </c>
      <c r="AT117">
        <v>5</v>
      </c>
      <c r="AU117" s="18"/>
      <c r="AV117" s="18">
        <v>0</v>
      </c>
      <c r="AW117" s="18"/>
      <c r="AX117" s="18"/>
      <c r="AY117" s="18"/>
      <c r="AZ117" s="18"/>
      <c r="BA117" s="18">
        <v>0</v>
      </c>
    </row>
    <row r="118" spans="23:53" x14ac:dyDescent="0.3">
      <c r="Y118">
        <v>9</v>
      </c>
      <c r="Z118" s="57">
        <v>44053</v>
      </c>
      <c r="AA118" t="s">
        <v>36</v>
      </c>
      <c r="AB118" s="18"/>
      <c r="AC118" s="18">
        <v>0</v>
      </c>
      <c r="AD118" s="18"/>
      <c r="AE118" s="18"/>
      <c r="AF118" s="18"/>
      <c r="AG118" s="18"/>
      <c r="AH118" s="18">
        <v>0</v>
      </c>
      <c r="AT118">
        <v>8</v>
      </c>
      <c r="AU118" s="18"/>
      <c r="AV118" s="18">
        <v>1277.5</v>
      </c>
      <c r="AW118" s="18"/>
      <c r="AX118" s="18"/>
      <c r="AY118" s="18"/>
      <c r="AZ118" s="18"/>
      <c r="BA118" s="18">
        <v>1277.5</v>
      </c>
    </row>
    <row r="119" spans="23:53" x14ac:dyDescent="0.3">
      <c r="Y119">
        <v>10</v>
      </c>
      <c r="Z119" s="57">
        <v>44062</v>
      </c>
      <c r="AA119" t="s">
        <v>40</v>
      </c>
      <c r="AB119" s="18"/>
      <c r="AC119" s="18">
        <v>0</v>
      </c>
      <c r="AD119" s="18"/>
      <c r="AE119" s="18"/>
      <c r="AF119" s="18"/>
      <c r="AG119" s="18"/>
      <c r="AH119" s="18">
        <v>0</v>
      </c>
      <c r="AT119">
        <v>4</v>
      </c>
      <c r="AU119" s="18"/>
      <c r="AV119" s="18">
        <v>0</v>
      </c>
      <c r="AW119" s="18"/>
      <c r="AX119" s="18"/>
      <c r="AY119" s="18"/>
      <c r="AZ119" s="18"/>
      <c r="BA119" s="18">
        <v>0</v>
      </c>
    </row>
    <row r="120" spans="23:53" x14ac:dyDescent="0.3">
      <c r="Z120" s="57">
        <v>44067</v>
      </c>
      <c r="AA120" t="s">
        <v>53</v>
      </c>
      <c r="AB120" s="18"/>
      <c r="AC120" s="18">
        <v>0</v>
      </c>
      <c r="AD120" s="18"/>
      <c r="AE120" s="18"/>
      <c r="AF120" s="18"/>
      <c r="AG120" s="18"/>
      <c r="AH120" s="18">
        <v>0</v>
      </c>
      <c r="AR120" s="36" t="s">
        <v>136</v>
      </c>
      <c r="AS120" s="36"/>
      <c r="AT120" s="36"/>
      <c r="AU120" s="37"/>
      <c r="AV120" s="37">
        <v>1277.5</v>
      </c>
      <c r="AW120" s="37"/>
      <c r="AX120" s="37"/>
      <c r="AY120" s="37"/>
      <c r="AZ120" s="37"/>
      <c r="BA120" s="37">
        <v>1277.5</v>
      </c>
    </row>
    <row r="121" spans="23:53" x14ac:dyDescent="0.3">
      <c r="Y121">
        <v>11</v>
      </c>
      <c r="Z121" s="57">
        <v>44109</v>
      </c>
      <c r="AA121" t="s">
        <v>109</v>
      </c>
      <c r="AB121" s="18"/>
      <c r="AC121" s="18">
        <v>0</v>
      </c>
      <c r="AD121" s="18"/>
      <c r="AE121" s="18"/>
      <c r="AF121" s="18"/>
      <c r="AG121" s="18"/>
      <c r="AH121" s="18">
        <v>0</v>
      </c>
      <c r="AR121" t="s">
        <v>43</v>
      </c>
      <c r="AS121">
        <v>2020</v>
      </c>
      <c r="AT121">
        <v>8</v>
      </c>
      <c r="AU121" s="18">
        <v>0</v>
      </c>
      <c r="AV121" s="18"/>
      <c r="AW121" s="18"/>
      <c r="AX121" s="18"/>
      <c r="AY121" s="18"/>
      <c r="AZ121" s="18"/>
      <c r="BA121" s="18">
        <v>0</v>
      </c>
    </row>
    <row r="122" spans="23:53" x14ac:dyDescent="0.3">
      <c r="Y122">
        <v>12</v>
      </c>
      <c r="Z122" s="57">
        <v>44121</v>
      </c>
      <c r="AA122" t="s">
        <v>118</v>
      </c>
      <c r="AB122" s="18"/>
      <c r="AC122" s="18">
        <v>0</v>
      </c>
      <c r="AD122" s="18"/>
      <c r="AE122" s="18"/>
      <c r="AF122" s="18"/>
      <c r="AG122" s="18"/>
      <c r="AH122" s="18">
        <v>0</v>
      </c>
      <c r="AT122">
        <v>11</v>
      </c>
      <c r="AU122" s="18">
        <v>0</v>
      </c>
      <c r="AV122" s="18"/>
      <c r="AW122" s="18"/>
      <c r="AX122" s="18"/>
      <c r="AY122" s="18"/>
      <c r="AZ122" s="18"/>
      <c r="BA122" s="18">
        <v>0</v>
      </c>
    </row>
    <row r="123" spans="23:53" x14ac:dyDescent="0.3">
      <c r="AA123" t="s">
        <v>120</v>
      </c>
      <c r="AB123" s="18"/>
      <c r="AC123" s="18">
        <v>0</v>
      </c>
      <c r="AD123" s="18"/>
      <c r="AE123" s="18"/>
      <c r="AF123" s="18"/>
      <c r="AG123" s="18"/>
      <c r="AH123" s="18">
        <v>0</v>
      </c>
      <c r="AS123">
        <v>2021</v>
      </c>
      <c r="AT123">
        <v>10</v>
      </c>
      <c r="AU123" s="18">
        <v>0</v>
      </c>
      <c r="AV123" s="18"/>
      <c r="AW123" s="18"/>
      <c r="AX123" s="18"/>
      <c r="AY123" s="18"/>
      <c r="AZ123" s="18"/>
      <c r="BA123" s="18">
        <v>0</v>
      </c>
    </row>
    <row r="124" spans="23:53" x14ac:dyDescent="0.3">
      <c r="Z124" s="57">
        <v>44130</v>
      </c>
      <c r="AA124" t="s">
        <v>130</v>
      </c>
      <c r="AB124" s="18"/>
      <c r="AC124" s="18">
        <v>0</v>
      </c>
      <c r="AD124" s="18"/>
      <c r="AE124" s="18"/>
      <c r="AF124" s="18"/>
      <c r="AG124" s="18"/>
      <c r="AH124" s="18">
        <v>0</v>
      </c>
      <c r="AS124">
        <v>2022</v>
      </c>
      <c r="AT124">
        <v>1</v>
      </c>
      <c r="AU124" s="18">
        <v>0</v>
      </c>
      <c r="AV124" s="18"/>
      <c r="AW124" s="18"/>
      <c r="AX124" s="18"/>
      <c r="AY124" s="18"/>
      <c r="AZ124" s="18"/>
      <c r="BA124" s="18">
        <v>0</v>
      </c>
    </row>
    <row r="125" spans="23:53" x14ac:dyDescent="0.3">
      <c r="X125">
        <v>2021</v>
      </c>
      <c r="Y125">
        <v>1</v>
      </c>
      <c r="Z125" s="57">
        <v>44159</v>
      </c>
      <c r="AA125" t="s">
        <v>179</v>
      </c>
      <c r="AB125" s="18"/>
      <c r="AC125" s="18">
        <v>0</v>
      </c>
      <c r="AD125" s="18"/>
      <c r="AE125" s="18"/>
      <c r="AF125" s="18"/>
      <c r="AG125" s="18"/>
      <c r="AH125" s="18">
        <v>0</v>
      </c>
      <c r="AT125">
        <v>2</v>
      </c>
      <c r="AU125" s="18">
        <v>0</v>
      </c>
      <c r="AV125" s="18"/>
      <c r="AW125" s="18"/>
      <c r="AX125" s="18"/>
      <c r="AY125" s="18"/>
      <c r="AZ125" s="18"/>
      <c r="BA125" s="18">
        <v>0</v>
      </c>
    </row>
    <row r="126" spans="23:53" x14ac:dyDescent="0.3">
      <c r="Y126">
        <v>2</v>
      </c>
      <c r="Z126" s="57">
        <v>44195</v>
      </c>
      <c r="AA126" t="s">
        <v>216</v>
      </c>
      <c r="AB126" s="18"/>
      <c r="AC126" s="18">
        <v>0</v>
      </c>
      <c r="AD126" s="18"/>
      <c r="AE126" s="18"/>
      <c r="AF126" s="18"/>
      <c r="AG126" s="18"/>
      <c r="AH126" s="18">
        <v>0</v>
      </c>
      <c r="AT126">
        <v>3</v>
      </c>
      <c r="AU126" s="18">
        <v>0</v>
      </c>
      <c r="AV126" s="18"/>
      <c r="AW126" s="18"/>
      <c r="AX126" s="18"/>
      <c r="AY126" s="18"/>
      <c r="AZ126" s="18"/>
      <c r="BA126" s="18">
        <v>0</v>
      </c>
    </row>
    <row r="127" spans="23:53" x14ac:dyDescent="0.3">
      <c r="Z127" s="57">
        <v>44205</v>
      </c>
      <c r="AA127" t="s">
        <v>244</v>
      </c>
      <c r="AB127" s="18"/>
      <c r="AC127" s="18">
        <v>0</v>
      </c>
      <c r="AD127" s="18"/>
      <c r="AE127" s="18"/>
      <c r="AF127" s="18"/>
      <c r="AG127" s="18"/>
      <c r="AH127" s="18">
        <v>0</v>
      </c>
      <c r="AT127">
        <v>5</v>
      </c>
      <c r="AU127" s="18">
        <v>0</v>
      </c>
      <c r="AV127" s="18"/>
      <c r="AW127" s="18"/>
      <c r="AX127" s="18"/>
      <c r="AY127" s="18"/>
      <c r="AZ127" s="18"/>
      <c r="BA127" s="18">
        <v>0</v>
      </c>
    </row>
    <row r="128" spans="23:53" x14ac:dyDescent="0.3">
      <c r="Y128">
        <v>3</v>
      </c>
      <c r="Z128" s="57">
        <v>44223</v>
      </c>
      <c r="AA128" t="s">
        <v>250</v>
      </c>
      <c r="AB128" s="18"/>
      <c r="AC128" s="18">
        <v>0</v>
      </c>
      <c r="AD128" s="18"/>
      <c r="AE128" s="18"/>
      <c r="AF128" s="18"/>
      <c r="AG128" s="18"/>
      <c r="AH128" s="18">
        <v>0</v>
      </c>
      <c r="AT128">
        <v>6</v>
      </c>
      <c r="AU128" s="18">
        <v>0</v>
      </c>
      <c r="AV128" s="18"/>
      <c r="AW128" s="18"/>
      <c r="AX128" s="18"/>
      <c r="AY128" s="18"/>
      <c r="AZ128" s="18"/>
      <c r="BA128" s="18">
        <v>0</v>
      </c>
    </row>
    <row r="129" spans="24:53" x14ac:dyDescent="0.3">
      <c r="Y129">
        <v>5</v>
      </c>
      <c r="Z129" s="57">
        <v>44287</v>
      </c>
      <c r="AA129" t="s">
        <v>323</v>
      </c>
      <c r="AB129" s="18"/>
      <c r="AC129" s="18">
        <v>0</v>
      </c>
      <c r="AD129" s="18"/>
      <c r="AE129" s="18"/>
      <c r="AF129" s="18"/>
      <c r="AG129" s="18"/>
      <c r="AH129" s="18">
        <v>0</v>
      </c>
      <c r="AT129">
        <v>10</v>
      </c>
      <c r="AU129" s="18">
        <v>0</v>
      </c>
      <c r="AV129" s="18"/>
      <c r="AW129" s="18"/>
      <c r="AX129" s="18"/>
      <c r="AY129" s="18"/>
      <c r="AZ129" s="18"/>
      <c r="BA129" s="18">
        <v>0</v>
      </c>
    </row>
    <row r="130" spans="24:53" x14ac:dyDescent="0.3">
      <c r="AA130" t="s">
        <v>324</v>
      </c>
      <c r="AB130" s="18"/>
      <c r="AC130" s="18">
        <v>0</v>
      </c>
      <c r="AD130" s="18"/>
      <c r="AE130" s="18"/>
      <c r="AF130" s="18"/>
      <c r="AG130" s="18"/>
      <c r="AH130" s="18">
        <v>0</v>
      </c>
      <c r="AS130">
        <v>2023</v>
      </c>
      <c r="AT130">
        <v>8</v>
      </c>
      <c r="AU130" s="18">
        <v>0</v>
      </c>
      <c r="AV130" s="18"/>
      <c r="AW130" s="18"/>
      <c r="AX130" s="18"/>
      <c r="AY130" s="18"/>
      <c r="AZ130" s="18"/>
      <c r="BA130" s="18">
        <v>0</v>
      </c>
    </row>
    <row r="131" spans="24:53" x14ac:dyDescent="0.3">
      <c r="Y131">
        <v>7</v>
      </c>
      <c r="Z131" s="57">
        <v>44337</v>
      </c>
      <c r="AA131" t="s">
        <v>341</v>
      </c>
      <c r="AB131" s="18"/>
      <c r="AC131" s="18">
        <v>0</v>
      </c>
      <c r="AD131" s="18"/>
      <c r="AE131" s="18"/>
      <c r="AF131" s="18"/>
      <c r="AG131" s="18"/>
      <c r="AH131" s="18">
        <v>0</v>
      </c>
      <c r="AT131">
        <v>10</v>
      </c>
      <c r="AU131" s="18">
        <v>0.19999999999998863</v>
      </c>
      <c r="AV131" s="18"/>
      <c r="AW131" s="18"/>
      <c r="AX131" s="18"/>
      <c r="AY131" s="18"/>
      <c r="AZ131" s="18"/>
      <c r="BA131" s="18">
        <v>0.19999999999998863</v>
      </c>
    </row>
    <row r="132" spans="24:53" x14ac:dyDescent="0.3">
      <c r="Y132">
        <v>10</v>
      </c>
      <c r="Z132" s="57">
        <v>44453</v>
      </c>
      <c r="AA132" t="s">
        <v>371</v>
      </c>
      <c r="AB132" s="18"/>
      <c r="AC132" s="18">
        <v>0</v>
      </c>
      <c r="AD132" s="18"/>
      <c r="AE132" s="18"/>
      <c r="AF132" s="18"/>
      <c r="AG132" s="18"/>
      <c r="AH132" s="18">
        <v>0</v>
      </c>
      <c r="AT132">
        <v>11</v>
      </c>
      <c r="AU132" s="18">
        <v>0</v>
      </c>
      <c r="AV132" s="18"/>
      <c r="AW132" s="18"/>
      <c r="AX132" s="18"/>
      <c r="AY132" s="18"/>
      <c r="AZ132" s="18"/>
      <c r="BA132" s="18">
        <v>0</v>
      </c>
    </row>
    <row r="133" spans="24:53" x14ac:dyDescent="0.3">
      <c r="Y133">
        <v>11</v>
      </c>
      <c r="Z133" s="57">
        <v>44476</v>
      </c>
      <c r="AA133" t="s">
        <v>403</v>
      </c>
      <c r="AB133" s="18"/>
      <c r="AC133" s="18">
        <v>0</v>
      </c>
      <c r="AD133" s="18"/>
      <c r="AE133" s="18"/>
      <c r="AF133" s="18"/>
      <c r="AG133" s="18"/>
      <c r="AH133" s="18">
        <v>0</v>
      </c>
      <c r="AT133">
        <v>4</v>
      </c>
      <c r="AU133" s="18">
        <v>0</v>
      </c>
      <c r="AV133" s="18"/>
      <c r="AW133" s="18"/>
      <c r="AX133" s="18"/>
      <c r="AY133" s="18"/>
      <c r="AZ133" s="18"/>
      <c r="BA133" s="18">
        <v>0</v>
      </c>
    </row>
    <row r="134" spans="24:53" x14ac:dyDescent="0.3">
      <c r="Z134" s="57">
        <v>44477</v>
      </c>
      <c r="AA134" t="s">
        <v>405</v>
      </c>
      <c r="AB134" s="18"/>
      <c r="AC134" s="18">
        <v>0</v>
      </c>
      <c r="AD134" s="18"/>
      <c r="AE134" s="18"/>
      <c r="AF134" s="18"/>
      <c r="AG134" s="18"/>
      <c r="AH134" s="18">
        <v>0</v>
      </c>
      <c r="AS134">
        <v>2024</v>
      </c>
      <c r="AT134">
        <v>1</v>
      </c>
      <c r="AU134" s="18">
        <v>0</v>
      </c>
      <c r="AV134" s="18"/>
      <c r="AW134" s="18"/>
      <c r="AX134" s="18"/>
      <c r="AY134" s="18"/>
      <c r="AZ134" s="18"/>
      <c r="BA134" s="18">
        <v>0</v>
      </c>
    </row>
    <row r="135" spans="24:53" x14ac:dyDescent="0.3">
      <c r="Y135">
        <v>12</v>
      </c>
      <c r="Z135" s="57">
        <v>44502</v>
      </c>
      <c r="AA135" t="s">
        <v>458</v>
      </c>
      <c r="AB135" s="18"/>
      <c r="AC135" s="18">
        <v>0</v>
      </c>
      <c r="AD135" s="18"/>
      <c r="AE135" s="18"/>
      <c r="AF135" s="18"/>
      <c r="AG135" s="18"/>
      <c r="AH135" s="18">
        <v>0</v>
      </c>
      <c r="AT135">
        <v>5</v>
      </c>
      <c r="AU135" s="18">
        <v>0</v>
      </c>
      <c r="AV135" s="18"/>
      <c r="AW135" s="18"/>
      <c r="AX135" s="18"/>
      <c r="AY135" s="18"/>
      <c r="AZ135" s="18"/>
      <c r="BA135" s="18">
        <v>0</v>
      </c>
    </row>
    <row r="136" spans="24:53" x14ac:dyDescent="0.3">
      <c r="X136">
        <v>2022</v>
      </c>
      <c r="Y136">
        <v>1</v>
      </c>
      <c r="Z136" s="57">
        <v>44523</v>
      </c>
      <c r="AA136" t="s">
        <v>480</v>
      </c>
      <c r="AB136" s="18"/>
      <c r="AC136" s="18">
        <v>0</v>
      </c>
      <c r="AD136" s="18"/>
      <c r="AE136" s="18"/>
      <c r="AF136" s="18"/>
      <c r="AG136" s="18"/>
      <c r="AH136" s="18">
        <v>0</v>
      </c>
      <c r="AT136">
        <v>7</v>
      </c>
      <c r="AU136" s="18">
        <v>0</v>
      </c>
      <c r="AV136" s="18"/>
      <c r="AW136" s="18"/>
      <c r="AX136" s="18"/>
      <c r="AY136" s="18"/>
      <c r="AZ136" s="18"/>
      <c r="BA136" s="18">
        <v>0</v>
      </c>
    </row>
    <row r="137" spans="24:53" x14ac:dyDescent="0.3">
      <c r="Y137">
        <v>2</v>
      </c>
      <c r="Z137" s="57">
        <v>44571</v>
      </c>
      <c r="AA137" t="s">
        <v>550</v>
      </c>
      <c r="AB137" s="18"/>
      <c r="AC137" s="18">
        <v>0</v>
      </c>
      <c r="AD137" s="18"/>
      <c r="AE137" s="18"/>
      <c r="AF137" s="18"/>
      <c r="AG137" s="18"/>
      <c r="AH137" s="18">
        <v>0</v>
      </c>
      <c r="AT137">
        <v>8</v>
      </c>
      <c r="AU137" s="18">
        <v>0</v>
      </c>
      <c r="AV137" s="18"/>
      <c r="AW137" s="18"/>
      <c r="AX137" s="18"/>
      <c r="AY137" s="18"/>
      <c r="AZ137" s="18"/>
      <c r="BA137" s="18">
        <v>0</v>
      </c>
    </row>
    <row r="138" spans="24:53" x14ac:dyDescent="0.3">
      <c r="Y138">
        <v>5</v>
      </c>
      <c r="Z138" s="57">
        <v>44659</v>
      </c>
      <c r="AA138" t="s">
        <v>687</v>
      </c>
      <c r="AB138" s="18"/>
      <c r="AC138" s="18">
        <v>0</v>
      </c>
      <c r="AD138" s="18"/>
      <c r="AE138" s="18"/>
      <c r="AF138" s="18"/>
      <c r="AG138" s="18"/>
      <c r="AH138" s="18">
        <v>0</v>
      </c>
      <c r="AT138">
        <v>4</v>
      </c>
      <c r="AU138" s="18">
        <v>0</v>
      </c>
      <c r="AV138" s="18"/>
      <c r="AW138" s="18"/>
      <c r="AX138" s="18"/>
      <c r="AY138" s="18"/>
      <c r="AZ138" s="18"/>
      <c r="BA138" s="18">
        <v>0</v>
      </c>
    </row>
    <row r="139" spans="24:53" x14ac:dyDescent="0.3">
      <c r="Y139">
        <v>6</v>
      </c>
      <c r="Z139" s="57">
        <v>44697</v>
      </c>
      <c r="AA139" t="s">
        <v>779</v>
      </c>
      <c r="AB139" s="18"/>
      <c r="AC139" s="18">
        <v>0</v>
      </c>
      <c r="AD139" s="18"/>
      <c r="AE139" s="18"/>
      <c r="AF139" s="18"/>
      <c r="AG139" s="18"/>
      <c r="AH139" s="18">
        <v>0</v>
      </c>
      <c r="AS139">
        <v>2025</v>
      </c>
      <c r="AT139">
        <v>3</v>
      </c>
      <c r="AU139" s="18">
        <v>0</v>
      </c>
      <c r="AV139" s="18"/>
      <c r="AW139" s="18"/>
      <c r="AX139" s="18"/>
      <c r="AY139" s="18"/>
      <c r="AZ139" s="18"/>
      <c r="BA139" s="18">
        <v>0</v>
      </c>
    </row>
    <row r="140" spans="24:53" x14ac:dyDescent="0.3">
      <c r="Y140">
        <v>9</v>
      </c>
      <c r="Z140" s="57">
        <v>44788</v>
      </c>
      <c r="AA140" t="s">
        <v>906</v>
      </c>
      <c r="AB140" s="18"/>
      <c r="AC140" s="18">
        <v>0</v>
      </c>
      <c r="AD140" s="18"/>
      <c r="AE140" s="18"/>
      <c r="AF140" s="18"/>
      <c r="AG140" s="18"/>
      <c r="AH140" s="18">
        <v>0</v>
      </c>
      <c r="AR140" s="36" t="s">
        <v>137</v>
      </c>
      <c r="AS140" s="36"/>
      <c r="AT140" s="36"/>
      <c r="AU140" s="37">
        <v>0.19999999999998863</v>
      </c>
      <c r="AV140" s="37"/>
      <c r="AW140" s="37"/>
      <c r="AX140" s="37"/>
      <c r="AY140" s="37"/>
      <c r="AZ140" s="37"/>
      <c r="BA140" s="37">
        <v>0.19999999999998863</v>
      </c>
    </row>
    <row r="141" spans="24:53" x14ac:dyDescent="0.3">
      <c r="Y141">
        <v>11</v>
      </c>
      <c r="Z141" s="57">
        <v>44836</v>
      </c>
      <c r="AA141" t="s">
        <v>995</v>
      </c>
      <c r="AB141" s="18"/>
      <c r="AC141" s="18">
        <v>0</v>
      </c>
      <c r="AD141" s="18"/>
      <c r="AE141" s="18"/>
      <c r="AF141" s="18"/>
      <c r="AG141" s="18"/>
      <c r="AH141" s="18">
        <v>0</v>
      </c>
      <c r="AR141" t="s">
        <v>23</v>
      </c>
      <c r="AS141">
        <v>2020</v>
      </c>
      <c r="AT141">
        <v>10</v>
      </c>
      <c r="AU141" s="18"/>
      <c r="AV141" s="18"/>
      <c r="AW141" s="18"/>
      <c r="AX141" s="18">
        <v>0</v>
      </c>
      <c r="AY141" s="18"/>
      <c r="AZ141" s="18"/>
      <c r="BA141" s="18">
        <v>0</v>
      </c>
    </row>
    <row r="142" spans="24:53" x14ac:dyDescent="0.3">
      <c r="AA142" t="s">
        <v>996</v>
      </c>
      <c r="AB142" s="18"/>
      <c r="AC142" s="18">
        <v>0</v>
      </c>
      <c r="AD142" s="18"/>
      <c r="AE142" s="18"/>
      <c r="AF142" s="18"/>
      <c r="AG142" s="18"/>
      <c r="AH142" s="18">
        <v>0</v>
      </c>
      <c r="AT142">
        <v>11</v>
      </c>
      <c r="AU142" s="18"/>
      <c r="AV142" s="18"/>
      <c r="AW142" s="18"/>
      <c r="AX142" s="18">
        <v>0</v>
      </c>
      <c r="AY142" s="18"/>
      <c r="AZ142" s="18"/>
      <c r="BA142" s="18">
        <v>0</v>
      </c>
    </row>
    <row r="143" spans="24:53" x14ac:dyDescent="0.3">
      <c r="Y143">
        <v>4</v>
      </c>
      <c r="Z143" s="57">
        <v>44611</v>
      </c>
      <c r="AA143" t="s">
        <v>605</v>
      </c>
      <c r="AB143" s="18"/>
      <c r="AC143" s="18">
        <v>0</v>
      </c>
      <c r="AD143" s="18"/>
      <c r="AE143" s="18"/>
      <c r="AF143" s="18"/>
      <c r="AG143" s="18"/>
      <c r="AH143" s="18">
        <v>0</v>
      </c>
      <c r="AT143">
        <v>12</v>
      </c>
      <c r="AU143" s="18"/>
      <c r="AV143" s="18"/>
      <c r="AW143" s="18"/>
      <c r="AX143" s="18">
        <v>0</v>
      </c>
      <c r="AY143" s="18"/>
      <c r="AZ143" s="18"/>
      <c r="BA143" s="18">
        <v>0</v>
      </c>
    </row>
    <row r="144" spans="24:53" x14ac:dyDescent="0.3">
      <c r="Z144" s="57">
        <v>44618</v>
      </c>
      <c r="AA144" t="s">
        <v>611</v>
      </c>
      <c r="AB144" s="18"/>
      <c r="AC144" s="18">
        <v>0</v>
      </c>
      <c r="AD144" s="18"/>
      <c r="AE144" s="18"/>
      <c r="AF144" s="18"/>
      <c r="AG144" s="18"/>
      <c r="AH144" s="18">
        <v>0</v>
      </c>
      <c r="AS144">
        <v>2021</v>
      </c>
      <c r="AT144">
        <v>1</v>
      </c>
      <c r="AU144" s="18"/>
      <c r="AV144" s="18"/>
      <c r="AW144" s="18"/>
      <c r="AX144" s="18">
        <v>0</v>
      </c>
      <c r="AY144" s="18"/>
      <c r="AZ144" s="18"/>
      <c r="BA144" s="18">
        <v>0</v>
      </c>
    </row>
    <row r="145" spans="24:53" x14ac:dyDescent="0.3">
      <c r="X145">
        <v>2023</v>
      </c>
      <c r="Y145">
        <v>1</v>
      </c>
      <c r="Z145" s="57">
        <v>44894</v>
      </c>
      <c r="AA145" t="s">
        <v>1091</v>
      </c>
      <c r="AB145" s="18"/>
      <c r="AC145" s="18">
        <v>0</v>
      </c>
      <c r="AD145" s="18"/>
      <c r="AE145" s="18"/>
      <c r="AF145" s="18"/>
      <c r="AG145" s="18"/>
      <c r="AH145" s="18">
        <v>0</v>
      </c>
      <c r="AT145">
        <v>2</v>
      </c>
      <c r="AU145" s="18"/>
      <c r="AV145" s="18"/>
      <c r="AW145" s="18"/>
      <c r="AX145" s="18">
        <v>0</v>
      </c>
      <c r="AY145" s="18"/>
      <c r="AZ145" s="18"/>
      <c r="BA145" s="18">
        <v>0</v>
      </c>
    </row>
    <row r="146" spans="24:53" x14ac:dyDescent="0.3">
      <c r="Y146">
        <v>7</v>
      </c>
      <c r="Z146" s="57">
        <v>45063</v>
      </c>
      <c r="AA146" t="s">
        <v>1547</v>
      </c>
      <c r="AB146" s="18"/>
      <c r="AC146" s="18">
        <v>0</v>
      </c>
      <c r="AD146" s="18"/>
      <c r="AE146" s="18"/>
      <c r="AF146" s="18"/>
      <c r="AG146" s="18"/>
      <c r="AH146" s="18">
        <v>0</v>
      </c>
      <c r="AT146">
        <v>6</v>
      </c>
      <c r="AU146" s="18"/>
      <c r="AV146" s="18"/>
      <c r="AW146" s="18"/>
      <c r="AX146" s="18">
        <v>0</v>
      </c>
      <c r="AY146" s="18"/>
      <c r="AZ146" s="18"/>
      <c r="BA146" s="18">
        <v>0</v>
      </c>
    </row>
    <row r="147" spans="24:53" x14ac:dyDescent="0.3">
      <c r="Y147">
        <v>9</v>
      </c>
      <c r="Z147" s="57">
        <v>45134</v>
      </c>
      <c r="AA147" t="s">
        <v>1737</v>
      </c>
      <c r="AB147" s="18"/>
      <c r="AC147" s="18">
        <v>0</v>
      </c>
      <c r="AD147" s="18"/>
      <c r="AE147" s="18"/>
      <c r="AF147" s="18"/>
      <c r="AG147" s="18"/>
      <c r="AH147" s="18">
        <v>0</v>
      </c>
      <c r="AT147">
        <v>7</v>
      </c>
      <c r="AU147" s="18"/>
      <c r="AV147" s="18"/>
      <c r="AW147" s="18"/>
      <c r="AX147" s="18">
        <v>0</v>
      </c>
      <c r="AY147" s="18"/>
      <c r="AZ147" s="18"/>
      <c r="BA147" s="18">
        <v>0</v>
      </c>
    </row>
    <row r="148" spans="24:53" x14ac:dyDescent="0.3">
      <c r="Z148" s="57">
        <v>45135</v>
      </c>
      <c r="AA148" t="s">
        <v>1737</v>
      </c>
      <c r="AB148" s="18"/>
      <c r="AC148" s="18">
        <v>0</v>
      </c>
      <c r="AD148" s="18"/>
      <c r="AE148" s="18"/>
      <c r="AF148" s="18"/>
      <c r="AG148" s="18"/>
      <c r="AH148" s="18">
        <v>0</v>
      </c>
      <c r="AT148">
        <v>8</v>
      </c>
      <c r="AU148" s="18"/>
      <c r="AV148" s="18"/>
      <c r="AW148" s="18"/>
      <c r="AX148" s="18">
        <v>0</v>
      </c>
      <c r="AY148" s="18"/>
      <c r="AZ148" s="18"/>
      <c r="BA148" s="18">
        <v>0</v>
      </c>
    </row>
    <row r="149" spans="24:53" x14ac:dyDescent="0.3">
      <c r="Z149" s="57">
        <v>45154</v>
      </c>
      <c r="AA149" t="s">
        <v>1819</v>
      </c>
      <c r="AB149" s="18"/>
      <c r="AC149" s="18">
        <v>0</v>
      </c>
      <c r="AD149" s="18"/>
      <c r="AE149" s="18"/>
      <c r="AF149" s="18"/>
      <c r="AG149" s="18"/>
      <c r="AH149" s="18">
        <v>0</v>
      </c>
      <c r="AT149">
        <v>12</v>
      </c>
      <c r="AU149" s="18"/>
      <c r="AV149" s="18"/>
      <c r="AW149" s="18"/>
      <c r="AX149" s="18">
        <v>0</v>
      </c>
      <c r="AY149" s="18"/>
      <c r="AZ149" s="18"/>
      <c r="BA149" s="18">
        <v>0</v>
      </c>
    </row>
    <row r="150" spans="24:53" x14ac:dyDescent="0.3">
      <c r="Y150">
        <v>10</v>
      </c>
      <c r="Z150" s="57">
        <v>45180</v>
      </c>
      <c r="AA150" t="s">
        <v>1898</v>
      </c>
      <c r="AB150" s="18"/>
      <c r="AC150" s="18">
        <v>0</v>
      </c>
      <c r="AD150" s="18"/>
      <c r="AE150" s="18"/>
      <c r="AF150" s="18"/>
      <c r="AG150" s="18"/>
      <c r="AH150" s="18">
        <v>0</v>
      </c>
      <c r="AT150">
        <v>4</v>
      </c>
      <c r="AU150" s="18"/>
      <c r="AV150" s="18"/>
      <c r="AW150" s="18"/>
      <c r="AX150" s="18">
        <v>0</v>
      </c>
      <c r="AY150" s="18"/>
      <c r="AZ150" s="18"/>
      <c r="BA150" s="18">
        <v>0</v>
      </c>
    </row>
    <row r="151" spans="24:53" x14ac:dyDescent="0.3">
      <c r="X151">
        <v>2024</v>
      </c>
      <c r="Y151">
        <v>5</v>
      </c>
      <c r="Z151" s="57">
        <v>45381</v>
      </c>
      <c r="AA151" t="s">
        <v>2456</v>
      </c>
      <c r="AB151" s="18"/>
      <c r="AC151" s="18">
        <v>0</v>
      </c>
      <c r="AD151" s="18"/>
      <c r="AE151" s="18"/>
      <c r="AF151" s="18"/>
      <c r="AG151" s="18"/>
      <c r="AH151" s="18">
        <v>0</v>
      </c>
      <c r="AS151">
        <v>2022</v>
      </c>
      <c r="AT151">
        <v>1</v>
      </c>
      <c r="AU151" s="18"/>
      <c r="AV151" s="18"/>
      <c r="AW151" s="18"/>
      <c r="AX151" s="18">
        <v>0</v>
      </c>
      <c r="AY151" s="18"/>
      <c r="AZ151" s="18"/>
      <c r="BA151" s="18">
        <v>0</v>
      </c>
    </row>
    <row r="152" spans="24:53" x14ac:dyDescent="0.3">
      <c r="Y152">
        <v>7</v>
      </c>
      <c r="Z152" s="57">
        <v>45447</v>
      </c>
      <c r="AA152" t="s">
        <v>2638</v>
      </c>
      <c r="AB152" s="18"/>
      <c r="AC152" s="18">
        <v>0</v>
      </c>
      <c r="AD152" s="18"/>
      <c r="AE152" s="18"/>
      <c r="AF152" s="18"/>
      <c r="AG152" s="18"/>
      <c r="AH152" s="18">
        <v>0</v>
      </c>
      <c r="AT152">
        <v>5</v>
      </c>
      <c r="AU152" s="18"/>
      <c r="AV152" s="18"/>
      <c r="AW152" s="18"/>
      <c r="AX152" s="18">
        <v>0</v>
      </c>
      <c r="AY152" s="18"/>
      <c r="AZ152" s="18"/>
      <c r="BA152" s="18">
        <v>0</v>
      </c>
    </row>
    <row r="153" spans="24:53" x14ac:dyDescent="0.3">
      <c r="Y153">
        <v>8</v>
      </c>
      <c r="Z153" s="57">
        <v>45475</v>
      </c>
      <c r="AA153" t="s">
        <v>2751</v>
      </c>
      <c r="AB153" s="18"/>
      <c r="AC153" s="18">
        <v>0</v>
      </c>
      <c r="AD153" s="18"/>
      <c r="AE153" s="18"/>
      <c r="AF153" s="18"/>
      <c r="AG153" s="18"/>
      <c r="AH153" s="18">
        <v>0</v>
      </c>
      <c r="AT153">
        <v>6</v>
      </c>
      <c r="AU153" s="18"/>
      <c r="AV153" s="18"/>
      <c r="AW153" s="18"/>
      <c r="AX153" s="18">
        <v>0</v>
      </c>
      <c r="AY153" s="18"/>
      <c r="AZ153" s="18"/>
      <c r="BA153" s="18">
        <v>0</v>
      </c>
    </row>
    <row r="154" spans="24:53" x14ac:dyDescent="0.3">
      <c r="Y154">
        <v>9</v>
      </c>
      <c r="Z154" s="57">
        <v>45512</v>
      </c>
      <c r="AA154" t="s">
        <v>2854</v>
      </c>
      <c r="AB154" s="18"/>
      <c r="AC154" s="18">
        <v>0</v>
      </c>
      <c r="AD154" s="18"/>
      <c r="AE154" s="18"/>
      <c r="AF154" s="18"/>
      <c r="AG154" s="18"/>
      <c r="AH154" s="18">
        <v>0</v>
      </c>
      <c r="AT154">
        <v>8</v>
      </c>
      <c r="AU154" s="18"/>
      <c r="AV154" s="18"/>
      <c r="AW154" s="18"/>
      <c r="AX154" s="18">
        <v>0</v>
      </c>
      <c r="AY154" s="18"/>
      <c r="AZ154" s="18"/>
      <c r="BA154" s="18">
        <v>0</v>
      </c>
    </row>
    <row r="155" spans="24:53" x14ac:dyDescent="0.3">
      <c r="Z155" s="57">
        <v>45516</v>
      </c>
      <c r="AA155" t="s">
        <v>2854</v>
      </c>
      <c r="AB155" s="18"/>
      <c r="AC155" s="18">
        <v>0</v>
      </c>
      <c r="AD155" s="18"/>
      <c r="AE155" s="18"/>
      <c r="AF155" s="18"/>
      <c r="AG155" s="18"/>
      <c r="AH155" s="18">
        <v>0</v>
      </c>
      <c r="AT155">
        <v>9</v>
      </c>
      <c r="AU155" s="18"/>
      <c r="AV155" s="18"/>
      <c r="AW155" s="18"/>
      <c r="AX155" s="18">
        <v>0</v>
      </c>
      <c r="AY155" s="18"/>
      <c r="AZ155" s="18"/>
      <c r="BA155" s="18">
        <v>0</v>
      </c>
    </row>
    <row r="156" spans="24:53" x14ac:dyDescent="0.3">
      <c r="Y156">
        <v>10</v>
      </c>
      <c r="Z156" s="57">
        <v>45537</v>
      </c>
      <c r="AA156" t="s">
        <v>2937</v>
      </c>
      <c r="AB156" s="18"/>
      <c r="AC156" s="18">
        <v>0</v>
      </c>
      <c r="AD156" s="18"/>
      <c r="AE156" s="18"/>
      <c r="AF156" s="18"/>
      <c r="AG156" s="18"/>
      <c r="AH156" s="18">
        <v>0</v>
      </c>
      <c r="AT156">
        <v>12</v>
      </c>
      <c r="AU156" s="18"/>
      <c r="AV156" s="18"/>
      <c r="AW156" s="18"/>
      <c r="AX156" s="18">
        <v>0</v>
      </c>
      <c r="AY156" s="18"/>
      <c r="AZ156" s="18"/>
      <c r="BA156" s="18">
        <v>0</v>
      </c>
    </row>
    <row r="157" spans="24:53" x14ac:dyDescent="0.3">
      <c r="Y157">
        <v>11</v>
      </c>
      <c r="Z157" s="57">
        <v>45561</v>
      </c>
      <c r="AA157" t="s">
        <v>2956</v>
      </c>
      <c r="AB157" s="18"/>
      <c r="AC157" s="18">
        <v>0</v>
      </c>
      <c r="AD157" s="18"/>
      <c r="AE157" s="18"/>
      <c r="AF157" s="18"/>
      <c r="AG157" s="18"/>
      <c r="AH157" s="18">
        <v>0</v>
      </c>
      <c r="AT157">
        <v>4</v>
      </c>
      <c r="AU157" s="18"/>
      <c r="AV157" s="18"/>
      <c r="AW157" s="18"/>
      <c r="AX157" s="18">
        <v>0</v>
      </c>
      <c r="AY157" s="18"/>
      <c r="AZ157" s="18"/>
      <c r="BA157" s="18">
        <v>0</v>
      </c>
    </row>
    <row r="158" spans="24:53" x14ac:dyDescent="0.3">
      <c r="Y158">
        <v>12</v>
      </c>
      <c r="Z158" s="57">
        <v>45612</v>
      </c>
      <c r="AA158" t="s">
        <v>3123</v>
      </c>
      <c r="AB158" s="18"/>
      <c r="AC158" s="18">
        <v>0</v>
      </c>
      <c r="AD158" s="18"/>
      <c r="AE158" s="18"/>
      <c r="AF158" s="18"/>
      <c r="AG158" s="18"/>
      <c r="AH158" s="18">
        <v>0</v>
      </c>
      <c r="AS158">
        <v>2023</v>
      </c>
      <c r="AT158">
        <v>2</v>
      </c>
      <c r="AU158" s="18"/>
      <c r="AV158" s="18"/>
      <c r="AW158" s="18"/>
      <c r="AX158" s="18">
        <v>0</v>
      </c>
      <c r="AY158" s="18"/>
      <c r="AZ158" s="18"/>
      <c r="BA158" s="18">
        <v>0</v>
      </c>
    </row>
    <row r="159" spans="24:53" x14ac:dyDescent="0.3">
      <c r="Y159">
        <v>4</v>
      </c>
      <c r="Z159" s="57">
        <v>45363</v>
      </c>
      <c r="AA159" t="s">
        <v>2432</v>
      </c>
      <c r="AB159" s="18"/>
      <c r="AC159" s="18">
        <v>0</v>
      </c>
      <c r="AD159" s="18"/>
      <c r="AE159" s="18"/>
      <c r="AF159" s="18"/>
      <c r="AG159" s="18"/>
      <c r="AH159" s="18">
        <v>0</v>
      </c>
      <c r="AT159">
        <v>3</v>
      </c>
      <c r="AU159" s="18"/>
      <c r="AV159" s="18"/>
      <c r="AW159" s="18"/>
      <c r="AX159" s="18">
        <v>0</v>
      </c>
      <c r="AY159" s="18"/>
      <c r="AZ159" s="18"/>
      <c r="BA159" s="18">
        <v>0</v>
      </c>
    </row>
    <row r="160" spans="24:53" x14ac:dyDescent="0.3">
      <c r="X160">
        <v>2025</v>
      </c>
      <c r="Y160">
        <v>1</v>
      </c>
      <c r="Z160" t="s">
        <v>3233</v>
      </c>
      <c r="AA160" t="s">
        <v>3234</v>
      </c>
      <c r="AB160" s="18"/>
      <c r="AC160" s="18">
        <v>0</v>
      </c>
      <c r="AD160" s="18"/>
      <c r="AE160" s="18"/>
      <c r="AF160" s="18"/>
      <c r="AG160" s="18"/>
      <c r="AH160" s="18">
        <v>0</v>
      </c>
      <c r="AT160">
        <v>6</v>
      </c>
      <c r="AU160" s="18"/>
      <c r="AV160" s="18"/>
      <c r="AW160" s="18"/>
      <c r="AX160" s="18">
        <v>0</v>
      </c>
      <c r="AY160" s="18"/>
      <c r="AZ160" s="18"/>
      <c r="BA160" s="18">
        <v>0</v>
      </c>
    </row>
    <row r="161" spans="23:53" x14ac:dyDescent="0.3">
      <c r="Y161">
        <v>2</v>
      </c>
      <c r="Z161" t="s">
        <v>3278</v>
      </c>
      <c r="AA161" t="s">
        <v>3279</v>
      </c>
      <c r="AB161" s="18"/>
      <c r="AC161" s="18">
        <v>0</v>
      </c>
      <c r="AD161" s="18"/>
      <c r="AE161" s="18"/>
      <c r="AF161" s="18"/>
      <c r="AG161" s="18"/>
      <c r="AH161" s="18">
        <v>0</v>
      </c>
      <c r="AR161" s="36" t="s">
        <v>138</v>
      </c>
      <c r="AS161" s="36"/>
      <c r="AT161" s="36"/>
      <c r="AU161" s="37"/>
      <c r="AV161" s="37"/>
      <c r="AW161" s="37"/>
      <c r="AX161" s="37">
        <v>0</v>
      </c>
      <c r="AY161" s="37"/>
      <c r="AZ161" s="37"/>
      <c r="BA161" s="37">
        <v>0</v>
      </c>
    </row>
    <row r="162" spans="23:53" x14ac:dyDescent="0.3">
      <c r="Z162" s="57">
        <v>45659</v>
      </c>
      <c r="AA162" t="s">
        <v>3333</v>
      </c>
      <c r="AB162" s="18"/>
      <c r="AC162" s="18">
        <v>0</v>
      </c>
      <c r="AD162" s="18"/>
      <c r="AE162" s="18"/>
      <c r="AF162" s="18"/>
      <c r="AG162" s="18"/>
      <c r="AH162" s="18">
        <v>0</v>
      </c>
      <c r="AR162" t="s">
        <v>14</v>
      </c>
      <c r="AS162">
        <v>2020</v>
      </c>
      <c r="AT162">
        <v>6</v>
      </c>
      <c r="AU162" s="18">
        <v>0</v>
      </c>
      <c r="AV162" s="18"/>
      <c r="AW162" s="18"/>
      <c r="AX162" s="18"/>
      <c r="AY162" s="18"/>
      <c r="AZ162" s="18"/>
      <c r="BA162" s="18">
        <v>0</v>
      </c>
    </row>
    <row r="163" spans="23:53" x14ac:dyDescent="0.3">
      <c r="Y163">
        <v>3</v>
      </c>
      <c r="Z163" s="57">
        <v>45682</v>
      </c>
      <c r="AA163" t="s">
        <v>3359</v>
      </c>
      <c r="AB163" s="18"/>
      <c r="AC163" s="18">
        <v>0</v>
      </c>
      <c r="AD163" s="18"/>
      <c r="AE163" s="18"/>
      <c r="AF163" s="18"/>
      <c r="AG163" s="18"/>
      <c r="AH163" s="18">
        <v>0</v>
      </c>
      <c r="AS163">
        <v>2021</v>
      </c>
      <c r="AT163">
        <v>9</v>
      </c>
      <c r="AU163" s="18">
        <v>0</v>
      </c>
      <c r="AV163" s="18"/>
      <c r="AW163" s="18"/>
      <c r="AX163" s="18"/>
      <c r="AY163" s="18"/>
      <c r="AZ163" s="18"/>
      <c r="BA163" s="18">
        <v>0</v>
      </c>
    </row>
    <row r="164" spans="23:53" x14ac:dyDescent="0.3">
      <c r="Z164" s="57">
        <v>45691</v>
      </c>
      <c r="AA164" t="s">
        <v>3442</v>
      </c>
      <c r="AB164" s="18"/>
      <c r="AC164" s="18">
        <v>0</v>
      </c>
      <c r="AD164" s="18"/>
      <c r="AE164" s="18"/>
      <c r="AF164" s="18"/>
      <c r="AG164" s="18"/>
      <c r="AH164" s="18">
        <v>0</v>
      </c>
      <c r="AR164" s="36" t="s">
        <v>139</v>
      </c>
      <c r="AS164" s="36"/>
      <c r="AT164" s="36"/>
      <c r="AU164" s="37">
        <v>0</v>
      </c>
      <c r="AV164" s="37"/>
      <c r="AW164" s="37"/>
      <c r="AX164" s="37"/>
      <c r="AY164" s="37"/>
      <c r="AZ164" s="37"/>
      <c r="BA164" s="37">
        <v>0</v>
      </c>
    </row>
    <row r="165" spans="23:53" x14ac:dyDescent="0.3">
      <c r="Y165">
        <v>5</v>
      </c>
      <c r="Z165" s="57">
        <v>45733</v>
      </c>
      <c r="AA165" t="s">
        <v>3536</v>
      </c>
      <c r="AB165" s="18"/>
      <c r="AC165" s="18">
        <v>0</v>
      </c>
      <c r="AD165" s="18"/>
      <c r="AE165" s="18"/>
      <c r="AF165" s="18"/>
      <c r="AG165" s="18"/>
      <c r="AH165" s="18">
        <v>0</v>
      </c>
      <c r="AR165" t="s">
        <v>52</v>
      </c>
      <c r="AS165">
        <v>2020</v>
      </c>
      <c r="AT165">
        <v>8</v>
      </c>
      <c r="AU165" s="18">
        <v>0</v>
      </c>
      <c r="AV165" s="18"/>
      <c r="AW165" s="18"/>
      <c r="AX165" s="18"/>
      <c r="AY165" s="18"/>
      <c r="AZ165" s="18"/>
      <c r="BA165" s="18">
        <v>0</v>
      </c>
    </row>
    <row r="166" spans="23:53" x14ac:dyDescent="0.3">
      <c r="Y166">
        <v>8</v>
      </c>
      <c r="Z166" t="s">
        <v>3873</v>
      </c>
      <c r="AA166" t="s">
        <v>3874</v>
      </c>
      <c r="AB166" s="18"/>
      <c r="AC166" s="18">
        <v>1277.5</v>
      </c>
      <c r="AD166" s="18"/>
      <c r="AE166" s="18"/>
      <c r="AF166" s="18"/>
      <c r="AG166" s="18"/>
      <c r="AH166" s="18">
        <v>1277.5</v>
      </c>
      <c r="AT166">
        <v>9</v>
      </c>
      <c r="AU166" s="18">
        <v>0</v>
      </c>
      <c r="AV166" s="18"/>
      <c r="AW166" s="18"/>
      <c r="AX166" s="18"/>
      <c r="AY166" s="18"/>
      <c r="AZ166" s="18"/>
      <c r="BA166" s="18">
        <v>0</v>
      </c>
    </row>
    <row r="167" spans="23:53" x14ac:dyDescent="0.3">
      <c r="Y167">
        <v>4</v>
      </c>
      <c r="Z167" s="57">
        <v>45705</v>
      </c>
      <c r="AA167" t="s">
        <v>3457</v>
      </c>
      <c r="AB167" s="18"/>
      <c r="AC167" s="18">
        <v>0</v>
      </c>
      <c r="AD167" s="18"/>
      <c r="AE167" s="18"/>
      <c r="AF167" s="18"/>
      <c r="AG167" s="18"/>
      <c r="AH167" s="18">
        <v>0</v>
      </c>
      <c r="AT167">
        <v>11</v>
      </c>
      <c r="AU167" s="18">
        <v>0</v>
      </c>
      <c r="AV167" s="18"/>
      <c r="AW167" s="18"/>
      <c r="AX167" s="18"/>
      <c r="AY167" s="18"/>
      <c r="AZ167" s="18"/>
      <c r="BA167" s="18">
        <v>0</v>
      </c>
    </row>
    <row r="168" spans="23:53" x14ac:dyDescent="0.3">
      <c r="W168" s="36" t="s">
        <v>136</v>
      </c>
      <c r="X168" s="36"/>
      <c r="Y168" s="36"/>
      <c r="Z168" s="36"/>
      <c r="AA168" s="36"/>
      <c r="AB168" s="37"/>
      <c r="AC168" s="37">
        <v>1277.5</v>
      </c>
      <c r="AD168" s="37"/>
      <c r="AE168" s="37"/>
      <c r="AF168" s="37"/>
      <c r="AG168" s="37"/>
      <c r="AH168" s="37">
        <v>1277.5</v>
      </c>
      <c r="AS168">
        <v>2021</v>
      </c>
      <c r="AT168">
        <v>2</v>
      </c>
      <c r="AU168" s="18">
        <v>0</v>
      </c>
      <c r="AV168" s="18"/>
      <c r="AW168" s="18"/>
      <c r="AX168" s="18"/>
      <c r="AY168" s="18"/>
      <c r="AZ168" s="18"/>
      <c r="BA168" s="18">
        <v>0</v>
      </c>
    </row>
    <row r="169" spans="23:53" x14ac:dyDescent="0.3">
      <c r="W169" t="s">
        <v>43</v>
      </c>
      <c r="X169">
        <v>2020</v>
      </c>
      <c r="Y169">
        <v>8</v>
      </c>
      <c r="Z169" s="57">
        <v>44062</v>
      </c>
      <c r="AA169" t="s">
        <v>41</v>
      </c>
      <c r="AB169" s="18">
        <v>0</v>
      </c>
      <c r="AC169" s="18"/>
      <c r="AD169" s="18"/>
      <c r="AE169" s="18"/>
      <c r="AF169" s="18"/>
      <c r="AG169" s="18"/>
      <c r="AH169" s="18">
        <v>0</v>
      </c>
      <c r="AT169">
        <v>10</v>
      </c>
      <c r="AU169" s="18">
        <v>0</v>
      </c>
      <c r="AV169" s="18"/>
      <c r="AW169" s="18"/>
      <c r="AX169" s="18"/>
      <c r="AY169" s="18"/>
      <c r="AZ169" s="18"/>
      <c r="BA169" s="18">
        <v>0</v>
      </c>
    </row>
    <row r="170" spans="23:53" x14ac:dyDescent="0.3">
      <c r="Y170">
        <v>11</v>
      </c>
      <c r="Z170" s="57">
        <v>44144</v>
      </c>
      <c r="AA170" t="s">
        <v>151</v>
      </c>
      <c r="AB170" s="18">
        <v>0</v>
      </c>
      <c r="AC170" s="18"/>
      <c r="AD170" s="18"/>
      <c r="AE170" s="18"/>
      <c r="AF170" s="18"/>
      <c r="AG170" s="18"/>
      <c r="AH170" s="18">
        <v>0</v>
      </c>
      <c r="AT170">
        <v>11</v>
      </c>
      <c r="AU170" s="18">
        <v>0</v>
      </c>
      <c r="AV170" s="18"/>
      <c r="AW170" s="18"/>
      <c r="AX170" s="18"/>
      <c r="AY170" s="18"/>
      <c r="AZ170" s="18"/>
      <c r="BA170" s="18">
        <v>0</v>
      </c>
    </row>
    <row r="171" spans="23:53" x14ac:dyDescent="0.3">
      <c r="X171">
        <v>2021</v>
      </c>
      <c r="Y171">
        <v>10</v>
      </c>
      <c r="Z171" s="57">
        <v>44470</v>
      </c>
      <c r="AA171" t="s">
        <v>397</v>
      </c>
      <c r="AB171" s="18">
        <v>0</v>
      </c>
      <c r="AC171" s="18"/>
      <c r="AD171" s="18"/>
      <c r="AE171" s="18"/>
      <c r="AF171" s="18"/>
      <c r="AG171" s="18"/>
      <c r="AH171" s="18">
        <v>0</v>
      </c>
      <c r="AR171" s="36" t="s">
        <v>140</v>
      </c>
      <c r="AS171" s="36"/>
      <c r="AT171" s="36"/>
      <c r="AU171" s="37">
        <v>0</v>
      </c>
      <c r="AV171" s="37"/>
      <c r="AW171" s="37"/>
      <c r="AX171" s="37"/>
      <c r="AY171" s="37"/>
      <c r="AZ171" s="37"/>
      <c r="BA171" s="37">
        <v>0</v>
      </c>
    </row>
    <row r="172" spans="23:53" x14ac:dyDescent="0.3">
      <c r="X172">
        <v>2022</v>
      </c>
      <c r="Y172">
        <v>1</v>
      </c>
      <c r="Z172" s="57">
        <v>44586</v>
      </c>
      <c r="AA172" t="s">
        <v>568</v>
      </c>
      <c r="AB172" s="18">
        <v>0</v>
      </c>
      <c r="AC172" s="18"/>
      <c r="AD172" s="18"/>
      <c r="AE172" s="18"/>
      <c r="AF172" s="18"/>
      <c r="AG172" s="18"/>
      <c r="AH172" s="18">
        <v>0</v>
      </c>
      <c r="AR172" t="s">
        <v>62</v>
      </c>
      <c r="AS172">
        <v>2020</v>
      </c>
      <c r="AT172">
        <v>12</v>
      </c>
      <c r="AU172" s="18"/>
      <c r="AV172" s="18"/>
      <c r="AW172" s="18"/>
      <c r="AX172" s="18">
        <v>0</v>
      </c>
      <c r="AY172" s="18"/>
      <c r="AZ172" s="18"/>
      <c r="BA172" s="18">
        <v>0</v>
      </c>
    </row>
    <row r="173" spans="23:53" x14ac:dyDescent="0.3">
      <c r="Y173">
        <v>2</v>
      </c>
      <c r="Z173" s="57">
        <v>44613</v>
      </c>
      <c r="AA173" t="s">
        <v>607</v>
      </c>
      <c r="AB173" s="18">
        <v>0</v>
      </c>
      <c r="AC173" s="18"/>
      <c r="AD173" s="18"/>
      <c r="AE173" s="18"/>
      <c r="AF173" s="18"/>
      <c r="AG173" s="18"/>
      <c r="AH173" s="18">
        <v>0</v>
      </c>
      <c r="AS173">
        <v>2021</v>
      </c>
      <c r="AT173">
        <v>1</v>
      </c>
      <c r="AU173" s="18"/>
      <c r="AV173" s="18"/>
      <c r="AW173" s="18"/>
      <c r="AX173" s="18">
        <v>0</v>
      </c>
      <c r="AY173" s="18"/>
      <c r="AZ173" s="18"/>
      <c r="BA173" s="18">
        <v>0</v>
      </c>
    </row>
    <row r="174" spans="23:53" x14ac:dyDescent="0.3">
      <c r="Y174">
        <v>3</v>
      </c>
      <c r="Z174" s="57">
        <v>44632</v>
      </c>
      <c r="AA174" t="s">
        <v>645</v>
      </c>
      <c r="AB174" s="18">
        <v>0</v>
      </c>
      <c r="AC174" s="18"/>
      <c r="AD174" s="18"/>
      <c r="AE174" s="18"/>
      <c r="AF174" s="18"/>
      <c r="AG174" s="18"/>
      <c r="AH174" s="18">
        <v>0</v>
      </c>
      <c r="AT174">
        <v>2</v>
      </c>
      <c r="AU174" s="18"/>
      <c r="AV174" s="18"/>
      <c r="AW174" s="18"/>
      <c r="AX174" s="18">
        <v>0</v>
      </c>
      <c r="AY174" s="18"/>
      <c r="AZ174" s="18"/>
      <c r="BA174" s="18">
        <v>0</v>
      </c>
    </row>
    <row r="175" spans="23:53" x14ac:dyDescent="0.3">
      <c r="Z175" s="57">
        <v>44641</v>
      </c>
      <c r="AA175" t="s">
        <v>652</v>
      </c>
      <c r="AB175" s="18">
        <v>0</v>
      </c>
      <c r="AC175" s="18"/>
      <c r="AD175" s="18"/>
      <c r="AE175" s="18"/>
      <c r="AF175" s="18"/>
      <c r="AG175" s="18"/>
      <c r="AH175" s="18">
        <v>0</v>
      </c>
      <c r="AT175">
        <v>3</v>
      </c>
      <c r="AU175" s="18"/>
      <c r="AV175" s="18"/>
      <c r="AW175" s="18"/>
      <c r="AX175" s="18">
        <v>0</v>
      </c>
      <c r="AY175" s="18"/>
      <c r="AZ175" s="18"/>
      <c r="BA175" s="18">
        <v>0</v>
      </c>
    </row>
    <row r="176" spans="23:53" x14ac:dyDescent="0.3">
      <c r="Y176">
        <v>5</v>
      </c>
      <c r="Z176" t="s">
        <v>767</v>
      </c>
      <c r="AA176" t="s">
        <v>766</v>
      </c>
      <c r="AB176" s="18">
        <v>0</v>
      </c>
      <c r="AC176" s="18"/>
      <c r="AD176" s="18"/>
      <c r="AE176" s="18"/>
      <c r="AF176" s="18"/>
      <c r="AG176" s="18"/>
      <c r="AH176" s="18">
        <v>0</v>
      </c>
      <c r="AT176">
        <v>5</v>
      </c>
      <c r="AU176" s="18"/>
      <c r="AV176" s="18"/>
      <c r="AW176" s="18"/>
      <c r="AX176" s="18">
        <v>0</v>
      </c>
      <c r="AY176" s="18"/>
      <c r="AZ176" s="18"/>
      <c r="BA176" s="18">
        <v>0</v>
      </c>
    </row>
    <row r="177" spans="23:53" x14ac:dyDescent="0.3">
      <c r="Z177" s="57">
        <v>44695</v>
      </c>
      <c r="AA177" t="s">
        <v>776</v>
      </c>
      <c r="AB177" s="18">
        <v>0</v>
      </c>
      <c r="AC177" s="18"/>
      <c r="AD177" s="18"/>
      <c r="AE177" s="18"/>
      <c r="AF177" s="18"/>
      <c r="AG177" s="18"/>
      <c r="AH177" s="18">
        <v>0</v>
      </c>
      <c r="AT177">
        <v>7</v>
      </c>
      <c r="AU177" s="18"/>
      <c r="AV177" s="18"/>
      <c r="AW177" s="18"/>
      <c r="AX177" s="18">
        <v>0</v>
      </c>
      <c r="AY177" s="18"/>
      <c r="AZ177" s="18"/>
      <c r="BA177" s="18">
        <v>0</v>
      </c>
    </row>
    <row r="178" spans="23:53" x14ac:dyDescent="0.3">
      <c r="Y178">
        <v>6</v>
      </c>
      <c r="Z178" s="57">
        <v>44732</v>
      </c>
      <c r="AA178" t="s">
        <v>843</v>
      </c>
      <c r="AB178" s="18">
        <v>0</v>
      </c>
      <c r="AC178" s="18"/>
      <c r="AD178" s="18"/>
      <c r="AE178" s="18"/>
      <c r="AF178" s="18"/>
      <c r="AG178" s="18"/>
      <c r="AH178" s="18">
        <v>0</v>
      </c>
      <c r="AT178">
        <v>8</v>
      </c>
      <c r="AU178" s="18"/>
      <c r="AV178" s="18"/>
      <c r="AW178" s="18"/>
      <c r="AX178" s="18">
        <v>-179.39999999999998</v>
      </c>
      <c r="AY178" s="18"/>
      <c r="AZ178" s="18"/>
      <c r="BA178" s="18">
        <v>-179.39999999999998</v>
      </c>
    </row>
    <row r="179" spans="23:53" x14ac:dyDescent="0.3">
      <c r="Y179">
        <v>10</v>
      </c>
      <c r="Z179" s="57">
        <v>44845</v>
      </c>
      <c r="AA179" t="s">
        <v>997</v>
      </c>
      <c r="AB179" s="18">
        <v>0</v>
      </c>
      <c r="AC179" s="18"/>
      <c r="AD179" s="18"/>
      <c r="AE179" s="18"/>
      <c r="AF179" s="18"/>
      <c r="AG179" s="18"/>
      <c r="AH179" s="18">
        <v>0</v>
      </c>
      <c r="AT179">
        <v>9</v>
      </c>
      <c r="AU179" s="18"/>
      <c r="AV179" s="18"/>
      <c r="AW179" s="18"/>
      <c r="AX179" s="18">
        <v>0</v>
      </c>
      <c r="AY179" s="18"/>
      <c r="AZ179" s="18"/>
      <c r="BA179" s="18">
        <v>0</v>
      </c>
    </row>
    <row r="180" spans="23:53" x14ac:dyDescent="0.3">
      <c r="X180">
        <v>2023</v>
      </c>
      <c r="Y180">
        <v>8</v>
      </c>
      <c r="Z180" s="57">
        <v>45141</v>
      </c>
      <c r="AA180" t="s">
        <v>1797</v>
      </c>
      <c r="AB180" s="18">
        <v>0</v>
      </c>
      <c r="AC180" s="18"/>
      <c r="AD180" s="18"/>
      <c r="AE180" s="18"/>
      <c r="AF180" s="18"/>
      <c r="AG180" s="18"/>
      <c r="AH180" s="18">
        <v>0</v>
      </c>
      <c r="AT180">
        <v>4</v>
      </c>
      <c r="AU180" s="18"/>
      <c r="AV180" s="18"/>
      <c r="AW180" s="18"/>
      <c r="AX180" s="18">
        <v>0</v>
      </c>
      <c r="AY180" s="18"/>
      <c r="AZ180" s="18"/>
      <c r="BA180" s="18">
        <v>0</v>
      </c>
    </row>
    <row r="181" spans="23:53" x14ac:dyDescent="0.3">
      <c r="Z181" s="57">
        <v>45159</v>
      </c>
      <c r="AA181" t="s">
        <v>1822</v>
      </c>
      <c r="AB181" s="18">
        <v>0</v>
      </c>
      <c r="AC181" s="18"/>
      <c r="AD181" s="18"/>
      <c r="AE181" s="18"/>
      <c r="AF181" s="18"/>
      <c r="AG181" s="18"/>
      <c r="AH181" s="18">
        <v>0</v>
      </c>
      <c r="AS181">
        <v>2022</v>
      </c>
      <c r="AT181">
        <v>1</v>
      </c>
      <c r="AU181" s="18"/>
      <c r="AV181" s="18"/>
      <c r="AW181" s="18"/>
      <c r="AX181" s="18">
        <v>0</v>
      </c>
      <c r="AY181" s="18"/>
      <c r="AZ181" s="18"/>
      <c r="BA181" s="18">
        <v>0</v>
      </c>
    </row>
    <row r="182" spans="23:53" x14ac:dyDescent="0.3">
      <c r="Y182">
        <v>10</v>
      </c>
      <c r="Z182" s="57">
        <v>45206</v>
      </c>
      <c r="AA182" t="s">
        <v>2000</v>
      </c>
      <c r="AB182" s="18">
        <v>0.19999999999998863</v>
      </c>
      <c r="AC182" s="18"/>
      <c r="AD182" s="18"/>
      <c r="AE182" s="18"/>
      <c r="AF182" s="18"/>
      <c r="AG182" s="18"/>
      <c r="AH182" s="18">
        <v>0.19999999999998863</v>
      </c>
      <c r="AT182">
        <v>2</v>
      </c>
      <c r="AU182" s="18"/>
      <c r="AV182" s="18"/>
      <c r="AW182" s="18"/>
      <c r="AX182" s="18">
        <v>0</v>
      </c>
      <c r="AY182" s="18"/>
      <c r="AZ182" s="18"/>
      <c r="BA182" s="18">
        <v>0</v>
      </c>
    </row>
    <row r="183" spans="23:53" x14ac:dyDescent="0.3">
      <c r="Y183">
        <v>11</v>
      </c>
      <c r="Z183" s="57">
        <v>45252</v>
      </c>
      <c r="AA183" t="s">
        <v>2167</v>
      </c>
      <c r="AB183" s="18">
        <v>0</v>
      </c>
      <c r="AC183" s="18"/>
      <c r="AD183" s="18"/>
      <c r="AE183" s="18"/>
      <c r="AF183" s="18"/>
      <c r="AG183" s="18"/>
      <c r="AH183" s="18">
        <v>0</v>
      </c>
      <c r="AT183">
        <v>3</v>
      </c>
      <c r="AU183" s="18"/>
      <c r="AV183" s="18"/>
      <c r="AW183" s="18"/>
      <c r="AX183" s="18">
        <v>0</v>
      </c>
      <c r="AY183" s="18"/>
      <c r="AZ183" s="18"/>
      <c r="BA183" s="18">
        <v>0</v>
      </c>
    </row>
    <row r="184" spans="23:53" x14ac:dyDescent="0.3">
      <c r="Y184">
        <v>4</v>
      </c>
      <c r="Z184" t="s">
        <v>1414</v>
      </c>
      <c r="AA184" t="s">
        <v>1415</v>
      </c>
      <c r="AB184" s="18">
        <v>0</v>
      </c>
      <c r="AC184" s="18"/>
      <c r="AD184" s="18"/>
      <c r="AE184" s="18"/>
      <c r="AF184" s="18"/>
      <c r="AG184" s="18"/>
      <c r="AH184" s="18">
        <v>0</v>
      </c>
      <c r="AT184">
        <v>5</v>
      </c>
      <c r="AU184" s="18"/>
      <c r="AV184" s="18"/>
      <c r="AW184" s="18"/>
      <c r="AX184" s="18">
        <v>0</v>
      </c>
      <c r="AY184" s="18"/>
      <c r="AZ184" s="18"/>
      <c r="BA184" s="18">
        <v>0</v>
      </c>
    </row>
    <row r="185" spans="23:53" x14ac:dyDescent="0.3">
      <c r="X185">
        <v>2024</v>
      </c>
      <c r="Y185">
        <v>1</v>
      </c>
      <c r="Z185" s="57">
        <v>45294</v>
      </c>
      <c r="AA185" t="s">
        <v>2269</v>
      </c>
      <c r="AB185" s="18">
        <v>0</v>
      </c>
      <c r="AC185" s="18"/>
      <c r="AD185" s="18"/>
      <c r="AE185" s="18"/>
      <c r="AF185" s="18"/>
      <c r="AG185" s="18"/>
      <c r="AH185" s="18">
        <v>0</v>
      </c>
      <c r="AT185">
        <v>6</v>
      </c>
      <c r="AU185" s="18"/>
      <c r="AV185" s="18"/>
      <c r="AW185" s="18"/>
      <c r="AX185" s="18">
        <v>0</v>
      </c>
      <c r="AY185" s="18"/>
      <c r="AZ185" s="18"/>
      <c r="BA185" s="18">
        <v>0</v>
      </c>
    </row>
    <row r="186" spans="23:53" x14ac:dyDescent="0.3">
      <c r="Y186">
        <v>5</v>
      </c>
      <c r="Z186" s="57">
        <v>45422</v>
      </c>
      <c r="AA186" t="s">
        <v>2557</v>
      </c>
      <c r="AB186" s="18">
        <v>0</v>
      </c>
      <c r="AC186" s="18"/>
      <c r="AD186" s="18"/>
      <c r="AE186" s="18"/>
      <c r="AF186" s="18"/>
      <c r="AG186" s="18"/>
      <c r="AH186" s="18">
        <v>0</v>
      </c>
      <c r="AT186">
        <v>7</v>
      </c>
      <c r="AU186" s="18"/>
      <c r="AV186" s="18"/>
      <c r="AW186" s="18"/>
      <c r="AX186" s="18">
        <v>0</v>
      </c>
      <c r="AY186" s="18"/>
      <c r="AZ186" s="18"/>
      <c r="BA186" s="18">
        <v>0</v>
      </c>
    </row>
    <row r="187" spans="23:53" x14ac:dyDescent="0.3">
      <c r="Y187">
        <v>7</v>
      </c>
      <c r="Z187" s="57">
        <v>45477</v>
      </c>
      <c r="AA187" t="s">
        <v>2753</v>
      </c>
      <c r="AB187" s="18">
        <v>0</v>
      </c>
      <c r="AC187" s="18"/>
      <c r="AD187" s="18"/>
      <c r="AE187" s="18"/>
      <c r="AF187" s="18"/>
      <c r="AG187" s="18"/>
      <c r="AH187" s="18">
        <v>0</v>
      </c>
      <c r="AT187">
        <v>8</v>
      </c>
      <c r="AU187" s="18"/>
      <c r="AV187" s="18"/>
      <c r="AW187" s="18"/>
      <c r="AX187" s="18">
        <v>0</v>
      </c>
      <c r="AY187" s="18"/>
      <c r="AZ187" s="18"/>
      <c r="BA187" s="18">
        <v>0</v>
      </c>
    </row>
    <row r="188" spans="23:53" x14ac:dyDescent="0.3">
      <c r="Y188">
        <v>8</v>
      </c>
      <c r="Z188" s="57">
        <v>45509</v>
      </c>
      <c r="AA188" t="s">
        <v>2842</v>
      </c>
      <c r="AB188" s="18">
        <v>0</v>
      </c>
      <c r="AC188" s="18"/>
      <c r="AD188" s="18"/>
      <c r="AE188" s="18"/>
      <c r="AF188" s="18"/>
      <c r="AG188" s="18"/>
      <c r="AH188" s="18">
        <v>0</v>
      </c>
      <c r="AT188">
        <v>9</v>
      </c>
      <c r="AU188" s="18"/>
      <c r="AV188" s="18"/>
      <c r="AW188" s="18"/>
      <c r="AX188" s="18">
        <v>0</v>
      </c>
      <c r="AY188" s="18"/>
      <c r="AZ188" s="18"/>
      <c r="BA188" s="18">
        <v>0</v>
      </c>
    </row>
    <row r="189" spans="23:53" x14ac:dyDescent="0.3">
      <c r="Y189">
        <v>4</v>
      </c>
      <c r="Z189" s="57">
        <v>45394</v>
      </c>
      <c r="AA189" t="s">
        <v>2512</v>
      </c>
      <c r="AB189" s="18">
        <v>0</v>
      </c>
      <c r="AC189" s="18"/>
      <c r="AD189" s="18"/>
      <c r="AE189" s="18"/>
      <c r="AF189" s="18"/>
      <c r="AG189" s="18"/>
      <c r="AH189" s="18">
        <v>0</v>
      </c>
      <c r="AT189">
        <v>10</v>
      </c>
      <c r="AU189" s="18"/>
      <c r="AV189" s="18"/>
      <c r="AW189" s="18"/>
      <c r="AX189" s="18">
        <v>0</v>
      </c>
      <c r="AY189" s="18"/>
      <c r="AZ189" s="18"/>
      <c r="BA189" s="18">
        <v>0</v>
      </c>
    </row>
    <row r="190" spans="23:53" x14ac:dyDescent="0.3">
      <c r="X190">
        <v>2025</v>
      </c>
      <c r="Y190">
        <v>3</v>
      </c>
      <c r="Z190" s="57">
        <v>45728</v>
      </c>
      <c r="AA190" t="s">
        <v>3524</v>
      </c>
      <c r="AB190" s="18">
        <v>0</v>
      </c>
      <c r="AC190" s="18"/>
      <c r="AD190" s="18"/>
      <c r="AE190" s="18"/>
      <c r="AF190" s="18"/>
      <c r="AG190" s="18"/>
      <c r="AH190" s="18">
        <v>0</v>
      </c>
      <c r="AT190">
        <v>11</v>
      </c>
      <c r="AU190" s="18"/>
      <c r="AV190" s="18"/>
      <c r="AW190" s="18"/>
      <c r="AX190" s="18">
        <v>0</v>
      </c>
      <c r="AY190" s="18"/>
      <c r="AZ190" s="18"/>
      <c r="BA190" s="18">
        <v>0</v>
      </c>
    </row>
    <row r="191" spans="23:53" x14ac:dyDescent="0.3">
      <c r="W191" s="36" t="s">
        <v>137</v>
      </c>
      <c r="X191" s="36"/>
      <c r="Y191" s="36"/>
      <c r="Z191" s="36"/>
      <c r="AA191" s="36"/>
      <c r="AB191" s="37">
        <v>0.19999999999998863</v>
      </c>
      <c r="AC191" s="37"/>
      <c r="AD191" s="37"/>
      <c r="AE191" s="37"/>
      <c r="AF191" s="37"/>
      <c r="AG191" s="37"/>
      <c r="AH191" s="37">
        <v>0.19999999999998863</v>
      </c>
      <c r="AT191">
        <v>12</v>
      </c>
      <c r="AU191" s="18"/>
      <c r="AV191" s="18"/>
      <c r="AW191" s="18"/>
      <c r="AX191" s="18">
        <v>0</v>
      </c>
      <c r="AY191" s="18"/>
      <c r="AZ191" s="18"/>
      <c r="BA191" s="18">
        <v>0</v>
      </c>
    </row>
    <row r="192" spans="23:53" x14ac:dyDescent="0.3">
      <c r="W192" t="s">
        <v>23</v>
      </c>
      <c r="X192">
        <v>2020</v>
      </c>
      <c r="Y192">
        <v>10</v>
      </c>
      <c r="Z192" s="57">
        <v>44013</v>
      </c>
      <c r="AA192" t="s">
        <v>21</v>
      </c>
      <c r="AB192" s="18"/>
      <c r="AC192" s="18"/>
      <c r="AD192" s="18"/>
      <c r="AE192" s="18">
        <v>0</v>
      </c>
      <c r="AF192" s="18"/>
      <c r="AG192" s="18"/>
      <c r="AH192" s="18">
        <v>0</v>
      </c>
      <c r="AT192">
        <v>4</v>
      </c>
      <c r="AU192" s="18"/>
      <c r="AV192" s="18"/>
      <c r="AW192" s="18"/>
      <c r="AX192" s="18">
        <v>0</v>
      </c>
      <c r="AY192" s="18"/>
      <c r="AZ192" s="18"/>
      <c r="BA192" s="18">
        <v>0</v>
      </c>
    </row>
    <row r="193" spans="24:53" x14ac:dyDescent="0.3">
      <c r="Y193">
        <v>11</v>
      </c>
      <c r="Z193" s="57">
        <v>44044</v>
      </c>
      <c r="AA193" t="s">
        <v>30</v>
      </c>
      <c r="AB193" s="18"/>
      <c r="AC193" s="18"/>
      <c r="AD193" s="18"/>
      <c r="AE193" s="18">
        <v>0</v>
      </c>
      <c r="AF193" s="18"/>
      <c r="AG193" s="18"/>
      <c r="AH193" s="18">
        <v>0</v>
      </c>
      <c r="AS193">
        <v>2023</v>
      </c>
      <c r="AT193">
        <v>1</v>
      </c>
      <c r="AU193" s="18"/>
      <c r="AV193" s="18"/>
      <c r="AW193" s="18"/>
      <c r="AX193" s="18">
        <v>0</v>
      </c>
      <c r="AY193" s="18"/>
      <c r="AZ193" s="18"/>
      <c r="BA193" s="18">
        <v>0</v>
      </c>
    </row>
    <row r="194" spans="24:53" x14ac:dyDescent="0.3">
      <c r="Y194">
        <v>12</v>
      </c>
      <c r="Z194" s="57">
        <v>44051</v>
      </c>
      <c r="AA194" t="s">
        <v>31</v>
      </c>
      <c r="AB194" s="18"/>
      <c r="AC194" s="18"/>
      <c r="AD194" s="18"/>
      <c r="AE194" s="18">
        <v>0</v>
      </c>
      <c r="AF194" s="18"/>
      <c r="AG194" s="18"/>
      <c r="AH194" s="18">
        <v>0</v>
      </c>
      <c r="AT194">
        <v>2</v>
      </c>
      <c r="AU194" s="18"/>
      <c r="AV194" s="18"/>
      <c r="AW194" s="18"/>
      <c r="AX194" s="18">
        <v>0</v>
      </c>
      <c r="AY194" s="18"/>
      <c r="AZ194" s="18"/>
      <c r="BA194" s="18">
        <v>0</v>
      </c>
    </row>
    <row r="195" spans="24:53" x14ac:dyDescent="0.3">
      <c r="AA195" t="s">
        <v>32</v>
      </c>
      <c r="AB195" s="18"/>
      <c r="AC195" s="18"/>
      <c r="AD195" s="18"/>
      <c r="AE195" s="18">
        <v>0</v>
      </c>
      <c r="AF195" s="18"/>
      <c r="AG195" s="18"/>
      <c r="AH195" s="18">
        <v>0</v>
      </c>
      <c r="AT195">
        <v>3</v>
      </c>
      <c r="AU195" s="18"/>
      <c r="AV195" s="18"/>
      <c r="AW195" s="18"/>
      <c r="AX195" s="18">
        <v>0</v>
      </c>
      <c r="AY195" s="18"/>
      <c r="AZ195" s="18"/>
      <c r="BA195" s="18">
        <v>0</v>
      </c>
    </row>
    <row r="196" spans="24:53" x14ac:dyDescent="0.3">
      <c r="X196">
        <v>2021</v>
      </c>
      <c r="Y196">
        <v>1</v>
      </c>
      <c r="Z196" s="57">
        <v>44091</v>
      </c>
      <c r="AA196" t="s">
        <v>99</v>
      </c>
      <c r="AB196" s="18"/>
      <c r="AC196" s="18"/>
      <c r="AD196" s="18"/>
      <c r="AE196" s="18">
        <v>0</v>
      </c>
      <c r="AF196" s="18"/>
      <c r="AG196" s="18"/>
      <c r="AH196" s="18">
        <v>0</v>
      </c>
      <c r="AT196">
        <v>5</v>
      </c>
      <c r="AU196" s="18"/>
      <c r="AV196" s="18"/>
      <c r="AW196" s="18"/>
      <c r="AX196" s="18">
        <v>0</v>
      </c>
      <c r="AY196" s="18"/>
      <c r="AZ196" s="18"/>
      <c r="BA196" s="18">
        <v>0</v>
      </c>
    </row>
    <row r="197" spans="24:53" x14ac:dyDescent="0.3">
      <c r="Z197" s="57">
        <v>44096</v>
      </c>
      <c r="AA197" t="s">
        <v>101</v>
      </c>
      <c r="AB197" s="18"/>
      <c r="AC197" s="18"/>
      <c r="AD197" s="18"/>
      <c r="AE197" s="18">
        <v>0</v>
      </c>
      <c r="AF197" s="18"/>
      <c r="AG197" s="18"/>
      <c r="AH197" s="18">
        <v>0</v>
      </c>
      <c r="AT197">
        <v>6</v>
      </c>
      <c r="AU197" s="18"/>
      <c r="AV197" s="18"/>
      <c r="AW197" s="18"/>
      <c r="AX197" s="18">
        <v>0</v>
      </c>
      <c r="AY197" s="18"/>
      <c r="AZ197" s="18"/>
      <c r="BA197" s="18">
        <v>0</v>
      </c>
    </row>
    <row r="198" spans="24:53" x14ac:dyDescent="0.3">
      <c r="Y198">
        <v>2</v>
      </c>
      <c r="Z198" s="57">
        <v>44112</v>
      </c>
      <c r="AA198" t="s">
        <v>110</v>
      </c>
      <c r="AB198" s="18"/>
      <c r="AC198" s="18"/>
      <c r="AD198" s="18"/>
      <c r="AE198" s="18">
        <v>0</v>
      </c>
      <c r="AF198" s="18"/>
      <c r="AG198" s="18"/>
      <c r="AH198" s="18">
        <v>0</v>
      </c>
      <c r="AT198">
        <v>7</v>
      </c>
      <c r="AU198" s="18"/>
      <c r="AV198" s="18"/>
      <c r="AW198" s="18"/>
      <c r="AX198" s="18">
        <v>0</v>
      </c>
      <c r="AY198" s="18"/>
      <c r="AZ198" s="18"/>
      <c r="BA198" s="18">
        <v>0</v>
      </c>
    </row>
    <row r="199" spans="24:53" x14ac:dyDescent="0.3">
      <c r="Z199" s="57">
        <v>44116</v>
      </c>
      <c r="AA199" t="s">
        <v>112</v>
      </c>
      <c r="AB199" s="18"/>
      <c r="AC199" s="18"/>
      <c r="AD199" s="18"/>
      <c r="AE199" s="18">
        <v>0</v>
      </c>
      <c r="AF199" s="18"/>
      <c r="AG199" s="18"/>
      <c r="AH199" s="18">
        <v>0</v>
      </c>
      <c r="AT199">
        <v>8</v>
      </c>
      <c r="AU199" s="18"/>
      <c r="AV199" s="18"/>
      <c r="AW199" s="18"/>
      <c r="AX199" s="18">
        <v>0</v>
      </c>
      <c r="AY199" s="18"/>
      <c r="AZ199" s="18"/>
      <c r="BA199" s="18">
        <v>0</v>
      </c>
    </row>
    <row r="200" spans="24:53" x14ac:dyDescent="0.3">
      <c r="Y200">
        <v>6</v>
      </c>
      <c r="Z200" s="57">
        <v>44251</v>
      </c>
      <c r="AA200" t="s">
        <v>274</v>
      </c>
      <c r="AB200" s="18"/>
      <c r="AC200" s="18"/>
      <c r="AD200" s="18"/>
      <c r="AE200" s="18">
        <v>0</v>
      </c>
      <c r="AF200" s="18"/>
      <c r="AG200" s="18"/>
      <c r="AH200" s="18">
        <v>0</v>
      </c>
      <c r="AT200">
        <v>9</v>
      </c>
      <c r="AU200" s="18"/>
      <c r="AV200" s="18"/>
      <c r="AW200" s="18"/>
      <c r="AX200" s="18">
        <v>0</v>
      </c>
      <c r="AY200" s="18"/>
      <c r="AZ200" s="18"/>
      <c r="BA200" s="18">
        <v>0</v>
      </c>
    </row>
    <row r="201" spans="24:53" x14ac:dyDescent="0.3">
      <c r="Y201">
        <v>7</v>
      </c>
      <c r="Z201" s="57">
        <v>44263</v>
      </c>
      <c r="AA201" t="s">
        <v>285</v>
      </c>
      <c r="AB201" s="18"/>
      <c r="AC201" s="18"/>
      <c r="AD201" s="18"/>
      <c r="AE201" s="18">
        <v>0</v>
      </c>
      <c r="AF201" s="18"/>
      <c r="AG201" s="18"/>
      <c r="AH201" s="18">
        <v>0</v>
      </c>
      <c r="AT201">
        <v>10</v>
      </c>
      <c r="AU201" s="18"/>
      <c r="AV201" s="18"/>
      <c r="AW201" s="18"/>
      <c r="AX201" s="18">
        <v>0</v>
      </c>
      <c r="AY201" s="18"/>
      <c r="AZ201" s="18"/>
      <c r="BA201" s="18">
        <v>0</v>
      </c>
    </row>
    <row r="202" spans="24:53" x14ac:dyDescent="0.3">
      <c r="Z202" s="57">
        <v>44278</v>
      </c>
      <c r="AA202" t="s">
        <v>318</v>
      </c>
      <c r="AB202" s="18"/>
      <c r="AC202" s="18"/>
      <c r="AD202" s="18"/>
      <c r="AE202" s="18">
        <v>0</v>
      </c>
      <c r="AF202" s="18"/>
      <c r="AG202" s="18"/>
      <c r="AH202" s="18">
        <v>0</v>
      </c>
      <c r="AT202">
        <v>11</v>
      </c>
      <c r="AU202" s="18"/>
      <c r="AV202" s="18"/>
      <c r="AW202" s="18"/>
      <c r="AX202" s="18">
        <v>0</v>
      </c>
      <c r="AY202" s="18"/>
      <c r="AZ202" s="18"/>
      <c r="BA202" s="18">
        <v>0</v>
      </c>
    </row>
    <row r="203" spans="24:53" x14ac:dyDescent="0.3">
      <c r="Z203" s="57">
        <v>44285</v>
      </c>
      <c r="AA203" t="s">
        <v>322</v>
      </c>
      <c r="AB203" s="18"/>
      <c r="AC203" s="18"/>
      <c r="AD203" s="18"/>
      <c r="AE203" s="18">
        <v>0</v>
      </c>
      <c r="AF203" s="18"/>
      <c r="AG203" s="18"/>
      <c r="AH203" s="18">
        <v>0</v>
      </c>
      <c r="AT203">
        <v>4</v>
      </c>
      <c r="AU203" s="18"/>
      <c r="AV203" s="18"/>
      <c r="AW203" s="18"/>
      <c r="AX203" s="18">
        <v>0</v>
      </c>
      <c r="AY203" s="18"/>
      <c r="AZ203" s="18"/>
      <c r="BA203" s="18">
        <v>0</v>
      </c>
    </row>
    <row r="204" spans="24:53" x14ac:dyDescent="0.3">
      <c r="Y204">
        <v>8</v>
      </c>
      <c r="Z204" s="57">
        <v>44319</v>
      </c>
      <c r="AA204" t="s">
        <v>329</v>
      </c>
      <c r="AB204" s="18"/>
      <c r="AC204" s="18"/>
      <c r="AD204" s="18"/>
      <c r="AE204" s="18">
        <v>0</v>
      </c>
      <c r="AF204" s="18"/>
      <c r="AG204" s="18"/>
      <c r="AH204" s="18">
        <v>0</v>
      </c>
      <c r="AS204">
        <v>2024</v>
      </c>
      <c r="AT204">
        <v>1</v>
      </c>
      <c r="AU204" s="18"/>
      <c r="AV204" s="18"/>
      <c r="AW204" s="18"/>
      <c r="AX204" s="18">
        <v>0</v>
      </c>
      <c r="AY204" s="18"/>
      <c r="AZ204" s="18"/>
      <c r="BA204" s="18">
        <v>0</v>
      </c>
    </row>
    <row r="205" spans="24:53" x14ac:dyDescent="0.3">
      <c r="Y205">
        <v>12</v>
      </c>
      <c r="Z205" s="57">
        <v>44440</v>
      </c>
      <c r="AA205" t="s">
        <v>369</v>
      </c>
      <c r="AB205" s="18"/>
      <c r="AC205" s="18"/>
      <c r="AD205" s="18"/>
      <c r="AE205" s="18">
        <v>0</v>
      </c>
      <c r="AF205" s="18"/>
      <c r="AG205" s="18"/>
      <c r="AH205" s="18">
        <v>0</v>
      </c>
      <c r="AT205">
        <v>2</v>
      </c>
      <c r="AU205" s="18"/>
      <c r="AV205" s="18"/>
      <c r="AW205" s="18"/>
      <c r="AX205" s="18">
        <v>0</v>
      </c>
      <c r="AY205" s="18"/>
      <c r="AZ205" s="18"/>
      <c r="BA205" s="18">
        <v>0</v>
      </c>
    </row>
    <row r="206" spans="24:53" x14ac:dyDescent="0.3">
      <c r="Y206">
        <v>4</v>
      </c>
      <c r="Z206" s="57">
        <v>44191</v>
      </c>
      <c r="AA206" t="s">
        <v>211</v>
      </c>
      <c r="AB206" s="18"/>
      <c r="AC206" s="18"/>
      <c r="AD206" s="18"/>
      <c r="AE206" s="18">
        <v>0</v>
      </c>
      <c r="AF206" s="18"/>
      <c r="AG206" s="18"/>
      <c r="AH206" s="18">
        <v>0</v>
      </c>
      <c r="AT206">
        <v>3</v>
      </c>
      <c r="AU206" s="18"/>
      <c r="AV206" s="18"/>
      <c r="AW206" s="18"/>
      <c r="AX206" s="18">
        <v>0</v>
      </c>
      <c r="AY206" s="18"/>
      <c r="AZ206" s="18"/>
      <c r="BA206" s="18">
        <v>0</v>
      </c>
    </row>
    <row r="207" spans="24:53" x14ac:dyDescent="0.3">
      <c r="X207">
        <v>2022</v>
      </c>
      <c r="Y207">
        <v>1</v>
      </c>
      <c r="Z207" s="57">
        <v>44466</v>
      </c>
      <c r="AA207" t="s">
        <v>377</v>
      </c>
      <c r="AB207" s="18"/>
      <c r="AC207" s="18"/>
      <c r="AD207" s="18"/>
      <c r="AE207" s="18">
        <v>0</v>
      </c>
      <c r="AF207" s="18"/>
      <c r="AG207" s="18"/>
      <c r="AH207" s="18">
        <v>0</v>
      </c>
      <c r="AT207">
        <v>5</v>
      </c>
      <c r="AU207" s="18"/>
      <c r="AV207" s="18"/>
      <c r="AW207" s="18"/>
      <c r="AX207" s="18">
        <v>0</v>
      </c>
      <c r="AY207" s="18"/>
      <c r="AZ207" s="18"/>
      <c r="BA207" s="18">
        <v>0</v>
      </c>
    </row>
    <row r="208" spans="24:53" x14ac:dyDescent="0.3">
      <c r="Z208" s="57">
        <v>44469</v>
      </c>
      <c r="AA208" t="s">
        <v>380</v>
      </c>
      <c r="AB208" s="18"/>
      <c r="AC208" s="18"/>
      <c r="AD208" s="18"/>
      <c r="AE208" s="18">
        <v>0</v>
      </c>
      <c r="AF208" s="18"/>
      <c r="AG208" s="18"/>
      <c r="AH208" s="18">
        <v>0</v>
      </c>
      <c r="AT208">
        <v>6</v>
      </c>
      <c r="AU208" s="18"/>
      <c r="AV208" s="18"/>
      <c r="AW208" s="18"/>
      <c r="AX208" s="18">
        <v>0</v>
      </c>
      <c r="AY208" s="18"/>
      <c r="AZ208" s="18"/>
      <c r="BA208" s="18">
        <v>0</v>
      </c>
    </row>
    <row r="209" spans="23:53" x14ac:dyDescent="0.3">
      <c r="Y209">
        <v>5</v>
      </c>
      <c r="Z209" s="57">
        <v>44575</v>
      </c>
      <c r="AA209" t="s">
        <v>559</v>
      </c>
      <c r="AB209" s="18"/>
      <c r="AC209" s="18"/>
      <c r="AD209" s="18"/>
      <c r="AE209" s="18">
        <v>0</v>
      </c>
      <c r="AF209" s="18"/>
      <c r="AG209" s="18"/>
      <c r="AH209" s="18">
        <v>0</v>
      </c>
      <c r="AT209">
        <v>7</v>
      </c>
      <c r="AU209" s="18"/>
      <c r="AV209" s="18"/>
      <c r="AW209" s="18"/>
      <c r="AX209" s="18">
        <v>0</v>
      </c>
      <c r="AY209" s="18"/>
      <c r="AZ209" s="18"/>
      <c r="BA209" s="18">
        <v>0</v>
      </c>
    </row>
    <row r="210" spans="23:53" x14ac:dyDescent="0.3">
      <c r="AA210" t="s">
        <v>561</v>
      </c>
      <c r="AB210" s="18"/>
      <c r="AC210" s="18"/>
      <c r="AD210" s="18"/>
      <c r="AE210" s="18">
        <v>0</v>
      </c>
      <c r="AF210" s="18"/>
      <c r="AG210" s="18"/>
      <c r="AH210" s="18">
        <v>0</v>
      </c>
      <c r="AT210">
        <v>8</v>
      </c>
      <c r="AU210" s="18"/>
      <c r="AV210" s="18"/>
      <c r="AW210" s="18"/>
      <c r="AX210" s="18">
        <v>0</v>
      </c>
      <c r="AY210" s="18"/>
      <c r="AZ210" s="18"/>
      <c r="BA210" s="18">
        <v>0</v>
      </c>
    </row>
    <row r="211" spans="23:53" x14ac:dyDescent="0.3">
      <c r="Z211" s="57">
        <v>44578</v>
      </c>
      <c r="AA211" t="s">
        <v>562</v>
      </c>
      <c r="AB211" s="18"/>
      <c r="AC211" s="18"/>
      <c r="AD211" s="18"/>
      <c r="AE211" s="18">
        <v>0</v>
      </c>
      <c r="AF211" s="18"/>
      <c r="AG211" s="18"/>
      <c r="AH211" s="18">
        <v>0</v>
      </c>
      <c r="AT211">
        <v>9</v>
      </c>
      <c r="AU211" s="18"/>
      <c r="AV211" s="18"/>
      <c r="AW211" s="18"/>
      <c r="AX211" s="18">
        <v>0</v>
      </c>
      <c r="AY211" s="18"/>
      <c r="AZ211" s="18"/>
      <c r="BA211" s="18">
        <v>0</v>
      </c>
    </row>
    <row r="212" spans="23:53" x14ac:dyDescent="0.3">
      <c r="Z212" s="57">
        <v>44587</v>
      </c>
      <c r="AA212" t="s">
        <v>569</v>
      </c>
      <c r="AB212" s="18"/>
      <c r="AC212" s="18"/>
      <c r="AD212" s="18"/>
      <c r="AE212" s="18">
        <v>0</v>
      </c>
      <c r="AF212" s="18"/>
      <c r="AG212" s="18"/>
      <c r="AH212" s="18">
        <v>0</v>
      </c>
      <c r="AT212">
        <v>10</v>
      </c>
      <c r="AU212" s="18"/>
      <c r="AV212" s="18"/>
      <c r="AW212" s="18"/>
      <c r="AX212" s="18">
        <v>0</v>
      </c>
      <c r="AY212" s="18"/>
      <c r="AZ212" s="18"/>
      <c r="BA212" s="18">
        <v>0</v>
      </c>
    </row>
    <row r="213" spans="23:53" x14ac:dyDescent="0.3">
      <c r="Y213">
        <v>6</v>
      </c>
      <c r="Z213" s="57">
        <v>44607</v>
      </c>
      <c r="AA213" t="s">
        <v>602</v>
      </c>
      <c r="AB213" s="18"/>
      <c r="AC213" s="18"/>
      <c r="AD213" s="18"/>
      <c r="AE213" s="18">
        <v>0</v>
      </c>
      <c r="AF213" s="18"/>
      <c r="AG213" s="18"/>
      <c r="AH213" s="18">
        <v>0</v>
      </c>
      <c r="AT213">
        <v>11</v>
      </c>
      <c r="AU213" s="18"/>
      <c r="AV213" s="18"/>
      <c r="AW213" s="18"/>
      <c r="AX213" s="18">
        <v>0</v>
      </c>
      <c r="AY213" s="18"/>
      <c r="AZ213" s="18"/>
      <c r="BA213" s="18">
        <v>0</v>
      </c>
    </row>
    <row r="214" spans="23:53" x14ac:dyDescent="0.3">
      <c r="Y214">
        <v>8</v>
      </c>
      <c r="Z214" s="57">
        <v>44672</v>
      </c>
      <c r="AA214" t="s">
        <v>700</v>
      </c>
      <c r="AB214" s="18"/>
      <c r="AC214" s="18"/>
      <c r="AD214" s="18"/>
      <c r="AE214" s="18">
        <v>0</v>
      </c>
      <c r="AF214" s="18"/>
      <c r="AG214" s="18"/>
      <c r="AH214" s="18">
        <v>0</v>
      </c>
      <c r="AT214">
        <v>12</v>
      </c>
      <c r="AU214" s="18"/>
      <c r="AV214" s="18"/>
      <c r="AW214" s="18"/>
      <c r="AX214" s="18">
        <v>0</v>
      </c>
      <c r="AY214" s="18"/>
      <c r="AZ214" s="18"/>
      <c r="BA214" s="18">
        <v>0</v>
      </c>
    </row>
    <row r="215" spans="23:53" x14ac:dyDescent="0.3">
      <c r="Y215">
        <v>9</v>
      </c>
      <c r="Z215" s="57">
        <v>44705</v>
      </c>
      <c r="AA215" t="s">
        <v>795</v>
      </c>
      <c r="AB215" s="18"/>
      <c r="AC215" s="18"/>
      <c r="AD215" s="18"/>
      <c r="AE215" s="18">
        <v>0</v>
      </c>
      <c r="AF215" s="18"/>
      <c r="AG215" s="18"/>
      <c r="AH215" s="18">
        <v>0</v>
      </c>
      <c r="AT215">
        <v>4</v>
      </c>
      <c r="AU215" s="18"/>
      <c r="AV215" s="18"/>
      <c r="AW215" s="18"/>
      <c r="AX215" s="18">
        <v>0</v>
      </c>
      <c r="AY215" s="18"/>
      <c r="AZ215" s="18"/>
      <c r="BA215" s="18">
        <v>0</v>
      </c>
    </row>
    <row r="216" spans="23:53" x14ac:dyDescent="0.3">
      <c r="Y216">
        <v>12</v>
      </c>
      <c r="Z216" s="57">
        <v>44788</v>
      </c>
      <c r="AA216" t="s">
        <v>902</v>
      </c>
      <c r="AB216" s="18"/>
      <c r="AC216" s="18"/>
      <c r="AD216" s="18"/>
      <c r="AE216" s="18">
        <v>0</v>
      </c>
      <c r="AF216" s="18"/>
      <c r="AG216" s="18"/>
      <c r="AH216" s="18">
        <v>0</v>
      </c>
      <c r="AS216">
        <v>2025</v>
      </c>
      <c r="AT216">
        <v>1</v>
      </c>
      <c r="AU216" s="18"/>
      <c r="AV216" s="18"/>
      <c r="AW216" s="18"/>
      <c r="AX216" s="18">
        <v>0</v>
      </c>
      <c r="AY216" s="18"/>
      <c r="AZ216" s="18"/>
      <c r="BA216" s="18">
        <v>0</v>
      </c>
    </row>
    <row r="217" spans="23:53" x14ac:dyDescent="0.3">
      <c r="Y217">
        <v>4</v>
      </c>
      <c r="Z217" s="57">
        <v>44545</v>
      </c>
      <c r="AA217" t="s">
        <v>508</v>
      </c>
      <c r="AB217" s="18"/>
      <c r="AC217" s="18"/>
      <c r="AD217" s="18"/>
      <c r="AE217" s="18">
        <v>0</v>
      </c>
      <c r="AF217" s="18"/>
      <c r="AG217" s="18"/>
      <c r="AH217" s="18">
        <v>0</v>
      </c>
      <c r="AT217">
        <v>2</v>
      </c>
      <c r="AU217" s="18"/>
      <c r="AV217" s="18"/>
      <c r="AW217" s="18"/>
      <c r="AX217" s="18">
        <v>0</v>
      </c>
      <c r="AY217" s="18"/>
      <c r="AZ217" s="18"/>
      <c r="BA217" s="18">
        <v>0</v>
      </c>
    </row>
    <row r="218" spans="23:53" x14ac:dyDescent="0.3">
      <c r="Z218" s="57">
        <v>44546</v>
      </c>
      <c r="AA218" t="s">
        <v>510</v>
      </c>
      <c r="AB218" s="18"/>
      <c r="AC218" s="18"/>
      <c r="AD218" s="18"/>
      <c r="AE218" s="18">
        <v>0</v>
      </c>
      <c r="AF218" s="18"/>
      <c r="AG218" s="18"/>
      <c r="AH218" s="18">
        <v>0</v>
      </c>
      <c r="AT218">
        <v>3</v>
      </c>
      <c r="AU218" s="18"/>
      <c r="AV218" s="18"/>
      <c r="AW218" s="18"/>
      <c r="AX218" s="18">
        <v>0</v>
      </c>
      <c r="AY218" s="18"/>
      <c r="AZ218" s="18"/>
      <c r="BA218" s="18">
        <v>0</v>
      </c>
    </row>
    <row r="219" spans="23:53" x14ac:dyDescent="0.3">
      <c r="Z219" s="57">
        <v>44551</v>
      </c>
      <c r="AA219" t="s">
        <v>512</v>
      </c>
      <c r="AB219" s="18"/>
      <c r="AC219" s="18"/>
      <c r="AD219" s="18"/>
      <c r="AE219" s="18">
        <v>0</v>
      </c>
      <c r="AF219" s="18"/>
      <c r="AG219" s="18"/>
      <c r="AH219" s="18">
        <v>0</v>
      </c>
      <c r="AT219">
        <v>5</v>
      </c>
      <c r="AU219" s="18"/>
      <c r="AV219" s="18"/>
      <c r="AW219" s="18"/>
      <c r="AX219" s="18">
        <v>0</v>
      </c>
      <c r="AY219" s="18"/>
      <c r="AZ219" s="18"/>
      <c r="BA219" s="18">
        <v>0</v>
      </c>
    </row>
    <row r="220" spans="23:53" x14ac:dyDescent="0.3">
      <c r="X220">
        <v>2023</v>
      </c>
      <c r="Y220">
        <v>2</v>
      </c>
      <c r="Z220" s="57">
        <v>44854</v>
      </c>
      <c r="AA220" t="s">
        <v>1008</v>
      </c>
      <c r="AB220" s="18"/>
      <c r="AC220" s="18"/>
      <c r="AD220" s="18"/>
      <c r="AE220" s="18">
        <v>0</v>
      </c>
      <c r="AF220" s="18"/>
      <c r="AG220" s="18"/>
      <c r="AH220" s="18">
        <v>0</v>
      </c>
      <c r="AT220">
        <v>8</v>
      </c>
      <c r="AU220" s="18"/>
      <c r="AV220" s="18"/>
      <c r="AW220" s="18"/>
      <c r="AX220" s="18">
        <v>0</v>
      </c>
      <c r="AY220" s="18"/>
      <c r="AZ220" s="18"/>
      <c r="BA220" s="18">
        <v>0</v>
      </c>
    </row>
    <row r="221" spans="23:53" x14ac:dyDescent="0.3">
      <c r="Y221">
        <v>3</v>
      </c>
      <c r="Z221" s="57">
        <v>44866</v>
      </c>
      <c r="AA221" t="s">
        <v>1046</v>
      </c>
      <c r="AB221" s="18"/>
      <c r="AC221" s="18"/>
      <c r="AD221" s="18"/>
      <c r="AE221" s="18">
        <v>0</v>
      </c>
      <c r="AF221" s="18"/>
      <c r="AG221" s="18"/>
      <c r="AH221" s="18">
        <v>0</v>
      </c>
      <c r="AT221">
        <v>9</v>
      </c>
      <c r="AU221" s="18"/>
      <c r="AV221" s="18"/>
      <c r="AW221" s="18"/>
      <c r="AX221" s="18">
        <v>20530</v>
      </c>
      <c r="AY221" s="18"/>
      <c r="AZ221" s="18"/>
      <c r="BA221" s="18">
        <v>20530</v>
      </c>
    </row>
    <row r="222" spans="23:53" x14ac:dyDescent="0.3">
      <c r="Y222">
        <v>6</v>
      </c>
      <c r="Z222" s="57">
        <v>44978</v>
      </c>
      <c r="AA222" t="s">
        <v>1273</v>
      </c>
      <c r="AB222" s="18"/>
      <c r="AC222" s="18"/>
      <c r="AD222" s="18"/>
      <c r="AE222" s="18">
        <v>0</v>
      </c>
      <c r="AF222" s="18"/>
      <c r="AG222" s="18"/>
      <c r="AH222" s="18">
        <v>0</v>
      </c>
      <c r="AT222">
        <v>10</v>
      </c>
      <c r="AU222" s="18"/>
      <c r="AV222" s="18"/>
      <c r="AW222" s="18"/>
      <c r="AX222" s="18">
        <v>19245.400000000001</v>
      </c>
      <c r="AY222" s="18"/>
      <c r="AZ222" s="18"/>
      <c r="BA222" s="18">
        <v>19245.400000000001</v>
      </c>
    </row>
    <row r="223" spans="23:53" x14ac:dyDescent="0.3">
      <c r="W223" s="36" t="s">
        <v>138</v>
      </c>
      <c r="X223" s="36"/>
      <c r="Y223" s="36"/>
      <c r="Z223" s="36"/>
      <c r="AA223" s="36"/>
      <c r="AB223" s="37"/>
      <c r="AC223" s="37"/>
      <c r="AD223" s="37"/>
      <c r="AE223" s="37">
        <v>0</v>
      </c>
      <c r="AF223" s="37"/>
      <c r="AG223" s="37"/>
      <c r="AH223" s="37">
        <v>0</v>
      </c>
      <c r="AT223">
        <v>11</v>
      </c>
      <c r="AU223" s="18"/>
      <c r="AV223" s="18"/>
      <c r="AW223" s="18"/>
      <c r="AX223" s="18">
        <v>12886.9</v>
      </c>
      <c r="AY223" s="18"/>
      <c r="AZ223" s="18"/>
      <c r="BA223" s="18">
        <v>12886.9</v>
      </c>
    </row>
    <row r="224" spans="23:53" x14ac:dyDescent="0.3">
      <c r="W224" t="s">
        <v>14</v>
      </c>
      <c r="X224">
        <v>2020</v>
      </c>
      <c r="Y224">
        <v>6</v>
      </c>
      <c r="Z224" s="57">
        <v>43993</v>
      </c>
      <c r="AA224" t="s">
        <v>11</v>
      </c>
      <c r="AB224" s="18">
        <v>0</v>
      </c>
      <c r="AC224" s="18"/>
      <c r="AD224" s="18"/>
      <c r="AE224" s="18"/>
      <c r="AF224" s="18"/>
      <c r="AG224" s="18"/>
      <c r="AH224" s="18">
        <v>0</v>
      </c>
      <c r="AT224">
        <v>4</v>
      </c>
      <c r="AU224" s="18"/>
      <c r="AV224" s="18"/>
      <c r="AW224" s="18"/>
      <c r="AX224" s="18">
        <v>0</v>
      </c>
      <c r="AY224" s="18"/>
      <c r="AZ224" s="18"/>
      <c r="BA224" s="18">
        <v>0</v>
      </c>
    </row>
    <row r="225" spans="23:53" x14ac:dyDescent="0.3">
      <c r="X225">
        <v>2021</v>
      </c>
      <c r="Y225">
        <v>9</v>
      </c>
      <c r="Z225" s="57">
        <v>44440</v>
      </c>
      <c r="AA225" t="s">
        <v>370</v>
      </c>
      <c r="AB225" s="18">
        <v>0</v>
      </c>
      <c r="AC225" s="18"/>
      <c r="AD225" s="18"/>
      <c r="AE225" s="18"/>
      <c r="AF225" s="18"/>
      <c r="AG225" s="18"/>
      <c r="AH225" s="18">
        <v>0</v>
      </c>
      <c r="AR225" s="36" t="s">
        <v>204</v>
      </c>
      <c r="AS225" s="36"/>
      <c r="AT225" s="36"/>
      <c r="AU225" s="37"/>
      <c r="AV225" s="37"/>
      <c r="AW225" s="37"/>
      <c r="AX225" s="37">
        <v>52482.9</v>
      </c>
      <c r="AY225" s="37"/>
      <c r="AZ225" s="37"/>
      <c r="BA225" s="37">
        <v>52482.9</v>
      </c>
    </row>
    <row r="226" spans="23:53" x14ac:dyDescent="0.3">
      <c r="W226" s="36" t="s">
        <v>139</v>
      </c>
      <c r="X226" s="36"/>
      <c r="Y226" s="36"/>
      <c r="Z226" s="36"/>
      <c r="AA226" s="36"/>
      <c r="AB226" s="37">
        <v>0</v>
      </c>
      <c r="AC226" s="37"/>
      <c r="AD226" s="37"/>
      <c r="AE226" s="37"/>
      <c r="AF226" s="37"/>
      <c r="AG226" s="37"/>
      <c r="AH226" s="37">
        <v>0</v>
      </c>
      <c r="AR226" t="s">
        <v>173</v>
      </c>
      <c r="AS226">
        <v>2020</v>
      </c>
      <c r="AT226">
        <v>11</v>
      </c>
      <c r="AU226" s="18">
        <v>0</v>
      </c>
      <c r="AV226" s="18"/>
      <c r="AW226" s="18"/>
      <c r="AX226" s="18"/>
      <c r="AY226" s="18"/>
      <c r="AZ226" s="18"/>
      <c r="BA226" s="18">
        <v>0</v>
      </c>
    </row>
    <row r="227" spans="23:53" x14ac:dyDescent="0.3">
      <c r="W227" t="s">
        <v>52</v>
      </c>
      <c r="X227">
        <v>2020</v>
      </c>
      <c r="Y227">
        <v>8</v>
      </c>
      <c r="Z227" s="57">
        <v>44065</v>
      </c>
      <c r="AA227" t="s">
        <v>50</v>
      </c>
      <c r="AB227" s="18">
        <v>0</v>
      </c>
      <c r="AC227" s="18"/>
      <c r="AD227" s="18"/>
      <c r="AE227" s="18"/>
      <c r="AF227" s="18"/>
      <c r="AG227" s="18"/>
      <c r="AH227" s="18">
        <v>0</v>
      </c>
      <c r="AR227" s="36" t="s">
        <v>185</v>
      </c>
      <c r="AS227" s="36"/>
      <c r="AT227" s="36"/>
      <c r="AU227" s="37">
        <v>0</v>
      </c>
      <c r="AV227" s="37"/>
      <c r="AW227" s="37"/>
      <c r="AX227" s="37"/>
      <c r="AY227" s="37"/>
      <c r="AZ227" s="37"/>
      <c r="BA227" s="37">
        <v>0</v>
      </c>
    </row>
    <row r="228" spans="23:53" x14ac:dyDescent="0.3">
      <c r="Y228">
        <v>9</v>
      </c>
      <c r="Z228" s="57">
        <v>44075</v>
      </c>
      <c r="AA228" t="s">
        <v>66</v>
      </c>
      <c r="AB228" s="18">
        <v>0</v>
      </c>
      <c r="AC228" s="18"/>
      <c r="AD228" s="18"/>
      <c r="AE228" s="18"/>
      <c r="AF228" s="18"/>
      <c r="AG228" s="18"/>
      <c r="AH228" s="18">
        <v>0</v>
      </c>
      <c r="AR228" t="s">
        <v>223</v>
      </c>
      <c r="AS228" t="s">
        <v>1763</v>
      </c>
      <c r="AT228" t="s">
        <v>1763</v>
      </c>
      <c r="AU228" s="18"/>
      <c r="AV228" s="18"/>
      <c r="AW228" s="18"/>
      <c r="AX228" s="18"/>
      <c r="AY228" s="18">
        <v>0</v>
      </c>
      <c r="AZ228" s="18"/>
      <c r="BA228" s="18">
        <v>0</v>
      </c>
    </row>
    <row r="229" spans="23:53" x14ac:dyDescent="0.3">
      <c r="Y229">
        <v>11</v>
      </c>
      <c r="Z229" s="57">
        <v>44156</v>
      </c>
      <c r="AA229" t="s">
        <v>170</v>
      </c>
      <c r="AB229" s="18">
        <v>0</v>
      </c>
      <c r="AC229" s="18"/>
      <c r="AD229" s="18"/>
      <c r="AE229" s="18"/>
      <c r="AF229" s="18"/>
      <c r="AG229" s="18"/>
      <c r="AH229" s="18">
        <v>0</v>
      </c>
      <c r="AR229" s="36" t="s">
        <v>224</v>
      </c>
      <c r="AS229" s="36"/>
      <c r="AT229" s="36"/>
      <c r="AU229" s="37"/>
      <c r="AV229" s="37"/>
      <c r="AW229" s="37"/>
      <c r="AX229" s="37"/>
      <c r="AY229" s="37">
        <v>0</v>
      </c>
      <c r="AZ229" s="37"/>
      <c r="BA229" s="37">
        <v>0</v>
      </c>
    </row>
    <row r="230" spans="23:53" x14ac:dyDescent="0.3">
      <c r="Z230" s="57">
        <v>44165</v>
      </c>
      <c r="AA230" t="s">
        <v>183</v>
      </c>
      <c r="AB230" s="18">
        <v>0</v>
      </c>
      <c r="AC230" s="18"/>
      <c r="AD230" s="18"/>
      <c r="AE230" s="18"/>
      <c r="AF230" s="18"/>
      <c r="AG230" s="18"/>
      <c r="AH230" s="18">
        <v>0</v>
      </c>
      <c r="AR230" t="s">
        <v>228</v>
      </c>
      <c r="AS230" t="s">
        <v>1763</v>
      </c>
      <c r="AT230" t="s">
        <v>1763</v>
      </c>
      <c r="AU230" s="18"/>
      <c r="AV230" s="18"/>
      <c r="AW230" s="18"/>
      <c r="AX230" s="18"/>
      <c r="AY230" s="18">
        <v>0</v>
      </c>
      <c r="AZ230" s="18"/>
      <c r="BA230" s="18">
        <v>0</v>
      </c>
    </row>
    <row r="231" spans="23:53" x14ac:dyDescent="0.3">
      <c r="X231">
        <v>2021</v>
      </c>
      <c r="Y231">
        <v>2</v>
      </c>
      <c r="Z231" s="57">
        <v>44250</v>
      </c>
      <c r="AA231" t="s">
        <v>275</v>
      </c>
      <c r="AB231" s="18">
        <v>0</v>
      </c>
      <c r="AC231" s="18"/>
      <c r="AD231" s="18"/>
      <c r="AE231" s="18"/>
      <c r="AF231" s="18"/>
      <c r="AG231" s="18"/>
      <c r="AH231" s="18">
        <v>0</v>
      </c>
      <c r="AR231" s="36" t="s">
        <v>255</v>
      </c>
      <c r="AS231" s="36"/>
      <c r="AT231" s="36"/>
      <c r="AU231" s="37"/>
      <c r="AV231" s="37"/>
      <c r="AW231" s="37"/>
      <c r="AX231" s="37"/>
      <c r="AY231" s="37">
        <v>0</v>
      </c>
      <c r="AZ231" s="37"/>
      <c r="BA231" s="37">
        <v>0</v>
      </c>
    </row>
    <row r="232" spans="23:53" x14ac:dyDescent="0.3">
      <c r="Y232">
        <v>10</v>
      </c>
      <c r="Z232" s="57">
        <v>44492</v>
      </c>
      <c r="AA232" t="s">
        <v>441</v>
      </c>
      <c r="AB232" s="18">
        <v>0</v>
      </c>
      <c r="AC232" s="18"/>
      <c r="AD232" s="18"/>
      <c r="AE232" s="18"/>
      <c r="AF232" s="18"/>
      <c r="AG232" s="18"/>
      <c r="AH232" s="18">
        <v>0</v>
      </c>
      <c r="AR232" t="s">
        <v>262</v>
      </c>
      <c r="AS232">
        <v>2021</v>
      </c>
      <c r="AT232">
        <v>2</v>
      </c>
      <c r="AU232" s="18">
        <v>0</v>
      </c>
      <c r="AV232" s="18"/>
      <c r="AW232" s="18"/>
      <c r="AX232" s="18"/>
      <c r="AY232" s="18"/>
      <c r="AZ232" s="18"/>
      <c r="BA232" s="18">
        <v>0</v>
      </c>
    </row>
    <row r="233" spans="23:53" x14ac:dyDescent="0.3">
      <c r="Z233" s="57">
        <v>44497</v>
      </c>
      <c r="AA233" t="s">
        <v>444</v>
      </c>
      <c r="AB233" s="18">
        <v>0</v>
      </c>
      <c r="AC233" s="18"/>
      <c r="AD233" s="18"/>
      <c r="AE233" s="18"/>
      <c r="AF233" s="18"/>
      <c r="AG233" s="18"/>
      <c r="AH233" s="18">
        <v>0</v>
      </c>
      <c r="AT233">
        <v>3</v>
      </c>
      <c r="AU233" s="18">
        <v>0</v>
      </c>
      <c r="AV233" s="18"/>
      <c r="AW233" s="18"/>
      <c r="AX233" s="18"/>
      <c r="AY233" s="18"/>
      <c r="AZ233" s="18"/>
      <c r="BA233" s="18">
        <v>0</v>
      </c>
    </row>
    <row r="234" spans="23:53" x14ac:dyDescent="0.3">
      <c r="Y234">
        <v>11</v>
      </c>
      <c r="Z234" s="57">
        <v>44529</v>
      </c>
      <c r="AA234" t="s">
        <v>484</v>
      </c>
      <c r="AB234" s="18">
        <v>0</v>
      </c>
      <c r="AC234" s="18"/>
      <c r="AD234" s="18"/>
      <c r="AE234" s="18"/>
      <c r="AF234" s="18"/>
      <c r="AG234" s="18"/>
      <c r="AH234" s="18">
        <v>0</v>
      </c>
      <c r="AT234">
        <v>10</v>
      </c>
      <c r="AU234" s="18">
        <v>0</v>
      </c>
      <c r="AV234" s="18"/>
      <c r="AW234" s="18"/>
      <c r="AX234" s="18"/>
      <c r="AY234" s="18"/>
      <c r="AZ234" s="18"/>
      <c r="BA234" s="18">
        <v>0</v>
      </c>
    </row>
    <row r="235" spans="23:53" x14ac:dyDescent="0.3">
      <c r="W235" s="36" t="s">
        <v>140</v>
      </c>
      <c r="X235" s="36"/>
      <c r="Y235" s="36"/>
      <c r="Z235" s="36"/>
      <c r="AA235" s="36"/>
      <c r="AB235" s="37">
        <v>0</v>
      </c>
      <c r="AC235" s="37"/>
      <c r="AD235" s="37"/>
      <c r="AE235" s="37"/>
      <c r="AF235" s="37"/>
      <c r="AG235" s="37"/>
      <c r="AH235" s="37">
        <v>0</v>
      </c>
      <c r="AS235">
        <v>2023</v>
      </c>
      <c r="AT235">
        <v>1</v>
      </c>
      <c r="AU235" s="18">
        <v>0</v>
      </c>
      <c r="AV235" s="18"/>
      <c r="AW235" s="18"/>
      <c r="AX235" s="18"/>
      <c r="AY235" s="18"/>
      <c r="AZ235" s="18"/>
      <c r="BA235" s="18">
        <v>0</v>
      </c>
    </row>
    <row r="236" spans="23:53" x14ac:dyDescent="0.3">
      <c r="W236" t="s">
        <v>62</v>
      </c>
      <c r="X236">
        <v>2020</v>
      </c>
      <c r="Y236">
        <v>12</v>
      </c>
      <c r="Z236" s="57">
        <v>44070</v>
      </c>
      <c r="AA236" t="s">
        <v>60</v>
      </c>
      <c r="AB236" s="18"/>
      <c r="AC236" s="18"/>
      <c r="AD236" s="18"/>
      <c r="AE236" s="18">
        <v>0</v>
      </c>
      <c r="AF236" s="18"/>
      <c r="AG236" s="18"/>
      <c r="AH236" s="18">
        <v>0</v>
      </c>
      <c r="AT236">
        <v>3</v>
      </c>
      <c r="AU236" s="18">
        <v>0</v>
      </c>
      <c r="AV236" s="18"/>
      <c r="AW236" s="18"/>
      <c r="AX236" s="18"/>
      <c r="AY236" s="18"/>
      <c r="AZ236" s="18"/>
      <c r="BA236" s="18">
        <v>0</v>
      </c>
    </row>
    <row r="237" spans="23:53" x14ac:dyDescent="0.3">
      <c r="X237">
        <v>2021</v>
      </c>
      <c r="Y237">
        <v>1</v>
      </c>
      <c r="Z237" s="57">
        <v>44097</v>
      </c>
      <c r="AA237" t="s">
        <v>102</v>
      </c>
      <c r="AB237" s="18"/>
      <c r="AC237" s="18"/>
      <c r="AD237" s="18"/>
      <c r="AE237" s="18">
        <v>0</v>
      </c>
      <c r="AF237" s="18"/>
      <c r="AG237" s="18"/>
      <c r="AH237" s="18">
        <v>0</v>
      </c>
      <c r="AT237">
        <v>5</v>
      </c>
      <c r="AU237" s="18">
        <v>0</v>
      </c>
      <c r="AV237" s="18"/>
      <c r="AW237" s="18"/>
      <c r="AX237" s="18"/>
      <c r="AY237" s="18"/>
      <c r="AZ237" s="18"/>
      <c r="BA237" s="18">
        <v>0</v>
      </c>
    </row>
    <row r="238" spans="23:53" x14ac:dyDescent="0.3">
      <c r="Y238">
        <v>2</v>
      </c>
      <c r="Z238" s="57">
        <v>44125</v>
      </c>
      <c r="AA238" t="s">
        <v>127</v>
      </c>
      <c r="AB238" s="18"/>
      <c r="AC238" s="18"/>
      <c r="AD238" s="18"/>
      <c r="AE238" s="18">
        <v>0</v>
      </c>
      <c r="AF238" s="18"/>
      <c r="AG238" s="18"/>
      <c r="AH238" s="18">
        <v>0</v>
      </c>
      <c r="AT238">
        <v>6</v>
      </c>
      <c r="AU238" s="18">
        <v>0</v>
      </c>
      <c r="AV238" s="18"/>
      <c r="AW238" s="18"/>
      <c r="AX238" s="18"/>
      <c r="AY238" s="18"/>
      <c r="AZ238" s="18"/>
      <c r="BA238" s="18">
        <v>0</v>
      </c>
    </row>
    <row r="239" spans="23:53" x14ac:dyDescent="0.3">
      <c r="Y239">
        <v>3</v>
      </c>
      <c r="Z239" s="57">
        <v>44155</v>
      </c>
      <c r="AA239" t="s">
        <v>167</v>
      </c>
      <c r="AB239" s="18"/>
      <c r="AC239" s="18"/>
      <c r="AD239" s="18"/>
      <c r="AE239" s="18">
        <v>0</v>
      </c>
      <c r="AF239" s="18"/>
      <c r="AG239" s="18"/>
      <c r="AH239" s="18">
        <v>0</v>
      </c>
      <c r="AT239">
        <v>7</v>
      </c>
      <c r="AU239" s="18">
        <v>0</v>
      </c>
      <c r="AV239" s="18"/>
      <c r="AW239" s="18"/>
      <c r="AX239" s="18"/>
      <c r="AY239" s="18"/>
      <c r="AZ239" s="18"/>
      <c r="BA239" s="18">
        <v>0</v>
      </c>
    </row>
    <row r="240" spans="23:53" x14ac:dyDescent="0.3">
      <c r="Z240" s="57">
        <v>44165</v>
      </c>
      <c r="AA240" t="s">
        <v>184</v>
      </c>
      <c r="AB240" s="18"/>
      <c r="AC240" s="18"/>
      <c r="AD240" s="18"/>
      <c r="AE240" s="18">
        <v>0</v>
      </c>
      <c r="AF240" s="18"/>
      <c r="AG240" s="18"/>
      <c r="AH240" s="18">
        <v>0</v>
      </c>
      <c r="AT240">
        <v>8</v>
      </c>
      <c r="AU240" s="18">
        <v>0</v>
      </c>
      <c r="AV240" s="18"/>
      <c r="AW240" s="18"/>
      <c r="AX240" s="18"/>
      <c r="AY240" s="18"/>
      <c r="AZ240" s="18"/>
      <c r="BA240" s="18">
        <v>0</v>
      </c>
    </row>
    <row r="241" spans="24:53" x14ac:dyDescent="0.3">
      <c r="AA241" t="s">
        <v>200</v>
      </c>
      <c r="AB241" s="18"/>
      <c r="AC241" s="18"/>
      <c r="AD241" s="18"/>
      <c r="AE241" s="18">
        <v>0</v>
      </c>
      <c r="AF241" s="18"/>
      <c r="AG241" s="18"/>
      <c r="AH241" s="18">
        <v>0</v>
      </c>
      <c r="AT241">
        <v>9</v>
      </c>
      <c r="AU241" s="18">
        <v>0</v>
      </c>
      <c r="AV241" s="18"/>
      <c r="AW241" s="18"/>
      <c r="AX241" s="18"/>
      <c r="AY241" s="18"/>
      <c r="AZ241" s="18"/>
      <c r="BA241" s="18">
        <v>0</v>
      </c>
    </row>
    <row r="242" spans="24:53" x14ac:dyDescent="0.3">
      <c r="Y242">
        <v>5</v>
      </c>
      <c r="Z242" s="57">
        <v>44207</v>
      </c>
      <c r="AA242" t="s">
        <v>239</v>
      </c>
      <c r="AB242" s="18"/>
      <c r="AC242" s="18"/>
      <c r="AD242" s="18"/>
      <c r="AE242" s="18">
        <v>0</v>
      </c>
      <c r="AF242" s="18"/>
      <c r="AG242" s="18"/>
      <c r="AH242" s="18">
        <v>0</v>
      </c>
      <c r="AT242">
        <v>10</v>
      </c>
      <c r="AU242" s="18">
        <v>0</v>
      </c>
      <c r="AV242" s="18"/>
      <c r="AW242" s="18"/>
      <c r="AX242" s="18"/>
      <c r="AY242" s="18"/>
      <c r="AZ242" s="18"/>
      <c r="BA242" s="18">
        <v>0</v>
      </c>
    </row>
    <row r="243" spans="24:53" x14ac:dyDescent="0.3">
      <c r="Z243" s="57">
        <v>44225</v>
      </c>
      <c r="AA243" t="s">
        <v>253</v>
      </c>
      <c r="AB243" s="18"/>
      <c r="AC243" s="18"/>
      <c r="AD243" s="18"/>
      <c r="AE243" s="18">
        <v>0</v>
      </c>
      <c r="AF243" s="18"/>
      <c r="AG243" s="18"/>
      <c r="AH243" s="18">
        <v>0</v>
      </c>
      <c r="AT243">
        <v>11</v>
      </c>
      <c r="AU243" s="18">
        <v>0</v>
      </c>
      <c r="AV243" s="18"/>
      <c r="AW243" s="18"/>
      <c r="AX243" s="18"/>
      <c r="AY243" s="18"/>
      <c r="AZ243" s="18"/>
      <c r="BA243" s="18">
        <v>0</v>
      </c>
    </row>
    <row r="244" spans="24:53" x14ac:dyDescent="0.3">
      <c r="Y244">
        <v>7</v>
      </c>
      <c r="Z244" s="57">
        <v>44279</v>
      </c>
      <c r="AA244" t="s">
        <v>320</v>
      </c>
      <c r="AB244" s="18"/>
      <c r="AC244" s="18"/>
      <c r="AD244" s="18"/>
      <c r="AE244" s="18">
        <v>0</v>
      </c>
      <c r="AF244" s="18"/>
      <c r="AG244" s="18"/>
      <c r="AH244" s="18">
        <v>0</v>
      </c>
      <c r="AT244">
        <v>12</v>
      </c>
      <c r="AU244" s="18">
        <v>0</v>
      </c>
      <c r="AV244" s="18"/>
      <c r="AW244" s="18"/>
      <c r="AX244" s="18"/>
      <c r="AY244" s="18"/>
      <c r="AZ244" s="18"/>
      <c r="BA244" s="18">
        <v>0</v>
      </c>
    </row>
    <row r="245" spans="24:53" x14ac:dyDescent="0.3">
      <c r="Y245">
        <v>8</v>
      </c>
      <c r="Z245" s="57">
        <v>44294</v>
      </c>
      <c r="AA245" t="s">
        <v>326</v>
      </c>
      <c r="AB245" s="18"/>
      <c r="AC245" s="18"/>
      <c r="AD245" s="18"/>
      <c r="AE245" s="18">
        <v>0</v>
      </c>
      <c r="AF245" s="18"/>
      <c r="AG245" s="18"/>
      <c r="AH245" s="18">
        <v>0</v>
      </c>
      <c r="AT245">
        <v>4</v>
      </c>
      <c r="AU245" s="18">
        <v>0</v>
      </c>
      <c r="AV245" s="18"/>
      <c r="AW245" s="18"/>
      <c r="AX245" s="18"/>
      <c r="AY245" s="18"/>
      <c r="AZ245" s="18"/>
      <c r="BA245" s="18">
        <v>0</v>
      </c>
    </row>
    <row r="246" spans="24:53" x14ac:dyDescent="0.3">
      <c r="Z246" s="57">
        <v>44315</v>
      </c>
      <c r="AA246" t="s">
        <v>331</v>
      </c>
      <c r="AB246" s="18"/>
      <c r="AC246" s="18"/>
      <c r="AD246" s="18"/>
      <c r="AE246" s="18">
        <v>-179.39999999999998</v>
      </c>
      <c r="AF246" s="18"/>
      <c r="AG246" s="18"/>
      <c r="AH246" s="18">
        <v>-179.39999999999998</v>
      </c>
      <c r="AS246">
        <v>2024</v>
      </c>
      <c r="AT246">
        <v>1</v>
      </c>
      <c r="AU246" s="18">
        <v>0</v>
      </c>
      <c r="AV246" s="18"/>
      <c r="AW246" s="18"/>
      <c r="AX246" s="18"/>
      <c r="AY246" s="18"/>
      <c r="AZ246" s="18"/>
      <c r="BA246" s="18">
        <v>0</v>
      </c>
    </row>
    <row r="247" spans="24:53" x14ac:dyDescent="0.3">
      <c r="Y247">
        <v>9</v>
      </c>
      <c r="Z247" s="57">
        <v>44348</v>
      </c>
      <c r="AA247" t="s">
        <v>355</v>
      </c>
      <c r="AB247" s="18"/>
      <c r="AC247" s="18"/>
      <c r="AD247" s="18"/>
      <c r="AE247" s="18">
        <v>0</v>
      </c>
      <c r="AF247" s="18"/>
      <c r="AG247" s="18"/>
      <c r="AH247" s="18">
        <v>0</v>
      </c>
      <c r="AT247">
        <v>3</v>
      </c>
      <c r="AU247" s="18">
        <v>0</v>
      </c>
      <c r="AV247" s="18"/>
      <c r="AW247" s="18"/>
      <c r="AX247" s="18"/>
      <c r="AY247" s="18"/>
      <c r="AZ247" s="18"/>
      <c r="BA247" s="18">
        <v>0</v>
      </c>
    </row>
    <row r="248" spans="24:53" x14ac:dyDescent="0.3">
      <c r="AA248" t="s">
        <v>358</v>
      </c>
      <c r="AB248" s="18"/>
      <c r="AC248" s="18"/>
      <c r="AD248" s="18"/>
      <c r="AE248" s="18">
        <v>0</v>
      </c>
      <c r="AF248" s="18"/>
      <c r="AG248" s="18"/>
      <c r="AH248" s="18">
        <v>0</v>
      </c>
      <c r="AT248">
        <v>5</v>
      </c>
      <c r="AU248" s="18">
        <v>0</v>
      </c>
      <c r="AV248" s="18"/>
      <c r="AW248" s="18"/>
      <c r="AX248" s="18"/>
      <c r="AY248" s="18"/>
      <c r="AZ248" s="18"/>
      <c r="BA248" s="18">
        <v>0</v>
      </c>
    </row>
    <row r="249" spans="24:53" x14ac:dyDescent="0.3">
      <c r="Y249">
        <v>4</v>
      </c>
      <c r="Z249" s="57">
        <v>44196</v>
      </c>
      <c r="AA249" t="s">
        <v>217</v>
      </c>
      <c r="AB249" s="18"/>
      <c r="AC249" s="18"/>
      <c r="AD249" s="18"/>
      <c r="AE249" s="18">
        <v>0</v>
      </c>
      <c r="AF249" s="18"/>
      <c r="AG249" s="18"/>
      <c r="AH249" s="18">
        <v>0</v>
      </c>
      <c r="AT249">
        <v>6</v>
      </c>
      <c r="AU249" s="18">
        <v>0</v>
      </c>
      <c r="AV249" s="18"/>
      <c r="AW249" s="18"/>
      <c r="AX249" s="18"/>
      <c r="AY249" s="18"/>
      <c r="AZ249" s="18"/>
      <c r="BA249" s="18">
        <v>0</v>
      </c>
    </row>
    <row r="250" spans="24:53" x14ac:dyDescent="0.3">
      <c r="X250">
        <v>2022</v>
      </c>
      <c r="Y250">
        <v>1</v>
      </c>
      <c r="Z250" s="57">
        <v>44453</v>
      </c>
      <c r="AA250" t="s">
        <v>372</v>
      </c>
      <c r="AB250" s="18"/>
      <c r="AC250" s="18"/>
      <c r="AD250" s="18"/>
      <c r="AE250" s="18">
        <v>0</v>
      </c>
      <c r="AF250" s="18"/>
      <c r="AG250" s="18"/>
      <c r="AH250" s="18">
        <v>0</v>
      </c>
      <c r="AT250">
        <v>8</v>
      </c>
      <c r="AU250" s="18">
        <v>0</v>
      </c>
      <c r="AV250" s="18"/>
      <c r="AW250" s="18"/>
      <c r="AX250" s="18"/>
      <c r="AY250" s="18"/>
      <c r="AZ250" s="18"/>
      <c r="BA250" s="18">
        <v>0</v>
      </c>
    </row>
    <row r="251" spans="24:53" x14ac:dyDescent="0.3">
      <c r="Y251">
        <v>2</v>
      </c>
      <c r="Z251" s="57">
        <v>44474</v>
      </c>
      <c r="AA251" t="s">
        <v>402</v>
      </c>
      <c r="AB251" s="18"/>
      <c r="AC251" s="18"/>
      <c r="AD251" s="18"/>
      <c r="AE251" s="18">
        <v>0</v>
      </c>
      <c r="AF251" s="18"/>
      <c r="AG251" s="18"/>
      <c r="AH251" s="18">
        <v>0</v>
      </c>
      <c r="AT251">
        <v>4</v>
      </c>
      <c r="AU251" s="18">
        <v>0</v>
      </c>
      <c r="AV251" s="18"/>
      <c r="AW251" s="18"/>
      <c r="AX251" s="18"/>
      <c r="AY251" s="18"/>
      <c r="AZ251" s="18"/>
      <c r="BA251" s="18">
        <v>0</v>
      </c>
    </row>
    <row r="252" spans="24:53" x14ac:dyDescent="0.3">
      <c r="Z252" s="57">
        <v>44497</v>
      </c>
      <c r="AA252" t="s">
        <v>446</v>
      </c>
      <c r="AB252" s="18"/>
      <c r="AC252" s="18"/>
      <c r="AD252" s="18"/>
      <c r="AE252" s="18">
        <v>0</v>
      </c>
      <c r="AF252" s="18"/>
      <c r="AG252" s="18"/>
      <c r="AH252" s="18">
        <v>0</v>
      </c>
      <c r="AR252" s="36" t="s">
        <v>263</v>
      </c>
      <c r="AS252" s="36"/>
      <c r="AT252" s="36"/>
      <c r="AU252" s="37">
        <v>0</v>
      </c>
      <c r="AV252" s="37"/>
      <c r="AW252" s="37"/>
      <c r="AX252" s="37"/>
      <c r="AY252" s="37"/>
      <c r="AZ252" s="37"/>
      <c r="BA252" s="37">
        <v>0</v>
      </c>
    </row>
    <row r="253" spans="24:53" x14ac:dyDescent="0.3">
      <c r="Z253" s="57">
        <v>44499</v>
      </c>
      <c r="AA253" t="s">
        <v>449</v>
      </c>
      <c r="AB253" s="18"/>
      <c r="AC253" s="18"/>
      <c r="AD253" s="18"/>
      <c r="AE253" s="18">
        <v>0</v>
      </c>
      <c r="AF253" s="18"/>
      <c r="AG253" s="18"/>
      <c r="AH253" s="18">
        <v>0</v>
      </c>
      <c r="AR253" t="s">
        <v>280</v>
      </c>
      <c r="AS253">
        <v>2021</v>
      </c>
      <c r="AT253">
        <v>2</v>
      </c>
      <c r="AU253" s="18">
        <v>0</v>
      </c>
      <c r="AV253" s="18"/>
      <c r="AW253" s="18"/>
      <c r="AX253" s="18"/>
      <c r="AY253" s="18"/>
      <c r="AZ253" s="18"/>
      <c r="BA253" s="18">
        <v>0</v>
      </c>
    </row>
    <row r="254" spans="24:53" x14ac:dyDescent="0.3">
      <c r="Y254">
        <v>3</v>
      </c>
      <c r="Z254" s="57">
        <v>44503</v>
      </c>
      <c r="AA254" t="s">
        <v>460</v>
      </c>
      <c r="AB254" s="18"/>
      <c r="AC254" s="18"/>
      <c r="AD254" s="18"/>
      <c r="AE254" s="18">
        <v>0</v>
      </c>
      <c r="AF254" s="18"/>
      <c r="AG254" s="18"/>
      <c r="AH254" s="18">
        <v>0</v>
      </c>
      <c r="AT254">
        <v>4</v>
      </c>
      <c r="AU254" s="18">
        <v>0</v>
      </c>
      <c r="AV254" s="18"/>
      <c r="AW254" s="18"/>
      <c r="AX254" s="18"/>
      <c r="AY254" s="18"/>
      <c r="AZ254" s="18"/>
      <c r="BA254" s="18">
        <v>0</v>
      </c>
    </row>
    <row r="255" spans="24:53" x14ac:dyDescent="0.3">
      <c r="Z255" s="57">
        <v>44508</v>
      </c>
      <c r="AA255" t="s">
        <v>465</v>
      </c>
      <c r="AB255" s="18"/>
      <c r="AC255" s="18"/>
      <c r="AD255" s="18"/>
      <c r="AE255" s="18">
        <v>0</v>
      </c>
      <c r="AF255" s="18"/>
      <c r="AG255" s="18"/>
      <c r="AH255" s="18">
        <v>0</v>
      </c>
      <c r="AR255" s="36" t="s">
        <v>281</v>
      </c>
      <c r="AS255" s="36"/>
      <c r="AT255" s="36"/>
      <c r="AU255" s="37">
        <v>0</v>
      </c>
      <c r="AV255" s="37"/>
      <c r="AW255" s="37"/>
      <c r="AX255" s="37"/>
      <c r="AY255" s="37"/>
      <c r="AZ255" s="37"/>
      <c r="BA255" s="37">
        <v>0</v>
      </c>
    </row>
    <row r="256" spans="24:53" x14ac:dyDescent="0.3">
      <c r="Y256">
        <v>5</v>
      </c>
      <c r="Z256" s="57">
        <v>44572</v>
      </c>
      <c r="AA256" t="s">
        <v>552</v>
      </c>
      <c r="AB256" s="18"/>
      <c r="AC256" s="18"/>
      <c r="AD256" s="18"/>
      <c r="AE256" s="18">
        <v>0</v>
      </c>
      <c r="AF256" s="18"/>
      <c r="AG256" s="18"/>
      <c r="AH256" s="18">
        <v>0</v>
      </c>
      <c r="AR256" t="s">
        <v>289</v>
      </c>
      <c r="AS256">
        <v>2021</v>
      </c>
      <c r="AT256">
        <v>3</v>
      </c>
      <c r="AU256" s="18">
        <v>0</v>
      </c>
      <c r="AV256" s="18"/>
      <c r="AW256" s="18"/>
      <c r="AX256" s="18"/>
      <c r="AY256" s="18"/>
      <c r="AZ256" s="18"/>
      <c r="BA256" s="18">
        <v>0</v>
      </c>
    </row>
    <row r="257" spans="24:53" x14ac:dyDescent="0.3">
      <c r="Z257" s="57">
        <v>44585</v>
      </c>
      <c r="AA257" t="s">
        <v>567</v>
      </c>
      <c r="AB257" s="18"/>
      <c r="AC257" s="18"/>
      <c r="AD257" s="18"/>
      <c r="AE257" s="18">
        <v>0</v>
      </c>
      <c r="AF257" s="18"/>
      <c r="AG257" s="18"/>
      <c r="AH257" s="18">
        <v>0</v>
      </c>
      <c r="AR257" s="36" t="s">
        <v>291</v>
      </c>
      <c r="AS257" s="36"/>
      <c r="AT257" s="36"/>
      <c r="AU257" s="37">
        <v>0</v>
      </c>
      <c r="AV257" s="37"/>
      <c r="AW257" s="37"/>
      <c r="AX257" s="37"/>
      <c r="AY257" s="37"/>
      <c r="AZ257" s="37"/>
      <c r="BA257" s="37">
        <v>0</v>
      </c>
    </row>
    <row r="258" spans="24:53" x14ac:dyDescent="0.3">
      <c r="Y258">
        <v>6</v>
      </c>
      <c r="Z258" s="57">
        <v>44609</v>
      </c>
      <c r="AA258" t="s">
        <v>603</v>
      </c>
      <c r="AB258" s="18"/>
      <c r="AC258" s="18"/>
      <c r="AD258" s="18"/>
      <c r="AE258" s="18">
        <v>0</v>
      </c>
      <c r="AF258" s="18"/>
      <c r="AG258" s="18"/>
      <c r="AH258" s="18">
        <v>0</v>
      </c>
      <c r="AR258" t="s">
        <v>375</v>
      </c>
      <c r="AS258">
        <v>2021</v>
      </c>
      <c r="AT258">
        <v>9</v>
      </c>
      <c r="AU258" s="18">
        <v>0</v>
      </c>
      <c r="AV258" s="18"/>
      <c r="AW258" s="18"/>
      <c r="AX258" s="18"/>
      <c r="AY258" s="18"/>
      <c r="AZ258" s="18"/>
      <c r="BA258" s="18">
        <v>0</v>
      </c>
    </row>
    <row r="259" spans="24:53" x14ac:dyDescent="0.3">
      <c r="Y259">
        <v>7</v>
      </c>
      <c r="Z259" s="57">
        <v>44628</v>
      </c>
      <c r="AA259" t="s">
        <v>635</v>
      </c>
      <c r="AB259" s="18"/>
      <c r="AC259" s="18"/>
      <c r="AD259" s="18"/>
      <c r="AE259" s="18">
        <v>0</v>
      </c>
      <c r="AF259" s="18"/>
      <c r="AG259" s="18"/>
      <c r="AH259" s="18">
        <v>0</v>
      </c>
      <c r="AR259" s="36" t="s">
        <v>382</v>
      </c>
      <c r="AS259" s="36"/>
      <c r="AT259" s="36"/>
      <c r="AU259" s="37">
        <v>0</v>
      </c>
      <c r="AV259" s="37"/>
      <c r="AW259" s="37"/>
      <c r="AX259" s="37"/>
      <c r="AY259" s="37"/>
      <c r="AZ259" s="37"/>
      <c r="BA259" s="37">
        <v>0</v>
      </c>
    </row>
    <row r="260" spans="24:53" x14ac:dyDescent="0.3">
      <c r="Z260" s="57">
        <v>44635</v>
      </c>
      <c r="AA260" t="s">
        <v>647</v>
      </c>
      <c r="AB260" s="18"/>
      <c r="AC260" s="18"/>
      <c r="AD260" s="18"/>
      <c r="AE260" s="18">
        <v>0</v>
      </c>
      <c r="AF260" s="18"/>
      <c r="AG260" s="18"/>
      <c r="AH260" s="18">
        <v>0</v>
      </c>
      <c r="AR260" t="s">
        <v>400</v>
      </c>
      <c r="AS260">
        <v>2021</v>
      </c>
      <c r="AT260">
        <v>10</v>
      </c>
      <c r="AU260" s="18">
        <v>0</v>
      </c>
      <c r="AV260" s="18"/>
      <c r="AW260" s="18"/>
      <c r="AX260" s="18"/>
      <c r="AY260" s="18"/>
      <c r="AZ260" s="18"/>
      <c r="BA260" s="18">
        <v>0</v>
      </c>
    </row>
    <row r="261" spans="24:53" x14ac:dyDescent="0.3">
      <c r="Y261">
        <v>8</v>
      </c>
      <c r="Z261" s="57">
        <v>44678</v>
      </c>
      <c r="AA261" t="s">
        <v>723</v>
      </c>
      <c r="AB261" s="18"/>
      <c r="AC261" s="18"/>
      <c r="AD261" s="18"/>
      <c r="AE261" s="18">
        <v>0</v>
      </c>
      <c r="AF261" s="18"/>
      <c r="AG261" s="18"/>
      <c r="AH261" s="18">
        <v>0</v>
      </c>
      <c r="AT261">
        <v>11</v>
      </c>
      <c r="AU261" s="18">
        <v>0</v>
      </c>
      <c r="AV261" s="18"/>
      <c r="AW261" s="18"/>
      <c r="AX261" s="18"/>
      <c r="AY261" s="18"/>
      <c r="AZ261" s="18"/>
      <c r="BA261" s="18">
        <v>0</v>
      </c>
    </row>
    <row r="262" spans="24:53" x14ac:dyDescent="0.3">
      <c r="Y262">
        <v>9</v>
      </c>
      <c r="Z262" s="57">
        <v>44704</v>
      </c>
      <c r="AA262" t="s">
        <v>790</v>
      </c>
      <c r="AB262" s="18"/>
      <c r="AC262" s="18"/>
      <c r="AD262" s="18"/>
      <c r="AE262" s="18">
        <v>0</v>
      </c>
      <c r="AF262" s="18"/>
      <c r="AG262" s="18"/>
      <c r="AH262" s="18">
        <v>0</v>
      </c>
      <c r="AT262">
        <v>12</v>
      </c>
      <c r="AU262" s="18">
        <v>0</v>
      </c>
      <c r="AV262" s="18"/>
      <c r="AW262" s="18"/>
      <c r="AX262" s="18"/>
      <c r="AY262" s="18"/>
      <c r="AZ262" s="18"/>
      <c r="BA262" s="18">
        <v>0</v>
      </c>
    </row>
    <row r="263" spans="24:53" x14ac:dyDescent="0.3">
      <c r="Y263">
        <v>10</v>
      </c>
      <c r="Z263" s="57">
        <v>44721</v>
      </c>
      <c r="AA263" t="s">
        <v>831</v>
      </c>
      <c r="AB263" s="18"/>
      <c r="AC263" s="18"/>
      <c r="AD263" s="18"/>
      <c r="AE263" s="18">
        <v>0</v>
      </c>
      <c r="AF263" s="18"/>
      <c r="AG263" s="18"/>
      <c r="AH263" s="18">
        <v>0</v>
      </c>
      <c r="AS263">
        <v>2022</v>
      </c>
      <c r="AT263">
        <v>1</v>
      </c>
      <c r="AU263" s="18">
        <v>0</v>
      </c>
      <c r="AV263" s="18"/>
      <c r="AW263" s="18"/>
      <c r="AX263" s="18"/>
      <c r="AY263" s="18"/>
      <c r="AZ263" s="18"/>
      <c r="BA263" s="18">
        <v>0</v>
      </c>
    </row>
    <row r="264" spans="24:53" x14ac:dyDescent="0.3">
      <c r="Z264" s="57">
        <v>44741</v>
      </c>
      <c r="AA264" t="s">
        <v>847</v>
      </c>
      <c r="AB264" s="18"/>
      <c r="AC264" s="18"/>
      <c r="AD264" s="18"/>
      <c r="AE264" s="18">
        <v>0</v>
      </c>
      <c r="AF264" s="18"/>
      <c r="AG264" s="18"/>
      <c r="AH264" s="18">
        <v>0</v>
      </c>
      <c r="AT264">
        <v>2</v>
      </c>
      <c r="AU264" s="18">
        <v>0</v>
      </c>
      <c r="AV264" s="18"/>
      <c r="AW264" s="18"/>
      <c r="AX264" s="18"/>
      <c r="AY264" s="18"/>
      <c r="AZ264" s="18"/>
      <c r="BA264" s="18">
        <v>0</v>
      </c>
    </row>
    <row r="265" spans="24:53" x14ac:dyDescent="0.3">
      <c r="Y265">
        <v>11</v>
      </c>
      <c r="Z265" s="57">
        <v>44768</v>
      </c>
      <c r="AA265" t="s">
        <v>870</v>
      </c>
      <c r="AB265" s="18"/>
      <c r="AC265" s="18"/>
      <c r="AD265" s="18"/>
      <c r="AE265" s="18">
        <v>0</v>
      </c>
      <c r="AF265" s="18"/>
      <c r="AG265" s="18"/>
      <c r="AH265" s="18">
        <v>0</v>
      </c>
      <c r="AT265">
        <v>3</v>
      </c>
      <c r="AU265" s="18">
        <v>0</v>
      </c>
      <c r="AV265" s="18"/>
      <c r="AW265" s="18"/>
      <c r="AX265" s="18"/>
      <c r="AY265" s="18"/>
      <c r="AZ265" s="18"/>
      <c r="BA265" s="18">
        <v>0</v>
      </c>
    </row>
    <row r="266" spans="24:53" x14ac:dyDescent="0.3">
      <c r="Y266">
        <v>12</v>
      </c>
      <c r="Z266" s="57">
        <v>44798</v>
      </c>
      <c r="AA266" t="s">
        <v>912</v>
      </c>
      <c r="AB266" s="18"/>
      <c r="AC266" s="18"/>
      <c r="AD266" s="18"/>
      <c r="AE266" s="18">
        <v>0</v>
      </c>
      <c r="AF266" s="18"/>
      <c r="AG266" s="18"/>
      <c r="AH266" s="18">
        <v>0</v>
      </c>
      <c r="AT266">
        <v>5</v>
      </c>
      <c r="AU266" s="18">
        <v>0</v>
      </c>
      <c r="AV266" s="18"/>
      <c r="AW266" s="18"/>
      <c r="AX266" s="18"/>
      <c r="AY266" s="18"/>
      <c r="AZ266" s="18"/>
      <c r="BA266" s="18">
        <v>0</v>
      </c>
    </row>
    <row r="267" spans="24:53" x14ac:dyDescent="0.3">
      <c r="Y267">
        <v>4</v>
      </c>
      <c r="Z267" s="57">
        <v>44545</v>
      </c>
      <c r="AA267" t="s">
        <v>507</v>
      </c>
      <c r="AB267" s="18"/>
      <c r="AC267" s="18"/>
      <c r="AD267" s="18"/>
      <c r="AE267" s="18">
        <v>0</v>
      </c>
      <c r="AF267" s="18"/>
      <c r="AG267" s="18"/>
      <c r="AH267" s="18">
        <v>0</v>
      </c>
      <c r="AT267">
        <v>6</v>
      </c>
      <c r="AU267" s="18">
        <v>0</v>
      </c>
      <c r="AV267" s="18"/>
      <c r="AW267" s="18"/>
      <c r="AX267" s="18"/>
      <c r="AY267" s="18"/>
      <c r="AZ267" s="18"/>
      <c r="BA267" s="18">
        <v>0</v>
      </c>
    </row>
    <row r="268" spans="24:53" x14ac:dyDescent="0.3">
      <c r="Z268" s="57">
        <v>44561</v>
      </c>
      <c r="AA268" t="s">
        <v>535</v>
      </c>
      <c r="AB268" s="18"/>
      <c r="AC268" s="18"/>
      <c r="AD268" s="18"/>
      <c r="AE268" s="18">
        <v>0</v>
      </c>
      <c r="AF268" s="18"/>
      <c r="AG268" s="18"/>
      <c r="AH268" s="18">
        <v>0</v>
      </c>
      <c r="AT268">
        <v>7</v>
      </c>
      <c r="AU268" s="18">
        <v>0</v>
      </c>
      <c r="AV268" s="18"/>
      <c r="AW268" s="18"/>
      <c r="AX268" s="18"/>
      <c r="AY268" s="18"/>
      <c r="AZ268" s="18"/>
      <c r="BA268" s="18">
        <v>0</v>
      </c>
    </row>
    <row r="269" spans="24:53" x14ac:dyDescent="0.3">
      <c r="X269">
        <v>2023</v>
      </c>
      <c r="Y269">
        <v>1</v>
      </c>
      <c r="Z269" s="57">
        <v>44828</v>
      </c>
      <c r="AA269" t="s">
        <v>947</v>
      </c>
      <c r="AB269" s="18"/>
      <c r="AC269" s="18"/>
      <c r="AD269" s="18"/>
      <c r="AE269" s="18">
        <v>0</v>
      </c>
      <c r="AF269" s="18"/>
      <c r="AG269" s="18"/>
      <c r="AH269" s="18">
        <v>0</v>
      </c>
      <c r="AT269">
        <v>8</v>
      </c>
      <c r="AU269" s="18">
        <v>0</v>
      </c>
      <c r="AV269" s="18"/>
      <c r="AW269" s="18"/>
      <c r="AX269" s="18"/>
      <c r="AY269" s="18"/>
      <c r="AZ269" s="18"/>
      <c r="BA269" s="18">
        <v>0</v>
      </c>
    </row>
    <row r="270" spans="24:53" x14ac:dyDescent="0.3">
      <c r="Z270" s="57">
        <v>44835</v>
      </c>
      <c r="AA270" t="s">
        <v>986</v>
      </c>
      <c r="AB270" s="18"/>
      <c r="AC270" s="18"/>
      <c r="AD270" s="18"/>
      <c r="AE270" s="18">
        <v>0</v>
      </c>
      <c r="AF270" s="18"/>
      <c r="AG270" s="18"/>
      <c r="AH270" s="18">
        <v>0</v>
      </c>
      <c r="AT270">
        <v>9</v>
      </c>
      <c r="AU270" s="18">
        <v>0</v>
      </c>
      <c r="AV270" s="18"/>
      <c r="AW270" s="18"/>
      <c r="AX270" s="18"/>
      <c r="AY270" s="18"/>
      <c r="AZ270" s="18"/>
      <c r="BA270" s="18">
        <v>0</v>
      </c>
    </row>
    <row r="271" spans="24:53" x14ac:dyDescent="0.3">
      <c r="Y271">
        <v>2</v>
      </c>
      <c r="Z271" s="57">
        <v>44849</v>
      </c>
      <c r="AA271" t="s">
        <v>1001</v>
      </c>
      <c r="AB271" s="18"/>
      <c r="AC271" s="18"/>
      <c r="AD271" s="18"/>
      <c r="AE271" s="18">
        <v>0</v>
      </c>
      <c r="AF271" s="18"/>
      <c r="AG271" s="18"/>
      <c r="AH271" s="18">
        <v>0</v>
      </c>
      <c r="AT271">
        <v>10</v>
      </c>
      <c r="AU271" s="18">
        <v>0</v>
      </c>
      <c r="AV271" s="18"/>
      <c r="AW271" s="18"/>
      <c r="AX271" s="18"/>
      <c r="AY271" s="18"/>
      <c r="AZ271" s="18"/>
      <c r="BA271" s="18">
        <v>0</v>
      </c>
    </row>
    <row r="272" spans="24:53" x14ac:dyDescent="0.3">
      <c r="Z272" s="57">
        <v>44851</v>
      </c>
      <c r="AA272" t="s">
        <v>1005</v>
      </c>
      <c r="AB272" s="18"/>
      <c r="AC272" s="18"/>
      <c r="AD272" s="18"/>
      <c r="AE272" s="18">
        <v>0</v>
      </c>
      <c r="AF272" s="18"/>
      <c r="AG272" s="18"/>
      <c r="AH272" s="18">
        <v>0</v>
      </c>
      <c r="AT272">
        <v>11</v>
      </c>
      <c r="AU272" s="18">
        <v>0</v>
      </c>
      <c r="AV272" s="18"/>
      <c r="AW272" s="18"/>
      <c r="AX272" s="18"/>
      <c r="AY272" s="18"/>
      <c r="AZ272" s="18"/>
      <c r="BA272" s="18">
        <v>0</v>
      </c>
    </row>
    <row r="273" spans="24:53" x14ac:dyDescent="0.3">
      <c r="Y273">
        <v>3</v>
      </c>
      <c r="Z273" s="57">
        <v>44866</v>
      </c>
      <c r="AA273" t="s">
        <v>1047</v>
      </c>
      <c r="AB273" s="18"/>
      <c r="AC273" s="18"/>
      <c r="AD273" s="18"/>
      <c r="AE273" s="18">
        <v>0</v>
      </c>
      <c r="AF273" s="18"/>
      <c r="AG273" s="18"/>
      <c r="AH273" s="18">
        <v>0</v>
      </c>
      <c r="AT273">
        <v>12</v>
      </c>
      <c r="AU273" s="18">
        <v>0</v>
      </c>
      <c r="AV273" s="18"/>
      <c r="AW273" s="18"/>
      <c r="AX273" s="18"/>
      <c r="AY273" s="18"/>
      <c r="AZ273" s="18"/>
      <c r="BA273" s="18">
        <v>0</v>
      </c>
    </row>
    <row r="274" spans="24:53" x14ac:dyDescent="0.3">
      <c r="Z274" s="57">
        <v>44894</v>
      </c>
      <c r="AA274" t="s">
        <v>1092</v>
      </c>
      <c r="AB274" s="18"/>
      <c r="AC274" s="18"/>
      <c r="AD274" s="18"/>
      <c r="AE274" s="18">
        <v>0</v>
      </c>
      <c r="AF274" s="18"/>
      <c r="AG274" s="18"/>
      <c r="AH274" s="18">
        <v>0</v>
      </c>
      <c r="AT274">
        <v>4</v>
      </c>
      <c r="AU274" s="18">
        <v>0</v>
      </c>
      <c r="AV274" s="18"/>
      <c r="AW274" s="18"/>
      <c r="AX274" s="18"/>
      <c r="AY274" s="18"/>
      <c r="AZ274" s="18"/>
      <c r="BA274" s="18">
        <v>0</v>
      </c>
    </row>
    <row r="275" spans="24:53" x14ac:dyDescent="0.3">
      <c r="Y275">
        <v>5</v>
      </c>
      <c r="Z275" s="57">
        <v>44938</v>
      </c>
      <c r="AA275" t="s">
        <v>1180</v>
      </c>
      <c r="AB275" s="18"/>
      <c r="AC275" s="18"/>
      <c r="AD275" s="18"/>
      <c r="AE275" s="18">
        <v>0</v>
      </c>
      <c r="AF275" s="18"/>
      <c r="AG275" s="18"/>
      <c r="AH275" s="18">
        <v>0</v>
      </c>
      <c r="AS275">
        <v>2023</v>
      </c>
      <c r="AT275">
        <v>1</v>
      </c>
      <c r="AU275" s="18">
        <v>0</v>
      </c>
      <c r="AV275" s="18"/>
      <c r="AW275" s="18"/>
      <c r="AX275" s="18"/>
      <c r="AY275" s="18"/>
      <c r="AZ275" s="18"/>
      <c r="BA275" s="18">
        <v>0</v>
      </c>
    </row>
    <row r="276" spans="24:53" x14ac:dyDescent="0.3">
      <c r="Z276" s="57">
        <v>44944</v>
      </c>
      <c r="AA276" t="s">
        <v>1192</v>
      </c>
      <c r="AB276" s="18"/>
      <c r="AC276" s="18"/>
      <c r="AD276" s="18"/>
      <c r="AE276" s="18">
        <v>0</v>
      </c>
      <c r="AF276" s="18"/>
      <c r="AG276" s="18"/>
      <c r="AH276" s="18">
        <v>0</v>
      </c>
      <c r="AT276">
        <v>2</v>
      </c>
      <c r="AU276" s="18">
        <v>0</v>
      </c>
      <c r="AV276" s="18"/>
      <c r="AW276" s="18"/>
      <c r="AX276" s="18"/>
      <c r="AY276" s="18"/>
      <c r="AZ276" s="18"/>
      <c r="BA276" s="18">
        <v>0</v>
      </c>
    </row>
    <row r="277" spans="24:53" x14ac:dyDescent="0.3">
      <c r="Y277">
        <v>6</v>
      </c>
      <c r="Z277" t="s">
        <v>1250</v>
      </c>
      <c r="AA277" t="s">
        <v>1251</v>
      </c>
      <c r="AB277" s="18"/>
      <c r="AC277" s="18"/>
      <c r="AD277" s="18"/>
      <c r="AE277" s="18">
        <v>0</v>
      </c>
      <c r="AF277" s="18"/>
      <c r="AG277" s="18"/>
      <c r="AH277" s="18">
        <v>0</v>
      </c>
      <c r="AT277">
        <v>3</v>
      </c>
      <c r="AU277" s="18">
        <v>-1.1368683772161603E-13</v>
      </c>
      <c r="AV277" s="18"/>
      <c r="AW277" s="18"/>
      <c r="AX277" s="18"/>
      <c r="AY277" s="18"/>
      <c r="AZ277" s="18"/>
      <c r="BA277" s="18">
        <v>-1.1368683772161603E-13</v>
      </c>
    </row>
    <row r="278" spans="24:53" x14ac:dyDescent="0.3">
      <c r="Y278">
        <v>7</v>
      </c>
      <c r="Z278" t="s">
        <v>1334</v>
      </c>
      <c r="AA278" t="s">
        <v>1333</v>
      </c>
      <c r="AB278" s="18"/>
      <c r="AC278" s="18"/>
      <c r="AD278" s="18"/>
      <c r="AE278" s="18">
        <v>0</v>
      </c>
      <c r="AF278" s="18"/>
      <c r="AG278" s="18"/>
      <c r="AH278" s="18">
        <v>0</v>
      </c>
      <c r="AT278">
        <v>5</v>
      </c>
      <c r="AU278" s="18">
        <v>0</v>
      </c>
      <c r="AV278" s="18"/>
      <c r="AW278" s="18"/>
      <c r="AX278" s="18"/>
      <c r="AY278" s="18"/>
      <c r="AZ278" s="18"/>
      <c r="BA278" s="18">
        <v>0</v>
      </c>
    </row>
    <row r="279" spans="24:53" x14ac:dyDescent="0.3">
      <c r="Y279">
        <v>8</v>
      </c>
      <c r="Z279" t="s">
        <v>1403</v>
      </c>
      <c r="AA279" t="s">
        <v>1404</v>
      </c>
      <c r="AB279" s="18"/>
      <c r="AC279" s="18"/>
      <c r="AD279" s="18"/>
      <c r="AE279" s="18">
        <v>0</v>
      </c>
      <c r="AF279" s="18"/>
      <c r="AG279" s="18"/>
      <c r="AH279" s="18">
        <v>0</v>
      </c>
      <c r="AT279">
        <v>6</v>
      </c>
      <c r="AU279" s="18">
        <v>0</v>
      </c>
      <c r="AV279" s="18"/>
      <c r="AW279" s="18"/>
      <c r="AX279" s="18"/>
      <c r="AY279" s="18"/>
      <c r="AZ279" s="18"/>
      <c r="BA279" s="18">
        <v>0</v>
      </c>
    </row>
    <row r="280" spans="24:53" x14ac:dyDescent="0.3">
      <c r="Y280">
        <v>9</v>
      </c>
      <c r="Z280" s="57">
        <v>45056</v>
      </c>
      <c r="AA280" t="s">
        <v>1542</v>
      </c>
      <c r="AB280" s="18"/>
      <c r="AC280" s="18"/>
      <c r="AD280" s="18"/>
      <c r="AE280" s="18">
        <v>0</v>
      </c>
      <c r="AF280" s="18"/>
      <c r="AG280" s="18"/>
      <c r="AH280" s="18">
        <v>0</v>
      </c>
      <c r="AT280">
        <v>7</v>
      </c>
      <c r="AU280" s="18">
        <v>-1.1368683772161603E-13</v>
      </c>
      <c r="AV280" s="18"/>
      <c r="AW280" s="18"/>
      <c r="AX280" s="18"/>
      <c r="AY280" s="18"/>
      <c r="AZ280" s="18"/>
      <c r="BA280" s="18">
        <v>-1.1368683772161603E-13</v>
      </c>
    </row>
    <row r="281" spans="24:53" x14ac:dyDescent="0.3">
      <c r="Y281">
        <v>10</v>
      </c>
      <c r="Z281" s="57">
        <v>45083</v>
      </c>
      <c r="AA281" t="s">
        <v>1616</v>
      </c>
      <c r="AB281" s="18"/>
      <c r="AC281" s="18"/>
      <c r="AD281" s="18"/>
      <c r="AE281" s="18">
        <v>0</v>
      </c>
      <c r="AF281" s="18"/>
      <c r="AG281" s="18"/>
      <c r="AH281" s="18">
        <v>0</v>
      </c>
      <c r="AT281">
        <v>8</v>
      </c>
      <c r="AU281" s="18">
        <v>0</v>
      </c>
      <c r="AV281" s="18"/>
      <c r="AW281" s="18"/>
      <c r="AX281" s="18"/>
      <c r="AY281" s="18"/>
      <c r="AZ281" s="18"/>
      <c r="BA281" s="18">
        <v>0</v>
      </c>
    </row>
    <row r="282" spans="24:53" x14ac:dyDescent="0.3">
      <c r="Y282">
        <v>11</v>
      </c>
      <c r="Z282" s="57">
        <v>45117</v>
      </c>
      <c r="AA282" t="s">
        <v>1716</v>
      </c>
      <c r="AB282" s="18"/>
      <c r="AC282" s="18"/>
      <c r="AD282" s="18"/>
      <c r="AE282" s="18">
        <v>0</v>
      </c>
      <c r="AF282" s="18"/>
      <c r="AG282" s="18"/>
      <c r="AH282" s="18">
        <v>0</v>
      </c>
      <c r="AT282">
        <v>9</v>
      </c>
      <c r="AU282" s="18">
        <v>0</v>
      </c>
      <c r="AV282" s="18"/>
      <c r="AW282" s="18"/>
      <c r="AX282" s="18"/>
      <c r="AY282" s="18"/>
      <c r="AZ282" s="18"/>
      <c r="BA282" s="18">
        <v>0</v>
      </c>
    </row>
    <row r="283" spans="24:53" x14ac:dyDescent="0.3">
      <c r="Z283" s="57">
        <v>45128</v>
      </c>
      <c r="AA283" t="s">
        <v>1727</v>
      </c>
      <c r="AB283" s="18"/>
      <c r="AC283" s="18"/>
      <c r="AD283" s="18"/>
      <c r="AE283" s="18">
        <v>0</v>
      </c>
      <c r="AF283" s="18"/>
      <c r="AG283" s="18"/>
      <c r="AH283" s="18">
        <v>0</v>
      </c>
      <c r="AT283">
        <v>10</v>
      </c>
      <c r="AU283" s="18">
        <v>-5.6843418860808015E-14</v>
      </c>
      <c r="AV283" s="18"/>
      <c r="AW283" s="18"/>
      <c r="AX283" s="18"/>
      <c r="AY283" s="18"/>
      <c r="AZ283" s="18"/>
      <c r="BA283" s="18">
        <v>-5.6843418860808015E-14</v>
      </c>
    </row>
    <row r="284" spans="24:53" x14ac:dyDescent="0.3">
      <c r="Z284" s="57">
        <v>45140</v>
      </c>
      <c r="AA284" t="s">
        <v>1795</v>
      </c>
      <c r="AB284" s="18"/>
      <c r="AC284" s="18"/>
      <c r="AD284" s="18"/>
      <c r="AE284" s="18">
        <v>0</v>
      </c>
      <c r="AF284" s="18"/>
      <c r="AG284" s="18"/>
      <c r="AH284" s="18">
        <v>0</v>
      </c>
      <c r="AT284">
        <v>11</v>
      </c>
      <c r="AU284" s="18">
        <v>0</v>
      </c>
      <c r="AV284" s="18"/>
      <c r="AW284" s="18"/>
      <c r="AX284" s="18"/>
      <c r="AY284" s="18"/>
      <c r="AZ284" s="18"/>
      <c r="BA284" s="18">
        <v>0</v>
      </c>
    </row>
    <row r="285" spans="24:53" x14ac:dyDescent="0.3">
      <c r="Y285">
        <v>4</v>
      </c>
      <c r="Z285" s="57">
        <v>44922</v>
      </c>
      <c r="AA285" t="s">
        <v>1137</v>
      </c>
      <c r="AB285" s="18"/>
      <c r="AC285" s="18"/>
      <c r="AD285" s="18"/>
      <c r="AE285" s="18">
        <v>0</v>
      </c>
      <c r="AF285" s="18"/>
      <c r="AG285" s="18"/>
      <c r="AH285" s="18">
        <v>0</v>
      </c>
      <c r="AT285">
        <v>12</v>
      </c>
      <c r="AU285" s="18">
        <v>0</v>
      </c>
      <c r="AV285" s="18"/>
      <c r="AW285" s="18"/>
      <c r="AX285" s="18"/>
      <c r="AY285" s="18"/>
      <c r="AZ285" s="18"/>
      <c r="BA285" s="18">
        <v>0</v>
      </c>
    </row>
    <row r="286" spans="24:53" x14ac:dyDescent="0.3">
      <c r="X286">
        <v>2024</v>
      </c>
      <c r="Y286">
        <v>1</v>
      </c>
      <c r="Z286" s="57">
        <v>45174</v>
      </c>
      <c r="AA286" t="s">
        <v>1883</v>
      </c>
      <c r="AB286" s="18"/>
      <c r="AC286" s="18"/>
      <c r="AD286" s="18"/>
      <c r="AE286" s="18">
        <v>0</v>
      </c>
      <c r="AF286" s="18"/>
      <c r="AG286" s="18"/>
      <c r="AH286" s="18">
        <v>0</v>
      </c>
      <c r="AT286">
        <v>4</v>
      </c>
      <c r="AU286" s="18">
        <v>0</v>
      </c>
      <c r="AV286" s="18"/>
      <c r="AW286" s="18"/>
      <c r="AX286" s="18"/>
      <c r="AY286" s="18"/>
      <c r="AZ286" s="18"/>
      <c r="BA286" s="18">
        <v>0</v>
      </c>
    </row>
    <row r="287" spans="24:53" x14ac:dyDescent="0.3">
      <c r="Y287">
        <v>2</v>
      </c>
      <c r="Z287" s="57">
        <v>45205</v>
      </c>
      <c r="AA287" t="s">
        <v>1998</v>
      </c>
      <c r="AB287" s="18"/>
      <c r="AC287" s="18"/>
      <c r="AD287" s="18"/>
      <c r="AE287" s="18">
        <v>0</v>
      </c>
      <c r="AF287" s="18"/>
      <c r="AG287" s="18"/>
      <c r="AH287" s="18">
        <v>0</v>
      </c>
      <c r="AS287">
        <v>2024</v>
      </c>
      <c r="AT287">
        <v>1</v>
      </c>
      <c r="AU287" s="18">
        <v>0</v>
      </c>
      <c r="AV287" s="18"/>
      <c r="AW287" s="18"/>
      <c r="AX287" s="18"/>
      <c r="AY287" s="18"/>
      <c r="AZ287" s="18"/>
      <c r="BA287" s="18">
        <v>0</v>
      </c>
    </row>
    <row r="288" spans="24:53" x14ac:dyDescent="0.3">
      <c r="Y288">
        <v>3</v>
      </c>
      <c r="Z288" s="57">
        <v>45245</v>
      </c>
      <c r="AA288" t="s">
        <v>2159</v>
      </c>
      <c r="AB288" s="18"/>
      <c r="AC288" s="18"/>
      <c r="AD288" s="18"/>
      <c r="AE288" s="18">
        <v>0</v>
      </c>
      <c r="AF288" s="18"/>
      <c r="AG288" s="18"/>
      <c r="AH288" s="18">
        <v>0</v>
      </c>
      <c r="AT288">
        <v>2</v>
      </c>
      <c r="AU288" s="18">
        <v>0</v>
      </c>
      <c r="AV288" s="18"/>
      <c r="AW288" s="18"/>
      <c r="AX288" s="18"/>
      <c r="AY288" s="18"/>
      <c r="AZ288" s="18"/>
      <c r="BA288" s="18">
        <v>0</v>
      </c>
    </row>
    <row r="289" spans="25:53" x14ac:dyDescent="0.3">
      <c r="AA289" t="s">
        <v>2160</v>
      </c>
      <c r="AB289" s="18"/>
      <c r="AC289" s="18"/>
      <c r="AD289" s="18"/>
      <c r="AE289" s="18">
        <v>0</v>
      </c>
      <c r="AF289" s="18"/>
      <c r="AG289" s="18"/>
      <c r="AH289" s="18">
        <v>0</v>
      </c>
      <c r="AT289">
        <v>3</v>
      </c>
      <c r="AU289" s="18">
        <v>0</v>
      </c>
      <c r="AV289" s="18"/>
      <c r="AW289" s="18"/>
      <c r="AX289" s="18"/>
      <c r="AY289" s="18"/>
      <c r="AZ289" s="18"/>
      <c r="BA289" s="18">
        <v>0</v>
      </c>
    </row>
    <row r="290" spans="25:53" x14ac:dyDescent="0.3">
      <c r="Z290" s="57">
        <v>45261</v>
      </c>
      <c r="AA290" t="s">
        <v>2175</v>
      </c>
      <c r="AB290" s="18"/>
      <c r="AC290" s="18"/>
      <c r="AD290" s="18"/>
      <c r="AE290" s="18">
        <v>0</v>
      </c>
      <c r="AF290" s="18"/>
      <c r="AG290" s="18"/>
      <c r="AH290" s="18">
        <v>0</v>
      </c>
      <c r="AT290">
        <v>5</v>
      </c>
      <c r="AU290" s="18">
        <v>718.6</v>
      </c>
      <c r="AV290" s="18"/>
      <c r="AW290" s="18"/>
      <c r="AX290" s="18"/>
      <c r="AY290" s="18"/>
      <c r="AZ290" s="18"/>
      <c r="BA290" s="18">
        <v>718.6</v>
      </c>
    </row>
    <row r="291" spans="25:53" x14ac:dyDescent="0.3">
      <c r="Y291">
        <v>5</v>
      </c>
      <c r="Z291" s="57">
        <v>45303</v>
      </c>
      <c r="AA291" t="s">
        <v>2280</v>
      </c>
      <c r="AB291" s="18"/>
      <c r="AC291" s="18"/>
      <c r="AD291" s="18"/>
      <c r="AE291" s="18">
        <v>0</v>
      </c>
      <c r="AF291" s="18"/>
      <c r="AG291" s="18"/>
      <c r="AH291" s="18">
        <v>0</v>
      </c>
      <c r="AT291">
        <v>6</v>
      </c>
      <c r="AU291" s="18">
        <v>4852.5</v>
      </c>
      <c r="AV291" s="18"/>
      <c r="AW291" s="18"/>
      <c r="AX291" s="18"/>
      <c r="AY291" s="18"/>
      <c r="AZ291" s="18"/>
      <c r="BA291" s="18">
        <v>4852.5</v>
      </c>
    </row>
    <row r="292" spans="25:53" x14ac:dyDescent="0.3">
      <c r="Y292">
        <v>6</v>
      </c>
      <c r="Z292" s="57">
        <v>45327</v>
      </c>
      <c r="AA292" t="s">
        <v>2348</v>
      </c>
      <c r="AB292" s="18"/>
      <c r="AC292" s="18"/>
      <c r="AD292" s="18"/>
      <c r="AE292" s="18">
        <v>0</v>
      </c>
      <c r="AF292" s="18"/>
      <c r="AG292" s="18"/>
      <c r="AH292" s="18">
        <v>0</v>
      </c>
      <c r="AT292">
        <v>7</v>
      </c>
      <c r="AU292" s="18">
        <v>8721.2999999999993</v>
      </c>
      <c r="AV292" s="18"/>
      <c r="AW292" s="18"/>
      <c r="AX292" s="18"/>
      <c r="AY292" s="18"/>
      <c r="AZ292" s="18"/>
      <c r="BA292" s="18">
        <v>8721.2999999999993</v>
      </c>
    </row>
    <row r="293" spans="25:53" x14ac:dyDescent="0.3">
      <c r="Z293" s="57">
        <v>45330</v>
      </c>
      <c r="AA293" t="s">
        <v>2353</v>
      </c>
      <c r="AB293" s="18"/>
      <c r="AC293" s="18"/>
      <c r="AD293" s="18"/>
      <c r="AE293" s="18">
        <v>0</v>
      </c>
      <c r="AF293" s="18"/>
      <c r="AG293" s="18"/>
      <c r="AH293" s="18">
        <v>0</v>
      </c>
      <c r="AT293">
        <v>8</v>
      </c>
      <c r="AU293" s="18">
        <v>7650</v>
      </c>
      <c r="AV293" s="18"/>
      <c r="AW293" s="18"/>
      <c r="AX293" s="18"/>
      <c r="AY293" s="18"/>
      <c r="AZ293" s="18"/>
      <c r="BA293" s="18">
        <v>7650</v>
      </c>
    </row>
    <row r="294" spans="25:53" x14ac:dyDescent="0.3">
      <c r="Z294" s="57">
        <v>45337</v>
      </c>
      <c r="AA294" t="s">
        <v>2355</v>
      </c>
      <c r="AB294" s="18"/>
      <c r="AC294" s="18"/>
      <c r="AD294" s="18"/>
      <c r="AE294" s="18">
        <v>0</v>
      </c>
      <c r="AF294" s="18"/>
      <c r="AG294" s="18"/>
      <c r="AH294" s="18">
        <v>0</v>
      </c>
      <c r="AT294">
        <v>9</v>
      </c>
      <c r="AU294" s="18">
        <v>6271.3</v>
      </c>
      <c r="AV294" s="18"/>
      <c r="AW294" s="18"/>
      <c r="AX294" s="18"/>
      <c r="AY294" s="18"/>
      <c r="AZ294" s="18"/>
      <c r="BA294" s="18">
        <v>6271.3</v>
      </c>
    </row>
    <row r="295" spans="25:53" x14ac:dyDescent="0.3">
      <c r="Z295" s="57">
        <v>45353</v>
      </c>
      <c r="AA295" t="s">
        <v>2424</v>
      </c>
      <c r="AB295" s="18"/>
      <c r="AC295" s="18"/>
      <c r="AD295" s="18"/>
      <c r="AE295" s="18">
        <v>0</v>
      </c>
      <c r="AF295" s="18"/>
      <c r="AG295" s="18"/>
      <c r="AH295" s="18">
        <v>0</v>
      </c>
      <c r="AT295">
        <v>10</v>
      </c>
      <c r="AU295" s="18">
        <v>4973.5</v>
      </c>
      <c r="AV295" s="18"/>
      <c r="AW295" s="18"/>
      <c r="AX295" s="18"/>
      <c r="AY295" s="18"/>
      <c r="AZ295" s="18"/>
      <c r="BA295" s="18">
        <v>4973.5</v>
      </c>
    </row>
    <row r="296" spans="25:53" x14ac:dyDescent="0.3">
      <c r="Y296">
        <v>7</v>
      </c>
      <c r="Z296" s="57">
        <v>45364</v>
      </c>
      <c r="AA296" t="s">
        <v>2433</v>
      </c>
      <c r="AB296" s="18"/>
      <c r="AC296" s="18"/>
      <c r="AD296" s="18"/>
      <c r="AE296" s="18">
        <v>0</v>
      </c>
      <c r="AF296" s="18"/>
      <c r="AG296" s="18"/>
      <c r="AH296" s="18">
        <v>0</v>
      </c>
      <c r="AT296">
        <v>11</v>
      </c>
      <c r="AU296" s="18">
        <v>8377.2999999999993</v>
      </c>
      <c r="AV296" s="18"/>
      <c r="AW296" s="18"/>
      <c r="AX296" s="18"/>
      <c r="AY296" s="18"/>
      <c r="AZ296" s="18"/>
      <c r="BA296" s="18">
        <v>8377.2999999999993</v>
      </c>
    </row>
    <row r="297" spans="25:53" x14ac:dyDescent="0.3">
      <c r="Z297" s="57">
        <v>45372</v>
      </c>
      <c r="AA297" t="s">
        <v>2448</v>
      </c>
      <c r="AB297" s="18"/>
      <c r="AC297" s="18"/>
      <c r="AD297" s="18"/>
      <c r="AE297" s="18">
        <v>0</v>
      </c>
      <c r="AF297" s="18"/>
      <c r="AG297" s="18"/>
      <c r="AH297" s="18">
        <v>0</v>
      </c>
      <c r="AT297">
        <v>12</v>
      </c>
      <c r="AU297" s="18">
        <v>5908.8</v>
      </c>
      <c r="AV297" s="18"/>
      <c r="AW297" s="18"/>
      <c r="AX297" s="18"/>
      <c r="AY297" s="18"/>
      <c r="AZ297" s="18"/>
      <c r="BA297" s="18">
        <v>5908.8</v>
      </c>
    </row>
    <row r="298" spans="25:53" x14ac:dyDescent="0.3">
      <c r="Y298">
        <v>8</v>
      </c>
      <c r="Z298" s="57">
        <v>45404</v>
      </c>
      <c r="AA298" t="s">
        <v>2516</v>
      </c>
      <c r="AB298" s="18"/>
      <c r="AC298" s="18"/>
      <c r="AD298" s="18"/>
      <c r="AE298" s="18">
        <v>0</v>
      </c>
      <c r="AF298" s="18"/>
      <c r="AG298" s="18"/>
      <c r="AH298" s="18">
        <v>0</v>
      </c>
      <c r="AT298">
        <v>4</v>
      </c>
      <c r="AU298" s="18">
        <v>0</v>
      </c>
      <c r="AV298" s="18"/>
      <c r="AW298" s="18"/>
      <c r="AX298" s="18"/>
      <c r="AY298" s="18"/>
      <c r="AZ298" s="18"/>
      <c r="BA298" s="18">
        <v>0</v>
      </c>
    </row>
    <row r="299" spans="25:53" x14ac:dyDescent="0.3">
      <c r="Y299">
        <v>9</v>
      </c>
      <c r="Z299" s="57">
        <v>45422</v>
      </c>
      <c r="AA299" t="s">
        <v>2562</v>
      </c>
      <c r="AB299" s="18"/>
      <c r="AC299" s="18"/>
      <c r="AD299" s="18"/>
      <c r="AE299" s="18">
        <v>0</v>
      </c>
      <c r="AF299" s="18"/>
      <c r="AG299" s="18"/>
      <c r="AH299" s="18">
        <v>0</v>
      </c>
      <c r="AS299">
        <v>2025</v>
      </c>
      <c r="AT299">
        <v>1</v>
      </c>
      <c r="AU299" s="18">
        <v>7905</v>
      </c>
      <c r="AV299" s="18"/>
      <c r="AW299" s="18"/>
      <c r="AX299" s="18"/>
      <c r="AY299" s="18"/>
      <c r="AZ299" s="18"/>
      <c r="BA299" s="18">
        <v>7905</v>
      </c>
    </row>
    <row r="300" spans="25:53" x14ac:dyDescent="0.3">
      <c r="Z300" s="57">
        <v>45444</v>
      </c>
      <c r="AA300" t="s">
        <v>2634</v>
      </c>
      <c r="AB300" s="18"/>
      <c r="AC300" s="18"/>
      <c r="AD300" s="18"/>
      <c r="AE300" s="18">
        <v>0</v>
      </c>
      <c r="AF300" s="18"/>
      <c r="AG300" s="18"/>
      <c r="AH300" s="18">
        <v>0</v>
      </c>
      <c r="AT300">
        <v>2</v>
      </c>
      <c r="AU300" s="18">
        <v>5541.3</v>
      </c>
      <c r="AV300" s="18"/>
      <c r="AW300" s="18"/>
      <c r="AX300" s="18"/>
      <c r="AY300" s="18"/>
      <c r="AZ300" s="18"/>
      <c r="BA300" s="18">
        <v>5541.3</v>
      </c>
    </row>
    <row r="301" spans="25:53" x14ac:dyDescent="0.3">
      <c r="Y301">
        <v>10</v>
      </c>
      <c r="Z301" s="57">
        <v>45467</v>
      </c>
      <c r="AA301" t="s">
        <v>2658</v>
      </c>
      <c r="AB301" s="18"/>
      <c r="AC301" s="18"/>
      <c r="AD301" s="18"/>
      <c r="AE301" s="18">
        <v>0</v>
      </c>
      <c r="AF301" s="18"/>
      <c r="AG301" s="18"/>
      <c r="AH301" s="18">
        <v>0</v>
      </c>
      <c r="AT301">
        <v>3</v>
      </c>
      <c r="AU301" s="18">
        <v>8918.7999999999993</v>
      </c>
      <c r="AV301" s="18"/>
      <c r="AW301" s="18"/>
      <c r="AX301" s="18"/>
      <c r="AY301" s="18"/>
      <c r="AZ301" s="18"/>
      <c r="BA301" s="18">
        <v>8918.7999999999993</v>
      </c>
    </row>
    <row r="302" spans="25:53" x14ac:dyDescent="0.3">
      <c r="Z302" s="57">
        <v>45469</v>
      </c>
      <c r="AA302" t="s">
        <v>2660</v>
      </c>
      <c r="AB302" s="18"/>
      <c r="AC302" s="18"/>
      <c r="AD302" s="18"/>
      <c r="AE302" s="18">
        <v>0</v>
      </c>
      <c r="AF302" s="18"/>
      <c r="AG302" s="18"/>
      <c r="AH302" s="18">
        <v>0</v>
      </c>
      <c r="AT302">
        <v>5</v>
      </c>
      <c r="AU302" s="18">
        <v>8696.2999999999993</v>
      </c>
      <c r="AV302" s="18"/>
      <c r="AW302" s="18"/>
      <c r="AX302" s="18"/>
      <c r="AY302" s="18"/>
      <c r="AZ302" s="18"/>
      <c r="BA302" s="18">
        <v>8696.2999999999993</v>
      </c>
    </row>
    <row r="303" spans="25:53" x14ac:dyDescent="0.3">
      <c r="Z303" s="57">
        <v>45475</v>
      </c>
      <c r="AA303" t="s">
        <v>2748</v>
      </c>
      <c r="AB303" s="18"/>
      <c r="AC303" s="18"/>
      <c r="AD303" s="18"/>
      <c r="AE303" s="18">
        <v>0</v>
      </c>
      <c r="AF303" s="18"/>
      <c r="AG303" s="18"/>
      <c r="AH303" s="18">
        <v>0</v>
      </c>
      <c r="AT303">
        <v>6</v>
      </c>
      <c r="AU303" s="18">
        <v>5056.3</v>
      </c>
      <c r="AV303" s="18"/>
      <c r="AW303" s="18"/>
      <c r="AX303" s="18"/>
      <c r="AY303" s="18"/>
      <c r="AZ303" s="18"/>
      <c r="BA303" s="18">
        <v>5056.3</v>
      </c>
    </row>
    <row r="304" spans="25:53" x14ac:dyDescent="0.3">
      <c r="Y304">
        <v>11</v>
      </c>
      <c r="Z304" s="57">
        <v>45491</v>
      </c>
      <c r="AA304" t="s">
        <v>2763</v>
      </c>
      <c r="AB304" s="18"/>
      <c r="AC304" s="18"/>
      <c r="AD304" s="18"/>
      <c r="AE304" s="18">
        <v>0</v>
      </c>
      <c r="AF304" s="18"/>
      <c r="AG304" s="18"/>
      <c r="AH304" s="18">
        <v>0</v>
      </c>
      <c r="AT304">
        <v>7</v>
      </c>
      <c r="AU304" s="18">
        <v>8153.8</v>
      </c>
      <c r="AV304" s="18"/>
      <c r="AW304" s="18"/>
      <c r="AX304" s="18"/>
      <c r="AY304" s="18"/>
      <c r="AZ304" s="18"/>
      <c r="BA304" s="18">
        <v>8153.8</v>
      </c>
    </row>
    <row r="305" spans="24:53" x14ac:dyDescent="0.3">
      <c r="AA305" t="s">
        <v>2764</v>
      </c>
      <c r="AB305" s="18"/>
      <c r="AC305" s="18"/>
      <c r="AD305" s="18"/>
      <c r="AE305" s="18">
        <v>0</v>
      </c>
      <c r="AF305" s="18"/>
      <c r="AG305" s="18"/>
      <c r="AH305" s="18">
        <v>0</v>
      </c>
      <c r="AT305">
        <v>4</v>
      </c>
      <c r="AU305" s="18">
        <v>5117.5</v>
      </c>
      <c r="AV305" s="18"/>
      <c r="AW305" s="18"/>
      <c r="AX305" s="18"/>
      <c r="AY305" s="18"/>
      <c r="AZ305" s="18"/>
      <c r="BA305" s="18">
        <v>5117.5</v>
      </c>
    </row>
    <row r="306" spans="24:53" x14ac:dyDescent="0.3">
      <c r="Y306">
        <v>12</v>
      </c>
      <c r="Z306" s="57">
        <v>45510</v>
      </c>
      <c r="AA306" t="s">
        <v>2846</v>
      </c>
      <c r="AB306" s="18"/>
      <c r="AC306" s="18"/>
      <c r="AD306" s="18"/>
      <c r="AE306" s="18">
        <v>0</v>
      </c>
      <c r="AF306" s="18"/>
      <c r="AG306" s="18"/>
      <c r="AH306" s="18">
        <v>0</v>
      </c>
      <c r="AR306" s="36" t="s">
        <v>421</v>
      </c>
      <c r="AS306" s="36"/>
      <c r="AT306" s="36"/>
      <c r="AU306" s="37">
        <v>96862.300000000017</v>
      </c>
      <c r="AV306" s="37"/>
      <c r="AW306" s="37"/>
      <c r="AX306" s="37"/>
      <c r="AY306" s="37"/>
      <c r="AZ306" s="37"/>
      <c r="BA306" s="37">
        <v>96862.300000000017</v>
      </c>
    </row>
    <row r="307" spans="24:53" x14ac:dyDescent="0.3">
      <c r="Z307" s="57">
        <v>45523</v>
      </c>
      <c r="AA307" t="s">
        <v>2868</v>
      </c>
      <c r="AB307" s="18"/>
      <c r="AC307" s="18"/>
      <c r="AD307" s="18"/>
      <c r="AE307" s="18">
        <v>0</v>
      </c>
      <c r="AF307" s="18"/>
      <c r="AG307" s="18"/>
      <c r="AH307" s="18">
        <v>0</v>
      </c>
      <c r="AR307" t="s">
        <v>409</v>
      </c>
      <c r="AS307">
        <v>2021</v>
      </c>
      <c r="AT307">
        <v>10</v>
      </c>
      <c r="AU307" s="18">
        <v>0</v>
      </c>
      <c r="AV307" s="18"/>
      <c r="AW307" s="18"/>
      <c r="AX307" s="18"/>
      <c r="AY307" s="18"/>
      <c r="AZ307" s="18"/>
      <c r="BA307" s="18">
        <v>0</v>
      </c>
    </row>
    <row r="308" spans="24:53" x14ac:dyDescent="0.3">
      <c r="Z308" s="57">
        <v>45534</v>
      </c>
      <c r="AA308" t="s">
        <v>2875</v>
      </c>
      <c r="AB308" s="18"/>
      <c r="AC308" s="18"/>
      <c r="AD308" s="18"/>
      <c r="AE308" s="18">
        <v>0</v>
      </c>
      <c r="AF308" s="18"/>
      <c r="AG308" s="18"/>
      <c r="AH308" s="18">
        <v>0</v>
      </c>
      <c r="AT308">
        <v>11</v>
      </c>
      <c r="AU308" s="18">
        <v>0</v>
      </c>
      <c r="AV308" s="18"/>
      <c r="AW308" s="18"/>
      <c r="AX308" s="18"/>
      <c r="AY308" s="18"/>
      <c r="AZ308" s="18"/>
      <c r="BA308" s="18">
        <v>0</v>
      </c>
    </row>
    <row r="309" spans="24:53" x14ac:dyDescent="0.3">
      <c r="Y309">
        <v>4</v>
      </c>
      <c r="Z309" s="57">
        <v>45278</v>
      </c>
      <c r="AA309" t="s">
        <v>2199</v>
      </c>
      <c r="AB309" s="18"/>
      <c r="AC309" s="18"/>
      <c r="AD309" s="18"/>
      <c r="AE309" s="18">
        <v>0</v>
      </c>
      <c r="AF309" s="18"/>
      <c r="AG309" s="18"/>
      <c r="AH309" s="18">
        <v>0</v>
      </c>
      <c r="AT309">
        <v>12</v>
      </c>
      <c r="AU309" s="18">
        <v>0</v>
      </c>
      <c r="AV309" s="18"/>
      <c r="AW309" s="18"/>
      <c r="AX309" s="18"/>
      <c r="AY309" s="18"/>
      <c r="AZ309" s="18"/>
      <c r="BA309" s="18">
        <v>0</v>
      </c>
    </row>
    <row r="310" spans="24:53" x14ac:dyDescent="0.3">
      <c r="X310">
        <v>2025</v>
      </c>
      <c r="Y310">
        <v>1</v>
      </c>
      <c r="Z310" s="57">
        <v>45545</v>
      </c>
      <c r="AA310" t="s">
        <v>2945</v>
      </c>
      <c r="AB310" s="18"/>
      <c r="AC310" s="18"/>
      <c r="AD310" s="18"/>
      <c r="AE310" s="18">
        <v>0</v>
      </c>
      <c r="AF310" s="18"/>
      <c r="AG310" s="18"/>
      <c r="AH310" s="18">
        <v>0</v>
      </c>
      <c r="AS310">
        <v>2022</v>
      </c>
      <c r="AT310">
        <v>1</v>
      </c>
      <c r="AU310" s="18">
        <v>0</v>
      </c>
      <c r="AV310" s="18"/>
      <c r="AW310" s="18"/>
      <c r="AX310" s="18"/>
      <c r="AY310" s="18"/>
      <c r="AZ310" s="18"/>
      <c r="BA310" s="18">
        <v>0</v>
      </c>
    </row>
    <row r="311" spans="24:53" x14ac:dyDescent="0.3">
      <c r="Y311">
        <v>2</v>
      </c>
      <c r="Z311" s="57">
        <v>45579</v>
      </c>
      <c r="AA311" t="s">
        <v>3014</v>
      </c>
      <c r="AB311" s="18"/>
      <c r="AC311" s="18"/>
      <c r="AD311" s="18"/>
      <c r="AE311" s="18">
        <v>0</v>
      </c>
      <c r="AF311" s="18"/>
      <c r="AG311" s="18"/>
      <c r="AH311" s="18">
        <v>0</v>
      </c>
      <c r="AT311">
        <v>2</v>
      </c>
      <c r="AU311" s="18">
        <v>0</v>
      </c>
      <c r="AV311" s="18"/>
      <c r="AW311" s="18"/>
      <c r="AX311" s="18"/>
      <c r="AY311" s="18"/>
      <c r="AZ311" s="18"/>
      <c r="BA311" s="18">
        <v>0</v>
      </c>
    </row>
    <row r="312" spans="24:53" x14ac:dyDescent="0.3">
      <c r="Z312" s="57">
        <v>45588</v>
      </c>
      <c r="AA312" t="s">
        <v>3028</v>
      </c>
      <c r="AB312" s="18"/>
      <c r="AC312" s="18"/>
      <c r="AD312" s="18"/>
      <c r="AE312" s="18">
        <v>0</v>
      </c>
      <c r="AF312" s="18"/>
      <c r="AG312" s="18"/>
      <c r="AH312" s="18">
        <v>0</v>
      </c>
      <c r="AT312">
        <v>3</v>
      </c>
      <c r="AU312" s="18">
        <v>0</v>
      </c>
      <c r="AV312" s="18"/>
      <c r="AW312" s="18"/>
      <c r="AX312" s="18"/>
      <c r="AY312" s="18"/>
      <c r="AZ312" s="18"/>
      <c r="BA312" s="18">
        <v>0</v>
      </c>
    </row>
    <row r="313" spans="24:53" x14ac:dyDescent="0.3">
      <c r="Y313">
        <v>3</v>
      </c>
      <c r="Z313" s="57">
        <v>45607</v>
      </c>
      <c r="AA313" t="s">
        <v>3118</v>
      </c>
      <c r="AB313" s="18"/>
      <c r="AC313" s="18"/>
      <c r="AD313" s="18"/>
      <c r="AE313" s="18">
        <v>0</v>
      </c>
      <c r="AF313" s="18"/>
      <c r="AG313" s="18"/>
      <c r="AH313" s="18">
        <v>0</v>
      </c>
      <c r="AT313">
        <v>5</v>
      </c>
      <c r="AU313" s="18">
        <v>0</v>
      </c>
      <c r="AV313" s="18"/>
      <c r="AW313" s="18"/>
      <c r="AX313" s="18"/>
      <c r="AY313" s="18"/>
      <c r="AZ313" s="18"/>
      <c r="BA313" s="18">
        <v>0</v>
      </c>
    </row>
    <row r="314" spans="24:53" x14ac:dyDescent="0.3">
      <c r="Y314">
        <v>5</v>
      </c>
      <c r="Z314" s="57">
        <v>45668</v>
      </c>
      <c r="AA314" t="s">
        <v>3345</v>
      </c>
      <c r="AB314" s="18"/>
      <c r="AC314" s="18"/>
      <c r="AD314" s="18"/>
      <c r="AE314" s="18">
        <v>0</v>
      </c>
      <c r="AF314" s="18"/>
      <c r="AG314" s="18"/>
      <c r="AH314" s="18">
        <v>0</v>
      </c>
      <c r="AT314">
        <v>6</v>
      </c>
      <c r="AU314" s="18">
        <v>0</v>
      </c>
      <c r="AV314" s="18"/>
      <c r="AW314" s="18"/>
      <c r="AX314" s="18"/>
      <c r="AY314" s="18"/>
      <c r="AZ314" s="18"/>
      <c r="BA314" s="18">
        <v>0</v>
      </c>
    </row>
    <row r="315" spans="24:53" x14ac:dyDescent="0.3">
      <c r="Z315" s="57">
        <v>45679</v>
      </c>
      <c r="AA315" t="s">
        <v>3357</v>
      </c>
      <c r="AB315" s="18"/>
      <c r="AC315" s="18"/>
      <c r="AD315" s="18"/>
      <c r="AE315" s="18">
        <v>0</v>
      </c>
      <c r="AF315" s="18"/>
      <c r="AG315" s="18"/>
      <c r="AH315" s="18">
        <v>0</v>
      </c>
      <c r="AT315">
        <v>7</v>
      </c>
      <c r="AU315" s="18">
        <v>0</v>
      </c>
      <c r="AV315" s="18"/>
      <c r="AW315" s="18"/>
      <c r="AX315" s="18"/>
      <c r="AY315" s="18"/>
      <c r="AZ315" s="18"/>
      <c r="BA315" s="18">
        <v>0</v>
      </c>
    </row>
    <row r="316" spans="24:53" x14ac:dyDescent="0.3">
      <c r="Y316">
        <v>8</v>
      </c>
      <c r="Z316" t="s">
        <v>3643</v>
      </c>
      <c r="AA316" t="s">
        <v>3644</v>
      </c>
      <c r="AB316" s="18"/>
      <c r="AC316" s="18"/>
      <c r="AD316" s="18"/>
      <c r="AE316" s="18">
        <v>0</v>
      </c>
      <c r="AF316" s="18"/>
      <c r="AG316" s="18"/>
      <c r="AH316" s="18">
        <v>0</v>
      </c>
      <c r="AT316">
        <v>8</v>
      </c>
      <c r="AU316" s="18">
        <v>0</v>
      </c>
      <c r="AV316" s="18"/>
      <c r="AW316" s="18"/>
      <c r="AX316" s="18"/>
      <c r="AY316" s="18"/>
      <c r="AZ316" s="18"/>
      <c r="BA316" s="18">
        <v>0</v>
      </c>
    </row>
    <row r="317" spans="24:53" x14ac:dyDescent="0.3">
      <c r="Y317">
        <v>9</v>
      </c>
      <c r="Z317" t="s">
        <v>3749</v>
      </c>
      <c r="AA317" t="s">
        <v>3750</v>
      </c>
      <c r="AB317" s="18"/>
      <c r="AC317" s="18"/>
      <c r="AD317" s="18"/>
      <c r="AE317" s="18">
        <v>20530</v>
      </c>
      <c r="AF317" s="18"/>
      <c r="AG317" s="18"/>
      <c r="AH317" s="18">
        <v>20530</v>
      </c>
      <c r="AT317">
        <v>9</v>
      </c>
      <c r="AU317" s="18">
        <v>0</v>
      </c>
      <c r="AV317" s="18"/>
      <c r="AW317" s="18"/>
      <c r="AX317" s="18"/>
      <c r="AY317" s="18"/>
      <c r="AZ317" s="18"/>
      <c r="BA317" s="18">
        <v>0</v>
      </c>
    </row>
    <row r="318" spans="24:53" x14ac:dyDescent="0.3">
      <c r="Y318">
        <v>10</v>
      </c>
      <c r="Z318" t="s">
        <v>3886</v>
      </c>
      <c r="AA318" t="s">
        <v>3887</v>
      </c>
      <c r="AB318" s="18"/>
      <c r="AC318" s="18"/>
      <c r="AD318" s="18"/>
      <c r="AE318" s="18">
        <v>19245.400000000001</v>
      </c>
      <c r="AF318" s="18"/>
      <c r="AG318" s="18"/>
      <c r="AH318" s="18">
        <v>19245.400000000001</v>
      </c>
      <c r="AT318">
        <v>10</v>
      </c>
      <c r="AU318" s="18">
        <v>0</v>
      </c>
      <c r="AV318" s="18"/>
      <c r="AW318" s="18"/>
      <c r="AX318" s="18"/>
      <c r="AY318" s="18"/>
      <c r="AZ318" s="18"/>
      <c r="BA318" s="18">
        <v>0</v>
      </c>
    </row>
    <row r="319" spans="24:53" x14ac:dyDescent="0.3">
      <c r="Y319">
        <v>11</v>
      </c>
      <c r="Z319">
        <v>45849</v>
      </c>
      <c r="AA319" t="s">
        <v>4017</v>
      </c>
      <c r="AB319" s="18"/>
      <c r="AC319" s="18"/>
      <c r="AD319" s="18"/>
      <c r="AE319" s="18">
        <v>0</v>
      </c>
      <c r="AF319" s="18"/>
      <c r="AG319" s="18"/>
      <c r="AH319" s="18">
        <v>0</v>
      </c>
      <c r="AT319">
        <v>11</v>
      </c>
      <c r="AU319" s="18">
        <v>0</v>
      </c>
      <c r="AV319" s="18"/>
      <c r="AW319" s="18"/>
      <c r="AX319" s="18"/>
      <c r="AY319" s="18"/>
      <c r="AZ319" s="18"/>
      <c r="BA319" s="18">
        <v>0</v>
      </c>
    </row>
    <row r="320" spans="24:53" x14ac:dyDescent="0.3">
      <c r="Z320" t="s">
        <v>4029</v>
      </c>
      <c r="AA320" t="s">
        <v>4030</v>
      </c>
      <c r="AB320" s="18"/>
      <c r="AC320" s="18"/>
      <c r="AD320" s="18"/>
      <c r="AE320" s="18">
        <v>12046.9</v>
      </c>
      <c r="AF320" s="18"/>
      <c r="AG320" s="18"/>
      <c r="AH320" s="18">
        <v>12046.9</v>
      </c>
      <c r="AT320">
        <v>12</v>
      </c>
      <c r="AU320" s="18">
        <v>0</v>
      </c>
      <c r="AV320" s="18"/>
      <c r="AW320" s="18"/>
      <c r="AX320" s="18"/>
      <c r="AY320" s="18"/>
      <c r="AZ320" s="18"/>
      <c r="BA320" s="18">
        <v>0</v>
      </c>
    </row>
    <row r="321" spans="23:53" x14ac:dyDescent="0.3">
      <c r="AA321" t="s">
        <v>4031</v>
      </c>
      <c r="AB321" s="18"/>
      <c r="AC321" s="18"/>
      <c r="AD321" s="18"/>
      <c r="AE321" s="18">
        <v>840</v>
      </c>
      <c r="AF321" s="18"/>
      <c r="AG321" s="18"/>
      <c r="AH321" s="18">
        <v>840</v>
      </c>
      <c r="AT321">
        <v>4</v>
      </c>
      <c r="AU321" s="18">
        <v>0</v>
      </c>
      <c r="AV321" s="18"/>
      <c r="AW321" s="18"/>
      <c r="AX321" s="18"/>
      <c r="AY321" s="18"/>
      <c r="AZ321" s="18"/>
      <c r="BA321" s="18">
        <v>0</v>
      </c>
    </row>
    <row r="322" spans="23:53" x14ac:dyDescent="0.3">
      <c r="Y322">
        <v>4</v>
      </c>
      <c r="Z322" s="57">
        <v>45633</v>
      </c>
      <c r="AA322" t="s">
        <v>3219</v>
      </c>
      <c r="AB322" s="18"/>
      <c r="AC322" s="18"/>
      <c r="AD322" s="18"/>
      <c r="AE322" s="18">
        <v>0</v>
      </c>
      <c r="AF322" s="18"/>
      <c r="AG322" s="18"/>
      <c r="AH322" s="18">
        <v>0</v>
      </c>
      <c r="AS322">
        <v>2023</v>
      </c>
      <c r="AT322">
        <v>1</v>
      </c>
      <c r="AU322" s="18">
        <v>0</v>
      </c>
      <c r="AV322" s="18"/>
      <c r="AW322" s="18"/>
      <c r="AX322" s="18"/>
      <c r="AY322" s="18"/>
      <c r="AZ322" s="18"/>
      <c r="BA322" s="18">
        <v>0</v>
      </c>
    </row>
    <row r="323" spans="23:53" x14ac:dyDescent="0.3">
      <c r="Z323" t="s">
        <v>3245</v>
      </c>
      <c r="AA323" t="s">
        <v>3246</v>
      </c>
      <c r="AB323" s="18"/>
      <c r="AC323" s="18"/>
      <c r="AD323" s="18"/>
      <c r="AE323" s="18">
        <v>0</v>
      </c>
      <c r="AF323" s="18"/>
      <c r="AG323" s="18"/>
      <c r="AH323" s="18">
        <v>0</v>
      </c>
      <c r="AT323">
        <v>2</v>
      </c>
      <c r="AU323" s="18">
        <v>4.5474735088646412E-13</v>
      </c>
      <c r="AV323" s="18"/>
      <c r="AW323" s="18"/>
      <c r="AX323" s="18"/>
      <c r="AY323" s="18"/>
      <c r="AZ323" s="18"/>
      <c r="BA323" s="18">
        <v>4.5474735088646412E-13</v>
      </c>
    </row>
    <row r="324" spans="23:53" x14ac:dyDescent="0.3">
      <c r="W324" s="36" t="s">
        <v>204</v>
      </c>
      <c r="X324" s="36"/>
      <c r="Y324" s="36"/>
      <c r="Z324" s="36"/>
      <c r="AA324" s="36"/>
      <c r="AB324" s="37"/>
      <c r="AC324" s="37"/>
      <c r="AD324" s="37"/>
      <c r="AE324" s="37">
        <v>52482.9</v>
      </c>
      <c r="AF324" s="37"/>
      <c r="AG324" s="37"/>
      <c r="AH324" s="37">
        <v>52482.9</v>
      </c>
      <c r="AT324">
        <v>3</v>
      </c>
      <c r="AU324" s="18">
        <v>0</v>
      </c>
      <c r="AV324" s="18"/>
      <c r="AW324" s="18"/>
      <c r="AX324" s="18"/>
      <c r="AY324" s="18"/>
      <c r="AZ324" s="18"/>
      <c r="BA324" s="18">
        <v>0</v>
      </c>
    </row>
    <row r="325" spans="23:53" x14ac:dyDescent="0.3">
      <c r="W325" t="s">
        <v>173</v>
      </c>
      <c r="X325">
        <v>2020</v>
      </c>
      <c r="Y325">
        <v>11</v>
      </c>
      <c r="Z325" s="57">
        <v>44159</v>
      </c>
      <c r="AA325" t="s">
        <v>175</v>
      </c>
      <c r="AB325" s="18">
        <v>0</v>
      </c>
      <c r="AC325" s="18"/>
      <c r="AD325" s="18"/>
      <c r="AE325" s="18"/>
      <c r="AF325" s="18"/>
      <c r="AG325" s="18"/>
      <c r="AH325" s="18">
        <v>0</v>
      </c>
      <c r="AT325">
        <v>5</v>
      </c>
      <c r="AU325" s="18">
        <v>0</v>
      </c>
      <c r="AV325" s="18"/>
      <c r="AW325" s="18"/>
      <c r="AX325" s="18"/>
      <c r="AY325" s="18"/>
      <c r="AZ325" s="18"/>
      <c r="BA325" s="18">
        <v>0</v>
      </c>
    </row>
    <row r="326" spans="23:53" x14ac:dyDescent="0.3">
      <c r="W326" s="36" t="s">
        <v>185</v>
      </c>
      <c r="X326" s="36"/>
      <c r="Y326" s="36"/>
      <c r="Z326" s="36"/>
      <c r="AA326" s="36"/>
      <c r="AB326" s="37">
        <v>0</v>
      </c>
      <c r="AC326" s="37"/>
      <c r="AD326" s="37"/>
      <c r="AE326" s="37"/>
      <c r="AF326" s="37"/>
      <c r="AG326" s="37"/>
      <c r="AH326" s="37">
        <v>0</v>
      </c>
      <c r="AT326">
        <v>6</v>
      </c>
      <c r="AU326" s="18">
        <v>0</v>
      </c>
      <c r="AV326" s="18"/>
      <c r="AW326" s="18"/>
      <c r="AX326" s="18"/>
      <c r="AY326" s="18"/>
      <c r="AZ326" s="18"/>
      <c r="BA326" s="18">
        <v>0</v>
      </c>
    </row>
    <row r="327" spans="23:53" x14ac:dyDescent="0.3">
      <c r="W327" t="s">
        <v>223</v>
      </c>
      <c r="X327" t="s">
        <v>1763</v>
      </c>
      <c r="Y327" t="s">
        <v>1763</v>
      </c>
      <c r="Z327" s="57">
        <v>44170</v>
      </c>
      <c r="AA327" t="s">
        <v>209</v>
      </c>
      <c r="AB327" s="18"/>
      <c r="AC327" s="18"/>
      <c r="AD327" s="18"/>
      <c r="AE327" s="18"/>
      <c r="AF327" s="18">
        <v>0</v>
      </c>
      <c r="AG327" s="18"/>
      <c r="AH327" s="18">
        <v>0</v>
      </c>
      <c r="AT327">
        <v>7</v>
      </c>
      <c r="AU327" s="18">
        <v>0</v>
      </c>
      <c r="AV327" s="18"/>
      <c r="AW327" s="18"/>
      <c r="AX327" s="18"/>
      <c r="AY327" s="18"/>
      <c r="AZ327" s="18"/>
      <c r="BA327" s="18">
        <v>0</v>
      </c>
    </row>
    <row r="328" spans="23:53" x14ac:dyDescent="0.3">
      <c r="W328" s="36" t="s">
        <v>224</v>
      </c>
      <c r="X328" s="36"/>
      <c r="Y328" s="36"/>
      <c r="Z328" s="36"/>
      <c r="AA328" s="36"/>
      <c r="AB328" s="37"/>
      <c r="AC328" s="37"/>
      <c r="AD328" s="37"/>
      <c r="AE328" s="37"/>
      <c r="AF328" s="37">
        <v>0</v>
      </c>
      <c r="AG328" s="37"/>
      <c r="AH328" s="37">
        <v>0</v>
      </c>
      <c r="AT328">
        <v>8</v>
      </c>
      <c r="AU328" s="18">
        <v>0</v>
      </c>
      <c r="AV328" s="18"/>
      <c r="AW328" s="18"/>
      <c r="AX328" s="18"/>
      <c r="AY328" s="18"/>
      <c r="AZ328" s="18"/>
      <c r="BA328" s="18">
        <v>0</v>
      </c>
    </row>
    <row r="329" spans="23:53" x14ac:dyDescent="0.3">
      <c r="W329" t="s">
        <v>228</v>
      </c>
      <c r="X329" t="s">
        <v>1763</v>
      </c>
      <c r="Y329" t="s">
        <v>1763</v>
      </c>
      <c r="Z329" s="57">
        <v>44513</v>
      </c>
      <c r="AA329" t="s">
        <v>476</v>
      </c>
      <c r="AB329" s="18"/>
      <c r="AC329" s="18"/>
      <c r="AD329" s="18"/>
      <c r="AE329" s="18"/>
      <c r="AF329" s="18">
        <v>0</v>
      </c>
      <c r="AG329" s="18"/>
      <c r="AH329" s="18">
        <v>0</v>
      </c>
      <c r="AT329">
        <v>9</v>
      </c>
      <c r="AU329" s="18">
        <v>0</v>
      </c>
      <c r="AV329" s="18"/>
      <c r="AW329" s="18"/>
      <c r="AX329" s="18"/>
      <c r="AY329" s="18"/>
      <c r="AZ329" s="18"/>
      <c r="BA329" s="18">
        <v>0</v>
      </c>
    </row>
    <row r="330" spans="23:53" x14ac:dyDescent="0.3">
      <c r="W330" s="36" t="s">
        <v>255</v>
      </c>
      <c r="X330" s="36"/>
      <c r="Y330" s="36"/>
      <c r="Z330" s="36"/>
      <c r="AA330" s="36"/>
      <c r="AB330" s="37"/>
      <c r="AC330" s="37"/>
      <c r="AD330" s="37"/>
      <c r="AE330" s="37"/>
      <c r="AF330" s="37">
        <v>0</v>
      </c>
      <c r="AG330" s="37"/>
      <c r="AH330" s="37">
        <v>0</v>
      </c>
      <c r="AT330">
        <v>10</v>
      </c>
      <c r="AU330" s="18">
        <v>0</v>
      </c>
      <c r="AV330" s="18"/>
      <c r="AW330" s="18"/>
      <c r="AX330" s="18"/>
      <c r="AY330" s="18"/>
      <c r="AZ330" s="18"/>
      <c r="BA330" s="18">
        <v>0</v>
      </c>
    </row>
    <row r="331" spans="23:53" x14ac:dyDescent="0.3">
      <c r="W331" t="s">
        <v>262</v>
      </c>
      <c r="X331">
        <v>2021</v>
      </c>
      <c r="Y331">
        <v>2</v>
      </c>
      <c r="Z331" s="57">
        <v>44230</v>
      </c>
      <c r="AA331" t="s">
        <v>256</v>
      </c>
      <c r="AB331" s="18">
        <v>0</v>
      </c>
      <c r="AC331" s="18"/>
      <c r="AD331" s="18"/>
      <c r="AE331" s="18"/>
      <c r="AF331" s="18"/>
      <c r="AG331" s="18"/>
      <c r="AH331" s="18">
        <v>0</v>
      </c>
      <c r="AT331">
        <v>4</v>
      </c>
      <c r="AU331" s="18">
        <v>0</v>
      </c>
      <c r="AV331" s="18"/>
      <c r="AW331" s="18"/>
      <c r="AX331" s="18"/>
      <c r="AY331" s="18"/>
      <c r="AZ331" s="18"/>
      <c r="BA331" s="18">
        <v>0</v>
      </c>
    </row>
    <row r="332" spans="23:53" x14ac:dyDescent="0.3">
      <c r="Z332" s="57">
        <v>44233</v>
      </c>
      <c r="AA332" t="s">
        <v>261</v>
      </c>
      <c r="AB332" s="18">
        <v>0</v>
      </c>
      <c r="AC332" s="18"/>
      <c r="AD332" s="18"/>
      <c r="AE332" s="18"/>
      <c r="AF332" s="18"/>
      <c r="AG332" s="18"/>
      <c r="AH332" s="18">
        <v>0</v>
      </c>
      <c r="AR332" s="36" t="s">
        <v>422</v>
      </c>
      <c r="AS332" s="36"/>
      <c r="AT332" s="36"/>
      <c r="AU332" s="37">
        <v>4.5474735088646412E-13</v>
      </c>
      <c r="AV332" s="37"/>
      <c r="AW332" s="37"/>
      <c r="AX332" s="37"/>
      <c r="AY332" s="37"/>
      <c r="AZ332" s="37"/>
      <c r="BA332" s="37">
        <v>4.5474735088646412E-13</v>
      </c>
    </row>
    <row r="333" spans="23:53" x14ac:dyDescent="0.3">
      <c r="Y333">
        <v>3</v>
      </c>
      <c r="Z333" s="57">
        <v>44280</v>
      </c>
      <c r="AA333" t="s">
        <v>321</v>
      </c>
      <c r="AB333" s="18">
        <v>0</v>
      </c>
      <c r="AC333" s="18"/>
      <c r="AD333" s="18"/>
      <c r="AE333" s="18"/>
      <c r="AF333" s="18"/>
      <c r="AG333" s="18"/>
      <c r="AH333" s="18">
        <v>0</v>
      </c>
      <c r="AR333" t="s">
        <v>469</v>
      </c>
      <c r="AS333" t="s">
        <v>1763</v>
      </c>
      <c r="AT333" t="s">
        <v>1763</v>
      </c>
      <c r="AU333" s="18"/>
      <c r="AV333" s="18"/>
      <c r="AW333" s="18"/>
      <c r="AX333" s="18"/>
      <c r="AY333" s="18">
        <v>0</v>
      </c>
      <c r="AZ333" s="18"/>
      <c r="BA333" s="18">
        <v>0</v>
      </c>
    </row>
    <row r="334" spans="23:53" x14ac:dyDescent="0.3">
      <c r="Y334">
        <v>10</v>
      </c>
      <c r="Z334" s="57">
        <v>44484</v>
      </c>
      <c r="AA334" t="s">
        <v>419</v>
      </c>
      <c r="AB334" s="18">
        <v>0</v>
      </c>
      <c r="AC334" s="18"/>
      <c r="AD334" s="18"/>
      <c r="AE334" s="18"/>
      <c r="AF334" s="18"/>
      <c r="AG334" s="18"/>
      <c r="AH334" s="18">
        <v>0</v>
      </c>
      <c r="AR334" s="36" t="s">
        <v>483</v>
      </c>
      <c r="AS334" s="36"/>
      <c r="AT334" s="36"/>
      <c r="AU334" s="37"/>
      <c r="AV334" s="37"/>
      <c r="AW334" s="37"/>
      <c r="AX334" s="37"/>
      <c r="AY334" s="37">
        <v>0</v>
      </c>
      <c r="AZ334" s="37"/>
      <c r="BA334" s="37">
        <v>0</v>
      </c>
    </row>
    <row r="335" spans="23:53" x14ac:dyDescent="0.3">
      <c r="X335">
        <v>2023</v>
      </c>
      <c r="Y335">
        <v>1</v>
      </c>
      <c r="Z335" s="57">
        <v>44937</v>
      </c>
      <c r="AA335" t="s">
        <v>1177</v>
      </c>
      <c r="AB335" s="18">
        <v>0</v>
      </c>
      <c r="AC335" s="18"/>
      <c r="AD335" s="18"/>
      <c r="AE335" s="18"/>
      <c r="AF335" s="18"/>
      <c r="AG335" s="18"/>
      <c r="AH335" s="18">
        <v>0</v>
      </c>
      <c r="AR335" t="s">
        <v>491</v>
      </c>
      <c r="AS335">
        <v>2021</v>
      </c>
      <c r="AT335">
        <v>11</v>
      </c>
      <c r="AU335" s="18">
        <v>0</v>
      </c>
      <c r="AV335" s="18"/>
      <c r="AW335" s="18"/>
      <c r="AX335" s="18"/>
      <c r="AY335" s="18"/>
      <c r="AZ335" s="18"/>
      <c r="BA335" s="18">
        <v>0</v>
      </c>
    </row>
    <row r="336" spans="23:53" x14ac:dyDescent="0.3">
      <c r="Y336">
        <v>3</v>
      </c>
      <c r="Z336" t="s">
        <v>1330</v>
      </c>
      <c r="AA336" t="s">
        <v>1329</v>
      </c>
      <c r="AB336" s="18">
        <v>0</v>
      </c>
      <c r="AC336" s="18"/>
      <c r="AD336" s="18"/>
      <c r="AE336" s="18"/>
      <c r="AF336" s="18"/>
      <c r="AG336" s="18"/>
      <c r="AH336" s="18">
        <v>0</v>
      </c>
      <c r="AS336">
        <v>2022</v>
      </c>
      <c r="AT336">
        <v>2</v>
      </c>
      <c r="AU336" s="18">
        <v>0</v>
      </c>
      <c r="AV336" s="18"/>
      <c r="AW336" s="18"/>
      <c r="AX336" s="18"/>
      <c r="AY336" s="18"/>
      <c r="AZ336" s="18"/>
      <c r="BA336" s="18">
        <v>0</v>
      </c>
    </row>
    <row r="337" spans="25:53" x14ac:dyDescent="0.3">
      <c r="Z337" t="s">
        <v>1340</v>
      </c>
      <c r="AA337" t="s">
        <v>1341</v>
      </c>
      <c r="AB337" s="18">
        <v>0</v>
      </c>
      <c r="AC337" s="18"/>
      <c r="AD337" s="18"/>
      <c r="AE337" s="18"/>
      <c r="AF337" s="18"/>
      <c r="AG337" s="18"/>
      <c r="AH337" s="18">
        <v>0</v>
      </c>
      <c r="AT337">
        <v>3</v>
      </c>
      <c r="AU337" s="18">
        <v>0</v>
      </c>
      <c r="AV337" s="18"/>
      <c r="AW337" s="18"/>
      <c r="AX337" s="18"/>
      <c r="AY337" s="18"/>
      <c r="AZ337" s="18"/>
      <c r="BA337" s="18">
        <v>0</v>
      </c>
    </row>
    <row r="338" spans="25:53" x14ac:dyDescent="0.3">
      <c r="Y338">
        <v>5</v>
      </c>
      <c r="Z338" s="57">
        <v>45054</v>
      </c>
      <c r="AA338" t="s">
        <v>1540</v>
      </c>
      <c r="AB338" s="18">
        <v>0</v>
      </c>
      <c r="AC338" s="18"/>
      <c r="AD338" s="18"/>
      <c r="AE338" s="18"/>
      <c r="AF338" s="18"/>
      <c r="AG338" s="18"/>
      <c r="AH338" s="18">
        <v>0</v>
      </c>
      <c r="AT338">
        <v>5</v>
      </c>
      <c r="AU338" s="18">
        <v>0</v>
      </c>
      <c r="AV338" s="18"/>
      <c r="AW338" s="18"/>
      <c r="AX338" s="18"/>
      <c r="AY338" s="18"/>
      <c r="AZ338" s="18"/>
      <c r="BA338" s="18">
        <v>0</v>
      </c>
    </row>
    <row r="339" spans="25:53" x14ac:dyDescent="0.3">
      <c r="Z339" s="57">
        <v>45066</v>
      </c>
      <c r="AA339" t="s">
        <v>1557</v>
      </c>
      <c r="AB339" s="18">
        <v>0</v>
      </c>
      <c r="AC339" s="18"/>
      <c r="AD339" s="18"/>
      <c r="AE339" s="18"/>
      <c r="AF339" s="18"/>
      <c r="AG339" s="18"/>
      <c r="AH339" s="18">
        <v>0</v>
      </c>
      <c r="AT339">
        <v>6</v>
      </c>
      <c r="AU339" s="18">
        <v>0</v>
      </c>
      <c r="AV339" s="18"/>
      <c r="AW339" s="18"/>
      <c r="AX339" s="18"/>
      <c r="AY339" s="18"/>
      <c r="AZ339" s="18"/>
      <c r="BA339" s="18">
        <v>0</v>
      </c>
    </row>
    <row r="340" spans="25:53" x14ac:dyDescent="0.3">
      <c r="Z340" s="57">
        <v>45071</v>
      </c>
      <c r="AA340" t="s">
        <v>1557</v>
      </c>
      <c r="AB340" s="18">
        <v>0</v>
      </c>
      <c r="AC340" s="18"/>
      <c r="AD340" s="18"/>
      <c r="AE340" s="18"/>
      <c r="AF340" s="18"/>
      <c r="AG340" s="18"/>
      <c r="AH340" s="18">
        <v>0</v>
      </c>
      <c r="AT340">
        <v>7</v>
      </c>
      <c r="AU340" s="18">
        <v>0</v>
      </c>
      <c r="AV340" s="18"/>
      <c r="AW340" s="18"/>
      <c r="AX340" s="18"/>
      <c r="AY340" s="18"/>
      <c r="AZ340" s="18"/>
      <c r="BA340" s="18">
        <v>0</v>
      </c>
    </row>
    <row r="341" spans="25:53" x14ac:dyDescent="0.3">
      <c r="Z341" s="57">
        <v>45072</v>
      </c>
      <c r="AA341" t="s">
        <v>1561</v>
      </c>
      <c r="AB341" s="18">
        <v>0</v>
      </c>
      <c r="AC341" s="18"/>
      <c r="AD341" s="18"/>
      <c r="AE341" s="18"/>
      <c r="AF341" s="18"/>
      <c r="AG341" s="18"/>
      <c r="AH341" s="18">
        <v>0</v>
      </c>
      <c r="AT341">
        <v>8</v>
      </c>
      <c r="AU341" s="18">
        <v>0</v>
      </c>
      <c r="AV341" s="18"/>
      <c r="AW341" s="18"/>
      <c r="AX341" s="18"/>
      <c r="AY341" s="18"/>
      <c r="AZ341" s="18"/>
      <c r="BA341" s="18">
        <v>0</v>
      </c>
    </row>
    <row r="342" spans="25:53" x14ac:dyDescent="0.3">
      <c r="Z342" s="57">
        <v>45076</v>
      </c>
      <c r="AA342" t="s">
        <v>1561</v>
      </c>
      <c r="AB342" s="18">
        <v>0</v>
      </c>
      <c r="AC342" s="18"/>
      <c r="AD342" s="18"/>
      <c r="AE342" s="18"/>
      <c r="AF342" s="18"/>
      <c r="AG342" s="18"/>
      <c r="AH342" s="18">
        <v>0</v>
      </c>
      <c r="AT342">
        <v>9</v>
      </c>
      <c r="AU342" s="18">
        <v>0</v>
      </c>
      <c r="AV342" s="18"/>
      <c r="AW342" s="18"/>
      <c r="AX342" s="18"/>
      <c r="AY342" s="18"/>
      <c r="AZ342" s="18"/>
      <c r="BA342" s="18">
        <v>0</v>
      </c>
    </row>
    <row r="343" spans="25:53" x14ac:dyDescent="0.3">
      <c r="Y343">
        <v>6</v>
      </c>
      <c r="Z343" s="57">
        <v>45084</v>
      </c>
      <c r="AA343" t="s">
        <v>1617</v>
      </c>
      <c r="AB343" s="18">
        <v>0</v>
      </c>
      <c r="AC343" s="18"/>
      <c r="AD343" s="18"/>
      <c r="AE343" s="18"/>
      <c r="AF343" s="18"/>
      <c r="AG343" s="18"/>
      <c r="AH343" s="18">
        <v>0</v>
      </c>
      <c r="AT343">
        <v>10</v>
      </c>
      <c r="AU343" s="18">
        <v>0</v>
      </c>
      <c r="AV343" s="18"/>
      <c r="AW343" s="18"/>
      <c r="AX343" s="18"/>
      <c r="AY343" s="18"/>
      <c r="AZ343" s="18"/>
      <c r="BA343" s="18">
        <v>0</v>
      </c>
    </row>
    <row r="344" spans="25:53" x14ac:dyDescent="0.3">
      <c r="Z344" s="57">
        <v>45092</v>
      </c>
      <c r="AA344" t="s">
        <v>1628</v>
      </c>
      <c r="AB344" s="18">
        <v>0</v>
      </c>
      <c r="AC344" s="18"/>
      <c r="AD344" s="18"/>
      <c r="AE344" s="18"/>
      <c r="AF344" s="18"/>
      <c r="AG344" s="18"/>
      <c r="AH344" s="18">
        <v>0</v>
      </c>
      <c r="AT344">
        <v>11</v>
      </c>
      <c r="AU344" s="18">
        <v>0</v>
      </c>
      <c r="AV344" s="18"/>
      <c r="AW344" s="18"/>
      <c r="AX344" s="18"/>
      <c r="AY344" s="18"/>
      <c r="AZ344" s="18"/>
      <c r="BA344" s="18">
        <v>0</v>
      </c>
    </row>
    <row r="345" spans="25:53" x14ac:dyDescent="0.3">
      <c r="Z345" s="57">
        <v>45101</v>
      </c>
      <c r="AA345" t="s">
        <v>1650</v>
      </c>
      <c r="AB345" s="18">
        <v>0</v>
      </c>
      <c r="AC345" s="18"/>
      <c r="AD345" s="18"/>
      <c r="AE345" s="18"/>
      <c r="AF345" s="18"/>
      <c r="AG345" s="18"/>
      <c r="AH345" s="18">
        <v>0</v>
      </c>
      <c r="AT345">
        <v>12</v>
      </c>
      <c r="AU345" s="18">
        <v>0</v>
      </c>
      <c r="AV345" s="18"/>
      <c r="AW345" s="18"/>
      <c r="AX345" s="18"/>
      <c r="AY345" s="18"/>
      <c r="AZ345" s="18"/>
      <c r="BA345" s="18">
        <v>0</v>
      </c>
    </row>
    <row r="346" spans="25:53" x14ac:dyDescent="0.3">
      <c r="Y346">
        <v>7</v>
      </c>
      <c r="Z346" s="57">
        <v>45113</v>
      </c>
      <c r="AA346" t="s">
        <v>1714</v>
      </c>
      <c r="AB346" s="18">
        <v>0</v>
      </c>
      <c r="AC346" s="18"/>
      <c r="AD346" s="18"/>
      <c r="AE346" s="18"/>
      <c r="AF346" s="18"/>
      <c r="AG346" s="18"/>
      <c r="AH346" s="18">
        <v>0</v>
      </c>
      <c r="AT346">
        <v>4</v>
      </c>
      <c r="AU346" s="18">
        <v>0</v>
      </c>
      <c r="AV346" s="18"/>
      <c r="AW346" s="18"/>
      <c r="AX346" s="18"/>
      <c r="AY346" s="18"/>
      <c r="AZ346" s="18"/>
      <c r="BA346" s="18">
        <v>0</v>
      </c>
    </row>
    <row r="347" spans="25:53" x14ac:dyDescent="0.3">
      <c r="Y347">
        <v>8</v>
      </c>
      <c r="Z347" s="57">
        <v>45139</v>
      </c>
      <c r="AA347" t="s">
        <v>1794</v>
      </c>
      <c r="AB347" s="18">
        <v>0</v>
      </c>
      <c r="AC347" s="18"/>
      <c r="AD347" s="18"/>
      <c r="AE347" s="18"/>
      <c r="AF347" s="18"/>
      <c r="AG347" s="18"/>
      <c r="AH347" s="18">
        <v>0</v>
      </c>
      <c r="AS347">
        <v>2023</v>
      </c>
      <c r="AT347">
        <v>1</v>
      </c>
      <c r="AU347" s="18">
        <v>0</v>
      </c>
      <c r="AV347" s="18"/>
      <c r="AW347" s="18"/>
      <c r="AX347" s="18"/>
      <c r="AY347" s="18"/>
      <c r="AZ347" s="18"/>
      <c r="BA347" s="18">
        <v>0</v>
      </c>
    </row>
    <row r="348" spans="25:53" x14ac:dyDescent="0.3">
      <c r="Z348" s="57">
        <v>45145</v>
      </c>
      <c r="AA348" t="s">
        <v>1804</v>
      </c>
      <c r="AB348" s="18">
        <v>0</v>
      </c>
      <c r="AC348" s="18"/>
      <c r="AD348" s="18"/>
      <c r="AE348" s="18"/>
      <c r="AF348" s="18"/>
      <c r="AG348" s="18"/>
      <c r="AH348" s="18">
        <v>0</v>
      </c>
      <c r="AT348">
        <v>2</v>
      </c>
      <c r="AU348" s="18">
        <v>0</v>
      </c>
      <c r="AV348" s="18"/>
      <c r="AW348" s="18"/>
      <c r="AX348" s="18"/>
      <c r="AY348" s="18"/>
      <c r="AZ348" s="18"/>
      <c r="BA348" s="18">
        <v>0</v>
      </c>
    </row>
    <row r="349" spans="25:53" x14ac:dyDescent="0.3">
      <c r="Z349" s="57">
        <v>45155</v>
      </c>
      <c r="AA349" t="s">
        <v>1820</v>
      </c>
      <c r="AB349" s="18">
        <v>0</v>
      </c>
      <c r="AC349" s="18"/>
      <c r="AD349" s="18"/>
      <c r="AE349" s="18"/>
      <c r="AF349" s="18"/>
      <c r="AG349" s="18"/>
      <c r="AH349" s="18">
        <v>0</v>
      </c>
      <c r="AT349">
        <v>3</v>
      </c>
      <c r="AU349" s="18">
        <v>0</v>
      </c>
      <c r="AV349" s="18"/>
      <c r="AW349" s="18"/>
      <c r="AX349" s="18"/>
      <c r="AY349" s="18"/>
      <c r="AZ349" s="18"/>
      <c r="BA349" s="18">
        <v>0</v>
      </c>
    </row>
    <row r="350" spans="25:53" x14ac:dyDescent="0.3">
      <c r="Y350">
        <v>9</v>
      </c>
      <c r="Z350" s="57">
        <v>45175</v>
      </c>
      <c r="AA350" t="s">
        <v>1885</v>
      </c>
      <c r="AB350" s="18">
        <v>0</v>
      </c>
      <c r="AC350" s="18"/>
      <c r="AD350" s="18"/>
      <c r="AE350" s="18"/>
      <c r="AF350" s="18"/>
      <c r="AG350" s="18"/>
      <c r="AH350" s="18">
        <v>0</v>
      </c>
      <c r="AT350">
        <v>5</v>
      </c>
      <c r="AU350" s="18">
        <v>0</v>
      </c>
      <c r="AV350" s="18"/>
      <c r="AW350" s="18"/>
      <c r="AX350" s="18"/>
      <c r="AY350" s="18"/>
      <c r="AZ350" s="18"/>
      <c r="BA350" s="18">
        <v>0</v>
      </c>
    </row>
    <row r="351" spans="25:53" x14ac:dyDescent="0.3">
      <c r="AA351" t="s">
        <v>1887</v>
      </c>
      <c r="AB351" s="18">
        <v>0</v>
      </c>
      <c r="AC351" s="18"/>
      <c r="AD351" s="18"/>
      <c r="AE351" s="18"/>
      <c r="AF351" s="18"/>
      <c r="AG351" s="18"/>
      <c r="AH351" s="18">
        <v>0</v>
      </c>
      <c r="AT351">
        <v>6</v>
      </c>
      <c r="AU351" s="18">
        <v>0</v>
      </c>
      <c r="AV351" s="18"/>
      <c r="AW351" s="18"/>
      <c r="AX351" s="18"/>
      <c r="AY351" s="18"/>
      <c r="AZ351" s="18"/>
      <c r="BA351" s="18">
        <v>0</v>
      </c>
    </row>
    <row r="352" spans="25:53" x14ac:dyDescent="0.3">
      <c r="Z352" s="57">
        <v>45183</v>
      </c>
      <c r="AA352" t="s">
        <v>1899</v>
      </c>
      <c r="AB352" s="18">
        <v>0</v>
      </c>
      <c r="AC352" s="18"/>
      <c r="AD352" s="18"/>
      <c r="AE352" s="18"/>
      <c r="AF352" s="18"/>
      <c r="AG352" s="18"/>
      <c r="AH352" s="18">
        <v>0</v>
      </c>
      <c r="AT352">
        <v>7</v>
      </c>
      <c r="AU352" s="18">
        <v>0</v>
      </c>
      <c r="AV352" s="18"/>
      <c r="AW352" s="18"/>
      <c r="AX352" s="18"/>
      <c r="AY352" s="18"/>
      <c r="AZ352" s="18"/>
      <c r="BA352" s="18">
        <v>0</v>
      </c>
    </row>
    <row r="353" spans="24:53" x14ac:dyDescent="0.3">
      <c r="Z353" t="s">
        <v>1915</v>
      </c>
      <c r="AA353" t="s">
        <v>1914</v>
      </c>
      <c r="AB353" s="18">
        <v>0</v>
      </c>
      <c r="AC353" s="18"/>
      <c r="AD353" s="18"/>
      <c r="AE353" s="18"/>
      <c r="AF353" s="18"/>
      <c r="AG353" s="18"/>
      <c r="AH353" s="18">
        <v>0</v>
      </c>
      <c r="AT353">
        <v>8</v>
      </c>
      <c r="AU353" s="18">
        <v>0</v>
      </c>
      <c r="AV353" s="18"/>
      <c r="AW353" s="18"/>
      <c r="AX353" s="18"/>
      <c r="AY353" s="18"/>
      <c r="AZ353" s="18"/>
      <c r="BA353" s="18">
        <v>0</v>
      </c>
    </row>
    <row r="354" spans="24:53" x14ac:dyDescent="0.3">
      <c r="Y354">
        <v>10</v>
      </c>
      <c r="Z354" s="57">
        <v>45201</v>
      </c>
      <c r="AA354" t="s">
        <v>1988</v>
      </c>
      <c r="AB354" s="18">
        <v>0</v>
      </c>
      <c r="AC354" s="18"/>
      <c r="AD354" s="18"/>
      <c r="AE354" s="18"/>
      <c r="AF354" s="18"/>
      <c r="AG354" s="18"/>
      <c r="AH354" s="18">
        <v>0</v>
      </c>
      <c r="AT354">
        <v>9</v>
      </c>
      <c r="AU354" s="18">
        <v>0</v>
      </c>
      <c r="AV354" s="18"/>
      <c r="AW354" s="18"/>
      <c r="AX354" s="18"/>
      <c r="AY354" s="18"/>
      <c r="AZ354" s="18"/>
      <c r="BA354" s="18">
        <v>0</v>
      </c>
    </row>
    <row r="355" spans="24:53" x14ac:dyDescent="0.3">
      <c r="Z355" t="s">
        <v>2004</v>
      </c>
      <c r="AA355" t="s">
        <v>2005</v>
      </c>
      <c r="AB355" s="18">
        <v>0</v>
      </c>
      <c r="AC355" s="18"/>
      <c r="AD355" s="18"/>
      <c r="AE355" s="18"/>
      <c r="AF355" s="18"/>
      <c r="AG355" s="18"/>
      <c r="AH355" s="18">
        <v>0</v>
      </c>
      <c r="AT355">
        <v>10</v>
      </c>
      <c r="AU355" s="18">
        <v>0</v>
      </c>
      <c r="AV355" s="18"/>
      <c r="AW355" s="18"/>
      <c r="AX355" s="18"/>
      <c r="AY355" s="18"/>
      <c r="AZ355" s="18"/>
      <c r="BA355" s="18">
        <v>0</v>
      </c>
    </row>
    <row r="356" spans="24:53" x14ac:dyDescent="0.3">
      <c r="Y356">
        <v>11</v>
      </c>
      <c r="Z356" s="57">
        <v>45239</v>
      </c>
      <c r="AA356" t="s">
        <v>2154</v>
      </c>
      <c r="AB356" s="18">
        <v>0</v>
      </c>
      <c r="AC356" s="18"/>
      <c r="AD356" s="18"/>
      <c r="AE356" s="18"/>
      <c r="AF356" s="18"/>
      <c r="AG356" s="18"/>
      <c r="AH356" s="18">
        <v>0</v>
      </c>
      <c r="AT356">
        <v>11</v>
      </c>
      <c r="AU356" s="18">
        <v>0</v>
      </c>
      <c r="AV356" s="18"/>
      <c r="AW356" s="18"/>
      <c r="AX356" s="18"/>
      <c r="AY356" s="18"/>
      <c r="AZ356" s="18"/>
      <c r="BA356" s="18">
        <v>0</v>
      </c>
    </row>
    <row r="357" spans="24:53" x14ac:dyDescent="0.3">
      <c r="Z357" s="57">
        <v>45245</v>
      </c>
      <c r="AA357" t="s">
        <v>2158</v>
      </c>
      <c r="AB357" s="18">
        <v>0</v>
      </c>
      <c r="AC357" s="18"/>
      <c r="AD357" s="18"/>
      <c r="AE357" s="18"/>
      <c r="AF357" s="18"/>
      <c r="AG357" s="18"/>
      <c r="AH357" s="18">
        <v>0</v>
      </c>
      <c r="AT357">
        <v>12</v>
      </c>
      <c r="AU357" s="18">
        <v>2423</v>
      </c>
      <c r="AV357" s="18"/>
      <c r="AW357" s="18"/>
      <c r="AX357" s="18"/>
      <c r="AY357" s="18"/>
      <c r="AZ357" s="18"/>
      <c r="BA357" s="18">
        <v>2423</v>
      </c>
    </row>
    <row r="358" spans="24:53" x14ac:dyDescent="0.3">
      <c r="Z358" s="57">
        <v>45251</v>
      </c>
      <c r="AA358" t="s">
        <v>2164</v>
      </c>
      <c r="AB358" s="18">
        <v>0</v>
      </c>
      <c r="AC358" s="18"/>
      <c r="AD358" s="18"/>
      <c r="AE358" s="18"/>
      <c r="AF358" s="18"/>
      <c r="AG358" s="18"/>
      <c r="AH358" s="18">
        <v>0</v>
      </c>
      <c r="AT358">
        <v>4</v>
      </c>
      <c r="AU358" s="18">
        <v>0</v>
      </c>
      <c r="AV358" s="18"/>
      <c r="AW358" s="18"/>
      <c r="AX358" s="18"/>
      <c r="AY358" s="18"/>
      <c r="AZ358" s="18"/>
      <c r="BA358" s="18">
        <v>0</v>
      </c>
    </row>
    <row r="359" spans="24:53" x14ac:dyDescent="0.3">
      <c r="Y359">
        <v>12</v>
      </c>
      <c r="Z359" s="57">
        <v>45262</v>
      </c>
      <c r="AA359" t="s">
        <v>2179</v>
      </c>
      <c r="AB359" s="18">
        <v>0</v>
      </c>
      <c r="AC359" s="18"/>
      <c r="AD359" s="18"/>
      <c r="AE359" s="18"/>
      <c r="AF359" s="18"/>
      <c r="AG359" s="18"/>
      <c r="AH359" s="18">
        <v>0</v>
      </c>
      <c r="AS359">
        <v>2024</v>
      </c>
      <c r="AT359">
        <v>1</v>
      </c>
      <c r="AU359" s="18">
        <v>5088.5</v>
      </c>
      <c r="AV359" s="18"/>
      <c r="AW359" s="18"/>
      <c r="AX359" s="18"/>
      <c r="AY359" s="18"/>
      <c r="AZ359" s="18"/>
      <c r="BA359" s="18">
        <v>5088.5</v>
      </c>
    </row>
    <row r="360" spans="24:53" x14ac:dyDescent="0.3">
      <c r="Z360" s="57">
        <v>45276</v>
      </c>
      <c r="AA360" t="s">
        <v>2194</v>
      </c>
      <c r="AB360" s="18">
        <v>0</v>
      </c>
      <c r="AC360" s="18"/>
      <c r="AD360" s="18"/>
      <c r="AE360" s="18"/>
      <c r="AF360" s="18"/>
      <c r="AG360" s="18"/>
      <c r="AH360" s="18">
        <v>0</v>
      </c>
      <c r="AT360">
        <v>2</v>
      </c>
      <c r="AU360" s="18">
        <v>2405.1</v>
      </c>
      <c r="AV360" s="18"/>
      <c r="AW360" s="18"/>
      <c r="AX360" s="18"/>
      <c r="AY360" s="18"/>
      <c r="AZ360" s="18"/>
      <c r="BA360" s="18">
        <v>2405.1</v>
      </c>
    </row>
    <row r="361" spans="24:53" x14ac:dyDescent="0.3">
      <c r="Y361">
        <v>4</v>
      </c>
      <c r="Z361" t="s">
        <v>1458</v>
      </c>
      <c r="AA361" t="s">
        <v>1456</v>
      </c>
      <c r="AB361" s="18">
        <v>0</v>
      </c>
      <c r="AC361" s="18"/>
      <c r="AD361" s="18"/>
      <c r="AE361" s="18"/>
      <c r="AF361" s="18"/>
      <c r="AG361" s="18"/>
      <c r="AH361" s="18">
        <v>0</v>
      </c>
      <c r="AT361">
        <v>3</v>
      </c>
      <c r="AU361" s="18">
        <v>5278.5</v>
      </c>
      <c r="AV361" s="18"/>
      <c r="AW361" s="18"/>
      <c r="AX361" s="18"/>
      <c r="AY361" s="18"/>
      <c r="AZ361" s="18"/>
      <c r="BA361" s="18">
        <v>5278.5</v>
      </c>
    </row>
    <row r="362" spans="24:53" x14ac:dyDescent="0.3">
      <c r="X362">
        <v>2024</v>
      </c>
      <c r="Y362">
        <v>1</v>
      </c>
      <c r="Z362" s="57">
        <v>45294</v>
      </c>
      <c r="AA362" t="s">
        <v>2268</v>
      </c>
      <c r="AB362" s="18">
        <v>0</v>
      </c>
      <c r="AC362" s="18"/>
      <c r="AD362" s="18"/>
      <c r="AE362" s="18"/>
      <c r="AF362" s="18"/>
      <c r="AG362" s="18"/>
      <c r="AH362" s="18">
        <v>0</v>
      </c>
      <c r="AT362">
        <v>5</v>
      </c>
      <c r="AU362" s="18">
        <v>5132.5</v>
      </c>
      <c r="AV362" s="18"/>
      <c r="AW362" s="18"/>
      <c r="AX362" s="18"/>
      <c r="AY362" s="18"/>
      <c r="AZ362" s="18"/>
      <c r="BA362" s="18">
        <v>5132.5</v>
      </c>
    </row>
    <row r="363" spans="24:53" x14ac:dyDescent="0.3">
      <c r="Y363">
        <v>3</v>
      </c>
      <c r="Z363" s="57">
        <v>45367</v>
      </c>
      <c r="AA363" t="s">
        <v>2438</v>
      </c>
      <c r="AB363" s="18">
        <v>0</v>
      </c>
      <c r="AC363" s="18"/>
      <c r="AD363" s="18"/>
      <c r="AE363" s="18"/>
      <c r="AF363" s="18"/>
      <c r="AG363" s="18"/>
      <c r="AH363" s="18">
        <v>0</v>
      </c>
      <c r="AT363">
        <v>6</v>
      </c>
      <c r="AU363" s="18">
        <v>2410</v>
      </c>
      <c r="AV363" s="18"/>
      <c r="AW363" s="18"/>
      <c r="AX363" s="18"/>
      <c r="AY363" s="18"/>
      <c r="AZ363" s="18"/>
      <c r="BA363" s="18">
        <v>2410</v>
      </c>
    </row>
    <row r="364" spans="24:53" x14ac:dyDescent="0.3">
      <c r="Y364">
        <v>5</v>
      </c>
      <c r="Z364" s="57">
        <v>45415</v>
      </c>
      <c r="AA364" t="s">
        <v>2549</v>
      </c>
      <c r="AB364" s="18">
        <v>0</v>
      </c>
      <c r="AC364" s="18"/>
      <c r="AD364" s="18"/>
      <c r="AE364" s="18"/>
      <c r="AF364" s="18"/>
      <c r="AG364" s="18"/>
      <c r="AH364" s="18">
        <v>0</v>
      </c>
      <c r="AT364">
        <v>4</v>
      </c>
      <c r="AU364" s="18">
        <v>5846</v>
      </c>
      <c r="AV364" s="18"/>
      <c r="AW364" s="18"/>
      <c r="AX364" s="18"/>
      <c r="AY364" s="18"/>
      <c r="AZ364" s="18"/>
      <c r="BA364" s="18">
        <v>5846</v>
      </c>
    </row>
    <row r="365" spans="24:53" x14ac:dyDescent="0.3">
      <c r="Z365" s="57">
        <v>45440</v>
      </c>
      <c r="AA365" t="s">
        <v>2569</v>
      </c>
      <c r="AB365" s="18">
        <v>0</v>
      </c>
      <c r="AC365" s="18"/>
      <c r="AD365" s="18"/>
      <c r="AE365" s="18"/>
      <c r="AF365" s="18"/>
      <c r="AG365" s="18"/>
      <c r="AH365" s="18">
        <v>0</v>
      </c>
      <c r="AR365" s="36" t="s">
        <v>500</v>
      </c>
      <c r="AS365" s="36"/>
      <c r="AT365" s="36"/>
      <c r="AU365" s="37">
        <v>28583.599999999999</v>
      </c>
      <c r="AV365" s="37"/>
      <c r="AW365" s="37"/>
      <c r="AX365" s="37"/>
      <c r="AY365" s="37"/>
      <c r="AZ365" s="37"/>
      <c r="BA365" s="37">
        <v>28583.599999999999</v>
      </c>
    </row>
    <row r="366" spans="24:53" x14ac:dyDescent="0.3">
      <c r="Y366">
        <v>6</v>
      </c>
      <c r="Z366" s="57">
        <v>45447</v>
      </c>
      <c r="AA366" t="s">
        <v>2637</v>
      </c>
      <c r="AB366" s="18">
        <v>0</v>
      </c>
      <c r="AC366" s="18"/>
      <c r="AD366" s="18"/>
      <c r="AE366" s="18"/>
      <c r="AF366" s="18"/>
      <c r="AG366" s="18"/>
      <c r="AH366" s="18">
        <v>0</v>
      </c>
      <c r="AR366" t="s">
        <v>637</v>
      </c>
      <c r="AS366">
        <v>2022</v>
      </c>
      <c r="AT366">
        <v>3</v>
      </c>
      <c r="AU366" s="18">
        <v>0</v>
      </c>
      <c r="AV366" s="18"/>
      <c r="AW366" s="18"/>
      <c r="AX366" s="18"/>
      <c r="AY366" s="18"/>
      <c r="AZ366" s="18"/>
      <c r="BA366" s="18">
        <v>0</v>
      </c>
    </row>
    <row r="367" spans="24:53" x14ac:dyDescent="0.3">
      <c r="Y367">
        <v>8</v>
      </c>
      <c r="Z367" s="57">
        <v>45526</v>
      </c>
      <c r="AA367" t="s">
        <v>2870</v>
      </c>
      <c r="AB367" s="18">
        <v>0</v>
      </c>
      <c r="AC367" s="18"/>
      <c r="AD367" s="18"/>
      <c r="AE367" s="18"/>
      <c r="AF367" s="18"/>
      <c r="AG367" s="18"/>
      <c r="AH367" s="18">
        <v>0</v>
      </c>
      <c r="AT367">
        <v>5</v>
      </c>
      <c r="AU367" s="18">
        <v>0</v>
      </c>
      <c r="AV367" s="18"/>
      <c r="AW367" s="18"/>
      <c r="AX367" s="18"/>
      <c r="AY367" s="18"/>
      <c r="AZ367" s="18"/>
      <c r="BA367" s="18">
        <v>0</v>
      </c>
    </row>
    <row r="368" spans="24:53" x14ac:dyDescent="0.3">
      <c r="Y368">
        <v>4</v>
      </c>
      <c r="Z368" s="57">
        <v>45406</v>
      </c>
      <c r="AA368" t="s">
        <v>2517</v>
      </c>
      <c r="AB368" s="18">
        <v>0</v>
      </c>
      <c r="AC368" s="18"/>
      <c r="AD368" s="18"/>
      <c r="AE368" s="18"/>
      <c r="AF368" s="18"/>
      <c r="AG368" s="18"/>
      <c r="AH368" s="18">
        <v>0</v>
      </c>
      <c r="AT368">
        <v>6</v>
      </c>
      <c r="AU368" s="18">
        <v>0</v>
      </c>
      <c r="AV368" s="18"/>
      <c r="AW368" s="18"/>
      <c r="AX368" s="18"/>
      <c r="AY368" s="18"/>
      <c r="AZ368" s="18"/>
      <c r="BA368" s="18">
        <v>0</v>
      </c>
    </row>
    <row r="369" spans="23:53" x14ac:dyDescent="0.3">
      <c r="W369" s="36" t="s">
        <v>263</v>
      </c>
      <c r="X369" s="36"/>
      <c r="Y369" s="36"/>
      <c r="Z369" s="36"/>
      <c r="AA369" s="36"/>
      <c r="AB369" s="37">
        <v>0</v>
      </c>
      <c r="AC369" s="37"/>
      <c r="AD369" s="37"/>
      <c r="AE369" s="37"/>
      <c r="AF369" s="37"/>
      <c r="AG369" s="37"/>
      <c r="AH369" s="37">
        <v>0</v>
      </c>
      <c r="AT369">
        <v>9</v>
      </c>
      <c r="AU369" s="18">
        <v>0</v>
      </c>
      <c r="AV369" s="18"/>
      <c r="AW369" s="18"/>
      <c r="AX369" s="18"/>
      <c r="AY369" s="18"/>
      <c r="AZ369" s="18"/>
      <c r="BA369" s="18">
        <v>0</v>
      </c>
    </row>
    <row r="370" spans="23:53" x14ac:dyDescent="0.3">
      <c r="W370" t="s">
        <v>280</v>
      </c>
      <c r="X370">
        <v>2021</v>
      </c>
      <c r="Y370">
        <v>2</v>
      </c>
      <c r="Z370" s="57">
        <v>44253</v>
      </c>
      <c r="AA370" t="s">
        <v>278</v>
      </c>
      <c r="AB370" s="18">
        <v>0</v>
      </c>
      <c r="AC370" s="18"/>
      <c r="AD370" s="18"/>
      <c r="AE370" s="18"/>
      <c r="AF370" s="18"/>
      <c r="AG370" s="18"/>
      <c r="AH370" s="18">
        <v>0</v>
      </c>
      <c r="AT370">
        <v>11</v>
      </c>
      <c r="AU370" s="18">
        <v>0</v>
      </c>
      <c r="AV370" s="18"/>
      <c r="AW370" s="18"/>
      <c r="AX370" s="18"/>
      <c r="AY370" s="18"/>
      <c r="AZ370" s="18"/>
      <c r="BA370" s="18">
        <v>0</v>
      </c>
    </row>
    <row r="371" spans="23:53" x14ac:dyDescent="0.3">
      <c r="Y371">
        <v>4</v>
      </c>
      <c r="Z371" s="57">
        <v>44294</v>
      </c>
      <c r="AA371" t="s">
        <v>325</v>
      </c>
      <c r="AB371" s="18">
        <v>0</v>
      </c>
      <c r="AC371" s="18"/>
      <c r="AD371" s="18"/>
      <c r="AE371" s="18"/>
      <c r="AF371" s="18"/>
      <c r="AG371" s="18"/>
      <c r="AH371" s="18">
        <v>0</v>
      </c>
      <c r="AT371">
        <v>12</v>
      </c>
      <c r="AU371" s="18">
        <v>0</v>
      </c>
      <c r="AV371" s="18"/>
      <c r="AW371" s="18"/>
      <c r="AX371" s="18"/>
      <c r="AY371" s="18"/>
      <c r="AZ371" s="18"/>
      <c r="BA371" s="18">
        <v>0</v>
      </c>
    </row>
    <row r="372" spans="23:53" x14ac:dyDescent="0.3">
      <c r="W372" s="36" t="s">
        <v>281</v>
      </c>
      <c r="X372" s="36"/>
      <c r="Y372" s="36"/>
      <c r="Z372" s="36"/>
      <c r="AA372" s="36"/>
      <c r="AB372" s="37">
        <v>0</v>
      </c>
      <c r="AC372" s="37"/>
      <c r="AD372" s="37"/>
      <c r="AE372" s="37"/>
      <c r="AF372" s="37"/>
      <c r="AG372" s="37"/>
      <c r="AH372" s="37">
        <v>0</v>
      </c>
      <c r="AT372">
        <v>4</v>
      </c>
      <c r="AU372" s="18">
        <v>0</v>
      </c>
      <c r="AV372" s="18"/>
      <c r="AW372" s="18"/>
      <c r="AX372" s="18"/>
      <c r="AY372" s="18"/>
      <c r="AZ372" s="18"/>
      <c r="BA372" s="18">
        <v>0</v>
      </c>
    </row>
    <row r="373" spans="23:53" x14ac:dyDescent="0.3">
      <c r="W373" t="s">
        <v>289</v>
      </c>
      <c r="X373">
        <v>2021</v>
      </c>
      <c r="Y373">
        <v>3</v>
      </c>
      <c r="Z373" s="57">
        <v>44265</v>
      </c>
      <c r="AA373" t="s">
        <v>315</v>
      </c>
      <c r="AB373" s="18">
        <v>0</v>
      </c>
      <c r="AC373" s="18"/>
      <c r="AD373" s="18"/>
      <c r="AE373" s="18"/>
      <c r="AF373" s="18"/>
      <c r="AG373" s="18"/>
      <c r="AH373" s="18">
        <v>0</v>
      </c>
      <c r="AS373">
        <v>2023</v>
      </c>
      <c r="AT373">
        <v>1</v>
      </c>
      <c r="AU373" s="18">
        <v>0</v>
      </c>
      <c r="AV373" s="18"/>
      <c r="AW373" s="18"/>
      <c r="AX373" s="18"/>
      <c r="AY373" s="18"/>
      <c r="AZ373" s="18"/>
      <c r="BA373" s="18">
        <v>0</v>
      </c>
    </row>
    <row r="374" spans="23:53" x14ac:dyDescent="0.3">
      <c r="W374" s="36" t="s">
        <v>291</v>
      </c>
      <c r="X374" s="36"/>
      <c r="Y374" s="36"/>
      <c r="Z374" s="36"/>
      <c r="AA374" s="36"/>
      <c r="AB374" s="37">
        <v>0</v>
      </c>
      <c r="AC374" s="37"/>
      <c r="AD374" s="37"/>
      <c r="AE374" s="37"/>
      <c r="AF374" s="37"/>
      <c r="AG374" s="37"/>
      <c r="AH374" s="37">
        <v>0</v>
      </c>
      <c r="AT374">
        <v>2</v>
      </c>
      <c r="AU374" s="18">
        <v>0</v>
      </c>
      <c r="AV374" s="18"/>
      <c r="AW374" s="18"/>
      <c r="AX374" s="18"/>
      <c r="AY374" s="18"/>
      <c r="AZ374" s="18"/>
      <c r="BA374" s="18">
        <v>0</v>
      </c>
    </row>
    <row r="375" spans="23:53" x14ac:dyDescent="0.3">
      <c r="W375" t="s">
        <v>375</v>
      </c>
      <c r="X375">
        <v>2021</v>
      </c>
      <c r="Y375">
        <v>9</v>
      </c>
      <c r="Z375" s="57">
        <v>44460</v>
      </c>
      <c r="AA375" t="s">
        <v>373</v>
      </c>
      <c r="AB375" s="18">
        <v>0</v>
      </c>
      <c r="AC375" s="18"/>
      <c r="AD375" s="18"/>
      <c r="AE375" s="18"/>
      <c r="AF375" s="18"/>
      <c r="AG375" s="18"/>
      <c r="AH375" s="18">
        <v>0</v>
      </c>
      <c r="AT375">
        <v>3</v>
      </c>
      <c r="AU375" s="18">
        <v>0</v>
      </c>
      <c r="AV375" s="18"/>
      <c r="AW375" s="18"/>
      <c r="AX375" s="18"/>
      <c r="AY375" s="18"/>
      <c r="AZ375" s="18"/>
      <c r="BA375" s="18">
        <v>0</v>
      </c>
    </row>
    <row r="376" spans="23:53" x14ac:dyDescent="0.3">
      <c r="W376" s="36" t="s">
        <v>382</v>
      </c>
      <c r="X376" s="36"/>
      <c r="Y376" s="36"/>
      <c r="Z376" s="36"/>
      <c r="AA376" s="36"/>
      <c r="AB376" s="37">
        <v>0</v>
      </c>
      <c r="AC376" s="37"/>
      <c r="AD376" s="37"/>
      <c r="AE376" s="37"/>
      <c r="AF376" s="37"/>
      <c r="AG376" s="37"/>
      <c r="AH376" s="37">
        <v>0</v>
      </c>
      <c r="AT376">
        <v>7</v>
      </c>
      <c r="AU376" s="18">
        <v>0</v>
      </c>
      <c r="AV376" s="18"/>
      <c r="AW376" s="18"/>
      <c r="AX376" s="18"/>
      <c r="AY376" s="18"/>
      <c r="AZ376" s="18"/>
      <c r="BA376" s="18">
        <v>0</v>
      </c>
    </row>
    <row r="377" spans="23:53" x14ac:dyDescent="0.3">
      <c r="W377" t="s">
        <v>400</v>
      </c>
      <c r="X377">
        <v>2021</v>
      </c>
      <c r="Y377">
        <v>10</v>
      </c>
      <c r="Z377" s="57">
        <v>44471</v>
      </c>
      <c r="AA377" t="s">
        <v>398</v>
      </c>
      <c r="AB377" s="18">
        <v>0</v>
      </c>
      <c r="AC377" s="18"/>
      <c r="AD377" s="18"/>
      <c r="AE377" s="18"/>
      <c r="AF377" s="18"/>
      <c r="AG377" s="18"/>
      <c r="AH377" s="18">
        <v>0</v>
      </c>
      <c r="AT377">
        <v>9</v>
      </c>
      <c r="AU377" s="18">
        <v>0</v>
      </c>
      <c r="AV377" s="18"/>
      <c r="AW377" s="18"/>
      <c r="AX377" s="18"/>
      <c r="AY377" s="18"/>
      <c r="AZ377" s="18"/>
      <c r="BA377" s="18">
        <v>0</v>
      </c>
    </row>
    <row r="378" spans="23:53" x14ac:dyDescent="0.3">
      <c r="Z378" s="57">
        <v>44474</v>
      </c>
      <c r="AA378" t="s">
        <v>401</v>
      </c>
      <c r="AB378" s="18">
        <v>0</v>
      </c>
      <c r="AC378" s="18"/>
      <c r="AD378" s="18"/>
      <c r="AE378" s="18"/>
      <c r="AF378" s="18"/>
      <c r="AG378" s="18"/>
      <c r="AH378" s="18">
        <v>0</v>
      </c>
      <c r="AT378">
        <v>10</v>
      </c>
      <c r="AU378" s="18">
        <v>0</v>
      </c>
      <c r="AV378" s="18"/>
      <c r="AW378" s="18"/>
      <c r="AX378" s="18"/>
      <c r="AY378" s="18"/>
      <c r="AZ378" s="18"/>
      <c r="BA378" s="18">
        <v>0</v>
      </c>
    </row>
    <row r="379" spans="23:53" x14ac:dyDescent="0.3">
      <c r="Z379" s="57">
        <v>44482</v>
      </c>
      <c r="AA379" t="s">
        <v>415</v>
      </c>
      <c r="AB379" s="18">
        <v>0</v>
      </c>
      <c r="AC379" s="18"/>
      <c r="AD379" s="18"/>
      <c r="AE379" s="18"/>
      <c r="AF379" s="18"/>
      <c r="AG379" s="18"/>
      <c r="AH379" s="18">
        <v>0</v>
      </c>
      <c r="AT379">
        <v>12</v>
      </c>
      <c r="AU379" s="18">
        <v>514.19999999999982</v>
      </c>
      <c r="AV379" s="18"/>
      <c r="AW379" s="18"/>
      <c r="AX379" s="18"/>
      <c r="AY379" s="18"/>
      <c r="AZ379" s="18"/>
      <c r="BA379" s="18">
        <v>514.19999999999982</v>
      </c>
    </row>
    <row r="380" spans="23:53" x14ac:dyDescent="0.3">
      <c r="Z380" s="57">
        <v>44483</v>
      </c>
      <c r="AA380" t="s">
        <v>416</v>
      </c>
      <c r="AB380" s="18">
        <v>0</v>
      </c>
      <c r="AC380" s="18"/>
      <c r="AD380" s="18"/>
      <c r="AE380" s="18"/>
      <c r="AF380" s="18"/>
      <c r="AG380" s="18"/>
      <c r="AH380" s="18">
        <v>0</v>
      </c>
      <c r="AT380">
        <v>4</v>
      </c>
      <c r="AU380" s="18">
        <v>0</v>
      </c>
      <c r="AV380" s="18"/>
      <c r="AW380" s="18"/>
      <c r="AX380" s="18"/>
      <c r="AY380" s="18"/>
      <c r="AZ380" s="18"/>
      <c r="BA380" s="18">
        <v>0</v>
      </c>
    </row>
    <row r="381" spans="23:53" x14ac:dyDescent="0.3">
      <c r="Z381" s="57">
        <v>44497</v>
      </c>
      <c r="AA381" t="s">
        <v>447</v>
      </c>
      <c r="AB381" s="18">
        <v>0</v>
      </c>
      <c r="AC381" s="18"/>
      <c r="AD381" s="18"/>
      <c r="AE381" s="18"/>
      <c r="AF381" s="18"/>
      <c r="AG381" s="18"/>
      <c r="AH381" s="18">
        <v>0</v>
      </c>
      <c r="AR381" s="36" t="s">
        <v>641</v>
      </c>
      <c r="AS381" s="36"/>
      <c r="AT381" s="36"/>
      <c r="AU381" s="37">
        <v>514.19999999999982</v>
      </c>
      <c r="AV381" s="37"/>
      <c r="AW381" s="37"/>
      <c r="AX381" s="37"/>
      <c r="AY381" s="37"/>
      <c r="AZ381" s="37"/>
      <c r="BA381" s="37">
        <v>514.19999999999982</v>
      </c>
    </row>
    <row r="382" spans="23:53" x14ac:dyDescent="0.3">
      <c r="Y382">
        <v>11</v>
      </c>
      <c r="Z382" s="57">
        <v>44502</v>
      </c>
      <c r="AA382" t="s">
        <v>457</v>
      </c>
      <c r="AB382" s="18">
        <v>0</v>
      </c>
      <c r="AC382" s="18"/>
      <c r="AD382" s="18"/>
      <c r="AE382" s="18"/>
      <c r="AF382" s="18"/>
      <c r="AG382" s="18"/>
      <c r="AH382" s="18">
        <v>0</v>
      </c>
      <c r="AR382" t="s">
        <v>665</v>
      </c>
      <c r="AS382">
        <v>2022</v>
      </c>
      <c r="AT382">
        <v>3</v>
      </c>
      <c r="AU382" s="18">
        <v>0</v>
      </c>
      <c r="AV382" s="18"/>
      <c r="AW382" s="18"/>
      <c r="AX382" s="18"/>
      <c r="AY382" s="18"/>
      <c r="AZ382" s="18"/>
      <c r="BA382" s="18">
        <v>0</v>
      </c>
    </row>
    <row r="383" spans="23:53" x14ac:dyDescent="0.3">
      <c r="Z383" s="57">
        <v>44513</v>
      </c>
      <c r="AA383" t="s">
        <v>477</v>
      </c>
      <c r="AB383" s="18">
        <v>0</v>
      </c>
      <c r="AC383" s="18"/>
      <c r="AD383" s="18"/>
      <c r="AE383" s="18"/>
      <c r="AF383" s="18"/>
      <c r="AG383" s="18"/>
      <c r="AH383" s="18">
        <v>0</v>
      </c>
      <c r="AT383">
        <v>5</v>
      </c>
      <c r="AU383" s="18">
        <v>0</v>
      </c>
      <c r="AV383" s="18"/>
      <c r="AW383" s="18"/>
      <c r="AX383" s="18"/>
      <c r="AY383" s="18"/>
      <c r="AZ383" s="18"/>
      <c r="BA383" s="18">
        <v>0</v>
      </c>
    </row>
    <row r="384" spans="23:53" x14ac:dyDescent="0.3">
      <c r="Z384" s="57">
        <v>44526</v>
      </c>
      <c r="AA384" t="s">
        <v>481</v>
      </c>
      <c r="AB384" s="18">
        <v>0</v>
      </c>
      <c r="AC384" s="18"/>
      <c r="AD384" s="18"/>
      <c r="AE384" s="18"/>
      <c r="AF384" s="18"/>
      <c r="AG384" s="18"/>
      <c r="AH384" s="18">
        <v>0</v>
      </c>
      <c r="AT384">
        <v>6</v>
      </c>
      <c r="AU384" s="18">
        <v>0</v>
      </c>
      <c r="AV384" s="18"/>
      <c r="AW384" s="18"/>
      <c r="AX384" s="18"/>
      <c r="AY384" s="18"/>
      <c r="AZ384" s="18"/>
      <c r="BA384" s="18">
        <v>0</v>
      </c>
    </row>
    <row r="385" spans="24:53" x14ac:dyDescent="0.3">
      <c r="AA385" t="s">
        <v>482</v>
      </c>
      <c r="AB385" s="18">
        <v>0</v>
      </c>
      <c r="AC385" s="18"/>
      <c r="AD385" s="18"/>
      <c r="AE385" s="18"/>
      <c r="AF385" s="18"/>
      <c r="AG385" s="18"/>
      <c r="AH385" s="18">
        <v>0</v>
      </c>
      <c r="AT385">
        <v>4</v>
      </c>
      <c r="AU385" s="18">
        <v>0</v>
      </c>
      <c r="AV385" s="18"/>
      <c r="AW385" s="18"/>
      <c r="AX385" s="18"/>
      <c r="AY385" s="18"/>
      <c r="AZ385" s="18"/>
      <c r="BA385" s="18">
        <v>0</v>
      </c>
    </row>
    <row r="386" spans="24:53" x14ac:dyDescent="0.3">
      <c r="Y386">
        <v>12</v>
      </c>
      <c r="Z386" s="57">
        <v>44561</v>
      </c>
      <c r="AA386" t="s">
        <v>536</v>
      </c>
      <c r="AB386" s="18">
        <v>0</v>
      </c>
      <c r="AC386" s="18"/>
      <c r="AD386" s="18"/>
      <c r="AE386" s="18"/>
      <c r="AF386" s="18"/>
      <c r="AG386" s="18"/>
      <c r="AH386" s="18">
        <v>0</v>
      </c>
      <c r="AS386">
        <v>2023</v>
      </c>
      <c r="AT386">
        <v>1</v>
      </c>
      <c r="AU386" s="18">
        <v>0</v>
      </c>
      <c r="AV386" s="18"/>
      <c r="AW386" s="18"/>
      <c r="AX386" s="18"/>
      <c r="AY386" s="18"/>
      <c r="AZ386" s="18"/>
      <c r="BA386" s="18">
        <v>0</v>
      </c>
    </row>
    <row r="387" spans="24:53" x14ac:dyDescent="0.3">
      <c r="X387">
        <v>2022</v>
      </c>
      <c r="Y387">
        <v>1</v>
      </c>
      <c r="Z387" s="57">
        <v>44567</v>
      </c>
      <c r="AA387" t="s">
        <v>547</v>
      </c>
      <c r="AB387" s="18">
        <v>0</v>
      </c>
      <c r="AC387" s="18"/>
      <c r="AD387" s="18"/>
      <c r="AE387" s="18"/>
      <c r="AF387" s="18"/>
      <c r="AG387" s="18"/>
      <c r="AH387" s="18">
        <v>0</v>
      </c>
      <c r="AT387">
        <v>6</v>
      </c>
      <c r="AU387" s="18">
        <v>0</v>
      </c>
      <c r="AV387" s="18"/>
      <c r="AW387" s="18"/>
      <c r="AX387" s="18"/>
      <c r="AY387" s="18"/>
      <c r="AZ387" s="18"/>
      <c r="BA387" s="18">
        <v>0</v>
      </c>
    </row>
    <row r="388" spans="24:53" x14ac:dyDescent="0.3">
      <c r="Z388" s="57">
        <v>44574</v>
      </c>
      <c r="AA388" t="s">
        <v>557</v>
      </c>
      <c r="AB388" s="18">
        <v>0</v>
      </c>
      <c r="AC388" s="18"/>
      <c r="AD388" s="18"/>
      <c r="AE388" s="18"/>
      <c r="AF388" s="18"/>
      <c r="AG388" s="18"/>
      <c r="AH388" s="18">
        <v>0</v>
      </c>
      <c r="AR388" s="36" t="s">
        <v>679</v>
      </c>
      <c r="AS388" s="36"/>
      <c r="AT388" s="36"/>
      <c r="AU388" s="37">
        <v>0</v>
      </c>
      <c r="AV388" s="37"/>
      <c r="AW388" s="37"/>
      <c r="AX388" s="37"/>
      <c r="AY388" s="37"/>
      <c r="AZ388" s="37"/>
      <c r="BA388" s="37">
        <v>0</v>
      </c>
    </row>
    <row r="389" spans="24:53" x14ac:dyDescent="0.3">
      <c r="Z389" s="57">
        <v>44583</v>
      </c>
      <c r="AA389" t="s">
        <v>565</v>
      </c>
      <c r="AB389" s="18">
        <v>0</v>
      </c>
      <c r="AC389" s="18"/>
      <c r="AD389" s="18"/>
      <c r="AE389" s="18"/>
      <c r="AF389" s="18"/>
      <c r="AG389" s="18"/>
      <c r="AH389" s="18">
        <v>0</v>
      </c>
      <c r="AR389" t="s">
        <v>709</v>
      </c>
      <c r="AS389">
        <v>2022</v>
      </c>
      <c r="AT389">
        <v>4</v>
      </c>
      <c r="AU389" s="18">
        <v>0</v>
      </c>
      <c r="AV389" s="18"/>
      <c r="AW389" s="18"/>
      <c r="AX389" s="18"/>
      <c r="AY389" s="18"/>
      <c r="AZ389" s="18"/>
      <c r="BA389" s="18">
        <v>0</v>
      </c>
    </row>
    <row r="390" spans="24:53" x14ac:dyDescent="0.3">
      <c r="Y390">
        <v>2</v>
      </c>
      <c r="Z390" s="57">
        <v>44602</v>
      </c>
      <c r="AA390" t="s">
        <v>601</v>
      </c>
      <c r="AB390" s="18">
        <v>0</v>
      </c>
      <c r="AC390" s="18"/>
      <c r="AD390" s="18"/>
      <c r="AE390" s="18"/>
      <c r="AF390" s="18"/>
      <c r="AG390" s="18"/>
      <c r="AH390" s="18">
        <v>0</v>
      </c>
      <c r="AR390" s="36" t="s">
        <v>754</v>
      </c>
      <c r="AS390" s="36"/>
      <c r="AT390" s="36"/>
      <c r="AU390" s="37">
        <v>0</v>
      </c>
      <c r="AV390" s="37"/>
      <c r="AW390" s="37"/>
      <c r="AX390" s="37"/>
      <c r="AY390" s="37"/>
      <c r="AZ390" s="37"/>
      <c r="BA390" s="37">
        <v>0</v>
      </c>
    </row>
    <row r="391" spans="24:53" x14ac:dyDescent="0.3">
      <c r="Z391" s="57">
        <v>44614</v>
      </c>
      <c r="AA391" t="s">
        <v>608</v>
      </c>
      <c r="AB391" s="18">
        <v>0</v>
      </c>
      <c r="AC391" s="18"/>
      <c r="AD391" s="18"/>
      <c r="AE391" s="18"/>
      <c r="AF391" s="18"/>
      <c r="AG391" s="18"/>
      <c r="AH391" s="18">
        <v>0</v>
      </c>
      <c r="AR391" t="s">
        <v>773</v>
      </c>
      <c r="AS391">
        <v>2022</v>
      </c>
      <c r="AT391">
        <v>5</v>
      </c>
      <c r="AU391" s="18">
        <v>0</v>
      </c>
      <c r="AV391" s="18"/>
      <c r="AW391" s="18"/>
      <c r="AX391" s="18"/>
      <c r="AY391" s="18"/>
      <c r="AZ391" s="18"/>
      <c r="BA391" s="18">
        <v>0</v>
      </c>
    </row>
    <row r="392" spans="24:53" x14ac:dyDescent="0.3">
      <c r="Y392">
        <v>3</v>
      </c>
      <c r="Z392" s="57">
        <v>44631</v>
      </c>
      <c r="AA392" t="s">
        <v>643</v>
      </c>
      <c r="AB392" s="18">
        <v>0</v>
      </c>
      <c r="AC392" s="18"/>
      <c r="AD392" s="18"/>
      <c r="AE392" s="18"/>
      <c r="AF392" s="18"/>
      <c r="AG392" s="18"/>
      <c r="AH392" s="18">
        <v>0</v>
      </c>
      <c r="AT392">
        <v>4</v>
      </c>
      <c r="AU392" s="18">
        <v>0</v>
      </c>
      <c r="AV392" s="18"/>
      <c r="AW392" s="18"/>
      <c r="AX392" s="18"/>
      <c r="AY392" s="18"/>
      <c r="AZ392" s="18"/>
      <c r="BA392" s="18">
        <v>0</v>
      </c>
    </row>
    <row r="393" spans="24:53" x14ac:dyDescent="0.3">
      <c r="Z393" s="57">
        <v>44637</v>
      </c>
      <c r="AA393" t="s">
        <v>649</v>
      </c>
      <c r="AB393" s="18">
        <v>0</v>
      </c>
      <c r="AC393" s="18"/>
      <c r="AD393" s="18"/>
      <c r="AE393" s="18"/>
      <c r="AF393" s="18"/>
      <c r="AG393" s="18"/>
      <c r="AH393" s="18">
        <v>0</v>
      </c>
      <c r="AR393" s="36" t="s">
        <v>798</v>
      </c>
      <c r="AS393" s="36"/>
      <c r="AT393" s="36"/>
      <c r="AU393" s="37">
        <v>0</v>
      </c>
      <c r="AV393" s="37"/>
      <c r="AW393" s="37"/>
      <c r="AX393" s="37"/>
      <c r="AY393" s="37"/>
      <c r="AZ393" s="37"/>
      <c r="BA393" s="37">
        <v>0</v>
      </c>
    </row>
    <row r="394" spans="24:53" x14ac:dyDescent="0.3">
      <c r="Y394">
        <v>5</v>
      </c>
      <c r="Z394" s="57">
        <v>44704</v>
      </c>
      <c r="AA394" t="s">
        <v>794</v>
      </c>
      <c r="AB394" s="18">
        <v>0</v>
      </c>
      <c r="AC394" s="18"/>
      <c r="AD394" s="18"/>
      <c r="AE394" s="18"/>
      <c r="AF394" s="18"/>
      <c r="AG394" s="18"/>
      <c r="AH394" s="18">
        <v>0</v>
      </c>
      <c r="AR394" t="s">
        <v>784</v>
      </c>
      <c r="AS394">
        <v>2022</v>
      </c>
      <c r="AT394">
        <v>5</v>
      </c>
      <c r="AU394" s="18">
        <v>0</v>
      </c>
      <c r="AV394" s="18"/>
      <c r="AW394" s="18"/>
      <c r="AX394" s="18"/>
      <c r="AY394" s="18"/>
      <c r="AZ394" s="18"/>
      <c r="BA394" s="18">
        <v>0</v>
      </c>
    </row>
    <row r="395" spans="24:53" x14ac:dyDescent="0.3">
      <c r="Y395">
        <v>6</v>
      </c>
      <c r="Z395" s="57">
        <v>44740</v>
      </c>
      <c r="AA395" t="s">
        <v>846</v>
      </c>
      <c r="AB395" s="18">
        <v>0</v>
      </c>
      <c r="AC395" s="18"/>
      <c r="AD395" s="18"/>
      <c r="AE395" s="18"/>
      <c r="AF395" s="18"/>
      <c r="AG395" s="18"/>
      <c r="AH395" s="18">
        <v>0</v>
      </c>
      <c r="AT395">
        <v>8</v>
      </c>
      <c r="AU395" s="18">
        <v>0</v>
      </c>
      <c r="AV395" s="18"/>
      <c r="AW395" s="18"/>
      <c r="AX395" s="18"/>
      <c r="AY395" s="18"/>
      <c r="AZ395" s="18"/>
      <c r="BA395" s="18">
        <v>0</v>
      </c>
    </row>
    <row r="396" spans="24:53" x14ac:dyDescent="0.3">
      <c r="Y396">
        <v>7</v>
      </c>
      <c r="Z396" s="57">
        <v>44754</v>
      </c>
      <c r="AA396" t="s">
        <v>857</v>
      </c>
      <c r="AB396" s="18">
        <v>0</v>
      </c>
      <c r="AC396" s="18"/>
      <c r="AD396" s="18"/>
      <c r="AE396" s="18"/>
      <c r="AF396" s="18"/>
      <c r="AG396" s="18"/>
      <c r="AH396" s="18">
        <v>0</v>
      </c>
      <c r="AT396">
        <v>10</v>
      </c>
      <c r="AU396" s="18">
        <v>0</v>
      </c>
      <c r="AV396" s="18"/>
      <c r="AW396" s="18"/>
      <c r="AX396" s="18"/>
      <c r="AY396" s="18"/>
      <c r="AZ396" s="18"/>
      <c r="BA396" s="18">
        <v>0</v>
      </c>
    </row>
    <row r="397" spans="24:53" x14ac:dyDescent="0.3">
      <c r="Y397">
        <v>8</v>
      </c>
      <c r="Z397" s="57">
        <v>44798</v>
      </c>
      <c r="AA397" t="s">
        <v>915</v>
      </c>
      <c r="AB397" s="18">
        <v>0</v>
      </c>
      <c r="AC397" s="18"/>
      <c r="AD397" s="18"/>
      <c r="AE397" s="18"/>
      <c r="AF397" s="18"/>
      <c r="AG397" s="18"/>
      <c r="AH397" s="18">
        <v>0</v>
      </c>
      <c r="AT397">
        <v>12</v>
      </c>
      <c r="AU397" s="18">
        <v>0</v>
      </c>
      <c r="AV397" s="18"/>
      <c r="AW397" s="18"/>
      <c r="AX397" s="18"/>
      <c r="AY397" s="18"/>
      <c r="AZ397" s="18"/>
      <c r="BA397" s="18">
        <v>0</v>
      </c>
    </row>
    <row r="398" spans="24:53" x14ac:dyDescent="0.3">
      <c r="Z398" s="57">
        <v>44799</v>
      </c>
      <c r="AA398" t="s">
        <v>915</v>
      </c>
      <c r="AB398" s="18">
        <v>0</v>
      </c>
      <c r="AC398" s="18"/>
      <c r="AD398" s="18"/>
      <c r="AE398" s="18"/>
      <c r="AF398" s="18"/>
      <c r="AG398" s="18"/>
      <c r="AH398" s="18">
        <v>0</v>
      </c>
      <c r="AS398">
        <v>2023</v>
      </c>
      <c r="AT398">
        <v>3</v>
      </c>
      <c r="AU398" s="18">
        <v>0</v>
      </c>
      <c r="AV398" s="18"/>
      <c r="AW398" s="18"/>
      <c r="AX398" s="18"/>
      <c r="AY398" s="18"/>
      <c r="AZ398" s="18"/>
      <c r="BA398" s="18">
        <v>0</v>
      </c>
    </row>
    <row r="399" spans="24:53" x14ac:dyDescent="0.3">
      <c r="Y399">
        <v>9</v>
      </c>
      <c r="Z399" s="57">
        <v>44827</v>
      </c>
      <c r="AA399" t="s">
        <v>943</v>
      </c>
      <c r="AB399" s="18">
        <v>0</v>
      </c>
      <c r="AC399" s="18"/>
      <c r="AD399" s="18"/>
      <c r="AE399" s="18"/>
      <c r="AF399" s="18"/>
      <c r="AG399" s="18"/>
      <c r="AH399" s="18">
        <v>0</v>
      </c>
      <c r="AT399">
        <v>12</v>
      </c>
      <c r="AU399" s="18">
        <v>0</v>
      </c>
      <c r="AV399" s="18"/>
      <c r="AW399" s="18"/>
      <c r="AX399" s="18"/>
      <c r="AY399" s="18"/>
      <c r="AZ399" s="18"/>
      <c r="BA399" s="18">
        <v>0</v>
      </c>
    </row>
    <row r="400" spans="24:53" x14ac:dyDescent="0.3">
      <c r="Y400">
        <v>10</v>
      </c>
      <c r="Z400" s="57">
        <v>44845</v>
      </c>
      <c r="AA400" t="s">
        <v>998</v>
      </c>
      <c r="AB400" s="18">
        <v>0</v>
      </c>
      <c r="AC400" s="18"/>
      <c r="AD400" s="18"/>
      <c r="AE400" s="18"/>
      <c r="AF400" s="18"/>
      <c r="AG400" s="18"/>
      <c r="AH400" s="18">
        <v>0</v>
      </c>
      <c r="AS400">
        <v>2024</v>
      </c>
      <c r="AT400">
        <v>2</v>
      </c>
      <c r="AU400" s="18">
        <v>0</v>
      </c>
      <c r="AV400" s="18"/>
      <c r="AW400" s="18"/>
      <c r="AX400" s="18"/>
      <c r="AY400" s="18"/>
      <c r="AZ400" s="18"/>
      <c r="BA400" s="18">
        <v>0</v>
      </c>
    </row>
    <row r="401" spans="24:53" x14ac:dyDescent="0.3">
      <c r="Y401">
        <v>11</v>
      </c>
      <c r="Z401" s="57">
        <v>44880</v>
      </c>
      <c r="AA401" t="s">
        <v>1066</v>
      </c>
      <c r="AB401" s="18">
        <v>0</v>
      </c>
      <c r="AC401" s="18"/>
      <c r="AD401" s="18"/>
      <c r="AE401" s="18"/>
      <c r="AF401" s="18"/>
      <c r="AG401" s="18"/>
      <c r="AH401" s="18">
        <v>0</v>
      </c>
      <c r="AT401">
        <v>3</v>
      </c>
      <c r="AU401" s="18">
        <v>0</v>
      </c>
      <c r="AV401" s="18"/>
      <c r="AW401" s="18"/>
      <c r="AX401" s="18"/>
      <c r="AY401" s="18"/>
      <c r="AZ401" s="18"/>
      <c r="BA401" s="18">
        <v>0</v>
      </c>
    </row>
    <row r="402" spans="24:53" x14ac:dyDescent="0.3">
      <c r="Z402" t="s">
        <v>1069</v>
      </c>
      <c r="AA402" t="s">
        <v>1067</v>
      </c>
      <c r="AB402" s="18">
        <v>0</v>
      </c>
      <c r="AC402" s="18"/>
      <c r="AD402" s="18"/>
      <c r="AE402" s="18"/>
      <c r="AF402" s="18"/>
      <c r="AG402" s="18"/>
      <c r="AH402" s="18">
        <v>0</v>
      </c>
      <c r="AT402">
        <v>5</v>
      </c>
      <c r="AU402" s="18">
        <v>0</v>
      </c>
      <c r="AV402" s="18"/>
      <c r="AW402" s="18"/>
      <c r="AX402" s="18"/>
      <c r="AY402" s="18"/>
      <c r="AZ402" s="18"/>
      <c r="BA402" s="18">
        <v>0</v>
      </c>
    </row>
    <row r="403" spans="24:53" x14ac:dyDescent="0.3">
      <c r="Y403">
        <v>12</v>
      </c>
      <c r="Z403" t="s">
        <v>1134</v>
      </c>
      <c r="AA403" t="s">
        <v>1133</v>
      </c>
      <c r="AB403" s="18">
        <v>0</v>
      </c>
      <c r="AC403" s="18"/>
      <c r="AD403" s="18"/>
      <c r="AE403" s="18"/>
      <c r="AF403" s="18"/>
      <c r="AG403" s="18"/>
      <c r="AH403" s="18">
        <v>0</v>
      </c>
      <c r="AT403">
        <v>8</v>
      </c>
      <c r="AU403" s="18">
        <v>0</v>
      </c>
      <c r="AV403" s="18"/>
      <c r="AW403" s="18"/>
      <c r="AX403" s="18"/>
      <c r="AY403" s="18"/>
      <c r="AZ403" s="18"/>
      <c r="BA403" s="18">
        <v>0</v>
      </c>
    </row>
    <row r="404" spans="24:53" x14ac:dyDescent="0.3">
      <c r="Y404">
        <v>4</v>
      </c>
      <c r="Z404" s="57">
        <v>44659</v>
      </c>
      <c r="AA404" t="s">
        <v>686</v>
      </c>
      <c r="AB404" s="18">
        <v>0</v>
      </c>
      <c r="AC404" s="18"/>
      <c r="AD404" s="18"/>
      <c r="AE404" s="18"/>
      <c r="AF404" s="18"/>
      <c r="AG404" s="18"/>
      <c r="AH404" s="18">
        <v>0</v>
      </c>
      <c r="AS404">
        <v>2025</v>
      </c>
      <c r="AT404">
        <v>3</v>
      </c>
      <c r="AU404" s="18">
        <v>0</v>
      </c>
      <c r="AV404" s="18"/>
      <c r="AW404" s="18"/>
      <c r="AX404" s="18"/>
      <c r="AY404" s="18"/>
      <c r="AZ404" s="18"/>
      <c r="BA404" s="18">
        <v>0</v>
      </c>
    </row>
    <row r="405" spans="24:53" x14ac:dyDescent="0.3">
      <c r="Z405" s="57">
        <v>44679</v>
      </c>
      <c r="AA405" t="s">
        <v>726</v>
      </c>
      <c r="AB405" s="18">
        <v>0</v>
      </c>
      <c r="AC405" s="18"/>
      <c r="AD405" s="18"/>
      <c r="AE405" s="18"/>
      <c r="AF405" s="18"/>
      <c r="AG405" s="18"/>
      <c r="AH405" s="18">
        <v>0</v>
      </c>
      <c r="AR405" s="36" t="s">
        <v>799</v>
      </c>
      <c r="AS405" s="36"/>
      <c r="AT405" s="36"/>
      <c r="AU405" s="37">
        <v>0</v>
      </c>
      <c r="AV405" s="37"/>
      <c r="AW405" s="37"/>
      <c r="AX405" s="37"/>
      <c r="AY405" s="37"/>
      <c r="AZ405" s="37"/>
      <c r="BA405" s="37">
        <v>0</v>
      </c>
    </row>
    <row r="406" spans="24:53" x14ac:dyDescent="0.3">
      <c r="X406">
        <v>2023</v>
      </c>
      <c r="Y406">
        <v>1</v>
      </c>
      <c r="Z406" s="57">
        <v>44946</v>
      </c>
      <c r="AA406" t="s">
        <v>1194</v>
      </c>
      <c r="AB406" s="18">
        <v>0</v>
      </c>
      <c r="AC406" s="18"/>
      <c r="AD406" s="18"/>
      <c r="AE406" s="18"/>
      <c r="AF406" s="18"/>
      <c r="AG406" s="18"/>
      <c r="AH406" s="18">
        <v>0</v>
      </c>
      <c r="AR406" t="s">
        <v>859</v>
      </c>
      <c r="AS406">
        <v>2022</v>
      </c>
      <c r="AT406">
        <v>7</v>
      </c>
      <c r="AU406" s="18">
        <v>0</v>
      </c>
      <c r="AV406" s="18"/>
      <c r="AW406" s="18"/>
      <c r="AX406" s="18"/>
      <c r="AY406" s="18"/>
      <c r="AZ406" s="18"/>
      <c r="BA406" s="18">
        <v>0</v>
      </c>
    </row>
    <row r="407" spans="24:53" x14ac:dyDescent="0.3">
      <c r="Y407">
        <v>2</v>
      </c>
      <c r="Z407" s="57">
        <v>44968</v>
      </c>
      <c r="AA407" t="s">
        <v>1256</v>
      </c>
      <c r="AB407" s="18">
        <v>0</v>
      </c>
      <c r="AC407" s="18"/>
      <c r="AD407" s="18"/>
      <c r="AE407" s="18"/>
      <c r="AF407" s="18"/>
      <c r="AG407" s="18"/>
      <c r="AH407" s="18">
        <v>0</v>
      </c>
      <c r="AT407">
        <v>8</v>
      </c>
      <c r="AU407" s="18">
        <v>0.20000000000004547</v>
      </c>
      <c r="AV407" s="18"/>
      <c r="AW407" s="18"/>
      <c r="AX407" s="18"/>
      <c r="AY407" s="18"/>
      <c r="AZ407" s="18"/>
      <c r="BA407" s="18">
        <v>0.20000000000004547</v>
      </c>
    </row>
    <row r="408" spans="24:53" x14ac:dyDescent="0.3">
      <c r="Z408" t="s">
        <v>1279</v>
      </c>
      <c r="AA408" t="s">
        <v>1280</v>
      </c>
      <c r="AB408" s="18">
        <v>0</v>
      </c>
      <c r="AC408" s="18"/>
      <c r="AD408" s="18"/>
      <c r="AE408" s="18"/>
      <c r="AF408" s="18"/>
      <c r="AG408" s="18"/>
      <c r="AH408" s="18">
        <v>0</v>
      </c>
      <c r="AT408">
        <v>9</v>
      </c>
      <c r="AU408" s="18">
        <v>0</v>
      </c>
      <c r="AV408" s="18"/>
      <c r="AW408" s="18"/>
      <c r="AX408" s="18"/>
      <c r="AY408" s="18"/>
      <c r="AZ408" s="18"/>
      <c r="BA408" s="18">
        <v>0</v>
      </c>
    </row>
    <row r="409" spans="24:53" x14ac:dyDescent="0.3">
      <c r="Z409" t="s">
        <v>1283</v>
      </c>
      <c r="AA409" t="s">
        <v>1281</v>
      </c>
      <c r="AB409" s="18">
        <v>0</v>
      </c>
      <c r="AC409" s="18"/>
      <c r="AD409" s="18"/>
      <c r="AE409" s="18"/>
      <c r="AF409" s="18"/>
      <c r="AG409" s="18"/>
      <c r="AH409" s="18">
        <v>0</v>
      </c>
      <c r="AT409">
        <v>11</v>
      </c>
      <c r="AU409" s="18">
        <v>0</v>
      </c>
      <c r="AV409" s="18"/>
      <c r="AW409" s="18"/>
      <c r="AX409" s="18"/>
      <c r="AY409" s="18"/>
      <c r="AZ409" s="18"/>
      <c r="BA409" s="18">
        <v>0</v>
      </c>
    </row>
    <row r="410" spans="24:53" x14ac:dyDescent="0.3">
      <c r="Y410">
        <v>3</v>
      </c>
      <c r="Z410" t="s">
        <v>1321</v>
      </c>
      <c r="AA410" t="s">
        <v>1319</v>
      </c>
      <c r="AB410" s="18">
        <v>-1.1368683772161603E-13</v>
      </c>
      <c r="AC410" s="18"/>
      <c r="AD410" s="18"/>
      <c r="AE410" s="18"/>
      <c r="AF410" s="18"/>
      <c r="AG410" s="18"/>
      <c r="AH410" s="18">
        <v>-1.1368683772161603E-13</v>
      </c>
      <c r="AS410">
        <v>2023</v>
      </c>
      <c r="AT410">
        <v>2</v>
      </c>
      <c r="AU410" s="18">
        <v>0</v>
      </c>
      <c r="AV410" s="18"/>
      <c r="AW410" s="18"/>
      <c r="AX410" s="18"/>
      <c r="AY410" s="18"/>
      <c r="AZ410" s="18"/>
      <c r="BA410" s="18">
        <v>0</v>
      </c>
    </row>
    <row r="411" spans="24:53" x14ac:dyDescent="0.3">
      <c r="Z411" t="s">
        <v>1324</v>
      </c>
      <c r="AA411" t="s">
        <v>1320</v>
      </c>
      <c r="AB411" s="18">
        <v>0</v>
      </c>
      <c r="AC411" s="18"/>
      <c r="AD411" s="18"/>
      <c r="AE411" s="18"/>
      <c r="AF411" s="18"/>
      <c r="AG411" s="18"/>
      <c r="AH411" s="18">
        <v>0</v>
      </c>
      <c r="AT411">
        <v>5</v>
      </c>
      <c r="AU411" s="18">
        <v>0</v>
      </c>
      <c r="AV411" s="18"/>
      <c r="AW411" s="18"/>
      <c r="AX411" s="18"/>
      <c r="AY411" s="18"/>
      <c r="AZ411" s="18"/>
      <c r="BA411" s="18">
        <v>0</v>
      </c>
    </row>
    <row r="412" spans="24:53" x14ac:dyDescent="0.3">
      <c r="Z412" t="s">
        <v>1334</v>
      </c>
      <c r="AA412" t="s">
        <v>1337</v>
      </c>
      <c r="AB412" s="18">
        <v>0</v>
      </c>
      <c r="AC412" s="18"/>
      <c r="AD412" s="18"/>
      <c r="AE412" s="18"/>
      <c r="AF412" s="18"/>
      <c r="AG412" s="18"/>
      <c r="AH412" s="18">
        <v>0</v>
      </c>
      <c r="AT412">
        <v>7</v>
      </c>
      <c r="AU412" s="18">
        <v>0</v>
      </c>
      <c r="AV412" s="18"/>
      <c r="AW412" s="18"/>
      <c r="AX412" s="18"/>
      <c r="AY412" s="18"/>
      <c r="AZ412" s="18"/>
      <c r="BA412" s="18">
        <v>0</v>
      </c>
    </row>
    <row r="413" spans="24:53" x14ac:dyDescent="0.3">
      <c r="Y413">
        <v>5</v>
      </c>
      <c r="Z413" s="57">
        <v>45058</v>
      </c>
      <c r="AA413" t="s">
        <v>1541</v>
      </c>
      <c r="AB413" s="18">
        <v>0</v>
      </c>
      <c r="AC413" s="18"/>
      <c r="AD413" s="18"/>
      <c r="AE413" s="18"/>
      <c r="AF413" s="18"/>
      <c r="AG413" s="18"/>
      <c r="AH413" s="18">
        <v>0</v>
      </c>
      <c r="AT413">
        <v>11</v>
      </c>
      <c r="AU413" s="18">
        <v>0</v>
      </c>
      <c r="AV413" s="18"/>
      <c r="AW413" s="18"/>
      <c r="AX413" s="18"/>
      <c r="AY413" s="18"/>
      <c r="AZ413" s="18"/>
      <c r="BA413" s="18">
        <v>0</v>
      </c>
    </row>
    <row r="414" spans="24:53" x14ac:dyDescent="0.3">
      <c r="Y414">
        <v>6</v>
      </c>
      <c r="Z414" t="s">
        <v>1611</v>
      </c>
      <c r="AA414" t="s">
        <v>1610</v>
      </c>
      <c r="AB414" s="18">
        <v>0</v>
      </c>
      <c r="AC414" s="18"/>
      <c r="AD414" s="18"/>
      <c r="AE414" s="18"/>
      <c r="AF414" s="18"/>
      <c r="AG414" s="18"/>
      <c r="AH414" s="18">
        <v>0</v>
      </c>
      <c r="AT414">
        <v>4</v>
      </c>
      <c r="AU414" s="18">
        <v>0</v>
      </c>
      <c r="AV414" s="18"/>
      <c r="AW414" s="18"/>
      <c r="AX414" s="18"/>
      <c r="AY414" s="18"/>
      <c r="AZ414" s="18"/>
      <c r="BA414" s="18">
        <v>0</v>
      </c>
    </row>
    <row r="415" spans="24:53" x14ac:dyDescent="0.3">
      <c r="Z415" s="57">
        <v>45091</v>
      </c>
      <c r="AA415" t="s">
        <v>1626</v>
      </c>
      <c r="AB415" s="18">
        <v>0</v>
      </c>
      <c r="AC415" s="18"/>
      <c r="AD415" s="18"/>
      <c r="AE415" s="18"/>
      <c r="AF415" s="18"/>
      <c r="AG415" s="18"/>
      <c r="AH415" s="18">
        <v>0</v>
      </c>
      <c r="AS415">
        <v>2024</v>
      </c>
      <c r="AT415">
        <v>6</v>
      </c>
      <c r="AU415" s="18">
        <v>0</v>
      </c>
      <c r="AV415" s="18"/>
      <c r="AW415" s="18"/>
      <c r="AX415" s="18"/>
      <c r="AY415" s="18"/>
      <c r="AZ415" s="18"/>
      <c r="BA415" s="18">
        <v>0</v>
      </c>
    </row>
    <row r="416" spans="24:53" x14ac:dyDescent="0.3">
      <c r="Z416" s="57">
        <v>45101</v>
      </c>
      <c r="AA416" t="s">
        <v>1651</v>
      </c>
      <c r="AB416" s="18">
        <v>0</v>
      </c>
      <c r="AC416" s="18"/>
      <c r="AD416" s="18"/>
      <c r="AE416" s="18"/>
      <c r="AF416" s="18"/>
      <c r="AG416" s="18"/>
      <c r="AH416" s="18">
        <v>0</v>
      </c>
      <c r="AT416">
        <v>7</v>
      </c>
      <c r="AU416" s="18">
        <v>6023.3</v>
      </c>
      <c r="AV416" s="18"/>
      <c r="AW416" s="18"/>
      <c r="AX416" s="18"/>
      <c r="AY416" s="18"/>
      <c r="AZ416" s="18"/>
      <c r="BA416" s="18">
        <v>6023.3</v>
      </c>
    </row>
    <row r="417" spans="25:53" x14ac:dyDescent="0.3">
      <c r="Y417">
        <v>7</v>
      </c>
      <c r="Z417" t="s">
        <v>1724</v>
      </c>
      <c r="AA417" t="s">
        <v>1723</v>
      </c>
      <c r="AB417" s="18">
        <v>-1.1368683772161603E-13</v>
      </c>
      <c r="AC417" s="18"/>
      <c r="AD417" s="18"/>
      <c r="AE417" s="18"/>
      <c r="AF417" s="18"/>
      <c r="AG417" s="18"/>
      <c r="AH417" s="18">
        <v>-1.1368683772161603E-13</v>
      </c>
      <c r="AT417">
        <v>8</v>
      </c>
      <c r="AU417" s="18">
        <v>8026.4</v>
      </c>
      <c r="AV417" s="18"/>
      <c r="AW417" s="18"/>
      <c r="AX417" s="18"/>
      <c r="AY417" s="18"/>
      <c r="AZ417" s="18"/>
      <c r="BA417" s="18">
        <v>8026.4</v>
      </c>
    </row>
    <row r="418" spans="25:53" x14ac:dyDescent="0.3">
      <c r="Z418" s="57">
        <v>45127</v>
      </c>
      <c r="AA418" t="s">
        <v>1726</v>
      </c>
      <c r="AB418" s="18">
        <v>0</v>
      </c>
      <c r="AC418" s="18"/>
      <c r="AD418" s="18"/>
      <c r="AE418" s="18"/>
      <c r="AF418" s="18"/>
      <c r="AG418" s="18"/>
      <c r="AH418" s="18">
        <v>0</v>
      </c>
      <c r="AS418">
        <v>2025</v>
      </c>
      <c r="AT418">
        <v>1</v>
      </c>
      <c r="AU418" s="18">
        <v>12228.900000000001</v>
      </c>
      <c r="AV418" s="18"/>
      <c r="AW418" s="18"/>
      <c r="AX418" s="18"/>
      <c r="AY418" s="18"/>
      <c r="AZ418" s="18"/>
      <c r="BA418" s="18">
        <v>12228.900000000001</v>
      </c>
    </row>
    <row r="419" spans="25:53" x14ac:dyDescent="0.3">
      <c r="Y419">
        <v>8</v>
      </c>
      <c r="Z419" s="57">
        <v>45142</v>
      </c>
      <c r="AA419" t="s">
        <v>1798</v>
      </c>
      <c r="AB419" s="18">
        <v>0</v>
      </c>
      <c r="AC419" s="18"/>
      <c r="AD419" s="18"/>
      <c r="AE419" s="18"/>
      <c r="AF419" s="18"/>
      <c r="AG419" s="18"/>
      <c r="AH419" s="18">
        <v>0</v>
      </c>
      <c r="AT419">
        <v>7</v>
      </c>
      <c r="AU419" s="18">
        <v>7321.7999999999993</v>
      </c>
      <c r="AV419" s="18"/>
      <c r="AW419" s="18"/>
      <c r="AX419" s="18"/>
      <c r="AY419" s="18"/>
      <c r="AZ419" s="18"/>
      <c r="BA419" s="18">
        <v>7321.7999999999993</v>
      </c>
    </row>
    <row r="420" spans="25:53" x14ac:dyDescent="0.3">
      <c r="Z420" s="57">
        <v>45153</v>
      </c>
      <c r="AA420" t="s">
        <v>1812</v>
      </c>
      <c r="AB420" s="18">
        <v>0</v>
      </c>
      <c r="AC420" s="18"/>
      <c r="AD420" s="18"/>
      <c r="AE420" s="18"/>
      <c r="AF420" s="18"/>
      <c r="AG420" s="18"/>
      <c r="AH420" s="18">
        <v>0</v>
      </c>
      <c r="AR420" s="36" t="s">
        <v>874</v>
      </c>
      <c r="AS420" s="36"/>
      <c r="AT420" s="36"/>
      <c r="AU420" s="37">
        <v>33600.600000000006</v>
      </c>
      <c r="AV420" s="37"/>
      <c r="AW420" s="37"/>
      <c r="AX420" s="37"/>
      <c r="AY420" s="37"/>
      <c r="AZ420" s="37"/>
      <c r="BA420" s="37">
        <v>33600.600000000006</v>
      </c>
    </row>
    <row r="421" spans="25:53" x14ac:dyDescent="0.3">
      <c r="Z421" s="57">
        <v>45155</v>
      </c>
      <c r="AA421" t="s">
        <v>1821</v>
      </c>
      <c r="AB421" s="18">
        <v>0</v>
      </c>
      <c r="AC421" s="18"/>
      <c r="AD421" s="18"/>
      <c r="AE421" s="18"/>
      <c r="AF421" s="18"/>
      <c r="AG421" s="18"/>
      <c r="AH421" s="18">
        <v>0</v>
      </c>
      <c r="AR421" t="s">
        <v>958</v>
      </c>
      <c r="AS421">
        <v>2022</v>
      </c>
      <c r="AT421">
        <v>9</v>
      </c>
      <c r="AU421" s="18">
        <v>0</v>
      </c>
      <c r="AV421" s="18"/>
      <c r="AW421" s="18"/>
      <c r="AX421" s="18"/>
      <c r="AY421" s="18"/>
      <c r="AZ421" s="18"/>
      <c r="BA421" s="18">
        <v>0</v>
      </c>
    </row>
    <row r="422" spans="25:53" x14ac:dyDescent="0.3">
      <c r="Z422" s="57">
        <v>45160</v>
      </c>
      <c r="AA422" t="s">
        <v>1826</v>
      </c>
      <c r="AB422" s="18">
        <v>0</v>
      </c>
      <c r="AC422" s="18"/>
      <c r="AD422" s="18"/>
      <c r="AE422" s="18"/>
      <c r="AF422" s="18"/>
      <c r="AG422" s="18"/>
      <c r="AH422" s="18">
        <v>0</v>
      </c>
      <c r="AS422">
        <v>2023</v>
      </c>
      <c r="AT422">
        <v>1</v>
      </c>
      <c r="AU422" s="18">
        <v>0</v>
      </c>
      <c r="AV422" s="18"/>
      <c r="AW422" s="18"/>
      <c r="AX422" s="18"/>
      <c r="AY422" s="18"/>
      <c r="AZ422" s="18"/>
      <c r="BA422" s="18">
        <v>0</v>
      </c>
    </row>
    <row r="423" spans="25:53" x14ac:dyDescent="0.3">
      <c r="Z423" s="57">
        <v>45164</v>
      </c>
      <c r="AA423" t="s">
        <v>1830</v>
      </c>
      <c r="AB423" s="18">
        <v>0</v>
      </c>
      <c r="AC423" s="18"/>
      <c r="AD423" s="18"/>
      <c r="AE423" s="18"/>
      <c r="AF423" s="18"/>
      <c r="AG423" s="18"/>
      <c r="AH423" s="18">
        <v>0</v>
      </c>
      <c r="AR423" s="36" t="s">
        <v>985</v>
      </c>
      <c r="AS423" s="36"/>
      <c r="AT423" s="36"/>
      <c r="AU423" s="37">
        <v>0</v>
      </c>
      <c r="AV423" s="37"/>
      <c r="AW423" s="37"/>
      <c r="AX423" s="37"/>
      <c r="AY423" s="37"/>
      <c r="AZ423" s="37"/>
      <c r="BA423" s="37">
        <v>0</v>
      </c>
    </row>
    <row r="424" spans="25:53" x14ac:dyDescent="0.3">
      <c r="Z424" s="57">
        <v>45168</v>
      </c>
      <c r="AA424" t="s">
        <v>1835</v>
      </c>
      <c r="AB424" s="18">
        <v>0</v>
      </c>
      <c r="AC424" s="18"/>
      <c r="AD424" s="18"/>
      <c r="AE424" s="18"/>
      <c r="AF424" s="18"/>
      <c r="AG424" s="18"/>
      <c r="AH424" s="18">
        <v>0</v>
      </c>
      <c r="AR424" t="s">
        <v>1044</v>
      </c>
      <c r="AS424" t="s">
        <v>1763</v>
      </c>
      <c r="AT424" t="s">
        <v>1763</v>
      </c>
      <c r="AU424" s="18"/>
      <c r="AV424" s="18"/>
      <c r="AW424" s="18"/>
      <c r="AX424" s="18"/>
      <c r="AY424" s="18">
        <v>0</v>
      </c>
      <c r="AZ424" s="18"/>
      <c r="BA424" s="18">
        <v>0</v>
      </c>
    </row>
    <row r="425" spans="25:53" x14ac:dyDescent="0.3">
      <c r="Y425">
        <v>9</v>
      </c>
      <c r="Z425" s="57">
        <v>45177</v>
      </c>
      <c r="AA425" t="s">
        <v>1889</v>
      </c>
      <c r="AB425" s="18">
        <v>0</v>
      </c>
      <c r="AC425" s="18"/>
      <c r="AD425" s="18"/>
      <c r="AE425" s="18"/>
      <c r="AF425" s="18"/>
      <c r="AG425" s="18"/>
      <c r="AH425" s="18">
        <v>0</v>
      </c>
      <c r="AR425" s="36" t="s">
        <v>1045</v>
      </c>
      <c r="AS425" s="36"/>
      <c r="AT425" s="36"/>
      <c r="AU425" s="37"/>
      <c r="AV425" s="37"/>
      <c r="AW425" s="37"/>
      <c r="AX425" s="37"/>
      <c r="AY425" s="37">
        <v>0</v>
      </c>
      <c r="AZ425" s="37"/>
      <c r="BA425" s="37">
        <v>0</v>
      </c>
    </row>
    <row r="426" spans="25:53" x14ac:dyDescent="0.3">
      <c r="Z426" s="57">
        <v>45182</v>
      </c>
      <c r="AA426" t="s">
        <v>1902</v>
      </c>
      <c r="AB426" s="18">
        <v>0</v>
      </c>
      <c r="AC426" s="18"/>
      <c r="AD426" s="18"/>
      <c r="AE426" s="18"/>
      <c r="AF426" s="18"/>
      <c r="AG426" s="18"/>
      <c r="AH426" s="18">
        <v>0</v>
      </c>
      <c r="AR426" t="s">
        <v>1051</v>
      </c>
      <c r="AS426">
        <v>2022</v>
      </c>
      <c r="AT426">
        <v>11</v>
      </c>
      <c r="AU426" s="18">
        <v>0</v>
      </c>
      <c r="AV426" s="18"/>
      <c r="AW426" s="18"/>
      <c r="AX426" s="18"/>
      <c r="AY426" s="18"/>
      <c r="AZ426" s="18"/>
      <c r="BA426" s="18">
        <v>0</v>
      </c>
    </row>
    <row r="427" spans="25:53" x14ac:dyDescent="0.3">
      <c r="Z427" s="57">
        <v>45192</v>
      </c>
      <c r="AA427" t="s">
        <v>1916</v>
      </c>
      <c r="AB427" s="18">
        <v>0</v>
      </c>
      <c r="AC427" s="18"/>
      <c r="AD427" s="18"/>
      <c r="AE427" s="18"/>
      <c r="AF427" s="18"/>
      <c r="AG427" s="18"/>
      <c r="AH427" s="18">
        <v>0</v>
      </c>
      <c r="AT427">
        <v>12</v>
      </c>
      <c r="AU427" s="18">
        <v>0</v>
      </c>
      <c r="AV427" s="18"/>
      <c r="AW427" s="18"/>
      <c r="AX427" s="18"/>
      <c r="AY427" s="18"/>
      <c r="AZ427" s="18"/>
      <c r="BA427" s="18">
        <v>0</v>
      </c>
    </row>
    <row r="428" spans="25:53" x14ac:dyDescent="0.3">
      <c r="Z428" s="57">
        <v>45195</v>
      </c>
      <c r="AA428" t="s">
        <v>1920</v>
      </c>
      <c r="AB428" s="18">
        <v>0</v>
      </c>
      <c r="AC428" s="18"/>
      <c r="AD428" s="18"/>
      <c r="AE428" s="18"/>
      <c r="AF428" s="18"/>
      <c r="AG428" s="18"/>
      <c r="AH428" s="18">
        <v>0</v>
      </c>
      <c r="AR428" s="36" t="s">
        <v>1088</v>
      </c>
      <c r="AS428" s="36"/>
      <c r="AT428" s="36"/>
      <c r="AU428" s="37">
        <v>0</v>
      </c>
      <c r="AV428" s="37"/>
      <c r="AW428" s="37"/>
      <c r="AX428" s="37"/>
      <c r="AY428" s="37"/>
      <c r="AZ428" s="37"/>
      <c r="BA428" s="37">
        <v>0</v>
      </c>
    </row>
    <row r="429" spans="25:53" x14ac:dyDescent="0.3">
      <c r="Y429">
        <v>10</v>
      </c>
      <c r="Z429" s="57">
        <v>45202</v>
      </c>
      <c r="AA429" t="s">
        <v>1991</v>
      </c>
      <c r="AB429" s="18">
        <v>-5.6843418860808015E-14</v>
      </c>
      <c r="AC429" s="18"/>
      <c r="AD429" s="18"/>
      <c r="AE429" s="18"/>
      <c r="AF429" s="18"/>
      <c r="AG429" s="18"/>
      <c r="AH429" s="18">
        <v>-5.6843418860808015E-14</v>
      </c>
      <c r="AR429" t="s">
        <v>1057</v>
      </c>
      <c r="AS429">
        <v>2022</v>
      </c>
      <c r="AT429">
        <v>11</v>
      </c>
      <c r="AU429" s="18">
        <v>0</v>
      </c>
      <c r="AV429" s="18"/>
      <c r="AW429" s="18"/>
      <c r="AX429" s="18"/>
      <c r="AY429" s="18"/>
      <c r="AZ429" s="18"/>
      <c r="BA429" s="18">
        <v>0</v>
      </c>
    </row>
    <row r="430" spans="25:53" x14ac:dyDescent="0.3">
      <c r="Z430" t="s">
        <v>2009</v>
      </c>
      <c r="AA430" t="s">
        <v>2010</v>
      </c>
      <c r="AB430" s="18">
        <v>0</v>
      </c>
      <c r="AC430" s="18"/>
      <c r="AD430" s="18"/>
      <c r="AE430" s="18"/>
      <c r="AF430" s="18"/>
      <c r="AG430" s="18"/>
      <c r="AH430" s="18">
        <v>0</v>
      </c>
      <c r="AR430" s="36" t="s">
        <v>1089</v>
      </c>
      <c r="AS430" s="36"/>
      <c r="AT430" s="36"/>
      <c r="AU430" s="37">
        <v>0</v>
      </c>
      <c r="AV430" s="37"/>
      <c r="AW430" s="37"/>
      <c r="AX430" s="37"/>
      <c r="AY430" s="37"/>
      <c r="AZ430" s="37"/>
      <c r="BA430" s="37">
        <v>0</v>
      </c>
    </row>
    <row r="431" spans="25:53" x14ac:dyDescent="0.3">
      <c r="Z431" s="57">
        <v>45225</v>
      </c>
      <c r="AA431" t="s">
        <v>2030</v>
      </c>
      <c r="AB431" s="18">
        <v>0</v>
      </c>
      <c r="AC431" s="18"/>
      <c r="AD431" s="18"/>
      <c r="AE431" s="18"/>
      <c r="AF431" s="18"/>
      <c r="AG431" s="18"/>
      <c r="AH431" s="18">
        <v>0</v>
      </c>
      <c r="AR431" t="s">
        <v>1101</v>
      </c>
      <c r="AS431">
        <v>2022</v>
      </c>
      <c r="AT431">
        <v>11</v>
      </c>
      <c r="AU431" s="18">
        <v>0</v>
      </c>
      <c r="AV431" s="18"/>
      <c r="AW431" s="18"/>
      <c r="AX431" s="18"/>
      <c r="AY431" s="18"/>
      <c r="AZ431" s="18"/>
      <c r="BA431" s="18">
        <v>0</v>
      </c>
    </row>
    <row r="432" spans="25:53" x14ac:dyDescent="0.3">
      <c r="Z432" s="57">
        <v>45226</v>
      </c>
      <c r="AA432" t="s">
        <v>2032</v>
      </c>
      <c r="AB432" s="18">
        <v>0</v>
      </c>
      <c r="AC432" s="18"/>
      <c r="AD432" s="18"/>
      <c r="AE432" s="18"/>
      <c r="AF432" s="18"/>
      <c r="AG432" s="18"/>
      <c r="AH432" s="18">
        <v>0</v>
      </c>
      <c r="AR432" s="36" t="s">
        <v>1104</v>
      </c>
      <c r="AS432" s="36"/>
      <c r="AT432" s="36"/>
      <c r="AU432" s="37">
        <v>0</v>
      </c>
      <c r="AV432" s="37"/>
      <c r="AW432" s="37"/>
      <c r="AX432" s="37"/>
      <c r="AY432" s="37"/>
      <c r="AZ432" s="37"/>
      <c r="BA432" s="37">
        <v>0</v>
      </c>
    </row>
    <row r="433" spans="24:53" x14ac:dyDescent="0.3">
      <c r="Y433">
        <v>11</v>
      </c>
      <c r="Z433" s="57">
        <v>45233</v>
      </c>
      <c r="AA433" t="s">
        <v>2149</v>
      </c>
      <c r="AB433" s="18">
        <v>0</v>
      </c>
      <c r="AC433" s="18"/>
      <c r="AD433" s="18"/>
      <c r="AE433" s="18"/>
      <c r="AF433" s="18"/>
      <c r="AG433" s="18"/>
      <c r="AH433" s="18">
        <v>0</v>
      </c>
      <c r="AR433" t="s">
        <v>1100</v>
      </c>
      <c r="AS433">
        <v>2022</v>
      </c>
      <c r="AT433">
        <v>11</v>
      </c>
      <c r="AU433" s="18">
        <v>0</v>
      </c>
      <c r="AV433" s="18"/>
      <c r="AW433" s="18"/>
      <c r="AX433" s="18"/>
      <c r="AY433" s="18"/>
      <c r="AZ433" s="18"/>
      <c r="BA433" s="18">
        <v>0</v>
      </c>
    </row>
    <row r="434" spans="24:53" x14ac:dyDescent="0.3">
      <c r="Z434" s="57">
        <v>45245</v>
      </c>
      <c r="AA434" t="s">
        <v>2161</v>
      </c>
      <c r="AB434" s="18">
        <v>0</v>
      </c>
      <c r="AC434" s="18"/>
      <c r="AD434" s="18"/>
      <c r="AE434" s="18"/>
      <c r="AF434" s="18"/>
      <c r="AG434" s="18"/>
      <c r="AH434" s="18">
        <v>0</v>
      </c>
      <c r="AR434" s="36" t="s">
        <v>1105</v>
      </c>
      <c r="AS434" s="36"/>
      <c r="AT434" s="36"/>
      <c r="AU434" s="37">
        <v>0</v>
      </c>
      <c r="AV434" s="37"/>
      <c r="AW434" s="37"/>
      <c r="AX434" s="37"/>
      <c r="AY434" s="37"/>
      <c r="AZ434" s="37"/>
      <c r="BA434" s="37">
        <v>0</v>
      </c>
    </row>
    <row r="435" spans="24:53" x14ac:dyDescent="0.3">
      <c r="Z435" s="57">
        <v>45259</v>
      </c>
      <c r="AA435" t="s">
        <v>2174</v>
      </c>
      <c r="AB435" s="18">
        <v>0</v>
      </c>
      <c r="AC435" s="18"/>
      <c r="AD435" s="18"/>
      <c r="AE435" s="18"/>
      <c r="AF435" s="18"/>
      <c r="AG435" s="18"/>
      <c r="AH435" s="18">
        <v>0</v>
      </c>
      <c r="AR435" t="s">
        <v>1196</v>
      </c>
      <c r="AS435">
        <v>2023</v>
      </c>
      <c r="AT435">
        <v>1</v>
      </c>
      <c r="AU435" s="18">
        <v>0</v>
      </c>
      <c r="AV435" s="18"/>
      <c r="AW435" s="18"/>
      <c r="AX435" s="18"/>
      <c r="AY435" s="18"/>
      <c r="AZ435" s="18"/>
      <c r="BA435" s="18">
        <v>0</v>
      </c>
    </row>
    <row r="436" spans="24:53" x14ac:dyDescent="0.3">
      <c r="Y436">
        <v>12</v>
      </c>
      <c r="Z436" s="57">
        <v>45268</v>
      </c>
      <c r="AA436" t="s">
        <v>2186</v>
      </c>
      <c r="AB436" s="18">
        <v>0</v>
      </c>
      <c r="AC436" s="18"/>
      <c r="AD436" s="18"/>
      <c r="AE436" s="18"/>
      <c r="AF436" s="18"/>
      <c r="AG436" s="18"/>
      <c r="AH436" s="18">
        <v>0</v>
      </c>
      <c r="AT436">
        <v>2</v>
      </c>
      <c r="AU436" s="18">
        <v>0</v>
      </c>
      <c r="AV436" s="18"/>
      <c r="AW436" s="18"/>
      <c r="AX436" s="18"/>
      <c r="AY436" s="18"/>
      <c r="AZ436" s="18"/>
      <c r="BA436" s="18">
        <v>0</v>
      </c>
    </row>
    <row r="437" spans="24:53" x14ac:dyDescent="0.3">
      <c r="Z437" s="57">
        <v>45279</v>
      </c>
      <c r="AA437" t="s">
        <v>2200</v>
      </c>
      <c r="AB437" s="18">
        <v>0</v>
      </c>
      <c r="AC437" s="18"/>
      <c r="AD437" s="18"/>
      <c r="AE437" s="18"/>
      <c r="AF437" s="18"/>
      <c r="AG437" s="18"/>
      <c r="AH437" s="18">
        <v>0</v>
      </c>
      <c r="AT437">
        <v>3</v>
      </c>
      <c r="AU437" s="18">
        <v>0</v>
      </c>
      <c r="AV437" s="18"/>
      <c r="AW437" s="18"/>
      <c r="AX437" s="18"/>
      <c r="AY437" s="18"/>
      <c r="AZ437" s="18"/>
      <c r="BA437" s="18">
        <v>0</v>
      </c>
    </row>
    <row r="438" spans="24:53" x14ac:dyDescent="0.3">
      <c r="Z438" s="57">
        <v>45290</v>
      </c>
      <c r="AA438" t="s">
        <v>2214</v>
      </c>
      <c r="AB438" s="18">
        <v>0</v>
      </c>
      <c r="AC438" s="18"/>
      <c r="AD438" s="18"/>
      <c r="AE438" s="18"/>
      <c r="AF438" s="18"/>
      <c r="AG438" s="18"/>
      <c r="AH438" s="18">
        <v>0</v>
      </c>
      <c r="AT438">
        <v>5</v>
      </c>
      <c r="AU438" s="18">
        <v>0</v>
      </c>
      <c r="AV438" s="18"/>
      <c r="AW438" s="18"/>
      <c r="AX438" s="18"/>
      <c r="AY438" s="18"/>
      <c r="AZ438" s="18"/>
      <c r="BA438" s="18">
        <v>0</v>
      </c>
    </row>
    <row r="439" spans="24:53" x14ac:dyDescent="0.3">
      <c r="Y439">
        <v>4</v>
      </c>
      <c r="Z439" t="s">
        <v>1462</v>
      </c>
      <c r="AA439" t="s">
        <v>1461</v>
      </c>
      <c r="AB439" s="18">
        <v>0</v>
      </c>
      <c r="AC439" s="18"/>
      <c r="AD439" s="18"/>
      <c r="AE439" s="18"/>
      <c r="AF439" s="18"/>
      <c r="AG439" s="18"/>
      <c r="AH439" s="18">
        <v>0</v>
      </c>
      <c r="AT439">
        <v>6</v>
      </c>
      <c r="AU439" s="18">
        <v>0</v>
      </c>
      <c r="AV439" s="18"/>
      <c r="AW439" s="18"/>
      <c r="AX439" s="18"/>
      <c r="AY439" s="18"/>
      <c r="AZ439" s="18"/>
      <c r="BA439" s="18">
        <v>0</v>
      </c>
    </row>
    <row r="440" spans="24:53" x14ac:dyDescent="0.3">
      <c r="AA440" t="s">
        <v>1467</v>
      </c>
      <c r="AB440" s="18">
        <v>0</v>
      </c>
      <c r="AC440" s="18"/>
      <c r="AD440" s="18"/>
      <c r="AE440" s="18"/>
      <c r="AF440" s="18"/>
      <c r="AG440" s="18"/>
      <c r="AH440" s="18">
        <v>0</v>
      </c>
      <c r="AT440">
        <v>7</v>
      </c>
      <c r="AU440" s="18">
        <v>0</v>
      </c>
      <c r="AV440" s="18"/>
      <c r="AW440" s="18"/>
      <c r="AX440" s="18"/>
      <c r="AY440" s="18"/>
      <c r="AZ440" s="18"/>
      <c r="BA440" s="18">
        <v>0</v>
      </c>
    </row>
    <row r="441" spans="24:53" x14ac:dyDescent="0.3">
      <c r="Z441" s="57">
        <v>45023</v>
      </c>
      <c r="AA441" t="s">
        <v>1412</v>
      </c>
      <c r="AB441" s="18">
        <v>0</v>
      </c>
      <c r="AC441" s="18"/>
      <c r="AD441" s="18"/>
      <c r="AE441" s="18"/>
      <c r="AF441" s="18"/>
      <c r="AG441" s="18"/>
      <c r="AH441" s="18">
        <v>0</v>
      </c>
      <c r="AT441">
        <v>8</v>
      </c>
      <c r="AU441" s="18">
        <v>0</v>
      </c>
      <c r="AV441" s="18"/>
      <c r="AW441" s="18"/>
      <c r="AX441" s="18"/>
      <c r="AY441" s="18"/>
      <c r="AZ441" s="18"/>
      <c r="BA441" s="18">
        <v>0</v>
      </c>
    </row>
    <row r="442" spans="24:53" x14ac:dyDescent="0.3">
      <c r="X442">
        <v>2024</v>
      </c>
      <c r="Y442">
        <v>1</v>
      </c>
      <c r="Z442" s="57">
        <v>45301</v>
      </c>
      <c r="AA442" t="s">
        <v>2276</v>
      </c>
      <c r="AB442" s="18">
        <v>0</v>
      </c>
      <c r="AC442" s="18"/>
      <c r="AD442" s="18"/>
      <c r="AE442" s="18"/>
      <c r="AF442" s="18"/>
      <c r="AG442" s="18"/>
      <c r="AH442" s="18">
        <v>0</v>
      </c>
      <c r="AT442">
        <v>9</v>
      </c>
      <c r="AU442" s="18">
        <v>0</v>
      </c>
      <c r="AV442" s="18"/>
      <c r="AW442" s="18"/>
      <c r="AX442" s="18"/>
      <c r="AY442" s="18"/>
      <c r="AZ442" s="18"/>
      <c r="BA442" s="18">
        <v>0</v>
      </c>
    </row>
    <row r="443" spans="24:53" x14ac:dyDescent="0.3">
      <c r="Z443" s="57">
        <v>45308</v>
      </c>
      <c r="AA443" t="s">
        <v>2282</v>
      </c>
      <c r="AB443" s="18">
        <v>0</v>
      </c>
      <c r="AC443" s="18"/>
      <c r="AD443" s="18"/>
      <c r="AE443" s="18"/>
      <c r="AF443" s="18"/>
      <c r="AG443" s="18"/>
      <c r="AH443" s="18">
        <v>0</v>
      </c>
      <c r="AT443">
        <v>10</v>
      </c>
      <c r="AU443" s="18">
        <v>0</v>
      </c>
      <c r="AV443" s="18"/>
      <c r="AW443" s="18"/>
      <c r="AX443" s="18"/>
      <c r="AY443" s="18"/>
      <c r="AZ443" s="18"/>
      <c r="BA443" s="18">
        <v>0</v>
      </c>
    </row>
    <row r="444" spans="24:53" x14ac:dyDescent="0.3">
      <c r="Z444" s="57">
        <v>45310</v>
      </c>
      <c r="AA444" t="s">
        <v>2286</v>
      </c>
      <c r="AB444" s="18">
        <v>0</v>
      </c>
      <c r="AC444" s="18"/>
      <c r="AD444" s="18"/>
      <c r="AE444" s="18"/>
      <c r="AF444" s="18"/>
      <c r="AG444" s="18"/>
      <c r="AH444" s="18">
        <v>0</v>
      </c>
      <c r="AT444">
        <v>11</v>
      </c>
      <c r="AU444" s="18">
        <v>2576.3000000000002</v>
      </c>
      <c r="AV444" s="18"/>
      <c r="AW444" s="18"/>
      <c r="AX444" s="18"/>
      <c r="AY444" s="18"/>
      <c r="AZ444" s="18"/>
      <c r="BA444" s="18">
        <v>2576.3000000000002</v>
      </c>
    </row>
    <row r="445" spans="24:53" x14ac:dyDescent="0.3">
      <c r="Y445">
        <v>2</v>
      </c>
      <c r="Z445" s="57">
        <v>45323</v>
      </c>
      <c r="AA445" t="s">
        <v>2342</v>
      </c>
      <c r="AB445" s="18">
        <v>0</v>
      </c>
      <c r="AC445" s="18"/>
      <c r="AD445" s="18"/>
      <c r="AE445" s="18"/>
      <c r="AF445" s="18"/>
      <c r="AG445" s="18"/>
      <c r="AH445" s="18">
        <v>0</v>
      </c>
      <c r="AT445">
        <v>4</v>
      </c>
      <c r="AU445" s="18">
        <v>0</v>
      </c>
      <c r="AV445" s="18"/>
      <c r="AW445" s="18"/>
      <c r="AX445" s="18"/>
      <c r="AY445" s="18"/>
      <c r="AZ445" s="18"/>
      <c r="BA445" s="18">
        <v>0</v>
      </c>
    </row>
    <row r="446" spans="24:53" x14ac:dyDescent="0.3">
      <c r="Z446" s="57">
        <v>45337</v>
      </c>
      <c r="AA446" t="s">
        <v>2354</v>
      </c>
      <c r="AB446" s="18">
        <v>0</v>
      </c>
      <c r="AC446" s="18"/>
      <c r="AD446" s="18"/>
      <c r="AE446" s="18"/>
      <c r="AF446" s="18"/>
      <c r="AG446" s="18"/>
      <c r="AH446" s="18">
        <v>0</v>
      </c>
      <c r="AR446" s="36" t="s">
        <v>1232</v>
      </c>
      <c r="AS446" s="36"/>
      <c r="AT446" s="36"/>
      <c r="AU446" s="37">
        <v>2576.3000000000002</v>
      </c>
      <c r="AV446" s="37"/>
      <c r="AW446" s="37"/>
      <c r="AX446" s="37"/>
      <c r="AY446" s="37"/>
      <c r="AZ446" s="37"/>
      <c r="BA446" s="37">
        <v>2576.3000000000002</v>
      </c>
    </row>
    <row r="447" spans="24:53" x14ac:dyDescent="0.3">
      <c r="Z447" s="57">
        <v>45345</v>
      </c>
      <c r="AA447" t="s">
        <v>2366</v>
      </c>
      <c r="AB447" s="18">
        <v>0</v>
      </c>
      <c r="AC447" s="18"/>
      <c r="AD447" s="18"/>
      <c r="AE447" s="18"/>
      <c r="AF447" s="18"/>
      <c r="AG447" s="18"/>
      <c r="AH447" s="18">
        <v>0</v>
      </c>
      <c r="AR447" t="s">
        <v>1257</v>
      </c>
      <c r="AS447">
        <v>2023</v>
      </c>
      <c r="AT447">
        <v>2</v>
      </c>
      <c r="AU447" s="18">
        <v>0</v>
      </c>
      <c r="AV447" s="18"/>
      <c r="AW447" s="18"/>
      <c r="AX447" s="18"/>
      <c r="AY447" s="18"/>
      <c r="AZ447" s="18"/>
      <c r="BA447" s="18">
        <v>0</v>
      </c>
    </row>
    <row r="448" spans="24:53" x14ac:dyDescent="0.3">
      <c r="Y448">
        <v>3</v>
      </c>
      <c r="Z448" s="57">
        <v>45356</v>
      </c>
      <c r="AA448" t="s">
        <v>2430</v>
      </c>
      <c r="AB448" s="18">
        <v>0</v>
      </c>
      <c r="AC448" s="18"/>
      <c r="AD448" s="18"/>
      <c r="AE448" s="18"/>
      <c r="AF448" s="18"/>
      <c r="AG448" s="18"/>
      <c r="AH448" s="18">
        <v>0</v>
      </c>
      <c r="AT448">
        <v>4</v>
      </c>
      <c r="AU448" s="18">
        <v>0</v>
      </c>
      <c r="AV448" s="18"/>
      <c r="AW448" s="18"/>
      <c r="AX448" s="18"/>
      <c r="AY448" s="18"/>
      <c r="AZ448" s="18"/>
      <c r="BA448" s="18">
        <v>0</v>
      </c>
    </row>
    <row r="449" spans="25:53" x14ac:dyDescent="0.3">
      <c r="Z449" s="57">
        <v>45367</v>
      </c>
      <c r="AA449" t="s">
        <v>2441</v>
      </c>
      <c r="AB449" s="18">
        <v>0</v>
      </c>
      <c r="AC449" s="18"/>
      <c r="AD449" s="18"/>
      <c r="AE449" s="18"/>
      <c r="AF449" s="18"/>
      <c r="AG449" s="18"/>
      <c r="AH449" s="18">
        <v>0</v>
      </c>
      <c r="AR449" s="36" t="s">
        <v>1387</v>
      </c>
      <c r="AS449" s="36"/>
      <c r="AT449" s="36"/>
      <c r="AU449" s="37">
        <v>0</v>
      </c>
      <c r="AV449" s="37"/>
      <c r="AW449" s="37"/>
      <c r="AX449" s="37"/>
      <c r="AY449" s="37"/>
      <c r="AZ449" s="37"/>
      <c r="BA449" s="37">
        <v>0</v>
      </c>
    </row>
    <row r="450" spans="25:53" x14ac:dyDescent="0.3">
      <c r="Z450" s="57">
        <v>45379</v>
      </c>
      <c r="AA450" t="s">
        <v>2452</v>
      </c>
      <c r="AB450" s="18">
        <v>0</v>
      </c>
      <c r="AC450" s="18"/>
      <c r="AD450" s="18"/>
      <c r="AE450" s="18"/>
      <c r="AF450" s="18"/>
      <c r="AG450" s="18"/>
      <c r="AH450" s="18">
        <v>0</v>
      </c>
      <c r="AR450" t="s">
        <v>1304</v>
      </c>
      <c r="AS450">
        <v>2023</v>
      </c>
      <c r="AT450">
        <v>3</v>
      </c>
      <c r="AU450" s="18">
        <v>0</v>
      </c>
      <c r="AV450" s="18"/>
      <c r="AW450" s="18"/>
      <c r="AX450" s="18"/>
      <c r="AY450" s="18"/>
      <c r="AZ450" s="18"/>
      <c r="BA450" s="18">
        <v>0</v>
      </c>
    </row>
    <row r="451" spans="25:53" x14ac:dyDescent="0.3">
      <c r="Y451">
        <v>5</v>
      </c>
      <c r="Z451" s="57">
        <v>45413</v>
      </c>
      <c r="AA451" t="s">
        <v>2548</v>
      </c>
      <c r="AB451" s="18">
        <v>0</v>
      </c>
      <c r="AC451" s="18"/>
      <c r="AD451" s="18"/>
      <c r="AE451" s="18"/>
      <c r="AF451" s="18"/>
      <c r="AG451" s="18"/>
      <c r="AH451" s="18">
        <v>0</v>
      </c>
      <c r="AR451" s="36" t="s">
        <v>1388</v>
      </c>
      <c r="AS451" s="36"/>
      <c r="AT451" s="36"/>
      <c r="AU451" s="37">
        <v>0</v>
      </c>
      <c r="AV451" s="37"/>
      <c r="AW451" s="37"/>
      <c r="AX451" s="37"/>
      <c r="AY451" s="37"/>
      <c r="AZ451" s="37"/>
      <c r="BA451" s="37">
        <v>0</v>
      </c>
    </row>
    <row r="452" spans="25:53" x14ac:dyDescent="0.3">
      <c r="Z452" s="57">
        <v>45422</v>
      </c>
      <c r="AA452" t="s">
        <v>2561</v>
      </c>
      <c r="AB452" s="18">
        <v>0</v>
      </c>
      <c r="AC452" s="18"/>
      <c r="AD452" s="18"/>
      <c r="AE452" s="18"/>
      <c r="AF452" s="18"/>
      <c r="AG452" s="18"/>
      <c r="AH452" s="18">
        <v>0</v>
      </c>
      <c r="AR452" t="s">
        <v>1309</v>
      </c>
      <c r="AS452">
        <v>2023</v>
      </c>
      <c r="AT452">
        <v>5</v>
      </c>
      <c r="AU452" s="18"/>
      <c r="AV452" s="18"/>
      <c r="AW452" s="18"/>
      <c r="AX452" s="18"/>
      <c r="AY452" s="18"/>
      <c r="AZ452" s="18">
        <v>0</v>
      </c>
      <c r="BA452" s="18">
        <v>0</v>
      </c>
    </row>
    <row r="453" spans="25:53" x14ac:dyDescent="0.3">
      <c r="Z453" s="57">
        <v>45440</v>
      </c>
      <c r="AA453" t="s">
        <v>2568</v>
      </c>
      <c r="AB453" s="18">
        <v>718.6</v>
      </c>
      <c r="AC453" s="18"/>
      <c r="AD453" s="18"/>
      <c r="AE453" s="18"/>
      <c r="AF453" s="18"/>
      <c r="AG453" s="18"/>
      <c r="AH453" s="18">
        <v>718.6</v>
      </c>
      <c r="AT453">
        <v>6</v>
      </c>
      <c r="AU453" s="18"/>
      <c r="AV453" s="18"/>
      <c r="AW453" s="18"/>
      <c r="AX453" s="18"/>
      <c r="AY453" s="18"/>
      <c r="AZ453" s="18">
        <v>0</v>
      </c>
      <c r="BA453" s="18">
        <v>0</v>
      </c>
    </row>
    <row r="454" spans="25:53" x14ac:dyDescent="0.3">
      <c r="Y454">
        <v>6</v>
      </c>
      <c r="Z454" s="57">
        <v>45450</v>
      </c>
      <c r="AA454" t="s">
        <v>2642</v>
      </c>
      <c r="AB454" s="18">
        <v>2390</v>
      </c>
      <c r="AC454" s="18"/>
      <c r="AD454" s="18"/>
      <c r="AE454" s="18"/>
      <c r="AF454" s="18"/>
      <c r="AG454" s="18"/>
      <c r="AH454" s="18">
        <v>2390</v>
      </c>
      <c r="AT454">
        <v>7</v>
      </c>
      <c r="AU454" s="18"/>
      <c r="AV454" s="18"/>
      <c r="AW454" s="18"/>
      <c r="AX454" s="18"/>
      <c r="AY454" s="18"/>
      <c r="AZ454" s="18">
        <v>0</v>
      </c>
      <c r="BA454" s="18">
        <v>0</v>
      </c>
    </row>
    <row r="455" spans="25:53" x14ac:dyDescent="0.3">
      <c r="Z455" s="57">
        <v>45465</v>
      </c>
      <c r="AA455" t="s">
        <v>2657</v>
      </c>
      <c r="AB455" s="18">
        <v>2462.5</v>
      </c>
      <c r="AC455" s="18"/>
      <c r="AD455" s="18"/>
      <c r="AE455" s="18"/>
      <c r="AF455" s="18"/>
      <c r="AG455" s="18"/>
      <c r="AH455" s="18">
        <v>2462.5</v>
      </c>
      <c r="AT455">
        <v>8</v>
      </c>
      <c r="AU455" s="18"/>
      <c r="AV455" s="18"/>
      <c r="AW455" s="18"/>
      <c r="AX455" s="18"/>
      <c r="AY455" s="18"/>
      <c r="AZ455" s="18">
        <v>0</v>
      </c>
      <c r="BA455" s="18">
        <v>0</v>
      </c>
    </row>
    <row r="456" spans="25:53" x14ac:dyDescent="0.3">
      <c r="Y456">
        <v>7</v>
      </c>
      <c r="Z456" s="57">
        <v>45477</v>
      </c>
      <c r="AA456" t="s">
        <v>2754</v>
      </c>
      <c r="AB456" s="18">
        <v>3105</v>
      </c>
      <c r="AC456" s="18"/>
      <c r="AD456" s="18"/>
      <c r="AE456" s="18"/>
      <c r="AF456" s="18"/>
      <c r="AG456" s="18"/>
      <c r="AH456" s="18">
        <v>3105</v>
      </c>
      <c r="AT456">
        <v>9</v>
      </c>
      <c r="AU456" s="18"/>
      <c r="AV456" s="18"/>
      <c r="AW456" s="18"/>
      <c r="AX456" s="18"/>
      <c r="AY456" s="18"/>
      <c r="AZ456" s="18">
        <v>0</v>
      </c>
      <c r="BA456" s="18">
        <v>0</v>
      </c>
    </row>
    <row r="457" spans="25:53" x14ac:dyDescent="0.3">
      <c r="Z457" s="57">
        <v>45490</v>
      </c>
      <c r="AA457" t="s">
        <v>2762</v>
      </c>
      <c r="AB457" s="18">
        <v>2165</v>
      </c>
      <c r="AC457" s="18"/>
      <c r="AD457" s="18"/>
      <c r="AE457" s="18"/>
      <c r="AF457" s="18"/>
      <c r="AG457" s="18"/>
      <c r="AH457" s="18">
        <v>2165</v>
      </c>
      <c r="AT457">
        <v>10</v>
      </c>
      <c r="AU457" s="18"/>
      <c r="AV457" s="18"/>
      <c r="AW457" s="18"/>
      <c r="AX457" s="18"/>
      <c r="AY457" s="18"/>
      <c r="AZ457" s="18">
        <v>0</v>
      </c>
      <c r="BA457" s="18">
        <v>0</v>
      </c>
    </row>
    <row r="458" spans="25:53" x14ac:dyDescent="0.3">
      <c r="Z458" s="57">
        <v>45497</v>
      </c>
      <c r="AA458" t="s">
        <v>2767</v>
      </c>
      <c r="AB458" s="18">
        <v>3451.3</v>
      </c>
      <c r="AC458" s="18"/>
      <c r="AD458" s="18"/>
      <c r="AE458" s="18"/>
      <c r="AF458" s="18"/>
      <c r="AG458" s="18"/>
      <c r="AH458" s="18">
        <v>3451.3</v>
      </c>
      <c r="AT458">
        <v>11</v>
      </c>
      <c r="AU458" s="18"/>
      <c r="AV458" s="18"/>
      <c r="AW458" s="18"/>
      <c r="AX458" s="18"/>
      <c r="AY458" s="18"/>
      <c r="AZ458" s="18">
        <v>0</v>
      </c>
      <c r="BA458" s="18">
        <v>0</v>
      </c>
    </row>
    <row r="459" spans="25:53" x14ac:dyDescent="0.3">
      <c r="Y459">
        <v>8</v>
      </c>
      <c r="Z459" s="57">
        <v>45510</v>
      </c>
      <c r="AA459" t="s">
        <v>2847</v>
      </c>
      <c r="AB459" s="18">
        <v>2997.5</v>
      </c>
      <c r="AC459" s="18"/>
      <c r="AD459" s="18"/>
      <c r="AE459" s="18"/>
      <c r="AF459" s="18"/>
      <c r="AG459" s="18"/>
      <c r="AH459" s="18">
        <v>2997.5</v>
      </c>
      <c r="AT459">
        <v>4</v>
      </c>
      <c r="AU459" s="18"/>
      <c r="AV459" s="18"/>
      <c r="AW459" s="18"/>
      <c r="AX459" s="18"/>
      <c r="AY459" s="18"/>
      <c r="AZ459" s="18">
        <v>0</v>
      </c>
      <c r="BA459" s="18">
        <v>0</v>
      </c>
    </row>
    <row r="460" spans="25:53" x14ac:dyDescent="0.3">
      <c r="Z460" s="57">
        <v>45520</v>
      </c>
      <c r="AA460" t="s">
        <v>2860</v>
      </c>
      <c r="AB460" s="18">
        <v>1880</v>
      </c>
      <c r="AC460" s="18"/>
      <c r="AD460" s="18"/>
      <c r="AE460" s="18"/>
      <c r="AF460" s="18"/>
      <c r="AG460" s="18"/>
      <c r="AH460" s="18">
        <v>1880</v>
      </c>
      <c r="AS460">
        <v>2024</v>
      </c>
      <c r="AT460">
        <v>1</v>
      </c>
      <c r="AU460" s="18"/>
      <c r="AV460" s="18"/>
      <c r="AW460" s="18"/>
      <c r="AX460" s="18"/>
      <c r="AY460" s="18"/>
      <c r="AZ460" s="18">
        <v>0</v>
      </c>
      <c r="BA460" s="18">
        <v>0</v>
      </c>
    </row>
    <row r="461" spans="25:53" x14ac:dyDescent="0.3">
      <c r="Z461" s="57">
        <v>45531</v>
      </c>
      <c r="AA461" t="s">
        <v>2872</v>
      </c>
      <c r="AB461" s="18">
        <v>2772.5</v>
      </c>
      <c r="AC461" s="18"/>
      <c r="AD461" s="18"/>
      <c r="AE461" s="18"/>
      <c r="AF461" s="18"/>
      <c r="AG461" s="18"/>
      <c r="AH461" s="18">
        <v>2772.5</v>
      </c>
      <c r="AT461">
        <v>3</v>
      </c>
      <c r="AU461" s="18"/>
      <c r="AV461" s="18"/>
      <c r="AW461" s="18"/>
      <c r="AX461" s="18"/>
      <c r="AY461" s="18"/>
      <c r="AZ461" s="18">
        <v>0</v>
      </c>
      <c r="BA461" s="18">
        <v>0</v>
      </c>
    </row>
    <row r="462" spans="25:53" x14ac:dyDescent="0.3">
      <c r="Y462">
        <v>9</v>
      </c>
      <c r="Z462" s="57">
        <v>45543</v>
      </c>
      <c r="AA462" t="s">
        <v>2944</v>
      </c>
      <c r="AB462" s="18">
        <v>515</v>
      </c>
      <c r="AC462" s="18"/>
      <c r="AD462" s="18"/>
      <c r="AE462" s="18"/>
      <c r="AF462" s="18"/>
      <c r="AG462" s="18"/>
      <c r="AH462" s="18">
        <v>515</v>
      </c>
      <c r="AT462">
        <v>6</v>
      </c>
      <c r="AU462" s="18"/>
      <c r="AV462" s="18"/>
      <c r="AW462" s="18"/>
      <c r="AX462" s="18"/>
      <c r="AY462" s="18"/>
      <c r="AZ462" s="18">
        <v>0</v>
      </c>
      <c r="BA462" s="18">
        <v>0</v>
      </c>
    </row>
    <row r="463" spans="25:53" x14ac:dyDescent="0.3">
      <c r="Z463" s="57">
        <v>45546</v>
      </c>
      <c r="AA463" t="s">
        <v>2946</v>
      </c>
      <c r="AB463" s="18">
        <v>2397.5</v>
      </c>
      <c r="AC463" s="18"/>
      <c r="AD463" s="18"/>
      <c r="AE463" s="18"/>
      <c r="AF463" s="18"/>
      <c r="AG463" s="18"/>
      <c r="AH463" s="18">
        <v>2397.5</v>
      </c>
      <c r="AT463">
        <v>7</v>
      </c>
      <c r="AU463" s="18"/>
      <c r="AV463" s="18"/>
      <c r="AW463" s="18"/>
      <c r="AX463" s="18"/>
      <c r="AY463" s="18"/>
      <c r="AZ463" s="18">
        <v>0</v>
      </c>
      <c r="BA463" s="18">
        <v>0</v>
      </c>
    </row>
    <row r="464" spans="25:53" x14ac:dyDescent="0.3">
      <c r="Z464" s="57">
        <v>45561</v>
      </c>
      <c r="AA464" t="s">
        <v>2955</v>
      </c>
      <c r="AB464" s="18">
        <v>3358.8</v>
      </c>
      <c r="AC464" s="18"/>
      <c r="AD464" s="18"/>
      <c r="AE464" s="18"/>
      <c r="AF464" s="18"/>
      <c r="AG464" s="18"/>
      <c r="AH464" s="18">
        <v>3358.8</v>
      </c>
      <c r="AT464">
        <v>9</v>
      </c>
      <c r="AU464" s="18"/>
      <c r="AV464" s="18"/>
      <c r="AW464" s="18"/>
      <c r="AX464" s="18"/>
      <c r="AY464" s="18"/>
      <c r="AZ464" s="18">
        <v>0</v>
      </c>
      <c r="BA464" s="18">
        <v>0</v>
      </c>
    </row>
    <row r="465" spans="24:53" x14ac:dyDescent="0.3">
      <c r="Y465">
        <v>10</v>
      </c>
      <c r="Z465" s="57">
        <v>45574</v>
      </c>
      <c r="AA465" t="s">
        <v>3011</v>
      </c>
      <c r="AB465" s="18">
        <v>2330.5</v>
      </c>
      <c r="AC465" s="18"/>
      <c r="AD465" s="18"/>
      <c r="AE465" s="18"/>
      <c r="AF465" s="18"/>
      <c r="AG465" s="18"/>
      <c r="AH465" s="18">
        <v>2330.5</v>
      </c>
      <c r="AT465">
        <v>11</v>
      </c>
      <c r="AU465" s="18"/>
      <c r="AV465" s="18"/>
      <c r="AW465" s="18"/>
      <c r="AX465" s="18"/>
      <c r="AY465" s="18"/>
      <c r="AZ465" s="18">
        <v>0</v>
      </c>
      <c r="BA465" s="18">
        <v>0</v>
      </c>
    </row>
    <row r="466" spans="24:53" x14ac:dyDescent="0.3">
      <c r="Z466" s="57">
        <v>45583</v>
      </c>
      <c r="AA466" t="s">
        <v>3022</v>
      </c>
      <c r="AB466" s="18">
        <v>500</v>
      </c>
      <c r="AC466" s="18"/>
      <c r="AD466" s="18"/>
      <c r="AE466" s="18"/>
      <c r="AF466" s="18"/>
      <c r="AG466" s="18"/>
      <c r="AH466" s="18">
        <v>500</v>
      </c>
      <c r="AT466">
        <v>4</v>
      </c>
      <c r="AU466" s="18"/>
      <c r="AV466" s="18"/>
      <c r="AW466" s="18"/>
      <c r="AX466" s="18"/>
      <c r="AY466" s="18"/>
      <c r="AZ466" s="18">
        <v>0</v>
      </c>
      <c r="BA466" s="18">
        <v>0</v>
      </c>
    </row>
    <row r="467" spans="24:53" x14ac:dyDescent="0.3">
      <c r="Z467" s="57">
        <v>45587</v>
      </c>
      <c r="AA467" t="s">
        <v>3027</v>
      </c>
      <c r="AB467" s="18">
        <v>1738</v>
      </c>
      <c r="AC467" s="18"/>
      <c r="AD467" s="18"/>
      <c r="AE467" s="18"/>
      <c r="AF467" s="18"/>
      <c r="AG467" s="18"/>
      <c r="AH467" s="18">
        <v>1738</v>
      </c>
      <c r="AS467">
        <v>2025</v>
      </c>
      <c r="AT467">
        <v>1</v>
      </c>
      <c r="AU467" s="18"/>
      <c r="AV467" s="18"/>
      <c r="AW467" s="18"/>
      <c r="AX467" s="18"/>
      <c r="AY467" s="18"/>
      <c r="AZ467" s="18">
        <v>9395.5</v>
      </c>
      <c r="BA467" s="18">
        <v>9395.5</v>
      </c>
    </row>
    <row r="468" spans="24:53" x14ac:dyDescent="0.3">
      <c r="Z468" s="57">
        <v>45594</v>
      </c>
      <c r="AA468" t="s">
        <v>3032</v>
      </c>
      <c r="AB468" s="18">
        <v>405</v>
      </c>
      <c r="AC468" s="18"/>
      <c r="AD468" s="18"/>
      <c r="AE468" s="18"/>
      <c r="AF468" s="18"/>
      <c r="AG468" s="18"/>
      <c r="AH468" s="18">
        <v>405</v>
      </c>
      <c r="AT468">
        <v>3</v>
      </c>
      <c r="AU468" s="18"/>
      <c r="AV468" s="18"/>
      <c r="AW468" s="18"/>
      <c r="AX468" s="18"/>
      <c r="AY468" s="18"/>
      <c r="AZ468" s="18">
        <v>9168.5</v>
      </c>
      <c r="BA468" s="18">
        <v>9168.5</v>
      </c>
    </row>
    <row r="469" spans="24:53" x14ac:dyDescent="0.3">
      <c r="Y469">
        <v>11</v>
      </c>
      <c r="Z469" s="57">
        <v>45597</v>
      </c>
      <c r="AA469" t="s">
        <v>3101</v>
      </c>
      <c r="AB469" s="18">
        <v>2158</v>
      </c>
      <c r="AC469" s="18"/>
      <c r="AD469" s="18"/>
      <c r="AE469" s="18"/>
      <c r="AF469" s="18"/>
      <c r="AG469" s="18"/>
      <c r="AH469" s="18">
        <v>2158</v>
      </c>
      <c r="AT469">
        <v>5</v>
      </c>
      <c r="AU469" s="18"/>
      <c r="AV469" s="18"/>
      <c r="AW469" s="18"/>
      <c r="AX469" s="18"/>
      <c r="AY469" s="18"/>
      <c r="AZ469" s="18">
        <v>96</v>
      </c>
      <c r="BA469" s="18">
        <v>96</v>
      </c>
    </row>
    <row r="470" spans="24:53" x14ac:dyDescent="0.3">
      <c r="Z470" s="57">
        <v>45605</v>
      </c>
      <c r="AA470" t="s">
        <v>3117</v>
      </c>
      <c r="AB470" s="18">
        <v>1406.3</v>
      </c>
      <c r="AC470" s="18"/>
      <c r="AD470" s="18"/>
      <c r="AE470" s="18"/>
      <c r="AF470" s="18"/>
      <c r="AG470" s="18"/>
      <c r="AH470" s="18">
        <v>1406.3</v>
      </c>
      <c r="AT470">
        <v>4</v>
      </c>
      <c r="AU470" s="18"/>
      <c r="AV470" s="18"/>
      <c r="AW470" s="18"/>
      <c r="AX470" s="18"/>
      <c r="AY470" s="18"/>
      <c r="AZ470" s="18">
        <v>0</v>
      </c>
      <c r="BA470" s="18">
        <v>0</v>
      </c>
    </row>
    <row r="471" spans="24:53" x14ac:dyDescent="0.3">
      <c r="Z471" s="57">
        <v>45608</v>
      </c>
      <c r="AA471" t="s">
        <v>3120</v>
      </c>
      <c r="AB471" s="18">
        <v>2143</v>
      </c>
      <c r="AC471" s="18"/>
      <c r="AD471" s="18"/>
      <c r="AE471" s="18"/>
      <c r="AF471" s="18"/>
      <c r="AG471" s="18"/>
      <c r="AH471" s="18">
        <v>2143</v>
      </c>
      <c r="AR471" s="36" t="s">
        <v>1389</v>
      </c>
      <c r="AS471" s="36"/>
      <c r="AT471" s="36"/>
      <c r="AU471" s="37"/>
      <c r="AV471" s="37"/>
      <c r="AW471" s="37"/>
      <c r="AX471" s="37"/>
      <c r="AY471" s="37"/>
      <c r="AZ471" s="37">
        <v>18660</v>
      </c>
      <c r="BA471" s="37">
        <v>18660</v>
      </c>
    </row>
    <row r="472" spans="24:53" x14ac:dyDescent="0.3">
      <c r="Z472" s="57">
        <v>45622</v>
      </c>
      <c r="AA472" t="s">
        <v>3138</v>
      </c>
      <c r="AB472" s="18">
        <v>2670</v>
      </c>
      <c r="AC472" s="18"/>
      <c r="AD472" s="18"/>
      <c r="AE472" s="18"/>
      <c r="AF472" s="18"/>
      <c r="AG472" s="18"/>
      <c r="AH472" s="18">
        <v>2670</v>
      </c>
      <c r="AR472" t="s">
        <v>1420</v>
      </c>
      <c r="AS472">
        <v>2023</v>
      </c>
      <c r="AT472">
        <v>5</v>
      </c>
      <c r="AU472" s="18">
        <v>0</v>
      </c>
      <c r="AV472" s="18"/>
      <c r="AW472" s="18"/>
      <c r="AX472" s="18"/>
      <c r="AY472" s="18"/>
      <c r="AZ472" s="18"/>
      <c r="BA472" s="18">
        <v>0</v>
      </c>
    </row>
    <row r="473" spans="24:53" x14ac:dyDescent="0.3">
      <c r="Y473">
        <v>12</v>
      </c>
      <c r="Z473" s="57">
        <v>45633</v>
      </c>
      <c r="AA473" t="s">
        <v>3218</v>
      </c>
      <c r="AB473" s="18">
        <v>2847.5</v>
      </c>
      <c r="AC473" s="18"/>
      <c r="AD473" s="18"/>
      <c r="AE473" s="18"/>
      <c r="AF473" s="18"/>
      <c r="AG473" s="18"/>
      <c r="AH473" s="18">
        <v>2847.5</v>
      </c>
      <c r="AT473">
        <v>6</v>
      </c>
      <c r="AU473" s="18">
        <v>0</v>
      </c>
      <c r="AV473" s="18"/>
      <c r="AW473" s="18"/>
      <c r="AX473" s="18"/>
      <c r="AY473" s="18"/>
      <c r="AZ473" s="18"/>
      <c r="BA473" s="18">
        <v>0</v>
      </c>
    </row>
    <row r="474" spans="24:53" x14ac:dyDescent="0.3">
      <c r="Z474" t="s">
        <v>3235</v>
      </c>
      <c r="AA474" t="s">
        <v>3239</v>
      </c>
      <c r="AB474" s="18">
        <v>453.8</v>
      </c>
      <c r="AC474" s="18"/>
      <c r="AD474" s="18"/>
      <c r="AE474" s="18"/>
      <c r="AF474" s="18"/>
      <c r="AG474" s="18"/>
      <c r="AH474" s="18">
        <v>453.8</v>
      </c>
      <c r="AT474">
        <v>7</v>
      </c>
      <c r="AU474" s="18">
        <v>0</v>
      </c>
      <c r="AV474" s="18"/>
      <c r="AW474" s="18"/>
      <c r="AX474" s="18"/>
      <c r="AY474" s="18"/>
      <c r="AZ474" s="18"/>
      <c r="BA474" s="18">
        <v>0</v>
      </c>
    </row>
    <row r="475" spans="24:53" x14ac:dyDescent="0.3">
      <c r="Z475" t="s">
        <v>3251</v>
      </c>
      <c r="AA475" t="s">
        <v>3252</v>
      </c>
      <c r="AB475" s="18">
        <v>2202.5</v>
      </c>
      <c r="AC475" s="18"/>
      <c r="AD475" s="18"/>
      <c r="AE475" s="18"/>
      <c r="AF475" s="18"/>
      <c r="AG475" s="18"/>
      <c r="AH475" s="18">
        <v>2202.5</v>
      </c>
      <c r="AT475">
        <v>4</v>
      </c>
      <c r="AU475" s="18">
        <v>0</v>
      </c>
      <c r="AV475" s="18"/>
      <c r="AW475" s="18"/>
      <c r="AX475" s="18"/>
      <c r="AY475" s="18"/>
      <c r="AZ475" s="18"/>
      <c r="BA475" s="18">
        <v>0</v>
      </c>
    </row>
    <row r="476" spans="24:53" x14ac:dyDescent="0.3">
      <c r="Z476" t="s">
        <v>3278</v>
      </c>
      <c r="AA476" t="s">
        <v>3280</v>
      </c>
      <c r="AB476" s="18">
        <v>405</v>
      </c>
      <c r="AC476" s="18"/>
      <c r="AD476" s="18"/>
      <c r="AE476" s="18"/>
      <c r="AF476" s="18"/>
      <c r="AG476" s="18"/>
      <c r="AH476" s="18">
        <v>405</v>
      </c>
      <c r="AR476" s="36" t="s">
        <v>1436</v>
      </c>
      <c r="AS476" s="36"/>
      <c r="AT476" s="36"/>
      <c r="AU476" s="37">
        <v>0</v>
      </c>
      <c r="AV476" s="37"/>
      <c r="AW476" s="37"/>
      <c r="AX476" s="37"/>
      <c r="AY476" s="37"/>
      <c r="AZ476" s="37"/>
      <c r="BA476" s="37">
        <v>0</v>
      </c>
    </row>
    <row r="477" spans="24:53" x14ac:dyDescent="0.3">
      <c r="Y477">
        <v>4</v>
      </c>
      <c r="Z477" s="57">
        <v>45390</v>
      </c>
      <c r="AA477" t="s">
        <v>2509</v>
      </c>
      <c r="AB477" s="18">
        <v>0</v>
      </c>
      <c r="AC477" s="18"/>
      <c r="AD477" s="18"/>
      <c r="AE477" s="18"/>
      <c r="AF477" s="18"/>
      <c r="AG477" s="18"/>
      <c r="AH477" s="18">
        <v>0</v>
      </c>
      <c r="AR477" t="s">
        <v>1453</v>
      </c>
      <c r="AS477">
        <v>2021</v>
      </c>
      <c r="AT477">
        <v>1</v>
      </c>
      <c r="AU477" s="18">
        <v>0</v>
      </c>
      <c r="AV477" s="18"/>
      <c r="AW477" s="18"/>
      <c r="AX477" s="18"/>
      <c r="AY477" s="18"/>
      <c r="AZ477" s="18"/>
      <c r="BA477" s="18">
        <v>0</v>
      </c>
    </row>
    <row r="478" spans="24:53" x14ac:dyDescent="0.3">
      <c r="Z478" s="57">
        <v>45402</v>
      </c>
      <c r="AA478" t="s">
        <v>2515</v>
      </c>
      <c r="AB478" s="18">
        <v>0</v>
      </c>
      <c r="AC478" s="18"/>
      <c r="AD478" s="18"/>
      <c r="AE478" s="18"/>
      <c r="AF478" s="18"/>
      <c r="AG478" s="18"/>
      <c r="AH478" s="18">
        <v>0</v>
      </c>
      <c r="AT478">
        <v>2</v>
      </c>
      <c r="AU478" s="18">
        <v>0</v>
      </c>
      <c r="AV478" s="18"/>
      <c r="AW478" s="18"/>
      <c r="AX478" s="18"/>
      <c r="AY478" s="18"/>
      <c r="AZ478" s="18"/>
      <c r="BA478" s="18">
        <v>0</v>
      </c>
    </row>
    <row r="479" spans="24:53" x14ac:dyDescent="0.3">
      <c r="Z479" s="57">
        <v>45411</v>
      </c>
      <c r="AA479" t="s">
        <v>2521</v>
      </c>
      <c r="AB479" s="18">
        <v>0</v>
      </c>
      <c r="AC479" s="18"/>
      <c r="AD479" s="18"/>
      <c r="AE479" s="18"/>
      <c r="AF479" s="18"/>
      <c r="AG479" s="18"/>
      <c r="AH479" s="18">
        <v>0</v>
      </c>
      <c r="AT479">
        <v>5</v>
      </c>
      <c r="AU479" s="18">
        <v>0</v>
      </c>
      <c r="AV479" s="18"/>
      <c r="AW479" s="18"/>
      <c r="AX479" s="18"/>
      <c r="AY479" s="18"/>
      <c r="AZ479" s="18"/>
      <c r="BA479" s="18">
        <v>0</v>
      </c>
    </row>
    <row r="480" spans="24:53" x14ac:dyDescent="0.3">
      <c r="X480">
        <v>2025</v>
      </c>
      <c r="Y480">
        <v>1</v>
      </c>
      <c r="Z480" s="57">
        <v>45660</v>
      </c>
      <c r="AA480" t="s">
        <v>3335</v>
      </c>
      <c r="AB480" s="18">
        <v>2285</v>
      </c>
      <c r="AC480" s="18"/>
      <c r="AD480" s="18"/>
      <c r="AE480" s="18"/>
      <c r="AF480" s="18"/>
      <c r="AG480" s="18"/>
      <c r="AH480" s="18">
        <v>2285</v>
      </c>
      <c r="AT480">
        <v>10</v>
      </c>
      <c r="AU480" s="18">
        <v>0</v>
      </c>
      <c r="AV480" s="18"/>
      <c r="AW480" s="18"/>
      <c r="AX480" s="18"/>
      <c r="AY480" s="18"/>
      <c r="AZ480" s="18"/>
      <c r="BA480" s="18">
        <v>0</v>
      </c>
    </row>
    <row r="481" spans="25:53" x14ac:dyDescent="0.3">
      <c r="Z481" s="57">
        <v>45672</v>
      </c>
      <c r="AA481" t="s">
        <v>3348</v>
      </c>
      <c r="AB481" s="18">
        <v>2675</v>
      </c>
      <c r="AC481" s="18"/>
      <c r="AD481" s="18"/>
      <c r="AE481" s="18"/>
      <c r="AF481" s="18"/>
      <c r="AG481" s="18"/>
      <c r="AH481" s="18">
        <v>2675</v>
      </c>
      <c r="AT481">
        <v>12</v>
      </c>
      <c r="AU481" s="18">
        <v>0</v>
      </c>
      <c r="AV481" s="18"/>
      <c r="AW481" s="18"/>
      <c r="AX481" s="18"/>
      <c r="AY481" s="18"/>
      <c r="AZ481" s="18"/>
      <c r="BA481" s="18">
        <v>0</v>
      </c>
    </row>
    <row r="482" spans="25:53" x14ac:dyDescent="0.3">
      <c r="Z482" s="57">
        <v>45681</v>
      </c>
      <c r="AA482" t="s">
        <v>3358</v>
      </c>
      <c r="AB482" s="18">
        <v>2945</v>
      </c>
      <c r="AC482" s="18"/>
      <c r="AD482" s="18"/>
      <c r="AE482" s="18"/>
      <c r="AF482" s="18"/>
      <c r="AG482" s="18"/>
      <c r="AH482" s="18">
        <v>2945</v>
      </c>
      <c r="AS482">
        <v>2023</v>
      </c>
      <c r="AT482">
        <v>5</v>
      </c>
      <c r="AU482" s="18">
        <v>0</v>
      </c>
      <c r="AV482" s="18"/>
      <c r="AW482" s="18"/>
      <c r="AX482" s="18"/>
      <c r="AY482" s="18"/>
      <c r="AZ482" s="18"/>
      <c r="BA482" s="18">
        <v>0</v>
      </c>
    </row>
    <row r="483" spans="25:53" x14ac:dyDescent="0.3">
      <c r="Y483">
        <v>2</v>
      </c>
      <c r="Z483" s="57">
        <v>45695</v>
      </c>
      <c r="AA483" t="s">
        <v>3448</v>
      </c>
      <c r="AB483" s="18">
        <v>2457.5</v>
      </c>
      <c r="AC483" s="18"/>
      <c r="AD483" s="18"/>
      <c r="AE483" s="18"/>
      <c r="AF483" s="18"/>
      <c r="AG483" s="18"/>
      <c r="AH483" s="18">
        <v>2457.5</v>
      </c>
      <c r="AT483">
        <v>6</v>
      </c>
      <c r="AU483" s="18">
        <v>0</v>
      </c>
      <c r="AV483" s="18"/>
      <c r="AW483" s="18"/>
      <c r="AX483" s="18"/>
      <c r="AY483" s="18"/>
      <c r="AZ483" s="18"/>
      <c r="BA483" s="18">
        <v>0</v>
      </c>
    </row>
    <row r="484" spans="25:53" x14ac:dyDescent="0.3">
      <c r="Z484" s="57">
        <v>45702</v>
      </c>
      <c r="AA484" t="s">
        <v>3453</v>
      </c>
      <c r="AB484" s="18">
        <v>673.8</v>
      </c>
      <c r="AC484" s="18"/>
      <c r="AD484" s="18"/>
      <c r="AE484" s="18"/>
      <c r="AF484" s="18"/>
      <c r="AG484" s="18"/>
      <c r="AH484" s="18">
        <v>673.8</v>
      </c>
      <c r="AT484">
        <v>7</v>
      </c>
      <c r="AU484" s="18">
        <v>0</v>
      </c>
      <c r="AV484" s="18"/>
      <c r="AW484" s="18"/>
      <c r="AX484" s="18"/>
      <c r="AY484" s="18"/>
      <c r="AZ484" s="18"/>
      <c r="BA484" s="18">
        <v>0</v>
      </c>
    </row>
    <row r="485" spans="25:53" x14ac:dyDescent="0.3">
      <c r="Z485" s="57">
        <v>45712</v>
      </c>
      <c r="AA485" t="s">
        <v>3468</v>
      </c>
      <c r="AB485" s="18">
        <v>2410</v>
      </c>
      <c r="AC485" s="18"/>
      <c r="AD485" s="18"/>
      <c r="AE485" s="18"/>
      <c r="AF485" s="18"/>
      <c r="AG485" s="18"/>
      <c r="AH485" s="18">
        <v>2410</v>
      </c>
      <c r="AT485">
        <v>9</v>
      </c>
      <c r="AU485" s="18">
        <v>0</v>
      </c>
      <c r="AV485" s="18"/>
      <c r="AW485" s="18"/>
      <c r="AX485" s="18"/>
      <c r="AY485" s="18"/>
      <c r="AZ485" s="18"/>
      <c r="BA485" s="18">
        <v>0</v>
      </c>
    </row>
    <row r="486" spans="25:53" x14ac:dyDescent="0.3">
      <c r="Y486">
        <v>3</v>
      </c>
      <c r="Z486" s="57">
        <v>45722</v>
      </c>
      <c r="AA486" t="s">
        <v>3518</v>
      </c>
      <c r="AB486" s="18">
        <v>3257.5</v>
      </c>
      <c r="AC486" s="18"/>
      <c r="AD486" s="18"/>
      <c r="AE486" s="18"/>
      <c r="AF486" s="18"/>
      <c r="AG486" s="18"/>
      <c r="AH486" s="18">
        <v>3257.5</v>
      </c>
      <c r="AT486">
        <v>10</v>
      </c>
      <c r="AU486" s="18">
        <v>0</v>
      </c>
      <c r="AV486" s="18"/>
      <c r="AW486" s="18"/>
      <c r="AX486" s="18"/>
      <c r="AY486" s="18"/>
      <c r="AZ486" s="18"/>
      <c r="BA486" s="18">
        <v>0</v>
      </c>
    </row>
    <row r="487" spans="25:53" x14ac:dyDescent="0.3">
      <c r="Z487" s="57">
        <v>45735</v>
      </c>
      <c r="AA487" t="s">
        <v>3537</v>
      </c>
      <c r="AB487" s="18">
        <v>3205</v>
      </c>
      <c r="AC487" s="18"/>
      <c r="AD487" s="18"/>
      <c r="AE487" s="18"/>
      <c r="AF487" s="18"/>
      <c r="AG487" s="18"/>
      <c r="AH487" s="18">
        <v>3205</v>
      </c>
      <c r="AT487">
        <v>11</v>
      </c>
      <c r="AU487" s="18">
        <v>0</v>
      </c>
      <c r="AV487" s="18"/>
      <c r="AW487" s="18"/>
      <c r="AX487" s="18"/>
      <c r="AY487" s="18"/>
      <c r="AZ487" s="18"/>
      <c r="BA487" s="18">
        <v>0</v>
      </c>
    </row>
    <row r="488" spans="25:53" x14ac:dyDescent="0.3">
      <c r="Z488" s="57">
        <v>45745</v>
      </c>
      <c r="AA488" t="s">
        <v>3552</v>
      </c>
      <c r="AB488" s="18">
        <v>2456.3000000000002</v>
      </c>
      <c r="AC488" s="18"/>
      <c r="AD488" s="18"/>
      <c r="AE488" s="18"/>
      <c r="AF488" s="18"/>
      <c r="AG488" s="18"/>
      <c r="AH488" s="18">
        <v>2456.3000000000002</v>
      </c>
      <c r="AT488">
        <v>4</v>
      </c>
      <c r="AU488" s="18">
        <v>0</v>
      </c>
      <c r="AV488" s="18"/>
      <c r="AW488" s="18"/>
      <c r="AX488" s="18"/>
      <c r="AY488" s="18"/>
      <c r="AZ488" s="18"/>
      <c r="BA488" s="18">
        <v>0</v>
      </c>
    </row>
    <row r="489" spans="25:53" x14ac:dyDescent="0.3">
      <c r="Y489">
        <v>5</v>
      </c>
      <c r="Z489" t="s">
        <v>3702</v>
      </c>
      <c r="AA489" t="s">
        <v>3706</v>
      </c>
      <c r="AB489" s="18">
        <v>2595</v>
      </c>
      <c r="AC489" s="18"/>
      <c r="AD489" s="18"/>
      <c r="AE489" s="18"/>
      <c r="AF489" s="18"/>
      <c r="AG489" s="18"/>
      <c r="AH489" s="18">
        <v>2595</v>
      </c>
      <c r="AS489">
        <v>2025</v>
      </c>
      <c r="AT489">
        <v>3</v>
      </c>
      <c r="AU489" s="18">
        <v>0</v>
      </c>
      <c r="AV489" s="18"/>
      <c r="AW489" s="18"/>
      <c r="AX489" s="18"/>
      <c r="AY489" s="18"/>
      <c r="AZ489" s="18"/>
      <c r="BA489" s="18">
        <v>0</v>
      </c>
    </row>
    <row r="490" spans="25:53" x14ac:dyDescent="0.3">
      <c r="Z490" t="s">
        <v>3719</v>
      </c>
      <c r="AA490" t="s">
        <v>3720</v>
      </c>
      <c r="AB490" s="18">
        <v>2943.8</v>
      </c>
      <c r="AC490" s="18"/>
      <c r="AD490" s="18"/>
      <c r="AE490" s="18"/>
      <c r="AF490" s="18"/>
      <c r="AG490" s="18"/>
      <c r="AH490" s="18">
        <v>2943.8</v>
      </c>
      <c r="AR490" s="36" t="s">
        <v>1528</v>
      </c>
      <c r="AS490" s="36"/>
      <c r="AT490" s="36"/>
      <c r="AU490" s="37">
        <v>0</v>
      </c>
      <c r="AV490" s="37"/>
      <c r="AW490" s="37"/>
      <c r="AX490" s="37"/>
      <c r="AY490" s="37"/>
      <c r="AZ490" s="37"/>
      <c r="BA490" s="37">
        <v>0</v>
      </c>
    </row>
    <row r="491" spans="25:53" x14ac:dyDescent="0.3">
      <c r="Z491" t="s">
        <v>3742</v>
      </c>
      <c r="AA491" t="s">
        <v>3743</v>
      </c>
      <c r="AB491" s="18">
        <v>3157.5</v>
      </c>
      <c r="AC491" s="18"/>
      <c r="AD491" s="18"/>
      <c r="AE491" s="18"/>
      <c r="AF491" s="18"/>
      <c r="AG491" s="18"/>
      <c r="AH491" s="18">
        <v>3157.5</v>
      </c>
      <c r="AR491" t="s">
        <v>1697</v>
      </c>
      <c r="AS491">
        <v>2021</v>
      </c>
      <c r="AT491">
        <v>9</v>
      </c>
      <c r="AU491" s="18">
        <v>0</v>
      </c>
      <c r="AV491" s="18"/>
      <c r="AW491" s="18"/>
      <c r="AX491" s="18"/>
      <c r="AY491" s="18"/>
      <c r="AZ491" s="18"/>
      <c r="BA491" s="18">
        <v>0</v>
      </c>
    </row>
    <row r="492" spans="25:53" x14ac:dyDescent="0.3">
      <c r="Y492">
        <v>6</v>
      </c>
      <c r="Z492" t="s">
        <v>3846</v>
      </c>
      <c r="AA492" t="s">
        <v>3849</v>
      </c>
      <c r="AB492" s="18">
        <v>2360</v>
      </c>
      <c r="AC492" s="18"/>
      <c r="AD492" s="18"/>
      <c r="AE492" s="18"/>
      <c r="AF492" s="18"/>
      <c r="AG492" s="18"/>
      <c r="AH492" s="18">
        <v>2360</v>
      </c>
      <c r="AR492" s="36" t="s">
        <v>1789</v>
      </c>
      <c r="AS492" s="36"/>
      <c r="AT492" s="36"/>
      <c r="AU492" s="37">
        <v>0</v>
      </c>
      <c r="AV492" s="37"/>
      <c r="AW492" s="37"/>
      <c r="AX492" s="37"/>
      <c r="AY492" s="37"/>
      <c r="AZ492" s="37"/>
      <c r="BA492" s="37">
        <v>0</v>
      </c>
    </row>
    <row r="493" spans="25:53" x14ac:dyDescent="0.3">
      <c r="Z493" t="s">
        <v>3875</v>
      </c>
      <c r="AA493" t="s">
        <v>3876</v>
      </c>
      <c r="AB493" s="18">
        <v>2696.3</v>
      </c>
      <c r="AC493" s="18"/>
      <c r="AD493" s="18"/>
      <c r="AE493" s="18"/>
      <c r="AF493" s="18"/>
      <c r="AG493" s="18"/>
      <c r="AH493" s="18">
        <v>2696.3</v>
      </c>
      <c r="AR493" t="s">
        <v>1620</v>
      </c>
      <c r="AS493">
        <v>2023</v>
      </c>
      <c r="AT493">
        <v>6</v>
      </c>
      <c r="AU493" s="18">
        <v>0</v>
      </c>
      <c r="AV493" s="18"/>
      <c r="AW493" s="18"/>
      <c r="AX493" s="18"/>
      <c r="AY493" s="18"/>
      <c r="AZ493" s="18"/>
      <c r="BA493" s="18">
        <v>0</v>
      </c>
    </row>
    <row r="494" spans="25:53" x14ac:dyDescent="0.3">
      <c r="Y494">
        <v>7</v>
      </c>
      <c r="Z494" t="s">
        <v>3997</v>
      </c>
      <c r="AA494" t="s">
        <v>4000</v>
      </c>
      <c r="AB494" s="18">
        <v>2505</v>
      </c>
      <c r="AC494" s="18"/>
      <c r="AD494" s="18"/>
      <c r="AE494" s="18"/>
      <c r="AF494" s="18"/>
      <c r="AG494" s="18"/>
      <c r="AH494" s="18">
        <v>2505</v>
      </c>
      <c r="AT494">
        <v>8</v>
      </c>
      <c r="AU494" s="18">
        <v>0</v>
      </c>
      <c r="AV494" s="18"/>
      <c r="AW494" s="18"/>
      <c r="AX494" s="18"/>
      <c r="AY494" s="18"/>
      <c r="AZ494" s="18"/>
      <c r="BA494" s="18">
        <v>0</v>
      </c>
    </row>
    <row r="495" spans="25:53" x14ac:dyDescent="0.3">
      <c r="Z495" t="s">
        <v>4022</v>
      </c>
      <c r="AA495" t="s">
        <v>4023</v>
      </c>
      <c r="AB495" s="18">
        <v>3251.3</v>
      </c>
      <c r="AC495" s="18"/>
      <c r="AD495" s="18"/>
      <c r="AE495" s="18"/>
      <c r="AF495" s="18"/>
      <c r="AG495" s="18"/>
      <c r="AH495" s="18">
        <v>3251.3</v>
      </c>
      <c r="AS495">
        <v>2025</v>
      </c>
      <c r="AT495">
        <v>4</v>
      </c>
      <c r="AU495" s="18">
        <v>0</v>
      </c>
      <c r="AV495" s="18"/>
      <c r="AW495" s="18"/>
      <c r="AX495" s="18"/>
      <c r="AY495" s="18"/>
      <c r="AZ495" s="18"/>
      <c r="BA495" s="18">
        <v>0</v>
      </c>
    </row>
    <row r="496" spans="25:53" x14ac:dyDescent="0.3">
      <c r="Z496" t="s">
        <v>4041</v>
      </c>
      <c r="AA496" t="s">
        <v>4042</v>
      </c>
      <c r="AB496" s="18">
        <v>2397.5</v>
      </c>
      <c r="AC496" s="18"/>
      <c r="AD496" s="18"/>
      <c r="AE496" s="18"/>
      <c r="AF496" s="18"/>
      <c r="AG496" s="18"/>
      <c r="AH496" s="18">
        <v>2397.5</v>
      </c>
      <c r="AR496" s="36" t="s">
        <v>1790</v>
      </c>
      <c r="AS496" s="36"/>
      <c r="AT496" s="36"/>
      <c r="AU496" s="37">
        <v>0</v>
      </c>
      <c r="AV496" s="37"/>
      <c r="AW496" s="37"/>
      <c r="AX496" s="37"/>
      <c r="AY496" s="37"/>
      <c r="AZ496" s="37"/>
      <c r="BA496" s="37">
        <v>0</v>
      </c>
    </row>
    <row r="497" spans="23:53" x14ac:dyDescent="0.3">
      <c r="Y497">
        <v>4</v>
      </c>
      <c r="Z497" t="s">
        <v>3630</v>
      </c>
      <c r="AA497" t="s">
        <v>3632</v>
      </c>
      <c r="AB497" s="18">
        <v>2270</v>
      </c>
      <c r="AC497" s="18"/>
      <c r="AD497" s="18"/>
      <c r="AE497" s="18"/>
      <c r="AF497" s="18"/>
      <c r="AG497" s="18"/>
      <c r="AH497" s="18">
        <v>2270</v>
      </c>
      <c r="AR497" t="s">
        <v>1702</v>
      </c>
      <c r="AS497">
        <v>2023</v>
      </c>
      <c r="AT497">
        <v>9</v>
      </c>
      <c r="AU497" s="18">
        <v>0</v>
      </c>
      <c r="AV497" s="18"/>
      <c r="AW497" s="18"/>
      <c r="AX497" s="18"/>
      <c r="AY497" s="18"/>
      <c r="AZ497" s="18"/>
      <c r="BA497" s="18">
        <v>0</v>
      </c>
    </row>
    <row r="498" spans="23:53" x14ac:dyDescent="0.3">
      <c r="Z498" t="s">
        <v>3649</v>
      </c>
      <c r="AA498" t="s">
        <v>3651</v>
      </c>
      <c r="AB498" s="18">
        <v>2847.5</v>
      </c>
      <c r="AC498" s="18"/>
      <c r="AD498" s="18"/>
      <c r="AE498" s="18"/>
      <c r="AF498" s="18"/>
      <c r="AG498" s="18"/>
      <c r="AH498" s="18">
        <v>2847.5</v>
      </c>
      <c r="AR498" s="36" t="s">
        <v>1986</v>
      </c>
      <c r="AS498" s="36"/>
      <c r="AT498" s="36"/>
      <c r="AU498" s="37">
        <v>0</v>
      </c>
      <c r="AV498" s="37"/>
      <c r="AW498" s="37"/>
      <c r="AX498" s="37"/>
      <c r="AY498" s="37"/>
      <c r="AZ498" s="37"/>
      <c r="BA498" s="37">
        <v>0</v>
      </c>
    </row>
    <row r="499" spans="23:53" x14ac:dyDescent="0.3">
      <c r="W499" s="36" t="s">
        <v>421</v>
      </c>
      <c r="X499" s="36"/>
      <c r="Y499" s="36"/>
      <c r="Z499" s="36"/>
      <c r="AA499" s="36"/>
      <c r="AB499" s="37">
        <v>96862.300000000017</v>
      </c>
      <c r="AC499" s="37"/>
      <c r="AD499" s="37"/>
      <c r="AE499" s="37"/>
      <c r="AF499" s="37"/>
      <c r="AG499" s="37"/>
      <c r="AH499" s="37">
        <v>96862.300000000017</v>
      </c>
      <c r="AR499" t="s">
        <v>1704</v>
      </c>
      <c r="AS499">
        <v>2023</v>
      </c>
      <c r="AT499">
        <v>9</v>
      </c>
      <c r="AU499" s="18">
        <v>0</v>
      </c>
      <c r="AV499" s="18"/>
      <c r="AW499" s="18"/>
      <c r="AX499" s="18"/>
      <c r="AY499" s="18"/>
      <c r="AZ499" s="18"/>
      <c r="BA499" s="18">
        <v>0</v>
      </c>
    </row>
    <row r="500" spans="23:53" x14ac:dyDescent="0.3">
      <c r="W500" t="s">
        <v>409</v>
      </c>
      <c r="X500">
        <v>2021</v>
      </c>
      <c r="Y500">
        <v>10</v>
      </c>
      <c r="Z500" s="57">
        <v>44478</v>
      </c>
      <c r="AA500" t="s">
        <v>407</v>
      </c>
      <c r="AB500" s="18">
        <v>0</v>
      </c>
      <c r="AC500" s="18"/>
      <c r="AD500" s="18"/>
      <c r="AE500" s="18"/>
      <c r="AF500" s="18"/>
      <c r="AG500" s="18"/>
      <c r="AH500" s="18">
        <v>0</v>
      </c>
      <c r="AT500">
        <v>12</v>
      </c>
      <c r="AU500" s="18">
        <v>0</v>
      </c>
      <c r="AV500" s="18"/>
      <c r="AW500" s="18"/>
      <c r="AX500" s="18"/>
      <c r="AY500" s="18"/>
      <c r="AZ500" s="18"/>
      <c r="BA500" s="18">
        <v>0</v>
      </c>
    </row>
    <row r="501" spans="23:53" x14ac:dyDescent="0.3">
      <c r="Z501" s="57">
        <v>44481</v>
      </c>
      <c r="AA501" t="s">
        <v>411</v>
      </c>
      <c r="AB501" s="18">
        <v>0</v>
      </c>
      <c r="AC501" s="18"/>
      <c r="AD501" s="18"/>
      <c r="AE501" s="18"/>
      <c r="AF501" s="18"/>
      <c r="AG501" s="18"/>
      <c r="AH501" s="18">
        <v>0</v>
      </c>
      <c r="AS501">
        <v>2024</v>
      </c>
      <c r="AT501">
        <v>10</v>
      </c>
      <c r="AU501" s="18">
        <v>0</v>
      </c>
      <c r="AV501" s="18"/>
      <c r="AW501" s="18"/>
      <c r="AX501" s="18"/>
      <c r="AY501" s="18"/>
      <c r="AZ501" s="18"/>
      <c r="BA501" s="18">
        <v>0</v>
      </c>
    </row>
    <row r="502" spans="23:53" x14ac:dyDescent="0.3">
      <c r="Z502" s="57">
        <v>44484</v>
      </c>
      <c r="AA502" t="s">
        <v>424</v>
      </c>
      <c r="AB502" s="18">
        <v>0</v>
      </c>
      <c r="AC502" s="18"/>
      <c r="AD502" s="18"/>
      <c r="AE502" s="18"/>
      <c r="AF502" s="18"/>
      <c r="AG502" s="18"/>
      <c r="AH502" s="18">
        <v>0</v>
      </c>
      <c r="AT502">
        <v>11</v>
      </c>
      <c r="AU502" s="18">
        <v>0</v>
      </c>
      <c r="AV502" s="18"/>
      <c r="AW502" s="18"/>
      <c r="AX502" s="18"/>
      <c r="AY502" s="18"/>
      <c r="AZ502" s="18"/>
      <c r="BA502" s="18">
        <v>0</v>
      </c>
    </row>
    <row r="503" spans="23:53" x14ac:dyDescent="0.3">
      <c r="Z503" s="57">
        <v>44487</v>
      </c>
      <c r="AA503" t="s">
        <v>425</v>
      </c>
      <c r="AB503" s="18">
        <v>0</v>
      </c>
      <c r="AC503" s="18"/>
      <c r="AD503" s="18"/>
      <c r="AE503" s="18"/>
      <c r="AF503" s="18"/>
      <c r="AG503" s="18"/>
      <c r="AH503" s="18">
        <v>0</v>
      </c>
      <c r="AT503">
        <v>4</v>
      </c>
      <c r="AU503" s="18">
        <v>0</v>
      </c>
      <c r="AV503" s="18"/>
      <c r="AW503" s="18"/>
      <c r="AX503" s="18"/>
      <c r="AY503" s="18"/>
      <c r="AZ503" s="18"/>
      <c r="BA503" s="18">
        <v>0</v>
      </c>
    </row>
    <row r="504" spans="23:53" x14ac:dyDescent="0.3">
      <c r="Z504" s="57">
        <v>44488</v>
      </c>
      <c r="AA504" t="s">
        <v>426</v>
      </c>
      <c r="AB504" s="18">
        <v>0</v>
      </c>
      <c r="AC504" s="18"/>
      <c r="AD504" s="18"/>
      <c r="AE504" s="18"/>
      <c r="AF504" s="18"/>
      <c r="AG504" s="18"/>
      <c r="AH504" s="18">
        <v>0</v>
      </c>
      <c r="AS504">
        <v>2025</v>
      </c>
      <c r="AT504">
        <v>2</v>
      </c>
      <c r="AU504" s="18">
        <v>0</v>
      </c>
      <c r="AV504" s="18"/>
      <c r="AW504" s="18"/>
      <c r="AX504" s="18"/>
      <c r="AY504" s="18"/>
      <c r="AZ504" s="18"/>
      <c r="BA504" s="18">
        <v>0</v>
      </c>
    </row>
    <row r="505" spans="23:53" x14ac:dyDescent="0.3">
      <c r="Z505" s="57">
        <v>44489</v>
      </c>
      <c r="AA505" t="s">
        <v>427</v>
      </c>
      <c r="AB505" s="18">
        <v>0</v>
      </c>
      <c r="AC505" s="18"/>
      <c r="AD505" s="18"/>
      <c r="AE505" s="18"/>
      <c r="AF505" s="18"/>
      <c r="AG505" s="18"/>
      <c r="AH505" s="18">
        <v>0</v>
      </c>
      <c r="AT505">
        <v>6</v>
      </c>
      <c r="AU505" s="18">
        <v>0</v>
      </c>
      <c r="AV505" s="18"/>
      <c r="AW505" s="18"/>
      <c r="AX505" s="18"/>
      <c r="AY505" s="18"/>
      <c r="AZ505" s="18"/>
      <c r="BA505" s="18">
        <v>0</v>
      </c>
    </row>
    <row r="506" spans="23:53" x14ac:dyDescent="0.3">
      <c r="Z506" s="57">
        <v>44495</v>
      </c>
      <c r="AA506" t="s">
        <v>443</v>
      </c>
      <c r="AB506" s="18">
        <v>0</v>
      </c>
      <c r="AC506" s="18"/>
      <c r="AD506" s="18"/>
      <c r="AE506" s="18"/>
      <c r="AF506" s="18"/>
      <c r="AG506" s="18"/>
      <c r="AH506" s="18">
        <v>0</v>
      </c>
      <c r="AR506" s="36" t="s">
        <v>1987</v>
      </c>
      <c r="AS506" s="36"/>
      <c r="AT506" s="36"/>
      <c r="AU506" s="37">
        <v>0</v>
      </c>
      <c r="AV506" s="37"/>
      <c r="AW506" s="37"/>
      <c r="AX506" s="37"/>
      <c r="AY506" s="37"/>
      <c r="AZ506" s="37"/>
      <c r="BA506" s="37">
        <v>0</v>
      </c>
    </row>
    <row r="507" spans="23:53" x14ac:dyDescent="0.3">
      <c r="Z507" s="57">
        <v>44496</v>
      </c>
      <c r="AA507" t="s">
        <v>445</v>
      </c>
      <c r="AB507" s="18">
        <v>0</v>
      </c>
      <c r="AC507" s="18"/>
      <c r="AD507" s="18"/>
      <c r="AE507" s="18"/>
      <c r="AF507" s="18"/>
      <c r="AG507" s="18"/>
      <c r="AH507" s="18">
        <v>0</v>
      </c>
      <c r="AR507" t="s">
        <v>2012</v>
      </c>
      <c r="AS507">
        <v>2023</v>
      </c>
      <c r="AT507">
        <v>10</v>
      </c>
      <c r="AU507" s="18">
        <v>0</v>
      </c>
      <c r="AV507" s="18"/>
      <c r="AW507" s="18"/>
      <c r="AX507" s="18"/>
      <c r="AY507" s="18"/>
      <c r="AZ507" s="18"/>
      <c r="BA507" s="18">
        <v>0</v>
      </c>
    </row>
    <row r="508" spans="23:53" x14ac:dyDescent="0.3">
      <c r="Y508">
        <v>11</v>
      </c>
      <c r="Z508" s="57">
        <v>44503</v>
      </c>
      <c r="AA508" t="s">
        <v>459</v>
      </c>
      <c r="AB508" s="18">
        <v>0</v>
      </c>
      <c r="AC508" s="18"/>
      <c r="AD508" s="18"/>
      <c r="AE508" s="18"/>
      <c r="AF508" s="18"/>
      <c r="AG508" s="18"/>
      <c r="AH508" s="18">
        <v>0</v>
      </c>
      <c r="AT508">
        <v>11</v>
      </c>
      <c r="AU508" s="18">
        <v>0</v>
      </c>
      <c r="AV508" s="18"/>
      <c r="AW508" s="18"/>
      <c r="AX508" s="18"/>
      <c r="AY508" s="18"/>
      <c r="AZ508" s="18"/>
      <c r="BA508" s="18">
        <v>0</v>
      </c>
    </row>
    <row r="509" spans="23:53" x14ac:dyDescent="0.3">
      <c r="Z509" s="57">
        <v>44506</v>
      </c>
      <c r="AA509" t="s">
        <v>464</v>
      </c>
      <c r="AB509" s="18">
        <v>0</v>
      </c>
      <c r="AC509" s="18"/>
      <c r="AD509" s="18"/>
      <c r="AE509" s="18"/>
      <c r="AF509" s="18"/>
      <c r="AG509" s="18"/>
      <c r="AH509" s="18">
        <v>0</v>
      </c>
      <c r="AT509">
        <v>12</v>
      </c>
      <c r="AU509" s="18">
        <v>0</v>
      </c>
      <c r="AV509" s="18"/>
      <c r="AW509" s="18"/>
      <c r="AX509" s="18"/>
      <c r="AY509" s="18"/>
      <c r="AZ509" s="18"/>
      <c r="BA509" s="18">
        <v>0</v>
      </c>
    </row>
    <row r="510" spans="23:53" x14ac:dyDescent="0.3">
      <c r="Z510" s="57">
        <v>44511</v>
      </c>
      <c r="AA510" t="s">
        <v>473</v>
      </c>
      <c r="AB510" s="18">
        <v>0</v>
      </c>
      <c r="AC510" s="18"/>
      <c r="AD510" s="18"/>
      <c r="AE510" s="18"/>
      <c r="AF510" s="18"/>
      <c r="AG510" s="18"/>
      <c r="AH510" s="18">
        <v>0</v>
      </c>
      <c r="AS510">
        <v>2024</v>
      </c>
      <c r="AT510">
        <v>1</v>
      </c>
      <c r="AU510" s="18">
        <v>0</v>
      </c>
      <c r="AV510" s="18"/>
      <c r="AW510" s="18"/>
      <c r="AX510" s="18"/>
      <c r="AY510" s="18"/>
      <c r="AZ510" s="18"/>
      <c r="BA510" s="18">
        <v>0</v>
      </c>
    </row>
    <row r="511" spans="23:53" x14ac:dyDescent="0.3">
      <c r="AA511" t="s">
        <v>475</v>
      </c>
      <c r="AB511" s="18">
        <v>0</v>
      </c>
      <c r="AC511" s="18"/>
      <c r="AD511" s="18"/>
      <c r="AE511" s="18"/>
      <c r="AF511" s="18"/>
      <c r="AG511" s="18"/>
      <c r="AH511" s="18">
        <v>0</v>
      </c>
      <c r="AT511">
        <v>2</v>
      </c>
      <c r="AU511" s="18">
        <v>0</v>
      </c>
      <c r="AV511" s="18"/>
      <c r="AW511" s="18"/>
      <c r="AX511" s="18"/>
      <c r="AY511" s="18"/>
      <c r="AZ511" s="18"/>
      <c r="BA511" s="18">
        <v>0</v>
      </c>
    </row>
    <row r="512" spans="23:53" x14ac:dyDescent="0.3">
      <c r="Y512">
        <v>12</v>
      </c>
      <c r="Z512" s="57">
        <v>44537</v>
      </c>
      <c r="AA512" t="s">
        <v>501</v>
      </c>
      <c r="AB512" s="18">
        <v>0</v>
      </c>
      <c r="AC512" s="18"/>
      <c r="AD512" s="18"/>
      <c r="AE512" s="18"/>
      <c r="AF512" s="18"/>
      <c r="AG512" s="18"/>
      <c r="AH512" s="18">
        <v>0</v>
      </c>
      <c r="AT512">
        <v>3</v>
      </c>
      <c r="AU512" s="18">
        <v>0</v>
      </c>
      <c r="AV512" s="18"/>
      <c r="AW512" s="18"/>
      <c r="AX512" s="18"/>
      <c r="AY512" s="18"/>
      <c r="AZ512" s="18"/>
      <c r="BA512" s="18">
        <v>0</v>
      </c>
    </row>
    <row r="513" spans="24:53" x14ac:dyDescent="0.3">
      <c r="Z513" s="57">
        <v>44540</v>
      </c>
      <c r="AA513" t="s">
        <v>504</v>
      </c>
      <c r="AB513" s="18">
        <v>0</v>
      </c>
      <c r="AC513" s="18"/>
      <c r="AD513" s="18"/>
      <c r="AE513" s="18"/>
      <c r="AF513" s="18"/>
      <c r="AG513" s="18"/>
      <c r="AH513" s="18">
        <v>0</v>
      </c>
      <c r="AT513">
        <v>5</v>
      </c>
      <c r="AU513" s="18">
        <v>0</v>
      </c>
      <c r="AV513" s="18"/>
      <c r="AW513" s="18"/>
      <c r="AX513" s="18"/>
      <c r="AY513" s="18"/>
      <c r="AZ513" s="18"/>
      <c r="BA513" s="18">
        <v>0</v>
      </c>
    </row>
    <row r="514" spans="24:53" x14ac:dyDescent="0.3">
      <c r="Z514" s="57">
        <v>44550</v>
      </c>
      <c r="AA514" t="s">
        <v>511</v>
      </c>
      <c r="AB514" s="18">
        <v>0</v>
      </c>
      <c r="AC514" s="18"/>
      <c r="AD514" s="18"/>
      <c r="AE514" s="18"/>
      <c r="AF514" s="18"/>
      <c r="AG514" s="18"/>
      <c r="AH514" s="18">
        <v>0</v>
      </c>
      <c r="AT514">
        <v>6</v>
      </c>
      <c r="AU514" s="18">
        <v>0</v>
      </c>
      <c r="AV514" s="18"/>
      <c r="AW514" s="18"/>
      <c r="AX514" s="18"/>
      <c r="AY514" s="18"/>
      <c r="AZ514" s="18"/>
      <c r="BA514" s="18">
        <v>0</v>
      </c>
    </row>
    <row r="515" spans="24:53" x14ac:dyDescent="0.3">
      <c r="Z515" s="57">
        <v>44552</v>
      </c>
      <c r="AA515" t="s">
        <v>522</v>
      </c>
      <c r="AB515" s="18">
        <v>0</v>
      </c>
      <c r="AC515" s="18"/>
      <c r="AD515" s="18"/>
      <c r="AE515" s="18"/>
      <c r="AF515" s="18"/>
      <c r="AG515" s="18"/>
      <c r="AH515" s="18">
        <v>0</v>
      </c>
      <c r="AT515">
        <v>7</v>
      </c>
      <c r="AU515" s="18">
        <v>0</v>
      </c>
      <c r="AV515" s="18"/>
      <c r="AW515" s="18"/>
      <c r="AX515" s="18"/>
      <c r="AY515" s="18"/>
      <c r="AZ515" s="18"/>
      <c r="BA515" s="18">
        <v>0</v>
      </c>
    </row>
    <row r="516" spans="24:53" x14ac:dyDescent="0.3">
      <c r="Z516" s="57">
        <v>44554</v>
      </c>
      <c r="AA516" t="s">
        <v>529</v>
      </c>
      <c r="AB516" s="18">
        <v>0</v>
      </c>
      <c r="AC516" s="18"/>
      <c r="AD516" s="18"/>
      <c r="AE516" s="18"/>
      <c r="AF516" s="18"/>
      <c r="AG516" s="18"/>
      <c r="AH516" s="18">
        <v>0</v>
      </c>
      <c r="AT516">
        <v>8</v>
      </c>
      <c r="AU516" s="18">
        <v>0</v>
      </c>
      <c r="AV516" s="18"/>
      <c r="AW516" s="18"/>
      <c r="AX516" s="18"/>
      <c r="AY516" s="18"/>
      <c r="AZ516" s="18"/>
      <c r="BA516" s="18">
        <v>0</v>
      </c>
    </row>
    <row r="517" spans="24:53" x14ac:dyDescent="0.3">
      <c r="Z517" s="57">
        <v>44557</v>
      </c>
      <c r="AA517" t="s">
        <v>530</v>
      </c>
      <c r="AB517" s="18">
        <v>0</v>
      </c>
      <c r="AC517" s="18"/>
      <c r="AD517" s="18"/>
      <c r="AE517" s="18"/>
      <c r="AF517" s="18"/>
      <c r="AG517" s="18"/>
      <c r="AH517" s="18">
        <v>0</v>
      </c>
      <c r="AT517">
        <v>9</v>
      </c>
      <c r="AU517" s="18">
        <v>0</v>
      </c>
      <c r="AV517" s="18"/>
      <c r="AW517" s="18"/>
      <c r="AX517" s="18"/>
      <c r="AY517" s="18"/>
      <c r="AZ517" s="18"/>
      <c r="BA517" s="18">
        <v>0</v>
      </c>
    </row>
    <row r="518" spans="24:53" x14ac:dyDescent="0.3">
      <c r="Z518" s="57">
        <v>44560</v>
      </c>
      <c r="AA518" t="s">
        <v>532</v>
      </c>
      <c r="AB518" s="18">
        <v>0</v>
      </c>
      <c r="AC518" s="18"/>
      <c r="AD518" s="18"/>
      <c r="AE518" s="18"/>
      <c r="AF518" s="18"/>
      <c r="AG518" s="18"/>
      <c r="AH518" s="18">
        <v>0</v>
      </c>
      <c r="AT518">
        <v>10</v>
      </c>
      <c r="AU518" s="18">
        <v>0</v>
      </c>
      <c r="AV518" s="18"/>
      <c r="AW518" s="18"/>
      <c r="AX518" s="18"/>
      <c r="AY518" s="18"/>
      <c r="AZ518" s="18"/>
      <c r="BA518" s="18">
        <v>0</v>
      </c>
    </row>
    <row r="519" spans="24:53" x14ac:dyDescent="0.3">
      <c r="X519">
        <v>2022</v>
      </c>
      <c r="Y519">
        <v>1</v>
      </c>
      <c r="Z519" s="57">
        <v>44564</v>
      </c>
      <c r="AA519" t="s">
        <v>546</v>
      </c>
      <c r="AB519" s="18">
        <v>0</v>
      </c>
      <c r="AC519" s="18"/>
      <c r="AD519" s="18"/>
      <c r="AE519" s="18"/>
      <c r="AF519" s="18"/>
      <c r="AG519" s="18"/>
      <c r="AH519" s="18">
        <v>0</v>
      </c>
      <c r="AT519">
        <v>11</v>
      </c>
      <c r="AU519" s="18">
        <v>0</v>
      </c>
      <c r="AV519" s="18"/>
      <c r="AW519" s="18"/>
      <c r="AX519" s="18"/>
      <c r="AY519" s="18"/>
      <c r="AZ519" s="18"/>
      <c r="BA519" s="18">
        <v>0</v>
      </c>
    </row>
    <row r="520" spans="24:53" x14ac:dyDescent="0.3">
      <c r="Z520" s="57">
        <v>44568</v>
      </c>
      <c r="AA520" t="s">
        <v>548</v>
      </c>
      <c r="AB520" s="18">
        <v>0</v>
      </c>
      <c r="AC520" s="18"/>
      <c r="AD520" s="18"/>
      <c r="AE520" s="18"/>
      <c r="AF520" s="18"/>
      <c r="AG520" s="18"/>
      <c r="AH520" s="18">
        <v>0</v>
      </c>
      <c r="AT520">
        <v>12</v>
      </c>
      <c r="AU520" s="18">
        <v>0</v>
      </c>
      <c r="AV520" s="18"/>
      <c r="AW520" s="18"/>
      <c r="AX520" s="18"/>
      <c r="AY520" s="18"/>
      <c r="AZ520" s="18"/>
      <c r="BA520" s="18">
        <v>0</v>
      </c>
    </row>
    <row r="521" spans="24:53" x14ac:dyDescent="0.3">
      <c r="Z521" s="57">
        <v>44569</v>
      </c>
      <c r="AA521" t="s">
        <v>549</v>
      </c>
      <c r="AB521" s="18">
        <v>0</v>
      </c>
      <c r="AC521" s="18"/>
      <c r="AD521" s="18"/>
      <c r="AE521" s="18"/>
      <c r="AF521" s="18"/>
      <c r="AG521" s="18"/>
      <c r="AH521" s="18">
        <v>0</v>
      </c>
      <c r="AT521">
        <v>4</v>
      </c>
      <c r="AU521" s="18">
        <v>0</v>
      </c>
      <c r="AV521" s="18"/>
      <c r="AW521" s="18"/>
      <c r="AX521" s="18"/>
      <c r="AY521" s="18"/>
      <c r="AZ521" s="18"/>
      <c r="BA521" s="18">
        <v>0</v>
      </c>
    </row>
    <row r="522" spans="24:53" x14ac:dyDescent="0.3">
      <c r="Z522" s="57">
        <v>44574</v>
      </c>
      <c r="AA522" t="s">
        <v>558</v>
      </c>
      <c r="AB522" s="18">
        <v>0</v>
      </c>
      <c r="AC522" s="18"/>
      <c r="AD522" s="18"/>
      <c r="AE522" s="18"/>
      <c r="AF522" s="18"/>
      <c r="AG522" s="18"/>
      <c r="AH522" s="18">
        <v>0</v>
      </c>
      <c r="AS522">
        <v>2025</v>
      </c>
      <c r="AT522">
        <v>1</v>
      </c>
      <c r="AU522" s="18">
        <v>0</v>
      </c>
      <c r="AV522" s="18"/>
      <c r="AW522" s="18"/>
      <c r="AX522" s="18"/>
      <c r="AY522" s="18"/>
      <c r="AZ522" s="18"/>
      <c r="BA522" s="18">
        <v>0</v>
      </c>
    </row>
    <row r="523" spans="24:53" x14ac:dyDescent="0.3">
      <c r="Z523" s="57">
        <v>44579</v>
      </c>
      <c r="AA523" t="s">
        <v>564</v>
      </c>
      <c r="AB523" s="18">
        <v>0</v>
      </c>
      <c r="AC523" s="18"/>
      <c r="AD523" s="18"/>
      <c r="AE523" s="18"/>
      <c r="AF523" s="18"/>
      <c r="AG523" s="18"/>
      <c r="AH523" s="18">
        <v>0</v>
      </c>
      <c r="AT523">
        <v>2</v>
      </c>
      <c r="AU523" s="18">
        <v>0</v>
      </c>
      <c r="AV523" s="18"/>
      <c r="AW523" s="18"/>
      <c r="AX523" s="18"/>
      <c r="AY523" s="18"/>
      <c r="AZ523" s="18"/>
      <c r="BA523" s="18">
        <v>0</v>
      </c>
    </row>
    <row r="524" spans="24:53" x14ac:dyDescent="0.3">
      <c r="Y524">
        <v>2</v>
      </c>
      <c r="Z524" s="57">
        <v>44616</v>
      </c>
      <c r="AA524" t="s">
        <v>609</v>
      </c>
      <c r="AB524" s="18">
        <v>0</v>
      </c>
      <c r="AC524" s="18"/>
      <c r="AD524" s="18"/>
      <c r="AE524" s="18"/>
      <c r="AF524" s="18"/>
      <c r="AG524" s="18"/>
      <c r="AH524" s="18">
        <v>0</v>
      </c>
      <c r="AT524">
        <v>3</v>
      </c>
      <c r="AU524" s="18">
        <v>64667.799999999996</v>
      </c>
      <c r="AV524" s="18"/>
      <c r="AW524" s="18"/>
      <c r="AX524" s="18"/>
      <c r="AY524" s="18"/>
      <c r="AZ524" s="18"/>
      <c r="BA524" s="18">
        <v>64667.799999999996</v>
      </c>
    </row>
    <row r="525" spans="24:53" x14ac:dyDescent="0.3">
      <c r="Z525" s="57">
        <v>44618</v>
      </c>
      <c r="AA525" t="s">
        <v>610</v>
      </c>
      <c r="AB525" s="18">
        <v>0</v>
      </c>
      <c r="AC525" s="18"/>
      <c r="AD525" s="18"/>
      <c r="AE525" s="18"/>
      <c r="AF525" s="18"/>
      <c r="AG525" s="18"/>
      <c r="AH525" s="18">
        <v>0</v>
      </c>
      <c r="AT525">
        <v>5</v>
      </c>
      <c r="AU525" s="18">
        <v>120701</v>
      </c>
      <c r="AV525" s="18"/>
      <c r="AW525" s="18"/>
      <c r="AX525" s="18"/>
      <c r="AY525" s="18"/>
      <c r="AZ525" s="18"/>
      <c r="BA525" s="18">
        <v>120701</v>
      </c>
    </row>
    <row r="526" spans="24:53" x14ac:dyDescent="0.3">
      <c r="Y526">
        <v>3</v>
      </c>
      <c r="Z526" s="57">
        <v>44634</v>
      </c>
      <c r="AA526" t="s">
        <v>646</v>
      </c>
      <c r="AB526" s="18">
        <v>0</v>
      </c>
      <c r="AC526" s="18"/>
      <c r="AD526" s="18"/>
      <c r="AE526" s="18"/>
      <c r="AF526" s="18"/>
      <c r="AG526" s="18"/>
      <c r="AH526" s="18">
        <v>0</v>
      </c>
      <c r="AT526">
        <v>6</v>
      </c>
      <c r="AU526" s="18">
        <v>113308.5</v>
      </c>
      <c r="AV526" s="18"/>
      <c r="AW526" s="18"/>
      <c r="AX526" s="18"/>
      <c r="AY526" s="18"/>
      <c r="AZ526" s="18"/>
      <c r="BA526" s="18">
        <v>113308.5</v>
      </c>
    </row>
    <row r="527" spans="24:53" x14ac:dyDescent="0.3">
      <c r="Z527" s="57">
        <v>44635</v>
      </c>
      <c r="AA527" t="s">
        <v>648</v>
      </c>
      <c r="AB527" s="18">
        <v>0</v>
      </c>
      <c r="AC527" s="18"/>
      <c r="AD527" s="18"/>
      <c r="AE527" s="18"/>
      <c r="AF527" s="18"/>
      <c r="AG527" s="18"/>
      <c r="AH527" s="18">
        <v>0</v>
      </c>
      <c r="AT527">
        <v>7</v>
      </c>
      <c r="AU527" s="18">
        <v>119508.5</v>
      </c>
      <c r="AV527" s="18"/>
      <c r="AW527" s="18"/>
      <c r="AX527" s="18"/>
      <c r="AY527" s="18"/>
      <c r="AZ527" s="18"/>
      <c r="BA527" s="18">
        <v>119508.5</v>
      </c>
    </row>
    <row r="528" spans="24:53" x14ac:dyDescent="0.3">
      <c r="Z528" s="57">
        <v>44638</v>
      </c>
      <c r="AA528" t="s">
        <v>650</v>
      </c>
      <c r="AB528" s="18">
        <v>0</v>
      </c>
      <c r="AC528" s="18"/>
      <c r="AD528" s="18"/>
      <c r="AE528" s="18"/>
      <c r="AF528" s="18"/>
      <c r="AG528" s="18"/>
      <c r="AH528" s="18">
        <v>0</v>
      </c>
      <c r="AT528">
        <v>4</v>
      </c>
      <c r="AU528" s="18">
        <v>104153.50000000001</v>
      </c>
      <c r="AV528" s="18"/>
      <c r="AW528" s="18"/>
      <c r="AX528" s="18"/>
      <c r="AY528" s="18"/>
      <c r="AZ528" s="18"/>
      <c r="BA528" s="18">
        <v>104153.50000000001</v>
      </c>
    </row>
    <row r="529" spans="25:53" x14ac:dyDescent="0.3">
      <c r="Z529" s="57">
        <v>44643</v>
      </c>
      <c r="AA529" t="s">
        <v>653</v>
      </c>
      <c r="AB529" s="18">
        <v>0</v>
      </c>
      <c r="AC529" s="18"/>
      <c r="AD529" s="18"/>
      <c r="AE529" s="18"/>
      <c r="AF529" s="18"/>
      <c r="AG529" s="18"/>
      <c r="AH529" s="18">
        <v>0</v>
      </c>
      <c r="AR529" s="36" t="s">
        <v>2037</v>
      </c>
      <c r="AS529" s="36"/>
      <c r="AT529" s="36"/>
      <c r="AU529" s="37">
        <v>522339.3</v>
      </c>
      <c r="AV529" s="37"/>
      <c r="AW529" s="37"/>
      <c r="AX529" s="37"/>
      <c r="AY529" s="37"/>
      <c r="AZ529" s="37"/>
      <c r="BA529" s="37">
        <v>522339.3</v>
      </c>
    </row>
    <row r="530" spans="25:53" x14ac:dyDescent="0.3">
      <c r="Z530" s="57">
        <v>44645</v>
      </c>
      <c r="AA530" t="s">
        <v>660</v>
      </c>
      <c r="AB530" s="18">
        <v>0</v>
      </c>
      <c r="AC530" s="18"/>
      <c r="AD530" s="18"/>
      <c r="AE530" s="18"/>
      <c r="AF530" s="18"/>
      <c r="AG530" s="18"/>
      <c r="AH530" s="18">
        <v>0</v>
      </c>
      <c r="AR530" t="s">
        <v>2134</v>
      </c>
      <c r="AS530">
        <v>2023</v>
      </c>
      <c r="AT530">
        <v>12</v>
      </c>
      <c r="AU530" s="18">
        <v>0</v>
      </c>
      <c r="AV530" s="18"/>
      <c r="AW530" s="18"/>
      <c r="AX530" s="18"/>
      <c r="AY530" s="18"/>
      <c r="AZ530" s="18"/>
      <c r="BA530" s="18">
        <v>0</v>
      </c>
    </row>
    <row r="531" spans="25:53" x14ac:dyDescent="0.3">
      <c r="Z531" s="57">
        <v>44649</v>
      </c>
      <c r="AA531" t="s">
        <v>662</v>
      </c>
      <c r="AB531" s="18">
        <v>0</v>
      </c>
      <c r="AC531" s="18"/>
      <c r="AD531" s="18"/>
      <c r="AE531" s="18"/>
      <c r="AF531" s="18"/>
      <c r="AG531" s="18"/>
      <c r="AH531" s="18">
        <v>0</v>
      </c>
      <c r="AS531">
        <v>2024</v>
      </c>
      <c r="AT531">
        <v>1</v>
      </c>
      <c r="AU531" s="18">
        <v>0</v>
      </c>
      <c r="AV531" s="18"/>
      <c r="AW531" s="18"/>
      <c r="AX531" s="18"/>
      <c r="AY531" s="18"/>
      <c r="AZ531" s="18"/>
      <c r="BA531" s="18">
        <v>0</v>
      </c>
    </row>
    <row r="532" spans="25:53" x14ac:dyDescent="0.3">
      <c r="Y532">
        <v>5</v>
      </c>
      <c r="Z532" s="57">
        <v>44687</v>
      </c>
      <c r="AA532" t="s">
        <v>762</v>
      </c>
      <c r="AB532" s="18">
        <v>0</v>
      </c>
      <c r="AC532" s="18"/>
      <c r="AD532" s="18"/>
      <c r="AE532" s="18"/>
      <c r="AF532" s="18"/>
      <c r="AG532" s="18"/>
      <c r="AH532" s="18">
        <v>0</v>
      </c>
      <c r="AT532">
        <v>3</v>
      </c>
      <c r="AU532" s="18">
        <v>0</v>
      </c>
      <c r="AV532" s="18"/>
      <c r="AW532" s="18"/>
      <c r="AX532" s="18"/>
      <c r="AY532" s="18"/>
      <c r="AZ532" s="18"/>
      <c r="BA532" s="18">
        <v>0</v>
      </c>
    </row>
    <row r="533" spans="25:53" x14ac:dyDescent="0.3">
      <c r="Z533" s="57">
        <v>44688</v>
      </c>
      <c r="AA533" t="s">
        <v>764</v>
      </c>
      <c r="AB533" s="18">
        <v>0</v>
      </c>
      <c r="AC533" s="18"/>
      <c r="AD533" s="18"/>
      <c r="AE533" s="18"/>
      <c r="AF533" s="18"/>
      <c r="AG533" s="18"/>
      <c r="AH533" s="18">
        <v>0</v>
      </c>
      <c r="AR533" s="36" t="s">
        <v>2148</v>
      </c>
      <c r="AS533" s="36"/>
      <c r="AT533" s="36"/>
      <c r="AU533" s="37">
        <v>0</v>
      </c>
      <c r="AV533" s="37"/>
      <c r="AW533" s="37"/>
      <c r="AX533" s="37"/>
      <c r="AY533" s="37"/>
      <c r="AZ533" s="37"/>
      <c r="BA533" s="37">
        <v>0</v>
      </c>
    </row>
    <row r="534" spans="25:53" x14ac:dyDescent="0.3">
      <c r="Z534" s="57">
        <v>44695</v>
      </c>
      <c r="AA534" t="s">
        <v>777</v>
      </c>
      <c r="AB534" s="18">
        <v>0</v>
      </c>
      <c r="AC534" s="18"/>
      <c r="AD534" s="18"/>
      <c r="AE534" s="18"/>
      <c r="AF534" s="18"/>
      <c r="AG534" s="18"/>
      <c r="AH534" s="18">
        <v>0</v>
      </c>
      <c r="AR534" t="s">
        <v>2271</v>
      </c>
      <c r="AS534">
        <v>2024</v>
      </c>
      <c r="AT534">
        <v>1</v>
      </c>
      <c r="AU534" s="18">
        <v>0</v>
      </c>
      <c r="AV534" s="18"/>
      <c r="AW534" s="18"/>
      <c r="AX534" s="18"/>
      <c r="AY534" s="18"/>
      <c r="AZ534" s="18"/>
      <c r="BA534" s="18">
        <v>0</v>
      </c>
    </row>
    <row r="535" spans="25:53" x14ac:dyDescent="0.3">
      <c r="Z535" s="57">
        <v>44699</v>
      </c>
      <c r="AA535" t="s">
        <v>780</v>
      </c>
      <c r="AB535" s="18">
        <v>0</v>
      </c>
      <c r="AC535" s="18"/>
      <c r="AD535" s="18"/>
      <c r="AE535" s="18"/>
      <c r="AF535" s="18"/>
      <c r="AG535" s="18"/>
      <c r="AH535" s="18">
        <v>0</v>
      </c>
      <c r="AS535">
        <v>2025</v>
      </c>
      <c r="AT535">
        <v>3</v>
      </c>
      <c r="AU535" s="18">
        <v>0</v>
      </c>
      <c r="AV535" s="18"/>
      <c r="AW535" s="18"/>
      <c r="AX535" s="18"/>
      <c r="AY535" s="18"/>
      <c r="AZ535" s="18"/>
      <c r="BA535" s="18">
        <v>0</v>
      </c>
    </row>
    <row r="536" spans="25:53" x14ac:dyDescent="0.3">
      <c r="Z536" s="57">
        <v>44701</v>
      </c>
      <c r="AA536" t="s">
        <v>783</v>
      </c>
      <c r="AB536" s="18">
        <v>0</v>
      </c>
      <c r="AC536" s="18"/>
      <c r="AD536" s="18"/>
      <c r="AE536" s="18"/>
      <c r="AF536" s="18"/>
      <c r="AG536" s="18"/>
      <c r="AH536" s="18">
        <v>0</v>
      </c>
      <c r="AR536" s="36" t="s">
        <v>2340</v>
      </c>
      <c r="AS536" s="36"/>
      <c r="AT536" s="36"/>
      <c r="AU536" s="37">
        <v>0</v>
      </c>
      <c r="AV536" s="37"/>
      <c r="AW536" s="37"/>
      <c r="AX536" s="37"/>
      <c r="AY536" s="37"/>
      <c r="AZ536" s="37"/>
      <c r="BA536" s="37">
        <v>0</v>
      </c>
    </row>
    <row r="537" spans="25:53" x14ac:dyDescent="0.3">
      <c r="Z537" s="57">
        <v>44702</v>
      </c>
      <c r="AA537" t="s">
        <v>789</v>
      </c>
      <c r="AB537" s="18">
        <v>0</v>
      </c>
      <c r="AC537" s="18"/>
      <c r="AD537" s="18"/>
      <c r="AE537" s="18"/>
      <c r="AF537" s="18"/>
      <c r="AG537" s="18"/>
      <c r="AH537" s="18">
        <v>0</v>
      </c>
      <c r="AR537" t="s">
        <v>2284</v>
      </c>
      <c r="AS537">
        <v>2024</v>
      </c>
      <c r="AT537">
        <v>1</v>
      </c>
      <c r="AU537" s="18">
        <v>0</v>
      </c>
      <c r="AV537" s="18"/>
      <c r="AW537" s="18"/>
      <c r="AX537" s="18"/>
      <c r="AY537" s="18"/>
      <c r="AZ537" s="18"/>
      <c r="BA537" s="18">
        <v>0</v>
      </c>
    </row>
    <row r="538" spans="25:53" x14ac:dyDescent="0.3">
      <c r="Z538" s="57">
        <v>44704</v>
      </c>
      <c r="AA538" t="s">
        <v>793</v>
      </c>
      <c r="AB538" s="18">
        <v>0</v>
      </c>
      <c r="AC538" s="18"/>
      <c r="AD538" s="18"/>
      <c r="AE538" s="18"/>
      <c r="AF538" s="18"/>
      <c r="AG538" s="18"/>
      <c r="AH538" s="18">
        <v>0</v>
      </c>
      <c r="AT538">
        <v>2</v>
      </c>
      <c r="AU538" s="18">
        <v>0</v>
      </c>
      <c r="AV538" s="18"/>
      <c r="AW538" s="18"/>
      <c r="AX538" s="18"/>
      <c r="AY538" s="18"/>
      <c r="AZ538" s="18"/>
      <c r="BA538" s="18">
        <v>0</v>
      </c>
    </row>
    <row r="539" spans="25:53" x14ac:dyDescent="0.3">
      <c r="Z539" s="57">
        <v>44706</v>
      </c>
      <c r="AA539" t="s">
        <v>796</v>
      </c>
      <c r="AB539" s="18">
        <v>0</v>
      </c>
      <c r="AC539" s="18"/>
      <c r="AD539" s="18"/>
      <c r="AE539" s="18"/>
      <c r="AF539" s="18"/>
      <c r="AG539" s="18"/>
      <c r="AH539" s="18">
        <v>0</v>
      </c>
      <c r="AT539">
        <v>5</v>
      </c>
      <c r="AU539" s="18">
        <v>0</v>
      </c>
      <c r="AV539" s="18"/>
      <c r="AW539" s="18"/>
      <c r="AX539" s="18"/>
      <c r="AY539" s="18"/>
      <c r="AZ539" s="18"/>
      <c r="BA539" s="18">
        <v>0</v>
      </c>
    </row>
    <row r="540" spans="25:53" x14ac:dyDescent="0.3">
      <c r="Y540">
        <v>6</v>
      </c>
      <c r="Z540" s="57">
        <v>44714</v>
      </c>
      <c r="AA540" t="s">
        <v>826</v>
      </c>
      <c r="AB540" s="18">
        <v>0</v>
      </c>
      <c r="AC540" s="18"/>
      <c r="AD540" s="18"/>
      <c r="AE540" s="18"/>
      <c r="AF540" s="18"/>
      <c r="AG540" s="18"/>
      <c r="AH540" s="18">
        <v>0</v>
      </c>
      <c r="AT540">
        <v>6</v>
      </c>
      <c r="AU540" s="18">
        <v>0</v>
      </c>
      <c r="AV540" s="18"/>
      <c r="AW540" s="18"/>
      <c r="AX540" s="18"/>
      <c r="AY540" s="18"/>
      <c r="AZ540" s="18"/>
      <c r="BA540" s="18">
        <v>0</v>
      </c>
    </row>
    <row r="541" spans="25:53" x14ac:dyDescent="0.3">
      <c r="Z541" s="57">
        <v>44716</v>
      </c>
      <c r="AA541" t="s">
        <v>828</v>
      </c>
      <c r="AB541" s="18">
        <v>0</v>
      </c>
      <c r="AC541" s="18"/>
      <c r="AD541" s="18"/>
      <c r="AE541" s="18"/>
      <c r="AF541" s="18"/>
      <c r="AG541" s="18"/>
      <c r="AH541" s="18">
        <v>0</v>
      </c>
      <c r="AR541" s="36" t="s">
        <v>2341</v>
      </c>
      <c r="AS541" s="36"/>
      <c r="AT541" s="36"/>
      <c r="AU541" s="37">
        <v>0</v>
      </c>
      <c r="AV541" s="37"/>
      <c r="AW541" s="37"/>
      <c r="AX541" s="37"/>
      <c r="AY541" s="37"/>
      <c r="AZ541" s="37"/>
      <c r="BA541" s="37">
        <v>0</v>
      </c>
    </row>
    <row r="542" spans="25:53" x14ac:dyDescent="0.3">
      <c r="Z542" s="57">
        <v>44723</v>
      </c>
      <c r="AA542" t="s">
        <v>834</v>
      </c>
      <c r="AB542" s="18">
        <v>0</v>
      </c>
      <c r="AC542" s="18"/>
      <c r="AD542" s="18"/>
      <c r="AE542" s="18"/>
      <c r="AF542" s="18"/>
      <c r="AG542" s="18"/>
      <c r="AH542" s="18">
        <v>0</v>
      </c>
      <c r="AR542" t="s">
        <v>2362</v>
      </c>
      <c r="AS542">
        <v>2024</v>
      </c>
      <c r="AT542">
        <v>2</v>
      </c>
      <c r="AU542" s="18">
        <v>0</v>
      </c>
      <c r="AV542" s="18"/>
      <c r="AW542" s="18"/>
      <c r="AX542" s="18"/>
      <c r="AY542" s="18"/>
      <c r="AZ542" s="18"/>
      <c r="BA542" s="18">
        <v>0</v>
      </c>
    </row>
    <row r="543" spans="25:53" x14ac:dyDescent="0.3">
      <c r="Z543" s="57">
        <v>44730</v>
      </c>
      <c r="AA543" t="s">
        <v>842</v>
      </c>
      <c r="AB543" s="18">
        <v>0</v>
      </c>
      <c r="AC543" s="18"/>
      <c r="AD543" s="18"/>
      <c r="AE543" s="18"/>
      <c r="AF543" s="18"/>
      <c r="AG543" s="18"/>
      <c r="AH543" s="18">
        <v>0</v>
      </c>
      <c r="AR543" s="36" t="s">
        <v>2504</v>
      </c>
      <c r="AS543" s="36"/>
      <c r="AT543" s="36"/>
      <c r="AU543" s="37">
        <v>0</v>
      </c>
      <c r="AV543" s="37"/>
      <c r="AW543" s="37"/>
      <c r="AX543" s="37"/>
      <c r="AY543" s="37"/>
      <c r="AZ543" s="37"/>
      <c r="BA543" s="37">
        <v>0</v>
      </c>
    </row>
    <row r="544" spans="25:53" x14ac:dyDescent="0.3">
      <c r="Z544" s="57">
        <v>44736</v>
      </c>
      <c r="AA544" t="s">
        <v>845</v>
      </c>
      <c r="AB544" s="18">
        <v>0</v>
      </c>
      <c r="AC544" s="18"/>
      <c r="AD544" s="18"/>
      <c r="AE544" s="18"/>
      <c r="AF544" s="18"/>
      <c r="AG544" s="18"/>
      <c r="AH544" s="18">
        <v>0</v>
      </c>
      <c r="AR544" t="s">
        <v>2440</v>
      </c>
      <c r="AS544">
        <v>2024</v>
      </c>
      <c r="AT544">
        <v>3</v>
      </c>
      <c r="AU544" s="18">
        <v>0</v>
      </c>
      <c r="AV544" s="18"/>
      <c r="AW544" s="18"/>
      <c r="AX544" s="18"/>
      <c r="AY544" s="18"/>
      <c r="AZ544" s="18"/>
      <c r="BA544" s="18">
        <v>0</v>
      </c>
    </row>
    <row r="545" spans="25:53" x14ac:dyDescent="0.3">
      <c r="Y545">
        <v>7</v>
      </c>
      <c r="Z545" s="57">
        <v>44756</v>
      </c>
      <c r="AA545" t="s">
        <v>858</v>
      </c>
      <c r="AB545" s="18">
        <v>0</v>
      </c>
      <c r="AC545" s="18"/>
      <c r="AD545" s="18"/>
      <c r="AE545" s="18"/>
      <c r="AF545" s="18"/>
      <c r="AG545" s="18"/>
      <c r="AH545" s="18">
        <v>0</v>
      </c>
      <c r="AR545" s="36" t="s">
        <v>2505</v>
      </c>
      <c r="AS545" s="36"/>
      <c r="AT545" s="36"/>
      <c r="AU545" s="37">
        <v>0</v>
      </c>
      <c r="AV545" s="37"/>
      <c r="AW545" s="37"/>
      <c r="AX545" s="37"/>
      <c r="AY545" s="37"/>
      <c r="AZ545" s="37"/>
      <c r="BA545" s="37">
        <v>0</v>
      </c>
    </row>
    <row r="546" spans="25:53" x14ac:dyDescent="0.3">
      <c r="Z546" s="57">
        <v>44760</v>
      </c>
      <c r="AA546" t="s">
        <v>866</v>
      </c>
      <c r="AB546" s="18">
        <v>0</v>
      </c>
      <c r="AC546" s="18"/>
      <c r="AD546" s="18"/>
      <c r="AE546" s="18"/>
      <c r="AF546" s="18"/>
      <c r="AG546" s="18"/>
      <c r="AH546" s="18">
        <v>0</v>
      </c>
      <c r="AR546" t="s">
        <v>2728</v>
      </c>
      <c r="AS546">
        <v>2024</v>
      </c>
      <c r="AT546">
        <v>6</v>
      </c>
      <c r="AU546" s="18">
        <v>0</v>
      </c>
      <c r="AV546" s="18"/>
      <c r="AW546" s="18"/>
      <c r="AX546" s="18"/>
      <c r="AY546" s="18"/>
      <c r="AZ546" s="18"/>
      <c r="BA546" s="18">
        <v>0</v>
      </c>
    </row>
    <row r="547" spans="25:53" x14ac:dyDescent="0.3">
      <c r="Z547" s="57">
        <v>44762</v>
      </c>
      <c r="AA547" t="s">
        <v>867</v>
      </c>
      <c r="AB547" s="18">
        <v>0</v>
      </c>
      <c r="AC547" s="18"/>
      <c r="AD547" s="18"/>
      <c r="AE547" s="18"/>
      <c r="AF547" s="18"/>
      <c r="AG547" s="18"/>
      <c r="AH547" s="18">
        <v>0</v>
      </c>
      <c r="AT547">
        <v>7</v>
      </c>
      <c r="AU547" s="18">
        <v>2770</v>
      </c>
      <c r="AV547" s="18"/>
      <c r="AW547" s="18"/>
      <c r="AX547" s="18"/>
      <c r="AY547" s="18"/>
      <c r="AZ547" s="18"/>
      <c r="BA547" s="18">
        <v>2770</v>
      </c>
    </row>
    <row r="548" spans="25:53" x14ac:dyDescent="0.3">
      <c r="Z548" s="57">
        <v>44765</v>
      </c>
      <c r="AA548" t="s">
        <v>868</v>
      </c>
      <c r="AB548" s="18">
        <v>0</v>
      </c>
      <c r="AC548" s="18"/>
      <c r="AD548" s="18"/>
      <c r="AE548" s="18"/>
      <c r="AF548" s="18"/>
      <c r="AG548" s="18"/>
      <c r="AH548" s="18">
        <v>0</v>
      </c>
      <c r="AT548">
        <v>8</v>
      </c>
      <c r="AU548" s="18">
        <v>11120</v>
      </c>
      <c r="AV548" s="18"/>
      <c r="AW548" s="18"/>
      <c r="AX548" s="18"/>
      <c r="AY548" s="18"/>
      <c r="AZ548" s="18"/>
      <c r="BA548" s="18">
        <v>11120</v>
      </c>
    </row>
    <row r="549" spans="25:53" x14ac:dyDescent="0.3">
      <c r="Y549">
        <v>8</v>
      </c>
      <c r="Z549" s="57">
        <v>44779</v>
      </c>
      <c r="AA549" t="s">
        <v>895</v>
      </c>
      <c r="AB549" s="18">
        <v>0</v>
      </c>
      <c r="AC549" s="18"/>
      <c r="AD549" s="18"/>
      <c r="AE549" s="18"/>
      <c r="AF549" s="18"/>
      <c r="AG549" s="18"/>
      <c r="AH549" s="18">
        <v>0</v>
      </c>
      <c r="AT549">
        <v>11</v>
      </c>
      <c r="AU549" s="18">
        <v>2947.5</v>
      </c>
      <c r="AV549" s="18"/>
      <c r="AW549" s="18"/>
      <c r="AX549" s="18"/>
      <c r="AY549" s="18"/>
      <c r="AZ549" s="18"/>
      <c r="BA549" s="18">
        <v>2947.5</v>
      </c>
    </row>
    <row r="550" spans="25:53" x14ac:dyDescent="0.3">
      <c r="Z550" s="57">
        <v>44785</v>
      </c>
      <c r="AA550" t="s">
        <v>899</v>
      </c>
      <c r="AB550" s="18">
        <v>0</v>
      </c>
      <c r="AC550" s="18"/>
      <c r="AD550" s="18"/>
      <c r="AE550" s="18"/>
      <c r="AF550" s="18"/>
      <c r="AG550" s="18"/>
      <c r="AH550" s="18">
        <v>0</v>
      </c>
      <c r="AT550">
        <v>12</v>
      </c>
      <c r="AU550" s="18">
        <v>2135</v>
      </c>
      <c r="AV550" s="18"/>
      <c r="AW550" s="18"/>
      <c r="AX550" s="18"/>
      <c r="AY550" s="18"/>
      <c r="AZ550" s="18"/>
      <c r="BA550" s="18">
        <v>2135</v>
      </c>
    </row>
    <row r="551" spans="25:53" x14ac:dyDescent="0.3">
      <c r="Z551" s="57">
        <v>44796</v>
      </c>
      <c r="AA551" t="s">
        <v>910</v>
      </c>
      <c r="AB551" s="18">
        <v>0</v>
      </c>
      <c r="AC551" s="18"/>
      <c r="AD551" s="18"/>
      <c r="AE551" s="18"/>
      <c r="AF551" s="18"/>
      <c r="AG551" s="18"/>
      <c r="AH551" s="18">
        <v>0</v>
      </c>
      <c r="AR551" s="36" t="s">
        <v>2733</v>
      </c>
      <c r="AS551" s="36"/>
      <c r="AT551" s="36"/>
      <c r="AU551" s="37">
        <v>18972.5</v>
      </c>
      <c r="AV551" s="37"/>
      <c r="AW551" s="37"/>
      <c r="AX551" s="37"/>
      <c r="AY551" s="37"/>
      <c r="AZ551" s="37"/>
      <c r="BA551" s="37">
        <v>18972.5</v>
      </c>
    </row>
    <row r="552" spans="25:53" x14ac:dyDescent="0.3">
      <c r="Y552">
        <v>9</v>
      </c>
      <c r="Z552" s="57">
        <v>44806</v>
      </c>
      <c r="AA552" t="s">
        <v>924</v>
      </c>
      <c r="AB552" s="18">
        <v>0</v>
      </c>
      <c r="AC552" s="18"/>
      <c r="AD552" s="18"/>
      <c r="AE552" s="18"/>
      <c r="AF552" s="18"/>
      <c r="AG552" s="18"/>
      <c r="AH552" s="18">
        <v>0</v>
      </c>
      <c r="AR552" t="s">
        <v>2656</v>
      </c>
      <c r="AS552">
        <v>2024</v>
      </c>
      <c r="AT552">
        <v>6</v>
      </c>
      <c r="AU552" s="18">
        <v>0</v>
      </c>
      <c r="AV552" s="18"/>
      <c r="AW552" s="18"/>
      <c r="AX552" s="18"/>
      <c r="AY552" s="18"/>
      <c r="AZ552" s="18"/>
      <c r="BA552" s="18">
        <v>0</v>
      </c>
    </row>
    <row r="553" spans="25:53" x14ac:dyDescent="0.3">
      <c r="Z553" s="57">
        <v>44810</v>
      </c>
      <c r="AA553" t="s">
        <v>927</v>
      </c>
      <c r="AB553" s="18">
        <v>0</v>
      </c>
      <c r="AC553" s="18"/>
      <c r="AD553" s="18"/>
      <c r="AE553" s="18"/>
      <c r="AF553" s="18"/>
      <c r="AG553" s="18"/>
      <c r="AH553" s="18">
        <v>0</v>
      </c>
      <c r="AT553">
        <v>7</v>
      </c>
      <c r="AU553" s="18">
        <v>0</v>
      </c>
      <c r="AV553" s="18"/>
      <c r="AW553" s="18"/>
      <c r="AX553" s="18"/>
      <c r="AY553" s="18"/>
      <c r="AZ553" s="18"/>
      <c r="BA553" s="18">
        <v>0</v>
      </c>
    </row>
    <row r="554" spans="25:53" x14ac:dyDescent="0.3">
      <c r="Z554" s="57">
        <v>44813</v>
      </c>
      <c r="AA554" t="s">
        <v>931</v>
      </c>
      <c r="AB554" s="18">
        <v>0</v>
      </c>
      <c r="AC554" s="18"/>
      <c r="AD554" s="18"/>
      <c r="AE554" s="18"/>
      <c r="AF554" s="18"/>
      <c r="AG554" s="18"/>
      <c r="AH554" s="18">
        <v>0</v>
      </c>
      <c r="AT554">
        <v>8</v>
      </c>
      <c r="AU554" s="18">
        <v>0</v>
      </c>
      <c r="AV554" s="18"/>
      <c r="AW554" s="18"/>
      <c r="AX554" s="18"/>
      <c r="AY554" s="18"/>
      <c r="AZ554" s="18"/>
      <c r="BA554" s="18">
        <v>0</v>
      </c>
    </row>
    <row r="555" spans="25:53" x14ac:dyDescent="0.3">
      <c r="Z555" s="57">
        <v>44817</v>
      </c>
      <c r="AA555" t="s">
        <v>933</v>
      </c>
      <c r="AB555" s="18">
        <v>0</v>
      </c>
      <c r="AC555" s="18"/>
      <c r="AD555" s="18"/>
      <c r="AE555" s="18"/>
      <c r="AF555" s="18"/>
      <c r="AG555" s="18"/>
      <c r="AH555" s="18">
        <v>0</v>
      </c>
      <c r="AT555">
        <v>9</v>
      </c>
      <c r="AU555" s="18">
        <v>0</v>
      </c>
      <c r="AV555" s="18"/>
      <c r="AW555" s="18"/>
      <c r="AX555" s="18"/>
      <c r="AY555" s="18"/>
      <c r="AZ555" s="18"/>
      <c r="BA555" s="18">
        <v>0</v>
      </c>
    </row>
    <row r="556" spans="25:53" x14ac:dyDescent="0.3">
      <c r="AA556" t="s">
        <v>934</v>
      </c>
      <c r="AB556" s="18">
        <v>0</v>
      </c>
      <c r="AC556" s="18"/>
      <c r="AD556" s="18"/>
      <c r="AE556" s="18"/>
      <c r="AF556" s="18"/>
      <c r="AG556" s="18"/>
      <c r="AH556" s="18">
        <v>0</v>
      </c>
      <c r="AT556">
        <v>10</v>
      </c>
      <c r="AU556" s="18">
        <v>0</v>
      </c>
      <c r="AV556" s="18"/>
      <c r="AW556" s="18"/>
      <c r="AX556" s="18"/>
      <c r="AY556" s="18"/>
      <c r="AZ556" s="18"/>
      <c r="BA556" s="18">
        <v>0</v>
      </c>
    </row>
    <row r="557" spans="25:53" x14ac:dyDescent="0.3">
      <c r="Y557">
        <v>10</v>
      </c>
      <c r="Z557" t="s">
        <v>992</v>
      </c>
      <c r="AA557" t="s">
        <v>987</v>
      </c>
      <c r="AB557" s="18">
        <v>0</v>
      </c>
      <c r="AC557" s="18"/>
      <c r="AD557" s="18"/>
      <c r="AE557" s="18"/>
      <c r="AF557" s="18"/>
      <c r="AG557" s="18"/>
      <c r="AH557" s="18">
        <v>0</v>
      </c>
      <c r="AT557">
        <v>11</v>
      </c>
      <c r="AU557" s="18">
        <v>0</v>
      </c>
      <c r="AV557" s="18"/>
      <c r="AW557" s="18"/>
      <c r="AX557" s="18"/>
      <c r="AY557" s="18"/>
      <c r="AZ557" s="18"/>
      <c r="BA557" s="18">
        <v>0</v>
      </c>
    </row>
    <row r="558" spans="25:53" x14ac:dyDescent="0.3">
      <c r="Z558" s="57">
        <v>44847</v>
      </c>
      <c r="AA558" t="s">
        <v>999</v>
      </c>
      <c r="AB558" s="18">
        <v>0</v>
      </c>
      <c r="AC558" s="18"/>
      <c r="AD558" s="18"/>
      <c r="AE558" s="18"/>
      <c r="AF558" s="18"/>
      <c r="AG558" s="18"/>
      <c r="AH558" s="18">
        <v>0</v>
      </c>
      <c r="AT558">
        <v>12</v>
      </c>
      <c r="AU558" s="18">
        <v>0</v>
      </c>
      <c r="AV558" s="18"/>
      <c r="AW558" s="18"/>
      <c r="AX558" s="18"/>
      <c r="AY558" s="18"/>
      <c r="AZ558" s="18"/>
      <c r="BA558" s="18">
        <v>0</v>
      </c>
    </row>
    <row r="559" spans="25:53" x14ac:dyDescent="0.3">
      <c r="Z559" s="57">
        <v>44856</v>
      </c>
      <c r="AA559" t="s">
        <v>1010</v>
      </c>
      <c r="AB559" s="18">
        <v>0</v>
      </c>
      <c r="AC559" s="18"/>
      <c r="AD559" s="18"/>
      <c r="AE559" s="18"/>
      <c r="AF559" s="18"/>
      <c r="AG559" s="18"/>
      <c r="AH559" s="18">
        <v>0</v>
      </c>
      <c r="AS559">
        <v>2025</v>
      </c>
      <c r="AT559">
        <v>2</v>
      </c>
      <c r="AU559" s="18">
        <v>0</v>
      </c>
      <c r="AV559" s="18"/>
      <c r="AW559" s="18"/>
      <c r="AX559" s="18"/>
      <c r="AY559" s="18"/>
      <c r="AZ559" s="18"/>
      <c r="BA559" s="18">
        <v>0</v>
      </c>
    </row>
    <row r="560" spans="25:53" x14ac:dyDescent="0.3">
      <c r="Z560" s="57">
        <v>44861</v>
      </c>
      <c r="AA560" t="s">
        <v>1012</v>
      </c>
      <c r="AB560" s="18">
        <v>0</v>
      </c>
      <c r="AC560" s="18"/>
      <c r="AD560" s="18"/>
      <c r="AE560" s="18"/>
      <c r="AF560" s="18"/>
      <c r="AG560" s="18"/>
      <c r="AH560" s="18">
        <v>0</v>
      </c>
      <c r="AT560">
        <v>3</v>
      </c>
      <c r="AU560" s="18">
        <v>0</v>
      </c>
      <c r="AV560" s="18"/>
      <c r="AW560" s="18"/>
      <c r="AX560" s="18"/>
      <c r="AY560" s="18"/>
      <c r="AZ560" s="18"/>
      <c r="BA560" s="18">
        <v>0</v>
      </c>
    </row>
    <row r="561" spans="25:53" x14ac:dyDescent="0.3">
      <c r="Z561" s="57">
        <v>44865</v>
      </c>
      <c r="AA561" t="s">
        <v>1014</v>
      </c>
      <c r="AB561" s="18">
        <v>0</v>
      </c>
      <c r="AC561" s="18"/>
      <c r="AD561" s="18"/>
      <c r="AE561" s="18"/>
      <c r="AF561" s="18"/>
      <c r="AG561" s="18"/>
      <c r="AH561" s="18">
        <v>0</v>
      </c>
      <c r="AT561">
        <v>5</v>
      </c>
      <c r="AU561" s="18">
        <v>0</v>
      </c>
      <c r="AV561" s="18"/>
      <c r="AW561" s="18"/>
      <c r="AX561" s="18"/>
      <c r="AY561" s="18"/>
      <c r="AZ561" s="18"/>
      <c r="BA561" s="18">
        <v>0</v>
      </c>
    </row>
    <row r="562" spans="25:53" x14ac:dyDescent="0.3">
      <c r="Y562">
        <v>11</v>
      </c>
      <c r="Z562" s="57">
        <v>44869</v>
      </c>
      <c r="AA562" t="s">
        <v>1050</v>
      </c>
      <c r="AB562" s="18">
        <v>0</v>
      </c>
      <c r="AC562" s="18"/>
      <c r="AD562" s="18"/>
      <c r="AE562" s="18"/>
      <c r="AF562" s="18"/>
      <c r="AG562" s="18"/>
      <c r="AH562" s="18">
        <v>0</v>
      </c>
      <c r="AT562">
        <v>6</v>
      </c>
      <c r="AU562" s="18">
        <v>2360</v>
      </c>
      <c r="AV562" s="18"/>
      <c r="AW562" s="18"/>
      <c r="AX562" s="18"/>
      <c r="AY562" s="18"/>
      <c r="AZ562" s="18"/>
      <c r="BA562" s="18">
        <v>2360</v>
      </c>
    </row>
    <row r="563" spans="25:53" x14ac:dyDescent="0.3">
      <c r="Z563" s="57">
        <v>44876</v>
      </c>
      <c r="AA563" t="s">
        <v>1064</v>
      </c>
      <c r="AB563" s="18">
        <v>0</v>
      </c>
      <c r="AC563" s="18"/>
      <c r="AD563" s="18"/>
      <c r="AE563" s="18"/>
      <c r="AF563" s="18"/>
      <c r="AG563" s="18"/>
      <c r="AH563" s="18">
        <v>0</v>
      </c>
      <c r="AT563">
        <v>4</v>
      </c>
      <c r="AU563" s="18">
        <v>0</v>
      </c>
      <c r="AV563" s="18"/>
      <c r="AW563" s="18"/>
      <c r="AX563" s="18"/>
      <c r="AY563" s="18"/>
      <c r="AZ563" s="18"/>
      <c r="BA563" s="18">
        <v>0</v>
      </c>
    </row>
    <row r="564" spans="25:53" x14ac:dyDescent="0.3">
      <c r="Z564" t="s">
        <v>1070</v>
      </c>
      <c r="AA564" t="s">
        <v>1075</v>
      </c>
      <c r="AB564" s="18">
        <v>0</v>
      </c>
      <c r="AC564" s="18"/>
      <c r="AD564" s="18"/>
      <c r="AE564" s="18"/>
      <c r="AF564" s="18"/>
      <c r="AG564" s="18"/>
      <c r="AH564" s="18">
        <v>0</v>
      </c>
      <c r="AR564" s="36" t="s">
        <v>2667</v>
      </c>
      <c r="AS564" s="36"/>
      <c r="AT564" s="36"/>
      <c r="AU564" s="37">
        <v>2360</v>
      </c>
      <c r="AV564" s="37"/>
      <c r="AW564" s="37"/>
      <c r="AX564" s="37"/>
      <c r="AY564" s="37"/>
      <c r="AZ564" s="37"/>
      <c r="BA564" s="37">
        <v>2360</v>
      </c>
    </row>
    <row r="565" spans="25:53" x14ac:dyDescent="0.3">
      <c r="Y565">
        <v>12</v>
      </c>
      <c r="Z565" s="57">
        <v>44897</v>
      </c>
      <c r="AA565" t="s">
        <v>1109</v>
      </c>
      <c r="AB565" s="18">
        <v>0</v>
      </c>
      <c r="AC565" s="18"/>
      <c r="AD565" s="18"/>
      <c r="AE565" s="18"/>
      <c r="AF565" s="18"/>
      <c r="AG565" s="18"/>
      <c r="AH565" s="18">
        <v>0</v>
      </c>
      <c r="AR565" t="s">
        <v>2734</v>
      </c>
      <c r="AS565">
        <v>2024</v>
      </c>
      <c r="AT565">
        <v>7</v>
      </c>
      <c r="AU565" s="18">
        <v>0</v>
      </c>
      <c r="AV565" s="18"/>
      <c r="AW565" s="18"/>
      <c r="AX565" s="18"/>
      <c r="AY565" s="18"/>
      <c r="AZ565" s="18"/>
      <c r="BA565" s="18">
        <v>0</v>
      </c>
    </row>
    <row r="566" spans="25:53" x14ac:dyDescent="0.3">
      <c r="AA566" t="s">
        <v>1111</v>
      </c>
      <c r="AB566" s="18">
        <v>0</v>
      </c>
      <c r="AC566" s="18"/>
      <c r="AD566" s="18"/>
      <c r="AE566" s="18"/>
      <c r="AF566" s="18"/>
      <c r="AG566" s="18"/>
      <c r="AH566" s="18">
        <v>0</v>
      </c>
      <c r="AR566" s="36" t="s">
        <v>2838</v>
      </c>
      <c r="AS566" s="36"/>
      <c r="AT566" s="36"/>
      <c r="AU566" s="37">
        <v>0</v>
      </c>
      <c r="AV566" s="37"/>
      <c r="AW566" s="37"/>
      <c r="AX566" s="37"/>
      <c r="AY566" s="37"/>
      <c r="AZ566" s="37"/>
      <c r="BA566" s="37">
        <v>0</v>
      </c>
    </row>
    <row r="567" spans="25:53" x14ac:dyDescent="0.3">
      <c r="Z567" s="57">
        <v>44898</v>
      </c>
      <c r="AA567" t="s">
        <v>1115</v>
      </c>
      <c r="AB567" s="18">
        <v>0</v>
      </c>
      <c r="AC567" s="18"/>
      <c r="AD567" s="18"/>
      <c r="AE567" s="18"/>
      <c r="AF567" s="18"/>
      <c r="AG567" s="18"/>
      <c r="AH567" s="18">
        <v>0</v>
      </c>
      <c r="AR567" t="s">
        <v>2740</v>
      </c>
      <c r="AS567">
        <v>2024</v>
      </c>
      <c r="AT567">
        <v>7</v>
      </c>
      <c r="AU567" s="18">
        <v>0</v>
      </c>
      <c r="AV567" s="18"/>
      <c r="AW567" s="18"/>
      <c r="AX567" s="18"/>
      <c r="AY567" s="18"/>
      <c r="AZ567" s="18"/>
      <c r="BA567" s="18">
        <v>0</v>
      </c>
    </row>
    <row r="568" spans="25:53" x14ac:dyDescent="0.3">
      <c r="Z568" s="57">
        <v>44904</v>
      </c>
      <c r="AA568" t="s">
        <v>1122</v>
      </c>
      <c r="AB568" s="18">
        <v>0</v>
      </c>
      <c r="AC568" s="18"/>
      <c r="AD568" s="18"/>
      <c r="AE568" s="18"/>
      <c r="AF568" s="18"/>
      <c r="AG568" s="18"/>
      <c r="AH568" s="18">
        <v>0</v>
      </c>
      <c r="AR568" s="36" t="s">
        <v>2839</v>
      </c>
      <c r="AS568" s="36"/>
      <c r="AT568" s="36"/>
      <c r="AU568" s="37">
        <v>0</v>
      </c>
      <c r="AV568" s="37"/>
      <c r="AW568" s="37"/>
      <c r="AX568" s="37"/>
      <c r="AY568" s="37"/>
      <c r="AZ568" s="37"/>
      <c r="BA568" s="37">
        <v>0</v>
      </c>
    </row>
    <row r="569" spans="25:53" x14ac:dyDescent="0.3">
      <c r="Z569" s="57">
        <v>44917</v>
      </c>
      <c r="AA569" t="s">
        <v>1127</v>
      </c>
      <c r="AB569" s="18">
        <v>0</v>
      </c>
      <c r="AC569" s="18"/>
      <c r="AD569" s="18"/>
      <c r="AE569" s="18"/>
      <c r="AF569" s="18"/>
      <c r="AG569" s="18"/>
      <c r="AH569" s="18">
        <v>0</v>
      </c>
      <c r="AR569" t="s">
        <v>2928</v>
      </c>
      <c r="AS569">
        <v>2023</v>
      </c>
      <c r="AT569">
        <v>10</v>
      </c>
      <c r="AU569" s="18">
        <v>0</v>
      </c>
      <c r="AV569" s="18"/>
      <c r="AW569" s="18"/>
      <c r="AX569" s="18"/>
      <c r="AY569" s="18"/>
      <c r="AZ569" s="18"/>
      <c r="BA569" s="18">
        <v>0</v>
      </c>
    </row>
    <row r="570" spans="25:53" x14ac:dyDescent="0.3">
      <c r="Z570" s="57">
        <v>44923</v>
      </c>
      <c r="AA570" t="s">
        <v>1138</v>
      </c>
      <c r="AB570" s="18">
        <v>0</v>
      </c>
      <c r="AC570" s="18"/>
      <c r="AD570" s="18"/>
      <c r="AE570" s="18"/>
      <c r="AF570" s="18"/>
      <c r="AG570" s="18"/>
      <c r="AH570" s="18">
        <v>0</v>
      </c>
      <c r="AT570">
        <v>11</v>
      </c>
      <c r="AU570" s="18">
        <v>0</v>
      </c>
      <c r="AV570" s="18"/>
      <c r="AW570" s="18"/>
      <c r="AX570" s="18"/>
      <c r="AY570" s="18"/>
      <c r="AZ570" s="18"/>
      <c r="BA570" s="18">
        <v>0</v>
      </c>
    </row>
    <row r="571" spans="25:53" x14ac:dyDescent="0.3">
      <c r="Z571" s="57">
        <v>44925</v>
      </c>
      <c r="AA571" t="s">
        <v>1139</v>
      </c>
      <c r="AB571" s="18">
        <v>0</v>
      </c>
      <c r="AC571" s="18"/>
      <c r="AD571" s="18"/>
      <c r="AE571" s="18"/>
      <c r="AF571" s="18"/>
      <c r="AG571" s="18"/>
      <c r="AH571" s="18">
        <v>0</v>
      </c>
      <c r="AS571">
        <v>2024</v>
      </c>
      <c r="AT571">
        <v>8</v>
      </c>
      <c r="AU571" s="18">
        <v>0</v>
      </c>
      <c r="AV571" s="18"/>
      <c r="AW571" s="18"/>
      <c r="AX571" s="18"/>
      <c r="AY571" s="18"/>
      <c r="AZ571" s="18"/>
      <c r="BA571" s="18">
        <v>0</v>
      </c>
    </row>
    <row r="572" spans="25:53" x14ac:dyDescent="0.3">
      <c r="Y572">
        <v>4</v>
      </c>
      <c r="Z572" s="57">
        <v>44652</v>
      </c>
      <c r="AA572" t="s">
        <v>683</v>
      </c>
      <c r="AB572" s="18">
        <v>0</v>
      </c>
      <c r="AC572" s="18"/>
      <c r="AD572" s="18"/>
      <c r="AE572" s="18"/>
      <c r="AF572" s="18"/>
      <c r="AG572" s="18"/>
      <c r="AH572" s="18">
        <v>0</v>
      </c>
      <c r="AR572" s="36" t="s">
        <v>2930</v>
      </c>
      <c r="AS572" s="36"/>
      <c r="AT572" s="36"/>
      <c r="AU572" s="37">
        <v>0</v>
      </c>
      <c r="AV572" s="37"/>
      <c r="AW572" s="37"/>
      <c r="AX572" s="37"/>
      <c r="AY572" s="37"/>
      <c r="AZ572" s="37"/>
      <c r="BA572" s="37">
        <v>0</v>
      </c>
    </row>
    <row r="573" spans="25:53" x14ac:dyDescent="0.3">
      <c r="Z573" s="57">
        <v>44656</v>
      </c>
      <c r="AA573" t="s">
        <v>685</v>
      </c>
      <c r="AB573" s="18">
        <v>0</v>
      </c>
      <c r="AC573" s="18"/>
      <c r="AD573" s="18"/>
      <c r="AE573" s="18"/>
      <c r="AF573" s="18"/>
      <c r="AG573" s="18"/>
      <c r="AH573" s="18">
        <v>0</v>
      </c>
      <c r="AR573" t="s">
        <v>2929</v>
      </c>
      <c r="AS573">
        <v>2023</v>
      </c>
      <c r="AT573">
        <v>12</v>
      </c>
      <c r="AU573" s="18">
        <v>0</v>
      </c>
      <c r="AV573" s="18"/>
      <c r="AW573" s="18"/>
      <c r="AX573" s="18"/>
      <c r="AY573" s="18"/>
      <c r="AZ573" s="18"/>
      <c r="BA573" s="18">
        <v>0</v>
      </c>
    </row>
    <row r="574" spans="25:53" x14ac:dyDescent="0.3">
      <c r="Z574" s="57">
        <v>44660</v>
      </c>
      <c r="AA574" t="s">
        <v>689</v>
      </c>
      <c r="AB574" s="18">
        <v>0</v>
      </c>
      <c r="AC574" s="18"/>
      <c r="AD574" s="18"/>
      <c r="AE574" s="18"/>
      <c r="AF574" s="18"/>
      <c r="AG574" s="18"/>
      <c r="AH574" s="18">
        <v>0</v>
      </c>
      <c r="AS574">
        <v>2024</v>
      </c>
      <c r="AT574">
        <v>1</v>
      </c>
      <c r="AU574" s="18">
        <v>0</v>
      </c>
      <c r="AV574" s="18"/>
      <c r="AW574" s="18"/>
      <c r="AX574" s="18"/>
      <c r="AY574" s="18"/>
      <c r="AZ574" s="18"/>
      <c r="BA574" s="18">
        <v>0</v>
      </c>
    </row>
    <row r="575" spans="25:53" x14ac:dyDescent="0.3">
      <c r="Z575" s="57">
        <v>44664</v>
      </c>
      <c r="AA575" t="s">
        <v>693</v>
      </c>
      <c r="AB575" s="18">
        <v>0</v>
      </c>
      <c r="AC575" s="18"/>
      <c r="AD575" s="18"/>
      <c r="AE575" s="18"/>
      <c r="AF575" s="18"/>
      <c r="AG575" s="18"/>
      <c r="AH575" s="18">
        <v>0</v>
      </c>
      <c r="AT575">
        <v>2</v>
      </c>
      <c r="AU575" s="18">
        <v>0</v>
      </c>
      <c r="AV575" s="18"/>
      <c r="AW575" s="18"/>
      <c r="AX575" s="18"/>
      <c r="AY575" s="18"/>
      <c r="AZ575" s="18"/>
      <c r="BA575" s="18">
        <v>0</v>
      </c>
    </row>
    <row r="576" spans="25:53" x14ac:dyDescent="0.3">
      <c r="Z576" s="57">
        <v>44667</v>
      </c>
      <c r="AA576" t="s">
        <v>696</v>
      </c>
      <c r="AB576" s="18">
        <v>0</v>
      </c>
      <c r="AC576" s="18"/>
      <c r="AD576" s="18"/>
      <c r="AE576" s="18"/>
      <c r="AF576" s="18"/>
      <c r="AG576" s="18"/>
      <c r="AH576" s="18">
        <v>0</v>
      </c>
      <c r="AT576">
        <v>3</v>
      </c>
      <c r="AU576" s="18">
        <v>0</v>
      </c>
      <c r="AV576" s="18"/>
      <c r="AW576" s="18"/>
      <c r="AX576" s="18"/>
      <c r="AY576" s="18"/>
      <c r="AZ576" s="18"/>
      <c r="BA576" s="18">
        <v>0</v>
      </c>
    </row>
    <row r="577" spans="24:53" x14ac:dyDescent="0.3">
      <c r="Z577" s="57">
        <v>44670</v>
      </c>
      <c r="AA577" t="s">
        <v>698</v>
      </c>
      <c r="AB577" s="18">
        <v>0</v>
      </c>
      <c r="AC577" s="18"/>
      <c r="AD577" s="18"/>
      <c r="AE577" s="18"/>
      <c r="AF577" s="18"/>
      <c r="AG577" s="18"/>
      <c r="AH577" s="18">
        <v>0</v>
      </c>
      <c r="AT577">
        <v>5</v>
      </c>
      <c r="AU577" s="18">
        <v>0</v>
      </c>
      <c r="AV577" s="18"/>
      <c r="AW577" s="18"/>
      <c r="AX577" s="18"/>
      <c r="AY577" s="18"/>
      <c r="AZ577" s="18"/>
      <c r="BA577" s="18">
        <v>0</v>
      </c>
    </row>
    <row r="578" spans="24:53" x14ac:dyDescent="0.3">
      <c r="Z578" s="57">
        <v>44674</v>
      </c>
      <c r="AA578" t="s">
        <v>718</v>
      </c>
      <c r="AB578" s="18">
        <v>0</v>
      </c>
      <c r="AC578" s="18"/>
      <c r="AD578" s="18"/>
      <c r="AE578" s="18"/>
      <c r="AF578" s="18"/>
      <c r="AG578" s="18"/>
      <c r="AH578" s="18">
        <v>0</v>
      </c>
      <c r="AT578">
        <v>7</v>
      </c>
      <c r="AU578" s="18">
        <v>0</v>
      </c>
      <c r="AV578" s="18"/>
      <c r="AW578" s="18"/>
      <c r="AX578" s="18"/>
      <c r="AY578" s="18"/>
      <c r="AZ578" s="18"/>
      <c r="BA578" s="18">
        <v>0</v>
      </c>
    </row>
    <row r="579" spans="24:53" x14ac:dyDescent="0.3">
      <c r="Z579" s="57">
        <v>44679</v>
      </c>
      <c r="AA579" t="s">
        <v>725</v>
      </c>
      <c r="AB579" s="18">
        <v>0</v>
      </c>
      <c r="AC579" s="18"/>
      <c r="AD579" s="18"/>
      <c r="AE579" s="18"/>
      <c r="AF579" s="18"/>
      <c r="AG579" s="18"/>
      <c r="AH579" s="18">
        <v>0</v>
      </c>
      <c r="AT579">
        <v>8</v>
      </c>
      <c r="AU579" s="18">
        <v>0</v>
      </c>
      <c r="AV579" s="18"/>
      <c r="AW579" s="18"/>
      <c r="AX579" s="18"/>
      <c r="AY579" s="18"/>
      <c r="AZ579" s="18"/>
      <c r="BA579" s="18">
        <v>0</v>
      </c>
    </row>
    <row r="580" spans="24:53" x14ac:dyDescent="0.3">
      <c r="Z580" s="57">
        <v>44681</v>
      </c>
      <c r="AA580" t="s">
        <v>729</v>
      </c>
      <c r="AB580" s="18">
        <v>0</v>
      </c>
      <c r="AC580" s="18"/>
      <c r="AD580" s="18"/>
      <c r="AE580" s="18"/>
      <c r="AF580" s="18"/>
      <c r="AG580" s="18"/>
      <c r="AH580" s="18">
        <v>0</v>
      </c>
      <c r="AT580">
        <v>9</v>
      </c>
      <c r="AU580" s="18">
        <v>0</v>
      </c>
      <c r="AV580" s="18"/>
      <c r="AW580" s="18"/>
      <c r="AX580" s="18"/>
      <c r="AY580" s="18"/>
      <c r="AZ580" s="18"/>
      <c r="BA580" s="18">
        <v>0</v>
      </c>
    </row>
    <row r="581" spans="24:53" x14ac:dyDescent="0.3">
      <c r="X581">
        <v>2023</v>
      </c>
      <c r="Y581">
        <v>1</v>
      </c>
      <c r="Z581" s="57">
        <v>44931</v>
      </c>
      <c r="AA581" t="s">
        <v>1167</v>
      </c>
      <c r="AB581" s="18">
        <v>0</v>
      </c>
      <c r="AC581" s="18"/>
      <c r="AD581" s="18"/>
      <c r="AE581" s="18"/>
      <c r="AF581" s="18"/>
      <c r="AG581" s="18"/>
      <c r="AH581" s="18">
        <v>0</v>
      </c>
      <c r="AT581">
        <v>10</v>
      </c>
      <c r="AU581" s="18">
        <v>0</v>
      </c>
      <c r="AV581" s="18"/>
      <c r="AW581" s="18"/>
      <c r="AX581" s="18"/>
      <c r="AY581" s="18"/>
      <c r="AZ581" s="18"/>
      <c r="BA581" s="18">
        <v>0</v>
      </c>
    </row>
    <row r="582" spans="24:53" x14ac:dyDescent="0.3">
      <c r="Z582" s="57">
        <v>44933</v>
      </c>
      <c r="AA582" t="s">
        <v>1171</v>
      </c>
      <c r="AB582" s="18">
        <v>0</v>
      </c>
      <c r="AC582" s="18"/>
      <c r="AD582" s="18"/>
      <c r="AE582" s="18"/>
      <c r="AF582" s="18"/>
      <c r="AG582" s="18"/>
      <c r="AH582" s="18">
        <v>0</v>
      </c>
      <c r="AT582">
        <v>11</v>
      </c>
      <c r="AU582" s="18">
        <v>0</v>
      </c>
      <c r="AV582" s="18"/>
      <c r="AW582" s="18"/>
      <c r="AX582" s="18"/>
      <c r="AY582" s="18"/>
      <c r="AZ582" s="18"/>
      <c r="BA582" s="18">
        <v>0</v>
      </c>
    </row>
    <row r="583" spans="24:53" x14ac:dyDescent="0.3">
      <c r="Z583" s="57">
        <v>44935</v>
      </c>
      <c r="AA583" t="s">
        <v>1174</v>
      </c>
      <c r="AB583" s="18">
        <v>0</v>
      </c>
      <c r="AC583" s="18"/>
      <c r="AD583" s="18"/>
      <c r="AE583" s="18"/>
      <c r="AF583" s="18"/>
      <c r="AG583" s="18"/>
      <c r="AH583" s="18">
        <v>0</v>
      </c>
      <c r="AT583">
        <v>12</v>
      </c>
      <c r="AU583" s="18">
        <v>0</v>
      </c>
      <c r="AV583" s="18"/>
      <c r="AW583" s="18"/>
      <c r="AX583" s="18"/>
      <c r="AY583" s="18"/>
      <c r="AZ583" s="18"/>
      <c r="BA583" s="18">
        <v>0</v>
      </c>
    </row>
    <row r="584" spans="24:53" x14ac:dyDescent="0.3">
      <c r="Z584" s="57">
        <v>44938</v>
      </c>
      <c r="AA584" t="s">
        <v>1181</v>
      </c>
      <c r="AB584" s="18">
        <v>0</v>
      </c>
      <c r="AC584" s="18"/>
      <c r="AD584" s="18"/>
      <c r="AE584" s="18"/>
      <c r="AF584" s="18"/>
      <c r="AG584" s="18"/>
      <c r="AH584" s="18">
        <v>0</v>
      </c>
      <c r="AT584">
        <v>4</v>
      </c>
      <c r="AU584" s="18">
        <v>0</v>
      </c>
      <c r="AV584" s="18"/>
      <c r="AW584" s="18"/>
      <c r="AX584" s="18"/>
      <c r="AY584" s="18"/>
      <c r="AZ584" s="18"/>
      <c r="BA584" s="18">
        <v>0</v>
      </c>
    </row>
    <row r="585" spans="24:53" x14ac:dyDescent="0.3">
      <c r="Z585" s="57">
        <v>44940</v>
      </c>
      <c r="AA585" t="s">
        <v>1189</v>
      </c>
      <c r="AB585" s="18">
        <v>0</v>
      </c>
      <c r="AC585" s="18"/>
      <c r="AD585" s="18"/>
      <c r="AE585" s="18"/>
      <c r="AF585" s="18"/>
      <c r="AG585" s="18"/>
      <c r="AH585" s="18">
        <v>0</v>
      </c>
      <c r="AS585">
        <v>2025</v>
      </c>
      <c r="AT585">
        <v>1</v>
      </c>
      <c r="AU585" s="18">
        <v>0</v>
      </c>
      <c r="AV585" s="18"/>
      <c r="AW585" s="18"/>
      <c r="AX585" s="18"/>
      <c r="AY585" s="18"/>
      <c r="AZ585" s="18"/>
      <c r="BA585" s="18">
        <v>0</v>
      </c>
    </row>
    <row r="586" spans="24:53" x14ac:dyDescent="0.3">
      <c r="Z586" s="57">
        <v>44945</v>
      </c>
      <c r="AA586" t="s">
        <v>1193</v>
      </c>
      <c r="AB586" s="18">
        <v>0</v>
      </c>
      <c r="AC586" s="18"/>
      <c r="AD586" s="18"/>
      <c r="AE586" s="18"/>
      <c r="AF586" s="18"/>
      <c r="AG586" s="18"/>
      <c r="AH586" s="18">
        <v>0</v>
      </c>
      <c r="AT586">
        <v>2</v>
      </c>
      <c r="AU586" s="18">
        <v>0.5</v>
      </c>
      <c r="AV586" s="18"/>
      <c r="AW586" s="18"/>
      <c r="AX586" s="18"/>
      <c r="AY586" s="18"/>
      <c r="AZ586" s="18"/>
      <c r="BA586" s="18">
        <v>0.5</v>
      </c>
    </row>
    <row r="587" spans="24:53" x14ac:dyDescent="0.3">
      <c r="Z587" s="57">
        <v>44956</v>
      </c>
      <c r="AA587" t="s">
        <v>1204</v>
      </c>
      <c r="AB587" s="18">
        <v>0</v>
      </c>
      <c r="AC587" s="18"/>
      <c r="AD587" s="18"/>
      <c r="AE587" s="18"/>
      <c r="AF587" s="18"/>
      <c r="AG587" s="18"/>
      <c r="AH587" s="18">
        <v>0</v>
      </c>
      <c r="AT587">
        <v>5</v>
      </c>
      <c r="AU587" s="18">
        <v>0</v>
      </c>
      <c r="AV587" s="18"/>
      <c r="AW587" s="18"/>
      <c r="AX587" s="18"/>
      <c r="AY587" s="18"/>
      <c r="AZ587" s="18"/>
      <c r="BA587" s="18">
        <v>0</v>
      </c>
    </row>
    <row r="588" spans="24:53" x14ac:dyDescent="0.3">
      <c r="Y588">
        <v>2</v>
      </c>
      <c r="Z588" t="s">
        <v>1238</v>
      </c>
      <c r="AA588" t="s">
        <v>1237</v>
      </c>
      <c r="AB588" s="18">
        <v>0</v>
      </c>
      <c r="AC588" s="18"/>
      <c r="AD588" s="18"/>
      <c r="AE588" s="18"/>
      <c r="AF588" s="18"/>
      <c r="AG588" s="18"/>
      <c r="AH588" s="18">
        <v>0</v>
      </c>
      <c r="AT588">
        <v>6</v>
      </c>
      <c r="AU588" s="18">
        <v>0</v>
      </c>
      <c r="AV588" s="18"/>
      <c r="AW588" s="18"/>
      <c r="AX588" s="18"/>
      <c r="AY588" s="18"/>
      <c r="AZ588" s="18"/>
      <c r="BA588" s="18">
        <v>0</v>
      </c>
    </row>
    <row r="589" spans="24:53" x14ac:dyDescent="0.3">
      <c r="Z589" t="s">
        <v>1246</v>
      </c>
      <c r="AA589" t="s">
        <v>1245</v>
      </c>
      <c r="AB589" s="18">
        <v>4.5474735088646412E-13</v>
      </c>
      <c r="AC589" s="18"/>
      <c r="AD589" s="18"/>
      <c r="AE589" s="18"/>
      <c r="AF589" s="18"/>
      <c r="AG589" s="18"/>
      <c r="AH589" s="18">
        <v>4.5474735088646412E-13</v>
      </c>
      <c r="AT589">
        <v>7</v>
      </c>
      <c r="AU589" s="18">
        <v>0</v>
      </c>
      <c r="AV589" s="18"/>
      <c r="AW589" s="18"/>
      <c r="AX589" s="18"/>
      <c r="AY589" s="18"/>
      <c r="AZ589" s="18"/>
      <c r="BA589" s="18">
        <v>0</v>
      </c>
    </row>
    <row r="590" spans="24:53" x14ac:dyDescent="0.3">
      <c r="AA590" t="s">
        <v>1247</v>
      </c>
      <c r="AB590" s="18">
        <v>0</v>
      </c>
      <c r="AC590" s="18"/>
      <c r="AD590" s="18"/>
      <c r="AE590" s="18"/>
      <c r="AF590" s="18"/>
      <c r="AG590" s="18"/>
      <c r="AH590" s="18">
        <v>0</v>
      </c>
      <c r="AT590">
        <v>4</v>
      </c>
      <c r="AU590" s="18">
        <v>0</v>
      </c>
      <c r="AV590" s="18"/>
      <c r="AW590" s="18"/>
      <c r="AX590" s="18"/>
      <c r="AY590" s="18"/>
      <c r="AZ590" s="18"/>
      <c r="BA590" s="18">
        <v>0</v>
      </c>
    </row>
    <row r="591" spans="24:53" x14ac:dyDescent="0.3">
      <c r="Z591" s="57">
        <v>44968</v>
      </c>
      <c r="AA591" t="s">
        <v>1254</v>
      </c>
      <c r="AB591" s="18">
        <v>0</v>
      </c>
      <c r="AC591" s="18"/>
      <c r="AD591" s="18"/>
      <c r="AE591" s="18"/>
      <c r="AF591" s="18"/>
      <c r="AG591" s="18"/>
      <c r="AH591" s="18">
        <v>0</v>
      </c>
      <c r="AR591" s="36" t="s">
        <v>2931</v>
      </c>
      <c r="AS591" s="36"/>
      <c r="AT591" s="36"/>
      <c r="AU591" s="37">
        <v>0.5</v>
      </c>
      <c r="AV591" s="37"/>
      <c r="AW591" s="37"/>
      <c r="AX591" s="37"/>
      <c r="AY591" s="37"/>
      <c r="AZ591" s="37"/>
      <c r="BA591" s="37">
        <v>0.5</v>
      </c>
    </row>
    <row r="592" spans="24:53" x14ac:dyDescent="0.3">
      <c r="AA592" t="s">
        <v>1255</v>
      </c>
      <c r="AB592" s="18">
        <v>0</v>
      </c>
      <c r="AC592" s="18"/>
      <c r="AD592" s="18"/>
      <c r="AE592" s="18"/>
      <c r="AF592" s="18"/>
      <c r="AG592" s="18"/>
      <c r="AH592" s="18">
        <v>0</v>
      </c>
      <c r="AR592" t="s">
        <v>2939</v>
      </c>
      <c r="AS592">
        <v>2024</v>
      </c>
      <c r="AT592">
        <v>9</v>
      </c>
      <c r="AU592" s="18">
        <v>-5</v>
      </c>
      <c r="AV592" s="18"/>
      <c r="AW592" s="18"/>
      <c r="AX592" s="18"/>
      <c r="AY592" s="18"/>
      <c r="AZ592" s="18"/>
      <c r="BA592" s="18">
        <v>-5</v>
      </c>
    </row>
    <row r="593" spans="25:53" x14ac:dyDescent="0.3">
      <c r="Z593" t="s">
        <v>1264</v>
      </c>
      <c r="AA593" t="s">
        <v>1263</v>
      </c>
      <c r="AB593" s="18">
        <v>0</v>
      </c>
      <c r="AC593" s="18"/>
      <c r="AD593" s="18"/>
      <c r="AE593" s="18"/>
      <c r="AF593" s="18"/>
      <c r="AG593" s="18"/>
      <c r="AH593" s="18">
        <v>0</v>
      </c>
      <c r="AT593">
        <v>10</v>
      </c>
      <c r="AU593" s="18">
        <v>-5</v>
      </c>
      <c r="AV593" s="18"/>
      <c r="AW593" s="18"/>
      <c r="AX593" s="18"/>
      <c r="AY593" s="18"/>
      <c r="AZ593" s="18"/>
      <c r="BA593" s="18">
        <v>-5</v>
      </c>
    </row>
    <row r="594" spans="25:53" x14ac:dyDescent="0.3">
      <c r="AA594" t="s">
        <v>1266</v>
      </c>
      <c r="AB594" s="18">
        <v>0</v>
      </c>
      <c r="AC594" s="18"/>
      <c r="AD594" s="18"/>
      <c r="AE594" s="18"/>
      <c r="AF594" s="18"/>
      <c r="AG594" s="18"/>
      <c r="AH594" s="18">
        <v>0</v>
      </c>
      <c r="AT594">
        <v>12</v>
      </c>
      <c r="AU594" s="18">
        <v>0</v>
      </c>
      <c r="AV594" s="18"/>
      <c r="AW594" s="18"/>
      <c r="AX594" s="18"/>
      <c r="AY594" s="18"/>
      <c r="AZ594" s="18"/>
      <c r="BA594" s="18">
        <v>0</v>
      </c>
    </row>
    <row r="595" spans="25:53" x14ac:dyDescent="0.3">
      <c r="AA595" t="s">
        <v>1267</v>
      </c>
      <c r="AB595" s="18">
        <v>0</v>
      </c>
      <c r="AC595" s="18"/>
      <c r="AD595" s="18"/>
      <c r="AE595" s="18"/>
      <c r="AF595" s="18"/>
      <c r="AG595" s="18"/>
      <c r="AH595" s="18">
        <v>0</v>
      </c>
      <c r="AS595">
        <v>2025</v>
      </c>
      <c r="AT595">
        <v>2</v>
      </c>
      <c r="AU595" s="18">
        <v>525</v>
      </c>
      <c r="AV595" s="18"/>
      <c r="AW595" s="18"/>
      <c r="AX595" s="18"/>
      <c r="AY595" s="18"/>
      <c r="AZ595" s="18"/>
      <c r="BA595" s="18">
        <v>525</v>
      </c>
    </row>
    <row r="596" spans="25:53" x14ac:dyDescent="0.3">
      <c r="Z596" s="57">
        <v>44978</v>
      </c>
      <c r="AA596" t="s">
        <v>1274</v>
      </c>
      <c r="AB596" s="18">
        <v>0</v>
      </c>
      <c r="AC596" s="18"/>
      <c r="AD596" s="18"/>
      <c r="AE596" s="18"/>
      <c r="AF596" s="18"/>
      <c r="AG596" s="18"/>
      <c r="AH596" s="18">
        <v>0</v>
      </c>
      <c r="AR596" s="36" t="s">
        <v>3006</v>
      </c>
      <c r="AS596" s="36"/>
      <c r="AT596" s="36"/>
      <c r="AU596" s="37">
        <v>515</v>
      </c>
      <c r="AV596" s="37"/>
      <c r="AW596" s="37"/>
      <c r="AX596" s="37"/>
      <c r="AY596" s="37"/>
      <c r="AZ596" s="37"/>
      <c r="BA596" s="37">
        <v>515</v>
      </c>
    </row>
    <row r="597" spans="25:53" x14ac:dyDescent="0.3">
      <c r="AA597" t="s">
        <v>1275</v>
      </c>
      <c r="AB597" s="18">
        <v>0</v>
      </c>
      <c r="AC597" s="18"/>
      <c r="AD597" s="18"/>
      <c r="AE597" s="18"/>
      <c r="AF597" s="18"/>
      <c r="AG597" s="18"/>
      <c r="AH597" s="18">
        <v>0</v>
      </c>
      <c r="AR597" t="s">
        <v>3061</v>
      </c>
      <c r="AS597">
        <v>2024</v>
      </c>
      <c r="AT597">
        <v>6</v>
      </c>
      <c r="AU597" s="18">
        <v>0</v>
      </c>
      <c r="AV597" s="18"/>
      <c r="AW597" s="18"/>
      <c r="AX597" s="18"/>
      <c r="AY597" s="18"/>
      <c r="AZ597" s="18"/>
      <c r="BA597" s="18">
        <v>0</v>
      </c>
    </row>
    <row r="598" spans="25:53" x14ac:dyDescent="0.3">
      <c r="Z598" t="s">
        <v>1279</v>
      </c>
      <c r="AA598" t="s">
        <v>1277</v>
      </c>
      <c r="AB598" s="18">
        <v>0</v>
      </c>
      <c r="AC598" s="18"/>
      <c r="AD598" s="18"/>
      <c r="AE598" s="18"/>
      <c r="AF598" s="18"/>
      <c r="AG598" s="18"/>
      <c r="AH598" s="18">
        <v>0</v>
      </c>
      <c r="AR598" s="36" t="s">
        <v>3097</v>
      </c>
      <c r="AS598" s="36"/>
      <c r="AT598" s="36"/>
      <c r="AU598" s="37">
        <v>0</v>
      </c>
      <c r="AV598" s="37"/>
      <c r="AW598" s="37"/>
      <c r="AX598" s="37"/>
      <c r="AY598" s="37"/>
      <c r="AZ598" s="37"/>
      <c r="BA598" s="37">
        <v>0</v>
      </c>
    </row>
    <row r="599" spans="25:53" x14ac:dyDescent="0.3">
      <c r="Y599">
        <v>3</v>
      </c>
      <c r="Z599" t="s">
        <v>1308</v>
      </c>
      <c r="AA599" t="s">
        <v>1307</v>
      </c>
      <c r="AB599" s="18">
        <v>0</v>
      </c>
      <c r="AC599" s="18"/>
      <c r="AD599" s="18"/>
      <c r="AE599" s="18"/>
      <c r="AF599" s="18"/>
      <c r="AG599" s="18"/>
      <c r="AH599" s="18">
        <v>0</v>
      </c>
      <c r="AR599" t="s">
        <v>3063</v>
      </c>
      <c r="AS599">
        <v>2024</v>
      </c>
      <c r="AT599">
        <v>10</v>
      </c>
      <c r="AU599" s="18">
        <v>0</v>
      </c>
      <c r="AV599" s="18"/>
      <c r="AW599" s="18"/>
      <c r="AX599" s="18"/>
      <c r="AY599" s="18"/>
      <c r="AZ599" s="18"/>
      <c r="BA599" s="18">
        <v>0</v>
      </c>
    </row>
    <row r="600" spans="25:53" x14ac:dyDescent="0.3">
      <c r="AA600" t="s">
        <v>1311</v>
      </c>
      <c r="AB600" s="18">
        <v>0</v>
      </c>
      <c r="AC600" s="18"/>
      <c r="AD600" s="18"/>
      <c r="AE600" s="18"/>
      <c r="AF600" s="18"/>
      <c r="AG600" s="18"/>
      <c r="AH600" s="18">
        <v>0</v>
      </c>
      <c r="AR600" s="36" t="s">
        <v>3098</v>
      </c>
      <c r="AS600" s="36"/>
      <c r="AT600" s="36"/>
      <c r="AU600" s="37">
        <v>0</v>
      </c>
      <c r="AV600" s="37"/>
      <c r="AW600" s="37"/>
      <c r="AX600" s="37"/>
      <c r="AY600" s="37"/>
      <c r="AZ600" s="37"/>
      <c r="BA600" s="37">
        <v>0</v>
      </c>
    </row>
    <row r="601" spans="25:53" x14ac:dyDescent="0.3">
      <c r="Z601" t="s">
        <v>1332</v>
      </c>
      <c r="AA601" t="s">
        <v>1331</v>
      </c>
      <c r="AB601" s="18">
        <v>0</v>
      </c>
      <c r="AC601" s="18"/>
      <c r="AD601" s="18"/>
      <c r="AE601" s="18"/>
      <c r="AF601" s="18"/>
      <c r="AG601" s="18"/>
      <c r="AH601" s="18">
        <v>0</v>
      </c>
      <c r="AR601" t="s">
        <v>3100</v>
      </c>
      <c r="AS601" t="s">
        <v>1763</v>
      </c>
      <c r="AT601" t="s">
        <v>1763</v>
      </c>
      <c r="AU601" s="18"/>
      <c r="AV601" s="18"/>
      <c r="AW601" s="18"/>
      <c r="AX601" s="18"/>
      <c r="AY601" s="18">
        <v>0</v>
      </c>
      <c r="AZ601" s="18"/>
      <c r="BA601" s="18">
        <v>0</v>
      </c>
    </row>
    <row r="602" spans="25:53" x14ac:dyDescent="0.3">
      <c r="Z602" t="s">
        <v>1334</v>
      </c>
      <c r="AA602" t="s">
        <v>1335</v>
      </c>
      <c r="AB602" s="18">
        <v>0</v>
      </c>
      <c r="AC602" s="18"/>
      <c r="AD602" s="18"/>
      <c r="AE602" s="18"/>
      <c r="AF602" s="18"/>
      <c r="AG602" s="18"/>
      <c r="AH602" s="18">
        <v>0</v>
      </c>
      <c r="AR602" s="36" t="s">
        <v>3206</v>
      </c>
      <c r="AS602" s="36"/>
      <c r="AT602" s="36"/>
      <c r="AU602" s="37"/>
      <c r="AV602" s="37"/>
      <c r="AW602" s="37"/>
      <c r="AX602" s="37"/>
      <c r="AY602" s="37">
        <v>0</v>
      </c>
      <c r="AZ602" s="37"/>
      <c r="BA602" s="37">
        <v>0</v>
      </c>
    </row>
    <row r="603" spans="25:53" x14ac:dyDescent="0.3">
      <c r="AA603" t="s">
        <v>1336</v>
      </c>
      <c r="AB603" s="18">
        <v>0</v>
      </c>
      <c r="AC603" s="18"/>
      <c r="AD603" s="18"/>
      <c r="AE603" s="18"/>
      <c r="AF603" s="18"/>
      <c r="AG603" s="18"/>
      <c r="AH603" s="18">
        <v>0</v>
      </c>
      <c r="AR603" t="s">
        <v>3225</v>
      </c>
      <c r="AS603">
        <v>2024</v>
      </c>
      <c r="AT603">
        <v>12</v>
      </c>
      <c r="AU603" s="18">
        <v>0</v>
      </c>
      <c r="AV603" s="18"/>
      <c r="AW603" s="18"/>
      <c r="AX603" s="18"/>
      <c r="AY603" s="18"/>
      <c r="AZ603" s="18"/>
      <c r="BA603" s="18">
        <v>0</v>
      </c>
    </row>
    <row r="604" spans="25:53" x14ac:dyDescent="0.3">
      <c r="Z604" t="s">
        <v>1348</v>
      </c>
      <c r="AA604" t="s">
        <v>1346</v>
      </c>
      <c r="AB604" s="18">
        <v>0</v>
      </c>
      <c r="AC604" s="18"/>
      <c r="AD604" s="18"/>
      <c r="AE604" s="18"/>
      <c r="AF604" s="18"/>
      <c r="AG604" s="18"/>
      <c r="AH604" s="18">
        <v>0</v>
      </c>
      <c r="AR604" s="36" t="s">
        <v>3285</v>
      </c>
      <c r="AS604" s="36"/>
      <c r="AT604" s="36"/>
      <c r="AU604" s="37">
        <v>0</v>
      </c>
      <c r="AV604" s="37"/>
      <c r="AW604" s="37"/>
      <c r="AX604" s="37"/>
      <c r="AY604" s="37"/>
      <c r="AZ604" s="37"/>
      <c r="BA604" s="37">
        <v>0</v>
      </c>
    </row>
    <row r="605" spans="25:53" x14ac:dyDescent="0.3">
      <c r="AA605" t="s">
        <v>1347</v>
      </c>
      <c r="AB605" s="18">
        <v>0</v>
      </c>
      <c r="AC605" s="18"/>
      <c r="AD605" s="18"/>
      <c r="AE605" s="18"/>
      <c r="AF605" s="18"/>
      <c r="AG605" s="18"/>
      <c r="AH605" s="18">
        <v>0</v>
      </c>
      <c r="AR605" t="s">
        <v>3230</v>
      </c>
      <c r="AS605">
        <v>2024</v>
      </c>
      <c r="AT605">
        <v>12</v>
      </c>
      <c r="AU605" s="18">
        <v>0</v>
      </c>
      <c r="AV605" s="18"/>
      <c r="AW605" s="18"/>
      <c r="AX605" s="18"/>
      <c r="AY605" s="18"/>
      <c r="AZ605" s="18"/>
      <c r="BA605" s="18">
        <v>0</v>
      </c>
    </row>
    <row r="606" spans="25:53" x14ac:dyDescent="0.3">
      <c r="Z606" t="s">
        <v>1362</v>
      </c>
      <c r="AA606" t="s">
        <v>1365</v>
      </c>
      <c r="AB606" s="18">
        <v>0</v>
      </c>
      <c r="AC606" s="18"/>
      <c r="AD606" s="18"/>
      <c r="AE606" s="18"/>
      <c r="AF606" s="18"/>
      <c r="AG606" s="18"/>
      <c r="AH606" s="18">
        <v>0</v>
      </c>
      <c r="AS606">
        <v>2025</v>
      </c>
      <c r="AT606">
        <v>1</v>
      </c>
      <c r="AU606" s="18">
        <v>0</v>
      </c>
      <c r="AV606" s="18"/>
      <c r="AW606" s="18"/>
      <c r="AX606" s="18"/>
      <c r="AY606" s="18"/>
      <c r="AZ606" s="18"/>
      <c r="BA606" s="18">
        <v>0</v>
      </c>
    </row>
    <row r="607" spans="25:53" x14ac:dyDescent="0.3">
      <c r="AA607" t="s">
        <v>1366</v>
      </c>
      <c r="AB607" s="18">
        <v>0</v>
      </c>
      <c r="AC607" s="18"/>
      <c r="AD607" s="18"/>
      <c r="AE607" s="18"/>
      <c r="AF607" s="18"/>
      <c r="AG607" s="18"/>
      <c r="AH607" s="18">
        <v>0</v>
      </c>
      <c r="AR607" s="36" t="s">
        <v>3286</v>
      </c>
      <c r="AS607" s="36"/>
      <c r="AT607" s="36"/>
      <c r="AU607" s="37">
        <v>0</v>
      </c>
      <c r="AV607" s="37"/>
      <c r="AW607" s="37"/>
      <c r="AX607" s="37"/>
      <c r="AY607" s="37"/>
      <c r="AZ607" s="37"/>
      <c r="BA607" s="37">
        <v>0</v>
      </c>
    </row>
    <row r="608" spans="25:53" x14ac:dyDescent="0.3">
      <c r="Y608">
        <v>5</v>
      </c>
      <c r="Z608" s="57">
        <v>45048</v>
      </c>
      <c r="AA608" t="s">
        <v>1531</v>
      </c>
      <c r="AB608" s="18">
        <v>0</v>
      </c>
      <c r="AC608" s="18"/>
      <c r="AD608" s="18"/>
      <c r="AE608" s="18"/>
      <c r="AF608" s="18"/>
      <c r="AG608" s="18"/>
      <c r="AH608" s="18">
        <v>0</v>
      </c>
      <c r="AR608" t="s">
        <v>3268</v>
      </c>
      <c r="AS608">
        <v>2024</v>
      </c>
      <c r="AT608">
        <v>12</v>
      </c>
      <c r="AU608" s="18">
        <v>0</v>
      </c>
      <c r="AV608" s="18"/>
      <c r="AW608" s="18"/>
      <c r="AX608" s="18"/>
      <c r="AY608" s="18"/>
      <c r="AZ608" s="18"/>
      <c r="BA608" s="18">
        <v>0</v>
      </c>
    </row>
    <row r="609" spans="25:53" x14ac:dyDescent="0.3">
      <c r="AA609" t="s">
        <v>1532</v>
      </c>
      <c r="AB609" s="18">
        <v>0</v>
      </c>
      <c r="AC609" s="18"/>
      <c r="AD609" s="18"/>
      <c r="AE609" s="18"/>
      <c r="AF609" s="18"/>
      <c r="AG609" s="18"/>
      <c r="AH609" s="18">
        <v>0</v>
      </c>
      <c r="AR609" s="36" t="s">
        <v>3287</v>
      </c>
      <c r="AS609" s="36"/>
      <c r="AT609" s="36"/>
      <c r="AU609" s="37">
        <v>0</v>
      </c>
      <c r="AV609" s="37"/>
      <c r="AW609" s="37"/>
      <c r="AX609" s="37"/>
      <c r="AY609" s="37"/>
      <c r="AZ609" s="37"/>
      <c r="BA609" s="37">
        <v>0</v>
      </c>
    </row>
    <row r="610" spans="25:53" x14ac:dyDescent="0.3">
      <c r="Z610" s="57">
        <v>45054</v>
      </c>
      <c r="AA610" t="s">
        <v>1538</v>
      </c>
      <c r="AB610" s="18">
        <v>0</v>
      </c>
      <c r="AC610" s="18"/>
      <c r="AD610" s="18"/>
      <c r="AE610" s="18"/>
      <c r="AF610" s="18"/>
      <c r="AG610" s="18"/>
      <c r="AH610" s="18">
        <v>0</v>
      </c>
      <c r="AR610" t="s">
        <v>3330</v>
      </c>
      <c r="AS610">
        <v>2025</v>
      </c>
      <c r="AT610">
        <v>1</v>
      </c>
      <c r="AU610" s="18">
        <v>0</v>
      </c>
      <c r="AV610" s="18"/>
      <c r="AW610" s="18"/>
      <c r="AX610" s="18"/>
      <c r="AY610" s="18"/>
      <c r="AZ610" s="18"/>
      <c r="BA610" s="18">
        <v>0</v>
      </c>
    </row>
    <row r="611" spans="25:53" x14ac:dyDescent="0.3">
      <c r="AA611" t="s">
        <v>1539</v>
      </c>
      <c r="AB611" s="18">
        <v>0</v>
      </c>
      <c r="AC611" s="18"/>
      <c r="AD611" s="18"/>
      <c r="AE611" s="18"/>
      <c r="AF611" s="18"/>
      <c r="AG611" s="18"/>
      <c r="AH611" s="18">
        <v>0</v>
      </c>
      <c r="AR611" s="36" t="s">
        <v>3441</v>
      </c>
      <c r="AS611" s="36"/>
      <c r="AT611" s="36"/>
      <c r="AU611" s="37">
        <v>0</v>
      </c>
      <c r="AV611" s="37"/>
      <c r="AW611" s="37"/>
      <c r="AX611" s="37"/>
      <c r="AY611" s="37"/>
      <c r="AZ611" s="37"/>
      <c r="BA611" s="37">
        <v>0</v>
      </c>
    </row>
    <row r="612" spans="25:53" x14ac:dyDescent="0.3">
      <c r="Z612" s="57">
        <v>45066</v>
      </c>
      <c r="AA612" t="s">
        <v>1555</v>
      </c>
      <c r="AB612" s="18">
        <v>0</v>
      </c>
      <c r="AC612" s="18"/>
      <c r="AD612" s="18"/>
      <c r="AE612" s="18"/>
      <c r="AF612" s="18"/>
      <c r="AG612" s="18"/>
      <c r="AH612" s="18">
        <v>0</v>
      </c>
      <c r="AR612" t="s">
        <v>3532</v>
      </c>
      <c r="AS612">
        <v>2025</v>
      </c>
      <c r="AT612">
        <v>3</v>
      </c>
      <c r="AU612" s="18">
        <v>0</v>
      </c>
      <c r="AV612" s="18"/>
      <c r="AW612" s="18"/>
      <c r="AX612" s="18"/>
      <c r="AY612" s="18"/>
      <c r="AZ612" s="18"/>
      <c r="BA612" s="18">
        <v>0</v>
      </c>
    </row>
    <row r="613" spans="25:53" x14ac:dyDescent="0.3">
      <c r="AA613" t="s">
        <v>1556</v>
      </c>
      <c r="AB613" s="18">
        <v>0</v>
      </c>
      <c r="AC613" s="18"/>
      <c r="AD613" s="18"/>
      <c r="AE613" s="18"/>
      <c r="AF613" s="18"/>
      <c r="AG613" s="18"/>
      <c r="AH613" s="18">
        <v>0</v>
      </c>
      <c r="AT613">
        <v>5</v>
      </c>
      <c r="AU613" s="18">
        <v>0</v>
      </c>
      <c r="AV613" s="18"/>
      <c r="AW613" s="18"/>
      <c r="AX613" s="18"/>
      <c r="AY613" s="18"/>
      <c r="AZ613" s="18"/>
      <c r="BA613" s="18">
        <v>0</v>
      </c>
    </row>
    <row r="614" spans="25:53" x14ac:dyDescent="0.3">
      <c r="Z614" s="57">
        <v>45072</v>
      </c>
      <c r="AA614" t="s">
        <v>1559</v>
      </c>
      <c r="AB614" s="18">
        <v>0</v>
      </c>
      <c r="AC614" s="18"/>
      <c r="AD614" s="18"/>
      <c r="AE614" s="18"/>
      <c r="AF614" s="18"/>
      <c r="AG614" s="18"/>
      <c r="AH614" s="18">
        <v>0</v>
      </c>
      <c r="AT614">
        <v>6</v>
      </c>
      <c r="AU614" s="18">
        <v>3923.7</v>
      </c>
      <c r="AV614" s="18"/>
      <c r="AW614" s="18"/>
      <c r="AX614" s="18"/>
      <c r="AY614" s="18"/>
      <c r="AZ614" s="18"/>
      <c r="BA614" s="18">
        <v>3923.7</v>
      </c>
    </row>
    <row r="615" spans="25:53" x14ac:dyDescent="0.3">
      <c r="Y615">
        <v>6</v>
      </c>
      <c r="Z615" t="s">
        <v>1636</v>
      </c>
      <c r="AA615" t="s">
        <v>1633</v>
      </c>
      <c r="AB615" s="18">
        <v>0</v>
      </c>
      <c r="AC615" s="18"/>
      <c r="AD615" s="18"/>
      <c r="AE615" s="18"/>
      <c r="AF615" s="18"/>
      <c r="AG615" s="18"/>
      <c r="AH615" s="18">
        <v>0</v>
      </c>
      <c r="AT615">
        <v>7</v>
      </c>
      <c r="AU615" s="18">
        <v>0</v>
      </c>
      <c r="AV615" s="18"/>
      <c r="AW615" s="18"/>
      <c r="AX615" s="18"/>
      <c r="AY615" s="18"/>
      <c r="AZ615" s="18"/>
      <c r="BA615" s="18">
        <v>0</v>
      </c>
    </row>
    <row r="616" spans="25:53" x14ac:dyDescent="0.3">
      <c r="AA616" t="s">
        <v>1634</v>
      </c>
      <c r="AB616" s="18">
        <v>0</v>
      </c>
      <c r="AC616" s="18"/>
      <c r="AD616" s="18"/>
      <c r="AE616" s="18"/>
      <c r="AF616" s="18"/>
      <c r="AG616" s="18"/>
      <c r="AH616" s="18">
        <v>0</v>
      </c>
      <c r="AT616">
        <v>4</v>
      </c>
      <c r="AU616" s="18">
        <v>0</v>
      </c>
      <c r="AV616" s="18"/>
      <c r="AW616" s="18"/>
      <c r="AX616" s="18"/>
      <c r="AY616" s="18"/>
      <c r="AZ616" s="18"/>
      <c r="BA616" s="18">
        <v>0</v>
      </c>
    </row>
    <row r="617" spans="25:53" x14ac:dyDescent="0.3">
      <c r="Y617">
        <v>7</v>
      </c>
      <c r="Z617" t="s">
        <v>1708</v>
      </c>
      <c r="AA617" t="s">
        <v>1706</v>
      </c>
      <c r="AB617" s="18">
        <v>0</v>
      </c>
      <c r="AC617" s="18"/>
      <c r="AD617" s="18"/>
      <c r="AE617" s="18"/>
      <c r="AF617" s="18"/>
      <c r="AG617" s="18"/>
      <c r="AH617" s="18">
        <v>0</v>
      </c>
      <c r="AR617" s="36" t="s">
        <v>3609</v>
      </c>
      <c r="AS617" s="36"/>
      <c r="AT617" s="36"/>
      <c r="AU617" s="37">
        <v>3923.7</v>
      </c>
      <c r="AV617" s="37"/>
      <c r="AW617" s="37"/>
      <c r="AX617" s="37"/>
      <c r="AY617" s="37"/>
      <c r="AZ617" s="37"/>
      <c r="BA617" s="37">
        <v>3923.7</v>
      </c>
    </row>
    <row r="618" spans="25:53" x14ac:dyDescent="0.3">
      <c r="Z618" s="57">
        <v>45133</v>
      </c>
      <c r="AA618" t="s">
        <v>1725</v>
      </c>
      <c r="AB618" s="18">
        <v>0</v>
      </c>
      <c r="AC618" s="18"/>
      <c r="AD618" s="18"/>
      <c r="AE618" s="18"/>
      <c r="AF618" s="18"/>
      <c r="AG618" s="18"/>
      <c r="AH618" s="18">
        <v>0</v>
      </c>
      <c r="AR618" t="s">
        <v>3549</v>
      </c>
      <c r="AS618">
        <v>2025</v>
      </c>
      <c r="AT618">
        <v>3</v>
      </c>
      <c r="AU618" s="18">
        <v>0</v>
      </c>
      <c r="AV618" s="18"/>
      <c r="AW618" s="18"/>
      <c r="AX618" s="18"/>
      <c r="AY618" s="18"/>
      <c r="AZ618" s="18"/>
      <c r="BA618" s="18">
        <v>0</v>
      </c>
    </row>
    <row r="619" spans="25:53" x14ac:dyDescent="0.3">
      <c r="Z619" t="s">
        <v>1732</v>
      </c>
      <c r="AA619" t="s">
        <v>1731</v>
      </c>
      <c r="AB619" s="18">
        <v>0</v>
      </c>
      <c r="AC619" s="18"/>
      <c r="AD619" s="18"/>
      <c r="AE619" s="18"/>
      <c r="AF619" s="18"/>
      <c r="AG619" s="18"/>
      <c r="AH619" s="18">
        <v>0</v>
      </c>
      <c r="AT619">
        <v>5</v>
      </c>
      <c r="AU619" s="18">
        <v>0</v>
      </c>
      <c r="AV619" s="18"/>
      <c r="AW619" s="18"/>
      <c r="AX619" s="18"/>
      <c r="AY619" s="18"/>
      <c r="AZ619" s="18"/>
      <c r="BA619" s="18">
        <v>0</v>
      </c>
    </row>
    <row r="620" spans="25:53" x14ac:dyDescent="0.3">
      <c r="Z620" s="57">
        <v>45134</v>
      </c>
      <c r="AA620" t="s">
        <v>1735</v>
      </c>
      <c r="AB620" s="18">
        <v>0</v>
      </c>
      <c r="AC620" s="18"/>
      <c r="AD620" s="18"/>
      <c r="AE620" s="18"/>
      <c r="AF620" s="18"/>
      <c r="AG620" s="18"/>
      <c r="AH620" s="18">
        <v>0</v>
      </c>
      <c r="AT620">
        <v>6</v>
      </c>
      <c r="AU620" s="18">
        <v>0</v>
      </c>
      <c r="AV620" s="18"/>
      <c r="AW620" s="18"/>
      <c r="AX620" s="18"/>
      <c r="AY620" s="18"/>
      <c r="AZ620" s="18"/>
      <c r="BA620" s="18">
        <v>0</v>
      </c>
    </row>
    <row r="621" spans="25:53" x14ac:dyDescent="0.3">
      <c r="AA621" t="s">
        <v>1736</v>
      </c>
      <c r="AB621" s="18">
        <v>0</v>
      </c>
      <c r="AC621" s="18"/>
      <c r="AD621" s="18"/>
      <c r="AE621" s="18"/>
      <c r="AF621" s="18"/>
      <c r="AG621" s="18"/>
      <c r="AH621" s="18">
        <v>0</v>
      </c>
      <c r="AT621">
        <v>7</v>
      </c>
      <c r="AU621" s="18">
        <v>0</v>
      </c>
      <c r="AV621" s="18"/>
      <c r="AW621" s="18"/>
      <c r="AX621" s="18"/>
      <c r="AY621" s="18"/>
      <c r="AZ621" s="18"/>
      <c r="BA621" s="18">
        <v>0</v>
      </c>
    </row>
    <row r="622" spans="25:53" x14ac:dyDescent="0.3">
      <c r="Y622">
        <v>8</v>
      </c>
      <c r="Z622" s="57">
        <v>45142</v>
      </c>
      <c r="AA622" t="s">
        <v>1799</v>
      </c>
      <c r="AB622" s="18">
        <v>0</v>
      </c>
      <c r="AC622" s="18"/>
      <c r="AD622" s="18"/>
      <c r="AE622" s="18"/>
      <c r="AF622" s="18"/>
      <c r="AG622" s="18"/>
      <c r="AH622" s="18">
        <v>0</v>
      </c>
      <c r="AT622">
        <v>4</v>
      </c>
      <c r="AU622" s="18">
        <v>0.5</v>
      </c>
      <c r="AV622" s="18"/>
      <c r="AW622" s="18"/>
      <c r="AX622" s="18"/>
      <c r="AY622" s="18"/>
      <c r="AZ622" s="18"/>
      <c r="BA622" s="18">
        <v>0.5</v>
      </c>
    </row>
    <row r="623" spans="25:53" x14ac:dyDescent="0.3">
      <c r="Z623" s="57">
        <v>45145</v>
      </c>
      <c r="AA623" t="s">
        <v>1805</v>
      </c>
      <c r="AB623" s="18">
        <v>0</v>
      </c>
      <c r="AC623" s="18"/>
      <c r="AD623" s="18"/>
      <c r="AE623" s="18"/>
      <c r="AF623" s="18"/>
      <c r="AG623" s="18"/>
      <c r="AH623" s="18">
        <v>0</v>
      </c>
      <c r="AR623" s="36" t="s">
        <v>3610</v>
      </c>
      <c r="AS623" s="36"/>
      <c r="AT623" s="36"/>
      <c r="AU623" s="37">
        <v>0.5</v>
      </c>
      <c r="AV623" s="37"/>
      <c r="AW623" s="37"/>
      <c r="AX623" s="37"/>
      <c r="AY623" s="37"/>
      <c r="AZ623" s="37"/>
      <c r="BA623" s="37">
        <v>0.5</v>
      </c>
    </row>
    <row r="624" spans="25:53" x14ac:dyDescent="0.3">
      <c r="AA624" t="s">
        <v>1806</v>
      </c>
      <c r="AB624" s="18">
        <v>0</v>
      </c>
      <c r="AC624" s="18"/>
      <c r="AD624" s="18"/>
      <c r="AE624" s="18"/>
      <c r="AF624" s="18"/>
      <c r="AG624" s="18"/>
      <c r="AH624" s="18">
        <v>0</v>
      </c>
      <c r="AR624" t="s">
        <v>3837</v>
      </c>
      <c r="AS624">
        <v>2025</v>
      </c>
      <c r="AT624">
        <v>6</v>
      </c>
      <c r="AU624" s="18">
        <v>0</v>
      </c>
      <c r="AV624" s="18"/>
      <c r="AW624" s="18"/>
      <c r="AX624" s="18"/>
      <c r="AY624" s="18"/>
      <c r="AZ624" s="18"/>
      <c r="BA624" s="18">
        <v>0</v>
      </c>
    </row>
    <row r="625" spans="25:53" x14ac:dyDescent="0.3">
      <c r="Z625" t="s">
        <v>1815</v>
      </c>
      <c r="AA625" t="s">
        <v>1813</v>
      </c>
      <c r="AB625" s="18">
        <v>0</v>
      </c>
      <c r="AC625" s="18"/>
      <c r="AD625" s="18"/>
      <c r="AE625" s="18"/>
      <c r="AF625" s="18"/>
      <c r="AG625" s="18"/>
      <c r="AH625" s="18">
        <v>0</v>
      </c>
      <c r="AR625" s="36" t="s">
        <v>3966</v>
      </c>
      <c r="AS625" s="36"/>
      <c r="AT625" s="36"/>
      <c r="AU625" s="37">
        <v>0</v>
      </c>
      <c r="AV625" s="37"/>
      <c r="AW625" s="37"/>
      <c r="AX625" s="37"/>
      <c r="AY625" s="37"/>
      <c r="AZ625" s="37"/>
      <c r="BA625" s="37">
        <v>0</v>
      </c>
    </row>
    <row r="626" spans="25:53" x14ac:dyDescent="0.3">
      <c r="AA626" t="s">
        <v>1814</v>
      </c>
      <c r="AB626" s="18">
        <v>0</v>
      </c>
      <c r="AC626" s="18"/>
      <c r="AD626" s="18"/>
      <c r="AE626" s="18"/>
      <c r="AF626" s="18"/>
      <c r="AG626" s="18"/>
      <c r="AH626" s="18">
        <v>0</v>
      </c>
      <c r="AR626" t="s">
        <v>3867</v>
      </c>
      <c r="AS626">
        <v>2025</v>
      </c>
      <c r="AT626">
        <v>6</v>
      </c>
      <c r="AU626" s="18">
        <v>0</v>
      </c>
      <c r="AV626" s="18"/>
      <c r="AW626" s="18"/>
      <c r="AX626" s="18"/>
      <c r="AY626" s="18"/>
      <c r="AZ626" s="18"/>
      <c r="BA626" s="18">
        <v>0</v>
      </c>
    </row>
    <row r="627" spans="25:53" x14ac:dyDescent="0.3">
      <c r="Z627" s="57">
        <v>45160</v>
      </c>
      <c r="AA627" t="s">
        <v>1824</v>
      </c>
      <c r="AB627" s="18">
        <v>0</v>
      </c>
      <c r="AC627" s="18"/>
      <c r="AD627" s="18"/>
      <c r="AE627" s="18"/>
      <c r="AF627" s="18"/>
      <c r="AG627" s="18"/>
      <c r="AH627" s="18">
        <v>0</v>
      </c>
      <c r="AR627" s="36" t="s">
        <v>3967</v>
      </c>
      <c r="AS627" s="36"/>
      <c r="AT627" s="36"/>
      <c r="AU627" s="37">
        <v>0</v>
      </c>
      <c r="AV627" s="37"/>
      <c r="AW627" s="37"/>
      <c r="AX627" s="37"/>
      <c r="AY627" s="37"/>
      <c r="AZ627" s="37"/>
      <c r="BA627" s="37">
        <v>0</v>
      </c>
    </row>
    <row r="628" spans="25:53" x14ac:dyDescent="0.3">
      <c r="AA628" t="s">
        <v>1825</v>
      </c>
      <c r="AB628" s="18">
        <v>0</v>
      </c>
      <c r="AC628" s="18"/>
      <c r="AD628" s="18"/>
      <c r="AE628" s="18"/>
      <c r="AF628" s="18"/>
      <c r="AG628" s="18"/>
      <c r="AH628" s="18">
        <v>0</v>
      </c>
      <c r="AR628" t="s">
        <v>131</v>
      </c>
      <c r="AU628" s="18">
        <v>710248.7</v>
      </c>
      <c r="AV628" s="18">
        <v>1277.5</v>
      </c>
      <c r="AW628" s="18">
        <v>0</v>
      </c>
      <c r="AX628" s="18">
        <v>52482.9</v>
      </c>
      <c r="AY628" s="18">
        <v>0</v>
      </c>
      <c r="AZ628" s="18">
        <v>18660</v>
      </c>
      <c r="BA628" s="18">
        <v>782669.09999999986</v>
      </c>
    </row>
    <row r="629" spans="25:53" x14ac:dyDescent="0.3">
      <c r="Z629" s="57">
        <v>45166</v>
      </c>
      <c r="AA629" t="s">
        <v>1833</v>
      </c>
      <c r="AB629" s="18">
        <v>0</v>
      </c>
      <c r="AC629" s="18"/>
      <c r="AD629" s="18"/>
      <c r="AE629" s="18"/>
      <c r="AF629" s="18"/>
      <c r="AG629" s="18"/>
      <c r="AH629" s="18">
        <v>0</v>
      </c>
    </row>
    <row r="630" spans="25:53" x14ac:dyDescent="0.3">
      <c r="AA630" t="s">
        <v>1834</v>
      </c>
      <c r="AB630" s="18">
        <v>0</v>
      </c>
      <c r="AC630" s="18"/>
      <c r="AD630" s="18"/>
      <c r="AE630" s="18"/>
      <c r="AF630" s="18"/>
      <c r="AG630" s="18"/>
      <c r="AH630" s="18">
        <v>0</v>
      </c>
    </row>
    <row r="631" spans="25:53" x14ac:dyDescent="0.3">
      <c r="Y631">
        <v>9</v>
      </c>
      <c r="Z631" t="s">
        <v>1878</v>
      </c>
      <c r="AA631" t="s">
        <v>1876</v>
      </c>
      <c r="AB631" s="18">
        <v>0</v>
      </c>
      <c r="AC631" s="18"/>
      <c r="AD631" s="18"/>
      <c r="AE631" s="18"/>
      <c r="AF631" s="18"/>
      <c r="AG631" s="18"/>
      <c r="AH631" s="18">
        <v>0</v>
      </c>
    </row>
    <row r="632" spans="25:53" x14ac:dyDescent="0.3">
      <c r="AA632" t="s">
        <v>1877</v>
      </c>
      <c r="AB632" s="18">
        <v>0</v>
      </c>
      <c r="AC632" s="18"/>
      <c r="AD632" s="18"/>
      <c r="AE632" s="18"/>
      <c r="AF632" s="18"/>
      <c r="AG632" s="18"/>
      <c r="AH632" s="18">
        <v>0</v>
      </c>
    </row>
    <row r="633" spans="25:53" x14ac:dyDescent="0.3">
      <c r="AA633" t="s">
        <v>1881</v>
      </c>
      <c r="AB633" s="18">
        <v>0</v>
      </c>
      <c r="AC633" s="18"/>
      <c r="AD633" s="18"/>
      <c r="AE633" s="18"/>
      <c r="AF633" s="18"/>
      <c r="AG633" s="18"/>
      <c r="AH633" s="18">
        <v>0</v>
      </c>
    </row>
    <row r="634" spans="25:53" x14ac:dyDescent="0.3">
      <c r="AA634" t="s">
        <v>1882</v>
      </c>
      <c r="AB634" s="18">
        <v>0</v>
      </c>
      <c r="AC634" s="18"/>
      <c r="AD634" s="18"/>
      <c r="AE634" s="18"/>
      <c r="AF634" s="18"/>
      <c r="AG634" s="18"/>
      <c r="AH634" s="18">
        <v>0</v>
      </c>
    </row>
    <row r="635" spans="25:53" x14ac:dyDescent="0.3">
      <c r="Z635" s="57">
        <v>45178</v>
      </c>
      <c r="AA635" t="s">
        <v>1891</v>
      </c>
      <c r="AB635" s="18">
        <v>0</v>
      </c>
      <c r="AC635" s="18"/>
      <c r="AD635" s="18"/>
      <c r="AE635" s="18"/>
      <c r="AF635" s="18"/>
      <c r="AG635" s="18"/>
      <c r="AH635" s="18">
        <v>0</v>
      </c>
    </row>
    <row r="636" spans="25:53" x14ac:dyDescent="0.3">
      <c r="AA636" t="s">
        <v>1892</v>
      </c>
      <c r="AB636" s="18">
        <v>0</v>
      </c>
      <c r="AC636" s="18"/>
      <c r="AD636" s="18"/>
      <c r="AE636" s="18"/>
      <c r="AF636" s="18"/>
      <c r="AG636" s="18"/>
      <c r="AH636" s="18">
        <v>0</v>
      </c>
    </row>
    <row r="637" spans="25:53" x14ac:dyDescent="0.3">
      <c r="Z637" s="57">
        <v>45182</v>
      </c>
      <c r="AA637" t="s">
        <v>1900</v>
      </c>
      <c r="AB637" s="18">
        <v>0</v>
      </c>
      <c r="AC637" s="18"/>
      <c r="AD637" s="18"/>
      <c r="AE637" s="18"/>
      <c r="AF637" s="18"/>
      <c r="AG637" s="18"/>
      <c r="AH637" s="18">
        <v>0</v>
      </c>
    </row>
    <row r="638" spans="25:53" x14ac:dyDescent="0.3">
      <c r="AA638" t="s">
        <v>1901</v>
      </c>
      <c r="AB638" s="18">
        <v>0</v>
      </c>
      <c r="AC638" s="18"/>
      <c r="AD638" s="18"/>
      <c r="AE638" s="18"/>
      <c r="AF638" s="18"/>
      <c r="AG638" s="18"/>
      <c r="AH638" s="18">
        <v>0</v>
      </c>
    </row>
    <row r="639" spans="25:53" x14ac:dyDescent="0.3">
      <c r="Z639" s="57">
        <v>45184</v>
      </c>
      <c r="AA639" t="s">
        <v>1903</v>
      </c>
      <c r="AB639" s="18">
        <v>0</v>
      </c>
      <c r="AC639" s="18"/>
      <c r="AD639" s="18"/>
      <c r="AE639" s="18"/>
      <c r="AF639" s="18"/>
      <c r="AG639" s="18"/>
      <c r="AH639" s="18">
        <v>0</v>
      </c>
    </row>
    <row r="640" spans="25:53" x14ac:dyDescent="0.3">
      <c r="AA640" t="s">
        <v>1904</v>
      </c>
      <c r="AB640" s="18">
        <v>0</v>
      </c>
      <c r="AC640" s="18"/>
      <c r="AD640" s="18"/>
      <c r="AE640" s="18"/>
      <c r="AF640" s="18"/>
      <c r="AG640" s="18"/>
      <c r="AH640" s="18">
        <v>0</v>
      </c>
    </row>
    <row r="641" spans="23:34" x14ac:dyDescent="0.3">
      <c r="Z641" s="57">
        <v>45189</v>
      </c>
      <c r="AA641" t="s">
        <v>1910</v>
      </c>
      <c r="AB641" s="18">
        <v>0</v>
      </c>
      <c r="AC641" s="18"/>
      <c r="AD641" s="18"/>
      <c r="AE641" s="18"/>
      <c r="AF641" s="18"/>
      <c r="AG641" s="18"/>
      <c r="AH641" s="18">
        <v>0</v>
      </c>
    </row>
    <row r="642" spans="23:34" x14ac:dyDescent="0.3">
      <c r="AA642" t="s">
        <v>1911</v>
      </c>
      <c r="AB642" s="18">
        <v>0</v>
      </c>
      <c r="AC642" s="18"/>
      <c r="AD642" s="18"/>
      <c r="AE642" s="18"/>
      <c r="AF642" s="18"/>
      <c r="AG642" s="18"/>
      <c r="AH642" s="18">
        <v>0</v>
      </c>
    </row>
    <row r="643" spans="23:34" x14ac:dyDescent="0.3">
      <c r="Z643" s="57">
        <v>45196</v>
      </c>
      <c r="AA643" t="s">
        <v>1921</v>
      </c>
      <c r="AB643" s="18">
        <v>0</v>
      </c>
      <c r="AC643" s="18"/>
      <c r="AD643" s="18"/>
      <c r="AE643" s="18"/>
      <c r="AF643" s="18"/>
      <c r="AG643" s="18"/>
      <c r="AH643" s="18">
        <v>0</v>
      </c>
    </row>
    <row r="644" spans="23:34" x14ac:dyDescent="0.3">
      <c r="AA644" t="s">
        <v>1923</v>
      </c>
      <c r="AB644" s="18">
        <v>0</v>
      </c>
      <c r="AC644" s="18"/>
      <c r="AD644" s="18"/>
      <c r="AE644" s="18"/>
      <c r="AF644" s="18"/>
      <c r="AG644" s="18"/>
      <c r="AH644" s="18">
        <v>0</v>
      </c>
    </row>
    <row r="645" spans="23:34" x14ac:dyDescent="0.3">
      <c r="Z645" s="57">
        <v>45199</v>
      </c>
      <c r="AA645" t="s">
        <v>1925</v>
      </c>
      <c r="AB645" s="18">
        <v>0</v>
      </c>
      <c r="AC645" s="18"/>
      <c r="AD645" s="18"/>
      <c r="AE645" s="18"/>
      <c r="AF645" s="18"/>
      <c r="AG645" s="18"/>
      <c r="AH645" s="18">
        <v>0</v>
      </c>
    </row>
    <row r="646" spans="23:34" x14ac:dyDescent="0.3">
      <c r="AA646" t="s">
        <v>1926</v>
      </c>
      <c r="AB646" s="18">
        <v>0</v>
      </c>
      <c r="AC646" s="18"/>
      <c r="AD646" s="18"/>
      <c r="AE646" s="18"/>
      <c r="AF646" s="18"/>
      <c r="AG646" s="18"/>
      <c r="AH646" s="18">
        <v>0</v>
      </c>
    </row>
    <row r="647" spans="23:34" x14ac:dyDescent="0.3">
      <c r="Y647">
        <v>10</v>
      </c>
      <c r="Z647" t="s">
        <v>1995</v>
      </c>
      <c r="AA647" t="s">
        <v>1993</v>
      </c>
      <c r="AB647" s="18">
        <v>0</v>
      </c>
      <c r="AC647" s="18"/>
      <c r="AD647" s="18"/>
      <c r="AE647" s="18"/>
      <c r="AF647" s="18"/>
      <c r="AG647" s="18"/>
      <c r="AH647" s="18">
        <v>0</v>
      </c>
    </row>
    <row r="648" spans="23:34" x14ac:dyDescent="0.3">
      <c r="AA648" t="s">
        <v>1994</v>
      </c>
      <c r="AB648" s="18">
        <v>0</v>
      </c>
      <c r="AC648" s="18"/>
      <c r="AD648" s="18"/>
      <c r="AE648" s="18"/>
      <c r="AF648" s="18"/>
      <c r="AG648" s="18"/>
      <c r="AH648" s="18">
        <v>0</v>
      </c>
    </row>
    <row r="649" spans="23:34" x14ac:dyDescent="0.3">
      <c r="Z649" s="57">
        <v>45205</v>
      </c>
      <c r="AA649" t="s">
        <v>1999</v>
      </c>
      <c r="AB649" s="18">
        <v>0</v>
      </c>
      <c r="AC649" s="18"/>
      <c r="AD649" s="18"/>
      <c r="AE649" s="18"/>
      <c r="AF649" s="18"/>
      <c r="AG649" s="18"/>
      <c r="AH649" s="18">
        <v>0</v>
      </c>
    </row>
    <row r="650" spans="23:34" x14ac:dyDescent="0.3">
      <c r="Z650" s="57">
        <v>45211</v>
      </c>
      <c r="AA650" t="s">
        <v>2001</v>
      </c>
      <c r="AB650" s="18">
        <v>0</v>
      </c>
      <c r="AC650" s="18"/>
      <c r="AD650" s="18"/>
      <c r="AE650" s="18"/>
      <c r="AF650" s="18"/>
      <c r="AG650" s="18"/>
      <c r="AH650" s="18">
        <v>0</v>
      </c>
    </row>
    <row r="651" spans="23:34" x14ac:dyDescent="0.3">
      <c r="Y651">
        <v>4</v>
      </c>
      <c r="Z651" t="s">
        <v>1409</v>
      </c>
      <c r="AA651" t="s">
        <v>1407</v>
      </c>
      <c r="AB651" s="18">
        <v>0</v>
      </c>
      <c r="AC651" s="18"/>
      <c r="AD651" s="18"/>
      <c r="AE651" s="18"/>
      <c r="AF651" s="18"/>
      <c r="AG651" s="18"/>
      <c r="AH651" s="18">
        <v>0</v>
      </c>
    </row>
    <row r="652" spans="23:34" x14ac:dyDescent="0.3">
      <c r="Z652" t="s">
        <v>1419</v>
      </c>
      <c r="AA652" t="s">
        <v>1418</v>
      </c>
      <c r="AB652" s="18">
        <v>0</v>
      </c>
      <c r="AC652" s="18"/>
      <c r="AD652" s="18"/>
      <c r="AE652" s="18"/>
      <c r="AF652" s="18"/>
      <c r="AG652" s="18"/>
      <c r="AH652" s="18">
        <v>0</v>
      </c>
    </row>
    <row r="653" spans="23:34" x14ac:dyDescent="0.3">
      <c r="Z653" t="s">
        <v>1435</v>
      </c>
      <c r="AA653" t="s">
        <v>1433</v>
      </c>
      <c r="AB653" s="18">
        <v>0</v>
      </c>
      <c r="AC653" s="18"/>
      <c r="AD653" s="18"/>
      <c r="AE653" s="18"/>
      <c r="AF653" s="18"/>
      <c r="AG653" s="18"/>
      <c r="AH653" s="18">
        <v>0</v>
      </c>
    </row>
    <row r="654" spans="23:34" x14ac:dyDescent="0.3">
      <c r="AA654" t="s">
        <v>1434</v>
      </c>
      <c r="AB654" s="18">
        <v>0</v>
      </c>
      <c r="AC654" s="18"/>
      <c r="AD654" s="18"/>
      <c r="AE654" s="18"/>
      <c r="AF654" s="18"/>
      <c r="AG654" s="18"/>
      <c r="AH654" s="18">
        <v>0</v>
      </c>
    </row>
    <row r="655" spans="23:34" x14ac:dyDescent="0.3">
      <c r="Z655" t="s">
        <v>1464</v>
      </c>
      <c r="AA655" t="s">
        <v>1463</v>
      </c>
      <c r="AB655" s="18">
        <v>0</v>
      </c>
      <c r="AC655" s="18"/>
      <c r="AD655" s="18"/>
      <c r="AE655" s="18"/>
      <c r="AF655" s="18"/>
      <c r="AG655" s="18"/>
      <c r="AH655" s="18">
        <v>0</v>
      </c>
    </row>
    <row r="656" spans="23:34" x14ac:dyDescent="0.3">
      <c r="W656" s="36" t="s">
        <v>422</v>
      </c>
      <c r="X656" s="36"/>
      <c r="Y656" s="36"/>
      <c r="Z656" s="36"/>
      <c r="AA656" s="36"/>
      <c r="AB656" s="37">
        <v>4.5474735088646412E-13</v>
      </c>
      <c r="AC656" s="37"/>
      <c r="AD656" s="37"/>
      <c r="AE656" s="37"/>
      <c r="AF656" s="37"/>
      <c r="AG656" s="37"/>
      <c r="AH656" s="37">
        <v>4.5474735088646412E-13</v>
      </c>
    </row>
    <row r="657" spans="23:34" x14ac:dyDescent="0.3">
      <c r="W657" t="s">
        <v>469</v>
      </c>
      <c r="X657" t="s">
        <v>1763</v>
      </c>
      <c r="Y657" t="s">
        <v>1763</v>
      </c>
      <c r="Z657" s="57">
        <v>44509</v>
      </c>
      <c r="AA657" t="s">
        <v>470</v>
      </c>
      <c r="AB657" s="18"/>
      <c r="AC657" s="18"/>
      <c r="AD657" s="18"/>
      <c r="AE657" s="18"/>
      <c r="AF657" s="18">
        <v>0</v>
      </c>
      <c r="AG657" s="18"/>
      <c r="AH657" s="18">
        <v>0</v>
      </c>
    </row>
    <row r="658" spans="23:34" x14ac:dyDescent="0.3">
      <c r="W658" s="36" t="s">
        <v>483</v>
      </c>
      <c r="X658" s="36"/>
      <c r="Y658" s="36"/>
      <c r="Z658" s="36"/>
      <c r="AA658" s="36"/>
      <c r="AB658" s="37"/>
      <c r="AC658" s="37"/>
      <c r="AD658" s="37"/>
      <c r="AE658" s="37"/>
      <c r="AF658" s="37">
        <v>0</v>
      </c>
      <c r="AG658" s="37"/>
      <c r="AH658" s="37">
        <v>0</v>
      </c>
    </row>
    <row r="659" spans="23:34" x14ac:dyDescent="0.3">
      <c r="W659" t="s">
        <v>491</v>
      </c>
      <c r="X659">
        <v>2021</v>
      </c>
      <c r="Y659">
        <v>11</v>
      </c>
      <c r="Z659" s="57">
        <v>44510</v>
      </c>
      <c r="AA659" t="s">
        <v>472</v>
      </c>
      <c r="AB659" s="18">
        <v>0</v>
      </c>
      <c r="AC659" s="18"/>
      <c r="AD659" s="18"/>
      <c r="AE659" s="18"/>
      <c r="AF659" s="18"/>
      <c r="AG659" s="18"/>
      <c r="AH659" s="18">
        <v>0</v>
      </c>
    </row>
    <row r="660" spans="23:34" x14ac:dyDescent="0.3">
      <c r="X660">
        <v>2022</v>
      </c>
      <c r="Y660">
        <v>2</v>
      </c>
      <c r="Z660" s="57">
        <v>44613</v>
      </c>
      <c r="AA660" t="s">
        <v>606</v>
      </c>
      <c r="AB660" s="18">
        <v>0</v>
      </c>
      <c r="AC660" s="18"/>
      <c r="AD660" s="18"/>
      <c r="AE660" s="18"/>
      <c r="AF660" s="18"/>
      <c r="AG660" s="18"/>
      <c r="AH660" s="18">
        <v>0</v>
      </c>
    </row>
    <row r="661" spans="23:34" x14ac:dyDescent="0.3">
      <c r="Y661">
        <v>3</v>
      </c>
      <c r="Z661" s="57">
        <v>44625</v>
      </c>
      <c r="AA661" t="s">
        <v>633</v>
      </c>
      <c r="AB661" s="18">
        <v>0</v>
      </c>
      <c r="AC661" s="18"/>
      <c r="AD661" s="18"/>
      <c r="AE661" s="18"/>
      <c r="AF661" s="18"/>
      <c r="AG661" s="18"/>
      <c r="AH661" s="18">
        <v>0</v>
      </c>
    </row>
    <row r="662" spans="23:34" x14ac:dyDescent="0.3">
      <c r="Z662" s="57">
        <v>44639</v>
      </c>
      <c r="AA662" t="s">
        <v>651</v>
      </c>
      <c r="AB662" s="18">
        <v>0</v>
      </c>
      <c r="AC662" s="18"/>
      <c r="AD662" s="18"/>
      <c r="AE662" s="18"/>
      <c r="AF662" s="18"/>
      <c r="AG662" s="18"/>
      <c r="AH662" s="18">
        <v>0</v>
      </c>
    </row>
    <row r="663" spans="23:34" x14ac:dyDescent="0.3">
      <c r="Y663">
        <v>5</v>
      </c>
      <c r="Z663" s="57">
        <v>44700</v>
      </c>
      <c r="AA663" t="s">
        <v>781</v>
      </c>
      <c r="AB663" s="18">
        <v>0</v>
      </c>
      <c r="AC663" s="18"/>
      <c r="AD663" s="18"/>
      <c r="AE663" s="18"/>
      <c r="AF663" s="18"/>
      <c r="AG663" s="18"/>
      <c r="AH663" s="18">
        <v>0</v>
      </c>
    </row>
    <row r="664" spans="23:34" x14ac:dyDescent="0.3">
      <c r="Z664" s="57">
        <v>44709</v>
      </c>
      <c r="AA664" t="s">
        <v>797</v>
      </c>
      <c r="AB664" s="18">
        <v>0</v>
      </c>
      <c r="AC664" s="18"/>
      <c r="AD664" s="18"/>
      <c r="AE664" s="18"/>
      <c r="AF664" s="18"/>
      <c r="AG664" s="18"/>
      <c r="AH664" s="18">
        <v>0</v>
      </c>
    </row>
    <row r="665" spans="23:34" x14ac:dyDescent="0.3">
      <c r="Y665">
        <v>6</v>
      </c>
      <c r="Z665" s="57">
        <v>44722</v>
      </c>
      <c r="AA665" t="s">
        <v>833</v>
      </c>
      <c r="AB665" s="18">
        <v>0</v>
      </c>
      <c r="AC665" s="18"/>
      <c r="AD665" s="18"/>
      <c r="AE665" s="18"/>
      <c r="AF665" s="18"/>
      <c r="AG665" s="18"/>
      <c r="AH665" s="18">
        <v>0</v>
      </c>
    </row>
    <row r="666" spans="23:34" x14ac:dyDescent="0.3">
      <c r="Z666" s="57">
        <v>44736</v>
      </c>
      <c r="AA666" t="s">
        <v>844</v>
      </c>
      <c r="AB666" s="18">
        <v>0</v>
      </c>
      <c r="AC666" s="18"/>
      <c r="AD666" s="18"/>
      <c r="AE666" s="18"/>
      <c r="AF666" s="18"/>
      <c r="AG666" s="18"/>
      <c r="AH666" s="18">
        <v>0</v>
      </c>
    </row>
    <row r="667" spans="23:34" x14ac:dyDescent="0.3">
      <c r="Y667">
        <v>7</v>
      </c>
      <c r="Z667" s="57">
        <v>44771</v>
      </c>
      <c r="AA667" t="s">
        <v>871</v>
      </c>
      <c r="AB667" s="18">
        <v>0</v>
      </c>
      <c r="AC667" s="18"/>
      <c r="AD667" s="18"/>
      <c r="AE667" s="18"/>
      <c r="AF667" s="18"/>
      <c r="AG667" s="18"/>
      <c r="AH667" s="18">
        <v>0</v>
      </c>
    </row>
    <row r="668" spans="23:34" x14ac:dyDescent="0.3">
      <c r="Y668">
        <v>8</v>
      </c>
      <c r="Z668" s="57">
        <v>44789</v>
      </c>
      <c r="AA668" t="s">
        <v>907</v>
      </c>
      <c r="AB668" s="18">
        <v>0</v>
      </c>
      <c r="AC668" s="18"/>
      <c r="AD668" s="18"/>
      <c r="AE668" s="18"/>
      <c r="AF668" s="18"/>
      <c r="AG668" s="18"/>
      <c r="AH668" s="18">
        <v>0</v>
      </c>
    </row>
    <row r="669" spans="23:34" x14ac:dyDescent="0.3">
      <c r="Y669">
        <v>9</v>
      </c>
      <c r="Z669" s="57">
        <v>44813</v>
      </c>
      <c r="AA669" t="s">
        <v>932</v>
      </c>
      <c r="AB669" s="18">
        <v>0</v>
      </c>
      <c r="AC669" s="18"/>
      <c r="AD669" s="18"/>
      <c r="AE669" s="18"/>
      <c r="AF669" s="18"/>
      <c r="AG669" s="18"/>
      <c r="AH669" s="18">
        <v>0</v>
      </c>
    </row>
    <row r="670" spans="23:34" x14ac:dyDescent="0.3">
      <c r="Z670" s="57">
        <v>44819</v>
      </c>
      <c r="AA670" t="s">
        <v>937</v>
      </c>
      <c r="AB670" s="18">
        <v>0</v>
      </c>
      <c r="AC670" s="18"/>
      <c r="AD670" s="18"/>
      <c r="AE670" s="18"/>
      <c r="AF670" s="18"/>
      <c r="AG670" s="18"/>
      <c r="AH670" s="18">
        <v>0</v>
      </c>
    </row>
    <row r="671" spans="23:34" x14ac:dyDescent="0.3">
      <c r="Z671" s="57">
        <v>44830</v>
      </c>
      <c r="AA671" t="s">
        <v>950</v>
      </c>
      <c r="AB671" s="18">
        <v>0</v>
      </c>
      <c r="AC671" s="18"/>
      <c r="AD671" s="18"/>
      <c r="AE671" s="18"/>
      <c r="AF671" s="18"/>
      <c r="AG671" s="18"/>
      <c r="AH671" s="18">
        <v>0</v>
      </c>
    </row>
    <row r="672" spans="23:34" x14ac:dyDescent="0.3">
      <c r="Y672">
        <v>10</v>
      </c>
      <c r="Z672" t="s">
        <v>994</v>
      </c>
      <c r="AA672" t="s">
        <v>993</v>
      </c>
      <c r="AB672" s="18">
        <v>0</v>
      </c>
      <c r="AC672" s="18"/>
      <c r="AD672" s="18"/>
      <c r="AE672" s="18"/>
      <c r="AF672" s="18"/>
      <c r="AG672" s="18"/>
      <c r="AH672" s="18">
        <v>0</v>
      </c>
    </row>
    <row r="673" spans="24:34" x14ac:dyDescent="0.3">
      <c r="Z673" s="57">
        <v>44847</v>
      </c>
      <c r="AA673" t="s">
        <v>1000</v>
      </c>
      <c r="AB673" s="18">
        <v>0</v>
      </c>
      <c r="AC673" s="18"/>
      <c r="AD673" s="18"/>
      <c r="AE673" s="18"/>
      <c r="AF673" s="18"/>
      <c r="AG673" s="18"/>
      <c r="AH673" s="18">
        <v>0</v>
      </c>
    </row>
    <row r="674" spans="24:34" x14ac:dyDescent="0.3">
      <c r="Z674" s="57">
        <v>44856</v>
      </c>
      <c r="AA674" t="s">
        <v>1011</v>
      </c>
      <c r="AB674" s="18">
        <v>0</v>
      </c>
      <c r="AC674" s="18"/>
      <c r="AD674" s="18"/>
      <c r="AE674" s="18"/>
      <c r="AF674" s="18"/>
      <c r="AG674" s="18"/>
      <c r="AH674" s="18">
        <v>0</v>
      </c>
    </row>
    <row r="675" spans="24:34" x14ac:dyDescent="0.3">
      <c r="Z675" s="57">
        <v>44865</v>
      </c>
      <c r="AA675" t="s">
        <v>1015</v>
      </c>
      <c r="AB675" s="18">
        <v>0</v>
      </c>
      <c r="AC675" s="18"/>
      <c r="AD675" s="18"/>
      <c r="AE675" s="18"/>
      <c r="AF675" s="18"/>
      <c r="AG675" s="18"/>
      <c r="AH675" s="18">
        <v>0</v>
      </c>
    </row>
    <row r="676" spans="24:34" x14ac:dyDescent="0.3">
      <c r="Y676">
        <v>11</v>
      </c>
      <c r="Z676" s="57">
        <v>44874</v>
      </c>
      <c r="AA676" t="s">
        <v>1063</v>
      </c>
      <c r="AB676" s="18">
        <v>0</v>
      </c>
      <c r="AC676" s="18"/>
      <c r="AD676" s="18"/>
      <c r="AE676" s="18"/>
      <c r="AF676" s="18"/>
      <c r="AG676" s="18"/>
      <c r="AH676" s="18">
        <v>0</v>
      </c>
    </row>
    <row r="677" spans="24:34" x14ac:dyDescent="0.3">
      <c r="Y677">
        <v>12</v>
      </c>
      <c r="Z677" s="57">
        <v>44901</v>
      </c>
      <c r="AA677" t="s">
        <v>1119</v>
      </c>
      <c r="AB677" s="18">
        <v>0</v>
      </c>
      <c r="AC677" s="18"/>
      <c r="AD677" s="18"/>
      <c r="AE677" s="18"/>
      <c r="AF677" s="18"/>
      <c r="AG677" s="18"/>
      <c r="AH677" s="18">
        <v>0</v>
      </c>
    </row>
    <row r="678" spans="24:34" x14ac:dyDescent="0.3">
      <c r="Z678" s="57">
        <v>44908</v>
      </c>
      <c r="AA678" t="s">
        <v>1123</v>
      </c>
      <c r="AB678" s="18">
        <v>0</v>
      </c>
      <c r="AC678" s="18"/>
      <c r="AD678" s="18"/>
      <c r="AE678" s="18"/>
      <c r="AF678" s="18"/>
      <c r="AG678" s="18"/>
      <c r="AH678" s="18">
        <v>0</v>
      </c>
    </row>
    <row r="679" spans="24:34" x14ac:dyDescent="0.3">
      <c r="Z679" s="57">
        <v>44919</v>
      </c>
      <c r="AA679" t="s">
        <v>1135</v>
      </c>
      <c r="AB679" s="18">
        <v>0</v>
      </c>
      <c r="AC679" s="18"/>
      <c r="AD679" s="18"/>
      <c r="AE679" s="18"/>
      <c r="AF679" s="18"/>
      <c r="AG679" s="18"/>
      <c r="AH679" s="18">
        <v>0</v>
      </c>
    </row>
    <row r="680" spans="24:34" x14ac:dyDescent="0.3">
      <c r="Y680">
        <v>4</v>
      </c>
      <c r="Z680" s="57">
        <v>44652</v>
      </c>
      <c r="AA680" t="s">
        <v>680</v>
      </c>
      <c r="AB680" s="18">
        <v>0</v>
      </c>
      <c r="AC680" s="18"/>
      <c r="AD680" s="18"/>
      <c r="AE680" s="18"/>
      <c r="AF680" s="18"/>
      <c r="AG680" s="18"/>
      <c r="AH680" s="18">
        <v>0</v>
      </c>
    </row>
    <row r="681" spans="24:34" x14ac:dyDescent="0.3">
      <c r="Z681" s="57">
        <v>44665</v>
      </c>
      <c r="AA681" t="s">
        <v>694</v>
      </c>
      <c r="AB681" s="18">
        <v>0</v>
      </c>
      <c r="AC681" s="18"/>
      <c r="AD681" s="18"/>
      <c r="AE681" s="18"/>
      <c r="AF681" s="18"/>
      <c r="AG681" s="18"/>
      <c r="AH681" s="18">
        <v>0</v>
      </c>
    </row>
    <row r="682" spans="24:34" x14ac:dyDescent="0.3">
      <c r="Z682" s="57">
        <v>44679</v>
      </c>
      <c r="AA682" t="s">
        <v>724</v>
      </c>
      <c r="AB682" s="18">
        <v>0</v>
      </c>
      <c r="AC682" s="18"/>
      <c r="AD682" s="18"/>
      <c r="AE682" s="18"/>
      <c r="AF682" s="18"/>
      <c r="AG682" s="18"/>
      <c r="AH682" s="18">
        <v>0</v>
      </c>
    </row>
    <row r="683" spans="24:34" x14ac:dyDescent="0.3">
      <c r="X683">
        <v>2023</v>
      </c>
      <c r="Y683">
        <v>1</v>
      </c>
      <c r="Z683" s="57">
        <v>44935</v>
      </c>
      <c r="AA683" t="s">
        <v>1172</v>
      </c>
      <c r="AB683" s="18">
        <v>0</v>
      </c>
      <c r="AC683" s="18"/>
      <c r="AD683" s="18"/>
      <c r="AE683" s="18"/>
      <c r="AF683" s="18"/>
      <c r="AG683" s="18"/>
      <c r="AH683" s="18">
        <v>0</v>
      </c>
    </row>
    <row r="684" spans="24:34" x14ac:dyDescent="0.3">
      <c r="Z684" s="57">
        <v>44942</v>
      </c>
      <c r="AA684" t="s">
        <v>1190</v>
      </c>
      <c r="AB684" s="18">
        <v>0</v>
      </c>
      <c r="AC684" s="18"/>
      <c r="AD684" s="18"/>
      <c r="AE684" s="18"/>
      <c r="AF684" s="18"/>
      <c r="AG684" s="18"/>
      <c r="AH684" s="18">
        <v>0</v>
      </c>
    </row>
    <row r="685" spans="24:34" x14ac:dyDescent="0.3">
      <c r="Y685">
        <v>2</v>
      </c>
      <c r="Z685" s="57">
        <v>44959</v>
      </c>
      <c r="AA685" t="s">
        <v>1236</v>
      </c>
      <c r="AB685" s="18">
        <v>0</v>
      </c>
      <c r="AC685" s="18"/>
      <c r="AD685" s="18"/>
      <c r="AE685" s="18"/>
      <c r="AF685" s="18"/>
      <c r="AG685" s="18"/>
      <c r="AH685" s="18">
        <v>0</v>
      </c>
    </row>
    <row r="686" spans="24:34" x14ac:dyDescent="0.3">
      <c r="Z686" t="s">
        <v>1250</v>
      </c>
      <c r="AA686" t="s">
        <v>1249</v>
      </c>
      <c r="AB686" s="18">
        <v>0</v>
      </c>
      <c r="AC686" s="18"/>
      <c r="AD686" s="18"/>
      <c r="AE686" s="18"/>
      <c r="AF686" s="18"/>
      <c r="AG686" s="18"/>
      <c r="AH686" s="18">
        <v>0</v>
      </c>
    </row>
    <row r="687" spans="24:34" x14ac:dyDescent="0.3">
      <c r="Z687" t="s">
        <v>1272</v>
      </c>
      <c r="AA687" t="s">
        <v>1271</v>
      </c>
      <c r="AB687" s="18">
        <v>0</v>
      </c>
      <c r="AC687" s="18"/>
      <c r="AD687" s="18"/>
      <c r="AE687" s="18"/>
      <c r="AF687" s="18"/>
      <c r="AG687" s="18"/>
      <c r="AH687" s="18">
        <v>0</v>
      </c>
    </row>
    <row r="688" spans="24:34" x14ac:dyDescent="0.3">
      <c r="Y688">
        <v>3</v>
      </c>
      <c r="Z688" t="s">
        <v>1317</v>
      </c>
      <c r="AA688" t="s">
        <v>1318</v>
      </c>
      <c r="AB688" s="18">
        <v>0</v>
      </c>
      <c r="AC688" s="18"/>
      <c r="AD688" s="18"/>
      <c r="AE688" s="18"/>
      <c r="AF688" s="18"/>
      <c r="AG688" s="18"/>
      <c r="AH688" s="18">
        <v>0</v>
      </c>
    </row>
    <row r="689" spans="25:34" x14ac:dyDescent="0.3">
      <c r="Z689" t="s">
        <v>1340</v>
      </c>
      <c r="AA689" t="s">
        <v>1339</v>
      </c>
      <c r="AB689" s="18">
        <v>0</v>
      </c>
      <c r="AC689" s="18"/>
      <c r="AD689" s="18"/>
      <c r="AE689" s="18"/>
      <c r="AF689" s="18"/>
      <c r="AG689" s="18"/>
      <c r="AH689" s="18">
        <v>0</v>
      </c>
    </row>
    <row r="690" spans="25:34" x14ac:dyDescent="0.3">
      <c r="Z690" t="s">
        <v>1350</v>
      </c>
      <c r="AA690" t="s">
        <v>1349</v>
      </c>
      <c r="AB690" s="18">
        <v>0</v>
      </c>
      <c r="AC690" s="18"/>
      <c r="AD690" s="18"/>
      <c r="AE690" s="18"/>
      <c r="AF690" s="18"/>
      <c r="AG690" s="18"/>
      <c r="AH690" s="18">
        <v>0</v>
      </c>
    </row>
    <row r="691" spans="25:34" x14ac:dyDescent="0.3">
      <c r="Y691">
        <v>5</v>
      </c>
      <c r="Z691" s="57">
        <v>45063</v>
      </c>
      <c r="AA691" t="s">
        <v>1550</v>
      </c>
      <c r="AB691" s="18">
        <v>0</v>
      </c>
      <c r="AC691" s="18"/>
      <c r="AD691" s="18"/>
      <c r="AE691" s="18"/>
      <c r="AF691" s="18"/>
      <c r="AG691" s="18"/>
      <c r="AH691" s="18">
        <v>0</v>
      </c>
    </row>
    <row r="692" spans="25:34" x14ac:dyDescent="0.3">
      <c r="Y692">
        <v>6</v>
      </c>
      <c r="Z692" s="57">
        <v>45099</v>
      </c>
      <c r="AA692" t="s">
        <v>1648</v>
      </c>
      <c r="AB692" s="18">
        <v>0</v>
      </c>
      <c r="AC692" s="18"/>
      <c r="AD692" s="18"/>
      <c r="AE692" s="18"/>
      <c r="AF692" s="18"/>
      <c r="AG692" s="18"/>
      <c r="AH692" s="18">
        <v>0</v>
      </c>
    </row>
    <row r="693" spans="25:34" x14ac:dyDescent="0.3">
      <c r="Z693" s="57">
        <v>45105</v>
      </c>
      <c r="AA693" t="s">
        <v>1664</v>
      </c>
      <c r="AB693" s="18">
        <v>0</v>
      </c>
      <c r="AC693" s="18"/>
      <c r="AD693" s="18"/>
      <c r="AE693" s="18"/>
      <c r="AF693" s="18"/>
      <c r="AG693" s="18"/>
      <c r="AH693" s="18">
        <v>0</v>
      </c>
    </row>
    <row r="694" spans="25:34" x14ac:dyDescent="0.3">
      <c r="Y694">
        <v>7</v>
      </c>
      <c r="Z694" s="57">
        <v>45118</v>
      </c>
      <c r="AA694" t="s">
        <v>1718</v>
      </c>
      <c r="AB694" s="18">
        <v>0</v>
      </c>
      <c r="AC694" s="18"/>
      <c r="AD694" s="18"/>
      <c r="AE694" s="18"/>
      <c r="AF694" s="18"/>
      <c r="AG694" s="18"/>
      <c r="AH694" s="18">
        <v>0</v>
      </c>
    </row>
    <row r="695" spans="25:34" x14ac:dyDescent="0.3">
      <c r="Z695" s="57">
        <v>45124</v>
      </c>
      <c r="AA695" t="s">
        <v>1722</v>
      </c>
      <c r="AB695" s="18">
        <v>0</v>
      </c>
      <c r="AC695" s="18"/>
      <c r="AD695" s="18"/>
      <c r="AE695" s="18"/>
      <c r="AF695" s="18"/>
      <c r="AG695" s="18"/>
      <c r="AH695" s="18">
        <v>0</v>
      </c>
    </row>
    <row r="696" spans="25:34" x14ac:dyDescent="0.3">
      <c r="Z696" s="57">
        <v>45134</v>
      </c>
      <c r="AA696" t="s">
        <v>1734</v>
      </c>
      <c r="AB696" s="18">
        <v>0</v>
      </c>
      <c r="AC696" s="18"/>
      <c r="AD696" s="18"/>
      <c r="AE696" s="18"/>
      <c r="AF696" s="18"/>
      <c r="AG696" s="18"/>
      <c r="AH696" s="18">
        <v>0</v>
      </c>
    </row>
    <row r="697" spans="25:34" x14ac:dyDescent="0.3">
      <c r="Y697">
        <v>8</v>
      </c>
      <c r="Z697" s="57">
        <v>45163</v>
      </c>
      <c r="AA697" t="s">
        <v>1829</v>
      </c>
      <c r="AB697" s="18">
        <v>0</v>
      </c>
      <c r="AC697" s="18"/>
      <c r="AD697" s="18"/>
      <c r="AE697" s="18"/>
      <c r="AF697" s="18"/>
      <c r="AG697" s="18"/>
      <c r="AH697" s="18">
        <v>0</v>
      </c>
    </row>
    <row r="698" spans="25:34" x14ac:dyDescent="0.3">
      <c r="Y698">
        <v>9</v>
      </c>
      <c r="Z698" s="57">
        <v>45176</v>
      </c>
      <c r="AA698" t="s">
        <v>1888</v>
      </c>
      <c r="AB698" s="18">
        <v>0</v>
      </c>
      <c r="AC698" s="18"/>
      <c r="AD698" s="18"/>
      <c r="AE698" s="18"/>
      <c r="AF698" s="18"/>
      <c r="AG698" s="18"/>
      <c r="AH698" s="18">
        <v>0</v>
      </c>
    </row>
    <row r="699" spans="25:34" x14ac:dyDescent="0.3">
      <c r="Y699">
        <v>10</v>
      </c>
      <c r="Z699" s="57">
        <v>45203</v>
      </c>
      <c r="AA699" t="s">
        <v>1992</v>
      </c>
      <c r="AB699" s="18">
        <v>0</v>
      </c>
      <c r="AC699" s="18"/>
      <c r="AD699" s="18"/>
      <c r="AE699" s="18"/>
      <c r="AF699" s="18"/>
      <c r="AG699" s="18"/>
      <c r="AH699" s="18">
        <v>0</v>
      </c>
    </row>
    <row r="700" spans="25:34" x14ac:dyDescent="0.3">
      <c r="Z700" s="57">
        <v>45224</v>
      </c>
      <c r="AA700" t="s">
        <v>2028</v>
      </c>
      <c r="AB700" s="18">
        <v>0</v>
      </c>
      <c r="AC700" s="18"/>
      <c r="AD700" s="18"/>
      <c r="AE700" s="18"/>
      <c r="AF700" s="18"/>
      <c r="AG700" s="18"/>
      <c r="AH700" s="18">
        <v>0</v>
      </c>
    </row>
    <row r="701" spans="25:34" x14ac:dyDescent="0.3">
      <c r="Y701">
        <v>11</v>
      </c>
      <c r="Z701" s="57">
        <v>45237</v>
      </c>
      <c r="AA701" t="s">
        <v>2153</v>
      </c>
      <c r="AB701" s="18">
        <v>0</v>
      </c>
      <c r="AC701" s="18"/>
      <c r="AD701" s="18"/>
      <c r="AE701" s="18"/>
      <c r="AF701" s="18"/>
      <c r="AG701" s="18"/>
      <c r="AH701" s="18">
        <v>0</v>
      </c>
    </row>
    <row r="702" spans="25:34" x14ac:dyDescent="0.3">
      <c r="Z702" s="57">
        <v>45255</v>
      </c>
      <c r="AA702" t="s">
        <v>2170</v>
      </c>
      <c r="AB702" s="18">
        <v>0</v>
      </c>
      <c r="AC702" s="18"/>
      <c r="AD702" s="18"/>
      <c r="AE702" s="18"/>
      <c r="AF702" s="18"/>
      <c r="AG702" s="18"/>
      <c r="AH702" s="18">
        <v>0</v>
      </c>
    </row>
    <row r="703" spans="25:34" x14ac:dyDescent="0.3">
      <c r="Y703">
        <v>12</v>
      </c>
      <c r="Z703" s="57">
        <v>45262</v>
      </c>
      <c r="AA703" t="s">
        <v>2180</v>
      </c>
      <c r="AB703" s="18">
        <v>0</v>
      </c>
      <c r="AC703" s="18"/>
      <c r="AD703" s="18"/>
      <c r="AE703" s="18"/>
      <c r="AF703" s="18"/>
      <c r="AG703" s="18"/>
      <c r="AH703" s="18">
        <v>0</v>
      </c>
    </row>
    <row r="704" spans="25:34" x14ac:dyDescent="0.3">
      <c r="Z704" s="57">
        <v>45267</v>
      </c>
      <c r="AA704" t="s">
        <v>2183</v>
      </c>
      <c r="AB704" s="18">
        <v>0</v>
      </c>
      <c r="AC704" s="18"/>
      <c r="AD704" s="18"/>
      <c r="AE704" s="18"/>
      <c r="AF704" s="18"/>
      <c r="AG704" s="18"/>
      <c r="AH704" s="18">
        <v>0</v>
      </c>
    </row>
    <row r="705" spans="24:34" x14ac:dyDescent="0.3">
      <c r="Z705" s="57">
        <v>45275</v>
      </c>
      <c r="AA705" t="s">
        <v>2192</v>
      </c>
      <c r="AB705" s="18">
        <v>0</v>
      </c>
      <c r="AC705" s="18"/>
      <c r="AD705" s="18"/>
      <c r="AE705" s="18"/>
      <c r="AF705" s="18"/>
      <c r="AG705" s="18"/>
      <c r="AH705" s="18">
        <v>0</v>
      </c>
    </row>
    <row r="706" spans="24:34" x14ac:dyDescent="0.3">
      <c r="Z706" s="57">
        <v>45278</v>
      </c>
      <c r="AA706" t="s">
        <v>2198</v>
      </c>
      <c r="AB706" s="18">
        <v>0</v>
      </c>
      <c r="AC706" s="18"/>
      <c r="AD706" s="18"/>
      <c r="AE706" s="18"/>
      <c r="AF706" s="18"/>
      <c r="AG706" s="18"/>
      <c r="AH706" s="18">
        <v>0</v>
      </c>
    </row>
    <row r="707" spans="24:34" x14ac:dyDescent="0.3">
      <c r="Z707" s="57">
        <v>45282</v>
      </c>
      <c r="AA707" t="s">
        <v>2208</v>
      </c>
      <c r="AB707" s="18">
        <v>0</v>
      </c>
      <c r="AC707" s="18"/>
      <c r="AD707" s="18"/>
      <c r="AE707" s="18"/>
      <c r="AF707" s="18"/>
      <c r="AG707" s="18"/>
      <c r="AH707" s="18">
        <v>0</v>
      </c>
    </row>
    <row r="708" spans="24:34" x14ac:dyDescent="0.3">
      <c r="Z708" s="57">
        <v>45290</v>
      </c>
      <c r="AA708" t="s">
        <v>2213</v>
      </c>
      <c r="AB708" s="18">
        <v>2423</v>
      </c>
      <c r="AC708" s="18"/>
      <c r="AD708" s="18"/>
      <c r="AE708" s="18"/>
      <c r="AF708" s="18"/>
      <c r="AG708" s="18"/>
      <c r="AH708" s="18">
        <v>2423</v>
      </c>
    </row>
    <row r="709" spans="24:34" x14ac:dyDescent="0.3">
      <c r="Y709">
        <v>4</v>
      </c>
      <c r="Z709" t="s">
        <v>1403</v>
      </c>
      <c r="AA709" t="s">
        <v>1406</v>
      </c>
      <c r="AB709" s="18">
        <v>0</v>
      </c>
      <c r="AC709" s="18"/>
      <c r="AD709" s="18"/>
      <c r="AE709" s="18"/>
      <c r="AF709" s="18"/>
      <c r="AG709" s="18"/>
      <c r="AH709" s="18">
        <v>0</v>
      </c>
    </row>
    <row r="710" spans="24:34" x14ac:dyDescent="0.3">
      <c r="Z710" t="s">
        <v>1428</v>
      </c>
      <c r="AA710" t="s">
        <v>1427</v>
      </c>
      <c r="AB710" s="18">
        <v>0</v>
      </c>
      <c r="AC710" s="18"/>
      <c r="AD710" s="18"/>
      <c r="AE710" s="18"/>
      <c r="AF710" s="18"/>
      <c r="AG710" s="18"/>
      <c r="AH710" s="18">
        <v>0</v>
      </c>
    </row>
    <row r="711" spans="24:34" x14ac:dyDescent="0.3">
      <c r="Z711" t="s">
        <v>1439</v>
      </c>
      <c r="AA711" t="s">
        <v>1438</v>
      </c>
      <c r="AB711" s="18">
        <v>0</v>
      </c>
      <c r="AC711" s="18"/>
      <c r="AD711" s="18"/>
      <c r="AE711" s="18"/>
      <c r="AF711" s="18"/>
      <c r="AG711" s="18"/>
      <c r="AH711" s="18">
        <v>0</v>
      </c>
    </row>
    <row r="712" spans="24:34" x14ac:dyDescent="0.3">
      <c r="Z712" t="s">
        <v>1466</v>
      </c>
      <c r="AA712" t="s">
        <v>1465</v>
      </c>
      <c r="AB712" s="18">
        <v>0</v>
      </c>
      <c r="AC712" s="18"/>
      <c r="AD712" s="18"/>
      <c r="AE712" s="18"/>
      <c r="AF712" s="18"/>
      <c r="AG712" s="18"/>
      <c r="AH712" s="18">
        <v>0</v>
      </c>
    </row>
    <row r="713" spans="24:34" x14ac:dyDescent="0.3">
      <c r="X713">
        <v>2024</v>
      </c>
      <c r="Y713">
        <v>1</v>
      </c>
      <c r="Z713" s="57">
        <v>45296</v>
      </c>
      <c r="AA713" t="s">
        <v>2272</v>
      </c>
      <c r="AB713" s="18">
        <v>2388</v>
      </c>
      <c r="AC713" s="18"/>
      <c r="AD713" s="18"/>
      <c r="AE713" s="18"/>
      <c r="AF713" s="18"/>
      <c r="AG713" s="18"/>
      <c r="AH713" s="18">
        <v>2388</v>
      </c>
    </row>
    <row r="714" spans="24:34" x14ac:dyDescent="0.3">
      <c r="Z714" s="57">
        <v>45306</v>
      </c>
      <c r="AA714" t="s">
        <v>2281</v>
      </c>
      <c r="AB714" s="18">
        <v>2700.5</v>
      </c>
      <c r="AC714" s="18"/>
      <c r="AD714" s="18"/>
      <c r="AE714" s="18"/>
      <c r="AF714" s="18"/>
      <c r="AG714" s="18"/>
      <c r="AH714" s="18">
        <v>2700.5</v>
      </c>
    </row>
    <row r="715" spans="24:34" x14ac:dyDescent="0.3">
      <c r="Y715">
        <v>2</v>
      </c>
      <c r="Z715" s="57">
        <v>45338</v>
      </c>
      <c r="AA715" t="s">
        <v>2356</v>
      </c>
      <c r="AB715" s="18">
        <v>2405.1</v>
      </c>
      <c r="AC715" s="18"/>
      <c r="AD715" s="18"/>
      <c r="AE715" s="18"/>
      <c r="AF715" s="18"/>
      <c r="AG715" s="18"/>
      <c r="AH715" s="18">
        <v>2405.1</v>
      </c>
    </row>
    <row r="716" spans="24:34" x14ac:dyDescent="0.3">
      <c r="Y716">
        <v>3</v>
      </c>
      <c r="Z716" s="57">
        <v>45352</v>
      </c>
      <c r="AA716" t="s">
        <v>2423</v>
      </c>
      <c r="AB716" s="18">
        <v>2613</v>
      </c>
      <c r="AC716" s="18"/>
      <c r="AD716" s="18"/>
      <c r="AE716" s="18"/>
      <c r="AF716" s="18"/>
      <c r="AG716" s="18"/>
      <c r="AH716" s="18">
        <v>2613</v>
      </c>
    </row>
    <row r="717" spans="24:34" x14ac:dyDescent="0.3">
      <c r="Z717" s="57">
        <v>45381</v>
      </c>
      <c r="AA717" t="s">
        <v>2455</v>
      </c>
      <c r="AB717" s="18">
        <v>2665.5</v>
      </c>
      <c r="AC717" s="18"/>
      <c r="AD717" s="18"/>
      <c r="AE717" s="18"/>
      <c r="AF717" s="18"/>
      <c r="AG717" s="18"/>
      <c r="AH717" s="18">
        <v>2665.5</v>
      </c>
    </row>
    <row r="718" spans="24:34" x14ac:dyDescent="0.3">
      <c r="Y718">
        <v>5</v>
      </c>
      <c r="Z718" s="57">
        <v>45432</v>
      </c>
      <c r="AA718" t="s">
        <v>2566</v>
      </c>
      <c r="AB718" s="18">
        <v>2722.5</v>
      </c>
      <c r="AC718" s="18"/>
      <c r="AD718" s="18"/>
      <c r="AE718" s="18"/>
      <c r="AF718" s="18"/>
      <c r="AG718" s="18"/>
      <c r="AH718" s="18">
        <v>2722.5</v>
      </c>
    </row>
    <row r="719" spans="24:34" x14ac:dyDescent="0.3">
      <c r="Z719" s="57">
        <v>45437</v>
      </c>
      <c r="AA719" t="s">
        <v>2567</v>
      </c>
      <c r="AB719" s="18">
        <v>2410</v>
      </c>
      <c r="AC719" s="18"/>
      <c r="AD719" s="18"/>
      <c r="AE719" s="18"/>
      <c r="AF719" s="18"/>
      <c r="AG719" s="18"/>
      <c r="AH719" s="18">
        <v>2410</v>
      </c>
    </row>
    <row r="720" spans="24:34" x14ac:dyDescent="0.3">
      <c r="Y720">
        <v>6</v>
      </c>
      <c r="Z720" s="57">
        <v>45444</v>
      </c>
      <c r="AA720" t="s">
        <v>2636</v>
      </c>
      <c r="AB720" s="18">
        <v>2410</v>
      </c>
      <c r="AC720" s="18"/>
      <c r="AD720" s="18"/>
      <c r="AE720" s="18"/>
      <c r="AF720" s="18"/>
      <c r="AG720" s="18"/>
      <c r="AH720" s="18">
        <v>2410</v>
      </c>
    </row>
    <row r="721" spans="23:34" x14ac:dyDescent="0.3">
      <c r="Y721">
        <v>4</v>
      </c>
      <c r="Z721" s="57">
        <v>45390</v>
      </c>
      <c r="AA721" t="s">
        <v>2510</v>
      </c>
      <c r="AB721" s="18">
        <v>2665.5</v>
      </c>
      <c r="AC721" s="18"/>
      <c r="AD721" s="18"/>
      <c r="AE721" s="18"/>
      <c r="AF721" s="18"/>
      <c r="AG721" s="18"/>
      <c r="AH721" s="18">
        <v>2665.5</v>
      </c>
    </row>
    <row r="722" spans="23:34" x14ac:dyDescent="0.3">
      <c r="Z722" s="57">
        <v>45407</v>
      </c>
      <c r="AA722" t="s">
        <v>2518</v>
      </c>
      <c r="AB722" s="18">
        <v>3180.5</v>
      </c>
      <c r="AC722" s="18"/>
      <c r="AD722" s="18"/>
      <c r="AE722" s="18"/>
      <c r="AF722" s="18"/>
      <c r="AG722" s="18"/>
      <c r="AH722" s="18">
        <v>3180.5</v>
      </c>
    </row>
    <row r="723" spans="23:34" x14ac:dyDescent="0.3">
      <c r="W723" s="36" t="s">
        <v>500</v>
      </c>
      <c r="X723" s="36"/>
      <c r="Y723" s="36"/>
      <c r="Z723" s="36"/>
      <c r="AA723" s="36"/>
      <c r="AB723" s="37">
        <v>28583.599999999999</v>
      </c>
      <c r="AC723" s="37"/>
      <c r="AD723" s="37"/>
      <c r="AE723" s="37"/>
      <c r="AF723" s="37"/>
      <c r="AG723" s="37"/>
      <c r="AH723" s="37">
        <v>28583.599999999999</v>
      </c>
    </row>
    <row r="724" spans="23:34" x14ac:dyDescent="0.3">
      <c r="W724" t="s">
        <v>637</v>
      </c>
      <c r="X724">
        <v>2022</v>
      </c>
      <c r="Y724">
        <v>3</v>
      </c>
      <c r="Z724" s="57">
        <v>44628</v>
      </c>
      <c r="AA724" t="s">
        <v>634</v>
      </c>
      <c r="AB724" s="18">
        <v>0</v>
      </c>
      <c r="AC724" s="18"/>
      <c r="AD724" s="18"/>
      <c r="AE724" s="18"/>
      <c r="AF724" s="18"/>
      <c r="AG724" s="18"/>
      <c r="AH724" s="18">
        <v>0</v>
      </c>
    </row>
    <row r="725" spans="23:34" x14ac:dyDescent="0.3">
      <c r="Z725" s="57">
        <v>44629</v>
      </c>
      <c r="AA725" t="s">
        <v>642</v>
      </c>
      <c r="AB725" s="18">
        <v>0</v>
      </c>
      <c r="AC725" s="18"/>
      <c r="AD725" s="18"/>
      <c r="AE725" s="18"/>
      <c r="AF725" s="18"/>
      <c r="AG725" s="18"/>
      <c r="AH725" s="18">
        <v>0</v>
      </c>
    </row>
    <row r="726" spans="23:34" x14ac:dyDescent="0.3">
      <c r="Z726" s="57">
        <v>44632</v>
      </c>
      <c r="AA726" t="s">
        <v>644</v>
      </c>
      <c r="AB726" s="18">
        <v>0</v>
      </c>
      <c r="AC726" s="18"/>
      <c r="AD726" s="18"/>
      <c r="AE726" s="18"/>
      <c r="AF726" s="18"/>
      <c r="AG726" s="18"/>
      <c r="AH726" s="18">
        <v>0</v>
      </c>
    </row>
    <row r="727" spans="23:34" x14ac:dyDescent="0.3">
      <c r="Y727">
        <v>5</v>
      </c>
      <c r="Z727" s="57">
        <v>44693</v>
      </c>
      <c r="AA727" t="s">
        <v>769</v>
      </c>
      <c r="AB727" s="18">
        <v>0</v>
      </c>
      <c r="AC727" s="18"/>
      <c r="AD727" s="18"/>
      <c r="AE727" s="18"/>
      <c r="AF727" s="18"/>
      <c r="AG727" s="18"/>
      <c r="AH727" s="18">
        <v>0</v>
      </c>
    </row>
    <row r="728" spans="23:34" x14ac:dyDescent="0.3">
      <c r="Y728">
        <v>6</v>
      </c>
      <c r="Z728" s="57">
        <v>44715</v>
      </c>
      <c r="AA728" t="s">
        <v>827</v>
      </c>
      <c r="AB728" s="18">
        <v>0</v>
      </c>
      <c r="AC728" s="18"/>
      <c r="AD728" s="18"/>
      <c r="AE728" s="18"/>
      <c r="AF728" s="18"/>
      <c r="AG728" s="18"/>
      <c r="AH728" s="18">
        <v>0</v>
      </c>
    </row>
    <row r="729" spans="23:34" x14ac:dyDescent="0.3">
      <c r="Z729" s="57">
        <v>44721</v>
      </c>
      <c r="AA729" t="s">
        <v>832</v>
      </c>
      <c r="AB729" s="18">
        <v>0</v>
      </c>
      <c r="AC729" s="18"/>
      <c r="AD729" s="18"/>
      <c r="AE729" s="18"/>
      <c r="AF729" s="18"/>
      <c r="AG729" s="18"/>
      <c r="AH729" s="18">
        <v>0</v>
      </c>
    </row>
    <row r="730" spans="23:34" x14ac:dyDescent="0.3">
      <c r="Y730">
        <v>9</v>
      </c>
      <c r="Z730" s="57">
        <v>44830</v>
      </c>
      <c r="AA730" t="s">
        <v>952</v>
      </c>
      <c r="AB730" s="18">
        <v>0</v>
      </c>
      <c r="AC730" s="18"/>
      <c r="AD730" s="18"/>
      <c r="AE730" s="18"/>
      <c r="AF730" s="18"/>
      <c r="AG730" s="18"/>
      <c r="AH730" s="18">
        <v>0</v>
      </c>
    </row>
    <row r="731" spans="23:34" x14ac:dyDescent="0.3">
      <c r="AA731" t="s">
        <v>953</v>
      </c>
      <c r="AB731" s="18">
        <v>0</v>
      </c>
      <c r="AC731" s="18"/>
      <c r="AD731" s="18"/>
      <c r="AE731" s="18"/>
      <c r="AF731" s="18"/>
      <c r="AG731" s="18"/>
      <c r="AH731" s="18">
        <v>0</v>
      </c>
    </row>
    <row r="732" spans="23:34" x14ac:dyDescent="0.3">
      <c r="Y732">
        <v>11</v>
      </c>
      <c r="Z732" s="57">
        <v>44872</v>
      </c>
      <c r="AA732" t="s">
        <v>1055</v>
      </c>
      <c r="AB732" s="18">
        <v>0</v>
      </c>
      <c r="AC732" s="18"/>
      <c r="AD732" s="18"/>
      <c r="AE732" s="18"/>
      <c r="AF732" s="18"/>
      <c r="AG732" s="18"/>
      <c r="AH732" s="18">
        <v>0</v>
      </c>
    </row>
    <row r="733" spans="23:34" x14ac:dyDescent="0.3">
      <c r="Y733">
        <v>12</v>
      </c>
      <c r="Z733" s="57">
        <v>44896</v>
      </c>
      <c r="AA733" t="s">
        <v>1108</v>
      </c>
      <c r="AB733" s="18">
        <v>0</v>
      </c>
      <c r="AC733" s="18"/>
      <c r="AD733" s="18"/>
      <c r="AE733" s="18"/>
      <c r="AF733" s="18"/>
      <c r="AG733" s="18"/>
      <c r="AH733" s="18">
        <v>0</v>
      </c>
    </row>
    <row r="734" spans="23:34" x14ac:dyDescent="0.3">
      <c r="Z734" s="57">
        <v>44900</v>
      </c>
      <c r="AA734" t="s">
        <v>1116</v>
      </c>
      <c r="AB734" s="18">
        <v>0</v>
      </c>
      <c r="AC734" s="18"/>
      <c r="AD734" s="18"/>
      <c r="AE734" s="18"/>
      <c r="AF734" s="18"/>
      <c r="AG734" s="18"/>
      <c r="AH734" s="18">
        <v>0</v>
      </c>
    </row>
    <row r="735" spans="23:34" x14ac:dyDescent="0.3">
      <c r="Z735" s="57">
        <v>44902</v>
      </c>
      <c r="AA735" t="s">
        <v>1120</v>
      </c>
      <c r="AB735" s="18">
        <v>0</v>
      </c>
      <c r="AC735" s="18"/>
      <c r="AD735" s="18"/>
      <c r="AE735" s="18"/>
      <c r="AF735" s="18"/>
      <c r="AG735" s="18"/>
      <c r="AH735" s="18">
        <v>0</v>
      </c>
    </row>
    <row r="736" spans="23:34" x14ac:dyDescent="0.3">
      <c r="Z736" s="57">
        <v>44917</v>
      </c>
      <c r="AA736" t="s">
        <v>1130</v>
      </c>
      <c r="AB736" s="18">
        <v>0</v>
      </c>
      <c r="AC736" s="18"/>
      <c r="AD736" s="18"/>
      <c r="AE736" s="18"/>
      <c r="AF736" s="18"/>
      <c r="AG736" s="18"/>
      <c r="AH736" s="18">
        <v>0</v>
      </c>
    </row>
    <row r="737" spans="24:34" x14ac:dyDescent="0.3">
      <c r="Y737">
        <v>4</v>
      </c>
      <c r="Z737" s="57">
        <v>44652</v>
      </c>
      <c r="AA737" t="s">
        <v>684</v>
      </c>
      <c r="AB737" s="18">
        <v>0</v>
      </c>
      <c r="AC737" s="18"/>
      <c r="AD737" s="18"/>
      <c r="AE737" s="18"/>
      <c r="AF737" s="18"/>
      <c r="AG737" s="18"/>
      <c r="AH737" s="18">
        <v>0</v>
      </c>
    </row>
    <row r="738" spans="24:34" x14ac:dyDescent="0.3">
      <c r="Z738" s="57">
        <v>44663</v>
      </c>
      <c r="AA738" t="s">
        <v>691</v>
      </c>
      <c r="AB738" s="18">
        <v>0</v>
      </c>
      <c r="AC738" s="18"/>
      <c r="AD738" s="18"/>
      <c r="AE738" s="18"/>
      <c r="AF738" s="18"/>
      <c r="AG738" s="18"/>
      <c r="AH738" s="18">
        <v>0</v>
      </c>
    </row>
    <row r="739" spans="24:34" x14ac:dyDescent="0.3">
      <c r="X739">
        <v>2023</v>
      </c>
      <c r="Y739">
        <v>1</v>
      </c>
      <c r="Z739" s="57">
        <v>44938</v>
      </c>
      <c r="AA739" t="s">
        <v>1182</v>
      </c>
      <c r="AB739" s="18">
        <v>0</v>
      </c>
      <c r="AC739" s="18"/>
      <c r="AD739" s="18"/>
      <c r="AE739" s="18"/>
      <c r="AF739" s="18"/>
      <c r="AG739" s="18"/>
      <c r="AH739" s="18">
        <v>0</v>
      </c>
    </row>
    <row r="740" spans="24:34" x14ac:dyDescent="0.3">
      <c r="Z740" s="57">
        <v>44944</v>
      </c>
      <c r="AA740" t="s">
        <v>1191</v>
      </c>
      <c r="AB740" s="18">
        <v>0</v>
      </c>
      <c r="AC740" s="18"/>
      <c r="AD740" s="18"/>
      <c r="AE740" s="18"/>
      <c r="AF740" s="18"/>
      <c r="AG740" s="18"/>
      <c r="AH740" s="18">
        <v>0</v>
      </c>
    </row>
    <row r="741" spans="24:34" x14ac:dyDescent="0.3">
      <c r="Z741" s="57">
        <v>44956</v>
      </c>
      <c r="AA741" t="s">
        <v>1205</v>
      </c>
      <c r="AB741" s="18">
        <v>0</v>
      </c>
      <c r="AC741" s="18"/>
      <c r="AD741" s="18"/>
      <c r="AE741" s="18"/>
      <c r="AF741" s="18"/>
      <c r="AG741" s="18"/>
      <c r="AH741" s="18">
        <v>0</v>
      </c>
    </row>
    <row r="742" spans="24:34" x14ac:dyDescent="0.3">
      <c r="Y742">
        <v>2</v>
      </c>
      <c r="Z742" t="s">
        <v>1240</v>
      </c>
      <c r="AA742" t="s">
        <v>1239</v>
      </c>
      <c r="AB742" s="18">
        <v>0</v>
      </c>
      <c r="AC742" s="18"/>
      <c r="AD742" s="18"/>
      <c r="AE742" s="18"/>
      <c r="AF742" s="18"/>
      <c r="AG742" s="18"/>
      <c r="AH742" s="18">
        <v>0</v>
      </c>
    </row>
    <row r="743" spans="24:34" x14ac:dyDescent="0.3">
      <c r="Z743" t="s">
        <v>1246</v>
      </c>
      <c r="AA743" t="s">
        <v>1248</v>
      </c>
      <c r="AB743" s="18">
        <v>0</v>
      </c>
      <c r="AC743" s="18"/>
      <c r="AD743" s="18"/>
      <c r="AE743" s="18"/>
      <c r="AF743" s="18"/>
      <c r="AG743" s="18"/>
      <c r="AH743" s="18">
        <v>0</v>
      </c>
    </row>
    <row r="744" spans="24:34" x14ac:dyDescent="0.3">
      <c r="Z744" t="s">
        <v>1264</v>
      </c>
      <c r="AA744" t="s">
        <v>1268</v>
      </c>
      <c r="AB744" s="18">
        <v>0</v>
      </c>
      <c r="AC744" s="18"/>
      <c r="AD744" s="18"/>
      <c r="AE744" s="18"/>
      <c r="AF744" s="18"/>
      <c r="AG744" s="18"/>
      <c r="AH744" s="18">
        <v>0</v>
      </c>
    </row>
    <row r="745" spans="24:34" x14ac:dyDescent="0.3">
      <c r="Y745">
        <v>3</v>
      </c>
      <c r="Z745" t="s">
        <v>1301</v>
      </c>
      <c r="AA745" t="s">
        <v>1282</v>
      </c>
      <c r="AB745" s="18">
        <v>0</v>
      </c>
      <c r="AC745" s="18"/>
      <c r="AD745" s="18"/>
      <c r="AE745" s="18"/>
      <c r="AF745" s="18"/>
      <c r="AG745" s="18"/>
      <c r="AH745" s="18">
        <v>0</v>
      </c>
    </row>
    <row r="746" spans="24:34" x14ac:dyDescent="0.3">
      <c r="Y746">
        <v>7</v>
      </c>
      <c r="Z746" s="57">
        <v>45111</v>
      </c>
      <c r="AA746" t="s">
        <v>1710</v>
      </c>
      <c r="AB746" s="18">
        <v>0</v>
      </c>
      <c r="AC746" s="18"/>
      <c r="AD746" s="18"/>
      <c r="AE746" s="18"/>
      <c r="AF746" s="18"/>
      <c r="AG746" s="18"/>
      <c r="AH746" s="18">
        <v>0</v>
      </c>
    </row>
    <row r="747" spans="24:34" x14ac:dyDescent="0.3">
      <c r="Y747">
        <v>9</v>
      </c>
      <c r="Z747" s="57">
        <v>45187</v>
      </c>
      <c r="AA747" t="s">
        <v>1905</v>
      </c>
      <c r="AB747" s="18">
        <v>0</v>
      </c>
      <c r="AC747" s="18"/>
      <c r="AD747" s="18"/>
      <c r="AE747" s="18"/>
      <c r="AF747" s="18"/>
      <c r="AG747" s="18"/>
      <c r="AH747" s="18">
        <v>0</v>
      </c>
    </row>
    <row r="748" spans="24:34" x14ac:dyDescent="0.3">
      <c r="Y748">
        <v>10</v>
      </c>
      <c r="Z748" s="57">
        <v>45205</v>
      </c>
      <c r="AA748" t="s">
        <v>1996</v>
      </c>
      <c r="AB748" s="18">
        <v>0</v>
      </c>
      <c r="AC748" s="18"/>
      <c r="AD748" s="18"/>
      <c r="AE748" s="18"/>
      <c r="AF748" s="18"/>
      <c r="AG748" s="18"/>
      <c r="AH748" s="18">
        <v>0</v>
      </c>
    </row>
    <row r="749" spans="24:34" x14ac:dyDescent="0.3">
      <c r="Z749" s="57">
        <v>45209</v>
      </c>
      <c r="AA749" t="s">
        <v>2003</v>
      </c>
      <c r="AB749" s="18">
        <v>0</v>
      </c>
      <c r="AC749" s="18"/>
      <c r="AD749" s="18"/>
      <c r="AE749" s="18"/>
      <c r="AF749" s="18"/>
      <c r="AG749" s="18"/>
      <c r="AH749" s="18">
        <v>0</v>
      </c>
    </row>
    <row r="750" spans="24:34" x14ac:dyDescent="0.3">
      <c r="Z750" t="s">
        <v>2009</v>
      </c>
      <c r="AA750" t="s">
        <v>2011</v>
      </c>
      <c r="AB750" s="18">
        <v>0</v>
      </c>
      <c r="AC750" s="18"/>
      <c r="AD750" s="18"/>
      <c r="AE750" s="18"/>
      <c r="AF750" s="18"/>
      <c r="AG750" s="18"/>
      <c r="AH750" s="18">
        <v>0</v>
      </c>
    </row>
    <row r="751" spans="24:34" x14ac:dyDescent="0.3">
      <c r="Y751">
        <v>12</v>
      </c>
      <c r="Z751" s="57">
        <v>45268</v>
      </c>
      <c r="AA751" t="s">
        <v>2184</v>
      </c>
      <c r="AB751" s="18">
        <v>0</v>
      </c>
      <c r="AC751" s="18"/>
      <c r="AD751" s="18"/>
      <c r="AE751" s="18"/>
      <c r="AF751" s="18"/>
      <c r="AG751" s="18"/>
      <c r="AH751" s="18">
        <v>0</v>
      </c>
    </row>
    <row r="752" spans="24:34" x14ac:dyDescent="0.3">
      <c r="AA752" t="s">
        <v>2185</v>
      </c>
      <c r="AB752" s="18">
        <v>514.19999999999982</v>
      </c>
      <c r="AC752" s="18"/>
      <c r="AD752" s="18"/>
      <c r="AE752" s="18"/>
      <c r="AF752" s="18"/>
      <c r="AG752" s="18"/>
      <c r="AH752" s="18">
        <v>514.19999999999982</v>
      </c>
    </row>
    <row r="753" spans="23:34" x14ac:dyDescent="0.3">
      <c r="Z753" s="57">
        <v>45279</v>
      </c>
      <c r="AA753" t="s">
        <v>2201</v>
      </c>
      <c r="AB753" s="18">
        <v>0</v>
      </c>
      <c r="AC753" s="18"/>
      <c r="AD753" s="18"/>
      <c r="AE753" s="18"/>
      <c r="AF753" s="18"/>
      <c r="AG753" s="18"/>
      <c r="AH753" s="18">
        <v>0</v>
      </c>
    </row>
    <row r="754" spans="23:34" x14ac:dyDescent="0.3">
      <c r="AA754" t="s">
        <v>2265</v>
      </c>
      <c r="AB754" s="18">
        <v>0</v>
      </c>
      <c r="AC754" s="18"/>
      <c r="AD754" s="18"/>
      <c r="AE754" s="18"/>
      <c r="AF754" s="18"/>
      <c r="AG754" s="18"/>
      <c r="AH754" s="18">
        <v>0</v>
      </c>
    </row>
    <row r="755" spans="23:34" x14ac:dyDescent="0.3">
      <c r="Y755">
        <v>4</v>
      </c>
      <c r="Z755" s="57">
        <v>45019</v>
      </c>
      <c r="AA755" t="s">
        <v>1391</v>
      </c>
      <c r="AB755" s="18">
        <v>0</v>
      </c>
      <c r="AC755" s="18"/>
      <c r="AD755" s="18"/>
      <c r="AE755" s="18"/>
      <c r="AF755" s="18"/>
      <c r="AG755" s="18"/>
      <c r="AH755" s="18">
        <v>0</v>
      </c>
    </row>
    <row r="756" spans="23:34" x14ac:dyDescent="0.3">
      <c r="Z756" t="s">
        <v>1414</v>
      </c>
      <c r="AA756" t="s">
        <v>1413</v>
      </c>
      <c r="AB756" s="18">
        <v>0</v>
      </c>
      <c r="AC756" s="18"/>
      <c r="AD756" s="18"/>
      <c r="AE756" s="18"/>
      <c r="AF756" s="18"/>
      <c r="AG756" s="18"/>
      <c r="AH756" s="18">
        <v>0</v>
      </c>
    </row>
    <row r="757" spans="23:34" x14ac:dyDescent="0.3">
      <c r="Z757" s="57">
        <v>45030</v>
      </c>
      <c r="AA757" t="s">
        <v>1432</v>
      </c>
      <c r="AB757" s="18">
        <v>0</v>
      </c>
      <c r="AC757" s="18"/>
      <c r="AD757" s="18"/>
      <c r="AE757" s="18"/>
      <c r="AF757" s="18"/>
      <c r="AG757" s="18"/>
      <c r="AH757" s="18">
        <v>0</v>
      </c>
    </row>
    <row r="758" spans="23:34" x14ac:dyDescent="0.3">
      <c r="W758" s="36" t="s">
        <v>641</v>
      </c>
      <c r="X758" s="36"/>
      <c r="Y758" s="36"/>
      <c r="Z758" s="36"/>
      <c r="AA758" s="36"/>
      <c r="AB758" s="37">
        <v>514.19999999999982</v>
      </c>
      <c r="AC758" s="37"/>
      <c r="AD758" s="37"/>
      <c r="AE758" s="37"/>
      <c r="AF758" s="37"/>
      <c r="AG758" s="37"/>
      <c r="AH758" s="37">
        <v>514.19999999999982</v>
      </c>
    </row>
    <row r="759" spans="23:34" x14ac:dyDescent="0.3">
      <c r="W759" t="s">
        <v>665</v>
      </c>
      <c r="X759">
        <v>2022</v>
      </c>
      <c r="Y759">
        <v>3</v>
      </c>
      <c r="Z759" s="57">
        <v>44651</v>
      </c>
      <c r="AA759" t="s">
        <v>663</v>
      </c>
      <c r="AB759" s="18">
        <v>0</v>
      </c>
      <c r="AC759" s="18"/>
      <c r="AD759" s="18"/>
      <c r="AE759" s="18"/>
      <c r="AF759" s="18"/>
      <c r="AG759" s="18"/>
      <c r="AH759" s="18">
        <v>0</v>
      </c>
    </row>
    <row r="760" spans="23:34" x14ac:dyDescent="0.3">
      <c r="Y760">
        <v>5</v>
      </c>
      <c r="Z760" s="57">
        <v>44687</v>
      </c>
      <c r="AA760" t="s">
        <v>763</v>
      </c>
      <c r="AB760" s="18">
        <v>0</v>
      </c>
      <c r="AC760" s="18"/>
      <c r="AD760" s="18"/>
      <c r="AE760" s="18"/>
      <c r="AF760" s="18"/>
      <c r="AG760" s="18"/>
      <c r="AH760" s="18">
        <v>0</v>
      </c>
    </row>
    <row r="761" spans="23:34" x14ac:dyDescent="0.3">
      <c r="Y761">
        <v>6</v>
      </c>
      <c r="Z761" s="57">
        <v>44725</v>
      </c>
      <c r="AA761" t="s">
        <v>835</v>
      </c>
      <c r="AB761" s="18">
        <v>0</v>
      </c>
      <c r="AC761" s="18"/>
      <c r="AD761" s="18"/>
      <c r="AE761" s="18"/>
      <c r="AF761" s="18"/>
      <c r="AG761" s="18"/>
      <c r="AH761" s="18">
        <v>0</v>
      </c>
    </row>
    <row r="762" spans="23:34" x14ac:dyDescent="0.3">
      <c r="Y762">
        <v>4</v>
      </c>
      <c r="Z762" s="57">
        <v>44667</v>
      </c>
      <c r="AA762" t="s">
        <v>697</v>
      </c>
      <c r="AB762" s="18">
        <v>0</v>
      </c>
      <c r="AC762" s="18"/>
      <c r="AD762" s="18"/>
      <c r="AE762" s="18"/>
      <c r="AF762" s="18"/>
      <c r="AG762" s="18"/>
      <c r="AH762" s="18">
        <v>0</v>
      </c>
    </row>
    <row r="763" spans="23:34" x14ac:dyDescent="0.3">
      <c r="Z763" t="s">
        <v>721</v>
      </c>
      <c r="AA763" t="s">
        <v>720</v>
      </c>
      <c r="AB763" s="18">
        <v>0</v>
      </c>
      <c r="AC763" s="18"/>
      <c r="AD763" s="18"/>
      <c r="AE763" s="18"/>
      <c r="AF763" s="18"/>
      <c r="AG763" s="18"/>
      <c r="AH763" s="18">
        <v>0</v>
      </c>
    </row>
    <row r="764" spans="23:34" x14ac:dyDescent="0.3">
      <c r="Z764" s="57">
        <v>44680</v>
      </c>
      <c r="AA764" t="s">
        <v>728</v>
      </c>
      <c r="AB764" s="18">
        <v>0</v>
      </c>
      <c r="AC764" s="18"/>
      <c r="AD764" s="18"/>
      <c r="AE764" s="18"/>
      <c r="AF764" s="18"/>
      <c r="AG764" s="18"/>
      <c r="AH764" s="18">
        <v>0</v>
      </c>
    </row>
    <row r="765" spans="23:34" x14ac:dyDescent="0.3">
      <c r="X765">
        <v>2023</v>
      </c>
      <c r="Y765">
        <v>1</v>
      </c>
      <c r="Z765" s="57">
        <v>44932</v>
      </c>
      <c r="AA765" t="s">
        <v>1170</v>
      </c>
      <c r="AB765" s="18">
        <v>0</v>
      </c>
      <c r="AC765" s="18"/>
      <c r="AD765" s="18"/>
      <c r="AE765" s="18"/>
      <c r="AF765" s="18"/>
      <c r="AG765" s="18"/>
      <c r="AH765" s="18">
        <v>0</v>
      </c>
    </row>
    <row r="766" spans="23:34" x14ac:dyDescent="0.3">
      <c r="Z766" s="57">
        <v>44935</v>
      </c>
      <c r="AA766" t="s">
        <v>1173</v>
      </c>
      <c r="AB766" s="18">
        <v>0</v>
      </c>
      <c r="AC766" s="18"/>
      <c r="AD766" s="18"/>
      <c r="AE766" s="18"/>
      <c r="AF766" s="18"/>
      <c r="AG766" s="18"/>
      <c r="AH766" s="18">
        <v>0</v>
      </c>
    </row>
    <row r="767" spans="23:34" x14ac:dyDescent="0.3">
      <c r="Z767" s="57">
        <v>44937</v>
      </c>
      <c r="AA767" t="s">
        <v>1179</v>
      </c>
      <c r="AB767" s="18">
        <v>0</v>
      </c>
      <c r="AC767" s="18"/>
      <c r="AD767" s="18"/>
      <c r="AE767" s="18"/>
      <c r="AF767" s="18"/>
      <c r="AG767" s="18"/>
      <c r="AH767" s="18">
        <v>0</v>
      </c>
    </row>
    <row r="768" spans="23:34" x14ac:dyDescent="0.3">
      <c r="Z768" s="57">
        <v>44939</v>
      </c>
      <c r="AA768" t="s">
        <v>1183</v>
      </c>
      <c r="AB768" s="18">
        <v>0</v>
      </c>
      <c r="AC768" s="18"/>
      <c r="AD768" s="18"/>
      <c r="AE768" s="18"/>
      <c r="AF768" s="18"/>
      <c r="AG768" s="18"/>
      <c r="AH768" s="18">
        <v>0</v>
      </c>
    </row>
    <row r="769" spans="23:34" x14ac:dyDescent="0.3">
      <c r="Y769">
        <v>6</v>
      </c>
      <c r="Z769" s="57">
        <v>45084</v>
      </c>
      <c r="AA769" t="s">
        <v>1613</v>
      </c>
      <c r="AB769" s="18">
        <v>0</v>
      </c>
      <c r="AC769" s="18"/>
      <c r="AD769" s="18"/>
      <c r="AE769" s="18"/>
      <c r="AF769" s="18"/>
      <c r="AG769" s="18"/>
      <c r="AH769" s="18">
        <v>0</v>
      </c>
    </row>
    <row r="770" spans="23:34" x14ac:dyDescent="0.3">
      <c r="W770" s="36" t="s">
        <v>679</v>
      </c>
      <c r="X770" s="36"/>
      <c r="Y770" s="36"/>
      <c r="Z770" s="36"/>
      <c r="AA770" s="36"/>
      <c r="AB770" s="37">
        <v>0</v>
      </c>
      <c r="AC770" s="37"/>
      <c r="AD770" s="37"/>
      <c r="AE770" s="37"/>
      <c r="AF770" s="37"/>
      <c r="AG770" s="37"/>
      <c r="AH770" s="37">
        <v>0</v>
      </c>
    </row>
    <row r="771" spans="23:34" x14ac:dyDescent="0.3">
      <c r="W771" t="s">
        <v>709</v>
      </c>
      <c r="X771">
        <v>2022</v>
      </c>
      <c r="Y771">
        <v>4</v>
      </c>
      <c r="Z771" s="57">
        <v>44671</v>
      </c>
      <c r="AA771" t="s">
        <v>699</v>
      </c>
      <c r="AB771" s="18">
        <v>0</v>
      </c>
      <c r="AC771" s="18"/>
      <c r="AD771" s="18"/>
      <c r="AE771" s="18"/>
      <c r="AF771" s="18"/>
      <c r="AG771" s="18"/>
      <c r="AH771" s="18">
        <v>0</v>
      </c>
    </row>
    <row r="772" spans="23:34" x14ac:dyDescent="0.3">
      <c r="Z772" s="57">
        <v>44672</v>
      </c>
      <c r="AA772" t="s">
        <v>701</v>
      </c>
      <c r="AB772" s="18">
        <v>0</v>
      </c>
      <c r="AC772" s="18"/>
      <c r="AD772" s="18"/>
      <c r="AE772" s="18"/>
      <c r="AF772" s="18"/>
      <c r="AG772" s="18"/>
      <c r="AH772" s="18">
        <v>0</v>
      </c>
    </row>
    <row r="773" spans="23:34" x14ac:dyDescent="0.3">
      <c r="W773" s="36" t="s">
        <v>754</v>
      </c>
      <c r="X773" s="36"/>
      <c r="Y773" s="36"/>
      <c r="Z773" s="36"/>
      <c r="AA773" s="36"/>
      <c r="AB773" s="37">
        <v>0</v>
      </c>
      <c r="AC773" s="37"/>
      <c r="AD773" s="37"/>
      <c r="AE773" s="37"/>
      <c r="AF773" s="37"/>
      <c r="AG773" s="37"/>
      <c r="AH773" s="37">
        <v>0</v>
      </c>
    </row>
    <row r="774" spans="23:34" x14ac:dyDescent="0.3">
      <c r="W774" t="s">
        <v>773</v>
      </c>
      <c r="X774">
        <v>2022</v>
      </c>
      <c r="Y774">
        <v>5</v>
      </c>
      <c r="Z774" s="57">
        <v>44693</v>
      </c>
      <c r="AA774" t="s">
        <v>774</v>
      </c>
      <c r="AB774" s="18">
        <v>0</v>
      </c>
      <c r="AC774" s="18"/>
      <c r="AD774" s="18"/>
      <c r="AE774" s="18"/>
      <c r="AF774" s="18"/>
      <c r="AG774" s="18"/>
      <c r="AH774" s="18">
        <v>0</v>
      </c>
    </row>
    <row r="775" spans="23:34" x14ac:dyDescent="0.3">
      <c r="Y775">
        <v>4</v>
      </c>
      <c r="Z775" s="57">
        <v>44660</v>
      </c>
      <c r="AA775" t="s">
        <v>690</v>
      </c>
      <c r="AB775" s="18">
        <v>0</v>
      </c>
      <c r="AC775" s="18"/>
      <c r="AD775" s="18"/>
      <c r="AE775" s="18"/>
      <c r="AF775" s="18"/>
      <c r="AG775" s="18"/>
      <c r="AH775" s="18">
        <v>0</v>
      </c>
    </row>
    <row r="776" spans="23:34" x14ac:dyDescent="0.3">
      <c r="Z776" s="57">
        <v>44664</v>
      </c>
      <c r="AA776" t="s">
        <v>692</v>
      </c>
      <c r="AB776" s="18">
        <v>0</v>
      </c>
      <c r="AC776" s="18"/>
      <c r="AD776" s="18"/>
      <c r="AE776" s="18"/>
      <c r="AF776" s="18"/>
      <c r="AG776" s="18"/>
      <c r="AH776" s="18">
        <v>0</v>
      </c>
    </row>
    <row r="777" spans="23:34" x14ac:dyDescent="0.3">
      <c r="Z777" s="57">
        <v>44666</v>
      </c>
      <c r="AA777" t="s">
        <v>695</v>
      </c>
      <c r="AB777" s="18">
        <v>0</v>
      </c>
      <c r="AC777" s="18"/>
      <c r="AD777" s="18"/>
      <c r="AE777" s="18"/>
      <c r="AF777" s="18"/>
      <c r="AG777" s="18"/>
      <c r="AH777" s="18">
        <v>0</v>
      </c>
    </row>
    <row r="778" spans="23:34" x14ac:dyDescent="0.3">
      <c r="W778" s="36" t="s">
        <v>798</v>
      </c>
      <c r="X778" s="36"/>
      <c r="Y778" s="36"/>
      <c r="Z778" s="36"/>
      <c r="AA778" s="36"/>
      <c r="AB778" s="37">
        <v>0</v>
      </c>
      <c r="AC778" s="37"/>
      <c r="AD778" s="37"/>
      <c r="AE778" s="37"/>
      <c r="AF778" s="37"/>
      <c r="AG778" s="37"/>
      <c r="AH778" s="37">
        <v>0</v>
      </c>
    </row>
    <row r="779" spans="23:34" x14ac:dyDescent="0.3">
      <c r="W779" t="s">
        <v>784</v>
      </c>
      <c r="X779">
        <v>2022</v>
      </c>
      <c r="Y779">
        <v>5</v>
      </c>
      <c r="Z779" s="57">
        <v>44702</v>
      </c>
      <c r="AA779" t="s">
        <v>788</v>
      </c>
      <c r="AB779" s="18">
        <v>0</v>
      </c>
      <c r="AC779" s="18"/>
      <c r="AD779" s="18"/>
      <c r="AE779" s="18"/>
      <c r="AF779" s="18"/>
      <c r="AG779" s="18"/>
      <c r="AH779" s="18">
        <v>0</v>
      </c>
    </row>
    <row r="780" spans="23:34" x14ac:dyDescent="0.3">
      <c r="Y780">
        <v>8</v>
      </c>
      <c r="Z780" s="57">
        <v>44782</v>
      </c>
      <c r="AA780" t="s">
        <v>898</v>
      </c>
      <c r="AB780" s="18">
        <v>0</v>
      </c>
      <c r="AC780" s="18"/>
      <c r="AD780" s="18"/>
      <c r="AE780" s="18"/>
      <c r="AF780" s="18"/>
      <c r="AG780" s="18"/>
      <c r="AH780" s="18">
        <v>0</v>
      </c>
    </row>
    <row r="781" spans="23:34" x14ac:dyDescent="0.3">
      <c r="Y781">
        <v>10</v>
      </c>
      <c r="Z781" s="57">
        <v>44851</v>
      </c>
      <c r="AA781" t="s">
        <v>1004</v>
      </c>
      <c r="AB781" s="18">
        <v>0</v>
      </c>
      <c r="AC781" s="18"/>
      <c r="AD781" s="18"/>
      <c r="AE781" s="18"/>
      <c r="AF781" s="18"/>
      <c r="AG781" s="18"/>
      <c r="AH781" s="18">
        <v>0</v>
      </c>
    </row>
    <row r="782" spans="23:34" x14ac:dyDescent="0.3">
      <c r="Y782">
        <v>12</v>
      </c>
      <c r="Z782" t="s">
        <v>1124</v>
      </c>
      <c r="AA782" t="s">
        <v>1125</v>
      </c>
      <c r="AB782" s="18">
        <v>0</v>
      </c>
      <c r="AC782" s="18"/>
      <c r="AD782" s="18"/>
      <c r="AE782" s="18"/>
      <c r="AF782" s="18"/>
      <c r="AG782" s="18"/>
      <c r="AH782" s="18">
        <v>0</v>
      </c>
    </row>
    <row r="783" spans="23:34" x14ac:dyDescent="0.3">
      <c r="X783">
        <v>2023</v>
      </c>
      <c r="Y783">
        <v>3</v>
      </c>
      <c r="Z783" t="s">
        <v>1359</v>
      </c>
      <c r="AA783" t="s">
        <v>1358</v>
      </c>
      <c r="AB783" s="18">
        <v>0</v>
      </c>
      <c r="AC783" s="18"/>
      <c r="AD783" s="18"/>
      <c r="AE783" s="18"/>
      <c r="AF783" s="18"/>
      <c r="AG783" s="18"/>
      <c r="AH783" s="18">
        <v>0</v>
      </c>
    </row>
    <row r="784" spans="23:34" x14ac:dyDescent="0.3">
      <c r="Y784">
        <v>12</v>
      </c>
      <c r="Z784" s="57">
        <v>45281</v>
      </c>
      <c r="AA784" t="s">
        <v>2205</v>
      </c>
      <c r="AB784" s="18">
        <v>0</v>
      </c>
      <c r="AC784" s="18"/>
      <c r="AD784" s="18"/>
      <c r="AE784" s="18"/>
      <c r="AF784" s="18"/>
      <c r="AG784" s="18"/>
      <c r="AH784" s="18">
        <v>0</v>
      </c>
    </row>
    <row r="785" spans="23:34" x14ac:dyDescent="0.3">
      <c r="Z785" s="57">
        <v>45282</v>
      </c>
      <c r="AA785" t="s">
        <v>2207</v>
      </c>
      <c r="AB785" s="18">
        <v>0</v>
      </c>
      <c r="AC785" s="18"/>
      <c r="AD785" s="18"/>
      <c r="AE785" s="18"/>
      <c r="AF785" s="18"/>
      <c r="AG785" s="18"/>
      <c r="AH785" s="18">
        <v>0</v>
      </c>
    </row>
    <row r="786" spans="23:34" x14ac:dyDescent="0.3">
      <c r="X786">
        <v>2024</v>
      </c>
      <c r="Y786">
        <v>2</v>
      </c>
      <c r="Z786" s="57">
        <v>45328</v>
      </c>
      <c r="AA786" t="s">
        <v>2351</v>
      </c>
      <c r="AB786" s="18">
        <v>0</v>
      </c>
      <c r="AC786" s="18"/>
      <c r="AD786" s="18"/>
      <c r="AE786" s="18"/>
      <c r="AF786" s="18"/>
      <c r="AG786" s="18"/>
      <c r="AH786" s="18">
        <v>0</v>
      </c>
    </row>
    <row r="787" spans="23:34" x14ac:dyDescent="0.3">
      <c r="Z787" s="57">
        <v>45342</v>
      </c>
      <c r="AA787" t="s">
        <v>2359</v>
      </c>
      <c r="AB787" s="18">
        <v>0</v>
      </c>
      <c r="AC787" s="18"/>
      <c r="AD787" s="18"/>
      <c r="AE787" s="18"/>
      <c r="AF787" s="18"/>
      <c r="AG787" s="18"/>
      <c r="AH787" s="18">
        <v>0</v>
      </c>
    </row>
    <row r="788" spans="23:34" x14ac:dyDescent="0.3">
      <c r="Z788" s="57">
        <v>45349</v>
      </c>
      <c r="AA788" t="s">
        <v>2371</v>
      </c>
      <c r="AB788" s="18">
        <v>0</v>
      </c>
      <c r="AC788" s="18"/>
      <c r="AD788" s="18"/>
      <c r="AE788" s="18"/>
      <c r="AF788" s="18"/>
      <c r="AG788" s="18"/>
      <c r="AH788" s="18">
        <v>0</v>
      </c>
    </row>
    <row r="789" spans="23:34" x14ac:dyDescent="0.3">
      <c r="Y789">
        <v>3</v>
      </c>
      <c r="Z789" s="57">
        <v>45358</v>
      </c>
      <c r="AA789" t="s">
        <v>2431</v>
      </c>
      <c r="AB789" s="18">
        <v>0</v>
      </c>
      <c r="AC789" s="18"/>
      <c r="AD789" s="18"/>
      <c r="AE789" s="18"/>
      <c r="AF789" s="18"/>
      <c r="AG789" s="18"/>
      <c r="AH789" s="18">
        <v>0</v>
      </c>
    </row>
    <row r="790" spans="23:34" x14ac:dyDescent="0.3">
      <c r="Y790">
        <v>5</v>
      </c>
      <c r="Z790" s="57">
        <v>45419</v>
      </c>
      <c r="AA790" t="s">
        <v>2553</v>
      </c>
      <c r="AB790" s="18">
        <v>0</v>
      </c>
      <c r="AC790" s="18"/>
      <c r="AD790" s="18"/>
      <c r="AE790" s="18"/>
      <c r="AF790" s="18"/>
      <c r="AG790" s="18"/>
      <c r="AH790" s="18">
        <v>0</v>
      </c>
    </row>
    <row r="791" spans="23:34" x14ac:dyDescent="0.3">
      <c r="Y791">
        <v>8</v>
      </c>
      <c r="Z791" s="57">
        <v>45511</v>
      </c>
      <c r="AA791" t="s">
        <v>2853</v>
      </c>
      <c r="AB791" s="18">
        <v>0</v>
      </c>
      <c r="AC791" s="18"/>
      <c r="AD791" s="18"/>
      <c r="AE791" s="18"/>
      <c r="AF791" s="18"/>
      <c r="AG791" s="18"/>
      <c r="AH791" s="18">
        <v>0</v>
      </c>
    </row>
    <row r="792" spans="23:34" x14ac:dyDescent="0.3">
      <c r="X792">
        <v>2025</v>
      </c>
      <c r="Y792">
        <v>3</v>
      </c>
      <c r="Z792" s="57">
        <v>45735</v>
      </c>
      <c r="AA792" t="s">
        <v>3538</v>
      </c>
      <c r="AB792" s="18">
        <v>0</v>
      </c>
      <c r="AC792" s="18"/>
      <c r="AD792" s="18"/>
      <c r="AE792" s="18"/>
      <c r="AF792" s="18"/>
      <c r="AG792" s="18"/>
      <c r="AH792" s="18">
        <v>0</v>
      </c>
    </row>
    <row r="793" spans="23:34" x14ac:dyDescent="0.3">
      <c r="W793" s="36" t="s">
        <v>799</v>
      </c>
      <c r="X793" s="36"/>
      <c r="Y793" s="36"/>
      <c r="Z793" s="36"/>
      <c r="AA793" s="36"/>
      <c r="AB793" s="37">
        <v>0</v>
      </c>
      <c r="AC793" s="37"/>
      <c r="AD793" s="37"/>
      <c r="AE793" s="37"/>
      <c r="AF793" s="37"/>
      <c r="AG793" s="37"/>
      <c r="AH793" s="37">
        <v>0</v>
      </c>
    </row>
    <row r="794" spans="23:34" x14ac:dyDescent="0.3">
      <c r="W794" t="s">
        <v>859</v>
      </c>
      <c r="X794">
        <v>2022</v>
      </c>
      <c r="Y794">
        <v>7</v>
      </c>
      <c r="Z794" s="57">
        <v>44756</v>
      </c>
      <c r="AA794" t="s">
        <v>861</v>
      </c>
      <c r="AB794" s="18">
        <v>0</v>
      </c>
      <c r="AC794" s="18"/>
      <c r="AD794" s="18"/>
      <c r="AE794" s="18"/>
      <c r="AF794" s="18"/>
      <c r="AG794" s="18"/>
      <c r="AH794" s="18">
        <v>0</v>
      </c>
    </row>
    <row r="795" spans="23:34" x14ac:dyDescent="0.3">
      <c r="Y795">
        <v>8</v>
      </c>
      <c r="Z795" s="57">
        <v>44777</v>
      </c>
      <c r="AA795" t="s">
        <v>891</v>
      </c>
      <c r="AB795" s="18">
        <v>0.20000000000004547</v>
      </c>
      <c r="AC795" s="18"/>
      <c r="AD795" s="18"/>
      <c r="AE795" s="18"/>
      <c r="AF795" s="18"/>
      <c r="AG795" s="18"/>
      <c r="AH795" s="18">
        <v>0.20000000000004547</v>
      </c>
    </row>
    <row r="796" spans="23:34" x14ac:dyDescent="0.3">
      <c r="Z796" s="57">
        <v>44796</v>
      </c>
      <c r="AA796" t="s">
        <v>909</v>
      </c>
      <c r="AB796" s="18">
        <v>0</v>
      </c>
      <c r="AC796" s="18"/>
      <c r="AD796" s="18"/>
      <c r="AE796" s="18"/>
      <c r="AF796" s="18"/>
      <c r="AG796" s="18"/>
      <c r="AH796" s="18">
        <v>0</v>
      </c>
    </row>
    <row r="797" spans="23:34" x14ac:dyDescent="0.3">
      <c r="Z797" s="57">
        <v>44798</v>
      </c>
      <c r="AA797" t="s">
        <v>914</v>
      </c>
      <c r="AB797" s="18">
        <v>0</v>
      </c>
      <c r="AC797" s="18"/>
      <c r="AD797" s="18"/>
      <c r="AE797" s="18"/>
      <c r="AF797" s="18"/>
      <c r="AG797" s="18"/>
      <c r="AH797" s="18">
        <v>0</v>
      </c>
    </row>
    <row r="798" spans="23:34" x14ac:dyDescent="0.3">
      <c r="Y798">
        <v>9</v>
      </c>
      <c r="Z798" s="57">
        <v>44832</v>
      </c>
      <c r="AA798" t="s">
        <v>955</v>
      </c>
      <c r="AB798" s="18">
        <v>0</v>
      </c>
      <c r="AC798" s="18"/>
      <c r="AD798" s="18"/>
      <c r="AE798" s="18"/>
      <c r="AF798" s="18"/>
      <c r="AG798" s="18"/>
      <c r="AH798" s="18">
        <v>0</v>
      </c>
    </row>
    <row r="799" spans="23:34" x14ac:dyDescent="0.3">
      <c r="Y799">
        <v>11</v>
      </c>
      <c r="Z799" s="57">
        <v>44879</v>
      </c>
      <c r="AA799" t="s">
        <v>1065</v>
      </c>
      <c r="AB799" s="18">
        <v>0</v>
      </c>
      <c r="AC799" s="18"/>
      <c r="AD799" s="18"/>
      <c r="AE799" s="18"/>
      <c r="AF799" s="18"/>
      <c r="AG799" s="18"/>
      <c r="AH799" s="18">
        <v>0</v>
      </c>
    </row>
    <row r="800" spans="23:34" x14ac:dyDescent="0.3">
      <c r="X800">
        <v>2023</v>
      </c>
      <c r="Y800">
        <v>2</v>
      </c>
      <c r="Z800" t="s">
        <v>1278</v>
      </c>
      <c r="AA800" t="s">
        <v>1276</v>
      </c>
      <c r="AB800" s="18">
        <v>0</v>
      </c>
      <c r="AC800" s="18"/>
      <c r="AD800" s="18"/>
      <c r="AE800" s="18"/>
      <c r="AF800" s="18"/>
      <c r="AG800" s="18"/>
      <c r="AH800" s="18">
        <v>0</v>
      </c>
    </row>
    <row r="801" spans="23:34" x14ac:dyDescent="0.3">
      <c r="Y801">
        <v>5</v>
      </c>
      <c r="Z801" s="57">
        <v>45052</v>
      </c>
      <c r="AA801" t="s">
        <v>1534</v>
      </c>
      <c r="AB801" s="18">
        <v>0</v>
      </c>
      <c r="AC801" s="18"/>
      <c r="AD801" s="18"/>
      <c r="AE801" s="18"/>
      <c r="AF801" s="18"/>
      <c r="AG801" s="18"/>
      <c r="AH801" s="18">
        <v>0</v>
      </c>
    </row>
    <row r="802" spans="23:34" x14ac:dyDescent="0.3">
      <c r="Y802">
        <v>7</v>
      </c>
      <c r="Z802" s="57">
        <v>45113</v>
      </c>
      <c r="AA802" t="s">
        <v>1711</v>
      </c>
      <c r="AB802" s="18">
        <v>0</v>
      </c>
      <c r="AC802" s="18"/>
      <c r="AD802" s="18"/>
      <c r="AE802" s="18"/>
      <c r="AF802" s="18"/>
      <c r="AG802" s="18"/>
      <c r="AH802" s="18">
        <v>0</v>
      </c>
    </row>
    <row r="803" spans="23:34" x14ac:dyDescent="0.3">
      <c r="Y803">
        <v>11</v>
      </c>
      <c r="Z803" s="57">
        <v>45257</v>
      </c>
      <c r="AA803" t="s">
        <v>2171</v>
      </c>
      <c r="AB803" s="18">
        <v>0</v>
      </c>
      <c r="AC803" s="18"/>
      <c r="AD803" s="18"/>
      <c r="AE803" s="18"/>
      <c r="AF803" s="18"/>
      <c r="AG803" s="18"/>
      <c r="AH803" s="18">
        <v>0</v>
      </c>
    </row>
    <row r="804" spans="23:34" x14ac:dyDescent="0.3">
      <c r="Y804">
        <v>4</v>
      </c>
      <c r="Z804" s="57">
        <v>45020</v>
      </c>
      <c r="AA804" t="s">
        <v>1400</v>
      </c>
      <c r="AB804" s="18">
        <v>0</v>
      </c>
      <c r="AC804" s="18"/>
      <c r="AD804" s="18"/>
      <c r="AE804" s="18"/>
      <c r="AF804" s="18"/>
      <c r="AG804" s="18"/>
      <c r="AH804" s="18">
        <v>0</v>
      </c>
    </row>
    <row r="805" spans="23:34" x14ac:dyDescent="0.3">
      <c r="Z805" t="s">
        <v>1401</v>
      </c>
      <c r="AA805" t="s">
        <v>1400</v>
      </c>
      <c r="AB805" s="18">
        <v>0</v>
      </c>
      <c r="AC805" s="18"/>
      <c r="AD805" s="18"/>
      <c r="AE805" s="18"/>
      <c r="AF805" s="18"/>
      <c r="AG805" s="18"/>
      <c r="AH805" s="18">
        <v>0</v>
      </c>
    </row>
    <row r="806" spans="23:34" x14ac:dyDescent="0.3">
      <c r="X806">
        <v>2024</v>
      </c>
      <c r="Y806">
        <v>6</v>
      </c>
      <c r="Z806" s="57">
        <v>45455</v>
      </c>
      <c r="AA806" t="s">
        <v>2644</v>
      </c>
      <c r="AB806" s="18">
        <v>0</v>
      </c>
      <c r="AC806" s="18"/>
      <c r="AD806" s="18"/>
      <c r="AE806" s="18"/>
      <c r="AF806" s="18"/>
      <c r="AG806" s="18"/>
      <c r="AH806" s="18">
        <v>0</v>
      </c>
    </row>
    <row r="807" spans="23:34" x14ac:dyDescent="0.3">
      <c r="Y807">
        <v>7</v>
      </c>
      <c r="Z807" s="57">
        <v>45475</v>
      </c>
      <c r="AA807" t="s">
        <v>2750</v>
      </c>
      <c r="AB807" s="18">
        <v>0</v>
      </c>
      <c r="AC807" s="18"/>
      <c r="AD807" s="18"/>
      <c r="AE807" s="18"/>
      <c r="AF807" s="18"/>
      <c r="AG807" s="18"/>
      <c r="AH807" s="18">
        <v>0</v>
      </c>
    </row>
    <row r="808" spans="23:34" x14ac:dyDescent="0.3">
      <c r="Z808" s="57">
        <v>45502</v>
      </c>
      <c r="AA808" t="s">
        <v>2771</v>
      </c>
      <c r="AB808" s="18">
        <v>6023.3</v>
      </c>
      <c r="AC808" s="18"/>
      <c r="AD808" s="18"/>
      <c r="AE808" s="18"/>
      <c r="AF808" s="18"/>
      <c r="AG808" s="18"/>
      <c r="AH808" s="18">
        <v>6023.3</v>
      </c>
    </row>
    <row r="809" spans="23:34" x14ac:dyDescent="0.3">
      <c r="Y809">
        <v>8</v>
      </c>
      <c r="Z809" s="57">
        <v>45525</v>
      </c>
      <c r="AA809" t="s">
        <v>2867</v>
      </c>
      <c r="AB809" s="18">
        <v>8026.4</v>
      </c>
      <c r="AC809" s="18"/>
      <c r="AD809" s="18"/>
      <c r="AE809" s="18"/>
      <c r="AF809" s="18"/>
      <c r="AG809" s="18"/>
      <c r="AH809" s="18">
        <v>8026.4</v>
      </c>
    </row>
    <row r="810" spans="23:34" x14ac:dyDescent="0.3">
      <c r="X810">
        <v>2025</v>
      </c>
      <c r="Y810">
        <v>1</v>
      </c>
      <c r="Z810" s="57">
        <v>45664</v>
      </c>
      <c r="AA810" t="s">
        <v>3338</v>
      </c>
      <c r="AB810" s="18">
        <v>6518.2</v>
      </c>
      <c r="AC810" s="18"/>
      <c r="AD810" s="18"/>
      <c r="AE810" s="18"/>
      <c r="AF810" s="18"/>
      <c r="AG810" s="18"/>
      <c r="AH810" s="18">
        <v>6518.2</v>
      </c>
    </row>
    <row r="811" spans="23:34" x14ac:dyDescent="0.3">
      <c r="Z811" s="57">
        <v>45678</v>
      </c>
      <c r="AA811" t="s">
        <v>3353</v>
      </c>
      <c r="AB811" s="18">
        <v>5710.7</v>
      </c>
      <c r="AC811" s="18"/>
      <c r="AD811" s="18"/>
      <c r="AE811" s="18"/>
      <c r="AF811" s="18"/>
      <c r="AG811" s="18"/>
      <c r="AH811" s="18">
        <v>5710.7</v>
      </c>
    </row>
    <row r="812" spans="23:34" x14ac:dyDescent="0.3">
      <c r="Y812">
        <v>7</v>
      </c>
      <c r="Z812" t="s">
        <v>4044</v>
      </c>
      <c r="AA812" t="s">
        <v>4045</v>
      </c>
      <c r="AB812" s="18">
        <v>7321.7999999999993</v>
      </c>
      <c r="AC812" s="18"/>
      <c r="AD812" s="18"/>
      <c r="AE812" s="18"/>
      <c r="AF812" s="18"/>
      <c r="AG812" s="18"/>
      <c r="AH812" s="18">
        <v>7321.7999999999993</v>
      </c>
    </row>
    <row r="813" spans="23:34" x14ac:dyDescent="0.3">
      <c r="W813" s="36" t="s">
        <v>874</v>
      </c>
      <c r="X813" s="36"/>
      <c r="Y813" s="36"/>
      <c r="Z813" s="36"/>
      <c r="AA813" s="36"/>
      <c r="AB813" s="37">
        <v>33600.6</v>
      </c>
      <c r="AC813" s="37"/>
      <c r="AD813" s="37"/>
      <c r="AE813" s="37"/>
      <c r="AF813" s="37"/>
      <c r="AG813" s="37"/>
      <c r="AH813" s="37">
        <v>33600.6</v>
      </c>
    </row>
    <row r="814" spans="23:34" x14ac:dyDescent="0.3">
      <c r="W814" t="s">
        <v>958</v>
      </c>
      <c r="X814">
        <v>2022</v>
      </c>
      <c r="Y814">
        <v>9</v>
      </c>
      <c r="Z814" s="57">
        <v>44813</v>
      </c>
      <c r="AA814" t="s">
        <v>930</v>
      </c>
      <c r="AB814" s="18">
        <v>0</v>
      </c>
      <c r="AC814" s="18"/>
      <c r="AD814" s="18"/>
      <c r="AE814" s="18"/>
      <c r="AF814" s="18"/>
      <c r="AG814" s="18"/>
      <c r="AH814" s="18">
        <v>0</v>
      </c>
    </row>
    <row r="815" spans="23:34" x14ac:dyDescent="0.3">
      <c r="Z815" s="57">
        <v>44832</v>
      </c>
      <c r="AA815" t="s">
        <v>956</v>
      </c>
      <c r="AB815" s="18">
        <v>0</v>
      </c>
      <c r="AC815" s="18"/>
      <c r="AD815" s="18"/>
      <c r="AE815" s="18"/>
      <c r="AF815" s="18"/>
      <c r="AG815" s="18"/>
      <c r="AH815" s="18">
        <v>0</v>
      </c>
    </row>
    <row r="816" spans="23:34" x14ac:dyDescent="0.3">
      <c r="X816">
        <v>2023</v>
      </c>
      <c r="Y816">
        <v>1</v>
      </c>
      <c r="Z816" s="57">
        <v>44940</v>
      </c>
      <c r="AA816" t="s">
        <v>1188</v>
      </c>
      <c r="AB816" s="18">
        <v>0</v>
      </c>
      <c r="AC816" s="18"/>
      <c r="AD816" s="18"/>
      <c r="AE816" s="18"/>
      <c r="AF816" s="18"/>
      <c r="AG816" s="18"/>
      <c r="AH816" s="18">
        <v>0</v>
      </c>
    </row>
    <row r="817" spans="23:34" x14ac:dyDescent="0.3">
      <c r="W817" s="36" t="s">
        <v>985</v>
      </c>
      <c r="X817" s="36"/>
      <c r="Y817" s="36"/>
      <c r="Z817" s="36"/>
      <c r="AA817" s="36"/>
      <c r="AB817" s="37">
        <v>0</v>
      </c>
      <c r="AC817" s="37"/>
      <c r="AD817" s="37"/>
      <c r="AE817" s="37"/>
      <c r="AF817" s="37"/>
      <c r="AG817" s="37"/>
      <c r="AH817" s="37">
        <v>0</v>
      </c>
    </row>
    <row r="818" spans="23:34" x14ac:dyDescent="0.3">
      <c r="W818" t="s">
        <v>1044</v>
      </c>
      <c r="X818" t="s">
        <v>1763</v>
      </c>
      <c r="Y818" t="s">
        <v>1763</v>
      </c>
      <c r="Z818" s="57">
        <v>44788</v>
      </c>
      <c r="AA818" t="s">
        <v>900</v>
      </c>
      <c r="AB818" s="18"/>
      <c r="AC818" s="18"/>
      <c r="AD818" s="18"/>
      <c r="AE818" s="18"/>
      <c r="AF818" s="18">
        <v>0</v>
      </c>
      <c r="AG818" s="18"/>
      <c r="AH818" s="18">
        <v>0</v>
      </c>
    </row>
    <row r="819" spans="23:34" x14ac:dyDescent="0.3">
      <c r="Z819" s="57">
        <v>45220</v>
      </c>
      <c r="AA819" t="s">
        <v>2019</v>
      </c>
      <c r="AB819" s="18"/>
      <c r="AC819" s="18"/>
      <c r="AD819" s="18"/>
      <c r="AE819" s="18"/>
      <c r="AF819" s="18">
        <v>0</v>
      </c>
      <c r="AG819" s="18"/>
      <c r="AH819" s="18">
        <v>0</v>
      </c>
    </row>
    <row r="820" spans="23:34" x14ac:dyDescent="0.3">
      <c r="W820" s="36" t="s">
        <v>1045</v>
      </c>
      <c r="X820" s="36"/>
      <c r="Y820" s="36"/>
      <c r="Z820" s="36"/>
      <c r="AA820" s="36"/>
      <c r="AB820" s="37"/>
      <c r="AC820" s="37"/>
      <c r="AD820" s="37"/>
      <c r="AE820" s="37"/>
      <c r="AF820" s="37">
        <v>0</v>
      </c>
      <c r="AG820" s="37"/>
      <c r="AH820" s="37">
        <v>0</v>
      </c>
    </row>
    <row r="821" spans="23:34" x14ac:dyDescent="0.3">
      <c r="W821" t="s">
        <v>1051</v>
      </c>
      <c r="X821">
        <v>2022</v>
      </c>
      <c r="Y821">
        <v>11</v>
      </c>
      <c r="Z821" s="57">
        <v>44870</v>
      </c>
      <c r="AA821" t="s">
        <v>1053</v>
      </c>
      <c r="AB821" s="18">
        <v>0</v>
      </c>
      <c r="AC821" s="18"/>
      <c r="AD821" s="18"/>
      <c r="AE821" s="18"/>
      <c r="AF821" s="18"/>
      <c r="AG821" s="18"/>
      <c r="AH821" s="18">
        <v>0</v>
      </c>
    </row>
    <row r="822" spans="23:34" x14ac:dyDescent="0.3">
      <c r="Z822" t="s">
        <v>1070</v>
      </c>
      <c r="AA822" t="s">
        <v>1071</v>
      </c>
      <c r="AB822" s="18">
        <v>0</v>
      </c>
      <c r="AC822" s="18"/>
      <c r="AD822" s="18"/>
      <c r="AE822" s="18"/>
      <c r="AF822" s="18"/>
      <c r="AG822" s="18"/>
      <c r="AH822" s="18">
        <v>0</v>
      </c>
    </row>
    <row r="823" spans="23:34" x14ac:dyDescent="0.3">
      <c r="Y823">
        <v>12</v>
      </c>
      <c r="Z823" s="57">
        <v>44896</v>
      </c>
      <c r="AA823" t="s">
        <v>1106</v>
      </c>
      <c r="AB823" s="18">
        <v>0</v>
      </c>
      <c r="AC823" s="18"/>
      <c r="AD823" s="18"/>
      <c r="AE823" s="18"/>
      <c r="AF823" s="18"/>
      <c r="AG823" s="18"/>
      <c r="AH823" s="18">
        <v>0</v>
      </c>
    </row>
    <row r="824" spans="23:34" x14ac:dyDescent="0.3">
      <c r="W824" s="36" t="s">
        <v>1088</v>
      </c>
      <c r="X824" s="36"/>
      <c r="Y824" s="36"/>
      <c r="Z824" s="36"/>
      <c r="AA824" s="36"/>
      <c r="AB824" s="37">
        <v>0</v>
      </c>
      <c r="AC824" s="37"/>
      <c r="AD824" s="37"/>
      <c r="AE824" s="37"/>
      <c r="AF824" s="37"/>
      <c r="AG824" s="37"/>
      <c r="AH824" s="37">
        <v>0</v>
      </c>
    </row>
    <row r="825" spans="23:34" x14ac:dyDescent="0.3">
      <c r="W825" t="s">
        <v>1057</v>
      </c>
      <c r="X825">
        <v>2022</v>
      </c>
      <c r="Y825">
        <v>11</v>
      </c>
      <c r="Z825" s="57">
        <v>44873</v>
      </c>
      <c r="AA825" t="s">
        <v>1062</v>
      </c>
      <c r="AB825" s="18">
        <v>0</v>
      </c>
      <c r="AC825" s="18"/>
      <c r="AD825" s="18"/>
      <c r="AE825" s="18"/>
      <c r="AF825" s="18"/>
      <c r="AG825" s="18"/>
      <c r="AH825" s="18">
        <v>0</v>
      </c>
    </row>
    <row r="826" spans="23:34" x14ac:dyDescent="0.3">
      <c r="W826" s="36" t="s">
        <v>1089</v>
      </c>
      <c r="X826" s="36"/>
      <c r="Y826" s="36"/>
      <c r="Z826" s="36"/>
      <c r="AA826" s="36"/>
      <c r="AB826" s="37">
        <v>0</v>
      </c>
      <c r="AC826" s="37"/>
      <c r="AD826" s="37"/>
      <c r="AE826" s="37"/>
      <c r="AF826" s="37"/>
      <c r="AG826" s="37"/>
      <c r="AH826" s="37">
        <v>0</v>
      </c>
    </row>
    <row r="827" spans="23:34" x14ac:dyDescent="0.3">
      <c r="W827" t="s">
        <v>1101</v>
      </c>
      <c r="X827">
        <v>2022</v>
      </c>
      <c r="Y827">
        <v>11</v>
      </c>
      <c r="Z827" s="57">
        <v>44895</v>
      </c>
      <c r="AA827" t="s">
        <v>1096</v>
      </c>
      <c r="AB827" s="18">
        <v>0</v>
      </c>
      <c r="AC827" s="18"/>
      <c r="AD827" s="18"/>
      <c r="AE827" s="18"/>
      <c r="AF827" s="18"/>
      <c r="AG827" s="18"/>
      <c r="AH827" s="18">
        <v>0</v>
      </c>
    </row>
    <row r="828" spans="23:34" x14ac:dyDescent="0.3">
      <c r="W828" s="36" t="s">
        <v>1104</v>
      </c>
      <c r="X828" s="36"/>
      <c r="Y828" s="36"/>
      <c r="Z828" s="36"/>
      <c r="AA828" s="36"/>
      <c r="AB828" s="37">
        <v>0</v>
      </c>
      <c r="AC828" s="37"/>
      <c r="AD828" s="37"/>
      <c r="AE828" s="37"/>
      <c r="AF828" s="37"/>
      <c r="AG828" s="37"/>
      <c r="AH828" s="37">
        <v>0</v>
      </c>
    </row>
    <row r="829" spans="23:34" x14ac:dyDescent="0.3">
      <c r="W829" t="s">
        <v>1100</v>
      </c>
      <c r="X829">
        <v>2022</v>
      </c>
      <c r="Y829">
        <v>11</v>
      </c>
      <c r="Z829" s="57">
        <v>44895</v>
      </c>
      <c r="AA829" t="s">
        <v>1097</v>
      </c>
      <c r="AB829" s="18">
        <v>0</v>
      </c>
      <c r="AC829" s="18"/>
      <c r="AD829" s="18"/>
      <c r="AE829" s="18"/>
      <c r="AF829" s="18"/>
      <c r="AG829" s="18"/>
      <c r="AH829" s="18">
        <v>0</v>
      </c>
    </row>
    <row r="830" spans="23:34" x14ac:dyDescent="0.3">
      <c r="W830" s="36" t="s">
        <v>1105</v>
      </c>
      <c r="X830" s="36"/>
      <c r="Y830" s="36"/>
      <c r="Z830" s="36"/>
      <c r="AA830" s="36"/>
      <c r="AB830" s="37">
        <v>0</v>
      </c>
      <c r="AC830" s="37"/>
      <c r="AD830" s="37"/>
      <c r="AE830" s="37"/>
      <c r="AF830" s="37"/>
      <c r="AG830" s="37"/>
      <c r="AH830" s="37">
        <v>0</v>
      </c>
    </row>
    <row r="831" spans="23:34" x14ac:dyDescent="0.3">
      <c r="W831" t="s">
        <v>1196</v>
      </c>
      <c r="X831">
        <v>2023</v>
      </c>
      <c r="Y831">
        <v>1</v>
      </c>
      <c r="Z831" s="57">
        <v>44953</v>
      </c>
      <c r="AA831" t="s">
        <v>1203</v>
      </c>
      <c r="AB831" s="18">
        <v>0</v>
      </c>
      <c r="AC831" s="18"/>
      <c r="AD831" s="18"/>
      <c r="AE831" s="18"/>
      <c r="AF831" s="18"/>
      <c r="AG831" s="18"/>
      <c r="AH831" s="18">
        <v>0</v>
      </c>
    </row>
    <row r="832" spans="23:34" x14ac:dyDescent="0.3">
      <c r="Y832">
        <v>2</v>
      </c>
      <c r="Z832" s="57">
        <v>44958</v>
      </c>
      <c r="AA832" t="s">
        <v>1234</v>
      </c>
      <c r="AB832" s="18">
        <v>0</v>
      </c>
      <c r="AC832" s="18"/>
      <c r="AD832" s="18"/>
      <c r="AE832" s="18"/>
      <c r="AF832" s="18"/>
      <c r="AG832" s="18"/>
      <c r="AH832" s="18">
        <v>0</v>
      </c>
    </row>
    <row r="833" spans="25:34" x14ac:dyDescent="0.3">
      <c r="Z833" t="s">
        <v>1240</v>
      </c>
      <c r="AA833" t="s">
        <v>1244</v>
      </c>
      <c r="AB833" s="18">
        <v>0</v>
      </c>
      <c r="AC833" s="18"/>
      <c r="AD833" s="18"/>
      <c r="AE833" s="18"/>
      <c r="AF833" s="18"/>
      <c r="AG833" s="18"/>
      <c r="AH833" s="18">
        <v>0</v>
      </c>
    </row>
    <row r="834" spans="25:34" x14ac:dyDescent="0.3">
      <c r="Y834">
        <v>3</v>
      </c>
      <c r="Z834" t="s">
        <v>1350</v>
      </c>
      <c r="AA834" t="s">
        <v>1353</v>
      </c>
      <c r="AB834" s="18">
        <v>0</v>
      </c>
      <c r="AC834" s="18"/>
      <c r="AD834" s="18"/>
      <c r="AE834" s="18"/>
      <c r="AF834" s="18"/>
      <c r="AG834" s="18"/>
      <c r="AH834" s="18">
        <v>0</v>
      </c>
    </row>
    <row r="835" spans="25:34" x14ac:dyDescent="0.3">
      <c r="Z835" t="s">
        <v>1355</v>
      </c>
      <c r="AA835" t="s">
        <v>1354</v>
      </c>
      <c r="AB835" s="18">
        <v>0</v>
      </c>
      <c r="AC835" s="18"/>
      <c r="AD835" s="18"/>
      <c r="AE835" s="18"/>
      <c r="AF835" s="18"/>
      <c r="AG835" s="18"/>
      <c r="AH835" s="18">
        <v>0</v>
      </c>
    </row>
    <row r="836" spans="25:34" x14ac:dyDescent="0.3">
      <c r="Z836" t="s">
        <v>1362</v>
      </c>
      <c r="AA836" t="s">
        <v>1363</v>
      </c>
      <c r="AB836" s="18">
        <v>0</v>
      </c>
      <c r="AC836" s="18"/>
      <c r="AD836" s="18"/>
      <c r="AE836" s="18"/>
      <c r="AF836" s="18"/>
      <c r="AG836" s="18"/>
      <c r="AH836" s="18">
        <v>0</v>
      </c>
    </row>
    <row r="837" spans="25:34" x14ac:dyDescent="0.3">
      <c r="AA837" t="s">
        <v>1364</v>
      </c>
      <c r="AB837" s="18">
        <v>0</v>
      </c>
      <c r="AC837" s="18"/>
      <c r="AD837" s="18"/>
      <c r="AE837" s="18"/>
      <c r="AF837" s="18"/>
      <c r="AG837" s="18"/>
      <c r="AH837" s="18">
        <v>0</v>
      </c>
    </row>
    <row r="838" spans="25:34" x14ac:dyDescent="0.3">
      <c r="Y838">
        <v>5</v>
      </c>
      <c r="Z838" s="57">
        <v>45048</v>
      </c>
      <c r="AA838" t="s">
        <v>1530</v>
      </c>
      <c r="AB838" s="18">
        <v>0</v>
      </c>
      <c r="AC838" s="18"/>
      <c r="AD838" s="18"/>
      <c r="AE838" s="18"/>
      <c r="AF838" s="18"/>
      <c r="AG838" s="18"/>
      <c r="AH838" s="18">
        <v>0</v>
      </c>
    </row>
    <row r="839" spans="25:34" x14ac:dyDescent="0.3">
      <c r="Z839" s="57">
        <v>45054</v>
      </c>
      <c r="AA839" t="s">
        <v>1535</v>
      </c>
      <c r="AB839" s="18">
        <v>0</v>
      </c>
      <c r="AC839" s="18"/>
      <c r="AD839" s="18"/>
      <c r="AE839" s="18"/>
      <c r="AF839" s="18"/>
      <c r="AG839" s="18"/>
      <c r="AH839" s="18">
        <v>0</v>
      </c>
    </row>
    <row r="840" spans="25:34" x14ac:dyDescent="0.3">
      <c r="Z840" t="s">
        <v>1552</v>
      </c>
      <c r="AA840" t="s">
        <v>1553</v>
      </c>
      <c r="AB840" s="18">
        <v>0</v>
      </c>
      <c r="AC840" s="18"/>
      <c r="AD840" s="18"/>
      <c r="AE840" s="18"/>
      <c r="AF840" s="18"/>
      <c r="AG840" s="18"/>
      <c r="AH840" s="18">
        <v>0</v>
      </c>
    </row>
    <row r="841" spans="25:34" x14ac:dyDescent="0.3">
      <c r="Z841" s="57">
        <v>45066</v>
      </c>
      <c r="AA841" t="s">
        <v>1554</v>
      </c>
      <c r="AB841" s="18">
        <v>0</v>
      </c>
      <c r="AC841" s="18"/>
      <c r="AD841" s="18"/>
      <c r="AE841" s="18"/>
      <c r="AF841" s="18"/>
      <c r="AG841" s="18"/>
      <c r="AH841" s="18">
        <v>0</v>
      </c>
    </row>
    <row r="842" spans="25:34" x14ac:dyDescent="0.3">
      <c r="Z842" s="57">
        <v>45076</v>
      </c>
      <c r="AA842" t="s">
        <v>1562</v>
      </c>
      <c r="AB842" s="18">
        <v>0</v>
      </c>
      <c r="AC842" s="18"/>
      <c r="AD842" s="18"/>
      <c r="AE842" s="18"/>
      <c r="AF842" s="18"/>
      <c r="AG842" s="18"/>
      <c r="AH842" s="18">
        <v>0</v>
      </c>
    </row>
    <row r="843" spans="25:34" x14ac:dyDescent="0.3">
      <c r="Y843">
        <v>6</v>
      </c>
      <c r="Z843" t="s">
        <v>1611</v>
      </c>
      <c r="AA843" t="s">
        <v>1609</v>
      </c>
      <c r="AB843" s="18">
        <v>0</v>
      </c>
      <c r="AC843" s="18"/>
      <c r="AD843" s="18"/>
      <c r="AE843" s="18"/>
      <c r="AF843" s="18"/>
      <c r="AG843" s="18"/>
      <c r="AH843" s="18">
        <v>0</v>
      </c>
    </row>
    <row r="844" spans="25:34" x14ac:dyDescent="0.3">
      <c r="Z844" s="57">
        <v>45086</v>
      </c>
      <c r="AA844" t="s">
        <v>1622</v>
      </c>
      <c r="AB844" s="18">
        <v>0</v>
      </c>
      <c r="AC844" s="18"/>
      <c r="AD844" s="18"/>
      <c r="AE844" s="18"/>
      <c r="AF844" s="18"/>
      <c r="AG844" s="18"/>
      <c r="AH844" s="18">
        <v>0</v>
      </c>
    </row>
    <row r="845" spans="25:34" x14ac:dyDescent="0.3">
      <c r="Z845" t="s">
        <v>1625</v>
      </c>
      <c r="AA845" t="s">
        <v>1623</v>
      </c>
      <c r="AB845" s="18">
        <v>0</v>
      </c>
      <c r="AC845" s="18"/>
      <c r="AD845" s="18"/>
      <c r="AE845" s="18"/>
      <c r="AF845" s="18"/>
      <c r="AG845" s="18"/>
      <c r="AH845" s="18">
        <v>0</v>
      </c>
    </row>
    <row r="846" spans="25:34" x14ac:dyDescent="0.3">
      <c r="Z846" s="57">
        <v>45092</v>
      </c>
      <c r="AA846" t="s">
        <v>1632</v>
      </c>
      <c r="AB846" s="18">
        <v>0</v>
      </c>
      <c r="AC846" s="18"/>
      <c r="AD846" s="18"/>
      <c r="AE846" s="18"/>
      <c r="AF846" s="18"/>
      <c r="AG846" s="18"/>
      <c r="AH846" s="18">
        <v>0</v>
      </c>
    </row>
    <row r="847" spans="25:34" x14ac:dyDescent="0.3">
      <c r="Z847" s="57">
        <v>45097</v>
      </c>
      <c r="AA847" t="s">
        <v>1646</v>
      </c>
      <c r="AB847" s="18">
        <v>0</v>
      </c>
      <c r="AC847" s="18"/>
      <c r="AD847" s="18"/>
      <c r="AE847" s="18"/>
      <c r="AF847" s="18"/>
      <c r="AG847" s="18"/>
      <c r="AH847" s="18">
        <v>0</v>
      </c>
    </row>
    <row r="848" spans="25:34" x14ac:dyDescent="0.3">
      <c r="Z848" t="s">
        <v>1645</v>
      </c>
      <c r="AA848" t="s">
        <v>1644</v>
      </c>
      <c r="AB848" s="18">
        <v>0</v>
      </c>
      <c r="AC848" s="18"/>
      <c r="AD848" s="18"/>
      <c r="AE848" s="18"/>
      <c r="AF848" s="18"/>
      <c r="AG848" s="18"/>
      <c r="AH848" s="18">
        <v>0</v>
      </c>
    </row>
    <row r="849" spans="25:34" x14ac:dyDescent="0.3">
      <c r="Z849" s="57">
        <v>45099</v>
      </c>
      <c r="AA849" t="s">
        <v>1649</v>
      </c>
      <c r="AB849" s="18">
        <v>0</v>
      </c>
      <c r="AC849" s="18"/>
      <c r="AD849" s="18"/>
      <c r="AE849" s="18"/>
      <c r="AF849" s="18"/>
      <c r="AG849" s="18"/>
      <c r="AH849" s="18">
        <v>0</v>
      </c>
    </row>
    <row r="850" spans="25:34" x14ac:dyDescent="0.3">
      <c r="Z850" t="s">
        <v>1663</v>
      </c>
      <c r="AA850" t="s">
        <v>1662</v>
      </c>
      <c r="AB850" s="18">
        <v>0</v>
      </c>
      <c r="AC850" s="18"/>
      <c r="AD850" s="18"/>
      <c r="AE850" s="18"/>
      <c r="AF850" s="18"/>
      <c r="AG850" s="18"/>
      <c r="AH850" s="18">
        <v>0</v>
      </c>
    </row>
    <row r="851" spans="25:34" x14ac:dyDescent="0.3">
      <c r="Y851">
        <v>7</v>
      </c>
      <c r="Z851" s="57">
        <v>45110</v>
      </c>
      <c r="AA851" t="s">
        <v>1707</v>
      </c>
      <c r="AB851" s="18">
        <v>0</v>
      </c>
      <c r="AC851" s="18"/>
      <c r="AD851" s="18"/>
      <c r="AE851" s="18"/>
      <c r="AF851" s="18"/>
      <c r="AG851" s="18"/>
      <c r="AH851" s="18">
        <v>0</v>
      </c>
    </row>
    <row r="852" spans="25:34" x14ac:dyDescent="0.3">
      <c r="AA852" t="s">
        <v>1709</v>
      </c>
      <c r="AB852" s="18">
        <v>0</v>
      </c>
      <c r="AC852" s="18"/>
      <c r="AD852" s="18"/>
      <c r="AE852" s="18"/>
      <c r="AF852" s="18"/>
      <c r="AG852" s="18"/>
      <c r="AH852" s="18">
        <v>0</v>
      </c>
    </row>
    <row r="853" spans="25:34" x14ac:dyDescent="0.3">
      <c r="Z853" s="57">
        <v>45117</v>
      </c>
      <c r="AA853" t="s">
        <v>1717</v>
      </c>
      <c r="AB853" s="18">
        <v>0</v>
      </c>
      <c r="AC853" s="18"/>
      <c r="AD853" s="18"/>
      <c r="AE853" s="18"/>
      <c r="AF853" s="18"/>
      <c r="AG853" s="18"/>
      <c r="AH853" s="18">
        <v>0</v>
      </c>
    </row>
    <row r="854" spans="25:34" x14ac:dyDescent="0.3">
      <c r="Z854" t="s">
        <v>1721</v>
      </c>
      <c r="AA854" t="s">
        <v>1720</v>
      </c>
      <c r="AB854" s="18">
        <v>0</v>
      </c>
      <c r="AC854" s="18"/>
      <c r="AD854" s="18"/>
      <c r="AE854" s="18"/>
      <c r="AF854" s="18"/>
      <c r="AG854" s="18"/>
      <c r="AH854" s="18">
        <v>0</v>
      </c>
    </row>
    <row r="855" spans="25:34" x14ac:dyDescent="0.3">
      <c r="Z855" s="57">
        <v>45131</v>
      </c>
      <c r="AA855" t="s">
        <v>1729</v>
      </c>
      <c r="AB855" s="18">
        <v>0</v>
      </c>
      <c r="AC855" s="18"/>
      <c r="AD855" s="18"/>
      <c r="AE855" s="18"/>
      <c r="AF855" s="18"/>
      <c r="AG855" s="18"/>
      <c r="AH855" s="18">
        <v>0</v>
      </c>
    </row>
    <row r="856" spans="25:34" x14ac:dyDescent="0.3">
      <c r="Y856">
        <v>8</v>
      </c>
      <c r="Z856" s="57">
        <v>45139</v>
      </c>
      <c r="AA856" t="s">
        <v>1791</v>
      </c>
      <c r="AB856" s="18">
        <v>0</v>
      </c>
      <c r="AC856" s="18"/>
      <c r="AD856" s="18"/>
      <c r="AE856" s="18"/>
      <c r="AF856" s="18"/>
      <c r="AG856" s="18"/>
      <c r="AH856" s="18">
        <v>0</v>
      </c>
    </row>
    <row r="857" spans="25:34" x14ac:dyDescent="0.3">
      <c r="Z857" s="57">
        <v>45145</v>
      </c>
      <c r="AA857" t="s">
        <v>1807</v>
      </c>
      <c r="AB857" s="18">
        <v>0</v>
      </c>
      <c r="AC857" s="18"/>
      <c r="AD857" s="18"/>
      <c r="AE857" s="18"/>
      <c r="AF857" s="18"/>
      <c r="AG857" s="18"/>
      <c r="AH857" s="18">
        <v>0</v>
      </c>
    </row>
    <row r="858" spans="25:34" x14ac:dyDescent="0.3">
      <c r="Z858" s="57">
        <v>45152</v>
      </c>
      <c r="AA858" t="s">
        <v>1810</v>
      </c>
      <c r="AB858" s="18">
        <v>0</v>
      </c>
      <c r="AC858" s="18"/>
      <c r="AD858" s="18"/>
      <c r="AE858" s="18"/>
      <c r="AF858" s="18"/>
      <c r="AG858" s="18"/>
      <c r="AH858" s="18">
        <v>0</v>
      </c>
    </row>
    <row r="859" spans="25:34" x14ac:dyDescent="0.3">
      <c r="Z859" s="57">
        <v>45154</v>
      </c>
      <c r="AA859" t="s">
        <v>1816</v>
      </c>
      <c r="AB859" s="18">
        <v>0</v>
      </c>
      <c r="AC859" s="18"/>
      <c r="AD859" s="18"/>
      <c r="AE859" s="18"/>
      <c r="AF859" s="18"/>
      <c r="AG859" s="18"/>
      <c r="AH859" s="18">
        <v>0</v>
      </c>
    </row>
    <row r="860" spans="25:34" x14ac:dyDescent="0.3">
      <c r="Z860" s="57">
        <v>45161</v>
      </c>
      <c r="AA860" t="s">
        <v>1827</v>
      </c>
      <c r="AB860" s="18">
        <v>0</v>
      </c>
      <c r="AC860" s="18"/>
      <c r="AD860" s="18"/>
      <c r="AE860" s="18"/>
      <c r="AF860" s="18"/>
      <c r="AG860" s="18"/>
      <c r="AH860" s="18">
        <v>0</v>
      </c>
    </row>
    <row r="861" spans="25:34" x14ac:dyDescent="0.3">
      <c r="Z861" s="57">
        <v>45162</v>
      </c>
      <c r="AA861" t="s">
        <v>1828</v>
      </c>
      <c r="AB861" s="18">
        <v>0</v>
      </c>
      <c r="AC861" s="18"/>
      <c r="AD861" s="18"/>
      <c r="AE861" s="18"/>
      <c r="AF861" s="18"/>
      <c r="AG861" s="18"/>
      <c r="AH861" s="18">
        <v>0</v>
      </c>
    </row>
    <row r="862" spans="25:34" x14ac:dyDescent="0.3">
      <c r="Z862" s="57">
        <v>45166</v>
      </c>
      <c r="AA862" t="s">
        <v>1832</v>
      </c>
      <c r="AB862" s="18">
        <v>0</v>
      </c>
      <c r="AC862" s="18"/>
      <c r="AD862" s="18"/>
      <c r="AE862" s="18"/>
      <c r="AF862" s="18"/>
      <c r="AG862" s="18"/>
      <c r="AH862" s="18">
        <v>0</v>
      </c>
    </row>
    <row r="863" spans="25:34" x14ac:dyDescent="0.3">
      <c r="Y863">
        <v>9</v>
      </c>
      <c r="Z863" t="s">
        <v>1878</v>
      </c>
      <c r="AA863" t="s">
        <v>1879</v>
      </c>
      <c r="AB863" s="18">
        <v>0</v>
      </c>
      <c r="AC863" s="18"/>
      <c r="AD863" s="18"/>
      <c r="AE863" s="18"/>
      <c r="AF863" s="18"/>
      <c r="AG863" s="18"/>
      <c r="AH863" s="18">
        <v>0</v>
      </c>
    </row>
    <row r="864" spans="25:34" x14ac:dyDescent="0.3">
      <c r="Z864" s="57">
        <v>45174</v>
      </c>
      <c r="AA864" t="s">
        <v>1884</v>
      </c>
      <c r="AB864" s="18">
        <v>0</v>
      </c>
      <c r="AC864" s="18"/>
      <c r="AD864" s="18"/>
      <c r="AE864" s="18"/>
      <c r="AF864" s="18"/>
      <c r="AG864" s="18"/>
      <c r="AH864" s="18">
        <v>0</v>
      </c>
    </row>
    <row r="865" spans="23:34" x14ac:dyDescent="0.3">
      <c r="Z865" s="57">
        <v>45181</v>
      </c>
      <c r="AA865" t="s">
        <v>1897</v>
      </c>
      <c r="AB865" s="18">
        <v>0</v>
      </c>
      <c r="AC865" s="18"/>
      <c r="AD865" s="18"/>
      <c r="AE865" s="18"/>
      <c r="AF865" s="18"/>
      <c r="AG865" s="18"/>
      <c r="AH865" s="18">
        <v>0</v>
      </c>
    </row>
    <row r="866" spans="23:34" x14ac:dyDescent="0.3">
      <c r="Z866" s="57">
        <v>45195</v>
      </c>
      <c r="AA866" t="s">
        <v>1919</v>
      </c>
      <c r="AB866" s="18">
        <v>0</v>
      </c>
      <c r="AC866" s="18"/>
      <c r="AD866" s="18"/>
      <c r="AE866" s="18"/>
      <c r="AF866" s="18"/>
      <c r="AG866" s="18"/>
      <c r="AH866" s="18">
        <v>0</v>
      </c>
    </row>
    <row r="867" spans="23:34" x14ac:dyDescent="0.3">
      <c r="Z867" s="57">
        <v>45198</v>
      </c>
      <c r="AA867" t="s">
        <v>1924</v>
      </c>
      <c r="AB867" s="18">
        <v>0</v>
      </c>
      <c r="AC867" s="18"/>
      <c r="AD867" s="18"/>
      <c r="AE867" s="18"/>
      <c r="AF867" s="18"/>
      <c r="AG867" s="18"/>
      <c r="AH867" s="18">
        <v>0</v>
      </c>
    </row>
    <row r="868" spans="23:34" x14ac:dyDescent="0.3">
      <c r="Y868">
        <v>10</v>
      </c>
      <c r="Z868" t="s">
        <v>2004</v>
      </c>
      <c r="AA868" t="s">
        <v>2007</v>
      </c>
      <c r="AB868" s="18">
        <v>0</v>
      </c>
      <c r="AC868" s="18"/>
      <c r="AD868" s="18"/>
      <c r="AE868" s="18"/>
      <c r="AF868" s="18"/>
      <c r="AG868" s="18"/>
      <c r="AH868" s="18">
        <v>0</v>
      </c>
    </row>
    <row r="869" spans="23:34" x14ac:dyDescent="0.3">
      <c r="Z869" s="57">
        <v>45226</v>
      </c>
      <c r="AA869" t="s">
        <v>2033</v>
      </c>
      <c r="AB869" s="18">
        <v>0</v>
      </c>
      <c r="AC869" s="18"/>
      <c r="AD869" s="18"/>
      <c r="AE869" s="18"/>
      <c r="AF869" s="18"/>
      <c r="AG869" s="18"/>
      <c r="AH869" s="18">
        <v>0</v>
      </c>
    </row>
    <row r="870" spans="23:34" x14ac:dyDescent="0.3">
      <c r="Y870">
        <v>11</v>
      </c>
      <c r="Z870" s="57">
        <v>45234</v>
      </c>
      <c r="AA870" t="s">
        <v>2150</v>
      </c>
      <c r="AB870" s="18">
        <v>2576.3000000000002</v>
      </c>
      <c r="AC870" s="18"/>
      <c r="AD870" s="18"/>
      <c r="AE870" s="18"/>
      <c r="AF870" s="18"/>
      <c r="AG870" s="18"/>
      <c r="AH870" s="18">
        <v>2576.3000000000002</v>
      </c>
    </row>
    <row r="871" spans="23:34" x14ac:dyDescent="0.3">
      <c r="Y871">
        <v>4</v>
      </c>
      <c r="Z871" s="57">
        <v>45019</v>
      </c>
      <c r="AA871" t="s">
        <v>1394</v>
      </c>
      <c r="AB871" s="18">
        <v>0</v>
      </c>
      <c r="AC871" s="18"/>
      <c r="AD871" s="18"/>
      <c r="AE871" s="18"/>
      <c r="AF871" s="18"/>
      <c r="AG871" s="18"/>
      <c r="AH871" s="18">
        <v>0</v>
      </c>
    </row>
    <row r="872" spans="23:34" x14ac:dyDescent="0.3">
      <c r="Z872" t="s">
        <v>1417</v>
      </c>
      <c r="AA872" t="s">
        <v>1416</v>
      </c>
      <c r="AB872" s="18">
        <v>0</v>
      </c>
      <c r="AC872" s="18"/>
      <c r="AD872" s="18"/>
      <c r="AE872" s="18"/>
      <c r="AF872" s="18"/>
      <c r="AG872" s="18"/>
      <c r="AH872" s="18">
        <v>0</v>
      </c>
    </row>
    <row r="873" spans="23:34" x14ac:dyDescent="0.3">
      <c r="W873" s="36" t="s">
        <v>1232</v>
      </c>
      <c r="X873" s="36"/>
      <c r="Y873" s="36"/>
      <c r="Z873" s="36"/>
      <c r="AA873" s="36"/>
      <c r="AB873" s="37">
        <v>2576.3000000000002</v>
      </c>
      <c r="AC873" s="37"/>
      <c r="AD873" s="37"/>
      <c r="AE873" s="37"/>
      <c r="AF873" s="37"/>
      <c r="AG873" s="37"/>
      <c r="AH873" s="37">
        <v>2576.3000000000002</v>
      </c>
    </row>
    <row r="874" spans="23:34" x14ac:dyDescent="0.3">
      <c r="W874" t="s">
        <v>1257</v>
      </c>
      <c r="X874">
        <v>2023</v>
      </c>
      <c r="Y874">
        <v>2</v>
      </c>
      <c r="Z874" s="57">
        <v>44972</v>
      </c>
      <c r="AA874" t="s">
        <v>1262</v>
      </c>
      <c r="AB874" s="18">
        <v>0</v>
      </c>
      <c r="AC874" s="18"/>
      <c r="AD874" s="18"/>
      <c r="AE874" s="18"/>
      <c r="AF874" s="18"/>
      <c r="AG874" s="18"/>
      <c r="AH874" s="18">
        <v>0</v>
      </c>
    </row>
    <row r="875" spans="23:34" x14ac:dyDescent="0.3">
      <c r="Y875">
        <v>4</v>
      </c>
      <c r="Z875" t="s">
        <v>1398</v>
      </c>
      <c r="AA875" t="s">
        <v>1395</v>
      </c>
      <c r="AB875" s="18">
        <v>0</v>
      </c>
      <c r="AC875" s="18"/>
      <c r="AD875" s="18"/>
      <c r="AE875" s="18"/>
      <c r="AF875" s="18"/>
      <c r="AG875" s="18"/>
      <c r="AH875" s="18">
        <v>0</v>
      </c>
    </row>
    <row r="876" spans="23:34" x14ac:dyDescent="0.3">
      <c r="W876" s="36" t="s">
        <v>1387</v>
      </c>
      <c r="X876" s="36"/>
      <c r="Y876" s="36"/>
      <c r="Z876" s="36"/>
      <c r="AA876" s="36"/>
      <c r="AB876" s="37">
        <v>0</v>
      </c>
      <c r="AC876" s="37"/>
      <c r="AD876" s="37"/>
      <c r="AE876" s="37"/>
      <c r="AF876" s="37"/>
      <c r="AG876" s="37"/>
      <c r="AH876" s="37">
        <v>0</v>
      </c>
    </row>
    <row r="877" spans="23:34" x14ac:dyDescent="0.3">
      <c r="W877" t="s">
        <v>1304</v>
      </c>
      <c r="X877">
        <v>2023</v>
      </c>
      <c r="Y877">
        <v>3</v>
      </c>
      <c r="Z877" t="s">
        <v>1303</v>
      </c>
      <c r="AA877" t="s">
        <v>1306</v>
      </c>
      <c r="AB877" s="18">
        <v>0</v>
      </c>
      <c r="AC877" s="18"/>
      <c r="AD877" s="18"/>
      <c r="AE877" s="18"/>
      <c r="AF877" s="18"/>
      <c r="AG877" s="18"/>
      <c r="AH877" s="18">
        <v>0</v>
      </c>
    </row>
    <row r="878" spans="23:34" x14ac:dyDescent="0.3">
      <c r="Z878" t="s">
        <v>1317</v>
      </c>
      <c r="AA878" t="s">
        <v>1313</v>
      </c>
      <c r="AB878" s="18">
        <v>0</v>
      </c>
      <c r="AC878" s="18"/>
      <c r="AD878" s="18"/>
      <c r="AE878" s="18"/>
      <c r="AF878" s="18"/>
      <c r="AG878" s="18"/>
      <c r="AH878" s="18">
        <v>0</v>
      </c>
    </row>
    <row r="879" spans="23:34" x14ac:dyDescent="0.3">
      <c r="W879" s="36" t="s">
        <v>1388</v>
      </c>
      <c r="X879" s="36"/>
      <c r="Y879" s="36"/>
      <c r="Z879" s="36"/>
      <c r="AA879" s="36"/>
      <c r="AB879" s="37">
        <v>0</v>
      </c>
      <c r="AC879" s="37"/>
      <c r="AD879" s="37"/>
      <c r="AE879" s="37"/>
      <c r="AF879" s="37"/>
      <c r="AG879" s="37"/>
      <c r="AH879" s="37">
        <v>0</v>
      </c>
    </row>
    <row r="880" spans="23:34" x14ac:dyDescent="0.3">
      <c r="W880" t="s">
        <v>1309</v>
      </c>
      <c r="X880">
        <v>2023</v>
      </c>
      <c r="Y880">
        <v>5</v>
      </c>
      <c r="Z880" t="s">
        <v>1430</v>
      </c>
      <c r="AA880" t="s">
        <v>1429</v>
      </c>
      <c r="AB880" s="18"/>
      <c r="AC880" s="18"/>
      <c r="AD880" s="18"/>
      <c r="AE880" s="18"/>
      <c r="AF880" s="18"/>
      <c r="AG880" s="18">
        <v>0</v>
      </c>
      <c r="AH880" s="18">
        <v>0</v>
      </c>
    </row>
    <row r="881" spans="24:34" x14ac:dyDescent="0.3">
      <c r="Y881">
        <v>6</v>
      </c>
      <c r="Z881" s="57">
        <v>45048</v>
      </c>
      <c r="AA881" t="s">
        <v>1529</v>
      </c>
      <c r="AB881" s="18"/>
      <c r="AC881" s="18"/>
      <c r="AD881" s="18"/>
      <c r="AE881" s="18"/>
      <c r="AF881" s="18"/>
      <c r="AG881" s="18">
        <v>0</v>
      </c>
      <c r="AH881" s="18">
        <v>0</v>
      </c>
    </row>
    <row r="882" spans="24:34" x14ac:dyDescent="0.3">
      <c r="Z882" s="57">
        <v>45061</v>
      </c>
      <c r="AA882" t="s">
        <v>1544</v>
      </c>
      <c r="AB882" s="18"/>
      <c r="AC882" s="18"/>
      <c r="AD882" s="18"/>
      <c r="AE882" s="18"/>
      <c r="AF882" s="18"/>
      <c r="AG882" s="18">
        <v>0</v>
      </c>
      <c r="AH882" s="18">
        <v>0</v>
      </c>
    </row>
    <row r="883" spans="24:34" x14ac:dyDescent="0.3">
      <c r="Y883">
        <v>7</v>
      </c>
      <c r="Z883" t="s">
        <v>1640</v>
      </c>
      <c r="AA883" t="s">
        <v>1641</v>
      </c>
      <c r="AB883" s="18"/>
      <c r="AC883" s="18"/>
      <c r="AD883" s="18"/>
      <c r="AE883" s="18"/>
      <c r="AF883" s="18"/>
      <c r="AG883" s="18">
        <v>0</v>
      </c>
      <c r="AH883" s="18">
        <v>0</v>
      </c>
    </row>
    <row r="884" spans="24:34" x14ac:dyDescent="0.3">
      <c r="Z884" s="57">
        <v>45098</v>
      </c>
      <c r="AA884" t="s">
        <v>1647</v>
      </c>
      <c r="AB884" s="18"/>
      <c r="AC884" s="18"/>
      <c r="AD884" s="18"/>
      <c r="AE884" s="18"/>
      <c r="AF884" s="18"/>
      <c r="AG884" s="18">
        <v>0</v>
      </c>
      <c r="AH884" s="18">
        <v>0</v>
      </c>
    </row>
    <row r="885" spans="24:34" x14ac:dyDescent="0.3">
      <c r="Y885">
        <v>8</v>
      </c>
      <c r="Z885" s="57">
        <v>45118</v>
      </c>
      <c r="AA885" t="s">
        <v>1719</v>
      </c>
      <c r="AB885" s="18"/>
      <c r="AC885" s="18"/>
      <c r="AD885" s="18"/>
      <c r="AE885" s="18"/>
      <c r="AF885" s="18"/>
      <c r="AG885" s="18">
        <v>0</v>
      </c>
      <c r="AH885" s="18">
        <v>0</v>
      </c>
    </row>
    <row r="886" spans="24:34" x14ac:dyDescent="0.3">
      <c r="Z886" s="57">
        <v>45128</v>
      </c>
      <c r="AA886" t="s">
        <v>1728</v>
      </c>
      <c r="AB886" s="18"/>
      <c r="AC886" s="18"/>
      <c r="AD886" s="18"/>
      <c r="AE886" s="18"/>
      <c r="AF886" s="18"/>
      <c r="AG886" s="18">
        <v>0</v>
      </c>
      <c r="AH886" s="18">
        <v>0</v>
      </c>
    </row>
    <row r="887" spans="24:34" x14ac:dyDescent="0.3">
      <c r="Y887">
        <v>9</v>
      </c>
      <c r="Z887" s="57">
        <v>45146</v>
      </c>
      <c r="AA887" t="s">
        <v>1808</v>
      </c>
      <c r="AB887" s="18"/>
      <c r="AC887" s="18"/>
      <c r="AD887" s="18"/>
      <c r="AE887" s="18"/>
      <c r="AF887" s="18"/>
      <c r="AG887" s="18">
        <v>0</v>
      </c>
      <c r="AH887" s="18">
        <v>0</v>
      </c>
    </row>
    <row r="888" spans="24:34" x14ac:dyDescent="0.3">
      <c r="Z888" s="57">
        <v>45160</v>
      </c>
      <c r="AA888" t="s">
        <v>1823</v>
      </c>
      <c r="AB888" s="18"/>
      <c r="AC888" s="18"/>
      <c r="AD888" s="18"/>
      <c r="AE888" s="18"/>
      <c r="AF888" s="18"/>
      <c r="AG888" s="18">
        <v>0</v>
      </c>
      <c r="AH888" s="18">
        <v>0</v>
      </c>
    </row>
    <row r="889" spans="24:34" x14ac:dyDescent="0.3">
      <c r="Y889">
        <v>10</v>
      </c>
      <c r="Z889" s="57">
        <v>45191</v>
      </c>
      <c r="AA889" t="s">
        <v>1913</v>
      </c>
      <c r="AB889" s="18"/>
      <c r="AC889" s="18"/>
      <c r="AD889" s="18"/>
      <c r="AE889" s="18"/>
      <c r="AF889" s="18"/>
      <c r="AG889" s="18">
        <v>0</v>
      </c>
      <c r="AH889" s="18">
        <v>0</v>
      </c>
    </row>
    <row r="890" spans="24:34" x14ac:dyDescent="0.3">
      <c r="Y890">
        <v>11</v>
      </c>
      <c r="Z890" s="57">
        <v>45229</v>
      </c>
      <c r="AA890" t="s">
        <v>2036</v>
      </c>
      <c r="AB890" s="18"/>
      <c r="AC890" s="18"/>
      <c r="AD890" s="18"/>
      <c r="AE890" s="18"/>
      <c r="AF890" s="18"/>
      <c r="AG890" s="18">
        <v>0</v>
      </c>
      <c r="AH890" s="18">
        <v>0</v>
      </c>
    </row>
    <row r="891" spans="24:34" x14ac:dyDescent="0.3">
      <c r="Y891">
        <v>4</v>
      </c>
      <c r="Z891" t="s">
        <v>1308</v>
      </c>
      <c r="AA891" t="s">
        <v>1312</v>
      </c>
      <c r="AB891" s="18"/>
      <c r="AC891" s="18"/>
      <c r="AD891" s="18"/>
      <c r="AE891" s="18"/>
      <c r="AF891" s="18"/>
      <c r="AG891" s="18">
        <v>0</v>
      </c>
      <c r="AH891" s="18">
        <v>0</v>
      </c>
    </row>
    <row r="892" spans="24:34" x14ac:dyDescent="0.3">
      <c r="Z892" t="s">
        <v>1345</v>
      </c>
      <c r="AA892" t="s">
        <v>1344</v>
      </c>
      <c r="AB892" s="18"/>
      <c r="AC892" s="18"/>
      <c r="AD892" s="18"/>
      <c r="AE892" s="18"/>
      <c r="AF892" s="18"/>
      <c r="AG892" s="18">
        <v>0</v>
      </c>
      <c r="AH892" s="18">
        <v>0</v>
      </c>
    </row>
    <row r="893" spans="24:34" x14ac:dyDescent="0.3">
      <c r="Z893" t="s">
        <v>1362</v>
      </c>
      <c r="AA893" t="s">
        <v>1361</v>
      </c>
      <c r="AB893" s="18"/>
      <c r="AC893" s="18"/>
      <c r="AD893" s="18"/>
      <c r="AE893" s="18"/>
      <c r="AF893" s="18"/>
      <c r="AG893" s="18">
        <v>0</v>
      </c>
      <c r="AH893" s="18">
        <v>0</v>
      </c>
    </row>
    <row r="894" spans="24:34" x14ac:dyDescent="0.3">
      <c r="X894">
        <v>2024</v>
      </c>
      <c r="Y894">
        <v>1</v>
      </c>
      <c r="Z894" s="57">
        <v>45280</v>
      </c>
      <c r="AA894" t="s">
        <v>2202</v>
      </c>
      <c r="AB894" s="18"/>
      <c r="AC894" s="18"/>
      <c r="AD894" s="18"/>
      <c r="AE894" s="18"/>
      <c r="AF894" s="18"/>
      <c r="AG894" s="18">
        <v>0</v>
      </c>
      <c r="AH894" s="18">
        <v>0</v>
      </c>
    </row>
    <row r="895" spans="24:34" x14ac:dyDescent="0.3">
      <c r="Y895">
        <v>3</v>
      </c>
      <c r="Z895" s="57">
        <v>45324</v>
      </c>
      <c r="AA895" t="s">
        <v>2343</v>
      </c>
      <c r="AB895" s="18"/>
      <c r="AC895" s="18"/>
      <c r="AD895" s="18"/>
      <c r="AE895" s="18"/>
      <c r="AF895" s="18"/>
      <c r="AG895" s="18">
        <v>0</v>
      </c>
      <c r="AH895" s="18">
        <v>0</v>
      </c>
    </row>
    <row r="896" spans="24:34" x14ac:dyDescent="0.3">
      <c r="Y896">
        <v>6</v>
      </c>
      <c r="Z896" s="57">
        <v>45421</v>
      </c>
      <c r="AA896" t="s">
        <v>2554</v>
      </c>
      <c r="AB896" s="18"/>
      <c r="AC896" s="18"/>
      <c r="AD896" s="18"/>
      <c r="AE896" s="18"/>
      <c r="AF896" s="18"/>
      <c r="AG896" s="18">
        <v>0</v>
      </c>
      <c r="AH896" s="18">
        <v>0</v>
      </c>
    </row>
    <row r="897" spans="23:34" x14ac:dyDescent="0.3">
      <c r="Y897">
        <v>7</v>
      </c>
      <c r="Z897" s="57">
        <v>45451</v>
      </c>
      <c r="AA897" t="s">
        <v>2643</v>
      </c>
      <c r="AB897" s="18"/>
      <c r="AC897" s="18"/>
      <c r="AD897" s="18"/>
      <c r="AE897" s="18"/>
      <c r="AF897" s="18"/>
      <c r="AG897" s="18">
        <v>0</v>
      </c>
      <c r="AH897" s="18">
        <v>0</v>
      </c>
    </row>
    <row r="898" spans="23:34" x14ac:dyDescent="0.3">
      <c r="Y898">
        <v>9</v>
      </c>
      <c r="Z898" s="57">
        <v>45506</v>
      </c>
      <c r="AA898" t="s">
        <v>2840</v>
      </c>
      <c r="AB898" s="18"/>
      <c r="AC898" s="18"/>
      <c r="AD898" s="18"/>
      <c r="AE898" s="18"/>
      <c r="AF898" s="18"/>
      <c r="AG898" s="18">
        <v>0</v>
      </c>
      <c r="AH898" s="18">
        <v>0</v>
      </c>
    </row>
    <row r="899" spans="23:34" x14ac:dyDescent="0.3">
      <c r="Y899">
        <v>11</v>
      </c>
      <c r="Z899" s="57">
        <v>45582</v>
      </c>
      <c r="AA899" t="s">
        <v>3018</v>
      </c>
      <c r="AB899" s="18"/>
      <c r="AC899" s="18"/>
      <c r="AD899" s="18"/>
      <c r="AE899" s="18"/>
      <c r="AF899" s="18"/>
      <c r="AG899" s="18">
        <v>0</v>
      </c>
      <c r="AH899" s="18">
        <v>0</v>
      </c>
    </row>
    <row r="900" spans="23:34" x14ac:dyDescent="0.3">
      <c r="Y900">
        <v>4</v>
      </c>
      <c r="Z900" s="57">
        <v>45371</v>
      </c>
      <c r="AA900" t="s">
        <v>2447</v>
      </c>
      <c r="AB900" s="18"/>
      <c r="AC900" s="18"/>
      <c r="AD900" s="18"/>
      <c r="AE900" s="18"/>
      <c r="AF900" s="18"/>
      <c r="AG900" s="18">
        <v>0</v>
      </c>
      <c r="AH900" s="18">
        <v>0</v>
      </c>
    </row>
    <row r="901" spans="23:34" x14ac:dyDescent="0.3">
      <c r="X901">
        <v>2025</v>
      </c>
      <c r="Y901">
        <v>1</v>
      </c>
      <c r="Z901" t="s">
        <v>3256</v>
      </c>
      <c r="AA901" t="s">
        <v>3257</v>
      </c>
      <c r="AB901" s="18"/>
      <c r="AC901" s="18"/>
      <c r="AD901" s="18"/>
      <c r="AE901" s="18"/>
      <c r="AF901" s="18"/>
      <c r="AG901" s="18">
        <v>9395.5</v>
      </c>
      <c r="AH901" s="18">
        <v>9395.5</v>
      </c>
    </row>
    <row r="902" spans="23:34" x14ac:dyDescent="0.3">
      <c r="Y902">
        <v>3</v>
      </c>
      <c r="Z902" s="57">
        <v>45707</v>
      </c>
      <c r="AA902" t="s">
        <v>3460</v>
      </c>
      <c r="AB902" s="18"/>
      <c r="AC902" s="18"/>
      <c r="AD902" s="18"/>
      <c r="AE902" s="18"/>
      <c r="AF902" s="18"/>
      <c r="AG902" s="18">
        <v>9168.5</v>
      </c>
      <c r="AH902" s="18">
        <v>9168.5</v>
      </c>
    </row>
    <row r="903" spans="23:34" x14ac:dyDescent="0.3">
      <c r="Y903">
        <v>5</v>
      </c>
      <c r="Z903" t="s">
        <v>3622</v>
      </c>
      <c r="AA903" t="s">
        <v>3624</v>
      </c>
      <c r="AB903" s="18"/>
      <c r="AC903" s="18"/>
      <c r="AD903" s="18"/>
      <c r="AE903" s="18"/>
      <c r="AF903" s="18"/>
      <c r="AG903" s="18">
        <v>96</v>
      </c>
      <c r="AH903" s="18">
        <v>96</v>
      </c>
    </row>
    <row r="904" spans="23:34" x14ac:dyDescent="0.3">
      <c r="Y904">
        <v>4</v>
      </c>
      <c r="Z904" s="57">
        <v>45723</v>
      </c>
      <c r="AA904" t="s">
        <v>3520</v>
      </c>
      <c r="AB904" s="18"/>
      <c r="AC904" s="18"/>
      <c r="AD904" s="18"/>
      <c r="AE904" s="18"/>
      <c r="AF904" s="18"/>
      <c r="AG904" s="18">
        <v>0</v>
      </c>
      <c r="AH904" s="18">
        <v>0</v>
      </c>
    </row>
    <row r="905" spans="23:34" x14ac:dyDescent="0.3">
      <c r="W905" s="36" t="s">
        <v>1389</v>
      </c>
      <c r="X905" s="36"/>
      <c r="Y905" s="36"/>
      <c r="Z905" s="36"/>
      <c r="AA905" s="36"/>
      <c r="AB905" s="37"/>
      <c r="AC905" s="37"/>
      <c r="AD905" s="37"/>
      <c r="AE905" s="37"/>
      <c r="AF905" s="37"/>
      <c r="AG905" s="37">
        <v>18660</v>
      </c>
      <c r="AH905" s="37">
        <v>18660</v>
      </c>
    </row>
    <row r="906" spans="23:34" x14ac:dyDescent="0.3">
      <c r="W906" t="s">
        <v>1420</v>
      </c>
      <c r="X906">
        <v>2023</v>
      </c>
      <c r="Y906">
        <v>5</v>
      </c>
      <c r="Z906" s="57">
        <v>45063</v>
      </c>
      <c r="AA906" t="s">
        <v>1548</v>
      </c>
      <c r="AB906" s="18">
        <v>0</v>
      </c>
      <c r="AC906" s="18"/>
      <c r="AD906" s="18"/>
      <c r="AE906" s="18"/>
      <c r="AF906" s="18"/>
      <c r="AG906" s="18"/>
      <c r="AH906" s="18">
        <v>0</v>
      </c>
    </row>
    <row r="907" spans="23:34" x14ac:dyDescent="0.3">
      <c r="Z907" s="57">
        <v>45071</v>
      </c>
      <c r="AA907" t="s">
        <v>1558</v>
      </c>
      <c r="AB907" s="18">
        <v>0</v>
      </c>
      <c r="AC907" s="18"/>
      <c r="AD907" s="18"/>
      <c r="AE907" s="18"/>
      <c r="AF907" s="18"/>
      <c r="AG907" s="18"/>
      <c r="AH907" s="18">
        <v>0</v>
      </c>
    </row>
    <row r="908" spans="23:34" x14ac:dyDescent="0.3">
      <c r="Y908">
        <v>6</v>
      </c>
      <c r="Z908" t="s">
        <v>1607</v>
      </c>
      <c r="AA908" t="s">
        <v>1606</v>
      </c>
      <c r="AB908" s="18">
        <v>0</v>
      </c>
      <c r="AC908" s="18"/>
      <c r="AD908" s="18"/>
      <c r="AE908" s="18"/>
      <c r="AF908" s="18"/>
      <c r="AG908" s="18"/>
      <c r="AH908" s="18">
        <v>0</v>
      </c>
    </row>
    <row r="909" spans="23:34" x14ac:dyDescent="0.3">
      <c r="Z909" s="57">
        <v>45092</v>
      </c>
      <c r="AA909" t="s">
        <v>1629</v>
      </c>
      <c r="AB909" s="18">
        <v>0</v>
      </c>
      <c r="AC909" s="18"/>
      <c r="AD909" s="18"/>
      <c r="AE909" s="18"/>
      <c r="AF909" s="18"/>
      <c r="AG909" s="18"/>
      <c r="AH909" s="18">
        <v>0</v>
      </c>
    </row>
    <row r="910" spans="23:34" x14ac:dyDescent="0.3">
      <c r="Y910">
        <v>7</v>
      </c>
      <c r="Z910" s="57">
        <v>45132</v>
      </c>
      <c r="AA910" t="s">
        <v>1730</v>
      </c>
      <c r="AB910" s="18">
        <v>0</v>
      </c>
      <c r="AC910" s="18"/>
      <c r="AD910" s="18"/>
      <c r="AE910" s="18"/>
      <c r="AF910" s="18"/>
      <c r="AG910" s="18"/>
      <c r="AH910" s="18">
        <v>0</v>
      </c>
    </row>
    <row r="911" spans="23:34" x14ac:dyDescent="0.3">
      <c r="Y911">
        <v>4</v>
      </c>
      <c r="Z911" t="s">
        <v>1426</v>
      </c>
      <c r="AA911" t="s">
        <v>1422</v>
      </c>
      <c r="AB911" s="18">
        <v>0</v>
      </c>
      <c r="AC911" s="18"/>
      <c r="AD911" s="18"/>
      <c r="AE911" s="18"/>
      <c r="AF911" s="18"/>
      <c r="AG911" s="18"/>
      <c r="AH911" s="18">
        <v>0</v>
      </c>
    </row>
    <row r="912" spans="23:34" x14ac:dyDescent="0.3">
      <c r="W912" s="36" t="s">
        <v>1436</v>
      </c>
      <c r="X912" s="36"/>
      <c r="Y912" s="36"/>
      <c r="Z912" s="36"/>
      <c r="AA912" s="36"/>
      <c r="AB912" s="37">
        <v>0</v>
      </c>
      <c r="AC912" s="37"/>
      <c r="AD912" s="37"/>
      <c r="AE912" s="37"/>
      <c r="AF912" s="37"/>
      <c r="AG912" s="37"/>
      <c r="AH912" s="37">
        <v>0</v>
      </c>
    </row>
    <row r="913" spans="23:34" x14ac:dyDescent="0.3">
      <c r="W913" t="s">
        <v>1453</v>
      </c>
      <c r="X913">
        <v>2021</v>
      </c>
      <c r="Y913">
        <v>1</v>
      </c>
      <c r="Z913" s="57">
        <v>44200</v>
      </c>
      <c r="AA913" t="s">
        <v>226</v>
      </c>
      <c r="AB913" s="18">
        <v>0</v>
      </c>
      <c r="AC913" s="18"/>
      <c r="AD913" s="18"/>
      <c r="AE913" s="18"/>
      <c r="AF913" s="18"/>
      <c r="AG913" s="18"/>
      <c r="AH913" s="18">
        <v>0</v>
      </c>
    </row>
    <row r="914" spans="23:34" x14ac:dyDescent="0.3">
      <c r="Z914" s="57">
        <v>44204</v>
      </c>
      <c r="AA914" t="s">
        <v>242</v>
      </c>
      <c r="AB914" s="18">
        <v>0</v>
      </c>
      <c r="AC914" s="18"/>
      <c r="AD914" s="18"/>
      <c r="AE914" s="18"/>
      <c r="AF914" s="18"/>
      <c r="AG914" s="18"/>
      <c r="AH914" s="18">
        <v>0</v>
      </c>
    </row>
    <row r="915" spans="23:34" x14ac:dyDescent="0.3">
      <c r="Z915" s="57">
        <v>44214</v>
      </c>
      <c r="AA915" t="s">
        <v>246</v>
      </c>
      <c r="AB915" s="18">
        <v>0</v>
      </c>
      <c r="AC915" s="18"/>
      <c r="AD915" s="18"/>
      <c r="AE915" s="18"/>
      <c r="AF915" s="18"/>
      <c r="AG915" s="18"/>
      <c r="AH915" s="18">
        <v>0</v>
      </c>
    </row>
    <row r="916" spans="23:34" x14ac:dyDescent="0.3">
      <c r="Y916">
        <v>2</v>
      </c>
      <c r="Z916" s="57">
        <v>44236</v>
      </c>
      <c r="AA916" t="s">
        <v>265</v>
      </c>
      <c r="AB916" s="18">
        <v>0</v>
      </c>
      <c r="AC916" s="18"/>
      <c r="AD916" s="18"/>
      <c r="AE916" s="18"/>
      <c r="AF916" s="18"/>
      <c r="AG916" s="18"/>
      <c r="AH916" s="18">
        <v>0</v>
      </c>
    </row>
    <row r="917" spans="23:34" x14ac:dyDescent="0.3">
      <c r="Y917">
        <v>5</v>
      </c>
      <c r="Z917" s="57">
        <v>44341</v>
      </c>
      <c r="AA917" t="s">
        <v>317</v>
      </c>
      <c r="AB917" s="18">
        <v>0</v>
      </c>
      <c r="AC917" s="18"/>
      <c r="AD917" s="18"/>
      <c r="AE917" s="18"/>
      <c r="AF917" s="18"/>
      <c r="AG917" s="18"/>
      <c r="AH917" s="18">
        <v>0</v>
      </c>
    </row>
    <row r="918" spans="23:34" x14ac:dyDescent="0.3">
      <c r="Y918">
        <v>10</v>
      </c>
      <c r="Z918" s="57">
        <v>44480</v>
      </c>
      <c r="AA918" t="s">
        <v>410</v>
      </c>
      <c r="AB918" s="18">
        <v>0</v>
      </c>
      <c r="AC918" s="18"/>
      <c r="AD918" s="18"/>
      <c r="AE918" s="18"/>
      <c r="AF918" s="18"/>
      <c r="AG918" s="18"/>
      <c r="AH918" s="18">
        <v>0</v>
      </c>
    </row>
    <row r="919" spans="23:34" x14ac:dyDescent="0.3">
      <c r="Y919">
        <v>12</v>
      </c>
      <c r="Z919" s="57">
        <v>44540</v>
      </c>
      <c r="AA919" t="s">
        <v>502</v>
      </c>
      <c r="AB919" s="18">
        <v>0</v>
      </c>
      <c r="AC919" s="18"/>
      <c r="AD919" s="18"/>
      <c r="AE919" s="18"/>
      <c r="AF919" s="18"/>
      <c r="AG919" s="18"/>
      <c r="AH919" s="18">
        <v>0</v>
      </c>
    </row>
    <row r="920" spans="23:34" x14ac:dyDescent="0.3">
      <c r="X920">
        <v>2023</v>
      </c>
      <c r="Y920">
        <v>5</v>
      </c>
      <c r="Z920" s="57">
        <v>45063</v>
      </c>
      <c r="AA920" t="s">
        <v>1551</v>
      </c>
      <c r="AB920" s="18">
        <v>0</v>
      </c>
      <c r="AC920" s="18"/>
      <c r="AD920" s="18"/>
      <c r="AE920" s="18"/>
      <c r="AF920" s="18"/>
      <c r="AG920" s="18"/>
      <c r="AH920" s="18">
        <v>0</v>
      </c>
    </row>
    <row r="921" spans="23:34" x14ac:dyDescent="0.3">
      <c r="Z921" t="s">
        <v>1552</v>
      </c>
      <c r="AA921" t="s">
        <v>1551</v>
      </c>
      <c r="AB921" s="18">
        <v>0</v>
      </c>
      <c r="AC921" s="18"/>
      <c r="AD921" s="18"/>
      <c r="AE921" s="18"/>
      <c r="AF921" s="18"/>
      <c r="AG921" s="18"/>
      <c r="AH921" s="18">
        <v>0</v>
      </c>
    </row>
    <row r="922" spans="23:34" x14ac:dyDescent="0.3">
      <c r="Y922">
        <v>6</v>
      </c>
      <c r="Z922" t="s">
        <v>1636</v>
      </c>
      <c r="AA922" t="s">
        <v>1635</v>
      </c>
      <c r="AB922" s="18">
        <v>0</v>
      </c>
      <c r="AC922" s="18"/>
      <c r="AD922" s="18"/>
      <c r="AE922" s="18"/>
      <c r="AF922" s="18"/>
      <c r="AG922" s="18"/>
      <c r="AH922" s="18">
        <v>0</v>
      </c>
    </row>
    <row r="923" spans="23:34" x14ac:dyDescent="0.3">
      <c r="Z923" t="s">
        <v>1640</v>
      </c>
      <c r="AA923" t="s">
        <v>1635</v>
      </c>
      <c r="AB923" s="18">
        <v>0</v>
      </c>
      <c r="AC923" s="18"/>
      <c r="AD923" s="18"/>
      <c r="AE923" s="18"/>
      <c r="AF923" s="18"/>
      <c r="AG923" s="18"/>
      <c r="AH923" s="18">
        <v>0</v>
      </c>
    </row>
    <row r="924" spans="23:34" x14ac:dyDescent="0.3">
      <c r="Z924" s="57">
        <v>45103</v>
      </c>
      <c r="AA924" t="s">
        <v>1652</v>
      </c>
      <c r="AB924" s="18">
        <v>0</v>
      </c>
      <c r="AC924" s="18"/>
      <c r="AD924" s="18"/>
      <c r="AE924" s="18"/>
      <c r="AF924" s="18"/>
      <c r="AG924" s="18"/>
      <c r="AH924" s="18">
        <v>0</v>
      </c>
    </row>
    <row r="925" spans="23:34" x14ac:dyDescent="0.3">
      <c r="Y925">
        <v>7</v>
      </c>
      <c r="Z925" s="57">
        <v>45138</v>
      </c>
      <c r="AA925" t="s">
        <v>1747</v>
      </c>
      <c r="AB925" s="18">
        <v>0</v>
      </c>
      <c r="AC925" s="18"/>
      <c r="AD925" s="18"/>
      <c r="AE925" s="18"/>
      <c r="AF925" s="18"/>
      <c r="AG925" s="18"/>
      <c r="AH925" s="18">
        <v>0</v>
      </c>
    </row>
    <row r="926" spans="23:34" x14ac:dyDescent="0.3">
      <c r="Y926">
        <v>9</v>
      </c>
      <c r="Z926" t="s">
        <v>1878</v>
      </c>
      <c r="AA926" t="s">
        <v>1880</v>
      </c>
      <c r="AB926" s="18">
        <v>0</v>
      </c>
      <c r="AC926" s="18"/>
      <c r="AD926" s="18"/>
      <c r="AE926" s="18"/>
      <c r="AF926" s="18"/>
      <c r="AG926" s="18"/>
      <c r="AH926" s="18">
        <v>0</v>
      </c>
    </row>
    <row r="927" spans="23:34" x14ac:dyDescent="0.3">
      <c r="Z927" s="57">
        <v>45188</v>
      </c>
      <c r="AA927" t="s">
        <v>1909</v>
      </c>
      <c r="AB927" s="18">
        <v>0</v>
      </c>
      <c r="AC927" s="18"/>
      <c r="AD927" s="18"/>
      <c r="AE927" s="18"/>
      <c r="AF927" s="18"/>
      <c r="AG927" s="18"/>
      <c r="AH927" s="18">
        <v>0</v>
      </c>
    </row>
    <row r="928" spans="23:34" x14ac:dyDescent="0.3">
      <c r="Y928">
        <v>10</v>
      </c>
      <c r="Z928" s="57">
        <v>45202</v>
      </c>
      <c r="AA928" t="s">
        <v>1990</v>
      </c>
      <c r="AB928" s="18">
        <v>0</v>
      </c>
      <c r="AC928" s="18"/>
      <c r="AD928" s="18"/>
      <c r="AE928" s="18"/>
      <c r="AF928" s="18"/>
      <c r="AG928" s="18"/>
      <c r="AH928" s="18">
        <v>0</v>
      </c>
    </row>
    <row r="929" spans="23:34" x14ac:dyDescent="0.3">
      <c r="Y929">
        <v>11</v>
      </c>
      <c r="Z929" s="57">
        <v>45231</v>
      </c>
      <c r="AA929" t="s">
        <v>2091</v>
      </c>
      <c r="AB929" s="18">
        <v>0</v>
      </c>
      <c r="AC929" s="18"/>
      <c r="AD929" s="18"/>
      <c r="AE929" s="18"/>
      <c r="AF929" s="18"/>
      <c r="AG929" s="18"/>
      <c r="AH929" s="18">
        <v>0</v>
      </c>
    </row>
    <row r="930" spans="23:34" x14ac:dyDescent="0.3">
      <c r="Y930">
        <v>4</v>
      </c>
      <c r="Z930" t="s">
        <v>1455</v>
      </c>
      <c r="AA930" t="s">
        <v>1454</v>
      </c>
      <c r="AB930" s="18">
        <v>0</v>
      </c>
      <c r="AC930" s="18"/>
      <c r="AD930" s="18"/>
      <c r="AE930" s="18"/>
      <c r="AF930" s="18"/>
      <c r="AG930" s="18"/>
      <c r="AH930" s="18">
        <v>0</v>
      </c>
    </row>
    <row r="931" spans="23:34" x14ac:dyDescent="0.3">
      <c r="X931">
        <v>2025</v>
      </c>
      <c r="Y931">
        <v>3</v>
      </c>
      <c r="Z931" s="57">
        <v>45720</v>
      </c>
      <c r="AA931" t="s">
        <v>3505</v>
      </c>
      <c r="AB931" s="18">
        <v>0</v>
      </c>
      <c r="AC931" s="18"/>
      <c r="AD931" s="18"/>
      <c r="AE931" s="18"/>
      <c r="AF931" s="18"/>
      <c r="AG931" s="18"/>
      <c r="AH931" s="18">
        <v>0</v>
      </c>
    </row>
    <row r="932" spans="23:34" x14ac:dyDescent="0.3">
      <c r="Z932" s="57">
        <v>45730</v>
      </c>
      <c r="AA932" t="s">
        <v>3528</v>
      </c>
      <c r="AB932" s="18">
        <v>0</v>
      </c>
      <c r="AC932" s="18"/>
      <c r="AD932" s="18"/>
      <c r="AE932" s="18"/>
      <c r="AF932" s="18"/>
      <c r="AG932" s="18"/>
      <c r="AH932" s="18">
        <v>0</v>
      </c>
    </row>
    <row r="933" spans="23:34" x14ac:dyDescent="0.3">
      <c r="W933" s="36" t="s">
        <v>1528</v>
      </c>
      <c r="X933" s="36"/>
      <c r="Y933" s="36"/>
      <c r="Z933" s="36"/>
      <c r="AA933" s="36"/>
      <c r="AB933" s="37">
        <v>0</v>
      </c>
      <c r="AC933" s="37"/>
      <c r="AD933" s="37"/>
      <c r="AE933" s="37"/>
      <c r="AF933" s="37"/>
      <c r="AG933" s="37"/>
      <c r="AH933" s="37">
        <v>0</v>
      </c>
    </row>
    <row r="934" spans="23:34" x14ac:dyDescent="0.3">
      <c r="W934" t="s">
        <v>1697</v>
      </c>
      <c r="X934">
        <v>2021</v>
      </c>
      <c r="Y934">
        <v>9</v>
      </c>
      <c r="Z934" s="57">
        <v>44440</v>
      </c>
      <c r="AA934" t="s">
        <v>363</v>
      </c>
      <c r="AB934" s="18">
        <v>0</v>
      </c>
      <c r="AC934" s="18"/>
      <c r="AD934" s="18"/>
      <c r="AE934" s="18"/>
      <c r="AF934" s="18"/>
      <c r="AG934" s="18"/>
      <c r="AH934" s="18">
        <v>0</v>
      </c>
    </row>
    <row r="935" spans="23:34" x14ac:dyDescent="0.3">
      <c r="W935" s="36" t="s">
        <v>1789</v>
      </c>
      <c r="X935" s="36"/>
      <c r="Y935" s="36"/>
      <c r="Z935" s="36"/>
      <c r="AA935" s="36"/>
      <c r="AB935" s="37">
        <v>0</v>
      </c>
      <c r="AC935" s="37"/>
      <c r="AD935" s="37"/>
      <c r="AE935" s="37"/>
      <c r="AF935" s="37"/>
      <c r="AG935" s="37"/>
      <c r="AH935" s="37">
        <v>0</v>
      </c>
    </row>
    <row r="936" spans="23:34" x14ac:dyDescent="0.3">
      <c r="W936" t="s">
        <v>1620</v>
      </c>
      <c r="X936">
        <v>2023</v>
      </c>
      <c r="Y936">
        <v>6</v>
      </c>
      <c r="Z936" s="57">
        <v>45085</v>
      </c>
      <c r="AA936" t="s">
        <v>1618</v>
      </c>
      <c r="AB936" s="18">
        <v>0</v>
      </c>
      <c r="AC936" s="18"/>
      <c r="AD936" s="18"/>
      <c r="AE936" s="18"/>
      <c r="AF936" s="18"/>
      <c r="AG936" s="18"/>
      <c r="AH936" s="18">
        <v>0</v>
      </c>
    </row>
    <row r="937" spans="23:34" x14ac:dyDescent="0.3">
      <c r="Y937">
        <v>8</v>
      </c>
      <c r="Z937" s="57">
        <v>45153</v>
      </c>
      <c r="AA937" t="s">
        <v>1811</v>
      </c>
      <c r="AB937" s="18">
        <v>0</v>
      </c>
      <c r="AC937" s="18"/>
      <c r="AD937" s="18"/>
      <c r="AE937" s="18"/>
      <c r="AF937" s="18"/>
      <c r="AG937" s="18"/>
      <c r="AH937" s="18">
        <v>0</v>
      </c>
    </row>
    <row r="938" spans="23:34" x14ac:dyDescent="0.3">
      <c r="X938">
        <v>2025</v>
      </c>
      <c r="Y938">
        <v>4</v>
      </c>
      <c r="Z938" t="s">
        <v>3657</v>
      </c>
      <c r="AA938" t="s">
        <v>3659</v>
      </c>
      <c r="AB938" s="18">
        <v>0</v>
      </c>
      <c r="AC938" s="18"/>
      <c r="AD938" s="18"/>
      <c r="AE938" s="18"/>
      <c r="AF938" s="18"/>
      <c r="AG938" s="18"/>
      <c r="AH938" s="18">
        <v>0</v>
      </c>
    </row>
    <row r="939" spans="23:34" x14ac:dyDescent="0.3">
      <c r="W939" s="36" t="s">
        <v>1790</v>
      </c>
      <c r="X939" s="36"/>
      <c r="Y939" s="36"/>
      <c r="Z939" s="36"/>
      <c r="AA939" s="36"/>
      <c r="AB939" s="37">
        <v>0</v>
      </c>
      <c r="AC939" s="37"/>
      <c r="AD939" s="37"/>
      <c r="AE939" s="37"/>
      <c r="AF939" s="37"/>
      <c r="AG939" s="37"/>
      <c r="AH939" s="37">
        <v>0</v>
      </c>
    </row>
    <row r="940" spans="23:34" x14ac:dyDescent="0.3">
      <c r="W940" t="s">
        <v>1702</v>
      </c>
      <c r="X940">
        <v>2023</v>
      </c>
      <c r="Y940">
        <v>9</v>
      </c>
      <c r="Z940" s="57">
        <v>45178</v>
      </c>
      <c r="AA940" t="s">
        <v>1893</v>
      </c>
      <c r="AB940" s="18">
        <v>0</v>
      </c>
      <c r="AC940" s="18"/>
      <c r="AD940" s="18"/>
      <c r="AE940" s="18"/>
      <c r="AF940" s="18"/>
      <c r="AG940" s="18"/>
      <c r="AH940" s="18">
        <v>0</v>
      </c>
    </row>
    <row r="941" spans="23:34" x14ac:dyDescent="0.3">
      <c r="W941" s="36" t="s">
        <v>1986</v>
      </c>
      <c r="X941" s="36"/>
      <c r="Y941" s="36"/>
      <c r="Z941" s="36"/>
      <c r="AA941" s="36"/>
      <c r="AB941" s="37">
        <v>0</v>
      </c>
      <c r="AC941" s="37"/>
      <c r="AD941" s="37"/>
      <c r="AE941" s="37"/>
      <c r="AF941" s="37"/>
      <c r="AG941" s="37"/>
      <c r="AH941" s="37">
        <v>0</v>
      </c>
    </row>
    <row r="942" spans="23:34" x14ac:dyDescent="0.3">
      <c r="W942" t="s">
        <v>1704</v>
      </c>
      <c r="X942">
        <v>2023</v>
      </c>
      <c r="Y942">
        <v>9</v>
      </c>
      <c r="Z942" s="57">
        <v>45180</v>
      </c>
      <c r="AA942" t="s">
        <v>1896</v>
      </c>
      <c r="AB942" s="18">
        <v>0</v>
      </c>
      <c r="AC942" s="18"/>
      <c r="AD942" s="18"/>
      <c r="AE942" s="18"/>
      <c r="AF942" s="18"/>
      <c r="AG942" s="18"/>
      <c r="AH942" s="18">
        <v>0</v>
      </c>
    </row>
    <row r="943" spans="23:34" x14ac:dyDescent="0.3">
      <c r="Y943">
        <v>12</v>
      </c>
      <c r="Z943" s="57">
        <v>45261</v>
      </c>
      <c r="AA943" t="s">
        <v>2178</v>
      </c>
      <c r="AB943" s="18">
        <v>0</v>
      </c>
      <c r="AC943" s="18"/>
      <c r="AD943" s="18"/>
      <c r="AE943" s="18"/>
      <c r="AF943" s="18"/>
      <c r="AG943" s="18"/>
      <c r="AH943" s="18">
        <v>0</v>
      </c>
    </row>
    <row r="944" spans="23:34" x14ac:dyDescent="0.3">
      <c r="X944">
        <v>2024</v>
      </c>
      <c r="Y944">
        <v>10</v>
      </c>
      <c r="Z944" s="57">
        <v>45580</v>
      </c>
      <c r="AA944" t="s">
        <v>3015</v>
      </c>
      <c r="AB944" s="18">
        <v>0</v>
      </c>
      <c r="AC944" s="18"/>
      <c r="AD944" s="18"/>
      <c r="AE944" s="18"/>
      <c r="AF944" s="18"/>
      <c r="AG944" s="18"/>
      <c r="AH944" s="18">
        <v>0</v>
      </c>
    </row>
    <row r="945" spans="23:34" x14ac:dyDescent="0.3">
      <c r="Y945">
        <v>11</v>
      </c>
      <c r="Z945" s="57">
        <v>45601</v>
      </c>
      <c r="AA945" t="s">
        <v>3107</v>
      </c>
      <c r="AB945" s="18">
        <v>0</v>
      </c>
      <c r="AC945" s="18"/>
      <c r="AD945" s="18"/>
      <c r="AE945" s="18"/>
      <c r="AF945" s="18"/>
      <c r="AG945" s="18"/>
      <c r="AH945" s="18">
        <v>0</v>
      </c>
    </row>
    <row r="946" spans="23:34" x14ac:dyDescent="0.3">
      <c r="Z946" s="57">
        <v>45622</v>
      </c>
      <c r="AA946" t="s">
        <v>3139</v>
      </c>
      <c r="AB946" s="18">
        <v>0</v>
      </c>
      <c r="AC946" s="18"/>
      <c r="AD946" s="18"/>
      <c r="AE946" s="18"/>
      <c r="AF946" s="18"/>
      <c r="AG946" s="18"/>
      <c r="AH946" s="18">
        <v>0</v>
      </c>
    </row>
    <row r="947" spans="23:34" x14ac:dyDescent="0.3">
      <c r="Y947">
        <v>4</v>
      </c>
      <c r="Z947" s="57">
        <v>45411</v>
      </c>
      <c r="AA947" t="s">
        <v>2522</v>
      </c>
      <c r="AB947" s="18">
        <v>0</v>
      </c>
      <c r="AC947" s="18"/>
      <c r="AD947" s="18"/>
      <c r="AE947" s="18"/>
      <c r="AF947" s="18"/>
      <c r="AG947" s="18"/>
      <c r="AH947" s="18">
        <v>0</v>
      </c>
    </row>
    <row r="948" spans="23:34" x14ac:dyDescent="0.3">
      <c r="X948">
        <v>2025</v>
      </c>
      <c r="Y948">
        <v>2</v>
      </c>
      <c r="Z948" s="57">
        <v>45700</v>
      </c>
      <c r="AA948" t="s">
        <v>3451</v>
      </c>
      <c r="AB948" s="18">
        <v>0</v>
      </c>
      <c r="AC948" s="18"/>
      <c r="AD948" s="18"/>
      <c r="AE948" s="18"/>
      <c r="AF948" s="18"/>
      <c r="AG948" s="18"/>
      <c r="AH948" s="18">
        <v>0</v>
      </c>
    </row>
    <row r="949" spans="23:34" x14ac:dyDescent="0.3">
      <c r="Y949">
        <v>6</v>
      </c>
      <c r="Z949" t="s">
        <v>3861</v>
      </c>
      <c r="AA949" t="s">
        <v>3863</v>
      </c>
      <c r="AB949" s="18">
        <v>0</v>
      </c>
      <c r="AC949" s="18"/>
      <c r="AD949" s="18"/>
      <c r="AE949" s="18"/>
      <c r="AF949" s="18"/>
      <c r="AG949" s="18"/>
      <c r="AH949" s="18">
        <v>0</v>
      </c>
    </row>
    <row r="950" spans="23:34" x14ac:dyDescent="0.3">
      <c r="W950" s="36" t="s">
        <v>1987</v>
      </c>
      <c r="X950" s="36"/>
      <c r="Y950" s="36"/>
      <c r="Z950" s="36"/>
      <c r="AA950" s="36"/>
      <c r="AB950" s="37">
        <v>0</v>
      </c>
      <c r="AC950" s="37"/>
      <c r="AD950" s="37"/>
      <c r="AE950" s="37"/>
      <c r="AF950" s="37"/>
      <c r="AG950" s="37"/>
      <c r="AH950" s="37">
        <v>0</v>
      </c>
    </row>
    <row r="951" spans="23:34" x14ac:dyDescent="0.3">
      <c r="W951" t="s">
        <v>2012</v>
      </c>
      <c r="X951">
        <v>2023</v>
      </c>
      <c r="Y951">
        <v>10</v>
      </c>
      <c r="Z951" s="57">
        <v>45216</v>
      </c>
      <c r="AA951" t="s">
        <v>2013</v>
      </c>
      <c r="AB951" s="18">
        <v>0</v>
      </c>
      <c r="AC951" s="18"/>
      <c r="AD951" s="18"/>
      <c r="AE951" s="18"/>
      <c r="AF951" s="18"/>
      <c r="AG951" s="18"/>
      <c r="AH951" s="18">
        <v>0</v>
      </c>
    </row>
    <row r="952" spans="23:34" x14ac:dyDescent="0.3">
      <c r="AA952" t="s">
        <v>2014</v>
      </c>
      <c r="AB952" s="18">
        <v>0</v>
      </c>
      <c r="AC952" s="18"/>
      <c r="AD952" s="18"/>
      <c r="AE952" s="18"/>
      <c r="AF952" s="18"/>
      <c r="AG952" s="18"/>
      <c r="AH952" s="18">
        <v>0</v>
      </c>
    </row>
    <row r="953" spans="23:34" x14ac:dyDescent="0.3">
      <c r="Z953" t="s">
        <v>2018</v>
      </c>
      <c r="AA953" t="s">
        <v>2017</v>
      </c>
      <c r="AB953" s="18">
        <v>0</v>
      </c>
      <c r="AC953" s="18"/>
      <c r="AD953" s="18"/>
      <c r="AE953" s="18"/>
      <c r="AF953" s="18"/>
      <c r="AG953" s="18"/>
      <c r="AH953" s="18">
        <v>0</v>
      </c>
    </row>
    <row r="954" spans="23:34" x14ac:dyDescent="0.3">
      <c r="Z954" s="57">
        <v>45224</v>
      </c>
      <c r="AA954" t="s">
        <v>2020</v>
      </c>
      <c r="AB954" s="18">
        <v>0</v>
      </c>
      <c r="AC954" s="18"/>
      <c r="AD954" s="18"/>
      <c r="AE954" s="18"/>
      <c r="AF954" s="18"/>
      <c r="AG954" s="18"/>
      <c r="AH954" s="18">
        <v>0</v>
      </c>
    </row>
    <row r="955" spans="23:34" x14ac:dyDescent="0.3">
      <c r="AA955" t="s">
        <v>2021</v>
      </c>
      <c r="AB955" s="18">
        <v>0</v>
      </c>
      <c r="AC955" s="18"/>
      <c r="AD955" s="18"/>
      <c r="AE955" s="18"/>
      <c r="AF955" s="18"/>
      <c r="AG955" s="18"/>
      <c r="AH955" s="18">
        <v>0</v>
      </c>
    </row>
    <row r="956" spans="23:34" x14ac:dyDescent="0.3">
      <c r="Z956" s="57">
        <v>45225</v>
      </c>
      <c r="AA956" t="s">
        <v>2031</v>
      </c>
      <c r="AB956" s="18">
        <v>0</v>
      </c>
      <c r="AC956" s="18"/>
      <c r="AD956" s="18"/>
      <c r="AE956" s="18"/>
      <c r="AF956" s="18"/>
      <c r="AG956" s="18"/>
      <c r="AH956" s="18">
        <v>0</v>
      </c>
    </row>
    <row r="957" spans="23:34" x14ac:dyDescent="0.3">
      <c r="Z957" s="57">
        <v>45227</v>
      </c>
      <c r="AA957" t="s">
        <v>2034</v>
      </c>
      <c r="AB957" s="18">
        <v>0</v>
      </c>
      <c r="AC957" s="18"/>
      <c r="AD957" s="18"/>
      <c r="AE957" s="18"/>
      <c r="AF957" s="18"/>
      <c r="AG957" s="18"/>
      <c r="AH957" s="18">
        <v>0</v>
      </c>
    </row>
    <row r="958" spans="23:34" x14ac:dyDescent="0.3">
      <c r="AA958" t="s">
        <v>2035</v>
      </c>
      <c r="AB958" s="18">
        <v>0</v>
      </c>
      <c r="AC958" s="18"/>
      <c r="AD958" s="18"/>
      <c r="AE958" s="18"/>
      <c r="AF958" s="18"/>
      <c r="AG958" s="18"/>
      <c r="AH958" s="18">
        <v>0</v>
      </c>
    </row>
    <row r="959" spans="23:34" x14ac:dyDescent="0.3">
      <c r="Z959" s="57">
        <v>45229</v>
      </c>
      <c r="AA959" t="s">
        <v>2090</v>
      </c>
      <c r="AB959" s="18">
        <v>0</v>
      </c>
      <c r="AC959" s="18"/>
      <c r="AD959" s="18"/>
      <c r="AE959" s="18"/>
      <c r="AF959" s="18"/>
      <c r="AG959" s="18"/>
      <c r="AH959" s="18">
        <v>0</v>
      </c>
    </row>
    <row r="960" spans="23:34" x14ac:dyDescent="0.3">
      <c r="Y960">
        <v>11</v>
      </c>
      <c r="Z960" s="57">
        <v>45236</v>
      </c>
      <c r="AA960" t="s">
        <v>2151</v>
      </c>
      <c r="AB960" s="18">
        <v>0</v>
      </c>
      <c r="AC960" s="18"/>
      <c r="AD960" s="18"/>
      <c r="AE960" s="18"/>
      <c r="AF960" s="18"/>
      <c r="AG960" s="18"/>
      <c r="AH960" s="18">
        <v>0</v>
      </c>
    </row>
    <row r="961" spans="25:34" x14ac:dyDescent="0.3">
      <c r="AA961" t="s">
        <v>2152</v>
      </c>
      <c r="AB961" s="18">
        <v>0</v>
      </c>
      <c r="AC961" s="18"/>
      <c r="AD961" s="18"/>
      <c r="AE961" s="18"/>
      <c r="AF961" s="18"/>
      <c r="AG961" s="18"/>
      <c r="AH961" s="18">
        <v>0</v>
      </c>
    </row>
    <row r="962" spans="25:34" x14ac:dyDescent="0.3">
      <c r="Z962" s="57">
        <v>45240</v>
      </c>
      <c r="AA962" t="s">
        <v>2155</v>
      </c>
      <c r="AB962" s="18">
        <v>0</v>
      </c>
      <c r="AC962" s="18"/>
      <c r="AD962" s="18"/>
      <c r="AE962" s="18"/>
      <c r="AF962" s="18"/>
      <c r="AG962" s="18"/>
      <c r="AH962" s="18">
        <v>0</v>
      </c>
    </row>
    <row r="963" spans="25:34" x14ac:dyDescent="0.3">
      <c r="AA963" t="s">
        <v>2156</v>
      </c>
      <c r="AB963" s="18">
        <v>0</v>
      </c>
      <c r="AC963" s="18"/>
      <c r="AD963" s="18"/>
      <c r="AE963" s="18"/>
      <c r="AF963" s="18"/>
      <c r="AG963" s="18"/>
      <c r="AH963" s="18">
        <v>0</v>
      </c>
    </row>
    <row r="964" spans="25:34" x14ac:dyDescent="0.3">
      <c r="Z964" s="57">
        <v>45245</v>
      </c>
      <c r="AA964" t="s">
        <v>2157</v>
      </c>
      <c r="AB964" s="18">
        <v>0</v>
      </c>
      <c r="AC964" s="18"/>
      <c r="AD964" s="18"/>
      <c r="AE964" s="18"/>
      <c r="AF964" s="18"/>
      <c r="AG964" s="18"/>
      <c r="AH964" s="18">
        <v>0</v>
      </c>
    </row>
    <row r="965" spans="25:34" x14ac:dyDescent="0.3">
      <c r="Z965" s="57">
        <v>45247</v>
      </c>
      <c r="AA965" t="s">
        <v>2162</v>
      </c>
      <c r="AB965" s="18">
        <v>0</v>
      </c>
      <c r="AC965" s="18"/>
      <c r="AD965" s="18"/>
      <c r="AE965" s="18"/>
      <c r="AF965" s="18"/>
      <c r="AG965" s="18"/>
      <c r="AH965" s="18">
        <v>0</v>
      </c>
    </row>
    <row r="966" spans="25:34" x14ac:dyDescent="0.3">
      <c r="AA966" t="s">
        <v>2163</v>
      </c>
      <c r="AB966" s="18">
        <v>0</v>
      </c>
      <c r="AC966" s="18"/>
      <c r="AD966" s="18"/>
      <c r="AE966" s="18"/>
      <c r="AF966" s="18"/>
      <c r="AG966" s="18"/>
      <c r="AH966" s="18">
        <v>0</v>
      </c>
    </row>
    <row r="967" spans="25:34" x14ac:dyDescent="0.3">
      <c r="Z967" s="57">
        <v>45251</v>
      </c>
      <c r="AA967" t="s">
        <v>2165</v>
      </c>
      <c r="AB967" s="18">
        <v>0</v>
      </c>
      <c r="AC967" s="18"/>
      <c r="AD967" s="18"/>
      <c r="AE967" s="18"/>
      <c r="AF967" s="18"/>
      <c r="AG967" s="18"/>
      <c r="AH967" s="18">
        <v>0</v>
      </c>
    </row>
    <row r="968" spans="25:34" x14ac:dyDescent="0.3">
      <c r="AA968" t="s">
        <v>2166</v>
      </c>
      <c r="AB968" s="18">
        <v>0</v>
      </c>
      <c r="AC968" s="18"/>
      <c r="AD968" s="18"/>
      <c r="AE968" s="18"/>
      <c r="AF968" s="18"/>
      <c r="AG968" s="18"/>
      <c r="AH968" s="18">
        <v>0</v>
      </c>
    </row>
    <row r="969" spans="25:34" x14ac:dyDescent="0.3">
      <c r="Z969" s="57">
        <v>45254</v>
      </c>
      <c r="AA969" t="s">
        <v>2168</v>
      </c>
      <c r="AB969" s="18">
        <v>0</v>
      </c>
      <c r="AC969" s="18"/>
      <c r="AD969" s="18"/>
      <c r="AE969" s="18"/>
      <c r="AF969" s="18"/>
      <c r="AG969" s="18"/>
      <c r="AH969" s="18">
        <v>0</v>
      </c>
    </row>
    <row r="970" spans="25:34" x14ac:dyDescent="0.3">
      <c r="AA970" t="s">
        <v>2169</v>
      </c>
      <c r="AB970" s="18">
        <v>0</v>
      </c>
      <c r="AC970" s="18"/>
      <c r="AD970" s="18"/>
      <c r="AE970" s="18"/>
      <c r="AF970" s="18"/>
      <c r="AG970" s="18"/>
      <c r="AH970" s="18">
        <v>0</v>
      </c>
    </row>
    <row r="971" spans="25:34" x14ac:dyDescent="0.3">
      <c r="Z971" s="57">
        <v>45258</v>
      </c>
      <c r="AA971" t="s">
        <v>2172</v>
      </c>
      <c r="AB971" s="18">
        <v>0</v>
      </c>
      <c r="AC971" s="18"/>
      <c r="AD971" s="18"/>
      <c r="AE971" s="18"/>
      <c r="AF971" s="18"/>
      <c r="AG971" s="18"/>
      <c r="AH971" s="18">
        <v>0</v>
      </c>
    </row>
    <row r="972" spans="25:34" x14ac:dyDescent="0.3">
      <c r="AA972" t="s">
        <v>2173</v>
      </c>
      <c r="AB972" s="18">
        <v>0</v>
      </c>
      <c r="AC972" s="18"/>
      <c r="AD972" s="18"/>
      <c r="AE972" s="18"/>
      <c r="AF972" s="18"/>
      <c r="AG972" s="18"/>
      <c r="AH972" s="18">
        <v>0</v>
      </c>
    </row>
    <row r="973" spans="25:34" x14ac:dyDescent="0.3">
      <c r="Y973">
        <v>12</v>
      </c>
      <c r="Z973" s="57">
        <v>45261</v>
      </c>
      <c r="AA973" t="s">
        <v>2176</v>
      </c>
      <c r="AB973" s="18">
        <v>0</v>
      </c>
      <c r="AC973" s="18"/>
      <c r="AD973" s="18"/>
      <c r="AE973" s="18"/>
      <c r="AF973" s="18"/>
      <c r="AG973" s="18"/>
      <c r="AH973" s="18">
        <v>0</v>
      </c>
    </row>
    <row r="974" spans="25:34" x14ac:dyDescent="0.3">
      <c r="AA974" t="s">
        <v>2177</v>
      </c>
      <c r="AB974" s="18">
        <v>0</v>
      </c>
      <c r="AC974" s="18"/>
      <c r="AD974" s="18"/>
      <c r="AE974" s="18"/>
      <c r="AF974" s="18"/>
      <c r="AG974" s="18"/>
      <c r="AH974" s="18">
        <v>0</v>
      </c>
    </row>
    <row r="975" spans="25:34" x14ac:dyDescent="0.3">
      <c r="Z975" s="57">
        <v>45264</v>
      </c>
      <c r="AA975" t="s">
        <v>2181</v>
      </c>
      <c r="AB975" s="18">
        <v>0</v>
      </c>
      <c r="AC975" s="18"/>
      <c r="AD975" s="18"/>
      <c r="AE975" s="18"/>
      <c r="AF975" s="18"/>
      <c r="AG975" s="18"/>
      <c r="AH975" s="18">
        <v>0</v>
      </c>
    </row>
    <row r="976" spans="25:34" x14ac:dyDescent="0.3">
      <c r="AA976" t="s">
        <v>2182</v>
      </c>
      <c r="AB976" s="18">
        <v>0</v>
      </c>
      <c r="AC976" s="18"/>
      <c r="AD976" s="18"/>
      <c r="AE976" s="18"/>
      <c r="AF976" s="18"/>
      <c r="AG976" s="18"/>
      <c r="AH976" s="18">
        <v>0</v>
      </c>
    </row>
    <row r="977" spans="24:34" x14ac:dyDescent="0.3">
      <c r="Z977" s="57">
        <v>45269</v>
      </c>
      <c r="AA977" t="s">
        <v>2187</v>
      </c>
      <c r="AB977" s="18">
        <v>0</v>
      </c>
      <c r="AC977" s="18"/>
      <c r="AD977" s="18"/>
      <c r="AE977" s="18"/>
      <c r="AF977" s="18"/>
      <c r="AG977" s="18"/>
      <c r="AH977" s="18">
        <v>0</v>
      </c>
    </row>
    <row r="978" spans="24:34" x14ac:dyDescent="0.3">
      <c r="AA978" t="s">
        <v>2188</v>
      </c>
      <c r="AB978" s="18">
        <v>0</v>
      </c>
      <c r="AC978" s="18"/>
      <c r="AD978" s="18"/>
      <c r="AE978" s="18"/>
      <c r="AF978" s="18"/>
      <c r="AG978" s="18"/>
      <c r="AH978" s="18">
        <v>0</v>
      </c>
    </row>
    <row r="979" spans="24:34" x14ac:dyDescent="0.3">
      <c r="Z979" s="57">
        <v>45274</v>
      </c>
      <c r="AA979" t="s">
        <v>2190</v>
      </c>
      <c r="AB979" s="18">
        <v>0</v>
      </c>
      <c r="AC979" s="18"/>
      <c r="AD979" s="18"/>
      <c r="AE979" s="18"/>
      <c r="AF979" s="18"/>
      <c r="AG979" s="18"/>
      <c r="AH979" s="18">
        <v>0</v>
      </c>
    </row>
    <row r="980" spans="24:34" x14ac:dyDescent="0.3">
      <c r="Z980" s="57">
        <v>45275</v>
      </c>
      <c r="AA980" t="s">
        <v>2191</v>
      </c>
      <c r="AB980" s="18">
        <v>0</v>
      </c>
      <c r="AC980" s="18"/>
      <c r="AD980" s="18"/>
      <c r="AE980" s="18"/>
      <c r="AF980" s="18"/>
      <c r="AG980" s="18"/>
      <c r="AH980" s="18">
        <v>0</v>
      </c>
    </row>
    <row r="981" spans="24:34" x14ac:dyDescent="0.3">
      <c r="Z981" s="57">
        <v>45276</v>
      </c>
      <c r="AA981" t="s">
        <v>2196</v>
      </c>
      <c r="AB981" s="18">
        <v>0</v>
      </c>
      <c r="AC981" s="18"/>
      <c r="AD981" s="18"/>
      <c r="AE981" s="18"/>
      <c r="AF981" s="18"/>
      <c r="AG981" s="18"/>
      <c r="AH981" s="18">
        <v>0</v>
      </c>
    </row>
    <row r="982" spans="24:34" x14ac:dyDescent="0.3">
      <c r="AA982" t="s">
        <v>2197</v>
      </c>
      <c r="AB982" s="18">
        <v>0</v>
      </c>
      <c r="AC982" s="18"/>
      <c r="AD982" s="18"/>
      <c r="AE982" s="18"/>
      <c r="AF982" s="18"/>
      <c r="AG982" s="18"/>
      <c r="AH982" s="18">
        <v>0</v>
      </c>
    </row>
    <row r="983" spans="24:34" x14ac:dyDescent="0.3">
      <c r="Z983" s="57">
        <v>45281</v>
      </c>
      <c r="AA983" t="s">
        <v>2203</v>
      </c>
      <c r="AB983" s="18">
        <v>0</v>
      </c>
      <c r="AC983" s="18"/>
      <c r="AD983" s="18"/>
      <c r="AE983" s="18"/>
      <c r="AF983" s="18"/>
      <c r="AG983" s="18"/>
      <c r="AH983" s="18">
        <v>0</v>
      </c>
    </row>
    <row r="984" spans="24:34" x14ac:dyDescent="0.3">
      <c r="AA984" t="s">
        <v>2204</v>
      </c>
      <c r="AB984" s="18">
        <v>0</v>
      </c>
      <c r="AC984" s="18"/>
      <c r="AD984" s="18"/>
      <c r="AE984" s="18"/>
      <c r="AF984" s="18"/>
      <c r="AG984" s="18"/>
      <c r="AH984" s="18">
        <v>0</v>
      </c>
    </row>
    <row r="985" spans="24:34" x14ac:dyDescent="0.3">
      <c r="Z985" s="57">
        <v>45287</v>
      </c>
      <c r="AA985" t="s">
        <v>2209</v>
      </c>
      <c r="AB985" s="18">
        <v>0</v>
      </c>
      <c r="AC985" s="18"/>
      <c r="AD985" s="18"/>
      <c r="AE985" s="18"/>
      <c r="AF985" s="18"/>
      <c r="AG985" s="18"/>
      <c r="AH985" s="18">
        <v>0</v>
      </c>
    </row>
    <row r="986" spans="24:34" x14ac:dyDescent="0.3">
      <c r="AA986" t="s">
        <v>2210</v>
      </c>
      <c r="AB986" s="18">
        <v>0</v>
      </c>
      <c r="AC986" s="18"/>
      <c r="AD986" s="18"/>
      <c r="AE986" s="18"/>
      <c r="AF986" s="18"/>
      <c r="AG986" s="18"/>
      <c r="AH986" s="18">
        <v>0</v>
      </c>
    </row>
    <row r="987" spans="24:34" x14ac:dyDescent="0.3">
      <c r="Z987" s="57">
        <v>45290</v>
      </c>
      <c r="AA987" t="s">
        <v>2211</v>
      </c>
      <c r="AB987" s="18">
        <v>0</v>
      </c>
      <c r="AC987" s="18"/>
      <c r="AD987" s="18"/>
      <c r="AE987" s="18"/>
      <c r="AF987" s="18"/>
      <c r="AG987" s="18"/>
      <c r="AH987" s="18">
        <v>0</v>
      </c>
    </row>
    <row r="988" spans="24:34" x14ac:dyDescent="0.3">
      <c r="AA988" t="s">
        <v>2212</v>
      </c>
      <c r="AB988" s="18">
        <v>0</v>
      </c>
      <c r="AC988" s="18"/>
      <c r="AD988" s="18"/>
      <c r="AE988" s="18"/>
      <c r="AF988" s="18"/>
      <c r="AG988" s="18"/>
      <c r="AH988" s="18">
        <v>0</v>
      </c>
    </row>
    <row r="989" spans="24:34" x14ac:dyDescent="0.3">
      <c r="X989">
        <v>2024</v>
      </c>
      <c r="Y989">
        <v>1</v>
      </c>
      <c r="Z989" s="57">
        <v>45301</v>
      </c>
      <c r="AA989" t="s">
        <v>2277</v>
      </c>
      <c r="AB989" s="18">
        <v>0</v>
      </c>
      <c r="AC989" s="18"/>
      <c r="AD989" s="18"/>
      <c r="AE989" s="18"/>
      <c r="AF989" s="18"/>
      <c r="AG989" s="18"/>
      <c r="AH989" s="18">
        <v>0</v>
      </c>
    </row>
    <row r="990" spans="24:34" x14ac:dyDescent="0.3">
      <c r="AA990" t="s">
        <v>2278</v>
      </c>
      <c r="AB990" s="18">
        <v>0</v>
      </c>
      <c r="AC990" s="18"/>
      <c r="AD990" s="18"/>
      <c r="AE990" s="18"/>
      <c r="AF990" s="18"/>
      <c r="AG990" s="18"/>
      <c r="AH990" s="18">
        <v>0</v>
      </c>
    </row>
    <row r="991" spans="24:34" x14ac:dyDescent="0.3">
      <c r="Z991" s="57">
        <v>45311</v>
      </c>
      <c r="AA991" t="s">
        <v>2287</v>
      </c>
      <c r="AB991" s="18">
        <v>0</v>
      </c>
      <c r="AC991" s="18"/>
      <c r="AD991" s="18"/>
      <c r="AE991" s="18"/>
      <c r="AF991" s="18"/>
      <c r="AG991" s="18"/>
      <c r="AH991" s="18">
        <v>0</v>
      </c>
    </row>
    <row r="992" spans="24:34" x14ac:dyDescent="0.3">
      <c r="AA992" t="s">
        <v>2288</v>
      </c>
      <c r="AB992" s="18">
        <v>0</v>
      </c>
      <c r="AC992" s="18"/>
      <c r="AD992" s="18"/>
      <c r="AE992" s="18"/>
      <c r="AF992" s="18"/>
      <c r="AG992" s="18"/>
      <c r="AH992" s="18">
        <v>0</v>
      </c>
    </row>
    <row r="993" spans="25:34" x14ac:dyDescent="0.3">
      <c r="Z993" s="57">
        <v>45320</v>
      </c>
      <c r="AA993" t="s">
        <v>2298</v>
      </c>
      <c r="AB993" s="18">
        <v>0</v>
      </c>
      <c r="AC993" s="18"/>
      <c r="AD993" s="18"/>
      <c r="AE993" s="18"/>
      <c r="AF993" s="18"/>
      <c r="AG993" s="18"/>
      <c r="AH993" s="18">
        <v>0</v>
      </c>
    </row>
    <row r="994" spans="25:34" x14ac:dyDescent="0.3">
      <c r="AA994" t="s">
        <v>2299</v>
      </c>
      <c r="AB994" s="18">
        <v>0</v>
      </c>
      <c r="AC994" s="18"/>
      <c r="AD994" s="18"/>
      <c r="AE994" s="18"/>
      <c r="AF994" s="18"/>
      <c r="AG994" s="18"/>
      <c r="AH994" s="18">
        <v>0</v>
      </c>
    </row>
    <row r="995" spans="25:34" x14ac:dyDescent="0.3">
      <c r="Z995" s="57">
        <v>45322</v>
      </c>
      <c r="AA995" t="s">
        <v>2300</v>
      </c>
      <c r="AB995" s="18">
        <v>0</v>
      </c>
      <c r="AC995" s="18"/>
      <c r="AD995" s="18"/>
      <c r="AE995" s="18"/>
      <c r="AF995" s="18"/>
      <c r="AG995" s="18"/>
      <c r="AH995" s="18">
        <v>0</v>
      </c>
    </row>
    <row r="996" spans="25:34" x14ac:dyDescent="0.3">
      <c r="AA996" t="s">
        <v>2301</v>
      </c>
      <c r="AB996" s="18">
        <v>0</v>
      </c>
      <c r="AC996" s="18"/>
      <c r="AD996" s="18"/>
      <c r="AE996" s="18"/>
      <c r="AF996" s="18"/>
      <c r="AG996" s="18"/>
      <c r="AH996" s="18">
        <v>0</v>
      </c>
    </row>
    <row r="997" spans="25:34" x14ac:dyDescent="0.3">
      <c r="Y997">
        <v>2</v>
      </c>
      <c r="Z997" s="57">
        <v>45325</v>
      </c>
      <c r="AA997" t="s">
        <v>2345</v>
      </c>
      <c r="AB997" s="18">
        <v>0</v>
      </c>
      <c r="AC997" s="18"/>
      <c r="AD997" s="18"/>
      <c r="AE997" s="18"/>
      <c r="AF997" s="18"/>
      <c r="AG997" s="18"/>
      <c r="AH997" s="18">
        <v>0</v>
      </c>
    </row>
    <row r="998" spans="25:34" x14ac:dyDescent="0.3">
      <c r="AA998" t="s">
        <v>2346</v>
      </c>
      <c r="AB998" s="18">
        <v>0</v>
      </c>
      <c r="AC998" s="18"/>
      <c r="AD998" s="18"/>
      <c r="AE998" s="18"/>
      <c r="AF998" s="18"/>
      <c r="AG998" s="18"/>
      <c r="AH998" s="18">
        <v>0</v>
      </c>
    </row>
    <row r="999" spans="25:34" x14ac:dyDescent="0.3">
      <c r="AA999" t="s">
        <v>2347</v>
      </c>
      <c r="AB999" s="18">
        <v>0</v>
      </c>
      <c r="AC999" s="18"/>
      <c r="AD999" s="18"/>
      <c r="AE999" s="18"/>
      <c r="AF999" s="18"/>
      <c r="AG999" s="18"/>
      <c r="AH999" s="18">
        <v>0</v>
      </c>
    </row>
    <row r="1000" spans="25:34" x14ac:dyDescent="0.3">
      <c r="Z1000" s="57">
        <v>45328</v>
      </c>
      <c r="AA1000" t="s">
        <v>2349</v>
      </c>
      <c r="AB1000" s="18">
        <v>0</v>
      </c>
      <c r="AC1000" s="18"/>
      <c r="AD1000" s="18"/>
      <c r="AE1000" s="18"/>
      <c r="AF1000" s="18"/>
      <c r="AG1000" s="18"/>
      <c r="AH1000" s="18">
        <v>0</v>
      </c>
    </row>
    <row r="1001" spans="25:34" x14ac:dyDescent="0.3">
      <c r="AA1001" t="s">
        <v>2350</v>
      </c>
      <c r="AB1001" s="18">
        <v>0</v>
      </c>
      <c r="AC1001" s="18"/>
      <c r="AD1001" s="18"/>
      <c r="AE1001" s="18"/>
      <c r="AF1001" s="18"/>
      <c r="AG1001" s="18"/>
      <c r="AH1001" s="18">
        <v>0</v>
      </c>
    </row>
    <row r="1002" spans="25:34" x14ac:dyDescent="0.3">
      <c r="Z1002" s="57">
        <v>45341</v>
      </c>
      <c r="AA1002" t="s">
        <v>2357</v>
      </c>
      <c r="AB1002" s="18">
        <v>0</v>
      </c>
      <c r="AC1002" s="18"/>
      <c r="AD1002" s="18"/>
      <c r="AE1002" s="18"/>
      <c r="AF1002" s="18"/>
      <c r="AG1002" s="18"/>
      <c r="AH1002" s="18">
        <v>0</v>
      </c>
    </row>
    <row r="1003" spans="25:34" x14ac:dyDescent="0.3">
      <c r="Z1003" s="57">
        <v>45342</v>
      </c>
      <c r="AA1003" t="s">
        <v>2358</v>
      </c>
      <c r="AB1003" s="18">
        <v>0</v>
      </c>
      <c r="AC1003" s="18"/>
      <c r="AD1003" s="18"/>
      <c r="AE1003" s="18"/>
      <c r="AF1003" s="18"/>
      <c r="AG1003" s="18"/>
      <c r="AH1003" s="18">
        <v>0</v>
      </c>
    </row>
    <row r="1004" spans="25:34" x14ac:dyDescent="0.3">
      <c r="Z1004" s="57">
        <v>45348</v>
      </c>
      <c r="AA1004" t="s">
        <v>2368</v>
      </c>
      <c r="AB1004" s="18">
        <v>0</v>
      </c>
      <c r="AC1004" s="18"/>
      <c r="AD1004" s="18"/>
      <c r="AE1004" s="18"/>
      <c r="AF1004" s="18"/>
      <c r="AG1004" s="18"/>
      <c r="AH1004" s="18">
        <v>0</v>
      </c>
    </row>
    <row r="1005" spans="25:34" x14ac:dyDescent="0.3">
      <c r="AA1005" t="s">
        <v>2369</v>
      </c>
      <c r="AB1005" s="18">
        <v>0</v>
      </c>
      <c r="AC1005" s="18"/>
      <c r="AD1005" s="18"/>
      <c r="AE1005" s="18"/>
      <c r="AF1005" s="18"/>
      <c r="AG1005" s="18"/>
      <c r="AH1005" s="18">
        <v>0</v>
      </c>
    </row>
    <row r="1006" spans="25:34" x14ac:dyDescent="0.3">
      <c r="Z1006" s="57">
        <v>45350</v>
      </c>
      <c r="AA1006" t="s">
        <v>2372</v>
      </c>
      <c r="AB1006" s="18">
        <v>0</v>
      </c>
      <c r="AC1006" s="18"/>
      <c r="AD1006" s="18"/>
      <c r="AE1006" s="18"/>
      <c r="AF1006" s="18"/>
      <c r="AG1006" s="18"/>
      <c r="AH1006" s="18">
        <v>0</v>
      </c>
    </row>
    <row r="1007" spans="25:34" x14ac:dyDescent="0.3">
      <c r="Y1007">
        <v>3</v>
      </c>
      <c r="Z1007" s="57">
        <v>45356</v>
      </c>
      <c r="AA1007" t="s">
        <v>2426</v>
      </c>
      <c r="AB1007" s="18">
        <v>0</v>
      </c>
      <c r="AC1007" s="18"/>
      <c r="AD1007" s="18"/>
      <c r="AE1007" s="18"/>
      <c r="AF1007" s="18"/>
      <c r="AG1007" s="18"/>
      <c r="AH1007" s="18">
        <v>0</v>
      </c>
    </row>
    <row r="1008" spans="25:34" x14ac:dyDescent="0.3">
      <c r="AA1008" t="s">
        <v>2427</v>
      </c>
      <c r="AB1008" s="18">
        <v>0</v>
      </c>
      <c r="AC1008" s="18"/>
      <c r="AD1008" s="18"/>
      <c r="AE1008" s="18"/>
      <c r="AF1008" s="18"/>
      <c r="AG1008" s="18"/>
      <c r="AH1008" s="18">
        <v>0</v>
      </c>
    </row>
    <row r="1009" spans="25:34" x14ac:dyDescent="0.3">
      <c r="Z1009" s="57">
        <v>45364</v>
      </c>
      <c r="AA1009" t="s">
        <v>2435</v>
      </c>
      <c r="AB1009" s="18">
        <v>0</v>
      </c>
      <c r="AC1009" s="18"/>
      <c r="AD1009" s="18"/>
      <c r="AE1009" s="18"/>
      <c r="AF1009" s="18"/>
      <c r="AG1009" s="18"/>
      <c r="AH1009" s="18">
        <v>0</v>
      </c>
    </row>
    <row r="1010" spans="25:34" x14ac:dyDescent="0.3">
      <c r="AA1010" t="s">
        <v>2436</v>
      </c>
      <c r="AB1010" s="18">
        <v>0</v>
      </c>
      <c r="AC1010" s="18"/>
      <c r="AD1010" s="18"/>
      <c r="AE1010" s="18"/>
      <c r="AF1010" s="18"/>
      <c r="AG1010" s="18"/>
      <c r="AH1010" s="18">
        <v>0</v>
      </c>
    </row>
    <row r="1011" spans="25:34" x14ac:dyDescent="0.3">
      <c r="Z1011" s="57">
        <v>45367</v>
      </c>
      <c r="AA1011" t="s">
        <v>2443</v>
      </c>
      <c r="AB1011" s="18">
        <v>0</v>
      </c>
      <c r="AC1011" s="18"/>
      <c r="AD1011" s="18"/>
      <c r="AE1011" s="18"/>
      <c r="AF1011" s="18"/>
      <c r="AG1011" s="18"/>
      <c r="AH1011" s="18">
        <v>0</v>
      </c>
    </row>
    <row r="1012" spans="25:34" x14ac:dyDescent="0.3">
      <c r="AA1012" t="s">
        <v>2444</v>
      </c>
      <c r="AB1012" s="18">
        <v>0</v>
      </c>
      <c r="AC1012" s="18"/>
      <c r="AD1012" s="18"/>
      <c r="AE1012" s="18"/>
      <c r="AF1012" s="18"/>
      <c r="AG1012" s="18"/>
      <c r="AH1012" s="18">
        <v>0</v>
      </c>
    </row>
    <row r="1013" spans="25:34" x14ac:dyDescent="0.3">
      <c r="Z1013" s="57">
        <v>45370</v>
      </c>
      <c r="AA1013" t="s">
        <v>2445</v>
      </c>
      <c r="AB1013" s="18">
        <v>0</v>
      </c>
      <c r="AC1013" s="18"/>
      <c r="AD1013" s="18"/>
      <c r="AE1013" s="18"/>
      <c r="AF1013" s="18"/>
      <c r="AG1013" s="18"/>
      <c r="AH1013" s="18">
        <v>0</v>
      </c>
    </row>
    <row r="1014" spans="25:34" x14ac:dyDescent="0.3">
      <c r="AA1014" t="s">
        <v>2446</v>
      </c>
      <c r="AB1014" s="18">
        <v>0</v>
      </c>
      <c r="AC1014" s="18"/>
      <c r="AD1014" s="18"/>
      <c r="AE1014" s="18"/>
      <c r="AF1014" s="18"/>
      <c r="AG1014" s="18"/>
      <c r="AH1014" s="18">
        <v>0</v>
      </c>
    </row>
    <row r="1015" spans="25:34" x14ac:dyDescent="0.3">
      <c r="Z1015" s="57">
        <v>45380</v>
      </c>
      <c r="AA1015" t="s">
        <v>2453</v>
      </c>
      <c r="AB1015" s="18">
        <v>0</v>
      </c>
      <c r="AC1015" s="18"/>
      <c r="AD1015" s="18"/>
      <c r="AE1015" s="18"/>
      <c r="AF1015" s="18"/>
      <c r="AG1015" s="18"/>
      <c r="AH1015" s="18">
        <v>0</v>
      </c>
    </row>
    <row r="1016" spans="25:34" x14ac:dyDescent="0.3">
      <c r="AA1016" t="s">
        <v>2454</v>
      </c>
      <c r="AB1016" s="18">
        <v>0</v>
      </c>
      <c r="AC1016" s="18"/>
      <c r="AD1016" s="18"/>
      <c r="AE1016" s="18"/>
      <c r="AF1016" s="18"/>
      <c r="AG1016" s="18"/>
      <c r="AH1016" s="18">
        <v>0</v>
      </c>
    </row>
    <row r="1017" spans="25:34" x14ac:dyDescent="0.3">
      <c r="Y1017">
        <v>5</v>
      </c>
      <c r="Z1017" s="57">
        <v>45416</v>
      </c>
      <c r="AA1017" t="s">
        <v>2550</v>
      </c>
      <c r="AB1017" s="18">
        <v>0</v>
      </c>
      <c r="AC1017" s="18"/>
      <c r="AD1017" s="18"/>
      <c r="AE1017" s="18"/>
      <c r="AF1017" s="18"/>
      <c r="AG1017" s="18"/>
      <c r="AH1017" s="18">
        <v>0</v>
      </c>
    </row>
    <row r="1018" spans="25:34" x14ac:dyDescent="0.3">
      <c r="AA1018" t="s">
        <v>2551</v>
      </c>
      <c r="AB1018" s="18">
        <v>0</v>
      </c>
      <c r="AC1018" s="18"/>
      <c r="AD1018" s="18"/>
      <c r="AE1018" s="18"/>
      <c r="AF1018" s="18"/>
      <c r="AG1018" s="18"/>
      <c r="AH1018" s="18">
        <v>0</v>
      </c>
    </row>
    <row r="1019" spans="25:34" x14ac:dyDescent="0.3">
      <c r="Z1019" s="57">
        <v>45421</v>
      </c>
      <c r="AA1019" t="s">
        <v>2559</v>
      </c>
      <c r="AB1019" s="18">
        <v>0</v>
      </c>
      <c r="AC1019" s="18"/>
      <c r="AD1019" s="18"/>
      <c r="AE1019" s="18"/>
      <c r="AF1019" s="18"/>
      <c r="AG1019" s="18"/>
      <c r="AH1019" s="18">
        <v>0</v>
      </c>
    </row>
    <row r="1020" spans="25:34" x14ac:dyDescent="0.3">
      <c r="AA1020" t="s">
        <v>2560</v>
      </c>
      <c r="AB1020" s="18">
        <v>0</v>
      </c>
      <c r="AC1020" s="18"/>
      <c r="AD1020" s="18"/>
      <c r="AE1020" s="18"/>
      <c r="AF1020" s="18"/>
      <c r="AG1020" s="18"/>
      <c r="AH1020" s="18">
        <v>0</v>
      </c>
    </row>
    <row r="1021" spans="25:34" x14ac:dyDescent="0.3">
      <c r="Z1021" s="57">
        <v>45426</v>
      </c>
      <c r="AA1021" t="s">
        <v>2563</v>
      </c>
      <c r="AB1021" s="18">
        <v>0</v>
      </c>
      <c r="AC1021" s="18"/>
      <c r="AD1021" s="18"/>
      <c r="AE1021" s="18"/>
      <c r="AF1021" s="18"/>
      <c r="AG1021" s="18"/>
      <c r="AH1021" s="18">
        <v>0</v>
      </c>
    </row>
    <row r="1022" spans="25:34" x14ac:dyDescent="0.3">
      <c r="Z1022" s="57">
        <v>45429</v>
      </c>
      <c r="AA1022" t="s">
        <v>2564</v>
      </c>
      <c r="AB1022" s="18">
        <v>0</v>
      </c>
      <c r="AC1022" s="18"/>
      <c r="AD1022" s="18"/>
      <c r="AE1022" s="18"/>
      <c r="AF1022" s="18"/>
      <c r="AG1022" s="18"/>
      <c r="AH1022" s="18">
        <v>0</v>
      </c>
    </row>
    <row r="1023" spans="25:34" x14ac:dyDescent="0.3">
      <c r="AA1023" t="s">
        <v>2565</v>
      </c>
      <c r="AB1023" s="18">
        <v>0</v>
      </c>
      <c r="AC1023" s="18"/>
      <c r="AD1023" s="18"/>
      <c r="AE1023" s="18"/>
      <c r="AF1023" s="18"/>
      <c r="AG1023" s="18"/>
      <c r="AH1023" s="18">
        <v>0</v>
      </c>
    </row>
    <row r="1024" spans="25:34" x14ac:dyDescent="0.3">
      <c r="Z1024" s="57">
        <v>45441</v>
      </c>
      <c r="AA1024" t="s">
        <v>2576</v>
      </c>
      <c r="AB1024" s="18">
        <v>0</v>
      </c>
      <c r="AC1024" s="18"/>
      <c r="AD1024" s="18"/>
      <c r="AE1024" s="18"/>
      <c r="AF1024" s="18"/>
      <c r="AG1024" s="18"/>
      <c r="AH1024" s="18">
        <v>0</v>
      </c>
    </row>
    <row r="1025" spans="25:34" x14ac:dyDescent="0.3">
      <c r="AA1025" t="s">
        <v>2577</v>
      </c>
      <c r="AB1025" s="18">
        <v>0</v>
      </c>
      <c r="AC1025" s="18"/>
      <c r="AD1025" s="18"/>
      <c r="AE1025" s="18"/>
      <c r="AF1025" s="18"/>
      <c r="AG1025" s="18"/>
      <c r="AH1025" s="18">
        <v>0</v>
      </c>
    </row>
    <row r="1026" spans="25:34" x14ac:dyDescent="0.3">
      <c r="Y1026">
        <v>6</v>
      </c>
      <c r="Z1026" s="57">
        <v>45449</v>
      </c>
      <c r="AA1026" t="s">
        <v>2640</v>
      </c>
      <c r="AB1026" s="18">
        <v>0</v>
      </c>
      <c r="AC1026" s="18"/>
      <c r="AD1026" s="18"/>
      <c r="AE1026" s="18"/>
      <c r="AF1026" s="18"/>
      <c r="AG1026" s="18"/>
      <c r="AH1026" s="18">
        <v>0</v>
      </c>
    </row>
    <row r="1027" spans="25:34" x14ac:dyDescent="0.3">
      <c r="AA1027" t="s">
        <v>2641</v>
      </c>
      <c r="AB1027" s="18">
        <v>0</v>
      </c>
      <c r="AC1027" s="18"/>
      <c r="AD1027" s="18"/>
      <c r="AE1027" s="18"/>
      <c r="AF1027" s="18"/>
      <c r="AG1027" s="18"/>
      <c r="AH1027" s="18">
        <v>0</v>
      </c>
    </row>
    <row r="1028" spans="25:34" x14ac:dyDescent="0.3">
      <c r="Z1028" s="57">
        <v>45455</v>
      </c>
      <c r="AA1028" t="s">
        <v>2645</v>
      </c>
      <c r="AB1028" s="18">
        <v>0</v>
      </c>
      <c r="AC1028" s="18"/>
      <c r="AD1028" s="18"/>
      <c r="AE1028" s="18"/>
      <c r="AF1028" s="18"/>
      <c r="AG1028" s="18"/>
      <c r="AH1028" s="18">
        <v>0</v>
      </c>
    </row>
    <row r="1029" spans="25:34" x14ac:dyDescent="0.3">
      <c r="AA1029" t="s">
        <v>2647</v>
      </c>
      <c r="AB1029" s="18">
        <v>0</v>
      </c>
      <c r="AC1029" s="18"/>
      <c r="AD1029" s="18"/>
      <c r="AE1029" s="18"/>
      <c r="AF1029" s="18"/>
      <c r="AG1029" s="18"/>
      <c r="AH1029" s="18">
        <v>0</v>
      </c>
    </row>
    <row r="1030" spans="25:34" x14ac:dyDescent="0.3">
      <c r="Z1030" s="57">
        <v>45457</v>
      </c>
      <c r="AA1030" t="s">
        <v>2648</v>
      </c>
      <c r="AB1030" s="18">
        <v>0</v>
      </c>
      <c r="AC1030" s="18"/>
      <c r="AD1030" s="18"/>
      <c r="AE1030" s="18"/>
      <c r="AF1030" s="18"/>
      <c r="AG1030" s="18"/>
      <c r="AH1030" s="18">
        <v>0</v>
      </c>
    </row>
    <row r="1031" spans="25:34" x14ac:dyDescent="0.3">
      <c r="AA1031" t="s">
        <v>2649</v>
      </c>
      <c r="AB1031" s="18">
        <v>0</v>
      </c>
      <c r="AC1031" s="18"/>
      <c r="AD1031" s="18"/>
      <c r="AE1031" s="18"/>
      <c r="AF1031" s="18"/>
      <c r="AG1031" s="18"/>
      <c r="AH1031" s="18">
        <v>0</v>
      </c>
    </row>
    <row r="1032" spans="25:34" x14ac:dyDescent="0.3">
      <c r="Z1032" s="57">
        <v>45471</v>
      </c>
      <c r="AA1032" t="s">
        <v>2664</v>
      </c>
      <c r="AB1032" s="18">
        <v>0</v>
      </c>
      <c r="AC1032" s="18"/>
      <c r="AD1032" s="18"/>
      <c r="AE1032" s="18"/>
      <c r="AF1032" s="18"/>
      <c r="AG1032" s="18"/>
      <c r="AH1032" s="18">
        <v>0</v>
      </c>
    </row>
    <row r="1033" spans="25:34" x14ac:dyDescent="0.3">
      <c r="AA1033" t="s">
        <v>2665</v>
      </c>
      <c r="AB1033" s="18">
        <v>0</v>
      </c>
      <c r="AC1033" s="18"/>
      <c r="AD1033" s="18"/>
      <c r="AE1033" s="18"/>
      <c r="AF1033" s="18"/>
      <c r="AG1033" s="18"/>
      <c r="AH1033" s="18">
        <v>0</v>
      </c>
    </row>
    <row r="1034" spans="25:34" x14ac:dyDescent="0.3">
      <c r="Y1034">
        <v>7</v>
      </c>
      <c r="Z1034" s="57">
        <v>45482</v>
      </c>
      <c r="AA1034" t="s">
        <v>2757</v>
      </c>
      <c r="AB1034" s="18">
        <v>0</v>
      </c>
      <c r="AC1034" s="18"/>
      <c r="AD1034" s="18"/>
      <c r="AE1034" s="18"/>
      <c r="AF1034" s="18"/>
      <c r="AG1034" s="18"/>
      <c r="AH1034" s="18">
        <v>0</v>
      </c>
    </row>
    <row r="1035" spans="25:34" x14ac:dyDescent="0.3">
      <c r="AA1035" t="s">
        <v>2758</v>
      </c>
      <c r="AB1035" s="18">
        <v>0</v>
      </c>
      <c r="AC1035" s="18"/>
      <c r="AD1035" s="18"/>
      <c r="AE1035" s="18"/>
      <c r="AF1035" s="18"/>
      <c r="AG1035" s="18"/>
      <c r="AH1035" s="18">
        <v>0</v>
      </c>
    </row>
    <row r="1036" spans="25:34" x14ac:dyDescent="0.3">
      <c r="Z1036" s="57">
        <v>45498</v>
      </c>
      <c r="AA1036" t="s">
        <v>2768</v>
      </c>
      <c r="AB1036" s="18">
        <v>0</v>
      </c>
      <c r="AC1036" s="18"/>
      <c r="AD1036" s="18"/>
      <c r="AE1036" s="18"/>
      <c r="AF1036" s="18"/>
      <c r="AG1036" s="18"/>
      <c r="AH1036" s="18">
        <v>0</v>
      </c>
    </row>
    <row r="1037" spans="25:34" x14ac:dyDescent="0.3">
      <c r="AA1037" t="s">
        <v>2769</v>
      </c>
      <c r="AB1037" s="18">
        <v>0</v>
      </c>
      <c r="AC1037" s="18"/>
      <c r="AD1037" s="18"/>
      <c r="AE1037" s="18"/>
      <c r="AF1037" s="18"/>
      <c r="AG1037" s="18"/>
      <c r="AH1037" s="18">
        <v>0</v>
      </c>
    </row>
    <row r="1038" spans="25:34" x14ac:dyDescent="0.3">
      <c r="Z1038" s="57">
        <v>45500</v>
      </c>
      <c r="AA1038" t="s">
        <v>2772</v>
      </c>
      <c r="AB1038" s="18">
        <v>0</v>
      </c>
      <c r="AC1038" s="18"/>
      <c r="AD1038" s="18"/>
      <c r="AE1038" s="18"/>
      <c r="AF1038" s="18"/>
      <c r="AG1038" s="18"/>
      <c r="AH1038" s="18">
        <v>0</v>
      </c>
    </row>
    <row r="1039" spans="25:34" x14ac:dyDescent="0.3">
      <c r="Y1039">
        <v>8</v>
      </c>
      <c r="Z1039" s="57">
        <v>45509</v>
      </c>
      <c r="AA1039" t="s">
        <v>2841</v>
      </c>
      <c r="AB1039" s="18">
        <v>0</v>
      </c>
      <c r="AC1039" s="18"/>
      <c r="AD1039" s="18"/>
      <c r="AE1039" s="18"/>
      <c r="AF1039" s="18"/>
      <c r="AG1039" s="18"/>
      <c r="AH1039" s="18">
        <v>0</v>
      </c>
    </row>
    <row r="1040" spans="25:34" x14ac:dyDescent="0.3">
      <c r="Z1040" s="57">
        <v>45511</v>
      </c>
      <c r="AA1040" t="s">
        <v>2851</v>
      </c>
      <c r="AB1040" s="18">
        <v>0</v>
      </c>
      <c r="AC1040" s="18"/>
      <c r="AD1040" s="18"/>
      <c r="AE1040" s="18"/>
      <c r="AF1040" s="18"/>
      <c r="AG1040" s="18"/>
      <c r="AH1040" s="18">
        <v>0</v>
      </c>
    </row>
    <row r="1041" spans="25:34" x14ac:dyDescent="0.3">
      <c r="AA1041" t="s">
        <v>2852</v>
      </c>
      <c r="AB1041" s="18">
        <v>0</v>
      </c>
      <c r="AC1041" s="18"/>
      <c r="AD1041" s="18"/>
      <c r="AE1041" s="18"/>
      <c r="AF1041" s="18"/>
      <c r="AG1041" s="18"/>
      <c r="AH1041" s="18">
        <v>0</v>
      </c>
    </row>
    <row r="1042" spans="25:34" x14ac:dyDescent="0.3">
      <c r="Z1042" s="57">
        <v>45516</v>
      </c>
      <c r="AA1042" t="s">
        <v>2857</v>
      </c>
      <c r="AB1042" s="18">
        <v>0</v>
      </c>
      <c r="AC1042" s="18"/>
      <c r="AD1042" s="18"/>
      <c r="AE1042" s="18"/>
      <c r="AF1042" s="18"/>
      <c r="AG1042" s="18"/>
      <c r="AH1042" s="18">
        <v>0</v>
      </c>
    </row>
    <row r="1043" spans="25:34" x14ac:dyDescent="0.3">
      <c r="Z1043" s="57">
        <v>45521</v>
      </c>
      <c r="AA1043" t="s">
        <v>2862</v>
      </c>
      <c r="AB1043" s="18">
        <v>0</v>
      </c>
      <c r="AC1043" s="18"/>
      <c r="AD1043" s="18"/>
      <c r="AE1043" s="18"/>
      <c r="AF1043" s="18"/>
      <c r="AG1043" s="18"/>
      <c r="AH1043" s="18">
        <v>0</v>
      </c>
    </row>
    <row r="1044" spans="25:34" x14ac:dyDescent="0.3">
      <c r="AA1044" t="s">
        <v>2863</v>
      </c>
      <c r="AB1044" s="18">
        <v>0</v>
      </c>
      <c r="AC1044" s="18"/>
      <c r="AD1044" s="18"/>
      <c r="AE1044" s="18"/>
      <c r="AF1044" s="18"/>
      <c r="AG1044" s="18"/>
      <c r="AH1044" s="18">
        <v>0</v>
      </c>
    </row>
    <row r="1045" spans="25:34" x14ac:dyDescent="0.3">
      <c r="Z1045" s="57">
        <v>45525</v>
      </c>
      <c r="AA1045" t="s">
        <v>2865</v>
      </c>
      <c r="AB1045" s="18">
        <v>0</v>
      </c>
      <c r="AC1045" s="18"/>
      <c r="AD1045" s="18"/>
      <c r="AE1045" s="18"/>
      <c r="AF1045" s="18"/>
      <c r="AG1045" s="18"/>
      <c r="AH1045" s="18">
        <v>0</v>
      </c>
    </row>
    <row r="1046" spans="25:34" x14ac:dyDescent="0.3">
      <c r="AA1046" t="s">
        <v>2866</v>
      </c>
      <c r="AB1046" s="18">
        <v>0</v>
      </c>
      <c r="AC1046" s="18"/>
      <c r="AD1046" s="18"/>
      <c r="AE1046" s="18"/>
      <c r="AF1046" s="18"/>
      <c r="AG1046" s="18"/>
      <c r="AH1046" s="18">
        <v>0</v>
      </c>
    </row>
    <row r="1047" spans="25:34" x14ac:dyDescent="0.3">
      <c r="Z1047" s="57">
        <v>45532</v>
      </c>
      <c r="AA1047" t="s">
        <v>2873</v>
      </c>
      <c r="AB1047" s="18">
        <v>0</v>
      </c>
      <c r="AC1047" s="18"/>
      <c r="AD1047" s="18"/>
      <c r="AE1047" s="18"/>
      <c r="AF1047" s="18"/>
      <c r="AG1047" s="18"/>
      <c r="AH1047" s="18">
        <v>0</v>
      </c>
    </row>
    <row r="1048" spans="25:34" x14ac:dyDescent="0.3">
      <c r="AA1048" t="s">
        <v>2874</v>
      </c>
      <c r="AB1048" s="18">
        <v>0</v>
      </c>
      <c r="AC1048" s="18"/>
      <c r="AD1048" s="18"/>
      <c r="AE1048" s="18"/>
      <c r="AF1048" s="18"/>
      <c r="AG1048" s="18"/>
      <c r="AH1048" s="18">
        <v>0</v>
      </c>
    </row>
    <row r="1049" spans="25:34" x14ac:dyDescent="0.3">
      <c r="Y1049">
        <v>9</v>
      </c>
      <c r="Z1049" s="57">
        <v>45537</v>
      </c>
      <c r="AA1049" t="s">
        <v>2935</v>
      </c>
      <c r="AB1049" s="18">
        <v>0</v>
      </c>
      <c r="AC1049" s="18"/>
      <c r="AD1049" s="18"/>
      <c r="AE1049" s="18"/>
      <c r="AF1049" s="18"/>
      <c r="AG1049" s="18"/>
      <c r="AH1049" s="18">
        <v>0</v>
      </c>
    </row>
    <row r="1050" spans="25:34" x14ac:dyDescent="0.3">
      <c r="AA1050" t="s">
        <v>2936</v>
      </c>
      <c r="AB1050" s="18">
        <v>0</v>
      </c>
      <c r="AC1050" s="18"/>
      <c r="AD1050" s="18"/>
      <c r="AE1050" s="18"/>
      <c r="AF1050" s="18"/>
      <c r="AG1050" s="18"/>
      <c r="AH1050" s="18">
        <v>0</v>
      </c>
    </row>
    <row r="1051" spans="25:34" x14ac:dyDescent="0.3">
      <c r="Z1051" s="57">
        <v>45541</v>
      </c>
      <c r="AA1051" t="s">
        <v>2941</v>
      </c>
      <c r="AB1051" s="18">
        <v>0</v>
      </c>
      <c r="AC1051" s="18"/>
      <c r="AD1051" s="18"/>
      <c r="AE1051" s="18"/>
      <c r="AF1051" s="18"/>
      <c r="AG1051" s="18"/>
      <c r="AH1051" s="18">
        <v>0</v>
      </c>
    </row>
    <row r="1052" spans="25:34" x14ac:dyDescent="0.3">
      <c r="AA1052" t="s">
        <v>2942</v>
      </c>
      <c r="AB1052" s="18">
        <v>0</v>
      </c>
      <c r="AC1052" s="18"/>
      <c r="AD1052" s="18"/>
      <c r="AE1052" s="18"/>
      <c r="AF1052" s="18"/>
      <c r="AG1052" s="18"/>
      <c r="AH1052" s="18">
        <v>0</v>
      </c>
    </row>
    <row r="1053" spans="25:34" x14ac:dyDescent="0.3">
      <c r="Z1053" s="57">
        <v>45549</v>
      </c>
      <c r="AA1053" t="s">
        <v>2947</v>
      </c>
      <c r="AB1053" s="18">
        <v>0</v>
      </c>
      <c r="AC1053" s="18"/>
      <c r="AD1053" s="18"/>
      <c r="AE1053" s="18"/>
      <c r="AF1053" s="18"/>
      <c r="AG1053" s="18"/>
      <c r="AH1053" s="18">
        <v>0</v>
      </c>
    </row>
    <row r="1054" spans="25:34" x14ac:dyDescent="0.3">
      <c r="AA1054" t="s">
        <v>2948</v>
      </c>
      <c r="AB1054" s="18">
        <v>0</v>
      </c>
      <c r="AC1054" s="18"/>
      <c r="AD1054" s="18"/>
      <c r="AE1054" s="18"/>
      <c r="AF1054" s="18"/>
      <c r="AG1054" s="18"/>
      <c r="AH1054" s="18">
        <v>0</v>
      </c>
    </row>
    <row r="1055" spans="25:34" x14ac:dyDescent="0.3">
      <c r="Z1055" s="57">
        <v>45556</v>
      </c>
      <c r="AA1055" t="s">
        <v>2949</v>
      </c>
      <c r="AB1055" s="18">
        <v>0</v>
      </c>
      <c r="AC1055" s="18"/>
      <c r="AD1055" s="18"/>
      <c r="AE1055" s="18"/>
      <c r="AF1055" s="18"/>
      <c r="AG1055" s="18"/>
      <c r="AH1055" s="18">
        <v>0</v>
      </c>
    </row>
    <row r="1056" spans="25:34" x14ac:dyDescent="0.3">
      <c r="AA1056" t="s">
        <v>2950</v>
      </c>
      <c r="AB1056" s="18">
        <v>0</v>
      </c>
      <c r="AC1056" s="18"/>
      <c r="AD1056" s="18"/>
      <c r="AE1056" s="18"/>
      <c r="AF1056" s="18"/>
      <c r="AG1056" s="18"/>
      <c r="AH1056" s="18">
        <v>0</v>
      </c>
    </row>
    <row r="1057" spans="25:34" x14ac:dyDescent="0.3">
      <c r="Z1057" s="57">
        <v>45558</v>
      </c>
      <c r="AA1057" t="s">
        <v>2952</v>
      </c>
      <c r="AB1057" s="18">
        <v>0</v>
      </c>
      <c r="AC1057" s="18"/>
      <c r="AD1057" s="18"/>
      <c r="AE1057" s="18"/>
      <c r="AF1057" s="18"/>
      <c r="AG1057" s="18"/>
      <c r="AH1057" s="18">
        <v>0</v>
      </c>
    </row>
    <row r="1058" spans="25:34" x14ac:dyDescent="0.3">
      <c r="AA1058" t="s">
        <v>2953</v>
      </c>
      <c r="AB1058" s="18">
        <v>0</v>
      </c>
      <c r="AC1058" s="18"/>
      <c r="AD1058" s="18"/>
      <c r="AE1058" s="18"/>
      <c r="AF1058" s="18"/>
      <c r="AG1058" s="18"/>
      <c r="AH1058" s="18">
        <v>0</v>
      </c>
    </row>
    <row r="1059" spans="25:34" x14ac:dyDescent="0.3">
      <c r="Z1059" s="57">
        <v>45563</v>
      </c>
      <c r="AA1059" t="s">
        <v>2957</v>
      </c>
      <c r="AB1059" s="18">
        <v>0</v>
      </c>
      <c r="AC1059" s="18"/>
      <c r="AD1059" s="18"/>
      <c r="AE1059" s="18"/>
      <c r="AF1059" s="18"/>
      <c r="AG1059" s="18"/>
      <c r="AH1059" s="18">
        <v>0</v>
      </c>
    </row>
    <row r="1060" spans="25:34" x14ac:dyDescent="0.3">
      <c r="AA1060" t="s">
        <v>2958</v>
      </c>
      <c r="AB1060" s="18">
        <v>0</v>
      </c>
      <c r="AC1060" s="18"/>
      <c r="AD1060" s="18"/>
      <c r="AE1060" s="18"/>
      <c r="AF1060" s="18"/>
      <c r="AG1060" s="18"/>
      <c r="AH1060" s="18">
        <v>0</v>
      </c>
    </row>
    <row r="1061" spans="25:34" x14ac:dyDescent="0.3">
      <c r="Y1061">
        <v>10</v>
      </c>
      <c r="Z1061" s="57">
        <v>45569</v>
      </c>
      <c r="AA1061" t="s">
        <v>3007</v>
      </c>
      <c r="AB1061" s="18">
        <v>0</v>
      </c>
      <c r="AC1061" s="18"/>
      <c r="AD1061" s="18"/>
      <c r="AE1061" s="18"/>
      <c r="AF1061" s="18"/>
      <c r="AG1061" s="18"/>
      <c r="AH1061" s="18">
        <v>0</v>
      </c>
    </row>
    <row r="1062" spans="25:34" x14ac:dyDescent="0.3">
      <c r="Z1062" s="57">
        <v>45574</v>
      </c>
      <c r="AA1062" t="s">
        <v>3009</v>
      </c>
      <c r="AB1062" s="18">
        <v>0</v>
      </c>
      <c r="AC1062" s="18"/>
      <c r="AD1062" s="18"/>
      <c r="AE1062" s="18"/>
      <c r="AF1062" s="18"/>
      <c r="AG1062" s="18"/>
      <c r="AH1062" s="18">
        <v>0</v>
      </c>
    </row>
    <row r="1063" spans="25:34" x14ac:dyDescent="0.3">
      <c r="AA1063" t="s">
        <v>3010</v>
      </c>
      <c r="AB1063" s="18">
        <v>0</v>
      </c>
      <c r="AC1063" s="18"/>
      <c r="AD1063" s="18"/>
      <c r="AE1063" s="18"/>
      <c r="AF1063" s="18"/>
      <c r="AG1063" s="18"/>
      <c r="AH1063" s="18">
        <v>0</v>
      </c>
    </row>
    <row r="1064" spans="25:34" x14ac:dyDescent="0.3">
      <c r="Z1064" s="57">
        <v>45577</v>
      </c>
      <c r="AA1064" t="s">
        <v>3012</v>
      </c>
      <c r="AB1064" s="18">
        <v>0</v>
      </c>
      <c r="AC1064" s="18"/>
      <c r="AD1064" s="18"/>
      <c r="AE1064" s="18"/>
      <c r="AF1064" s="18"/>
      <c r="AG1064" s="18"/>
      <c r="AH1064" s="18">
        <v>0</v>
      </c>
    </row>
    <row r="1065" spans="25:34" x14ac:dyDescent="0.3">
      <c r="AA1065" t="s">
        <v>3013</v>
      </c>
      <c r="AB1065" s="18">
        <v>0</v>
      </c>
      <c r="AC1065" s="18"/>
      <c r="AD1065" s="18"/>
      <c r="AE1065" s="18"/>
      <c r="AF1065" s="18"/>
      <c r="AG1065" s="18"/>
      <c r="AH1065" s="18">
        <v>0</v>
      </c>
    </row>
    <row r="1066" spans="25:34" x14ac:dyDescent="0.3">
      <c r="Z1066" s="57">
        <v>45580</v>
      </c>
      <c r="AA1066" t="s">
        <v>3016</v>
      </c>
      <c r="AB1066" s="18">
        <v>0</v>
      </c>
      <c r="AC1066" s="18"/>
      <c r="AD1066" s="18"/>
      <c r="AE1066" s="18"/>
      <c r="AF1066" s="18"/>
      <c r="AG1066" s="18"/>
      <c r="AH1066" s="18">
        <v>0</v>
      </c>
    </row>
    <row r="1067" spans="25:34" x14ac:dyDescent="0.3">
      <c r="AA1067" t="s">
        <v>3017</v>
      </c>
      <c r="AB1067" s="18">
        <v>0</v>
      </c>
      <c r="AC1067" s="18"/>
      <c r="AD1067" s="18"/>
      <c r="AE1067" s="18"/>
      <c r="AF1067" s="18"/>
      <c r="AG1067" s="18"/>
      <c r="AH1067" s="18">
        <v>0</v>
      </c>
    </row>
    <row r="1068" spans="25:34" x14ac:dyDescent="0.3">
      <c r="Z1068" s="57">
        <v>45587</v>
      </c>
      <c r="AA1068" t="s">
        <v>3024</v>
      </c>
      <c r="AB1068" s="18">
        <v>0</v>
      </c>
      <c r="AC1068" s="18"/>
      <c r="AD1068" s="18"/>
      <c r="AE1068" s="18"/>
      <c r="AF1068" s="18"/>
      <c r="AG1068" s="18"/>
      <c r="AH1068" s="18">
        <v>0</v>
      </c>
    </row>
    <row r="1069" spans="25:34" x14ac:dyDescent="0.3">
      <c r="AA1069" t="s">
        <v>3025</v>
      </c>
      <c r="AB1069" s="18">
        <v>0</v>
      </c>
      <c r="AC1069" s="18"/>
      <c r="AD1069" s="18"/>
      <c r="AE1069" s="18"/>
      <c r="AF1069" s="18"/>
      <c r="AG1069" s="18"/>
      <c r="AH1069" s="18">
        <v>0</v>
      </c>
    </row>
    <row r="1070" spans="25:34" x14ac:dyDescent="0.3">
      <c r="Z1070" s="57">
        <v>45591</v>
      </c>
      <c r="AA1070" t="s">
        <v>3029</v>
      </c>
      <c r="AB1070" s="18">
        <v>0</v>
      </c>
      <c r="AC1070" s="18"/>
      <c r="AD1070" s="18"/>
      <c r="AE1070" s="18"/>
      <c r="AF1070" s="18"/>
      <c r="AG1070" s="18"/>
      <c r="AH1070" s="18">
        <v>0</v>
      </c>
    </row>
    <row r="1071" spans="25:34" x14ac:dyDescent="0.3">
      <c r="AA1071" t="s">
        <v>3030</v>
      </c>
      <c r="AB1071" s="18">
        <v>0</v>
      </c>
      <c r="AC1071" s="18"/>
      <c r="AD1071" s="18"/>
      <c r="AE1071" s="18"/>
      <c r="AF1071" s="18"/>
      <c r="AG1071" s="18"/>
      <c r="AH1071" s="18">
        <v>0</v>
      </c>
    </row>
    <row r="1072" spans="25:34" x14ac:dyDescent="0.3">
      <c r="Y1072">
        <v>11</v>
      </c>
      <c r="Z1072" s="57">
        <v>45597</v>
      </c>
      <c r="AA1072" t="s">
        <v>3104</v>
      </c>
      <c r="AB1072" s="18">
        <v>0</v>
      </c>
      <c r="AC1072" s="18"/>
      <c r="AD1072" s="18"/>
      <c r="AE1072" s="18"/>
      <c r="AF1072" s="18"/>
      <c r="AG1072" s="18"/>
      <c r="AH1072" s="18">
        <v>0</v>
      </c>
    </row>
    <row r="1073" spans="25:34" x14ac:dyDescent="0.3">
      <c r="Z1073" s="57">
        <v>45598</v>
      </c>
      <c r="AA1073" t="s">
        <v>3103</v>
      </c>
      <c r="AB1073" s="18">
        <v>0</v>
      </c>
      <c r="AC1073" s="18"/>
      <c r="AD1073" s="18"/>
      <c r="AE1073" s="18"/>
      <c r="AF1073" s="18"/>
      <c r="AG1073" s="18"/>
      <c r="AH1073" s="18">
        <v>0</v>
      </c>
    </row>
    <row r="1074" spans="25:34" x14ac:dyDescent="0.3">
      <c r="Z1074" s="57">
        <v>45601</v>
      </c>
      <c r="AA1074" t="s">
        <v>3110</v>
      </c>
      <c r="AB1074" s="18">
        <v>0</v>
      </c>
      <c r="AC1074" s="18"/>
      <c r="AD1074" s="18"/>
      <c r="AE1074" s="18"/>
      <c r="AF1074" s="18"/>
      <c r="AG1074" s="18"/>
      <c r="AH1074" s="18">
        <v>0</v>
      </c>
    </row>
    <row r="1075" spans="25:34" x14ac:dyDescent="0.3">
      <c r="Z1075" s="57">
        <v>45603</v>
      </c>
      <c r="AA1075" t="s">
        <v>3111</v>
      </c>
      <c r="AB1075" s="18">
        <v>0</v>
      </c>
      <c r="AC1075" s="18"/>
      <c r="AD1075" s="18"/>
      <c r="AE1075" s="18"/>
      <c r="AF1075" s="18"/>
      <c r="AG1075" s="18"/>
      <c r="AH1075" s="18">
        <v>0</v>
      </c>
    </row>
    <row r="1076" spans="25:34" x14ac:dyDescent="0.3">
      <c r="AA1076" t="s">
        <v>3112</v>
      </c>
      <c r="AB1076" s="18">
        <v>0</v>
      </c>
      <c r="AC1076" s="18"/>
      <c r="AD1076" s="18"/>
      <c r="AE1076" s="18"/>
      <c r="AF1076" s="18"/>
      <c r="AG1076" s="18"/>
      <c r="AH1076" s="18">
        <v>0</v>
      </c>
    </row>
    <row r="1077" spans="25:34" x14ac:dyDescent="0.3">
      <c r="Z1077" s="57">
        <v>45612</v>
      </c>
      <c r="AA1077" t="s">
        <v>3127</v>
      </c>
      <c r="AB1077" s="18">
        <v>0</v>
      </c>
      <c r="AC1077" s="18"/>
      <c r="AD1077" s="18"/>
      <c r="AE1077" s="18"/>
      <c r="AF1077" s="18"/>
      <c r="AG1077" s="18"/>
      <c r="AH1077" s="18">
        <v>0</v>
      </c>
    </row>
    <row r="1078" spans="25:34" x14ac:dyDescent="0.3">
      <c r="AA1078" t="s">
        <v>3128</v>
      </c>
      <c r="AB1078" s="18">
        <v>0</v>
      </c>
      <c r="AC1078" s="18"/>
      <c r="AD1078" s="18"/>
      <c r="AE1078" s="18"/>
      <c r="AF1078" s="18"/>
      <c r="AG1078" s="18"/>
      <c r="AH1078" s="18">
        <v>0</v>
      </c>
    </row>
    <row r="1079" spans="25:34" x14ac:dyDescent="0.3">
      <c r="Z1079" s="57">
        <v>45616</v>
      </c>
      <c r="AA1079" t="s">
        <v>3130</v>
      </c>
      <c r="AB1079" s="18">
        <v>0</v>
      </c>
      <c r="AC1079" s="18"/>
      <c r="AD1079" s="18"/>
      <c r="AE1079" s="18"/>
      <c r="AF1079" s="18"/>
      <c r="AG1079" s="18"/>
      <c r="AH1079" s="18">
        <v>0</v>
      </c>
    </row>
    <row r="1080" spans="25:34" x14ac:dyDescent="0.3">
      <c r="AA1080" t="s">
        <v>3131</v>
      </c>
      <c r="AB1080" s="18">
        <v>0</v>
      </c>
      <c r="AC1080" s="18"/>
      <c r="AD1080" s="18"/>
      <c r="AE1080" s="18"/>
      <c r="AF1080" s="18"/>
      <c r="AG1080" s="18"/>
      <c r="AH1080" s="18">
        <v>0</v>
      </c>
    </row>
    <row r="1081" spans="25:34" x14ac:dyDescent="0.3">
      <c r="Z1081" s="57">
        <v>45623</v>
      </c>
      <c r="AA1081" t="s">
        <v>3142</v>
      </c>
      <c r="AB1081" s="18">
        <v>0</v>
      </c>
      <c r="AC1081" s="18"/>
      <c r="AD1081" s="18"/>
      <c r="AE1081" s="18"/>
      <c r="AF1081" s="18"/>
      <c r="AG1081" s="18"/>
      <c r="AH1081" s="18">
        <v>0</v>
      </c>
    </row>
    <row r="1082" spans="25:34" x14ac:dyDescent="0.3">
      <c r="AA1082" t="s">
        <v>3143</v>
      </c>
      <c r="AB1082" s="18">
        <v>0</v>
      </c>
      <c r="AC1082" s="18"/>
      <c r="AD1082" s="18"/>
      <c r="AE1082" s="18"/>
      <c r="AF1082" s="18"/>
      <c r="AG1082" s="18"/>
      <c r="AH1082" s="18">
        <v>0</v>
      </c>
    </row>
    <row r="1083" spans="25:34" x14ac:dyDescent="0.3">
      <c r="Y1083">
        <v>12</v>
      </c>
      <c r="Z1083" s="57">
        <v>45628</v>
      </c>
      <c r="AA1083" t="s">
        <v>3210</v>
      </c>
      <c r="AB1083" s="18">
        <v>0</v>
      </c>
      <c r="AC1083" s="18"/>
      <c r="AD1083" s="18"/>
      <c r="AE1083" s="18"/>
      <c r="AF1083" s="18"/>
      <c r="AG1083" s="18"/>
      <c r="AH1083" s="18">
        <v>0</v>
      </c>
    </row>
    <row r="1084" spans="25:34" x14ac:dyDescent="0.3">
      <c r="AA1084" t="s">
        <v>3211</v>
      </c>
      <c r="AB1084" s="18">
        <v>0</v>
      </c>
      <c r="AC1084" s="18"/>
      <c r="AD1084" s="18"/>
      <c r="AE1084" s="18"/>
      <c r="AF1084" s="18"/>
      <c r="AG1084" s="18"/>
      <c r="AH1084" s="18">
        <v>0</v>
      </c>
    </row>
    <row r="1085" spans="25:34" x14ac:dyDescent="0.3">
      <c r="Z1085" s="57">
        <v>45631</v>
      </c>
      <c r="AA1085" t="s">
        <v>3215</v>
      </c>
      <c r="AB1085" s="18">
        <v>0</v>
      </c>
      <c r="AC1085" s="18"/>
      <c r="AD1085" s="18"/>
      <c r="AE1085" s="18"/>
      <c r="AF1085" s="18"/>
      <c r="AG1085" s="18"/>
      <c r="AH1085" s="18">
        <v>0</v>
      </c>
    </row>
    <row r="1086" spans="25:34" x14ac:dyDescent="0.3">
      <c r="AA1086" t="s">
        <v>3216</v>
      </c>
      <c r="AB1086" s="18">
        <v>0</v>
      </c>
      <c r="AC1086" s="18"/>
      <c r="AD1086" s="18"/>
      <c r="AE1086" s="18"/>
      <c r="AF1086" s="18"/>
      <c r="AG1086" s="18"/>
      <c r="AH1086" s="18">
        <v>0</v>
      </c>
    </row>
    <row r="1087" spans="25:34" x14ac:dyDescent="0.3">
      <c r="Z1087" s="57">
        <v>45633</v>
      </c>
      <c r="AA1087" t="s">
        <v>3222</v>
      </c>
      <c r="AB1087" s="18">
        <v>0</v>
      </c>
      <c r="AC1087" s="18"/>
      <c r="AD1087" s="18"/>
      <c r="AE1087" s="18"/>
      <c r="AF1087" s="18"/>
      <c r="AG1087" s="18"/>
      <c r="AH1087" s="18">
        <v>0</v>
      </c>
    </row>
    <row r="1088" spans="25:34" x14ac:dyDescent="0.3">
      <c r="Z1088" t="s">
        <v>3223</v>
      </c>
      <c r="AA1088" t="s">
        <v>3227</v>
      </c>
      <c r="AB1088" s="18">
        <v>0</v>
      </c>
      <c r="AC1088" s="18"/>
      <c r="AD1088" s="18"/>
      <c r="AE1088" s="18"/>
      <c r="AF1088" s="18"/>
      <c r="AG1088" s="18"/>
      <c r="AH1088" s="18">
        <v>0</v>
      </c>
    </row>
    <row r="1089" spans="24:34" x14ac:dyDescent="0.3">
      <c r="AA1089" t="s">
        <v>3228</v>
      </c>
      <c r="AB1089" s="18">
        <v>0</v>
      </c>
      <c r="AC1089" s="18"/>
      <c r="AD1089" s="18"/>
      <c r="AE1089" s="18"/>
      <c r="AF1089" s="18"/>
      <c r="AG1089" s="18"/>
      <c r="AH1089" s="18">
        <v>0</v>
      </c>
    </row>
    <row r="1090" spans="24:34" x14ac:dyDescent="0.3">
      <c r="Z1090" t="s">
        <v>3240</v>
      </c>
      <c r="AA1090" t="s">
        <v>3241</v>
      </c>
      <c r="AB1090" s="18">
        <v>0</v>
      </c>
      <c r="AC1090" s="18"/>
      <c r="AD1090" s="18"/>
      <c r="AE1090" s="18"/>
      <c r="AF1090" s="18"/>
      <c r="AG1090" s="18"/>
      <c r="AH1090" s="18">
        <v>0</v>
      </c>
    </row>
    <row r="1091" spans="24:34" x14ac:dyDescent="0.3">
      <c r="AA1091" t="s">
        <v>3242</v>
      </c>
      <c r="AB1091" s="18">
        <v>0</v>
      </c>
      <c r="AC1091" s="18"/>
      <c r="AD1091" s="18"/>
      <c r="AE1091" s="18"/>
      <c r="AF1091" s="18"/>
      <c r="AG1091" s="18"/>
      <c r="AH1091" s="18">
        <v>0</v>
      </c>
    </row>
    <row r="1092" spans="24:34" x14ac:dyDescent="0.3">
      <c r="Z1092" t="s">
        <v>3247</v>
      </c>
      <c r="AA1092" t="s">
        <v>3249</v>
      </c>
      <c r="AB1092" s="18">
        <v>0</v>
      </c>
      <c r="AC1092" s="18"/>
      <c r="AD1092" s="18"/>
      <c r="AE1092" s="18"/>
      <c r="AF1092" s="18"/>
      <c r="AG1092" s="18"/>
      <c r="AH1092" s="18">
        <v>0</v>
      </c>
    </row>
    <row r="1093" spans="24:34" x14ac:dyDescent="0.3">
      <c r="AA1093" t="s">
        <v>3250</v>
      </c>
      <c r="AB1093" s="18">
        <v>0</v>
      </c>
      <c r="AC1093" s="18"/>
      <c r="AD1093" s="18"/>
      <c r="AE1093" s="18"/>
      <c r="AF1093" s="18"/>
      <c r="AG1093" s="18"/>
      <c r="AH1093" s="18">
        <v>0</v>
      </c>
    </row>
    <row r="1094" spans="24:34" x14ac:dyDescent="0.3">
      <c r="Z1094" t="s">
        <v>3262</v>
      </c>
      <c r="AA1094" t="s">
        <v>3263</v>
      </c>
      <c r="AB1094" s="18">
        <v>0</v>
      </c>
      <c r="AC1094" s="18"/>
      <c r="AD1094" s="18"/>
      <c r="AE1094" s="18"/>
      <c r="AF1094" s="18"/>
      <c r="AG1094" s="18"/>
      <c r="AH1094" s="18">
        <v>0</v>
      </c>
    </row>
    <row r="1095" spans="24:34" x14ac:dyDescent="0.3">
      <c r="AA1095" t="s">
        <v>3264</v>
      </c>
      <c r="AB1095" s="18">
        <v>0</v>
      </c>
      <c r="AC1095" s="18"/>
      <c r="AD1095" s="18"/>
      <c r="AE1095" s="18"/>
      <c r="AF1095" s="18"/>
      <c r="AG1095" s="18"/>
      <c r="AH1095" s="18">
        <v>0</v>
      </c>
    </row>
    <row r="1096" spans="24:34" x14ac:dyDescent="0.3">
      <c r="Z1096" t="s">
        <v>3271</v>
      </c>
      <c r="AA1096" t="s">
        <v>3273</v>
      </c>
      <c r="AB1096" s="18">
        <v>0</v>
      </c>
      <c r="AC1096" s="18"/>
      <c r="AD1096" s="18"/>
      <c r="AE1096" s="18"/>
      <c r="AF1096" s="18"/>
      <c r="AG1096" s="18"/>
      <c r="AH1096" s="18">
        <v>0</v>
      </c>
    </row>
    <row r="1097" spans="24:34" x14ac:dyDescent="0.3">
      <c r="Y1097">
        <v>4</v>
      </c>
      <c r="Z1097" s="57">
        <v>45388</v>
      </c>
      <c r="AA1097" t="s">
        <v>2511</v>
      </c>
      <c r="AB1097" s="18">
        <v>0</v>
      </c>
      <c r="AC1097" s="18"/>
      <c r="AD1097" s="18"/>
      <c r="AE1097" s="18"/>
      <c r="AF1097" s="18"/>
      <c r="AG1097" s="18"/>
      <c r="AH1097" s="18">
        <v>0</v>
      </c>
    </row>
    <row r="1098" spans="24:34" x14ac:dyDescent="0.3">
      <c r="Z1098" s="57">
        <v>45394</v>
      </c>
      <c r="AA1098" t="s">
        <v>2513</v>
      </c>
      <c r="AB1098" s="18">
        <v>0</v>
      </c>
      <c r="AC1098" s="18"/>
      <c r="AD1098" s="18"/>
      <c r="AE1098" s="18"/>
      <c r="AF1098" s="18"/>
      <c r="AG1098" s="18"/>
      <c r="AH1098" s="18">
        <v>0</v>
      </c>
    </row>
    <row r="1099" spans="24:34" x14ac:dyDescent="0.3">
      <c r="AA1099" t="s">
        <v>2514</v>
      </c>
      <c r="AB1099" s="18">
        <v>0</v>
      </c>
      <c r="AC1099" s="18"/>
      <c r="AD1099" s="18"/>
      <c r="AE1099" s="18"/>
      <c r="AF1099" s="18"/>
      <c r="AG1099" s="18"/>
      <c r="AH1099" s="18">
        <v>0</v>
      </c>
    </row>
    <row r="1100" spans="24:34" x14ac:dyDescent="0.3">
      <c r="Z1100" s="57">
        <v>45411</v>
      </c>
      <c r="AA1100" t="s">
        <v>2526</v>
      </c>
      <c r="AB1100" s="18">
        <v>0</v>
      </c>
      <c r="AC1100" s="18"/>
      <c r="AD1100" s="18"/>
      <c r="AE1100" s="18"/>
      <c r="AF1100" s="18"/>
      <c r="AG1100" s="18"/>
      <c r="AH1100" s="18">
        <v>0</v>
      </c>
    </row>
    <row r="1101" spans="24:34" x14ac:dyDescent="0.3">
      <c r="AA1101" t="s">
        <v>2528</v>
      </c>
      <c r="AB1101" s="18">
        <v>0</v>
      </c>
      <c r="AC1101" s="18"/>
      <c r="AD1101" s="18"/>
      <c r="AE1101" s="18"/>
      <c r="AF1101" s="18"/>
      <c r="AG1101" s="18"/>
      <c r="AH1101" s="18">
        <v>0</v>
      </c>
    </row>
    <row r="1102" spans="24:34" x14ac:dyDescent="0.3">
      <c r="X1102">
        <v>2025</v>
      </c>
      <c r="Y1102">
        <v>1</v>
      </c>
      <c r="Z1102" s="57">
        <v>45660</v>
      </c>
      <c r="AA1102" t="s">
        <v>3336</v>
      </c>
      <c r="AB1102" s="18">
        <v>0</v>
      </c>
      <c r="AC1102" s="18"/>
      <c r="AD1102" s="18"/>
      <c r="AE1102" s="18"/>
      <c r="AF1102" s="18"/>
      <c r="AG1102" s="18"/>
      <c r="AH1102" s="18">
        <v>0</v>
      </c>
    </row>
    <row r="1103" spans="24:34" x14ac:dyDescent="0.3">
      <c r="AA1103" t="s">
        <v>3337</v>
      </c>
      <c r="AB1103" s="18">
        <v>0</v>
      </c>
      <c r="AC1103" s="18"/>
      <c r="AD1103" s="18"/>
      <c r="AE1103" s="18"/>
      <c r="AF1103" s="18"/>
      <c r="AG1103" s="18"/>
      <c r="AH1103" s="18">
        <v>0</v>
      </c>
    </row>
    <row r="1104" spans="24:34" x14ac:dyDescent="0.3">
      <c r="Z1104" s="57">
        <v>45665</v>
      </c>
      <c r="AA1104" t="s">
        <v>3341</v>
      </c>
      <c r="AB1104" s="18">
        <v>0</v>
      </c>
      <c r="AC1104" s="18"/>
      <c r="AD1104" s="18"/>
      <c r="AE1104" s="18"/>
      <c r="AF1104" s="18"/>
      <c r="AG1104" s="18"/>
      <c r="AH1104" s="18">
        <v>0</v>
      </c>
    </row>
    <row r="1105" spans="25:34" x14ac:dyDescent="0.3">
      <c r="AA1105" t="s">
        <v>3342</v>
      </c>
      <c r="AB1105" s="18">
        <v>0</v>
      </c>
      <c r="AC1105" s="18"/>
      <c r="AD1105" s="18"/>
      <c r="AE1105" s="18"/>
      <c r="AF1105" s="18"/>
      <c r="AG1105" s="18"/>
      <c r="AH1105" s="18">
        <v>0</v>
      </c>
    </row>
    <row r="1106" spans="25:34" x14ac:dyDescent="0.3">
      <c r="Z1106" s="57">
        <v>45667</v>
      </c>
      <c r="AA1106" t="s">
        <v>3343</v>
      </c>
      <c r="AB1106" s="18">
        <v>0</v>
      </c>
      <c r="AC1106" s="18"/>
      <c r="AD1106" s="18"/>
      <c r="AE1106" s="18"/>
      <c r="AF1106" s="18"/>
      <c r="AG1106" s="18"/>
      <c r="AH1106" s="18">
        <v>0</v>
      </c>
    </row>
    <row r="1107" spans="25:34" x14ac:dyDescent="0.3">
      <c r="AA1107" t="s">
        <v>3344</v>
      </c>
      <c r="AB1107" s="18">
        <v>0</v>
      </c>
      <c r="AC1107" s="18"/>
      <c r="AD1107" s="18"/>
      <c r="AE1107" s="18"/>
      <c r="AF1107" s="18"/>
      <c r="AG1107" s="18"/>
      <c r="AH1107" s="18">
        <v>0</v>
      </c>
    </row>
    <row r="1108" spans="25:34" x14ac:dyDescent="0.3">
      <c r="Z1108" s="57">
        <v>45671</v>
      </c>
      <c r="AA1108" t="s">
        <v>3346</v>
      </c>
      <c r="AB1108" s="18">
        <v>0</v>
      </c>
      <c r="AC1108" s="18"/>
      <c r="AD1108" s="18"/>
      <c r="AE1108" s="18"/>
      <c r="AF1108" s="18"/>
      <c r="AG1108" s="18"/>
      <c r="AH1108" s="18">
        <v>0</v>
      </c>
    </row>
    <row r="1109" spans="25:34" x14ac:dyDescent="0.3">
      <c r="AA1109" t="s">
        <v>3347</v>
      </c>
      <c r="AB1109" s="18">
        <v>0</v>
      </c>
      <c r="AC1109" s="18"/>
      <c r="AD1109" s="18"/>
      <c r="AE1109" s="18"/>
      <c r="AF1109" s="18"/>
      <c r="AG1109" s="18"/>
      <c r="AH1109" s="18">
        <v>0</v>
      </c>
    </row>
    <row r="1110" spans="25:34" x14ac:dyDescent="0.3">
      <c r="Z1110" s="57">
        <v>45673</v>
      </c>
      <c r="AA1110" t="s">
        <v>3350</v>
      </c>
      <c r="AB1110" s="18">
        <v>0</v>
      </c>
      <c r="AC1110" s="18"/>
      <c r="AD1110" s="18"/>
      <c r="AE1110" s="18"/>
      <c r="AF1110" s="18"/>
      <c r="AG1110" s="18"/>
      <c r="AH1110" s="18">
        <v>0</v>
      </c>
    </row>
    <row r="1111" spans="25:34" x14ac:dyDescent="0.3">
      <c r="Z1111" s="57">
        <v>45674</v>
      </c>
      <c r="AA1111" t="s">
        <v>3351</v>
      </c>
      <c r="AB1111" s="18">
        <v>0</v>
      </c>
      <c r="AC1111" s="18"/>
      <c r="AD1111" s="18"/>
      <c r="AE1111" s="18"/>
      <c r="AF1111" s="18"/>
      <c r="AG1111" s="18"/>
      <c r="AH1111" s="18">
        <v>0</v>
      </c>
    </row>
    <row r="1112" spans="25:34" x14ac:dyDescent="0.3">
      <c r="AA1112" t="s">
        <v>3352</v>
      </c>
      <c r="AB1112" s="18">
        <v>0</v>
      </c>
      <c r="AC1112" s="18"/>
      <c r="AD1112" s="18"/>
      <c r="AE1112" s="18"/>
      <c r="AF1112" s="18"/>
      <c r="AG1112" s="18"/>
      <c r="AH1112" s="18">
        <v>0</v>
      </c>
    </row>
    <row r="1113" spans="25:34" x14ac:dyDescent="0.3">
      <c r="Z1113" s="57">
        <v>45678</v>
      </c>
      <c r="AA1113" t="s">
        <v>3355</v>
      </c>
      <c r="AB1113" s="18">
        <v>0</v>
      </c>
      <c r="AC1113" s="18"/>
      <c r="AD1113" s="18"/>
      <c r="AE1113" s="18"/>
      <c r="AF1113" s="18"/>
      <c r="AG1113" s="18"/>
      <c r="AH1113" s="18">
        <v>0</v>
      </c>
    </row>
    <row r="1114" spans="25:34" x14ac:dyDescent="0.3">
      <c r="AA1114" t="s">
        <v>3356</v>
      </c>
      <c r="AB1114" s="18">
        <v>0</v>
      </c>
      <c r="AC1114" s="18"/>
      <c r="AD1114" s="18"/>
      <c r="AE1114" s="18"/>
      <c r="AF1114" s="18"/>
      <c r="AG1114" s="18"/>
      <c r="AH1114" s="18">
        <v>0</v>
      </c>
    </row>
    <row r="1115" spans="25:34" x14ac:dyDescent="0.3">
      <c r="Z1115" s="57">
        <v>45684</v>
      </c>
      <c r="AA1115" t="s">
        <v>3362</v>
      </c>
      <c r="AB1115" s="18">
        <v>0</v>
      </c>
      <c r="AC1115" s="18"/>
      <c r="AD1115" s="18"/>
      <c r="AE1115" s="18"/>
      <c r="AF1115" s="18"/>
      <c r="AG1115" s="18"/>
      <c r="AH1115" s="18">
        <v>0</v>
      </c>
    </row>
    <row r="1116" spans="25:34" x14ac:dyDescent="0.3">
      <c r="AA1116" t="s">
        <v>3363</v>
      </c>
      <c r="AB1116" s="18">
        <v>0</v>
      </c>
      <c r="AC1116" s="18"/>
      <c r="AD1116" s="18"/>
      <c r="AE1116" s="18"/>
      <c r="AF1116" s="18"/>
      <c r="AG1116" s="18"/>
      <c r="AH1116" s="18">
        <v>0</v>
      </c>
    </row>
    <row r="1117" spans="25:34" x14ac:dyDescent="0.3">
      <c r="Y1117">
        <v>2</v>
      </c>
      <c r="Z1117" s="57">
        <v>45691</v>
      </c>
      <c r="AA1117" t="s">
        <v>3443</v>
      </c>
      <c r="AB1117" s="18">
        <v>0</v>
      </c>
      <c r="AC1117" s="18"/>
      <c r="AD1117" s="18"/>
      <c r="AE1117" s="18"/>
      <c r="AF1117" s="18"/>
      <c r="AG1117" s="18"/>
      <c r="AH1117" s="18">
        <v>0</v>
      </c>
    </row>
    <row r="1118" spans="25:34" x14ac:dyDescent="0.3">
      <c r="AA1118" t="s">
        <v>3444</v>
      </c>
      <c r="AB1118" s="18">
        <v>0</v>
      </c>
      <c r="AC1118" s="18"/>
      <c r="AD1118" s="18"/>
      <c r="AE1118" s="18"/>
      <c r="AF1118" s="18"/>
      <c r="AG1118" s="18"/>
      <c r="AH1118" s="18">
        <v>0</v>
      </c>
    </row>
    <row r="1119" spans="25:34" x14ac:dyDescent="0.3">
      <c r="Z1119" s="57">
        <v>45693</v>
      </c>
      <c r="AA1119" t="s">
        <v>3445</v>
      </c>
      <c r="AB1119" s="18">
        <v>0</v>
      </c>
      <c r="AC1119" s="18"/>
      <c r="AD1119" s="18"/>
      <c r="AE1119" s="18"/>
      <c r="AF1119" s="18"/>
      <c r="AG1119" s="18"/>
      <c r="AH1119" s="18">
        <v>0</v>
      </c>
    </row>
    <row r="1120" spans="25:34" x14ac:dyDescent="0.3">
      <c r="AA1120" t="s">
        <v>3446</v>
      </c>
      <c r="AB1120" s="18">
        <v>0</v>
      </c>
      <c r="AC1120" s="18"/>
      <c r="AD1120" s="18"/>
      <c r="AE1120" s="18"/>
      <c r="AF1120" s="18"/>
      <c r="AG1120" s="18"/>
      <c r="AH1120" s="18">
        <v>0</v>
      </c>
    </row>
    <row r="1121" spans="25:34" x14ac:dyDescent="0.3">
      <c r="Z1121" s="57">
        <v>45699</v>
      </c>
      <c r="AA1121" t="s">
        <v>3449</v>
      </c>
      <c r="AB1121" s="18">
        <v>0</v>
      </c>
      <c r="AC1121" s="18"/>
      <c r="AD1121" s="18"/>
      <c r="AE1121" s="18"/>
      <c r="AF1121" s="18"/>
      <c r="AG1121" s="18"/>
      <c r="AH1121" s="18">
        <v>0</v>
      </c>
    </row>
    <row r="1122" spans="25:34" x14ac:dyDescent="0.3">
      <c r="AA1122" t="s">
        <v>3450</v>
      </c>
      <c r="AB1122" s="18">
        <v>0</v>
      </c>
      <c r="AC1122" s="18"/>
      <c r="AD1122" s="18"/>
      <c r="AE1122" s="18"/>
      <c r="AF1122" s="18"/>
      <c r="AG1122" s="18"/>
      <c r="AH1122" s="18">
        <v>0</v>
      </c>
    </row>
    <row r="1123" spans="25:34" x14ac:dyDescent="0.3">
      <c r="Z1123" s="57">
        <v>45705</v>
      </c>
      <c r="AA1123" t="s">
        <v>3458</v>
      </c>
      <c r="AB1123" s="18">
        <v>0</v>
      </c>
      <c r="AC1123" s="18"/>
      <c r="AD1123" s="18"/>
      <c r="AE1123" s="18"/>
      <c r="AF1123" s="18"/>
      <c r="AG1123" s="18"/>
      <c r="AH1123" s="18">
        <v>0</v>
      </c>
    </row>
    <row r="1124" spans="25:34" x14ac:dyDescent="0.3">
      <c r="AA1124" t="s">
        <v>3459</v>
      </c>
      <c r="AB1124" s="18">
        <v>0</v>
      </c>
      <c r="AC1124" s="18"/>
      <c r="AD1124" s="18"/>
      <c r="AE1124" s="18"/>
      <c r="AF1124" s="18"/>
      <c r="AG1124" s="18"/>
      <c r="AH1124" s="18">
        <v>0</v>
      </c>
    </row>
    <row r="1125" spans="25:34" x14ac:dyDescent="0.3">
      <c r="Z1125" s="57">
        <v>45707</v>
      </c>
      <c r="AA1125" t="s">
        <v>3464</v>
      </c>
      <c r="AB1125" s="18">
        <v>0</v>
      </c>
      <c r="AC1125" s="18"/>
      <c r="AD1125" s="18"/>
      <c r="AE1125" s="18"/>
      <c r="AF1125" s="18"/>
      <c r="AG1125" s="18"/>
      <c r="AH1125" s="18">
        <v>0</v>
      </c>
    </row>
    <row r="1126" spans="25:34" x14ac:dyDescent="0.3">
      <c r="AA1126" t="s">
        <v>3465</v>
      </c>
      <c r="AB1126" s="18">
        <v>0</v>
      </c>
      <c r="AC1126" s="18"/>
      <c r="AD1126" s="18"/>
      <c r="AE1126" s="18"/>
      <c r="AF1126" s="18"/>
      <c r="AG1126" s="18"/>
      <c r="AH1126" s="18">
        <v>0</v>
      </c>
    </row>
    <row r="1127" spans="25:34" x14ac:dyDescent="0.3">
      <c r="Z1127" s="57">
        <v>45712</v>
      </c>
      <c r="AA1127" t="s">
        <v>3466</v>
      </c>
      <c r="AB1127" s="18">
        <v>0</v>
      </c>
      <c r="AC1127" s="18"/>
      <c r="AD1127" s="18"/>
      <c r="AE1127" s="18"/>
      <c r="AF1127" s="18"/>
      <c r="AG1127" s="18"/>
      <c r="AH1127" s="18">
        <v>0</v>
      </c>
    </row>
    <row r="1128" spans="25:34" x14ac:dyDescent="0.3">
      <c r="AA1128" t="s">
        <v>3467</v>
      </c>
      <c r="AB1128" s="18">
        <v>0</v>
      </c>
      <c r="AC1128" s="18"/>
      <c r="AD1128" s="18"/>
      <c r="AE1128" s="18"/>
      <c r="AF1128" s="18"/>
      <c r="AG1128" s="18"/>
      <c r="AH1128" s="18">
        <v>0</v>
      </c>
    </row>
    <row r="1129" spans="25:34" x14ac:dyDescent="0.3">
      <c r="Y1129">
        <v>3</v>
      </c>
      <c r="Z1129" s="57">
        <v>45720</v>
      </c>
      <c r="AA1129" t="s">
        <v>3516</v>
      </c>
      <c r="AB1129" s="18">
        <v>0</v>
      </c>
      <c r="AC1129" s="18"/>
      <c r="AD1129" s="18"/>
      <c r="AE1129" s="18"/>
      <c r="AF1129" s="18"/>
      <c r="AG1129" s="18"/>
      <c r="AH1129" s="18">
        <v>0</v>
      </c>
    </row>
    <row r="1130" spans="25:34" x14ac:dyDescent="0.3">
      <c r="AA1130" t="s">
        <v>3517</v>
      </c>
      <c r="AB1130" s="18">
        <v>0</v>
      </c>
      <c r="AC1130" s="18"/>
      <c r="AD1130" s="18"/>
      <c r="AE1130" s="18"/>
      <c r="AF1130" s="18"/>
      <c r="AG1130" s="18"/>
      <c r="AH1130" s="18">
        <v>0</v>
      </c>
    </row>
    <row r="1131" spans="25:34" x14ac:dyDescent="0.3">
      <c r="Z1131" s="57">
        <v>45723</v>
      </c>
      <c r="AA1131" t="s">
        <v>3521</v>
      </c>
      <c r="AB1131" s="18">
        <v>0</v>
      </c>
      <c r="AC1131" s="18"/>
      <c r="AD1131" s="18"/>
      <c r="AE1131" s="18"/>
      <c r="AF1131" s="18"/>
      <c r="AG1131" s="18"/>
      <c r="AH1131" s="18">
        <v>0</v>
      </c>
    </row>
    <row r="1132" spans="25:34" x14ac:dyDescent="0.3">
      <c r="Z1132" s="57">
        <v>45726</v>
      </c>
      <c r="AA1132" t="s">
        <v>3522</v>
      </c>
      <c r="AB1132" s="18">
        <v>0</v>
      </c>
      <c r="AC1132" s="18"/>
      <c r="AD1132" s="18"/>
      <c r="AE1132" s="18"/>
      <c r="AF1132" s="18"/>
      <c r="AG1132" s="18"/>
      <c r="AH1132" s="18">
        <v>0</v>
      </c>
    </row>
    <row r="1133" spans="25:34" x14ac:dyDescent="0.3">
      <c r="AA1133" t="s">
        <v>3523</v>
      </c>
      <c r="AB1133" s="18">
        <v>0</v>
      </c>
      <c r="AC1133" s="18"/>
      <c r="AD1133" s="18"/>
      <c r="AE1133" s="18"/>
      <c r="AF1133" s="18"/>
      <c r="AG1133" s="18"/>
      <c r="AH1133" s="18">
        <v>0</v>
      </c>
    </row>
    <row r="1134" spans="25:34" x14ac:dyDescent="0.3">
      <c r="Z1134" s="57">
        <v>45731</v>
      </c>
      <c r="AA1134" t="s">
        <v>3534</v>
      </c>
      <c r="AB1134" s="18">
        <v>0</v>
      </c>
      <c r="AC1134" s="18"/>
      <c r="AD1134" s="18"/>
      <c r="AE1134" s="18"/>
      <c r="AF1134" s="18"/>
      <c r="AG1134" s="18"/>
      <c r="AH1134" s="18">
        <v>0</v>
      </c>
    </row>
    <row r="1135" spans="25:34" x14ac:dyDescent="0.3">
      <c r="AA1135" t="s">
        <v>3535</v>
      </c>
      <c r="AB1135" s="18">
        <v>0</v>
      </c>
      <c r="AC1135" s="18"/>
      <c r="AD1135" s="18"/>
      <c r="AE1135" s="18"/>
      <c r="AF1135" s="18"/>
      <c r="AG1135" s="18"/>
      <c r="AH1135" s="18">
        <v>0</v>
      </c>
    </row>
    <row r="1136" spans="25:34" x14ac:dyDescent="0.3">
      <c r="Z1136" s="57">
        <v>45736</v>
      </c>
      <c r="AA1136" t="s">
        <v>3542</v>
      </c>
      <c r="AB1136" s="18">
        <v>0</v>
      </c>
      <c r="AC1136" s="18"/>
      <c r="AD1136" s="18"/>
      <c r="AE1136" s="18"/>
      <c r="AF1136" s="18"/>
      <c r="AG1136" s="18"/>
      <c r="AH1136" s="18">
        <v>0</v>
      </c>
    </row>
    <row r="1137" spans="25:34" x14ac:dyDescent="0.3">
      <c r="AA1137" t="s">
        <v>3543</v>
      </c>
      <c r="AB1137" s="18">
        <v>0</v>
      </c>
      <c r="AC1137" s="18"/>
      <c r="AD1137" s="18"/>
      <c r="AE1137" s="18"/>
      <c r="AF1137" s="18"/>
      <c r="AG1137" s="18"/>
      <c r="AH1137" s="18">
        <v>0</v>
      </c>
    </row>
    <row r="1138" spans="25:34" x14ac:dyDescent="0.3">
      <c r="Z1138" s="57">
        <v>45738</v>
      </c>
      <c r="AA1138" t="s">
        <v>3544</v>
      </c>
      <c r="AB1138" s="18">
        <v>0</v>
      </c>
      <c r="AC1138" s="18"/>
      <c r="AD1138" s="18"/>
      <c r="AE1138" s="18"/>
      <c r="AF1138" s="18"/>
      <c r="AG1138" s="18"/>
      <c r="AH1138" s="18">
        <v>0</v>
      </c>
    </row>
    <row r="1139" spans="25:34" x14ac:dyDescent="0.3">
      <c r="Z1139" s="57">
        <v>45740</v>
      </c>
      <c r="AA1139" t="s">
        <v>3546</v>
      </c>
      <c r="AB1139" s="18">
        <v>0</v>
      </c>
      <c r="AC1139" s="18"/>
      <c r="AD1139" s="18"/>
      <c r="AE1139" s="18"/>
      <c r="AF1139" s="18"/>
      <c r="AG1139" s="18"/>
      <c r="AH1139" s="18">
        <v>0</v>
      </c>
    </row>
    <row r="1140" spans="25:34" x14ac:dyDescent="0.3">
      <c r="AA1140" t="s">
        <v>3547</v>
      </c>
      <c r="AB1140" s="18">
        <v>29097.200000000001</v>
      </c>
      <c r="AC1140" s="18"/>
      <c r="AD1140" s="18"/>
      <c r="AE1140" s="18"/>
      <c r="AF1140" s="18"/>
      <c r="AG1140" s="18"/>
      <c r="AH1140" s="18">
        <v>29097.200000000001</v>
      </c>
    </row>
    <row r="1141" spans="25:34" x14ac:dyDescent="0.3">
      <c r="Z1141" s="57">
        <v>45744</v>
      </c>
      <c r="AA1141" t="s">
        <v>3550</v>
      </c>
      <c r="AB1141" s="18">
        <v>375</v>
      </c>
      <c r="AC1141" s="18"/>
      <c r="AD1141" s="18"/>
      <c r="AE1141" s="18"/>
      <c r="AF1141" s="18"/>
      <c r="AG1141" s="18"/>
      <c r="AH1141" s="18">
        <v>375</v>
      </c>
    </row>
    <row r="1142" spans="25:34" x14ac:dyDescent="0.3">
      <c r="AA1142" t="s">
        <v>3551</v>
      </c>
      <c r="AB1142" s="18">
        <v>35195.599999999999</v>
      </c>
      <c r="AC1142" s="18"/>
      <c r="AD1142" s="18"/>
      <c r="AE1142" s="18"/>
      <c r="AF1142" s="18"/>
      <c r="AG1142" s="18"/>
      <c r="AH1142" s="18">
        <v>35195.599999999999</v>
      </c>
    </row>
    <row r="1143" spans="25:34" x14ac:dyDescent="0.3">
      <c r="Y1143">
        <v>5</v>
      </c>
      <c r="Z1143" t="s">
        <v>3700</v>
      </c>
      <c r="AA1143" t="s">
        <v>3704</v>
      </c>
      <c r="AB1143" s="18">
        <v>187.5</v>
      </c>
      <c r="AC1143" s="18"/>
      <c r="AD1143" s="18"/>
      <c r="AE1143" s="18"/>
      <c r="AF1143" s="18"/>
      <c r="AG1143" s="18"/>
      <c r="AH1143" s="18">
        <v>187.5</v>
      </c>
    </row>
    <row r="1144" spans="25:34" x14ac:dyDescent="0.3">
      <c r="AA1144" t="s">
        <v>3705</v>
      </c>
      <c r="AB1144" s="18">
        <v>14095.5</v>
      </c>
      <c r="AC1144" s="18"/>
      <c r="AD1144" s="18"/>
      <c r="AE1144" s="18"/>
      <c r="AF1144" s="18"/>
      <c r="AG1144" s="18"/>
      <c r="AH1144" s="18">
        <v>14095.5</v>
      </c>
    </row>
    <row r="1145" spans="25:34" x14ac:dyDescent="0.3">
      <c r="Z1145" t="s">
        <v>3709</v>
      </c>
      <c r="AA1145" t="s">
        <v>3710</v>
      </c>
      <c r="AB1145" s="18">
        <v>187.5</v>
      </c>
      <c r="AC1145" s="18"/>
      <c r="AD1145" s="18"/>
      <c r="AE1145" s="18"/>
      <c r="AF1145" s="18"/>
      <c r="AG1145" s="18"/>
      <c r="AH1145" s="18">
        <v>187.5</v>
      </c>
    </row>
    <row r="1146" spans="25:34" x14ac:dyDescent="0.3">
      <c r="AA1146" t="s">
        <v>3711</v>
      </c>
      <c r="AB1146" s="18">
        <v>16434.5</v>
      </c>
      <c r="AC1146" s="18"/>
      <c r="AD1146" s="18"/>
      <c r="AE1146" s="18"/>
      <c r="AF1146" s="18"/>
      <c r="AG1146" s="18"/>
      <c r="AH1146" s="18">
        <v>16434.5</v>
      </c>
    </row>
    <row r="1147" spans="25:34" x14ac:dyDescent="0.3">
      <c r="Z1147" t="s">
        <v>3713</v>
      </c>
      <c r="AA1147" t="s">
        <v>3714</v>
      </c>
      <c r="AB1147" s="18">
        <v>125</v>
      </c>
      <c r="AC1147" s="18"/>
      <c r="AD1147" s="18"/>
      <c r="AE1147" s="18"/>
      <c r="AF1147" s="18"/>
      <c r="AG1147" s="18"/>
      <c r="AH1147" s="18">
        <v>125</v>
      </c>
    </row>
    <row r="1148" spans="25:34" x14ac:dyDescent="0.3">
      <c r="AA1148" t="s">
        <v>3715</v>
      </c>
      <c r="AB1148" s="18">
        <v>15506.5</v>
      </c>
      <c r="AC1148" s="18"/>
      <c r="AD1148" s="18"/>
      <c r="AE1148" s="18"/>
      <c r="AF1148" s="18"/>
      <c r="AG1148" s="18"/>
      <c r="AH1148" s="18">
        <v>15506.5</v>
      </c>
    </row>
    <row r="1149" spans="25:34" x14ac:dyDescent="0.3">
      <c r="Z1149" t="s">
        <v>3716</v>
      </c>
      <c r="AA1149" t="s">
        <v>3717</v>
      </c>
      <c r="AB1149" s="18">
        <v>125</v>
      </c>
      <c r="AC1149" s="18"/>
      <c r="AD1149" s="18"/>
      <c r="AE1149" s="18"/>
      <c r="AF1149" s="18"/>
      <c r="AG1149" s="18"/>
      <c r="AH1149" s="18">
        <v>125</v>
      </c>
    </row>
    <row r="1150" spans="25:34" x14ac:dyDescent="0.3">
      <c r="AA1150" t="s">
        <v>3718</v>
      </c>
      <c r="AB1150" s="18">
        <v>7417.2</v>
      </c>
      <c r="AC1150" s="18"/>
      <c r="AD1150" s="18"/>
      <c r="AE1150" s="18"/>
      <c r="AF1150" s="18"/>
      <c r="AG1150" s="18"/>
      <c r="AH1150" s="18">
        <v>7417.2</v>
      </c>
    </row>
    <row r="1151" spans="25:34" x14ac:dyDescent="0.3">
      <c r="Z1151" t="s">
        <v>3719</v>
      </c>
      <c r="AA1151" t="s">
        <v>3722</v>
      </c>
      <c r="AB1151" s="18">
        <v>4389.8999999999996</v>
      </c>
      <c r="AC1151" s="18"/>
      <c r="AD1151" s="18"/>
      <c r="AE1151" s="18"/>
      <c r="AF1151" s="18"/>
      <c r="AG1151" s="18"/>
      <c r="AH1151" s="18">
        <v>4389.8999999999996</v>
      </c>
    </row>
    <row r="1152" spans="25:34" x14ac:dyDescent="0.3">
      <c r="Z1152" t="s">
        <v>3726</v>
      </c>
      <c r="AA1152" t="s">
        <v>3727</v>
      </c>
      <c r="AB1152" s="18">
        <v>62.5</v>
      </c>
      <c r="AC1152" s="18"/>
      <c r="AD1152" s="18"/>
      <c r="AE1152" s="18"/>
      <c r="AF1152" s="18"/>
      <c r="AG1152" s="18"/>
      <c r="AH1152" s="18">
        <v>62.5</v>
      </c>
    </row>
    <row r="1153" spans="25:34" x14ac:dyDescent="0.3">
      <c r="AA1153" t="s">
        <v>3728</v>
      </c>
      <c r="AB1153" s="18">
        <v>4204.8999999999996</v>
      </c>
      <c r="AC1153" s="18"/>
      <c r="AD1153" s="18"/>
      <c r="AE1153" s="18"/>
      <c r="AF1153" s="18"/>
      <c r="AG1153" s="18"/>
      <c r="AH1153" s="18">
        <v>4204.8999999999996</v>
      </c>
    </row>
    <row r="1154" spans="25:34" x14ac:dyDescent="0.3">
      <c r="Z1154" t="s">
        <v>3729</v>
      </c>
      <c r="AA1154" t="s">
        <v>3730</v>
      </c>
      <c r="AB1154" s="18">
        <v>187.5</v>
      </c>
      <c r="AC1154" s="18"/>
      <c r="AD1154" s="18"/>
      <c r="AE1154" s="18"/>
      <c r="AF1154" s="18"/>
      <c r="AG1154" s="18"/>
      <c r="AH1154" s="18">
        <v>187.5</v>
      </c>
    </row>
    <row r="1155" spans="25:34" x14ac:dyDescent="0.3">
      <c r="AA1155" t="s">
        <v>3731</v>
      </c>
      <c r="AB1155" s="18">
        <v>16133.5</v>
      </c>
      <c r="AC1155" s="18"/>
      <c r="AD1155" s="18"/>
      <c r="AE1155" s="18"/>
      <c r="AF1155" s="18"/>
      <c r="AG1155" s="18"/>
      <c r="AH1155" s="18">
        <v>16133.5</v>
      </c>
    </row>
    <row r="1156" spans="25:34" x14ac:dyDescent="0.3">
      <c r="Z1156" t="s">
        <v>3732</v>
      </c>
      <c r="AA1156" t="s">
        <v>3733</v>
      </c>
      <c r="AB1156" s="18">
        <v>4195</v>
      </c>
      <c r="AC1156" s="18"/>
      <c r="AD1156" s="18"/>
      <c r="AE1156" s="18"/>
      <c r="AF1156" s="18"/>
      <c r="AG1156" s="18"/>
      <c r="AH1156" s="18">
        <v>4195</v>
      </c>
    </row>
    <row r="1157" spans="25:34" x14ac:dyDescent="0.3">
      <c r="Z1157" t="s">
        <v>3734</v>
      </c>
      <c r="AA1157" t="s">
        <v>3735</v>
      </c>
      <c r="AB1157" s="18">
        <v>7159.8</v>
      </c>
      <c r="AC1157" s="18"/>
      <c r="AD1157" s="18"/>
      <c r="AE1157" s="18"/>
      <c r="AF1157" s="18"/>
      <c r="AG1157" s="18"/>
      <c r="AH1157" s="18">
        <v>7159.8</v>
      </c>
    </row>
    <row r="1158" spans="25:34" x14ac:dyDescent="0.3">
      <c r="Z1158" t="s">
        <v>3736</v>
      </c>
      <c r="AA1158" t="s">
        <v>3737</v>
      </c>
      <c r="AB1158" s="18">
        <v>125</v>
      </c>
      <c r="AC1158" s="18"/>
      <c r="AD1158" s="18"/>
      <c r="AE1158" s="18"/>
      <c r="AF1158" s="18"/>
      <c r="AG1158" s="18"/>
      <c r="AH1158" s="18">
        <v>125</v>
      </c>
    </row>
    <row r="1159" spans="25:34" x14ac:dyDescent="0.3">
      <c r="AA1159" t="s">
        <v>3738</v>
      </c>
      <c r="AB1159" s="18">
        <v>9522.2000000000007</v>
      </c>
      <c r="AC1159" s="18"/>
      <c r="AD1159" s="18"/>
      <c r="AE1159" s="18"/>
      <c r="AF1159" s="18"/>
      <c r="AG1159" s="18"/>
      <c r="AH1159" s="18">
        <v>9522.2000000000007</v>
      </c>
    </row>
    <row r="1160" spans="25:34" x14ac:dyDescent="0.3">
      <c r="Z1160" t="s">
        <v>3742</v>
      </c>
      <c r="AA1160" t="s">
        <v>3744</v>
      </c>
      <c r="AB1160" s="18">
        <v>125</v>
      </c>
      <c r="AC1160" s="18"/>
      <c r="AD1160" s="18"/>
      <c r="AE1160" s="18"/>
      <c r="AF1160" s="18"/>
      <c r="AG1160" s="18"/>
      <c r="AH1160" s="18">
        <v>125</v>
      </c>
    </row>
    <row r="1161" spans="25:34" x14ac:dyDescent="0.3">
      <c r="AA1161" t="s">
        <v>3745</v>
      </c>
      <c r="AB1161" s="18">
        <v>7814.7</v>
      </c>
      <c r="AC1161" s="18"/>
      <c r="AD1161" s="18"/>
      <c r="AE1161" s="18"/>
      <c r="AF1161" s="18"/>
      <c r="AG1161" s="18"/>
      <c r="AH1161" s="18">
        <v>7814.7</v>
      </c>
    </row>
    <row r="1162" spans="25:34" x14ac:dyDescent="0.3">
      <c r="Z1162" t="s">
        <v>3746</v>
      </c>
      <c r="AA1162" t="s">
        <v>3747</v>
      </c>
      <c r="AB1162" s="18">
        <v>125</v>
      </c>
      <c r="AC1162" s="18"/>
      <c r="AD1162" s="18"/>
      <c r="AE1162" s="18"/>
      <c r="AF1162" s="18"/>
      <c r="AG1162" s="18"/>
      <c r="AH1162" s="18">
        <v>125</v>
      </c>
    </row>
    <row r="1163" spans="25:34" x14ac:dyDescent="0.3">
      <c r="AA1163" t="s">
        <v>3748</v>
      </c>
      <c r="AB1163" s="18">
        <v>12577.3</v>
      </c>
      <c r="AC1163" s="18"/>
      <c r="AD1163" s="18"/>
      <c r="AE1163" s="18"/>
      <c r="AF1163" s="18"/>
      <c r="AG1163" s="18"/>
      <c r="AH1163" s="18">
        <v>12577.3</v>
      </c>
    </row>
    <row r="1164" spans="25:34" x14ac:dyDescent="0.3">
      <c r="Y1164">
        <v>6</v>
      </c>
      <c r="Z1164" t="s">
        <v>3832</v>
      </c>
      <c r="AA1164" t="s">
        <v>3833</v>
      </c>
      <c r="AB1164" s="18">
        <v>187.5</v>
      </c>
      <c r="AC1164" s="18"/>
      <c r="AD1164" s="18"/>
      <c r="AE1164" s="18"/>
      <c r="AF1164" s="18"/>
      <c r="AG1164" s="18"/>
      <c r="AH1164" s="18">
        <v>187.5</v>
      </c>
    </row>
    <row r="1165" spans="25:34" x14ac:dyDescent="0.3">
      <c r="AA1165" t="s">
        <v>3834</v>
      </c>
      <c r="AB1165" s="18">
        <v>14082</v>
      </c>
      <c r="AC1165" s="18"/>
      <c r="AD1165" s="18"/>
      <c r="AE1165" s="18"/>
      <c r="AF1165" s="18"/>
      <c r="AG1165" s="18"/>
      <c r="AH1165" s="18">
        <v>14082</v>
      </c>
    </row>
    <row r="1166" spans="25:34" x14ac:dyDescent="0.3">
      <c r="Z1166" t="s">
        <v>3843</v>
      </c>
      <c r="AA1166" t="s">
        <v>3844</v>
      </c>
      <c r="AB1166" s="18">
        <v>62.5</v>
      </c>
      <c r="AC1166" s="18"/>
      <c r="AD1166" s="18"/>
      <c r="AE1166" s="18"/>
      <c r="AF1166" s="18"/>
      <c r="AG1166" s="18"/>
      <c r="AH1166" s="18">
        <v>62.5</v>
      </c>
    </row>
    <row r="1167" spans="25:34" x14ac:dyDescent="0.3">
      <c r="AA1167" t="s">
        <v>3845</v>
      </c>
      <c r="AB1167" s="18">
        <v>9894.7000000000007</v>
      </c>
      <c r="AC1167" s="18"/>
      <c r="AD1167" s="18"/>
      <c r="AE1167" s="18"/>
      <c r="AF1167" s="18"/>
      <c r="AG1167" s="18"/>
      <c r="AH1167" s="18">
        <v>9894.7000000000007</v>
      </c>
    </row>
    <row r="1168" spans="25:34" x14ac:dyDescent="0.3">
      <c r="Z1168" t="s">
        <v>3846</v>
      </c>
      <c r="AA1168" t="s">
        <v>3847</v>
      </c>
      <c r="AB1168" s="18">
        <v>62.5</v>
      </c>
      <c r="AC1168" s="18"/>
      <c r="AD1168" s="18"/>
      <c r="AE1168" s="18"/>
      <c r="AF1168" s="18"/>
      <c r="AG1168" s="18"/>
      <c r="AH1168" s="18">
        <v>62.5</v>
      </c>
    </row>
    <row r="1169" spans="25:34" x14ac:dyDescent="0.3">
      <c r="AA1169" t="s">
        <v>3848</v>
      </c>
      <c r="AB1169" s="18">
        <v>6292.3</v>
      </c>
      <c r="AC1169" s="18"/>
      <c r="AD1169" s="18"/>
      <c r="AE1169" s="18"/>
      <c r="AF1169" s="18"/>
      <c r="AG1169" s="18"/>
      <c r="AH1169" s="18">
        <v>6292.3</v>
      </c>
    </row>
    <row r="1170" spans="25:34" x14ac:dyDescent="0.3">
      <c r="Z1170" t="s">
        <v>3855</v>
      </c>
      <c r="AA1170" t="s">
        <v>3856</v>
      </c>
      <c r="AB1170" s="18">
        <v>125</v>
      </c>
      <c r="AC1170" s="18"/>
      <c r="AD1170" s="18"/>
      <c r="AE1170" s="18"/>
      <c r="AF1170" s="18"/>
      <c r="AG1170" s="18"/>
      <c r="AH1170" s="18">
        <v>125</v>
      </c>
    </row>
    <row r="1171" spans="25:34" x14ac:dyDescent="0.3">
      <c r="AA1171" t="s">
        <v>3857</v>
      </c>
      <c r="AB1171" s="18">
        <v>15194.5</v>
      </c>
      <c r="AC1171" s="18"/>
      <c r="AD1171" s="18"/>
      <c r="AE1171" s="18"/>
      <c r="AF1171" s="18"/>
      <c r="AG1171" s="18"/>
      <c r="AH1171" s="18">
        <v>15194.5</v>
      </c>
    </row>
    <row r="1172" spans="25:34" x14ac:dyDescent="0.3">
      <c r="Z1172" t="s">
        <v>3858</v>
      </c>
      <c r="AA1172" t="s">
        <v>3859</v>
      </c>
      <c r="AB1172" s="18">
        <v>250</v>
      </c>
      <c r="AC1172" s="18"/>
      <c r="AD1172" s="18"/>
      <c r="AE1172" s="18"/>
      <c r="AF1172" s="18"/>
      <c r="AG1172" s="18"/>
      <c r="AH1172" s="18">
        <v>250</v>
      </c>
    </row>
    <row r="1173" spans="25:34" x14ac:dyDescent="0.3">
      <c r="AA1173" t="s">
        <v>3860</v>
      </c>
      <c r="AB1173" s="18">
        <v>18796.5</v>
      </c>
      <c r="AC1173" s="18"/>
      <c r="AD1173" s="18"/>
      <c r="AE1173" s="18"/>
      <c r="AF1173" s="18"/>
      <c r="AG1173" s="18"/>
      <c r="AH1173" s="18">
        <v>18796.5</v>
      </c>
    </row>
    <row r="1174" spans="25:34" x14ac:dyDescent="0.3">
      <c r="Z1174" t="s">
        <v>3865</v>
      </c>
      <c r="AA1174" t="s">
        <v>3871</v>
      </c>
      <c r="AB1174" s="18">
        <v>125</v>
      </c>
      <c r="AC1174" s="18"/>
      <c r="AD1174" s="18"/>
      <c r="AE1174" s="18"/>
      <c r="AF1174" s="18"/>
      <c r="AG1174" s="18"/>
      <c r="AH1174" s="18">
        <v>125</v>
      </c>
    </row>
    <row r="1175" spans="25:34" x14ac:dyDescent="0.3">
      <c r="AA1175" t="s">
        <v>3872</v>
      </c>
      <c r="AB1175" s="18">
        <v>14115</v>
      </c>
      <c r="AC1175" s="18"/>
      <c r="AD1175" s="18"/>
      <c r="AE1175" s="18"/>
      <c r="AF1175" s="18"/>
      <c r="AG1175" s="18"/>
      <c r="AH1175" s="18">
        <v>14115</v>
      </c>
    </row>
    <row r="1176" spans="25:34" x14ac:dyDescent="0.3">
      <c r="Z1176" t="s">
        <v>3875</v>
      </c>
      <c r="AA1176" t="s">
        <v>3877</v>
      </c>
      <c r="AB1176" s="18">
        <v>62.5</v>
      </c>
      <c r="AC1176" s="18"/>
      <c r="AD1176" s="18"/>
      <c r="AE1176" s="18"/>
      <c r="AF1176" s="18"/>
      <c r="AG1176" s="18"/>
      <c r="AH1176" s="18">
        <v>62.5</v>
      </c>
    </row>
    <row r="1177" spans="25:34" x14ac:dyDescent="0.3">
      <c r="AA1177" t="s">
        <v>3878</v>
      </c>
      <c r="AB1177" s="18">
        <v>6177</v>
      </c>
      <c r="AC1177" s="18"/>
      <c r="AD1177" s="18"/>
      <c r="AE1177" s="18"/>
      <c r="AF1177" s="18"/>
      <c r="AG1177" s="18"/>
      <c r="AH1177" s="18">
        <v>6177</v>
      </c>
    </row>
    <row r="1178" spans="25:34" x14ac:dyDescent="0.3">
      <c r="Z1178" t="s">
        <v>3879</v>
      </c>
      <c r="AA1178" t="s">
        <v>3880</v>
      </c>
      <c r="AB1178" s="18">
        <v>187.5</v>
      </c>
      <c r="AC1178" s="18"/>
      <c r="AD1178" s="18"/>
      <c r="AE1178" s="18"/>
      <c r="AF1178" s="18"/>
      <c r="AG1178" s="18"/>
      <c r="AH1178" s="18">
        <v>187.5</v>
      </c>
    </row>
    <row r="1179" spans="25:34" x14ac:dyDescent="0.3">
      <c r="AA1179" t="s">
        <v>3881</v>
      </c>
      <c r="AB1179" s="18">
        <v>14115</v>
      </c>
      <c r="AC1179" s="18"/>
      <c r="AD1179" s="18"/>
      <c r="AE1179" s="18"/>
      <c r="AF1179" s="18"/>
      <c r="AG1179" s="18"/>
      <c r="AH1179" s="18">
        <v>14115</v>
      </c>
    </row>
    <row r="1180" spans="25:34" x14ac:dyDescent="0.3">
      <c r="Z1180" t="s">
        <v>3882</v>
      </c>
      <c r="AA1180" t="s">
        <v>3884</v>
      </c>
      <c r="AB1180" s="18">
        <v>187.5</v>
      </c>
      <c r="AC1180" s="18"/>
      <c r="AD1180" s="18"/>
      <c r="AE1180" s="18"/>
      <c r="AF1180" s="18"/>
      <c r="AG1180" s="18"/>
      <c r="AH1180" s="18">
        <v>187.5</v>
      </c>
    </row>
    <row r="1181" spans="25:34" x14ac:dyDescent="0.3">
      <c r="AA1181" t="s">
        <v>3885</v>
      </c>
      <c r="AB1181" s="18">
        <v>13391.5</v>
      </c>
      <c r="AC1181" s="18"/>
      <c r="AD1181" s="18"/>
      <c r="AE1181" s="18"/>
      <c r="AF1181" s="18"/>
      <c r="AG1181" s="18"/>
      <c r="AH1181" s="18">
        <v>13391.5</v>
      </c>
    </row>
    <row r="1182" spans="25:34" x14ac:dyDescent="0.3">
      <c r="Y1182">
        <v>7</v>
      </c>
      <c r="Z1182" t="s">
        <v>3997</v>
      </c>
      <c r="AA1182" t="s">
        <v>3998</v>
      </c>
      <c r="AB1182" s="18">
        <v>62.5</v>
      </c>
      <c r="AC1182" s="18"/>
      <c r="AD1182" s="18"/>
      <c r="AE1182" s="18"/>
      <c r="AF1182" s="18"/>
      <c r="AG1182" s="18"/>
      <c r="AH1182" s="18">
        <v>62.5</v>
      </c>
    </row>
    <row r="1183" spans="25:34" x14ac:dyDescent="0.3">
      <c r="AA1183" t="s">
        <v>3999</v>
      </c>
      <c r="AB1183" s="18">
        <v>5044.5</v>
      </c>
      <c r="AC1183" s="18"/>
      <c r="AD1183" s="18"/>
      <c r="AE1183" s="18"/>
      <c r="AF1183" s="18"/>
      <c r="AG1183" s="18"/>
      <c r="AH1183" s="18">
        <v>5044.5</v>
      </c>
    </row>
    <row r="1184" spans="25:34" x14ac:dyDescent="0.3">
      <c r="Z1184" t="s">
        <v>4001</v>
      </c>
      <c r="AA1184" t="s">
        <v>4002</v>
      </c>
      <c r="AB1184" s="18">
        <v>125</v>
      </c>
      <c r="AC1184" s="18"/>
      <c r="AD1184" s="18"/>
      <c r="AE1184" s="18"/>
      <c r="AF1184" s="18"/>
      <c r="AG1184" s="18"/>
      <c r="AH1184" s="18">
        <v>125</v>
      </c>
    </row>
    <row r="1185" spans="25:34" x14ac:dyDescent="0.3">
      <c r="AA1185" t="s">
        <v>4003</v>
      </c>
      <c r="AB1185" s="18">
        <v>8443</v>
      </c>
      <c r="AC1185" s="18"/>
      <c r="AD1185" s="18"/>
      <c r="AE1185" s="18"/>
      <c r="AF1185" s="18"/>
      <c r="AG1185" s="18"/>
      <c r="AH1185" s="18">
        <v>8443</v>
      </c>
    </row>
    <row r="1186" spans="25:34" x14ac:dyDescent="0.3">
      <c r="Z1186" t="s">
        <v>4008</v>
      </c>
      <c r="AA1186" t="s">
        <v>4009</v>
      </c>
      <c r="AB1186" s="18">
        <v>187.5</v>
      </c>
      <c r="AC1186" s="18"/>
      <c r="AD1186" s="18"/>
      <c r="AE1186" s="18"/>
      <c r="AF1186" s="18"/>
      <c r="AG1186" s="18"/>
      <c r="AH1186" s="18">
        <v>187.5</v>
      </c>
    </row>
    <row r="1187" spans="25:34" x14ac:dyDescent="0.3">
      <c r="AA1187" t="s">
        <v>4010</v>
      </c>
      <c r="AB1187" s="18">
        <v>13462.5</v>
      </c>
      <c r="AC1187" s="18"/>
      <c r="AD1187" s="18"/>
      <c r="AE1187" s="18"/>
      <c r="AF1187" s="18"/>
      <c r="AG1187" s="18"/>
      <c r="AH1187" s="18">
        <v>13462.5</v>
      </c>
    </row>
    <row r="1188" spans="25:34" x14ac:dyDescent="0.3">
      <c r="Z1188" t="s">
        <v>4011</v>
      </c>
      <c r="AA1188" t="s">
        <v>4012</v>
      </c>
      <c r="AB1188" s="18">
        <v>187.5</v>
      </c>
      <c r="AC1188" s="18"/>
      <c r="AD1188" s="18"/>
      <c r="AE1188" s="18"/>
      <c r="AF1188" s="18"/>
      <c r="AG1188" s="18"/>
      <c r="AH1188" s="18">
        <v>187.5</v>
      </c>
    </row>
    <row r="1189" spans="25:34" x14ac:dyDescent="0.3">
      <c r="AA1189" t="s">
        <v>4013</v>
      </c>
      <c r="AB1189" s="18">
        <v>16321</v>
      </c>
      <c r="AC1189" s="18"/>
      <c r="AD1189" s="18"/>
      <c r="AE1189" s="18"/>
      <c r="AF1189" s="18"/>
      <c r="AG1189" s="18"/>
      <c r="AH1189" s="18">
        <v>16321</v>
      </c>
    </row>
    <row r="1190" spans="25:34" x14ac:dyDescent="0.3">
      <c r="Z1190" t="s">
        <v>4014</v>
      </c>
      <c r="AA1190" t="s">
        <v>4015</v>
      </c>
      <c r="AB1190" s="18">
        <v>125</v>
      </c>
      <c r="AC1190" s="18"/>
      <c r="AD1190" s="18"/>
      <c r="AE1190" s="18"/>
      <c r="AF1190" s="18"/>
      <c r="AG1190" s="18"/>
      <c r="AH1190" s="18">
        <v>125</v>
      </c>
    </row>
    <row r="1191" spans="25:34" x14ac:dyDescent="0.3">
      <c r="AA1191" t="s">
        <v>4016</v>
      </c>
      <c r="AB1191" s="18">
        <v>14849.5</v>
      </c>
      <c r="AC1191" s="18"/>
      <c r="AD1191" s="18"/>
      <c r="AE1191" s="18"/>
      <c r="AF1191" s="18"/>
      <c r="AG1191" s="18"/>
      <c r="AH1191" s="18">
        <v>14849.5</v>
      </c>
    </row>
    <row r="1192" spans="25:34" x14ac:dyDescent="0.3">
      <c r="Z1192" t="s">
        <v>4019</v>
      </c>
      <c r="AA1192" t="s">
        <v>4020</v>
      </c>
      <c r="AB1192" s="18">
        <v>125</v>
      </c>
      <c r="AC1192" s="18"/>
      <c r="AD1192" s="18"/>
      <c r="AE1192" s="18"/>
      <c r="AF1192" s="18"/>
      <c r="AG1192" s="18"/>
      <c r="AH1192" s="18">
        <v>125</v>
      </c>
    </row>
    <row r="1193" spans="25:34" x14ac:dyDescent="0.3">
      <c r="AA1193" t="s">
        <v>4021</v>
      </c>
      <c r="AB1193" s="18">
        <v>16568.5</v>
      </c>
      <c r="AC1193" s="18"/>
      <c r="AD1193" s="18"/>
      <c r="AE1193" s="18"/>
      <c r="AF1193" s="18"/>
      <c r="AG1193" s="18"/>
      <c r="AH1193" s="18">
        <v>16568.5</v>
      </c>
    </row>
    <row r="1194" spans="25:34" x14ac:dyDescent="0.3">
      <c r="Z1194" t="s">
        <v>4026</v>
      </c>
      <c r="AA1194" t="s">
        <v>4027</v>
      </c>
      <c r="AB1194" s="18">
        <v>187.5</v>
      </c>
      <c r="AC1194" s="18"/>
      <c r="AD1194" s="18"/>
      <c r="AE1194" s="18"/>
      <c r="AF1194" s="18"/>
      <c r="AG1194" s="18"/>
      <c r="AH1194" s="18">
        <v>187.5</v>
      </c>
    </row>
    <row r="1195" spans="25:34" x14ac:dyDescent="0.3">
      <c r="AA1195" t="s">
        <v>4028</v>
      </c>
      <c r="AB1195" s="18">
        <v>14496.5</v>
      </c>
      <c r="AC1195" s="18"/>
      <c r="AD1195" s="18"/>
      <c r="AE1195" s="18"/>
      <c r="AF1195" s="18"/>
      <c r="AG1195" s="18"/>
      <c r="AH1195" s="18">
        <v>14496.5</v>
      </c>
    </row>
    <row r="1196" spans="25:34" x14ac:dyDescent="0.3">
      <c r="Z1196" t="s">
        <v>4032</v>
      </c>
      <c r="AA1196" t="s">
        <v>4033</v>
      </c>
      <c r="AB1196" s="18">
        <v>250</v>
      </c>
      <c r="AC1196" s="18"/>
      <c r="AD1196" s="18"/>
      <c r="AE1196" s="18"/>
      <c r="AF1196" s="18"/>
      <c r="AG1196" s="18"/>
      <c r="AH1196" s="18">
        <v>250</v>
      </c>
    </row>
    <row r="1197" spans="25:34" x14ac:dyDescent="0.3">
      <c r="AA1197" t="s">
        <v>4034</v>
      </c>
      <c r="AB1197" s="18">
        <v>21638</v>
      </c>
      <c r="AC1197" s="18"/>
      <c r="AD1197" s="18"/>
      <c r="AE1197" s="18"/>
      <c r="AF1197" s="18"/>
      <c r="AG1197" s="18"/>
      <c r="AH1197" s="18">
        <v>21638</v>
      </c>
    </row>
    <row r="1198" spans="25:34" x14ac:dyDescent="0.3">
      <c r="Z1198" t="s">
        <v>4037</v>
      </c>
      <c r="AA1198" t="s">
        <v>4039</v>
      </c>
      <c r="AB1198" s="18">
        <v>125</v>
      </c>
      <c r="AC1198" s="18"/>
      <c r="AD1198" s="18"/>
      <c r="AE1198" s="18"/>
      <c r="AF1198" s="18"/>
      <c r="AG1198" s="18"/>
      <c r="AH1198" s="18">
        <v>125</v>
      </c>
    </row>
    <row r="1199" spans="25:34" x14ac:dyDescent="0.3">
      <c r="AA1199" t="s">
        <v>4040</v>
      </c>
      <c r="AB1199" s="18">
        <v>7310</v>
      </c>
      <c r="AC1199" s="18"/>
      <c r="AD1199" s="18"/>
      <c r="AE1199" s="18"/>
      <c r="AF1199" s="18"/>
      <c r="AG1199" s="18"/>
      <c r="AH1199" s="18">
        <v>7310</v>
      </c>
    </row>
    <row r="1200" spans="25:34" x14ac:dyDescent="0.3">
      <c r="Y1200">
        <v>4</v>
      </c>
      <c r="Z1200" t="s">
        <v>3616</v>
      </c>
      <c r="AA1200" t="s">
        <v>3617</v>
      </c>
      <c r="AB1200" s="18">
        <v>625</v>
      </c>
      <c r="AC1200" s="18"/>
      <c r="AD1200" s="18"/>
      <c r="AE1200" s="18"/>
      <c r="AF1200" s="18"/>
      <c r="AG1200" s="18"/>
      <c r="AH1200" s="18">
        <v>625</v>
      </c>
    </row>
    <row r="1201" spans="23:34" x14ac:dyDescent="0.3">
      <c r="AA1201" t="s">
        <v>3618</v>
      </c>
      <c r="AB1201" s="18">
        <v>20855</v>
      </c>
      <c r="AC1201" s="18"/>
      <c r="AD1201" s="18"/>
      <c r="AE1201" s="18"/>
      <c r="AF1201" s="18"/>
      <c r="AG1201" s="18"/>
      <c r="AH1201" s="18">
        <v>20855</v>
      </c>
    </row>
    <row r="1202" spans="23:34" x14ac:dyDescent="0.3">
      <c r="Z1202" t="s">
        <v>3625</v>
      </c>
      <c r="AA1202" t="s">
        <v>3626</v>
      </c>
      <c r="AB1202" s="18">
        <v>23118.5</v>
      </c>
      <c r="AC1202" s="18"/>
      <c r="AD1202" s="18"/>
      <c r="AE1202" s="18"/>
      <c r="AF1202" s="18"/>
      <c r="AG1202" s="18"/>
      <c r="AH1202" s="18">
        <v>23118.5</v>
      </c>
    </row>
    <row r="1203" spans="23:34" x14ac:dyDescent="0.3">
      <c r="Z1203" t="s">
        <v>3635</v>
      </c>
      <c r="AA1203" t="s">
        <v>3636</v>
      </c>
      <c r="AB1203" s="18">
        <v>460</v>
      </c>
      <c r="AC1203" s="18"/>
      <c r="AD1203" s="18"/>
      <c r="AE1203" s="18"/>
      <c r="AF1203" s="18"/>
      <c r="AG1203" s="18"/>
      <c r="AH1203" s="18">
        <v>460</v>
      </c>
    </row>
    <row r="1204" spans="23:34" x14ac:dyDescent="0.3">
      <c r="Z1204" t="s">
        <v>3640</v>
      </c>
      <c r="AA1204" t="s">
        <v>3641</v>
      </c>
      <c r="AB1204" s="18">
        <v>62.5</v>
      </c>
      <c r="AC1204" s="18"/>
      <c r="AD1204" s="18"/>
      <c r="AE1204" s="18"/>
      <c r="AF1204" s="18"/>
      <c r="AG1204" s="18"/>
      <c r="AH1204" s="18">
        <v>62.5</v>
      </c>
    </row>
    <row r="1205" spans="23:34" x14ac:dyDescent="0.3">
      <c r="AA1205" t="s">
        <v>3642</v>
      </c>
      <c r="AB1205" s="18">
        <v>6781.6</v>
      </c>
      <c r="AC1205" s="18"/>
      <c r="AD1205" s="18"/>
      <c r="AE1205" s="18"/>
      <c r="AF1205" s="18"/>
      <c r="AG1205" s="18"/>
      <c r="AH1205" s="18">
        <v>6781.6</v>
      </c>
    </row>
    <row r="1206" spans="23:34" x14ac:dyDescent="0.3">
      <c r="Z1206" t="s">
        <v>3646</v>
      </c>
      <c r="AA1206" t="s">
        <v>3647</v>
      </c>
      <c r="AB1206" s="18">
        <v>312.5</v>
      </c>
      <c r="AC1206" s="18"/>
      <c r="AD1206" s="18"/>
      <c r="AE1206" s="18"/>
      <c r="AF1206" s="18"/>
      <c r="AG1206" s="18"/>
      <c r="AH1206" s="18">
        <v>312.5</v>
      </c>
    </row>
    <row r="1207" spans="23:34" x14ac:dyDescent="0.3">
      <c r="AA1207" t="s">
        <v>3648</v>
      </c>
      <c r="AB1207" s="18">
        <v>18996</v>
      </c>
      <c r="AC1207" s="18"/>
      <c r="AD1207" s="18"/>
      <c r="AE1207" s="18"/>
      <c r="AF1207" s="18"/>
      <c r="AG1207" s="18"/>
      <c r="AH1207" s="18">
        <v>18996</v>
      </c>
    </row>
    <row r="1208" spans="23:34" x14ac:dyDescent="0.3">
      <c r="Z1208" t="s">
        <v>3649</v>
      </c>
      <c r="AA1208" t="s">
        <v>3650</v>
      </c>
      <c r="AB1208" s="18">
        <v>7255.8</v>
      </c>
      <c r="AC1208" s="18"/>
      <c r="AD1208" s="18"/>
      <c r="AE1208" s="18"/>
      <c r="AF1208" s="18"/>
      <c r="AG1208" s="18"/>
      <c r="AH1208" s="18">
        <v>7255.8</v>
      </c>
    </row>
    <row r="1209" spans="23:34" x14ac:dyDescent="0.3">
      <c r="Z1209" t="s">
        <v>3654</v>
      </c>
      <c r="AA1209" t="s">
        <v>3655</v>
      </c>
      <c r="AB1209" s="18">
        <v>312.5</v>
      </c>
      <c r="AC1209" s="18"/>
      <c r="AD1209" s="18"/>
      <c r="AE1209" s="18"/>
      <c r="AF1209" s="18"/>
      <c r="AG1209" s="18"/>
      <c r="AH1209" s="18">
        <v>312.5</v>
      </c>
    </row>
    <row r="1210" spans="23:34" x14ac:dyDescent="0.3">
      <c r="AA1210" t="s">
        <v>3656</v>
      </c>
      <c r="AB1210" s="18">
        <v>25374.1</v>
      </c>
      <c r="AC1210" s="18"/>
      <c r="AD1210" s="18"/>
      <c r="AE1210" s="18"/>
      <c r="AF1210" s="18"/>
      <c r="AG1210" s="18"/>
      <c r="AH1210" s="18">
        <v>25374.1</v>
      </c>
    </row>
    <row r="1211" spans="23:34" x14ac:dyDescent="0.3">
      <c r="W1211" s="36" t="s">
        <v>2037</v>
      </c>
      <c r="X1211" s="36"/>
      <c r="Y1211" s="36"/>
      <c r="Z1211" s="36"/>
      <c r="AA1211" s="36"/>
      <c r="AB1211" s="37">
        <v>522339.29999999993</v>
      </c>
      <c r="AC1211" s="37"/>
      <c r="AD1211" s="37"/>
      <c r="AE1211" s="37"/>
      <c r="AF1211" s="37"/>
      <c r="AG1211" s="37"/>
      <c r="AH1211" s="37">
        <v>522339.29999999993</v>
      </c>
    </row>
    <row r="1212" spans="23:34" x14ac:dyDescent="0.3">
      <c r="W1212" t="s">
        <v>2134</v>
      </c>
      <c r="X1212">
        <v>2023</v>
      </c>
      <c r="Y1212">
        <v>12</v>
      </c>
      <c r="Z1212" s="57">
        <v>45275</v>
      </c>
      <c r="AA1212" t="s">
        <v>2193</v>
      </c>
      <c r="AB1212" s="18">
        <v>0</v>
      </c>
      <c r="AC1212" s="18"/>
      <c r="AD1212" s="18"/>
      <c r="AE1212" s="18"/>
      <c r="AF1212" s="18"/>
      <c r="AG1212" s="18"/>
      <c r="AH1212" s="18">
        <v>0</v>
      </c>
    </row>
    <row r="1213" spans="23:34" x14ac:dyDescent="0.3">
      <c r="AA1213" t="s">
        <v>2263</v>
      </c>
      <c r="AB1213" s="18">
        <v>0</v>
      </c>
      <c r="AC1213" s="18"/>
      <c r="AD1213" s="18"/>
      <c r="AE1213" s="18"/>
      <c r="AF1213" s="18"/>
      <c r="AG1213" s="18"/>
      <c r="AH1213" s="18">
        <v>0</v>
      </c>
    </row>
    <row r="1214" spans="23:34" x14ac:dyDescent="0.3">
      <c r="Z1214" s="57">
        <v>45281</v>
      </c>
      <c r="AA1214" t="s">
        <v>2206</v>
      </c>
      <c r="AB1214" s="18">
        <v>0</v>
      </c>
      <c r="AC1214" s="18"/>
      <c r="AD1214" s="18"/>
      <c r="AE1214" s="18"/>
      <c r="AF1214" s="18"/>
      <c r="AG1214" s="18"/>
      <c r="AH1214" s="18">
        <v>0</v>
      </c>
    </row>
    <row r="1215" spans="23:34" x14ac:dyDescent="0.3">
      <c r="X1215">
        <v>2024</v>
      </c>
      <c r="Y1215">
        <v>1</v>
      </c>
      <c r="Z1215" s="57">
        <v>45297</v>
      </c>
      <c r="AA1215" t="s">
        <v>2273</v>
      </c>
      <c r="AB1215" s="18">
        <v>0</v>
      </c>
      <c r="AC1215" s="18"/>
      <c r="AD1215" s="18"/>
      <c r="AE1215" s="18"/>
      <c r="AF1215" s="18"/>
      <c r="AG1215" s="18"/>
      <c r="AH1215" s="18">
        <v>0</v>
      </c>
    </row>
    <row r="1216" spans="23:34" x14ac:dyDescent="0.3">
      <c r="Y1216">
        <v>3</v>
      </c>
      <c r="Z1216" s="57">
        <v>45353</v>
      </c>
      <c r="AA1216" t="s">
        <v>2425</v>
      </c>
      <c r="AB1216" s="18">
        <v>0</v>
      </c>
      <c r="AC1216" s="18"/>
      <c r="AD1216" s="18"/>
      <c r="AE1216" s="18"/>
      <c r="AF1216" s="18"/>
      <c r="AG1216" s="18"/>
      <c r="AH1216" s="18">
        <v>0</v>
      </c>
    </row>
    <row r="1217" spans="23:34" x14ac:dyDescent="0.3">
      <c r="W1217" s="36" t="s">
        <v>2148</v>
      </c>
      <c r="X1217" s="36"/>
      <c r="Y1217" s="36"/>
      <c r="Z1217" s="36"/>
      <c r="AA1217" s="36"/>
      <c r="AB1217" s="37">
        <v>0</v>
      </c>
      <c r="AC1217" s="37"/>
      <c r="AD1217" s="37"/>
      <c r="AE1217" s="37"/>
      <c r="AF1217" s="37"/>
      <c r="AG1217" s="37"/>
      <c r="AH1217" s="37">
        <v>0</v>
      </c>
    </row>
    <row r="1218" spans="23:34" x14ac:dyDescent="0.3">
      <c r="W1218" t="s">
        <v>2271</v>
      </c>
      <c r="X1218">
        <v>2024</v>
      </c>
      <c r="Y1218">
        <v>1</v>
      </c>
      <c r="Z1218" s="57">
        <v>45295</v>
      </c>
      <c r="AA1218" t="s">
        <v>2270</v>
      </c>
      <c r="AB1218" s="18">
        <v>0</v>
      </c>
      <c r="AC1218" s="18"/>
      <c r="AD1218" s="18"/>
      <c r="AE1218" s="18"/>
      <c r="AF1218" s="18"/>
      <c r="AG1218" s="18"/>
      <c r="AH1218" s="18">
        <v>0</v>
      </c>
    </row>
    <row r="1219" spans="23:34" x14ac:dyDescent="0.3">
      <c r="X1219">
        <v>2025</v>
      </c>
      <c r="Y1219">
        <v>3</v>
      </c>
      <c r="Z1219" s="57">
        <v>45729</v>
      </c>
      <c r="AA1219" t="s">
        <v>3527</v>
      </c>
      <c r="AB1219" s="18">
        <v>0</v>
      </c>
      <c r="AC1219" s="18"/>
      <c r="AD1219" s="18"/>
      <c r="AE1219" s="18"/>
      <c r="AF1219" s="18"/>
      <c r="AG1219" s="18"/>
      <c r="AH1219" s="18">
        <v>0</v>
      </c>
    </row>
    <row r="1220" spans="23:34" x14ac:dyDescent="0.3">
      <c r="W1220" s="36" t="s">
        <v>2340</v>
      </c>
      <c r="X1220" s="36"/>
      <c r="Y1220" s="36"/>
      <c r="Z1220" s="36"/>
      <c r="AA1220" s="36"/>
      <c r="AB1220" s="37">
        <v>0</v>
      </c>
      <c r="AC1220" s="37"/>
      <c r="AD1220" s="37"/>
      <c r="AE1220" s="37"/>
      <c r="AF1220" s="37"/>
      <c r="AG1220" s="37"/>
      <c r="AH1220" s="37">
        <v>0</v>
      </c>
    </row>
    <row r="1221" spans="23:34" x14ac:dyDescent="0.3">
      <c r="W1221" t="s">
        <v>2284</v>
      </c>
      <c r="X1221">
        <v>2024</v>
      </c>
      <c r="Y1221">
        <v>1</v>
      </c>
      <c r="Z1221" s="57">
        <v>45311</v>
      </c>
      <c r="AA1221" t="s">
        <v>2283</v>
      </c>
      <c r="AB1221" s="18">
        <v>0</v>
      </c>
      <c r="AC1221" s="18"/>
      <c r="AD1221" s="18"/>
      <c r="AE1221" s="18"/>
      <c r="AF1221" s="18"/>
      <c r="AG1221" s="18"/>
      <c r="AH1221" s="18">
        <v>0</v>
      </c>
    </row>
    <row r="1222" spans="23:34" x14ac:dyDescent="0.3">
      <c r="Z1222" s="57">
        <v>45313</v>
      </c>
      <c r="AA1222" t="s">
        <v>2289</v>
      </c>
      <c r="AB1222" s="18">
        <v>0</v>
      </c>
      <c r="AC1222" s="18"/>
      <c r="AD1222" s="18"/>
      <c r="AE1222" s="18"/>
      <c r="AF1222" s="18"/>
      <c r="AG1222" s="18"/>
      <c r="AH1222" s="18">
        <v>0</v>
      </c>
    </row>
    <row r="1223" spans="23:34" x14ac:dyDescent="0.3">
      <c r="Z1223" s="57">
        <v>45315</v>
      </c>
      <c r="AA1223" t="s">
        <v>2297</v>
      </c>
      <c r="AB1223" s="18">
        <v>0</v>
      </c>
      <c r="AC1223" s="18"/>
      <c r="AD1223" s="18"/>
      <c r="AE1223" s="18"/>
      <c r="AF1223" s="18"/>
      <c r="AG1223" s="18"/>
      <c r="AH1223" s="18">
        <v>0</v>
      </c>
    </row>
    <row r="1224" spans="23:34" x14ac:dyDescent="0.3">
      <c r="Y1224">
        <v>2</v>
      </c>
      <c r="Z1224" s="57">
        <v>45324</v>
      </c>
      <c r="AA1224" t="s">
        <v>2344</v>
      </c>
      <c r="AB1224" s="18">
        <v>0</v>
      </c>
      <c r="AC1224" s="18"/>
      <c r="AD1224" s="18"/>
      <c r="AE1224" s="18"/>
      <c r="AF1224" s="18"/>
      <c r="AG1224" s="18"/>
      <c r="AH1224" s="18">
        <v>0</v>
      </c>
    </row>
    <row r="1225" spans="23:34" x14ac:dyDescent="0.3">
      <c r="Z1225" s="57">
        <v>45330</v>
      </c>
      <c r="AA1225" t="s">
        <v>2352</v>
      </c>
      <c r="AB1225" s="18">
        <v>0</v>
      </c>
      <c r="AC1225" s="18"/>
      <c r="AD1225" s="18"/>
      <c r="AE1225" s="18"/>
      <c r="AF1225" s="18"/>
      <c r="AG1225" s="18"/>
      <c r="AH1225" s="18">
        <v>0</v>
      </c>
    </row>
    <row r="1226" spans="23:34" x14ac:dyDescent="0.3">
      <c r="Y1226">
        <v>5</v>
      </c>
      <c r="Z1226" s="57">
        <v>45441</v>
      </c>
      <c r="AA1226" t="s">
        <v>2572</v>
      </c>
      <c r="AB1226" s="18">
        <v>0</v>
      </c>
      <c r="AC1226" s="18"/>
      <c r="AD1226" s="18"/>
      <c r="AE1226" s="18"/>
      <c r="AF1226" s="18"/>
      <c r="AG1226" s="18"/>
      <c r="AH1226" s="18">
        <v>0</v>
      </c>
    </row>
    <row r="1227" spans="23:34" x14ac:dyDescent="0.3">
      <c r="Y1227">
        <v>6</v>
      </c>
      <c r="Z1227" s="57">
        <v>45448</v>
      </c>
      <c r="AA1227" t="s">
        <v>2639</v>
      </c>
      <c r="AB1227" s="18">
        <v>0</v>
      </c>
      <c r="AC1227" s="18"/>
      <c r="AD1227" s="18"/>
      <c r="AE1227" s="18"/>
      <c r="AF1227" s="18"/>
      <c r="AG1227" s="18"/>
      <c r="AH1227" s="18">
        <v>0</v>
      </c>
    </row>
    <row r="1228" spans="23:34" x14ac:dyDescent="0.3">
      <c r="W1228" s="36" t="s">
        <v>2341</v>
      </c>
      <c r="X1228" s="36"/>
      <c r="Y1228" s="36"/>
      <c r="Z1228" s="36"/>
      <c r="AA1228" s="36"/>
      <c r="AB1228" s="37">
        <v>0</v>
      </c>
      <c r="AC1228" s="37"/>
      <c r="AD1228" s="37"/>
      <c r="AE1228" s="37"/>
      <c r="AF1228" s="37"/>
      <c r="AG1228" s="37"/>
      <c r="AH1228" s="37">
        <v>0</v>
      </c>
    </row>
    <row r="1229" spans="23:34" x14ac:dyDescent="0.3">
      <c r="W1229" t="s">
        <v>2362</v>
      </c>
      <c r="X1229">
        <v>2024</v>
      </c>
      <c r="Y1229">
        <v>2</v>
      </c>
      <c r="Z1229" s="57">
        <v>45342</v>
      </c>
      <c r="AA1229" t="s">
        <v>2360</v>
      </c>
      <c r="AB1229" s="18">
        <v>0</v>
      </c>
      <c r="AC1229" s="18"/>
      <c r="AD1229" s="18"/>
      <c r="AE1229" s="18"/>
      <c r="AF1229" s="18"/>
      <c r="AG1229" s="18"/>
      <c r="AH1229" s="18">
        <v>0</v>
      </c>
    </row>
    <row r="1230" spans="23:34" x14ac:dyDescent="0.3">
      <c r="W1230" s="36" t="s">
        <v>2504</v>
      </c>
      <c r="X1230" s="36"/>
      <c r="Y1230" s="36"/>
      <c r="Z1230" s="36"/>
      <c r="AA1230" s="36"/>
      <c r="AB1230" s="37">
        <v>0</v>
      </c>
      <c r="AC1230" s="37"/>
      <c r="AD1230" s="37"/>
      <c r="AE1230" s="37"/>
      <c r="AF1230" s="37"/>
      <c r="AG1230" s="37"/>
      <c r="AH1230" s="37">
        <v>0</v>
      </c>
    </row>
    <row r="1231" spans="23:34" x14ac:dyDescent="0.3">
      <c r="W1231" t="s">
        <v>2440</v>
      </c>
      <c r="X1231">
        <v>2024</v>
      </c>
      <c r="Y1231">
        <v>3</v>
      </c>
      <c r="Z1231" s="57">
        <v>45367</v>
      </c>
      <c r="AA1231" t="s">
        <v>2439</v>
      </c>
      <c r="AB1231" s="18">
        <v>0</v>
      </c>
      <c r="AC1231" s="18"/>
      <c r="AD1231" s="18"/>
      <c r="AE1231" s="18"/>
      <c r="AF1231" s="18"/>
      <c r="AG1231" s="18"/>
      <c r="AH1231" s="18">
        <v>0</v>
      </c>
    </row>
    <row r="1232" spans="23:34" x14ac:dyDescent="0.3">
      <c r="W1232" s="36" t="s">
        <v>2505</v>
      </c>
      <c r="X1232" s="36"/>
      <c r="Y1232" s="36"/>
      <c r="Z1232" s="36"/>
      <c r="AA1232" s="36"/>
      <c r="AB1232" s="37">
        <v>0</v>
      </c>
      <c r="AC1232" s="37"/>
      <c r="AD1232" s="37"/>
      <c r="AE1232" s="37"/>
      <c r="AF1232" s="37"/>
      <c r="AG1232" s="37"/>
      <c r="AH1232" s="37">
        <v>0</v>
      </c>
    </row>
    <row r="1233" spans="23:34" x14ac:dyDescent="0.3">
      <c r="W1233" t="s">
        <v>2656</v>
      </c>
      <c r="X1233">
        <v>2024</v>
      </c>
      <c r="Y1233">
        <v>6</v>
      </c>
      <c r="Z1233" s="57">
        <v>45464</v>
      </c>
      <c r="AA1233" t="s">
        <v>2654</v>
      </c>
      <c r="AB1233" s="18">
        <v>0</v>
      </c>
      <c r="AC1233" s="18"/>
      <c r="AD1233" s="18"/>
      <c r="AE1233" s="18"/>
      <c r="AF1233" s="18"/>
      <c r="AG1233" s="18"/>
      <c r="AH1233" s="18">
        <v>0</v>
      </c>
    </row>
    <row r="1234" spans="23:34" x14ac:dyDescent="0.3">
      <c r="Y1234">
        <v>7</v>
      </c>
      <c r="Z1234" s="57">
        <v>45485</v>
      </c>
      <c r="AA1234" t="s">
        <v>2760</v>
      </c>
      <c r="AB1234" s="18">
        <v>0</v>
      </c>
      <c r="AC1234" s="18"/>
      <c r="AD1234" s="18"/>
      <c r="AE1234" s="18"/>
      <c r="AF1234" s="18"/>
      <c r="AG1234" s="18"/>
      <c r="AH1234" s="18">
        <v>0</v>
      </c>
    </row>
    <row r="1235" spans="23:34" x14ac:dyDescent="0.3">
      <c r="Z1235" s="57">
        <v>45493</v>
      </c>
      <c r="AA1235" t="s">
        <v>2765</v>
      </c>
      <c r="AB1235" s="18">
        <v>0</v>
      </c>
      <c r="AC1235" s="18"/>
      <c r="AD1235" s="18"/>
      <c r="AE1235" s="18"/>
      <c r="AF1235" s="18"/>
      <c r="AG1235" s="18"/>
      <c r="AH1235" s="18">
        <v>0</v>
      </c>
    </row>
    <row r="1236" spans="23:34" x14ac:dyDescent="0.3">
      <c r="Z1236" s="57">
        <v>45503</v>
      </c>
      <c r="AA1236" t="s">
        <v>2774</v>
      </c>
      <c r="AB1236" s="18">
        <v>0</v>
      </c>
      <c r="AC1236" s="18"/>
      <c r="AD1236" s="18"/>
      <c r="AE1236" s="18"/>
      <c r="AF1236" s="18"/>
      <c r="AG1236" s="18"/>
      <c r="AH1236" s="18">
        <v>0</v>
      </c>
    </row>
    <row r="1237" spans="23:34" x14ac:dyDescent="0.3">
      <c r="Y1237">
        <v>8</v>
      </c>
      <c r="Z1237" s="57">
        <v>45510</v>
      </c>
      <c r="AA1237" t="s">
        <v>2845</v>
      </c>
      <c r="AB1237" s="18">
        <v>0</v>
      </c>
      <c r="AC1237" s="18"/>
      <c r="AD1237" s="18"/>
      <c r="AE1237" s="18"/>
      <c r="AF1237" s="18"/>
      <c r="AG1237" s="18"/>
      <c r="AH1237" s="18">
        <v>0</v>
      </c>
    </row>
    <row r="1238" spans="23:34" x14ac:dyDescent="0.3">
      <c r="Y1238">
        <v>9</v>
      </c>
      <c r="Z1238" s="57">
        <v>45538</v>
      </c>
      <c r="AA1238" t="s">
        <v>2940</v>
      </c>
      <c r="AB1238" s="18">
        <v>0</v>
      </c>
      <c r="AC1238" s="18"/>
      <c r="AD1238" s="18"/>
      <c r="AE1238" s="18"/>
      <c r="AF1238" s="18"/>
      <c r="AG1238" s="18"/>
      <c r="AH1238" s="18">
        <v>0</v>
      </c>
    </row>
    <row r="1239" spans="23:34" x14ac:dyDescent="0.3">
      <c r="Y1239">
        <v>10</v>
      </c>
      <c r="Z1239" s="57">
        <v>45573</v>
      </c>
      <c r="AA1239" t="s">
        <v>3008</v>
      </c>
      <c r="AB1239" s="18">
        <v>0</v>
      </c>
      <c r="AC1239" s="18"/>
      <c r="AD1239" s="18"/>
      <c r="AE1239" s="18"/>
      <c r="AF1239" s="18"/>
      <c r="AG1239" s="18"/>
      <c r="AH1239" s="18">
        <v>0</v>
      </c>
    </row>
    <row r="1240" spans="23:34" x14ac:dyDescent="0.3">
      <c r="Z1240" s="57">
        <v>45582</v>
      </c>
      <c r="AA1240" t="s">
        <v>3020</v>
      </c>
      <c r="AB1240" s="18">
        <v>0</v>
      </c>
      <c r="AC1240" s="18"/>
      <c r="AD1240" s="18"/>
      <c r="AE1240" s="18"/>
      <c r="AF1240" s="18"/>
      <c r="AG1240" s="18"/>
      <c r="AH1240" s="18">
        <v>0</v>
      </c>
    </row>
    <row r="1241" spans="23:34" x14ac:dyDescent="0.3">
      <c r="Y1241">
        <v>11</v>
      </c>
      <c r="Z1241" s="57">
        <v>45597</v>
      </c>
      <c r="AA1241" t="s">
        <v>3102</v>
      </c>
      <c r="AB1241" s="18">
        <v>0</v>
      </c>
      <c r="AC1241" s="18"/>
      <c r="AD1241" s="18"/>
      <c r="AE1241" s="18"/>
      <c r="AF1241" s="18"/>
      <c r="AG1241" s="18"/>
      <c r="AH1241" s="18">
        <v>0</v>
      </c>
    </row>
    <row r="1242" spans="23:34" x14ac:dyDescent="0.3">
      <c r="Z1242" s="57">
        <v>45604</v>
      </c>
      <c r="AA1242" t="s">
        <v>3114</v>
      </c>
      <c r="AB1242" s="18">
        <v>0</v>
      </c>
      <c r="AC1242" s="18"/>
      <c r="AD1242" s="18"/>
      <c r="AE1242" s="18"/>
      <c r="AF1242" s="18"/>
      <c r="AG1242" s="18"/>
      <c r="AH1242" s="18">
        <v>0</v>
      </c>
    </row>
    <row r="1243" spans="23:34" x14ac:dyDescent="0.3">
      <c r="Z1243" s="57">
        <v>45610</v>
      </c>
      <c r="AA1243" t="s">
        <v>3121</v>
      </c>
      <c r="AB1243" s="18">
        <v>0</v>
      </c>
      <c r="AC1243" s="18"/>
      <c r="AD1243" s="18"/>
      <c r="AE1243" s="18"/>
      <c r="AF1243" s="18"/>
      <c r="AG1243" s="18"/>
      <c r="AH1243" s="18">
        <v>0</v>
      </c>
    </row>
    <row r="1244" spans="23:34" x14ac:dyDescent="0.3">
      <c r="Z1244" s="57">
        <v>45618</v>
      </c>
      <c r="AA1244" t="s">
        <v>3134</v>
      </c>
      <c r="AB1244" s="18">
        <v>0</v>
      </c>
      <c r="AC1244" s="18"/>
      <c r="AD1244" s="18"/>
      <c r="AE1244" s="18"/>
      <c r="AF1244" s="18"/>
      <c r="AG1244" s="18"/>
      <c r="AH1244" s="18">
        <v>0</v>
      </c>
    </row>
    <row r="1245" spans="23:34" x14ac:dyDescent="0.3">
      <c r="Z1245" s="57">
        <v>45624</v>
      </c>
      <c r="AA1245" t="s">
        <v>3145</v>
      </c>
      <c r="AB1245" s="18">
        <v>0</v>
      </c>
      <c r="AC1245" s="18"/>
      <c r="AD1245" s="18"/>
      <c r="AE1245" s="18"/>
      <c r="AF1245" s="18"/>
      <c r="AG1245" s="18"/>
      <c r="AH1245" s="18">
        <v>0</v>
      </c>
    </row>
    <row r="1246" spans="23:34" x14ac:dyDescent="0.3">
      <c r="Y1246">
        <v>12</v>
      </c>
      <c r="Z1246" s="57">
        <v>45629</v>
      </c>
      <c r="AA1246" t="s">
        <v>3213</v>
      </c>
      <c r="AB1246" s="18">
        <v>0</v>
      </c>
      <c r="AC1246" s="18"/>
      <c r="AD1246" s="18"/>
      <c r="AE1246" s="18"/>
      <c r="AF1246" s="18"/>
      <c r="AG1246" s="18"/>
      <c r="AH1246" s="18">
        <v>0</v>
      </c>
    </row>
    <row r="1247" spans="23:34" x14ac:dyDescent="0.3">
      <c r="Z1247" s="57">
        <v>45633</v>
      </c>
      <c r="AA1247" t="s">
        <v>3221</v>
      </c>
      <c r="AB1247" s="18">
        <v>0</v>
      </c>
      <c r="AC1247" s="18"/>
      <c r="AD1247" s="18"/>
      <c r="AE1247" s="18"/>
      <c r="AF1247" s="18"/>
      <c r="AG1247" s="18"/>
      <c r="AH1247" s="18">
        <v>0</v>
      </c>
    </row>
    <row r="1248" spans="23:34" x14ac:dyDescent="0.3">
      <c r="Z1248" t="s">
        <v>3235</v>
      </c>
      <c r="AA1248" t="s">
        <v>3236</v>
      </c>
      <c r="AB1248" s="18">
        <v>0</v>
      </c>
      <c r="AC1248" s="18"/>
      <c r="AD1248" s="18"/>
      <c r="AE1248" s="18"/>
      <c r="AF1248" s="18"/>
      <c r="AG1248" s="18"/>
      <c r="AH1248" s="18">
        <v>0</v>
      </c>
    </row>
    <row r="1249" spans="23:34" x14ac:dyDescent="0.3">
      <c r="Z1249" t="s">
        <v>3247</v>
      </c>
      <c r="AA1249" t="s">
        <v>3248</v>
      </c>
      <c r="AB1249" s="18">
        <v>0</v>
      </c>
      <c r="AC1249" s="18"/>
      <c r="AD1249" s="18"/>
      <c r="AE1249" s="18"/>
      <c r="AF1249" s="18"/>
      <c r="AG1249" s="18"/>
      <c r="AH1249" s="18">
        <v>0</v>
      </c>
    </row>
    <row r="1250" spans="23:34" x14ac:dyDescent="0.3">
      <c r="Z1250" t="s">
        <v>3259</v>
      </c>
      <c r="AA1250" t="s">
        <v>3260</v>
      </c>
      <c r="AB1250" s="18">
        <v>0</v>
      </c>
      <c r="AC1250" s="18"/>
      <c r="AD1250" s="18"/>
      <c r="AE1250" s="18"/>
      <c r="AF1250" s="18"/>
      <c r="AG1250" s="18"/>
      <c r="AH1250" s="18">
        <v>0</v>
      </c>
    </row>
    <row r="1251" spans="23:34" x14ac:dyDescent="0.3">
      <c r="Z1251" t="s">
        <v>3274</v>
      </c>
      <c r="AA1251" t="s">
        <v>3275</v>
      </c>
      <c r="AB1251" s="18">
        <v>0</v>
      </c>
      <c r="AC1251" s="18"/>
      <c r="AD1251" s="18"/>
      <c r="AE1251" s="18"/>
      <c r="AF1251" s="18"/>
      <c r="AG1251" s="18"/>
      <c r="AH1251" s="18">
        <v>0</v>
      </c>
    </row>
    <row r="1252" spans="23:34" x14ac:dyDescent="0.3">
      <c r="X1252">
        <v>2025</v>
      </c>
      <c r="Y1252">
        <v>2</v>
      </c>
      <c r="Z1252" s="57">
        <v>45705</v>
      </c>
      <c r="AA1252" t="s">
        <v>3456</v>
      </c>
      <c r="AB1252" s="18">
        <v>0</v>
      </c>
      <c r="AC1252" s="18"/>
      <c r="AD1252" s="18"/>
      <c r="AE1252" s="18"/>
      <c r="AF1252" s="18"/>
      <c r="AG1252" s="18"/>
      <c r="AH1252" s="18">
        <v>0</v>
      </c>
    </row>
    <row r="1253" spans="23:34" x14ac:dyDescent="0.3">
      <c r="Y1253">
        <v>3</v>
      </c>
      <c r="Z1253" s="57">
        <v>45717</v>
      </c>
      <c r="AA1253" t="s">
        <v>3504</v>
      </c>
      <c r="AB1253" s="18">
        <v>0</v>
      </c>
      <c r="AC1253" s="18"/>
      <c r="AD1253" s="18"/>
      <c r="AE1253" s="18"/>
      <c r="AF1253" s="18"/>
      <c r="AG1253" s="18"/>
      <c r="AH1253" s="18">
        <v>0</v>
      </c>
    </row>
    <row r="1254" spans="23:34" x14ac:dyDescent="0.3">
      <c r="Z1254" s="57">
        <v>45729</v>
      </c>
      <c r="AA1254" t="s">
        <v>3526</v>
      </c>
      <c r="AB1254" s="18">
        <v>0</v>
      </c>
      <c r="AC1254" s="18"/>
      <c r="AD1254" s="18"/>
      <c r="AE1254" s="18"/>
      <c r="AF1254" s="18"/>
      <c r="AG1254" s="18"/>
      <c r="AH1254" s="18">
        <v>0</v>
      </c>
    </row>
    <row r="1255" spans="23:34" x14ac:dyDescent="0.3">
      <c r="Y1255">
        <v>5</v>
      </c>
      <c r="Z1255" t="s">
        <v>3700</v>
      </c>
      <c r="AA1255" t="s">
        <v>3701</v>
      </c>
      <c r="AB1255" s="18">
        <v>0</v>
      </c>
      <c r="AC1255" s="18"/>
      <c r="AD1255" s="18"/>
      <c r="AE1255" s="18"/>
      <c r="AF1255" s="18"/>
      <c r="AG1255" s="18"/>
      <c r="AH1255" s="18">
        <v>0</v>
      </c>
    </row>
    <row r="1256" spans="23:34" x14ac:dyDescent="0.3">
      <c r="Z1256" t="s">
        <v>3719</v>
      </c>
      <c r="AA1256" t="s">
        <v>3721</v>
      </c>
      <c r="AB1256" s="18">
        <v>0</v>
      </c>
      <c r="AC1256" s="18"/>
      <c r="AD1256" s="18"/>
      <c r="AE1256" s="18"/>
      <c r="AF1256" s="18"/>
      <c r="AG1256" s="18"/>
      <c r="AH1256" s="18">
        <v>0</v>
      </c>
    </row>
    <row r="1257" spans="23:34" x14ac:dyDescent="0.3">
      <c r="Y1257">
        <v>6</v>
      </c>
      <c r="Z1257" t="s">
        <v>3869</v>
      </c>
      <c r="AA1257" t="s">
        <v>3870</v>
      </c>
      <c r="AB1257" s="18">
        <v>2360</v>
      </c>
      <c r="AC1257" s="18"/>
      <c r="AD1257" s="18"/>
      <c r="AE1257" s="18"/>
      <c r="AF1257" s="18"/>
      <c r="AG1257" s="18"/>
      <c r="AH1257" s="18">
        <v>2360</v>
      </c>
    </row>
    <row r="1258" spans="23:34" x14ac:dyDescent="0.3">
      <c r="Y1258">
        <v>4</v>
      </c>
      <c r="Z1258" t="s">
        <v>3613</v>
      </c>
      <c r="AA1258" t="s">
        <v>3614</v>
      </c>
      <c r="AB1258" s="18">
        <v>0</v>
      </c>
      <c r="AC1258" s="18"/>
      <c r="AD1258" s="18"/>
      <c r="AE1258" s="18"/>
      <c r="AF1258" s="18"/>
      <c r="AG1258" s="18"/>
      <c r="AH1258" s="18">
        <v>0</v>
      </c>
    </row>
    <row r="1259" spans="23:34" x14ac:dyDescent="0.3">
      <c r="Z1259" t="s">
        <v>3630</v>
      </c>
      <c r="AA1259" t="s">
        <v>3631</v>
      </c>
      <c r="AB1259" s="18">
        <v>0</v>
      </c>
      <c r="AC1259" s="18"/>
      <c r="AD1259" s="18"/>
      <c r="AE1259" s="18"/>
      <c r="AF1259" s="18"/>
      <c r="AG1259" s="18"/>
      <c r="AH1259" s="18">
        <v>0</v>
      </c>
    </row>
    <row r="1260" spans="23:34" x14ac:dyDescent="0.3">
      <c r="W1260" s="36" t="s">
        <v>2667</v>
      </c>
      <c r="X1260" s="36"/>
      <c r="Y1260" s="36"/>
      <c r="Z1260" s="36"/>
      <c r="AA1260" s="36"/>
      <c r="AB1260" s="37">
        <v>2360</v>
      </c>
      <c r="AC1260" s="37"/>
      <c r="AD1260" s="37"/>
      <c r="AE1260" s="37"/>
      <c r="AF1260" s="37"/>
      <c r="AG1260" s="37"/>
      <c r="AH1260" s="37">
        <v>2360</v>
      </c>
    </row>
    <row r="1261" spans="23:34" x14ac:dyDescent="0.3">
      <c r="W1261" t="s">
        <v>2728</v>
      </c>
      <c r="X1261">
        <v>2024</v>
      </c>
      <c r="Y1261">
        <v>6</v>
      </c>
      <c r="Z1261" s="57">
        <v>45463</v>
      </c>
      <c r="AA1261" t="s">
        <v>2650</v>
      </c>
      <c r="AB1261" s="18">
        <v>0</v>
      </c>
      <c r="AC1261" s="18"/>
      <c r="AD1261" s="18"/>
      <c r="AE1261" s="18"/>
      <c r="AF1261" s="18"/>
      <c r="AG1261" s="18"/>
      <c r="AH1261" s="18">
        <v>0</v>
      </c>
    </row>
    <row r="1262" spans="23:34" x14ac:dyDescent="0.3">
      <c r="Y1262">
        <v>7</v>
      </c>
      <c r="Z1262" s="57">
        <v>45476</v>
      </c>
      <c r="AA1262" t="s">
        <v>2752</v>
      </c>
      <c r="AB1262" s="18">
        <v>0</v>
      </c>
      <c r="AC1262" s="18"/>
      <c r="AD1262" s="18"/>
      <c r="AE1262" s="18"/>
      <c r="AF1262" s="18"/>
      <c r="AG1262" s="18"/>
      <c r="AH1262" s="18">
        <v>0</v>
      </c>
    </row>
    <row r="1263" spans="23:34" x14ac:dyDescent="0.3">
      <c r="Z1263" s="57">
        <v>45479</v>
      </c>
      <c r="AA1263" t="s">
        <v>2756</v>
      </c>
      <c r="AB1263" s="18">
        <v>0</v>
      </c>
      <c r="AC1263" s="18"/>
      <c r="AD1263" s="18"/>
      <c r="AE1263" s="18"/>
      <c r="AF1263" s="18"/>
      <c r="AG1263" s="18"/>
      <c r="AH1263" s="18">
        <v>0</v>
      </c>
    </row>
    <row r="1264" spans="23:34" x14ac:dyDescent="0.3">
      <c r="Z1264" s="57">
        <v>45500</v>
      </c>
      <c r="AA1264" t="s">
        <v>2770</v>
      </c>
      <c r="AB1264" s="18">
        <v>2545</v>
      </c>
      <c r="AC1264" s="18"/>
      <c r="AD1264" s="18"/>
      <c r="AE1264" s="18"/>
      <c r="AF1264" s="18"/>
      <c r="AG1264" s="18"/>
      <c r="AH1264" s="18">
        <v>2545</v>
      </c>
    </row>
    <row r="1265" spans="23:34" x14ac:dyDescent="0.3">
      <c r="Z1265" s="57">
        <v>45502</v>
      </c>
      <c r="AA1265" t="s">
        <v>2773</v>
      </c>
      <c r="AB1265" s="18">
        <v>225</v>
      </c>
      <c r="AC1265" s="18"/>
      <c r="AD1265" s="18"/>
      <c r="AE1265" s="18"/>
      <c r="AF1265" s="18"/>
      <c r="AG1265" s="18"/>
      <c r="AH1265" s="18">
        <v>225</v>
      </c>
    </row>
    <row r="1266" spans="23:34" x14ac:dyDescent="0.3">
      <c r="Y1266">
        <v>8</v>
      </c>
      <c r="Z1266" s="57">
        <v>45511</v>
      </c>
      <c r="AA1266" t="s">
        <v>2850</v>
      </c>
      <c r="AB1266" s="18">
        <v>6210</v>
      </c>
      <c r="AC1266" s="18"/>
      <c r="AD1266" s="18"/>
      <c r="AE1266" s="18"/>
      <c r="AF1266" s="18"/>
      <c r="AG1266" s="18"/>
      <c r="AH1266" s="18">
        <v>6210</v>
      </c>
    </row>
    <row r="1267" spans="23:34" x14ac:dyDescent="0.3">
      <c r="Z1267" s="57">
        <v>45516</v>
      </c>
      <c r="AA1267" t="s">
        <v>2855</v>
      </c>
      <c r="AB1267" s="18">
        <v>4195</v>
      </c>
      <c r="AC1267" s="18"/>
      <c r="AD1267" s="18"/>
      <c r="AE1267" s="18"/>
      <c r="AF1267" s="18"/>
      <c r="AG1267" s="18"/>
      <c r="AH1267" s="18">
        <v>4195</v>
      </c>
    </row>
    <row r="1268" spans="23:34" x14ac:dyDescent="0.3">
      <c r="Z1268" s="57">
        <v>45517</v>
      </c>
      <c r="AA1268" t="s">
        <v>2856</v>
      </c>
      <c r="AB1268" s="18">
        <v>110</v>
      </c>
      <c r="AC1268" s="18"/>
      <c r="AD1268" s="18"/>
      <c r="AE1268" s="18"/>
      <c r="AF1268" s="18"/>
      <c r="AG1268" s="18"/>
      <c r="AH1268" s="18">
        <v>110</v>
      </c>
    </row>
    <row r="1269" spans="23:34" x14ac:dyDescent="0.3">
      <c r="Z1269" s="57">
        <v>45519</v>
      </c>
      <c r="AA1269" t="s">
        <v>2858</v>
      </c>
      <c r="AB1269" s="18">
        <v>250</v>
      </c>
      <c r="AC1269" s="18"/>
      <c r="AD1269" s="18"/>
      <c r="AE1269" s="18"/>
      <c r="AF1269" s="18"/>
      <c r="AG1269" s="18"/>
      <c r="AH1269" s="18">
        <v>250</v>
      </c>
    </row>
    <row r="1270" spans="23:34" x14ac:dyDescent="0.3">
      <c r="Z1270" s="57">
        <v>45520</v>
      </c>
      <c r="AA1270" t="s">
        <v>2861</v>
      </c>
      <c r="AB1270" s="18">
        <v>180</v>
      </c>
      <c r="AC1270" s="18"/>
      <c r="AD1270" s="18"/>
      <c r="AE1270" s="18"/>
      <c r="AF1270" s="18"/>
      <c r="AG1270" s="18"/>
      <c r="AH1270" s="18">
        <v>180</v>
      </c>
    </row>
    <row r="1271" spans="23:34" x14ac:dyDescent="0.3">
      <c r="Z1271" s="57">
        <v>45521</v>
      </c>
      <c r="AA1271" t="s">
        <v>2864</v>
      </c>
      <c r="AB1271" s="18">
        <v>175</v>
      </c>
      <c r="AC1271" s="18"/>
      <c r="AD1271" s="18"/>
      <c r="AE1271" s="18"/>
      <c r="AF1271" s="18"/>
      <c r="AG1271" s="18"/>
      <c r="AH1271" s="18">
        <v>175</v>
      </c>
    </row>
    <row r="1272" spans="23:34" x14ac:dyDescent="0.3">
      <c r="Y1272">
        <v>11</v>
      </c>
      <c r="Z1272" s="57">
        <v>45615</v>
      </c>
      <c r="AA1272" t="s">
        <v>3129</v>
      </c>
      <c r="AB1272" s="18">
        <v>295</v>
      </c>
      <c r="AC1272" s="18"/>
      <c r="AD1272" s="18"/>
      <c r="AE1272" s="18"/>
      <c r="AF1272" s="18"/>
      <c r="AG1272" s="18"/>
      <c r="AH1272" s="18">
        <v>295</v>
      </c>
    </row>
    <row r="1273" spans="23:34" x14ac:dyDescent="0.3">
      <c r="Z1273" s="57">
        <v>45618</v>
      </c>
      <c r="AA1273" t="s">
        <v>3135</v>
      </c>
      <c r="AB1273" s="18">
        <v>2432.5</v>
      </c>
      <c r="AC1273" s="18"/>
      <c r="AD1273" s="18"/>
      <c r="AE1273" s="18"/>
      <c r="AF1273" s="18"/>
      <c r="AG1273" s="18"/>
      <c r="AH1273" s="18">
        <v>2432.5</v>
      </c>
    </row>
    <row r="1274" spans="23:34" x14ac:dyDescent="0.3">
      <c r="Z1274" s="57">
        <v>45621</v>
      </c>
      <c r="AA1274" t="s">
        <v>3136</v>
      </c>
      <c r="AB1274" s="18">
        <v>40</v>
      </c>
      <c r="AC1274" s="18"/>
      <c r="AD1274" s="18"/>
      <c r="AE1274" s="18"/>
      <c r="AF1274" s="18"/>
      <c r="AG1274" s="18"/>
      <c r="AH1274" s="18">
        <v>40</v>
      </c>
    </row>
    <row r="1275" spans="23:34" x14ac:dyDescent="0.3">
      <c r="Z1275" s="57">
        <v>45626</v>
      </c>
      <c r="AA1275" t="s">
        <v>3146</v>
      </c>
      <c r="AB1275" s="18">
        <v>180</v>
      </c>
      <c r="AC1275" s="18"/>
      <c r="AD1275" s="18"/>
      <c r="AE1275" s="18"/>
      <c r="AF1275" s="18"/>
      <c r="AG1275" s="18"/>
      <c r="AH1275" s="18">
        <v>180</v>
      </c>
    </row>
    <row r="1276" spans="23:34" x14ac:dyDescent="0.3">
      <c r="Y1276">
        <v>12</v>
      </c>
      <c r="Z1276" s="57">
        <v>45628</v>
      </c>
      <c r="AA1276" t="s">
        <v>3212</v>
      </c>
      <c r="AB1276" s="18">
        <v>1980</v>
      </c>
      <c r="AC1276" s="18"/>
      <c r="AD1276" s="18"/>
      <c r="AE1276" s="18"/>
      <c r="AF1276" s="18"/>
      <c r="AG1276" s="18"/>
      <c r="AH1276" s="18">
        <v>1980</v>
      </c>
    </row>
    <row r="1277" spans="23:34" x14ac:dyDescent="0.3">
      <c r="Z1277" s="57">
        <v>45629</v>
      </c>
      <c r="AA1277" t="s">
        <v>3214</v>
      </c>
      <c r="AB1277" s="18">
        <v>115</v>
      </c>
      <c r="AC1277" s="18"/>
      <c r="AD1277" s="18"/>
      <c r="AE1277" s="18"/>
      <c r="AF1277" s="18"/>
      <c r="AG1277" s="18"/>
      <c r="AH1277" s="18">
        <v>115</v>
      </c>
    </row>
    <row r="1278" spans="23:34" x14ac:dyDescent="0.3">
      <c r="Z1278" t="s">
        <v>3262</v>
      </c>
      <c r="AA1278" t="s">
        <v>3265</v>
      </c>
      <c r="AB1278" s="18">
        <v>40</v>
      </c>
      <c r="AC1278" s="18"/>
      <c r="AD1278" s="18"/>
      <c r="AE1278" s="18"/>
      <c r="AF1278" s="18"/>
      <c r="AG1278" s="18"/>
      <c r="AH1278" s="18">
        <v>40</v>
      </c>
    </row>
    <row r="1279" spans="23:34" x14ac:dyDescent="0.3">
      <c r="W1279" s="36" t="s">
        <v>2733</v>
      </c>
      <c r="X1279" s="36"/>
      <c r="Y1279" s="36"/>
      <c r="Z1279" s="36"/>
      <c r="AA1279" s="36"/>
      <c r="AB1279" s="37">
        <v>18972.5</v>
      </c>
      <c r="AC1279" s="37"/>
      <c r="AD1279" s="37"/>
      <c r="AE1279" s="37"/>
      <c r="AF1279" s="37"/>
      <c r="AG1279" s="37"/>
      <c r="AH1279" s="37">
        <v>18972.5</v>
      </c>
    </row>
    <row r="1280" spans="23:34" x14ac:dyDescent="0.3">
      <c r="W1280" t="s">
        <v>2734</v>
      </c>
      <c r="X1280">
        <v>2024</v>
      </c>
      <c r="Y1280">
        <v>7</v>
      </c>
      <c r="Z1280" s="57">
        <v>45475</v>
      </c>
      <c r="AA1280" t="s">
        <v>2746</v>
      </c>
      <c r="AB1280" s="18">
        <v>0</v>
      </c>
      <c r="AC1280" s="18"/>
      <c r="AD1280" s="18"/>
      <c r="AE1280" s="18"/>
      <c r="AF1280" s="18"/>
      <c r="AG1280" s="18"/>
      <c r="AH1280" s="18">
        <v>0</v>
      </c>
    </row>
    <row r="1281" spans="23:34" x14ac:dyDescent="0.3">
      <c r="W1281" s="36" t="s">
        <v>2838</v>
      </c>
      <c r="X1281" s="36"/>
      <c r="Y1281" s="36"/>
      <c r="Z1281" s="36"/>
      <c r="AA1281" s="36"/>
      <c r="AB1281" s="37">
        <v>0</v>
      </c>
      <c r="AC1281" s="37"/>
      <c r="AD1281" s="37"/>
      <c r="AE1281" s="37"/>
      <c r="AF1281" s="37"/>
      <c r="AG1281" s="37"/>
      <c r="AH1281" s="37">
        <v>0</v>
      </c>
    </row>
    <row r="1282" spans="23:34" x14ac:dyDescent="0.3">
      <c r="W1282" t="s">
        <v>2740</v>
      </c>
      <c r="X1282">
        <v>2024</v>
      </c>
      <c r="Y1282">
        <v>7</v>
      </c>
      <c r="Z1282" s="57">
        <v>45489</v>
      </c>
      <c r="AA1282" t="s">
        <v>2761</v>
      </c>
      <c r="AB1282" s="18">
        <v>0</v>
      </c>
      <c r="AC1282" s="18"/>
      <c r="AD1282" s="18"/>
      <c r="AE1282" s="18"/>
      <c r="AF1282" s="18"/>
      <c r="AG1282" s="18"/>
      <c r="AH1282" s="18">
        <v>0</v>
      </c>
    </row>
    <row r="1283" spans="23:34" x14ac:dyDescent="0.3">
      <c r="W1283" s="36" t="s">
        <v>2839</v>
      </c>
      <c r="X1283" s="36"/>
      <c r="Y1283" s="36"/>
      <c r="Z1283" s="36"/>
      <c r="AA1283" s="36"/>
      <c r="AB1283" s="37">
        <v>0</v>
      </c>
      <c r="AC1283" s="37"/>
      <c r="AD1283" s="37"/>
      <c r="AE1283" s="37"/>
      <c r="AF1283" s="37"/>
      <c r="AG1283" s="37"/>
      <c r="AH1283" s="37">
        <v>0</v>
      </c>
    </row>
    <row r="1284" spans="23:34" x14ac:dyDescent="0.3">
      <c r="W1284" t="s">
        <v>2928</v>
      </c>
      <c r="X1284">
        <v>2023</v>
      </c>
      <c r="Y1284">
        <v>10</v>
      </c>
      <c r="Z1284" s="57">
        <v>45224</v>
      </c>
      <c r="AA1284" t="s">
        <v>2027</v>
      </c>
      <c r="AB1284" s="18">
        <v>0</v>
      </c>
      <c r="AC1284" s="18"/>
      <c r="AD1284" s="18"/>
      <c r="AE1284" s="18"/>
      <c r="AF1284" s="18"/>
      <c r="AG1284" s="18"/>
      <c r="AH1284" s="18">
        <v>0</v>
      </c>
    </row>
    <row r="1285" spans="23:34" x14ac:dyDescent="0.3">
      <c r="Y1285">
        <v>11</v>
      </c>
      <c r="Z1285" s="57">
        <v>45233</v>
      </c>
      <c r="AA1285" t="s">
        <v>2092</v>
      </c>
      <c r="AB1285" s="18">
        <v>0</v>
      </c>
      <c r="AC1285" s="18"/>
      <c r="AD1285" s="18"/>
      <c r="AE1285" s="18"/>
      <c r="AF1285" s="18"/>
      <c r="AG1285" s="18"/>
      <c r="AH1285" s="18">
        <v>0</v>
      </c>
    </row>
    <row r="1286" spans="23:34" x14ac:dyDescent="0.3">
      <c r="X1286">
        <v>2024</v>
      </c>
      <c r="Y1286">
        <v>8</v>
      </c>
      <c r="Z1286" s="57">
        <v>45510</v>
      </c>
      <c r="AA1286" t="s">
        <v>2848</v>
      </c>
      <c r="AB1286" s="18">
        <v>0</v>
      </c>
      <c r="AC1286" s="18"/>
      <c r="AD1286" s="18"/>
      <c r="AE1286" s="18"/>
      <c r="AF1286" s="18"/>
      <c r="AG1286" s="18"/>
      <c r="AH1286" s="18">
        <v>0</v>
      </c>
    </row>
    <row r="1287" spans="23:34" x14ac:dyDescent="0.3">
      <c r="W1287" s="36" t="s">
        <v>2930</v>
      </c>
      <c r="X1287" s="36"/>
      <c r="Y1287" s="36"/>
      <c r="Z1287" s="36"/>
      <c r="AA1287" s="36"/>
      <c r="AB1287" s="37">
        <v>0</v>
      </c>
      <c r="AC1287" s="37"/>
      <c r="AD1287" s="37"/>
      <c r="AE1287" s="37"/>
      <c r="AF1287" s="37"/>
      <c r="AG1287" s="37"/>
      <c r="AH1287" s="37">
        <v>0</v>
      </c>
    </row>
    <row r="1288" spans="23:34" x14ac:dyDescent="0.3">
      <c r="W1288" t="s">
        <v>2929</v>
      </c>
      <c r="X1288">
        <v>2023</v>
      </c>
      <c r="Y1288">
        <v>12</v>
      </c>
      <c r="Z1288" s="57">
        <v>45276</v>
      </c>
      <c r="AA1288" t="s">
        <v>2195</v>
      </c>
      <c r="AB1288" s="18">
        <v>0</v>
      </c>
      <c r="AC1288" s="18"/>
      <c r="AD1288" s="18"/>
      <c r="AE1288" s="18"/>
      <c r="AF1288" s="18"/>
      <c r="AG1288" s="18"/>
      <c r="AH1288" s="18">
        <v>0</v>
      </c>
    </row>
    <row r="1289" spans="23:34" x14ac:dyDescent="0.3">
      <c r="X1289">
        <v>2024</v>
      </c>
      <c r="Y1289">
        <v>1</v>
      </c>
      <c r="Z1289" s="57">
        <v>45300</v>
      </c>
      <c r="AA1289" t="s">
        <v>2275</v>
      </c>
      <c r="AB1289" s="18">
        <v>0</v>
      </c>
      <c r="AC1289" s="18"/>
      <c r="AD1289" s="18"/>
      <c r="AE1289" s="18"/>
      <c r="AF1289" s="18"/>
      <c r="AG1289" s="18"/>
      <c r="AH1289" s="18">
        <v>0</v>
      </c>
    </row>
    <row r="1290" spans="23:34" x14ac:dyDescent="0.3">
      <c r="Z1290" s="57">
        <v>45314</v>
      </c>
      <c r="AA1290" t="s">
        <v>2290</v>
      </c>
      <c r="AB1290" s="18">
        <v>0</v>
      </c>
      <c r="AC1290" s="18"/>
      <c r="AD1290" s="18"/>
      <c r="AE1290" s="18"/>
      <c r="AF1290" s="18"/>
      <c r="AG1290" s="18"/>
      <c r="AH1290" s="18">
        <v>0</v>
      </c>
    </row>
    <row r="1291" spans="23:34" x14ac:dyDescent="0.3">
      <c r="Y1291">
        <v>2</v>
      </c>
      <c r="Z1291" s="57">
        <v>45343</v>
      </c>
      <c r="AA1291" t="s">
        <v>2364</v>
      </c>
      <c r="AB1291" s="18">
        <v>0</v>
      </c>
      <c r="AC1291" s="18"/>
      <c r="AD1291" s="18"/>
      <c r="AE1291" s="18"/>
      <c r="AF1291" s="18"/>
      <c r="AG1291" s="18"/>
      <c r="AH1291" s="18">
        <v>0</v>
      </c>
    </row>
    <row r="1292" spans="23:34" x14ac:dyDescent="0.3">
      <c r="Y1292">
        <v>3</v>
      </c>
      <c r="Z1292" s="57">
        <v>45356</v>
      </c>
      <c r="AA1292" t="s">
        <v>2429</v>
      </c>
      <c r="AB1292" s="18">
        <v>0</v>
      </c>
      <c r="AC1292" s="18"/>
      <c r="AD1292" s="18"/>
      <c r="AE1292" s="18"/>
      <c r="AF1292" s="18"/>
      <c r="AG1292" s="18"/>
      <c r="AH1292" s="18">
        <v>0</v>
      </c>
    </row>
    <row r="1293" spans="23:34" x14ac:dyDescent="0.3">
      <c r="Z1293" s="57">
        <v>45373</v>
      </c>
      <c r="AA1293" t="s">
        <v>2451</v>
      </c>
      <c r="AB1293" s="18">
        <v>0</v>
      </c>
      <c r="AC1293" s="18"/>
      <c r="AD1293" s="18"/>
      <c r="AE1293" s="18"/>
      <c r="AF1293" s="18"/>
      <c r="AG1293" s="18"/>
      <c r="AH1293" s="18">
        <v>0</v>
      </c>
    </row>
    <row r="1294" spans="23:34" x14ac:dyDescent="0.3">
      <c r="Y1294">
        <v>5</v>
      </c>
      <c r="Z1294" s="57">
        <v>45441</v>
      </c>
      <c r="AA1294" t="s">
        <v>2575</v>
      </c>
      <c r="AB1294" s="18">
        <v>0</v>
      </c>
      <c r="AC1294" s="18"/>
      <c r="AD1294" s="18"/>
      <c r="AE1294" s="18"/>
      <c r="AF1294" s="18"/>
      <c r="AG1294" s="18"/>
      <c r="AH1294" s="18">
        <v>0</v>
      </c>
    </row>
    <row r="1295" spans="23:34" x14ac:dyDescent="0.3">
      <c r="Y1295">
        <v>7</v>
      </c>
      <c r="Z1295" s="57">
        <v>45475</v>
      </c>
      <c r="AA1295" t="s">
        <v>2749</v>
      </c>
      <c r="AB1295" s="18">
        <v>0</v>
      </c>
      <c r="AC1295" s="18"/>
      <c r="AD1295" s="18"/>
      <c r="AE1295" s="18"/>
      <c r="AF1295" s="18"/>
      <c r="AG1295" s="18"/>
      <c r="AH1295" s="18">
        <v>0</v>
      </c>
    </row>
    <row r="1296" spans="23:34" x14ac:dyDescent="0.3">
      <c r="Z1296" s="57">
        <v>45479</v>
      </c>
      <c r="AA1296" t="s">
        <v>2755</v>
      </c>
      <c r="AB1296" s="18">
        <v>0</v>
      </c>
      <c r="AC1296" s="18"/>
      <c r="AD1296" s="18"/>
      <c r="AE1296" s="18"/>
      <c r="AF1296" s="18"/>
      <c r="AG1296" s="18"/>
      <c r="AH1296" s="18">
        <v>0</v>
      </c>
    </row>
    <row r="1297" spans="24:34" x14ac:dyDescent="0.3">
      <c r="Y1297">
        <v>8</v>
      </c>
      <c r="Z1297" s="57">
        <v>45509</v>
      </c>
      <c r="AA1297" t="s">
        <v>2844</v>
      </c>
      <c r="AB1297" s="18">
        <v>0</v>
      </c>
      <c r="AC1297" s="18"/>
      <c r="AD1297" s="18"/>
      <c r="AE1297" s="18"/>
      <c r="AF1297" s="18"/>
      <c r="AG1297" s="18"/>
      <c r="AH1297" s="18">
        <v>0</v>
      </c>
    </row>
    <row r="1298" spans="24:34" x14ac:dyDescent="0.3">
      <c r="Y1298">
        <v>9</v>
      </c>
      <c r="Z1298" s="57">
        <v>45542</v>
      </c>
      <c r="AA1298" t="s">
        <v>2943</v>
      </c>
      <c r="AB1298" s="18">
        <v>0</v>
      </c>
      <c r="AC1298" s="18"/>
      <c r="AD1298" s="18"/>
      <c r="AE1298" s="18"/>
      <c r="AF1298" s="18"/>
      <c r="AG1298" s="18"/>
      <c r="AH1298" s="18">
        <v>0</v>
      </c>
    </row>
    <row r="1299" spans="24:34" x14ac:dyDescent="0.3">
      <c r="Z1299" s="57">
        <v>45560</v>
      </c>
      <c r="AA1299" t="s">
        <v>2954</v>
      </c>
      <c r="AB1299" s="18">
        <v>0</v>
      </c>
      <c r="AC1299" s="18"/>
      <c r="AD1299" s="18"/>
      <c r="AE1299" s="18"/>
      <c r="AF1299" s="18"/>
      <c r="AG1299" s="18"/>
      <c r="AH1299" s="18">
        <v>0</v>
      </c>
    </row>
    <row r="1300" spans="24:34" x14ac:dyDescent="0.3">
      <c r="Z1300" s="57">
        <v>45565</v>
      </c>
      <c r="AA1300" t="s">
        <v>2959</v>
      </c>
      <c r="AB1300" s="18">
        <v>0</v>
      </c>
      <c r="AC1300" s="18"/>
      <c r="AD1300" s="18"/>
      <c r="AE1300" s="18"/>
      <c r="AF1300" s="18"/>
      <c r="AG1300" s="18"/>
      <c r="AH1300" s="18">
        <v>0</v>
      </c>
    </row>
    <row r="1301" spans="24:34" x14ac:dyDescent="0.3">
      <c r="Y1301">
        <v>10</v>
      </c>
      <c r="Z1301" s="57">
        <v>45586</v>
      </c>
      <c r="AA1301" t="s">
        <v>3023</v>
      </c>
      <c r="AB1301" s="18">
        <v>0</v>
      </c>
      <c r="AC1301" s="18"/>
      <c r="AD1301" s="18"/>
      <c r="AE1301" s="18"/>
      <c r="AF1301" s="18"/>
      <c r="AG1301" s="18"/>
      <c r="AH1301" s="18">
        <v>0</v>
      </c>
    </row>
    <row r="1302" spans="24:34" x14ac:dyDescent="0.3">
      <c r="Z1302" s="57">
        <v>45594</v>
      </c>
      <c r="AA1302" t="s">
        <v>3031</v>
      </c>
      <c r="AB1302" s="18">
        <v>0</v>
      </c>
      <c r="AC1302" s="18"/>
      <c r="AD1302" s="18"/>
      <c r="AE1302" s="18"/>
      <c r="AF1302" s="18"/>
      <c r="AG1302" s="18"/>
      <c r="AH1302" s="18">
        <v>0</v>
      </c>
    </row>
    <row r="1303" spans="24:34" x14ac:dyDescent="0.3">
      <c r="AA1303" t="s">
        <v>3033</v>
      </c>
      <c r="AB1303" s="18">
        <v>0</v>
      </c>
      <c r="AC1303" s="18"/>
      <c r="AD1303" s="18"/>
      <c r="AE1303" s="18"/>
      <c r="AF1303" s="18"/>
      <c r="AG1303" s="18"/>
      <c r="AH1303" s="18">
        <v>0</v>
      </c>
    </row>
    <row r="1304" spans="24:34" x14ac:dyDescent="0.3">
      <c r="AA1304" t="s">
        <v>3034</v>
      </c>
      <c r="AB1304" s="18">
        <v>0</v>
      </c>
      <c r="AC1304" s="18"/>
      <c r="AD1304" s="18"/>
      <c r="AE1304" s="18"/>
      <c r="AF1304" s="18"/>
      <c r="AG1304" s="18"/>
      <c r="AH1304" s="18">
        <v>0</v>
      </c>
    </row>
    <row r="1305" spans="24:34" x14ac:dyDescent="0.3">
      <c r="Y1305">
        <v>11</v>
      </c>
      <c r="Z1305" s="57">
        <v>45602</v>
      </c>
      <c r="AA1305" t="s">
        <v>3108</v>
      </c>
      <c r="AB1305" s="18">
        <v>0</v>
      </c>
      <c r="AC1305" s="18"/>
      <c r="AD1305" s="18"/>
      <c r="AE1305" s="18"/>
      <c r="AF1305" s="18"/>
      <c r="AG1305" s="18"/>
      <c r="AH1305" s="18">
        <v>0</v>
      </c>
    </row>
    <row r="1306" spans="24:34" x14ac:dyDescent="0.3">
      <c r="Z1306" s="57">
        <v>45619</v>
      </c>
      <c r="AA1306" t="s">
        <v>3133</v>
      </c>
      <c r="AB1306" s="18">
        <v>0</v>
      </c>
      <c r="AC1306" s="18"/>
      <c r="AD1306" s="18"/>
      <c r="AE1306" s="18"/>
      <c r="AF1306" s="18"/>
      <c r="AG1306" s="18"/>
      <c r="AH1306" s="18">
        <v>0</v>
      </c>
    </row>
    <row r="1307" spans="24:34" x14ac:dyDescent="0.3">
      <c r="Y1307">
        <v>12</v>
      </c>
      <c r="Z1307" t="s">
        <v>3235</v>
      </c>
      <c r="AA1307" t="s">
        <v>3238</v>
      </c>
      <c r="AB1307" s="18">
        <v>0</v>
      </c>
      <c r="AC1307" s="18"/>
      <c r="AD1307" s="18"/>
      <c r="AE1307" s="18"/>
      <c r="AF1307" s="18"/>
      <c r="AG1307" s="18"/>
      <c r="AH1307" s="18">
        <v>0</v>
      </c>
    </row>
    <row r="1308" spans="24:34" x14ac:dyDescent="0.3">
      <c r="Z1308" t="s">
        <v>3253</v>
      </c>
      <c r="AA1308" t="s">
        <v>3254</v>
      </c>
      <c r="AB1308" s="18">
        <v>0</v>
      </c>
      <c r="AC1308" s="18"/>
      <c r="AD1308" s="18"/>
      <c r="AE1308" s="18"/>
      <c r="AF1308" s="18"/>
      <c r="AG1308" s="18"/>
      <c r="AH1308" s="18">
        <v>0</v>
      </c>
    </row>
    <row r="1309" spans="24:34" x14ac:dyDescent="0.3">
      <c r="Z1309" t="s">
        <v>3271</v>
      </c>
      <c r="AA1309" t="s">
        <v>3272</v>
      </c>
      <c r="AB1309" s="18">
        <v>0</v>
      </c>
      <c r="AC1309" s="18"/>
      <c r="AD1309" s="18"/>
      <c r="AE1309" s="18"/>
      <c r="AF1309" s="18"/>
      <c r="AG1309" s="18"/>
      <c r="AH1309" s="18">
        <v>0</v>
      </c>
    </row>
    <row r="1310" spans="24:34" x14ac:dyDescent="0.3">
      <c r="Y1310">
        <v>4</v>
      </c>
      <c r="Z1310" s="57">
        <v>45386</v>
      </c>
      <c r="AA1310" t="s">
        <v>2506</v>
      </c>
      <c r="AB1310" s="18">
        <v>0</v>
      </c>
      <c r="AC1310" s="18"/>
      <c r="AD1310" s="18"/>
      <c r="AE1310" s="18"/>
      <c r="AF1310" s="18"/>
      <c r="AG1310" s="18"/>
      <c r="AH1310" s="18">
        <v>0</v>
      </c>
    </row>
    <row r="1311" spans="24:34" x14ac:dyDescent="0.3">
      <c r="Z1311" s="57">
        <v>45408</v>
      </c>
      <c r="AA1311" t="s">
        <v>2520</v>
      </c>
      <c r="AB1311" s="18">
        <v>0</v>
      </c>
      <c r="AC1311" s="18"/>
      <c r="AD1311" s="18"/>
      <c r="AE1311" s="18"/>
      <c r="AF1311" s="18"/>
      <c r="AG1311" s="18"/>
      <c r="AH1311" s="18">
        <v>0</v>
      </c>
    </row>
    <row r="1312" spans="24:34" x14ac:dyDescent="0.3">
      <c r="X1312">
        <v>2025</v>
      </c>
      <c r="Y1312">
        <v>1</v>
      </c>
      <c r="Z1312" s="57">
        <v>45673</v>
      </c>
      <c r="AA1312" t="s">
        <v>3349</v>
      </c>
      <c r="AB1312" s="18">
        <v>0</v>
      </c>
      <c r="AC1312" s="18"/>
      <c r="AD1312" s="18"/>
      <c r="AE1312" s="18"/>
      <c r="AF1312" s="18"/>
      <c r="AG1312" s="18"/>
      <c r="AH1312" s="18">
        <v>0</v>
      </c>
    </row>
    <row r="1313" spans="23:34" x14ac:dyDescent="0.3">
      <c r="Z1313" s="57">
        <v>45682</v>
      </c>
      <c r="AA1313" t="s">
        <v>3361</v>
      </c>
      <c r="AB1313" s="18">
        <v>0</v>
      </c>
      <c r="AC1313" s="18"/>
      <c r="AD1313" s="18"/>
      <c r="AE1313" s="18"/>
      <c r="AF1313" s="18"/>
      <c r="AG1313" s="18"/>
      <c r="AH1313" s="18">
        <v>0</v>
      </c>
    </row>
    <row r="1314" spans="23:34" x14ac:dyDescent="0.3">
      <c r="Y1314">
        <v>2</v>
      </c>
      <c r="Z1314" s="57">
        <v>45700</v>
      </c>
      <c r="AA1314" t="s">
        <v>3452</v>
      </c>
      <c r="AB1314" s="18">
        <v>0</v>
      </c>
      <c r="AC1314" s="18"/>
      <c r="AD1314" s="18"/>
      <c r="AE1314" s="18"/>
      <c r="AF1314" s="18"/>
      <c r="AG1314" s="18"/>
      <c r="AH1314" s="18">
        <v>0</v>
      </c>
    </row>
    <row r="1315" spans="23:34" x14ac:dyDescent="0.3">
      <c r="Z1315" s="57">
        <v>45702</v>
      </c>
      <c r="AA1315" t="s">
        <v>3454</v>
      </c>
      <c r="AB1315" s="18">
        <v>0</v>
      </c>
      <c r="AC1315" s="18"/>
      <c r="AD1315" s="18"/>
      <c r="AE1315" s="18"/>
      <c r="AF1315" s="18"/>
      <c r="AG1315" s="18"/>
      <c r="AH1315" s="18">
        <v>0</v>
      </c>
    </row>
    <row r="1316" spans="23:34" x14ac:dyDescent="0.3">
      <c r="Z1316" s="57">
        <v>45713</v>
      </c>
      <c r="AA1316" t="s">
        <v>3469</v>
      </c>
      <c r="AB1316" s="18">
        <v>0.5</v>
      </c>
      <c r="AC1316" s="18"/>
      <c r="AD1316" s="18"/>
      <c r="AE1316" s="18"/>
      <c r="AF1316" s="18"/>
      <c r="AG1316" s="18"/>
      <c r="AH1316" s="18">
        <v>0.5</v>
      </c>
    </row>
    <row r="1317" spans="23:34" x14ac:dyDescent="0.3">
      <c r="Y1317">
        <v>5</v>
      </c>
      <c r="Z1317" t="s">
        <v>3707</v>
      </c>
      <c r="AA1317" t="s">
        <v>3708</v>
      </c>
      <c r="AB1317" s="18">
        <v>0</v>
      </c>
      <c r="AC1317" s="18"/>
      <c r="AD1317" s="18"/>
      <c r="AE1317" s="18"/>
      <c r="AF1317" s="18"/>
      <c r="AG1317" s="18"/>
      <c r="AH1317" s="18">
        <v>0</v>
      </c>
    </row>
    <row r="1318" spans="23:34" x14ac:dyDescent="0.3">
      <c r="Z1318" t="s">
        <v>3739</v>
      </c>
      <c r="AA1318" t="s">
        <v>3740</v>
      </c>
      <c r="AB1318" s="18">
        <v>0</v>
      </c>
      <c r="AC1318" s="18"/>
      <c r="AD1318" s="18"/>
      <c r="AE1318" s="18"/>
      <c r="AF1318" s="18"/>
      <c r="AG1318" s="18"/>
      <c r="AH1318" s="18">
        <v>0</v>
      </c>
    </row>
    <row r="1319" spans="23:34" x14ac:dyDescent="0.3">
      <c r="Y1319">
        <v>6</v>
      </c>
      <c r="Z1319" t="s">
        <v>3861</v>
      </c>
      <c r="AA1319" t="s">
        <v>3862</v>
      </c>
      <c r="AB1319" s="18">
        <v>0</v>
      </c>
      <c r="AC1319" s="18"/>
      <c r="AD1319" s="18"/>
      <c r="AE1319" s="18"/>
      <c r="AF1319" s="18"/>
      <c r="AG1319" s="18"/>
      <c r="AH1319" s="18">
        <v>0</v>
      </c>
    </row>
    <row r="1320" spans="23:34" x14ac:dyDescent="0.3">
      <c r="Z1320" t="s">
        <v>3888</v>
      </c>
      <c r="AA1320" t="s">
        <v>3889</v>
      </c>
      <c r="AB1320" s="18">
        <v>0</v>
      </c>
      <c r="AC1320" s="18"/>
      <c r="AD1320" s="18"/>
      <c r="AE1320" s="18"/>
      <c r="AF1320" s="18"/>
      <c r="AG1320" s="18"/>
      <c r="AH1320" s="18">
        <v>0</v>
      </c>
    </row>
    <row r="1321" spans="23:34" x14ac:dyDescent="0.3">
      <c r="Y1321">
        <v>7</v>
      </c>
      <c r="Z1321" t="s">
        <v>4004</v>
      </c>
      <c r="AA1321" t="s">
        <v>4005</v>
      </c>
      <c r="AB1321" s="18">
        <v>0</v>
      </c>
      <c r="AC1321" s="18"/>
      <c r="AD1321" s="18"/>
      <c r="AE1321" s="18"/>
      <c r="AF1321" s="18"/>
      <c r="AG1321" s="18"/>
      <c r="AH1321" s="18">
        <v>0</v>
      </c>
    </row>
    <row r="1322" spans="23:34" x14ac:dyDescent="0.3">
      <c r="Z1322" t="s">
        <v>4024</v>
      </c>
      <c r="AA1322" t="s">
        <v>4025</v>
      </c>
      <c r="AB1322" s="18">
        <v>0</v>
      </c>
      <c r="AC1322" s="18"/>
      <c r="AD1322" s="18"/>
      <c r="AE1322" s="18"/>
      <c r="AF1322" s="18"/>
      <c r="AG1322" s="18"/>
      <c r="AH1322" s="18">
        <v>0</v>
      </c>
    </row>
    <row r="1323" spans="23:34" x14ac:dyDescent="0.3">
      <c r="Z1323" t="s">
        <v>4037</v>
      </c>
      <c r="AA1323" t="s">
        <v>4038</v>
      </c>
      <c r="AB1323" s="18">
        <v>0</v>
      </c>
      <c r="AC1323" s="18"/>
      <c r="AD1323" s="18"/>
      <c r="AE1323" s="18"/>
      <c r="AF1323" s="18"/>
      <c r="AG1323" s="18"/>
      <c r="AH1323" s="18">
        <v>0</v>
      </c>
    </row>
    <row r="1324" spans="23:34" x14ac:dyDescent="0.3">
      <c r="Y1324">
        <v>4</v>
      </c>
      <c r="Z1324" t="s">
        <v>3619</v>
      </c>
      <c r="AA1324" t="s">
        <v>3620</v>
      </c>
      <c r="AB1324" s="18">
        <v>0</v>
      </c>
      <c r="AC1324" s="18"/>
      <c r="AD1324" s="18"/>
      <c r="AE1324" s="18"/>
      <c r="AF1324" s="18"/>
      <c r="AG1324" s="18"/>
      <c r="AH1324" s="18">
        <v>0</v>
      </c>
    </row>
    <row r="1325" spans="23:34" x14ac:dyDescent="0.3">
      <c r="Z1325" t="s">
        <v>3625</v>
      </c>
      <c r="AA1325" t="s">
        <v>3627</v>
      </c>
      <c r="AB1325" s="18">
        <v>0</v>
      </c>
      <c r="AC1325" s="18"/>
      <c r="AD1325" s="18"/>
      <c r="AE1325" s="18"/>
      <c r="AF1325" s="18"/>
      <c r="AG1325" s="18"/>
      <c r="AH1325" s="18">
        <v>0</v>
      </c>
    </row>
    <row r="1326" spans="23:34" x14ac:dyDescent="0.3">
      <c r="Z1326" t="s">
        <v>3657</v>
      </c>
      <c r="AA1326" t="s">
        <v>3658</v>
      </c>
      <c r="AB1326" s="18">
        <v>0</v>
      </c>
      <c r="AC1326" s="18"/>
      <c r="AD1326" s="18"/>
      <c r="AE1326" s="18"/>
      <c r="AF1326" s="18"/>
      <c r="AG1326" s="18"/>
      <c r="AH1326" s="18">
        <v>0</v>
      </c>
    </row>
    <row r="1327" spans="23:34" x14ac:dyDescent="0.3">
      <c r="W1327" s="36" t="s">
        <v>2931</v>
      </c>
      <c r="X1327" s="36"/>
      <c r="Y1327" s="36"/>
      <c r="Z1327" s="36"/>
      <c r="AA1327" s="36"/>
      <c r="AB1327" s="37">
        <v>0.5</v>
      </c>
      <c r="AC1327" s="37"/>
      <c r="AD1327" s="37"/>
      <c r="AE1327" s="37"/>
      <c r="AF1327" s="37"/>
      <c r="AG1327" s="37"/>
      <c r="AH1327" s="37">
        <v>0.5</v>
      </c>
    </row>
    <row r="1328" spans="23:34" x14ac:dyDescent="0.3">
      <c r="W1328" t="s">
        <v>2939</v>
      </c>
      <c r="X1328">
        <v>2024</v>
      </c>
      <c r="Y1328">
        <v>9</v>
      </c>
      <c r="Z1328" s="57">
        <v>45537</v>
      </c>
      <c r="AA1328" t="s">
        <v>2938</v>
      </c>
      <c r="AB1328" s="18">
        <v>-5</v>
      </c>
      <c r="AC1328" s="18"/>
      <c r="AD1328" s="18"/>
      <c r="AE1328" s="18"/>
      <c r="AF1328" s="18"/>
      <c r="AG1328" s="18"/>
      <c r="AH1328" s="18">
        <v>-5</v>
      </c>
    </row>
    <row r="1329" spans="23:34" x14ac:dyDescent="0.3">
      <c r="Y1329">
        <v>10</v>
      </c>
      <c r="Z1329" s="57">
        <v>45583</v>
      </c>
      <c r="AA1329" t="s">
        <v>3021</v>
      </c>
      <c r="AB1329" s="18">
        <v>-5</v>
      </c>
      <c r="AC1329" s="18"/>
      <c r="AD1329" s="18"/>
      <c r="AE1329" s="18"/>
      <c r="AF1329" s="18"/>
      <c r="AG1329" s="18"/>
      <c r="AH1329" s="18">
        <v>-5</v>
      </c>
    </row>
    <row r="1330" spans="23:34" x14ac:dyDescent="0.3">
      <c r="Y1330">
        <v>12</v>
      </c>
      <c r="Z1330" t="s">
        <v>3278</v>
      </c>
      <c r="AA1330" t="s">
        <v>3281</v>
      </c>
      <c r="AB1330" s="18">
        <v>0</v>
      </c>
      <c r="AC1330" s="18"/>
      <c r="AD1330" s="18"/>
      <c r="AE1330" s="18"/>
      <c r="AF1330" s="18"/>
      <c r="AG1330" s="18"/>
      <c r="AH1330" s="18">
        <v>0</v>
      </c>
    </row>
    <row r="1331" spans="23:34" x14ac:dyDescent="0.3">
      <c r="X1331">
        <v>2025</v>
      </c>
      <c r="Y1331">
        <v>2</v>
      </c>
      <c r="Z1331" s="57">
        <v>45695</v>
      </c>
      <c r="AA1331" t="s">
        <v>3447</v>
      </c>
      <c r="AB1331" s="18">
        <v>525</v>
      </c>
      <c r="AC1331" s="18"/>
      <c r="AD1331" s="18"/>
      <c r="AE1331" s="18"/>
      <c r="AF1331" s="18"/>
      <c r="AG1331" s="18"/>
      <c r="AH1331" s="18">
        <v>525</v>
      </c>
    </row>
    <row r="1332" spans="23:34" x14ac:dyDescent="0.3">
      <c r="W1332" s="36" t="s">
        <v>3006</v>
      </c>
      <c r="X1332" s="36"/>
      <c r="Y1332" s="36"/>
      <c r="Z1332" s="36"/>
      <c r="AA1332" s="36"/>
      <c r="AB1332" s="37">
        <v>515</v>
      </c>
      <c r="AC1332" s="37"/>
      <c r="AD1332" s="37"/>
      <c r="AE1332" s="37"/>
      <c r="AF1332" s="37"/>
      <c r="AG1332" s="37"/>
      <c r="AH1332" s="37">
        <v>515</v>
      </c>
    </row>
    <row r="1333" spans="23:34" x14ac:dyDescent="0.3">
      <c r="W1333" t="s">
        <v>3061</v>
      </c>
      <c r="X1333">
        <v>2024</v>
      </c>
      <c r="Y1333">
        <v>6</v>
      </c>
      <c r="Z1333" s="57">
        <v>45470</v>
      </c>
      <c r="AA1333" t="s">
        <v>2662</v>
      </c>
      <c r="AB1333" s="18">
        <v>0</v>
      </c>
      <c r="AC1333" s="18"/>
      <c r="AD1333" s="18"/>
      <c r="AE1333" s="18"/>
      <c r="AF1333" s="18"/>
      <c r="AG1333" s="18"/>
      <c r="AH1333" s="18">
        <v>0</v>
      </c>
    </row>
    <row r="1334" spans="23:34" x14ac:dyDescent="0.3">
      <c r="W1334" s="36" t="s">
        <v>3097</v>
      </c>
      <c r="X1334" s="36"/>
      <c r="Y1334" s="36"/>
      <c r="Z1334" s="36"/>
      <c r="AA1334" s="36"/>
      <c r="AB1334" s="37">
        <v>0</v>
      </c>
      <c r="AC1334" s="37"/>
      <c r="AD1334" s="37"/>
      <c r="AE1334" s="37"/>
      <c r="AF1334" s="37"/>
      <c r="AG1334" s="37"/>
      <c r="AH1334" s="37">
        <v>0</v>
      </c>
    </row>
    <row r="1335" spans="23:34" x14ac:dyDescent="0.3">
      <c r="W1335" t="s">
        <v>3063</v>
      </c>
      <c r="X1335">
        <v>2024</v>
      </c>
      <c r="Y1335">
        <v>10</v>
      </c>
      <c r="Z1335" s="57">
        <v>45587</v>
      </c>
      <c r="AA1335" t="s">
        <v>3026</v>
      </c>
      <c r="AB1335" s="18">
        <v>0</v>
      </c>
      <c r="AC1335" s="18"/>
      <c r="AD1335" s="18"/>
      <c r="AE1335" s="18"/>
      <c r="AF1335" s="18"/>
      <c r="AG1335" s="18"/>
      <c r="AH1335" s="18">
        <v>0</v>
      </c>
    </row>
    <row r="1336" spans="23:34" x14ac:dyDescent="0.3">
      <c r="W1336" s="36" t="s">
        <v>3098</v>
      </c>
      <c r="X1336" s="36"/>
      <c r="Y1336" s="36"/>
      <c r="Z1336" s="36"/>
      <c r="AA1336" s="36"/>
      <c r="AB1336" s="37">
        <v>0</v>
      </c>
      <c r="AC1336" s="37"/>
      <c r="AD1336" s="37"/>
      <c r="AE1336" s="37"/>
      <c r="AF1336" s="37"/>
      <c r="AG1336" s="37"/>
      <c r="AH1336" s="37">
        <v>0</v>
      </c>
    </row>
    <row r="1337" spans="23:34" x14ac:dyDescent="0.3">
      <c r="W1337" t="s">
        <v>3100</v>
      </c>
      <c r="X1337" t="s">
        <v>1763</v>
      </c>
      <c r="Y1337" t="s">
        <v>1763</v>
      </c>
      <c r="Z1337" s="57">
        <v>45597</v>
      </c>
      <c r="AA1337" t="s">
        <v>3099</v>
      </c>
      <c r="AB1337" s="18"/>
      <c r="AC1337" s="18"/>
      <c r="AD1337" s="18"/>
      <c r="AE1337" s="18"/>
      <c r="AF1337" s="18">
        <v>0</v>
      </c>
      <c r="AG1337" s="18"/>
      <c r="AH1337" s="18">
        <v>0</v>
      </c>
    </row>
    <row r="1338" spans="23:34" x14ac:dyDescent="0.3">
      <c r="W1338" s="36" t="s">
        <v>3206</v>
      </c>
      <c r="X1338" s="36"/>
      <c r="Y1338" s="36"/>
      <c r="Z1338" s="36"/>
      <c r="AA1338" s="36"/>
      <c r="AB1338" s="37"/>
      <c r="AC1338" s="37"/>
      <c r="AD1338" s="37"/>
      <c r="AE1338" s="37"/>
      <c r="AF1338" s="37">
        <v>0</v>
      </c>
      <c r="AG1338" s="37"/>
      <c r="AH1338" s="37">
        <v>0</v>
      </c>
    </row>
    <row r="1339" spans="23:34" x14ac:dyDescent="0.3">
      <c r="W1339" t="s">
        <v>3225</v>
      </c>
      <c r="X1339">
        <v>2024</v>
      </c>
      <c r="Y1339">
        <v>12</v>
      </c>
      <c r="Z1339" t="s">
        <v>3223</v>
      </c>
      <c r="AA1339" t="s">
        <v>3224</v>
      </c>
      <c r="AB1339" s="18">
        <v>0</v>
      </c>
      <c r="AC1339" s="18"/>
      <c r="AD1339" s="18"/>
      <c r="AE1339" s="18"/>
      <c r="AF1339" s="18"/>
      <c r="AG1339" s="18"/>
      <c r="AH1339" s="18">
        <v>0</v>
      </c>
    </row>
    <row r="1340" spans="23:34" x14ac:dyDescent="0.3">
      <c r="W1340" s="36" t="s">
        <v>3285</v>
      </c>
      <c r="X1340" s="36"/>
      <c r="Y1340" s="36"/>
      <c r="Z1340" s="36"/>
      <c r="AA1340" s="36"/>
      <c r="AB1340" s="37">
        <v>0</v>
      </c>
      <c r="AC1340" s="37"/>
      <c r="AD1340" s="37"/>
      <c r="AE1340" s="37"/>
      <c r="AF1340" s="37"/>
      <c r="AG1340" s="37"/>
      <c r="AH1340" s="37">
        <v>0</v>
      </c>
    </row>
    <row r="1341" spans="23:34" x14ac:dyDescent="0.3">
      <c r="W1341" t="s">
        <v>3230</v>
      </c>
      <c r="X1341">
        <v>2024</v>
      </c>
      <c r="Y1341">
        <v>12</v>
      </c>
      <c r="Z1341" t="s">
        <v>3223</v>
      </c>
      <c r="AA1341" t="s">
        <v>3229</v>
      </c>
      <c r="AB1341" s="18">
        <v>0</v>
      </c>
      <c r="AC1341" s="18"/>
      <c r="AD1341" s="18"/>
      <c r="AE1341" s="18"/>
      <c r="AF1341" s="18"/>
      <c r="AG1341" s="18"/>
      <c r="AH1341" s="18">
        <v>0</v>
      </c>
    </row>
    <row r="1342" spans="23:34" x14ac:dyDescent="0.3">
      <c r="Z1342" t="s">
        <v>3276</v>
      </c>
      <c r="AA1342" t="s">
        <v>3277</v>
      </c>
      <c r="AB1342" s="18">
        <v>0</v>
      </c>
      <c r="AC1342" s="18"/>
      <c r="AD1342" s="18"/>
      <c r="AE1342" s="18"/>
      <c r="AF1342" s="18"/>
      <c r="AG1342" s="18"/>
      <c r="AH1342" s="18">
        <v>0</v>
      </c>
    </row>
    <row r="1343" spans="23:34" x14ac:dyDescent="0.3">
      <c r="X1343">
        <v>2025</v>
      </c>
      <c r="Y1343">
        <v>1</v>
      </c>
      <c r="Z1343" s="57">
        <v>45659</v>
      </c>
      <c r="AA1343" t="s">
        <v>3334</v>
      </c>
      <c r="AB1343" s="18">
        <v>0</v>
      </c>
      <c r="AC1343" s="18"/>
      <c r="AD1343" s="18"/>
      <c r="AE1343" s="18"/>
      <c r="AF1343" s="18"/>
      <c r="AG1343" s="18"/>
      <c r="AH1343" s="18">
        <v>0</v>
      </c>
    </row>
    <row r="1344" spans="23:34" x14ac:dyDescent="0.3">
      <c r="W1344" s="36" t="s">
        <v>3286</v>
      </c>
      <c r="X1344" s="36"/>
      <c r="Y1344" s="36"/>
      <c r="Z1344" s="36"/>
      <c r="AA1344" s="36"/>
      <c r="AB1344" s="37">
        <v>0</v>
      </c>
      <c r="AC1344" s="37"/>
      <c r="AD1344" s="37"/>
      <c r="AE1344" s="37"/>
      <c r="AF1344" s="37"/>
      <c r="AG1344" s="37"/>
      <c r="AH1344" s="37">
        <v>0</v>
      </c>
    </row>
    <row r="1345" spans="23:34" x14ac:dyDescent="0.3">
      <c r="W1345" t="s">
        <v>3268</v>
      </c>
      <c r="X1345">
        <v>2024</v>
      </c>
      <c r="Y1345">
        <v>12</v>
      </c>
      <c r="Z1345" t="s">
        <v>3262</v>
      </c>
      <c r="AA1345" t="s">
        <v>3267</v>
      </c>
      <c r="AB1345" s="18">
        <v>0</v>
      </c>
      <c r="AC1345" s="18"/>
      <c r="AD1345" s="18"/>
      <c r="AE1345" s="18"/>
      <c r="AF1345" s="18"/>
      <c r="AG1345" s="18"/>
      <c r="AH1345" s="18">
        <v>0</v>
      </c>
    </row>
    <row r="1346" spans="23:34" x14ac:dyDescent="0.3">
      <c r="W1346" s="36" t="s">
        <v>3287</v>
      </c>
      <c r="X1346" s="36"/>
      <c r="Y1346" s="36"/>
      <c r="Z1346" s="36"/>
      <c r="AA1346" s="36"/>
      <c r="AB1346" s="37">
        <v>0</v>
      </c>
      <c r="AC1346" s="37"/>
      <c r="AD1346" s="37"/>
      <c r="AE1346" s="37"/>
      <c r="AF1346" s="37"/>
      <c r="AG1346" s="37"/>
      <c r="AH1346" s="37">
        <v>0</v>
      </c>
    </row>
    <row r="1347" spans="23:34" x14ac:dyDescent="0.3">
      <c r="W1347" t="s">
        <v>3330</v>
      </c>
      <c r="X1347">
        <v>2025</v>
      </c>
      <c r="Y1347">
        <v>1</v>
      </c>
      <c r="Z1347" s="57">
        <v>45682</v>
      </c>
      <c r="AA1347" t="s">
        <v>3360</v>
      </c>
      <c r="AB1347" s="18">
        <v>0</v>
      </c>
      <c r="AC1347" s="18"/>
      <c r="AD1347" s="18"/>
      <c r="AE1347" s="18"/>
      <c r="AF1347" s="18"/>
      <c r="AG1347" s="18"/>
      <c r="AH1347" s="18">
        <v>0</v>
      </c>
    </row>
    <row r="1348" spans="23:34" x14ac:dyDescent="0.3">
      <c r="W1348" s="36" t="s">
        <v>3441</v>
      </c>
      <c r="X1348" s="36"/>
      <c r="Y1348" s="36"/>
      <c r="Z1348" s="36"/>
      <c r="AA1348" s="36"/>
      <c r="AB1348" s="37">
        <v>0</v>
      </c>
      <c r="AC1348" s="37"/>
      <c r="AD1348" s="37"/>
      <c r="AE1348" s="37"/>
      <c r="AF1348" s="37"/>
      <c r="AG1348" s="37"/>
      <c r="AH1348" s="37">
        <v>0</v>
      </c>
    </row>
    <row r="1349" spans="23:34" x14ac:dyDescent="0.3">
      <c r="W1349" t="s">
        <v>3532</v>
      </c>
      <c r="X1349">
        <v>2025</v>
      </c>
      <c r="Y1349">
        <v>3</v>
      </c>
      <c r="Z1349" s="57">
        <v>45730</v>
      </c>
      <c r="AA1349" t="s">
        <v>3530</v>
      </c>
      <c r="AB1349" s="18">
        <v>0</v>
      </c>
      <c r="AC1349" s="18"/>
      <c r="AD1349" s="18"/>
      <c r="AE1349" s="18"/>
      <c r="AF1349" s="18"/>
      <c r="AG1349" s="18"/>
      <c r="AH1349" s="18">
        <v>0</v>
      </c>
    </row>
    <row r="1350" spans="23:34" x14ac:dyDescent="0.3">
      <c r="Z1350" s="57">
        <v>45736</v>
      </c>
      <c r="AA1350" t="s">
        <v>3540</v>
      </c>
      <c r="AB1350" s="18">
        <v>0</v>
      </c>
      <c r="AC1350" s="18"/>
      <c r="AD1350" s="18"/>
      <c r="AE1350" s="18"/>
      <c r="AF1350" s="18"/>
      <c r="AG1350" s="18"/>
      <c r="AH1350" s="18">
        <v>0</v>
      </c>
    </row>
    <row r="1351" spans="23:34" x14ac:dyDescent="0.3">
      <c r="Z1351" s="57">
        <v>45740</v>
      </c>
      <c r="AA1351" t="s">
        <v>3545</v>
      </c>
      <c r="AB1351" s="18">
        <v>0</v>
      </c>
      <c r="AC1351" s="18"/>
      <c r="AD1351" s="18"/>
      <c r="AE1351" s="18"/>
      <c r="AF1351" s="18"/>
      <c r="AG1351" s="18"/>
      <c r="AH1351" s="18">
        <v>0</v>
      </c>
    </row>
    <row r="1352" spans="23:34" x14ac:dyDescent="0.3">
      <c r="Z1352" s="57">
        <v>45745</v>
      </c>
      <c r="AA1352" t="s">
        <v>3553</v>
      </c>
      <c r="AB1352" s="18">
        <v>0</v>
      </c>
      <c r="AC1352" s="18"/>
      <c r="AD1352" s="18"/>
      <c r="AE1352" s="18"/>
      <c r="AF1352" s="18"/>
      <c r="AG1352" s="18"/>
      <c r="AH1352" s="18">
        <v>0</v>
      </c>
    </row>
    <row r="1353" spans="23:34" x14ac:dyDescent="0.3">
      <c r="Y1353">
        <v>5</v>
      </c>
      <c r="Z1353" t="s">
        <v>3702</v>
      </c>
      <c r="AA1353" t="s">
        <v>3703</v>
      </c>
      <c r="AB1353" s="18">
        <v>0</v>
      </c>
      <c r="AC1353" s="18"/>
      <c r="AD1353" s="18"/>
      <c r="AE1353" s="18"/>
      <c r="AF1353" s="18"/>
      <c r="AG1353" s="18"/>
      <c r="AH1353" s="18">
        <v>0</v>
      </c>
    </row>
    <row r="1354" spans="23:34" x14ac:dyDescent="0.3">
      <c r="Z1354" t="s">
        <v>3709</v>
      </c>
      <c r="AA1354" t="s">
        <v>3712</v>
      </c>
      <c r="AB1354" s="18">
        <v>0</v>
      </c>
      <c r="AC1354" s="18"/>
      <c r="AD1354" s="18"/>
      <c r="AE1354" s="18"/>
      <c r="AF1354" s="18"/>
      <c r="AG1354" s="18"/>
      <c r="AH1354" s="18">
        <v>0</v>
      </c>
    </row>
    <row r="1355" spans="23:34" x14ac:dyDescent="0.3">
      <c r="Z1355" t="s">
        <v>3739</v>
      </c>
      <c r="AA1355" t="s">
        <v>3741</v>
      </c>
      <c r="AB1355" s="18">
        <v>0</v>
      </c>
      <c r="AC1355" s="18"/>
      <c r="AD1355" s="18"/>
      <c r="AE1355" s="18"/>
      <c r="AF1355" s="18"/>
      <c r="AG1355" s="18"/>
      <c r="AH1355" s="18">
        <v>0</v>
      </c>
    </row>
    <row r="1356" spans="23:34" x14ac:dyDescent="0.3">
      <c r="Y1356">
        <v>6</v>
      </c>
      <c r="Z1356" t="s">
        <v>3850</v>
      </c>
      <c r="AA1356" t="s">
        <v>3851</v>
      </c>
      <c r="AB1356" s="18">
        <v>2051.1999999999998</v>
      </c>
      <c r="AC1356" s="18"/>
      <c r="AD1356" s="18"/>
      <c r="AE1356" s="18"/>
      <c r="AF1356" s="18"/>
      <c r="AG1356" s="18"/>
      <c r="AH1356" s="18">
        <v>2051.1999999999998</v>
      </c>
    </row>
    <row r="1357" spans="23:34" x14ac:dyDescent="0.3">
      <c r="Z1357" t="s">
        <v>3882</v>
      </c>
      <c r="AA1357" t="s">
        <v>3883</v>
      </c>
      <c r="AB1357" s="18">
        <v>1872.5</v>
      </c>
      <c r="AC1357" s="18"/>
      <c r="AD1357" s="18"/>
      <c r="AE1357" s="18"/>
      <c r="AF1357" s="18"/>
      <c r="AG1357" s="18"/>
      <c r="AH1357" s="18">
        <v>1872.5</v>
      </c>
    </row>
    <row r="1358" spans="23:34" x14ac:dyDescent="0.3">
      <c r="Y1358">
        <v>7</v>
      </c>
      <c r="Z1358" t="s">
        <v>4035</v>
      </c>
      <c r="AA1358" t="s">
        <v>4036</v>
      </c>
      <c r="AB1358" s="18">
        <v>0</v>
      </c>
      <c r="AC1358" s="18"/>
      <c r="AD1358" s="18"/>
      <c r="AE1358" s="18"/>
      <c r="AF1358" s="18"/>
      <c r="AG1358" s="18"/>
      <c r="AH1358" s="18">
        <v>0</v>
      </c>
    </row>
    <row r="1359" spans="23:34" x14ac:dyDescent="0.3">
      <c r="Z1359" t="s">
        <v>4041</v>
      </c>
      <c r="AA1359" t="s">
        <v>4043</v>
      </c>
      <c r="AB1359" s="18">
        <v>0</v>
      </c>
      <c r="AC1359" s="18"/>
      <c r="AD1359" s="18"/>
      <c r="AE1359" s="18"/>
      <c r="AF1359" s="18"/>
      <c r="AG1359" s="18"/>
      <c r="AH1359" s="18">
        <v>0</v>
      </c>
    </row>
    <row r="1360" spans="23:34" x14ac:dyDescent="0.3">
      <c r="Z1360" t="s">
        <v>4048</v>
      </c>
      <c r="AA1360" t="s">
        <v>4057</v>
      </c>
      <c r="AB1360" s="18">
        <v>0</v>
      </c>
      <c r="AC1360" s="18"/>
      <c r="AD1360" s="18"/>
      <c r="AE1360" s="18"/>
      <c r="AF1360" s="18"/>
      <c r="AG1360" s="18"/>
      <c r="AH1360" s="18">
        <v>0</v>
      </c>
    </row>
    <row r="1361" spans="23:34" x14ac:dyDescent="0.3">
      <c r="Y1361">
        <v>4</v>
      </c>
      <c r="Z1361" t="s">
        <v>3628</v>
      </c>
      <c r="AA1361" t="s">
        <v>3629</v>
      </c>
      <c r="AB1361" s="18">
        <v>0</v>
      </c>
      <c r="AC1361" s="18"/>
      <c r="AD1361" s="18"/>
      <c r="AE1361" s="18"/>
      <c r="AF1361" s="18"/>
      <c r="AG1361" s="18"/>
      <c r="AH1361" s="18">
        <v>0</v>
      </c>
    </row>
    <row r="1362" spans="23:34" x14ac:dyDescent="0.3">
      <c r="Z1362" t="s">
        <v>3633</v>
      </c>
      <c r="AA1362" t="s">
        <v>3634</v>
      </c>
      <c r="AB1362" s="18">
        <v>0</v>
      </c>
      <c r="AC1362" s="18"/>
      <c r="AD1362" s="18"/>
      <c r="AE1362" s="18"/>
      <c r="AF1362" s="18"/>
      <c r="AG1362" s="18"/>
      <c r="AH1362" s="18">
        <v>0</v>
      </c>
    </row>
    <row r="1363" spans="23:34" x14ac:dyDescent="0.3">
      <c r="Z1363" t="s">
        <v>3637</v>
      </c>
      <c r="AA1363" t="s">
        <v>3638</v>
      </c>
      <c r="AB1363" s="18">
        <v>0</v>
      </c>
      <c r="AC1363" s="18"/>
      <c r="AD1363" s="18"/>
      <c r="AE1363" s="18"/>
      <c r="AF1363" s="18"/>
      <c r="AG1363" s="18"/>
      <c r="AH1363" s="18">
        <v>0</v>
      </c>
    </row>
    <row r="1364" spans="23:34" x14ac:dyDescent="0.3">
      <c r="Z1364" t="s">
        <v>3652</v>
      </c>
      <c r="AA1364" t="s">
        <v>3653</v>
      </c>
      <c r="AB1364" s="18">
        <v>0</v>
      </c>
      <c r="AC1364" s="18"/>
      <c r="AD1364" s="18"/>
      <c r="AE1364" s="18"/>
      <c r="AF1364" s="18"/>
      <c r="AG1364" s="18"/>
      <c r="AH1364" s="18">
        <v>0</v>
      </c>
    </row>
    <row r="1365" spans="23:34" x14ac:dyDescent="0.3">
      <c r="W1365" s="36" t="s">
        <v>3609</v>
      </c>
      <c r="X1365" s="36"/>
      <c r="Y1365" s="36"/>
      <c r="Z1365" s="36"/>
      <c r="AA1365" s="36"/>
      <c r="AB1365" s="37">
        <v>3923.7</v>
      </c>
      <c r="AC1365" s="37"/>
      <c r="AD1365" s="37"/>
      <c r="AE1365" s="37"/>
      <c r="AF1365" s="37"/>
      <c r="AG1365" s="37"/>
      <c r="AH1365" s="37">
        <v>3923.7</v>
      </c>
    </row>
    <row r="1366" spans="23:34" x14ac:dyDescent="0.3">
      <c r="W1366" t="s">
        <v>3549</v>
      </c>
      <c r="X1366">
        <v>2025</v>
      </c>
      <c r="Y1366">
        <v>3</v>
      </c>
      <c r="Z1366" s="57">
        <v>45743</v>
      </c>
      <c r="AA1366" t="s">
        <v>3548</v>
      </c>
      <c r="AB1366" s="18">
        <v>0</v>
      </c>
      <c r="AC1366" s="18"/>
      <c r="AD1366" s="18"/>
      <c r="AE1366" s="18"/>
      <c r="AF1366" s="18"/>
      <c r="AG1366" s="18"/>
      <c r="AH1366" s="18">
        <v>0</v>
      </c>
    </row>
    <row r="1367" spans="23:34" x14ac:dyDescent="0.3">
      <c r="Y1367">
        <v>5</v>
      </c>
      <c r="Z1367" t="s">
        <v>3723</v>
      </c>
      <c r="AA1367" t="s">
        <v>3724</v>
      </c>
      <c r="AB1367" s="18">
        <v>0</v>
      </c>
      <c r="AC1367" s="18"/>
      <c r="AD1367" s="18"/>
      <c r="AE1367" s="18"/>
      <c r="AF1367" s="18"/>
      <c r="AG1367" s="18"/>
      <c r="AH1367" s="18">
        <v>0</v>
      </c>
    </row>
    <row r="1368" spans="23:34" x14ac:dyDescent="0.3">
      <c r="Y1368">
        <v>6</v>
      </c>
      <c r="Z1368" t="s">
        <v>3890</v>
      </c>
      <c r="AA1368" t="s">
        <v>3891</v>
      </c>
      <c r="AB1368" s="18">
        <v>0</v>
      </c>
      <c r="AC1368" s="18"/>
      <c r="AD1368" s="18"/>
      <c r="AE1368" s="18"/>
      <c r="AF1368" s="18"/>
      <c r="AG1368" s="18"/>
      <c r="AH1368" s="18">
        <v>0</v>
      </c>
    </row>
    <row r="1369" spans="23:34" x14ac:dyDescent="0.3">
      <c r="Y1369">
        <v>7</v>
      </c>
      <c r="Z1369" t="s">
        <v>4048</v>
      </c>
      <c r="AA1369" t="s">
        <v>4049</v>
      </c>
      <c r="AB1369" s="18">
        <v>0</v>
      </c>
      <c r="AC1369" s="18"/>
      <c r="AD1369" s="18"/>
      <c r="AE1369" s="18"/>
      <c r="AF1369" s="18"/>
      <c r="AG1369" s="18"/>
      <c r="AH1369" s="18">
        <v>0</v>
      </c>
    </row>
    <row r="1370" spans="23:34" x14ac:dyDescent="0.3">
      <c r="Y1370">
        <v>4</v>
      </c>
      <c r="Z1370" t="s">
        <v>3622</v>
      </c>
      <c r="AA1370" t="s">
        <v>3623</v>
      </c>
      <c r="AB1370" s="18">
        <v>0.5</v>
      </c>
      <c r="AC1370" s="18"/>
      <c r="AD1370" s="18"/>
      <c r="AE1370" s="18"/>
      <c r="AF1370" s="18"/>
      <c r="AG1370" s="18"/>
      <c r="AH1370" s="18">
        <v>0.5</v>
      </c>
    </row>
    <row r="1371" spans="23:34" x14ac:dyDescent="0.3">
      <c r="W1371" s="36" t="s">
        <v>3610</v>
      </c>
      <c r="X1371" s="36"/>
      <c r="Y1371" s="36"/>
      <c r="Z1371" s="36"/>
      <c r="AA1371" s="36"/>
      <c r="AB1371" s="37">
        <v>0.5</v>
      </c>
      <c r="AC1371" s="37"/>
      <c r="AD1371" s="37"/>
      <c r="AE1371" s="37"/>
      <c r="AF1371" s="37"/>
      <c r="AG1371" s="37"/>
      <c r="AH1371" s="37">
        <v>0.5</v>
      </c>
    </row>
    <row r="1372" spans="23:34" x14ac:dyDescent="0.3">
      <c r="W1372" t="s">
        <v>3837</v>
      </c>
      <c r="X1372">
        <v>2025</v>
      </c>
      <c r="Y1372">
        <v>6</v>
      </c>
      <c r="Z1372" t="s">
        <v>3835</v>
      </c>
      <c r="AA1372" t="s">
        <v>3836</v>
      </c>
      <c r="AB1372" s="18">
        <v>0</v>
      </c>
      <c r="AC1372" s="18"/>
      <c r="AD1372" s="18"/>
      <c r="AE1372" s="18"/>
      <c r="AF1372" s="18"/>
      <c r="AG1372" s="18"/>
      <c r="AH1372" s="18">
        <v>0</v>
      </c>
    </row>
    <row r="1373" spans="23:34" x14ac:dyDescent="0.3">
      <c r="Z1373" t="s">
        <v>3852</v>
      </c>
      <c r="AA1373" t="s">
        <v>3853</v>
      </c>
      <c r="AB1373" s="18">
        <v>0</v>
      </c>
      <c r="AC1373" s="18"/>
      <c r="AD1373" s="18"/>
      <c r="AE1373" s="18"/>
      <c r="AF1373" s="18"/>
      <c r="AG1373" s="18"/>
      <c r="AH1373" s="18">
        <v>0</v>
      </c>
    </row>
    <row r="1374" spans="23:34" x14ac:dyDescent="0.3">
      <c r="W1374" s="36" t="s">
        <v>3966</v>
      </c>
      <c r="X1374" s="36"/>
      <c r="Y1374" s="36"/>
      <c r="Z1374" s="36"/>
      <c r="AA1374" s="36"/>
      <c r="AB1374" s="37">
        <v>0</v>
      </c>
      <c r="AC1374" s="37"/>
      <c r="AD1374" s="37"/>
      <c r="AE1374" s="37"/>
      <c r="AF1374" s="37"/>
      <c r="AG1374" s="37"/>
      <c r="AH1374" s="37">
        <v>0</v>
      </c>
    </row>
    <row r="1375" spans="23:34" x14ac:dyDescent="0.3">
      <c r="W1375" t="s">
        <v>3867</v>
      </c>
      <c r="X1375">
        <v>2025</v>
      </c>
      <c r="Y1375">
        <v>6</v>
      </c>
      <c r="Z1375" t="s">
        <v>3865</v>
      </c>
      <c r="AA1375" t="s">
        <v>3866</v>
      </c>
      <c r="AB1375" s="18">
        <v>0</v>
      </c>
      <c r="AC1375" s="18"/>
      <c r="AD1375" s="18"/>
      <c r="AE1375" s="18"/>
      <c r="AF1375" s="18"/>
      <c r="AG1375" s="18"/>
      <c r="AH1375" s="18">
        <v>0</v>
      </c>
    </row>
    <row r="1376" spans="23:34" x14ac:dyDescent="0.3">
      <c r="W1376" s="36" t="s">
        <v>3967</v>
      </c>
      <c r="X1376" s="36"/>
      <c r="Y1376" s="36"/>
      <c r="Z1376" s="36"/>
      <c r="AA1376" s="36"/>
      <c r="AB1376" s="37">
        <v>0</v>
      </c>
      <c r="AC1376" s="37"/>
      <c r="AD1376" s="37"/>
      <c r="AE1376" s="37"/>
      <c r="AF1376" s="37"/>
      <c r="AG1376" s="37"/>
      <c r="AH1376" s="37">
        <v>0</v>
      </c>
    </row>
    <row r="1377" spans="23:34" x14ac:dyDescent="0.3">
      <c r="W1377" t="s">
        <v>131</v>
      </c>
      <c r="AB1377" s="18">
        <v>710248.7</v>
      </c>
      <c r="AC1377" s="18">
        <v>1277.5</v>
      </c>
      <c r="AD1377" s="18">
        <v>0</v>
      </c>
      <c r="AE1377" s="18">
        <v>52482.9</v>
      </c>
      <c r="AF1377" s="18">
        <v>0</v>
      </c>
      <c r="AG1377" s="18">
        <v>18660</v>
      </c>
      <c r="AH1377" s="18">
        <v>782669.1</v>
      </c>
    </row>
  </sheetData>
  <pageMargins left="0.39370078740157483" right="0" top="0" bottom="0" header="0.31496062992125984" footer="0.31496062992125984"/>
  <pageSetup scale="70" orientation="portrait" horizontalDpi="360" verticalDpi="360" r:id="rId4"/>
  <headerFooter>
    <oddFooter>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X5620"/>
  <sheetViews>
    <sheetView tabSelected="1" topLeftCell="A5484" zoomScale="68" zoomScaleNormal="68" workbookViewId="0">
      <selection activeCell="E5471" sqref="E5471"/>
    </sheetView>
  </sheetViews>
  <sheetFormatPr defaultColWidth="8.77734375" defaultRowHeight="15.6" x14ac:dyDescent="0.3"/>
  <cols>
    <col min="1" max="1" width="12.44140625" style="5" customWidth="1"/>
    <col min="2" max="2" width="5.5546875" style="5" customWidth="1"/>
    <col min="3" max="3" width="6.77734375" style="5" customWidth="1"/>
    <col min="4" max="4" width="14.88671875" style="5" customWidth="1"/>
    <col min="5" max="5" width="25.88671875" style="5" customWidth="1"/>
    <col min="6" max="6" width="37.21875" style="1" customWidth="1"/>
    <col min="7" max="7" width="50.21875" style="11" customWidth="1"/>
    <col min="8" max="8" width="9.21875" style="5" customWidth="1"/>
    <col min="9" max="9" width="5.77734375" style="5" customWidth="1"/>
    <col min="10" max="10" width="6.88671875" style="5" customWidth="1"/>
    <col min="11" max="11" width="12.21875" style="5" customWidth="1"/>
    <col min="12" max="12" width="6.77734375" style="5" customWidth="1"/>
    <col min="13" max="13" width="6.33203125" style="5" customWidth="1"/>
    <col min="14" max="14" width="14.88671875" style="6" customWidth="1"/>
    <col min="15" max="15" width="14.77734375" style="6" customWidth="1"/>
    <col min="16" max="16" width="13.21875" style="6" bestFit="1" customWidth="1"/>
    <col min="17" max="17" width="14.77734375" style="1" customWidth="1"/>
    <col min="18" max="18" width="11.33203125" style="5" customWidth="1"/>
    <col min="19" max="19" width="35.88671875" style="1" customWidth="1"/>
    <col min="20" max="20" width="8.77734375" style="1"/>
    <col min="21" max="21" width="13" style="1" customWidth="1"/>
    <col min="22" max="22" width="13.5546875" style="1" customWidth="1"/>
    <col min="23" max="23" width="11.44140625" style="1" customWidth="1"/>
    <col min="24" max="16384" width="8.77734375" style="1"/>
  </cols>
  <sheetData>
    <row r="1" spans="1:20" ht="62.4" x14ac:dyDescent="0.3">
      <c r="A1" s="3" t="s">
        <v>3</v>
      </c>
      <c r="B1" s="148" t="s">
        <v>162</v>
      </c>
      <c r="C1" s="148" t="s">
        <v>225</v>
      </c>
      <c r="D1" s="3" t="s">
        <v>2</v>
      </c>
      <c r="E1" s="148" t="s">
        <v>0</v>
      </c>
      <c r="F1" s="3" t="s">
        <v>1</v>
      </c>
      <c r="G1" s="75" t="s">
        <v>8</v>
      </c>
      <c r="H1" s="3" t="s">
        <v>69</v>
      </c>
      <c r="I1" s="148" t="s">
        <v>4</v>
      </c>
      <c r="J1" s="148" t="s">
        <v>87</v>
      </c>
      <c r="K1" s="3" t="s">
        <v>150</v>
      </c>
      <c r="L1" s="3" t="s">
        <v>161</v>
      </c>
      <c r="M1" s="3" t="s">
        <v>206</v>
      </c>
      <c r="N1" s="3" t="s">
        <v>197</v>
      </c>
      <c r="O1" s="3" t="s">
        <v>195</v>
      </c>
      <c r="P1" s="3" t="s">
        <v>196</v>
      </c>
      <c r="Q1" s="149" t="s">
        <v>192</v>
      </c>
      <c r="R1" s="148" t="s">
        <v>83</v>
      </c>
      <c r="S1" s="3" t="s">
        <v>25</v>
      </c>
      <c r="T1" s="3" t="s">
        <v>88</v>
      </c>
    </row>
    <row r="2" spans="1:20" x14ac:dyDescent="0.3">
      <c r="A2" s="4">
        <v>43822</v>
      </c>
      <c r="B2" s="5">
        <f t="shared" ref="B2" si="0">MONTH(A2)</f>
        <v>12</v>
      </c>
      <c r="C2" s="5">
        <f t="shared" ref="C2" si="1">YEAR(A2)</f>
        <v>2019</v>
      </c>
      <c r="D2" s="5" t="s">
        <v>311</v>
      </c>
      <c r="E2" s="5" t="str">
        <f>VLOOKUP(F2,'Set up'!$A$2:$C$70,2,FALSE)</f>
        <v>C00000001</v>
      </c>
      <c r="F2" s="1" t="s">
        <v>7</v>
      </c>
      <c r="G2" s="11" t="s">
        <v>9</v>
      </c>
      <c r="H2" s="5">
        <v>1</v>
      </c>
      <c r="I2" s="5" t="str">
        <f>VLOOKUP(F2,'Set up'!$A$2:$C$70,3,FALSE)</f>
        <v>Cash</v>
      </c>
      <c r="J2" s="5">
        <f>VLOOKUP(F2,'Set up'!$A$2:$D$70,4,FALSE)</f>
        <v>0</v>
      </c>
      <c r="K2" s="4">
        <f t="shared" ref="K2" si="2">A2+J2</f>
        <v>43822</v>
      </c>
      <c r="L2" s="5">
        <f t="shared" ref="L2" si="3">MONTH(K2)</f>
        <v>12</v>
      </c>
      <c r="M2" s="5">
        <f t="shared" ref="M2" si="4">YEAR(K2)</f>
        <v>2019</v>
      </c>
      <c r="N2" s="6">
        <v>1530</v>
      </c>
      <c r="O2" s="6">
        <f t="shared" ref="O2:O41" si="5">SUM(-N2)</f>
        <v>-1530</v>
      </c>
      <c r="P2" s="6">
        <f t="shared" ref="P2:P33" si="6">SUM(N2+O2)</f>
        <v>0</v>
      </c>
      <c r="Q2" s="7">
        <f>N2</f>
        <v>1530</v>
      </c>
      <c r="R2" s="44" t="str">
        <f>VLOOKUP(F2,'Set up'!$A$2:$E$70,5,FALSE)</f>
        <v>Trsf</v>
      </c>
      <c r="S2" s="1" t="s">
        <v>76</v>
      </c>
    </row>
    <row r="3" spans="1:20" x14ac:dyDescent="0.3">
      <c r="A3" s="4">
        <v>43822</v>
      </c>
      <c r="B3" s="5">
        <f t="shared" ref="B3:B66" si="7">MONTH(A3)</f>
        <v>12</v>
      </c>
      <c r="C3" s="5">
        <f t="shared" ref="C3:C66" si="8">YEAR(A3)</f>
        <v>2019</v>
      </c>
      <c r="D3" s="5" t="s">
        <v>311</v>
      </c>
      <c r="E3" s="5" t="str">
        <f>VLOOKUP(F3,'Set up'!$A$2:$C$70,2,FALSE)</f>
        <v>C00000001</v>
      </c>
      <c r="F3" s="1" t="s">
        <v>7</v>
      </c>
      <c r="G3" s="2" t="s">
        <v>63</v>
      </c>
      <c r="H3" s="5">
        <v>6</v>
      </c>
      <c r="I3" s="5" t="str">
        <f>VLOOKUP(F3,'Set up'!$A$2:$C$70,3,FALSE)</f>
        <v>Cash</v>
      </c>
      <c r="J3" s="5">
        <f>VLOOKUP(F3,'Set up'!$A$2:$D$70,4,FALSE)</f>
        <v>0</v>
      </c>
      <c r="K3" s="4">
        <f t="shared" ref="K3:K66" si="9">A3+J3</f>
        <v>43822</v>
      </c>
      <c r="L3" s="5">
        <f t="shared" ref="L3:L66" si="10">MONTH(K3)</f>
        <v>12</v>
      </c>
      <c r="M3" s="5">
        <f t="shared" ref="M3:M66" si="11">YEAR(K3)</f>
        <v>2019</v>
      </c>
      <c r="N3" s="6">
        <v>1443</v>
      </c>
      <c r="O3" s="6">
        <f t="shared" si="5"/>
        <v>-1443</v>
      </c>
      <c r="P3" s="6">
        <f t="shared" si="6"/>
        <v>0</v>
      </c>
      <c r="Q3" s="7">
        <f t="shared" ref="Q3:Q66" si="12">SUM(Q2+N3)</f>
        <v>2973</v>
      </c>
      <c r="R3" s="44" t="str">
        <f>VLOOKUP(F3,'Set up'!$A$2:$E$70,5,FALSE)</f>
        <v>Trsf</v>
      </c>
      <c r="S3" s="1" t="s">
        <v>76</v>
      </c>
    </row>
    <row r="4" spans="1:20" x14ac:dyDescent="0.3">
      <c r="A4" s="4">
        <v>43984</v>
      </c>
      <c r="B4" s="5">
        <f t="shared" si="7"/>
        <v>6</v>
      </c>
      <c r="C4" s="5">
        <f t="shared" si="8"/>
        <v>2020</v>
      </c>
      <c r="D4" s="5" t="s">
        <v>10</v>
      </c>
      <c r="E4" s="5" t="str">
        <f>VLOOKUP(F4,'Set up'!$A$2:$C$70,2,FALSE)</f>
        <v>C00000001</v>
      </c>
      <c r="F4" s="1" t="s">
        <v>7</v>
      </c>
      <c r="G4" s="11" t="s">
        <v>39</v>
      </c>
      <c r="H4" s="5">
        <v>2</v>
      </c>
      <c r="I4" s="5" t="str">
        <f>VLOOKUP(F4,'Set up'!$A$2:$C$70,3,FALSE)</f>
        <v>Cash</v>
      </c>
      <c r="J4" s="5">
        <f>VLOOKUP(F4,'Set up'!$A$2:$D$70,4,FALSE)</f>
        <v>0</v>
      </c>
      <c r="K4" s="4">
        <f t="shared" si="9"/>
        <v>43984</v>
      </c>
      <c r="L4" s="5">
        <f t="shared" si="10"/>
        <v>6</v>
      </c>
      <c r="M4" s="5">
        <f t="shared" si="11"/>
        <v>2020</v>
      </c>
      <c r="N4" s="6">
        <v>480</v>
      </c>
      <c r="O4" s="6">
        <f t="shared" si="5"/>
        <v>-480</v>
      </c>
      <c r="P4" s="6">
        <f t="shared" si="6"/>
        <v>0</v>
      </c>
      <c r="Q4" s="7">
        <f t="shared" si="12"/>
        <v>3453</v>
      </c>
      <c r="R4" s="44" t="str">
        <f>VLOOKUP(F4,'Set up'!$A$2:$E$70,5,FALSE)</f>
        <v>Trsf</v>
      </c>
      <c r="S4" s="1" t="s">
        <v>77</v>
      </c>
    </row>
    <row r="5" spans="1:20" x14ac:dyDescent="0.3">
      <c r="A5" s="4">
        <v>43993</v>
      </c>
      <c r="B5" s="5">
        <f t="shared" si="7"/>
        <v>6</v>
      </c>
      <c r="C5" s="5">
        <f t="shared" si="8"/>
        <v>2020</v>
      </c>
      <c r="D5" s="5" t="s">
        <v>11</v>
      </c>
      <c r="E5" s="5" t="str">
        <f>VLOOKUP(F5,'Set up'!$A$2:$C$70,2,FALSE)</f>
        <v>C00000002</v>
      </c>
      <c r="F5" s="1" t="s">
        <v>14</v>
      </c>
      <c r="G5" s="11" t="s">
        <v>16</v>
      </c>
      <c r="H5" s="5">
        <v>1</v>
      </c>
      <c r="I5" s="5" t="str">
        <f>VLOOKUP(F5,'Set up'!$A$2:$C$70,3,FALSE)</f>
        <v>Cash</v>
      </c>
      <c r="J5" s="5">
        <f>VLOOKUP(F5,'Set up'!$A$2:$D$70,4,FALSE)</f>
        <v>0</v>
      </c>
      <c r="K5" s="4">
        <f t="shared" si="9"/>
        <v>43993</v>
      </c>
      <c r="L5" s="5">
        <f t="shared" si="10"/>
        <v>6</v>
      </c>
      <c r="M5" s="5">
        <f t="shared" si="11"/>
        <v>2020</v>
      </c>
      <c r="N5" s="6">
        <v>1395</v>
      </c>
      <c r="O5" s="6">
        <f t="shared" si="5"/>
        <v>-1395</v>
      </c>
      <c r="P5" s="6">
        <f t="shared" si="6"/>
        <v>0</v>
      </c>
      <c r="Q5" s="7">
        <f t="shared" si="12"/>
        <v>4848</v>
      </c>
      <c r="R5" s="44" t="str">
        <f>VLOOKUP(F5,'Set up'!$A$2:$E$70,5,FALSE)</f>
        <v>Chq</v>
      </c>
      <c r="S5" s="1" t="s">
        <v>82</v>
      </c>
    </row>
    <row r="6" spans="1:20" x14ac:dyDescent="0.3">
      <c r="A6" s="4">
        <v>43993</v>
      </c>
      <c r="B6" s="5">
        <f t="shared" si="7"/>
        <v>6</v>
      </c>
      <c r="C6" s="5">
        <f t="shared" si="8"/>
        <v>2020</v>
      </c>
      <c r="D6" s="5" t="s">
        <v>11</v>
      </c>
      <c r="E6" s="5" t="str">
        <f>VLOOKUP(F6,'Set up'!$A$2:$C$70,2,FALSE)</f>
        <v>C00000002</v>
      </c>
      <c r="F6" s="1" t="s">
        <v>14</v>
      </c>
      <c r="G6" s="11" t="s">
        <v>15</v>
      </c>
      <c r="H6" s="5">
        <v>1</v>
      </c>
      <c r="I6" s="5" t="str">
        <f>VLOOKUP(F6,'Set up'!$A$2:$C$70,3,FALSE)</f>
        <v>Cash</v>
      </c>
      <c r="J6" s="5">
        <f>VLOOKUP(F6,'Set up'!$A$2:$D$70,4,FALSE)</f>
        <v>0</v>
      </c>
      <c r="K6" s="4">
        <f t="shared" si="9"/>
        <v>43993</v>
      </c>
      <c r="L6" s="5">
        <f t="shared" si="10"/>
        <v>6</v>
      </c>
      <c r="M6" s="5">
        <f t="shared" si="11"/>
        <v>2020</v>
      </c>
      <c r="N6" s="6">
        <v>672</v>
      </c>
      <c r="O6" s="6">
        <f t="shared" si="5"/>
        <v>-672</v>
      </c>
      <c r="P6" s="6">
        <f t="shared" si="6"/>
        <v>0</v>
      </c>
      <c r="Q6" s="7">
        <f t="shared" si="12"/>
        <v>5520</v>
      </c>
      <c r="R6" s="44" t="str">
        <f>VLOOKUP(F6,'Set up'!$A$2:$E$70,5,FALSE)</f>
        <v>Chq</v>
      </c>
      <c r="S6" s="1" t="s">
        <v>82</v>
      </c>
    </row>
    <row r="7" spans="1:20" x14ac:dyDescent="0.3">
      <c r="A7" s="4">
        <v>43999</v>
      </c>
      <c r="B7" s="5">
        <f t="shared" si="7"/>
        <v>6</v>
      </c>
      <c r="C7" s="5">
        <f t="shared" si="8"/>
        <v>2020</v>
      </c>
      <c r="D7" s="5" t="s">
        <v>12</v>
      </c>
      <c r="E7" s="5" t="str">
        <f>VLOOKUP(F7,'Set up'!$A$2:$C$70,2,FALSE)</f>
        <v>C00000001</v>
      </c>
      <c r="F7" s="1" t="s">
        <v>7</v>
      </c>
      <c r="G7" s="11" t="s">
        <v>9</v>
      </c>
      <c r="H7" s="5">
        <v>1</v>
      </c>
      <c r="I7" s="5" t="str">
        <f>VLOOKUP(F7,'Set up'!$A$2:$C$70,3,FALSE)</f>
        <v>Cash</v>
      </c>
      <c r="J7" s="5">
        <f>VLOOKUP(F7,'Set up'!$A$2:$D$70,4,FALSE)</f>
        <v>0</v>
      </c>
      <c r="K7" s="4">
        <f t="shared" si="9"/>
        <v>43999</v>
      </c>
      <c r="L7" s="5">
        <f t="shared" si="10"/>
        <v>6</v>
      </c>
      <c r="M7" s="5">
        <f t="shared" si="11"/>
        <v>2020</v>
      </c>
      <c r="N7" s="6">
        <v>1530</v>
      </c>
      <c r="O7" s="6">
        <f t="shared" si="5"/>
        <v>-1530</v>
      </c>
      <c r="P7" s="6">
        <f t="shared" si="6"/>
        <v>0</v>
      </c>
      <c r="Q7" s="7">
        <f t="shared" si="12"/>
        <v>7050</v>
      </c>
      <c r="R7" s="44" t="str">
        <f>VLOOKUP(F7,'Set up'!$A$2:$E$70,5,FALSE)</f>
        <v>Trsf</v>
      </c>
      <c r="S7" s="8" t="s">
        <v>77</v>
      </c>
    </row>
    <row r="8" spans="1:20" x14ac:dyDescent="0.3">
      <c r="A8" s="4">
        <v>43999</v>
      </c>
      <c r="B8" s="5">
        <f t="shared" si="7"/>
        <v>6</v>
      </c>
      <c r="C8" s="5">
        <f t="shared" si="8"/>
        <v>2020</v>
      </c>
      <c r="D8" s="5" t="s">
        <v>12</v>
      </c>
      <c r="E8" s="5" t="str">
        <f>VLOOKUP(F8,'Set up'!$A$2:$C$70,2,FALSE)</f>
        <v>C00000001</v>
      </c>
      <c r="F8" s="1" t="s">
        <v>7</v>
      </c>
      <c r="G8" s="2" t="s">
        <v>63</v>
      </c>
      <c r="H8" s="5">
        <v>3</v>
      </c>
      <c r="I8" s="5" t="str">
        <f>VLOOKUP(F8,'Set up'!$A$2:$C$70,3,FALSE)</f>
        <v>Cash</v>
      </c>
      <c r="J8" s="5">
        <f>VLOOKUP(F8,'Set up'!$A$2:$D$70,4,FALSE)</f>
        <v>0</v>
      </c>
      <c r="K8" s="4">
        <f t="shared" si="9"/>
        <v>43999</v>
      </c>
      <c r="L8" s="5">
        <f t="shared" si="10"/>
        <v>6</v>
      </c>
      <c r="M8" s="5">
        <f t="shared" si="11"/>
        <v>2020</v>
      </c>
      <c r="N8" s="6">
        <v>720</v>
      </c>
      <c r="O8" s="6">
        <f t="shared" si="5"/>
        <v>-720</v>
      </c>
      <c r="P8" s="6">
        <f t="shared" si="6"/>
        <v>0</v>
      </c>
      <c r="Q8" s="7">
        <f t="shared" si="12"/>
        <v>7770</v>
      </c>
      <c r="R8" s="44" t="str">
        <f>VLOOKUP(F8,'Set up'!$A$2:$E$70,5,FALSE)</f>
        <v>Trsf</v>
      </c>
      <c r="S8" s="8" t="s">
        <v>77</v>
      </c>
    </row>
    <row r="9" spans="1:20" x14ac:dyDescent="0.3">
      <c r="A9" s="4">
        <v>43999</v>
      </c>
      <c r="B9" s="5">
        <f t="shared" si="7"/>
        <v>6</v>
      </c>
      <c r="C9" s="5">
        <f t="shared" si="8"/>
        <v>2020</v>
      </c>
      <c r="D9" s="5" t="s">
        <v>12</v>
      </c>
      <c r="E9" s="5" t="str">
        <f>VLOOKUP(F9,'Set up'!$A$2:$C$70,2,FALSE)</f>
        <v>C00000001</v>
      </c>
      <c r="F9" s="1" t="s">
        <v>7</v>
      </c>
      <c r="G9" s="11" t="s">
        <v>17</v>
      </c>
      <c r="H9" s="5">
        <v>2</v>
      </c>
      <c r="I9" s="5" t="str">
        <f>VLOOKUP(F9,'Set up'!$A$2:$C$70,3,FALSE)</f>
        <v>Cash</v>
      </c>
      <c r="J9" s="5">
        <f>VLOOKUP(F9,'Set up'!$A$2:$D$70,4,FALSE)</f>
        <v>0</v>
      </c>
      <c r="K9" s="4">
        <f t="shared" si="9"/>
        <v>43999</v>
      </c>
      <c r="L9" s="5">
        <f t="shared" si="10"/>
        <v>6</v>
      </c>
      <c r="M9" s="5">
        <f t="shared" si="11"/>
        <v>2020</v>
      </c>
      <c r="N9" s="6">
        <v>185</v>
      </c>
      <c r="O9" s="6">
        <f t="shared" si="5"/>
        <v>-185</v>
      </c>
      <c r="P9" s="6">
        <f t="shared" si="6"/>
        <v>0</v>
      </c>
      <c r="Q9" s="7">
        <f t="shared" si="12"/>
        <v>7955</v>
      </c>
      <c r="R9" s="44" t="str">
        <f>VLOOKUP(F9,'Set up'!$A$2:$E$70,5,FALSE)</f>
        <v>Trsf</v>
      </c>
      <c r="S9" s="8" t="s">
        <v>77</v>
      </c>
    </row>
    <row r="10" spans="1:20" x14ac:dyDescent="0.3">
      <c r="A10" s="4">
        <v>44004</v>
      </c>
      <c r="B10" s="5">
        <f t="shared" si="7"/>
        <v>6</v>
      </c>
      <c r="C10" s="5">
        <f t="shared" si="8"/>
        <v>2020</v>
      </c>
      <c r="D10" s="5" t="s">
        <v>18</v>
      </c>
      <c r="E10" s="5" t="str">
        <f>VLOOKUP(F10,'Set up'!$A$2:$C$70,2,FALSE)</f>
        <v>C00000003</v>
      </c>
      <c r="F10" s="1" t="s">
        <v>20</v>
      </c>
      <c r="G10" s="11" t="s">
        <v>9</v>
      </c>
      <c r="H10" s="5">
        <v>1</v>
      </c>
      <c r="I10" s="5">
        <f>VLOOKUP(F10,'Set up'!$A$2:$C$70,3,FALSE)</f>
        <v>45</v>
      </c>
      <c r="J10" s="5">
        <f>VLOOKUP(F10,'Set up'!$A$2:$D$70,4,FALSE)</f>
        <v>45</v>
      </c>
      <c r="K10" s="4">
        <f t="shared" si="9"/>
        <v>44049</v>
      </c>
      <c r="L10" s="5">
        <f t="shared" si="10"/>
        <v>8</v>
      </c>
      <c r="M10" s="5">
        <f t="shared" si="11"/>
        <v>2020</v>
      </c>
      <c r="N10" s="6">
        <v>1642.5</v>
      </c>
      <c r="O10" s="6">
        <f t="shared" si="5"/>
        <v>-1642.5</v>
      </c>
      <c r="P10" s="6">
        <f t="shared" si="6"/>
        <v>0</v>
      </c>
      <c r="Q10" s="7">
        <f t="shared" si="12"/>
        <v>9597.5</v>
      </c>
      <c r="R10" s="44" t="str">
        <f>VLOOKUP(F10,'Set up'!$A$2:$E$70,5,FALSE)</f>
        <v>PD Chq</v>
      </c>
      <c r="S10" s="13" t="s">
        <v>191</v>
      </c>
    </row>
    <row r="11" spans="1:20" x14ac:dyDescent="0.3">
      <c r="A11" s="4">
        <v>44004</v>
      </c>
      <c r="B11" s="5">
        <f t="shared" si="7"/>
        <v>6</v>
      </c>
      <c r="C11" s="5">
        <f t="shared" si="8"/>
        <v>2020</v>
      </c>
      <c r="D11" s="5" t="s">
        <v>18</v>
      </c>
      <c r="E11" s="5" t="str">
        <f>VLOOKUP(F11,'Set up'!$A$2:$C$70,2,FALSE)</f>
        <v>C00000003</v>
      </c>
      <c r="F11" s="1" t="s">
        <v>20</v>
      </c>
      <c r="G11" s="11" t="s">
        <v>17</v>
      </c>
      <c r="H11" s="5">
        <v>2</v>
      </c>
      <c r="I11" s="5">
        <f>VLOOKUP(F11,'Set up'!$A$2:$C$70,3,FALSE)</f>
        <v>45</v>
      </c>
      <c r="J11" s="5">
        <f>VLOOKUP(F11,'Set up'!$A$2:$D$70,4,FALSE)</f>
        <v>45</v>
      </c>
      <c r="K11" s="4">
        <f t="shared" si="9"/>
        <v>44049</v>
      </c>
      <c r="L11" s="5">
        <f t="shared" si="10"/>
        <v>8</v>
      </c>
      <c r="M11" s="5">
        <f t="shared" si="11"/>
        <v>2020</v>
      </c>
      <c r="N11" s="6">
        <v>185</v>
      </c>
      <c r="O11" s="6">
        <f t="shared" si="5"/>
        <v>-185</v>
      </c>
      <c r="P11" s="6">
        <f t="shared" si="6"/>
        <v>0</v>
      </c>
      <c r="Q11" s="7">
        <f t="shared" si="12"/>
        <v>9782.5</v>
      </c>
      <c r="R11" s="44" t="str">
        <f>VLOOKUP(F11,'Set up'!$A$2:$E$70,5,FALSE)</f>
        <v>PD Chq</v>
      </c>
      <c r="S11" s="13" t="s">
        <v>191</v>
      </c>
    </row>
    <row r="12" spans="1:20" x14ac:dyDescent="0.3">
      <c r="A12" s="4">
        <v>44013</v>
      </c>
      <c r="B12" s="5">
        <f t="shared" si="7"/>
        <v>7</v>
      </c>
      <c r="C12" s="5">
        <f t="shared" si="8"/>
        <v>2020</v>
      </c>
      <c r="D12" s="5" t="s">
        <v>21</v>
      </c>
      <c r="E12" s="5" t="str">
        <f>VLOOKUP(F12,'Set up'!$A$2:$C$70,2,FALSE)</f>
        <v>C00000004</v>
      </c>
      <c r="F12" s="1" t="s">
        <v>23</v>
      </c>
      <c r="G12" s="11" t="s">
        <v>24</v>
      </c>
      <c r="H12" s="5">
        <v>9</v>
      </c>
      <c r="I12" s="5">
        <f>VLOOKUP(F12,'Set up'!$A$2:$C$70,3,FALSE)</f>
        <v>120</v>
      </c>
      <c r="J12" s="5">
        <f>VLOOKUP(F12,'Set up'!$A$2:$D$70,4,FALSE)</f>
        <v>120</v>
      </c>
      <c r="K12" s="4">
        <f t="shared" si="9"/>
        <v>44133</v>
      </c>
      <c r="L12" s="5">
        <f t="shared" si="10"/>
        <v>10</v>
      </c>
      <c r="M12" s="5">
        <f t="shared" si="11"/>
        <v>2020</v>
      </c>
      <c r="N12" s="6">
        <v>1836</v>
      </c>
      <c r="O12" s="6">
        <f t="shared" si="5"/>
        <v>-1836</v>
      </c>
      <c r="P12" s="6">
        <f t="shared" si="6"/>
        <v>0</v>
      </c>
      <c r="Q12" s="7">
        <f t="shared" si="12"/>
        <v>11618.5</v>
      </c>
      <c r="R12" s="44" t="str">
        <f>VLOOKUP(F12,'Set up'!$A$2:$E$70,5,FALSE)</f>
        <v>Chq</v>
      </c>
      <c r="S12" s="21" t="s">
        <v>163</v>
      </c>
    </row>
    <row r="13" spans="1:20" x14ac:dyDescent="0.3">
      <c r="A13" s="4">
        <v>44026</v>
      </c>
      <c r="B13" s="5">
        <f t="shared" si="7"/>
        <v>7</v>
      </c>
      <c r="C13" s="5">
        <f t="shared" si="8"/>
        <v>2020</v>
      </c>
      <c r="D13" s="5" t="s">
        <v>26</v>
      </c>
      <c r="E13" s="5" t="str">
        <f>VLOOKUP(F13,'Set up'!$A$2:$C$70,2,FALSE)</f>
        <v>C00000003</v>
      </c>
      <c r="F13" s="1" t="s">
        <v>20</v>
      </c>
      <c r="G13" s="11" t="s">
        <v>28</v>
      </c>
      <c r="H13" s="5">
        <v>1</v>
      </c>
      <c r="I13" s="5">
        <f>VLOOKUP(F13,'Set up'!$A$2:$C$70,3,FALSE)</f>
        <v>45</v>
      </c>
      <c r="J13" s="5">
        <f>VLOOKUP(F13,'Set up'!$A$2:$D$70,4,FALSE)</f>
        <v>45</v>
      </c>
      <c r="K13" s="4">
        <f t="shared" si="9"/>
        <v>44071</v>
      </c>
      <c r="L13" s="5">
        <f t="shared" si="10"/>
        <v>8</v>
      </c>
      <c r="M13" s="5">
        <f t="shared" si="11"/>
        <v>2020</v>
      </c>
      <c r="N13" s="6">
        <v>1200</v>
      </c>
      <c r="O13" s="6">
        <f t="shared" si="5"/>
        <v>-1200</v>
      </c>
      <c r="P13" s="6">
        <f t="shared" si="6"/>
        <v>0</v>
      </c>
      <c r="Q13" s="7">
        <f t="shared" si="12"/>
        <v>12818.5</v>
      </c>
      <c r="R13" s="44" t="str">
        <f>VLOOKUP(F13,'Set up'!$A$2:$E$70,5,FALSE)</f>
        <v>PD Chq</v>
      </c>
      <c r="S13" s="13" t="s">
        <v>71</v>
      </c>
    </row>
    <row r="14" spans="1:20" x14ac:dyDescent="0.3">
      <c r="A14" s="4">
        <v>44027</v>
      </c>
      <c r="B14" s="5">
        <f t="shared" si="7"/>
        <v>7</v>
      </c>
      <c r="C14" s="5">
        <f t="shared" si="8"/>
        <v>2020</v>
      </c>
      <c r="D14" s="5" t="s">
        <v>27</v>
      </c>
      <c r="E14" s="5" t="str">
        <f>VLOOKUP(F14,'Set up'!$A$2:$C$70,2,FALSE)</f>
        <v>C00000001</v>
      </c>
      <c r="F14" s="1" t="s">
        <v>7</v>
      </c>
      <c r="G14" s="2" t="s">
        <v>95</v>
      </c>
      <c r="H14" s="5">
        <v>1</v>
      </c>
      <c r="I14" s="5" t="str">
        <f>VLOOKUP(F14,'Set up'!$A$2:$C$70,3,FALSE)</f>
        <v>Cash</v>
      </c>
      <c r="J14" s="5">
        <f>VLOOKUP(F14,'Set up'!$A$2:$D$70,4,FALSE)</f>
        <v>0</v>
      </c>
      <c r="K14" s="4">
        <f t="shared" si="9"/>
        <v>44027</v>
      </c>
      <c r="L14" s="5">
        <f t="shared" si="10"/>
        <v>7</v>
      </c>
      <c r="M14" s="5">
        <f t="shared" si="11"/>
        <v>2020</v>
      </c>
      <c r="N14" s="6">
        <v>1496</v>
      </c>
      <c r="O14" s="6">
        <f t="shared" si="5"/>
        <v>-1496</v>
      </c>
      <c r="P14" s="6">
        <f t="shared" si="6"/>
        <v>0</v>
      </c>
      <c r="Q14" s="7">
        <f t="shared" si="12"/>
        <v>14314.5</v>
      </c>
      <c r="R14" s="44" t="str">
        <f>VLOOKUP(F14,'Set up'!$A$2:$E$70,5,FALSE)</f>
        <v>Trsf</v>
      </c>
      <c r="S14" s="1" t="s">
        <v>78</v>
      </c>
    </row>
    <row r="15" spans="1:20" x14ac:dyDescent="0.3">
      <c r="A15" s="4">
        <v>44027</v>
      </c>
      <c r="B15" s="5">
        <f t="shared" si="7"/>
        <v>7</v>
      </c>
      <c r="C15" s="5">
        <f t="shared" si="8"/>
        <v>2020</v>
      </c>
      <c r="D15" s="5" t="s">
        <v>27</v>
      </c>
      <c r="E15" s="5" t="str">
        <f>VLOOKUP(F15,'Set up'!$A$2:$C$70,2,FALSE)</f>
        <v>C00000001</v>
      </c>
      <c r="F15" s="1" t="s">
        <v>7</v>
      </c>
      <c r="G15" s="11" t="s">
        <v>17</v>
      </c>
      <c r="H15" s="5">
        <v>4</v>
      </c>
      <c r="I15" s="5" t="str">
        <f>VLOOKUP(F15,'Set up'!$A$2:$C$70,3,FALSE)</f>
        <v>Cash</v>
      </c>
      <c r="J15" s="5">
        <f>VLOOKUP(F15,'Set up'!$A$2:$D$70,4,FALSE)</f>
        <v>0</v>
      </c>
      <c r="K15" s="4">
        <f t="shared" si="9"/>
        <v>44027</v>
      </c>
      <c r="L15" s="5">
        <f t="shared" si="10"/>
        <v>7</v>
      </c>
      <c r="M15" s="5">
        <f t="shared" si="11"/>
        <v>2020</v>
      </c>
      <c r="N15" s="6">
        <v>370</v>
      </c>
      <c r="O15" s="6">
        <f t="shared" si="5"/>
        <v>-370</v>
      </c>
      <c r="P15" s="6">
        <f t="shared" si="6"/>
        <v>0</v>
      </c>
      <c r="Q15" s="7">
        <f t="shared" si="12"/>
        <v>14684.5</v>
      </c>
      <c r="R15" s="44" t="str">
        <f>VLOOKUP(F15,'Set up'!$A$2:$E$70,5,FALSE)</f>
        <v>Trsf</v>
      </c>
      <c r="S15" s="1" t="s">
        <v>78</v>
      </c>
    </row>
    <row r="16" spans="1:20" x14ac:dyDescent="0.3">
      <c r="A16" s="4">
        <v>44027</v>
      </c>
      <c r="B16" s="5">
        <f t="shared" si="7"/>
        <v>7</v>
      </c>
      <c r="C16" s="5">
        <f t="shared" si="8"/>
        <v>2020</v>
      </c>
      <c r="D16" s="5" t="s">
        <v>27</v>
      </c>
      <c r="E16" s="5" t="str">
        <f>VLOOKUP(F16,'Set up'!$A$2:$C$70,2,FALSE)</f>
        <v>C00000001</v>
      </c>
      <c r="F16" s="1" t="s">
        <v>7</v>
      </c>
      <c r="G16" s="11" t="s">
        <v>201</v>
      </c>
      <c r="H16" s="5">
        <v>1</v>
      </c>
      <c r="I16" s="5" t="str">
        <f>VLOOKUP(F16,'Set up'!$A$2:$C$70,3,FALSE)</f>
        <v>Cash</v>
      </c>
      <c r="J16" s="5">
        <f>VLOOKUP(F16,'Set up'!$A$2:$D$70,4,FALSE)</f>
        <v>0</v>
      </c>
      <c r="K16" s="4">
        <f t="shared" si="9"/>
        <v>44027</v>
      </c>
      <c r="L16" s="5">
        <f t="shared" si="10"/>
        <v>7</v>
      </c>
      <c r="M16" s="5">
        <f t="shared" si="11"/>
        <v>2020</v>
      </c>
      <c r="N16" s="6">
        <v>232</v>
      </c>
      <c r="O16" s="6">
        <f t="shared" si="5"/>
        <v>-232</v>
      </c>
      <c r="P16" s="6">
        <f t="shared" si="6"/>
        <v>0</v>
      </c>
      <c r="Q16" s="7">
        <f t="shared" si="12"/>
        <v>14916.5</v>
      </c>
      <c r="R16" s="44" t="str">
        <f>VLOOKUP(F16,'Set up'!$A$2:$E$70,5,FALSE)</f>
        <v>Trsf</v>
      </c>
      <c r="S16" s="1" t="s">
        <v>78</v>
      </c>
      <c r="T16" s="1" t="s">
        <v>29</v>
      </c>
    </row>
    <row r="17" spans="1:19" x14ac:dyDescent="0.3">
      <c r="A17" s="4">
        <v>44044</v>
      </c>
      <c r="B17" s="5">
        <f t="shared" si="7"/>
        <v>8</v>
      </c>
      <c r="C17" s="5">
        <f t="shared" si="8"/>
        <v>2020</v>
      </c>
      <c r="D17" s="5" t="s">
        <v>30</v>
      </c>
      <c r="E17" s="5" t="str">
        <f>VLOOKUP(F17,'Set up'!$A$2:$C$70,2,FALSE)</f>
        <v>C00000004</v>
      </c>
      <c r="F17" s="1" t="s">
        <v>23</v>
      </c>
      <c r="G17" s="2" t="s">
        <v>95</v>
      </c>
      <c r="H17" s="5">
        <v>2</v>
      </c>
      <c r="I17" s="5">
        <f>VLOOKUP(F17,'Set up'!$A$2:$C$70,3,FALSE)</f>
        <v>120</v>
      </c>
      <c r="J17" s="5">
        <f>VLOOKUP(F17,'Set up'!$A$2:$D$70,4,FALSE)</f>
        <v>120</v>
      </c>
      <c r="K17" s="4">
        <f t="shared" si="9"/>
        <v>44164</v>
      </c>
      <c r="L17" s="5">
        <f t="shared" si="10"/>
        <v>11</v>
      </c>
      <c r="M17" s="5">
        <f t="shared" si="11"/>
        <v>2020</v>
      </c>
      <c r="N17" s="6">
        <v>2508</v>
      </c>
      <c r="O17" s="6">
        <f t="shared" si="5"/>
        <v>-2508</v>
      </c>
      <c r="P17" s="6">
        <f t="shared" si="6"/>
        <v>0</v>
      </c>
      <c r="Q17" s="7">
        <f t="shared" si="12"/>
        <v>17424.5</v>
      </c>
      <c r="R17" s="44" t="str">
        <f>VLOOKUP(F17,'Set up'!$A$2:$E$70,5,FALSE)</f>
        <v>Chq</v>
      </c>
      <c r="S17" s="20" t="s">
        <v>164</v>
      </c>
    </row>
    <row r="18" spans="1:19" x14ac:dyDescent="0.3">
      <c r="A18" s="4">
        <v>44051</v>
      </c>
      <c r="B18" s="5">
        <f t="shared" si="7"/>
        <v>8</v>
      </c>
      <c r="C18" s="5">
        <f t="shared" si="8"/>
        <v>2020</v>
      </c>
      <c r="D18" s="5" t="s">
        <v>31</v>
      </c>
      <c r="E18" s="5" t="str">
        <f>VLOOKUP(F18,'Set up'!$A$2:$C$70,2,FALSE)</f>
        <v>C00000004</v>
      </c>
      <c r="F18" s="1" t="s">
        <v>23</v>
      </c>
      <c r="G18" s="2" t="s">
        <v>95</v>
      </c>
      <c r="H18" s="5">
        <v>2</v>
      </c>
      <c r="I18" s="5">
        <f>VLOOKUP(F18,'Set up'!$A$2:$C$70,3,FALSE)</f>
        <v>120</v>
      </c>
      <c r="J18" s="5">
        <f>VLOOKUP(F18,'Set up'!$A$2:$D$70,4,FALSE)</f>
        <v>120</v>
      </c>
      <c r="K18" s="4">
        <f t="shared" si="9"/>
        <v>44171</v>
      </c>
      <c r="L18" s="5">
        <f t="shared" si="10"/>
        <v>12</v>
      </c>
      <c r="M18" s="5">
        <f t="shared" si="11"/>
        <v>2020</v>
      </c>
      <c r="N18" s="6">
        <v>2508</v>
      </c>
      <c r="O18" s="6">
        <f t="shared" si="5"/>
        <v>-2508</v>
      </c>
      <c r="P18" s="6">
        <f t="shared" si="6"/>
        <v>0</v>
      </c>
      <c r="Q18" s="7">
        <f t="shared" si="12"/>
        <v>19932.5</v>
      </c>
      <c r="R18" s="44" t="str">
        <f>VLOOKUP(F18,'Set up'!$A$2:$E$70,5,FALSE)</f>
        <v>Chq</v>
      </c>
      <c r="S18" s="20" t="s">
        <v>164</v>
      </c>
    </row>
    <row r="19" spans="1:19" x14ac:dyDescent="0.3">
      <c r="A19" s="4">
        <v>44051</v>
      </c>
      <c r="B19" s="5">
        <f t="shared" si="7"/>
        <v>8</v>
      </c>
      <c r="C19" s="5">
        <f t="shared" si="8"/>
        <v>2020</v>
      </c>
      <c r="D19" s="5" t="s">
        <v>32</v>
      </c>
      <c r="E19" s="5" t="str">
        <f>VLOOKUP(F19,'Set up'!$A$2:$C$70,2,FALSE)</f>
        <v>C00000004</v>
      </c>
      <c r="F19" s="1" t="s">
        <v>23</v>
      </c>
      <c r="G19" s="11" t="s">
        <v>111</v>
      </c>
      <c r="H19" s="5">
        <v>2</v>
      </c>
      <c r="I19" s="5">
        <f>VLOOKUP(F19,'Set up'!$A$2:$C$70,3,FALSE)</f>
        <v>120</v>
      </c>
      <c r="J19" s="5">
        <f>VLOOKUP(F19,'Set up'!$A$2:$D$70,4,FALSE)</f>
        <v>120</v>
      </c>
      <c r="K19" s="4">
        <f t="shared" si="9"/>
        <v>44171</v>
      </c>
      <c r="L19" s="5">
        <f t="shared" si="10"/>
        <v>12</v>
      </c>
      <c r="M19" s="5">
        <f t="shared" si="11"/>
        <v>2020</v>
      </c>
      <c r="N19" s="6">
        <v>324</v>
      </c>
      <c r="O19" s="6">
        <f t="shared" si="5"/>
        <v>-324</v>
      </c>
      <c r="P19" s="6">
        <f t="shared" si="6"/>
        <v>0</v>
      </c>
      <c r="Q19" s="7">
        <f t="shared" si="12"/>
        <v>20256.5</v>
      </c>
      <c r="R19" s="44" t="str">
        <f>VLOOKUP(F19,'Set up'!$A$2:$E$70,5,FALSE)</f>
        <v>Chq</v>
      </c>
      <c r="S19" s="20" t="s">
        <v>164</v>
      </c>
    </row>
    <row r="20" spans="1:19" x14ac:dyDescent="0.3">
      <c r="A20" s="4">
        <v>44053</v>
      </c>
      <c r="B20" s="5">
        <f t="shared" si="7"/>
        <v>8</v>
      </c>
      <c r="C20" s="5">
        <f t="shared" si="8"/>
        <v>2020</v>
      </c>
      <c r="D20" s="5" t="s">
        <v>33</v>
      </c>
      <c r="E20" s="5" t="str">
        <f>VLOOKUP(F20,'Set up'!$A$2:$C$70,2,FALSE)</f>
        <v>C00000005</v>
      </c>
      <c r="F20" s="1" t="s">
        <v>35</v>
      </c>
      <c r="G20" s="2" t="s">
        <v>95</v>
      </c>
      <c r="H20" s="5">
        <v>1</v>
      </c>
      <c r="I20" s="5" t="str">
        <f>VLOOKUP(F20,'Set up'!$A$2:$C$70,3,FALSE)</f>
        <v>Cash</v>
      </c>
      <c r="J20" s="5">
        <f>VLOOKUP(F20,'Set up'!$A$2:$D$70,4,FALSE)</f>
        <v>0</v>
      </c>
      <c r="K20" s="4">
        <f t="shared" si="9"/>
        <v>44053</v>
      </c>
      <c r="L20" s="5">
        <f t="shared" si="10"/>
        <v>8</v>
      </c>
      <c r="M20" s="5">
        <f t="shared" si="11"/>
        <v>2020</v>
      </c>
      <c r="N20" s="6">
        <v>1496</v>
      </c>
      <c r="O20" s="6">
        <f t="shared" si="5"/>
        <v>-1496</v>
      </c>
      <c r="P20" s="6">
        <f t="shared" si="6"/>
        <v>0</v>
      </c>
      <c r="Q20" s="7">
        <f t="shared" si="12"/>
        <v>21752.5</v>
      </c>
      <c r="R20" s="44" t="str">
        <f>VLOOKUP(F20,'Set up'!$A$2:$E$70,5,FALSE)</f>
        <v>Chq</v>
      </c>
      <c r="S20" s="1" t="s">
        <v>80</v>
      </c>
    </row>
    <row r="21" spans="1:19" x14ac:dyDescent="0.3">
      <c r="A21" s="4">
        <v>44053</v>
      </c>
      <c r="B21" s="5">
        <f t="shared" si="7"/>
        <v>8</v>
      </c>
      <c r="C21" s="5">
        <f t="shared" si="8"/>
        <v>2020</v>
      </c>
      <c r="D21" s="5" t="s">
        <v>33</v>
      </c>
      <c r="E21" s="5" t="str">
        <f>VLOOKUP(F21,'Set up'!$A$2:$C$70,2,FALSE)</f>
        <v>C00000005</v>
      </c>
      <c r="F21" s="1" t="s">
        <v>35</v>
      </c>
      <c r="G21" s="11" t="s">
        <v>17</v>
      </c>
      <c r="H21" s="5">
        <v>1</v>
      </c>
      <c r="I21" s="5" t="str">
        <f>VLOOKUP(F21,'Set up'!$A$2:$C$70,3,FALSE)</f>
        <v>Cash</v>
      </c>
      <c r="J21" s="5">
        <f>VLOOKUP(F21,'Set up'!$A$2:$D$70,4,FALSE)</f>
        <v>0</v>
      </c>
      <c r="K21" s="4">
        <f t="shared" si="9"/>
        <v>44053</v>
      </c>
      <c r="L21" s="5">
        <f t="shared" si="10"/>
        <v>8</v>
      </c>
      <c r="M21" s="5">
        <f t="shared" si="11"/>
        <v>2020</v>
      </c>
      <c r="N21" s="6">
        <v>90</v>
      </c>
      <c r="O21" s="6">
        <f t="shared" si="5"/>
        <v>-90</v>
      </c>
      <c r="P21" s="6">
        <f t="shared" si="6"/>
        <v>0</v>
      </c>
      <c r="Q21" s="7">
        <f t="shared" si="12"/>
        <v>21842.5</v>
      </c>
      <c r="R21" s="44" t="str">
        <f>VLOOKUP(F21,'Set up'!$A$2:$E$70,5,FALSE)</f>
        <v>Chq</v>
      </c>
      <c r="S21" s="1" t="s">
        <v>80</v>
      </c>
    </row>
    <row r="22" spans="1:19" x14ac:dyDescent="0.3">
      <c r="A22" s="4">
        <v>44053</v>
      </c>
      <c r="B22" s="5">
        <f t="shared" si="7"/>
        <v>8</v>
      </c>
      <c r="C22" s="5">
        <f t="shared" si="8"/>
        <v>2020</v>
      </c>
      <c r="D22" s="5" t="s">
        <v>36</v>
      </c>
      <c r="E22" s="5" t="str">
        <f>VLOOKUP(F22,'Set up'!$A$2:$C$70,2,FALSE)</f>
        <v>C00000003</v>
      </c>
      <c r="F22" s="1" t="s">
        <v>20</v>
      </c>
      <c r="G22" s="2" t="s">
        <v>95</v>
      </c>
      <c r="H22" s="5">
        <v>2</v>
      </c>
      <c r="I22" s="5">
        <f>VLOOKUP(F22,'Set up'!$A$2:$C$70,3,FALSE)</f>
        <v>45</v>
      </c>
      <c r="J22" s="5">
        <f>VLOOKUP(F22,'Set up'!$A$2:$D$70,4,FALSE)</f>
        <v>45</v>
      </c>
      <c r="K22" s="4">
        <f t="shared" si="9"/>
        <v>44098</v>
      </c>
      <c r="L22" s="5">
        <f t="shared" si="10"/>
        <v>9</v>
      </c>
      <c r="M22" s="5">
        <f t="shared" si="11"/>
        <v>2020</v>
      </c>
      <c r="N22" s="6">
        <v>3036</v>
      </c>
      <c r="O22" s="6">
        <f t="shared" si="5"/>
        <v>-3036</v>
      </c>
      <c r="P22" s="6">
        <f t="shared" si="6"/>
        <v>0</v>
      </c>
      <c r="Q22" s="7">
        <f t="shared" si="12"/>
        <v>24878.5</v>
      </c>
      <c r="R22" s="44" t="str">
        <f>VLOOKUP(F22,'Set up'!$A$2:$E$70,5,FALSE)</f>
        <v>PD Chq</v>
      </c>
      <c r="S22" s="13" t="s">
        <v>75</v>
      </c>
    </row>
    <row r="23" spans="1:19" x14ac:dyDescent="0.3">
      <c r="A23" s="4">
        <v>44053</v>
      </c>
      <c r="B23" s="5">
        <f t="shared" si="7"/>
        <v>8</v>
      </c>
      <c r="C23" s="5">
        <f t="shared" si="8"/>
        <v>2020</v>
      </c>
      <c r="D23" s="5" t="s">
        <v>36</v>
      </c>
      <c r="E23" s="5" t="str">
        <f>VLOOKUP(F23,'Set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   <f>VLOOKUP(F23,'Set up'!$A$2:$C$70,3,FALSE)</f>
        <v>45</v>
      </c>
      <c r="J23" s="5">
        <f>VLOOKUP(F23,'Set up'!$A$2:$D$70,4,FALSE)</f>
        <v>45</v>
      </c>
      <c r="K23" s="4">
        <f t="shared" si="9"/>
        <v>44098</v>
      </c>
      <c r="L23" s="5">
        <f t="shared" si="10"/>
        <v>9</v>
      </c>
      <c r="M23" s="5">
        <f t="shared" si="11"/>
        <v>2020</v>
      </c>
      <c r="N23" s="6">
        <v>370</v>
      </c>
      <c r="O23" s="6">
        <f t="shared" si="5"/>
        <v>-370</v>
      </c>
      <c r="P23" s="6">
        <f t="shared" si="6"/>
        <v>0</v>
      </c>
      <c r="Q23" s="7">
        <f t="shared" si="12"/>
        <v>25248.5</v>
      </c>
      <c r="R23" s="44" t="str">
        <f>VLOOKUP(F23,'Set up'!$A$2:$E$70,5,FALSE)</f>
        <v>PD Chq</v>
      </c>
      <c r="S23" s="13" t="s">
        <v>75</v>
      </c>
    </row>
    <row r="24" spans="1:19" x14ac:dyDescent="0.3">
      <c r="A24" s="4">
        <v>44055</v>
      </c>
      <c r="B24" s="5">
        <f t="shared" si="7"/>
        <v>8</v>
      </c>
      <c r="C24" s="5">
        <f t="shared" si="8"/>
        <v>2020</v>
      </c>
      <c r="D24" s="5" t="s">
        <v>37</v>
      </c>
      <c r="E24" s="5" t="str">
        <f>VLOOKUP(F24,'Set up'!$A$2:$C$70,2,FALSE)</f>
        <v>C00000001</v>
      </c>
      <c r="F24" s="1" t="s">
        <v>7</v>
      </c>
      <c r="G24" s="2" t="s">
        <v>95</v>
      </c>
      <c r="H24" s="5">
        <v>1</v>
      </c>
      <c r="I24" s="5" t="str">
        <f>VLOOKUP(F24,'Set up'!$A$2:$C$70,3,FALSE)</f>
        <v>Cash</v>
      </c>
      <c r="J24" s="5">
        <f>VLOOKUP(F24,'Set up'!$A$2:$D$70,4,FALSE)</f>
        <v>0</v>
      </c>
      <c r="K24" s="4">
        <f t="shared" si="9"/>
        <v>44055</v>
      </c>
      <c r="L24" s="5">
        <f t="shared" si="10"/>
        <v>8</v>
      </c>
      <c r="M24" s="5">
        <f t="shared" si="11"/>
        <v>2020</v>
      </c>
      <c r="N24" s="6">
        <v>1496</v>
      </c>
      <c r="O24" s="6">
        <f t="shared" si="5"/>
        <v>-1496</v>
      </c>
      <c r="P24" s="6">
        <f t="shared" si="6"/>
        <v>0</v>
      </c>
      <c r="Q24" s="7">
        <f t="shared" si="12"/>
        <v>26744.5</v>
      </c>
      <c r="R24" s="44" t="str">
        <f>VLOOKUP(F24,'Set up'!$A$2:$E$70,5,FALSE)</f>
        <v>Trsf</v>
      </c>
      <c r="S24" s="1" t="s">
        <v>79</v>
      </c>
    </row>
    <row r="25" spans="1:19" x14ac:dyDescent="0.3">
      <c r="A25" s="4">
        <v>44055</v>
      </c>
      <c r="B25" s="5">
        <f t="shared" si="7"/>
        <v>8</v>
      </c>
      <c r="C25" s="5">
        <f t="shared" si="8"/>
        <v>2020</v>
      </c>
      <c r="D25" s="5" t="s">
        <v>37</v>
      </c>
      <c r="E25" s="5" t="str">
        <f>VLOOKUP(F25,'Set up'!$A$2:$C$70,2,FALSE)</f>
        <v>C00000001</v>
      </c>
      <c r="F25" s="1" t="s">
        <v>7</v>
      </c>
      <c r="G25" s="2" t="s">
        <v>63</v>
      </c>
      <c r="H25" s="5">
        <v>4</v>
      </c>
      <c r="I25" s="5" t="str">
        <f>VLOOKUP(F25,'Set up'!$A$2:$C$70,3,FALSE)</f>
        <v>Cash</v>
      </c>
      <c r="J25" s="5">
        <f>VLOOKUP(F25,'Set up'!$A$2:$D$70,4,FALSE)</f>
        <v>0</v>
      </c>
      <c r="K25" s="4">
        <f t="shared" si="9"/>
        <v>44055</v>
      </c>
      <c r="L25" s="5">
        <f t="shared" si="10"/>
        <v>8</v>
      </c>
      <c r="M25" s="5">
        <f t="shared" si="11"/>
        <v>2020</v>
      </c>
      <c r="N25" s="6">
        <v>962</v>
      </c>
      <c r="O25" s="6">
        <f t="shared" si="5"/>
        <v>-962</v>
      </c>
      <c r="P25" s="6">
        <f t="shared" si="6"/>
        <v>0</v>
      </c>
      <c r="Q25" s="7">
        <f t="shared" si="12"/>
        <v>27706.5</v>
      </c>
      <c r="R25" s="44" t="str">
        <f>VLOOKUP(F25,'Set up'!$A$2:$E$70,5,FALSE)</f>
        <v>Trsf</v>
      </c>
      <c r="S25" s="1" t="s">
        <v>79</v>
      </c>
    </row>
    <row r="26" spans="1:19" x14ac:dyDescent="0.3">
      <c r="A26" s="4">
        <v>44055</v>
      </c>
      <c r="B26" s="5">
        <f t="shared" si="7"/>
        <v>8</v>
      </c>
      <c r="C26" s="5">
        <f t="shared" si="8"/>
        <v>2020</v>
      </c>
      <c r="D26" s="5" t="s">
        <v>37</v>
      </c>
      <c r="E26" s="5" t="str">
        <f>VLOOKUP(F26,'Set up'!$A$2:$C$70,2,FALSE)</f>
        <v>C00000001</v>
      </c>
      <c r="F26" s="1" t="s">
        <v>7</v>
      </c>
      <c r="G26" s="11" t="s">
        <v>201</v>
      </c>
      <c r="H26" s="5">
        <v>2</v>
      </c>
      <c r="I26" s="5" t="str">
        <f>VLOOKUP(F26,'Set up'!$A$2:$C$70,3,FALSE)</f>
        <v>Cash</v>
      </c>
      <c r="J26" s="5">
        <f>VLOOKUP(F26,'Set up'!$A$2:$D$70,4,FALSE)</f>
        <v>0</v>
      </c>
      <c r="K26" s="4">
        <f t="shared" si="9"/>
        <v>44055</v>
      </c>
      <c r="L26" s="5">
        <f t="shared" si="10"/>
        <v>8</v>
      </c>
      <c r="M26" s="5">
        <f t="shared" si="11"/>
        <v>2020</v>
      </c>
      <c r="N26" s="6">
        <v>464</v>
      </c>
      <c r="O26" s="6">
        <f t="shared" si="5"/>
        <v>-464</v>
      </c>
      <c r="P26" s="6">
        <f t="shared" si="6"/>
        <v>0</v>
      </c>
      <c r="Q26" s="7">
        <f t="shared" si="12"/>
        <v>28170.5</v>
      </c>
      <c r="R26" s="44" t="str">
        <f>VLOOKUP(F26,'Set up'!$A$2:$E$70,5,FALSE)</f>
        <v>Trsf</v>
      </c>
      <c r="S26" s="1" t="s">
        <v>79</v>
      </c>
    </row>
    <row r="27" spans="1:19" x14ac:dyDescent="0.3">
      <c r="A27" s="4">
        <v>44056</v>
      </c>
      <c r="B27" s="5">
        <f t="shared" si="7"/>
        <v>8</v>
      </c>
      <c r="C27" s="5">
        <f t="shared" si="8"/>
        <v>2020</v>
      </c>
      <c r="D27" s="5" t="s">
        <v>38</v>
      </c>
      <c r="E27" s="5" t="str">
        <f>VLOOKUP(F27,'Set up'!$A$2:$C$70,2,FALSE)</f>
        <v>C00000001</v>
      </c>
      <c r="F27" s="1" t="s">
        <v>7</v>
      </c>
      <c r="G27" s="11" t="s">
        <v>39</v>
      </c>
      <c r="H27" s="5">
        <v>4</v>
      </c>
      <c r="I27" s="5" t="str">
        <f>VLOOKUP(F27,'Set up'!$A$2:$C$70,3,FALSE)</f>
        <v>Cash</v>
      </c>
      <c r="J27" s="5">
        <f>VLOOKUP(F27,'Set up'!$A$2:$D$70,4,FALSE)</f>
        <v>0</v>
      </c>
      <c r="K27" s="4">
        <f t="shared" si="9"/>
        <v>44056</v>
      </c>
      <c r="L27" s="5">
        <f t="shared" si="10"/>
        <v>8</v>
      </c>
      <c r="M27" s="5">
        <f t="shared" si="11"/>
        <v>2020</v>
      </c>
      <c r="N27" s="6">
        <v>960</v>
      </c>
      <c r="O27" s="6">
        <f t="shared" si="5"/>
        <v>-960</v>
      </c>
      <c r="P27" s="6">
        <f t="shared" si="6"/>
        <v>0</v>
      </c>
      <c r="Q27" s="7">
        <f t="shared" si="12"/>
        <v>29130.5</v>
      </c>
      <c r="R27" s="44" t="str">
        <f>VLOOKUP(F27,'Set up'!$A$2:$E$70,5,FALSE)</f>
        <v>Trsf</v>
      </c>
      <c r="S27" s="1" t="s">
        <v>79</v>
      </c>
    </row>
    <row r="28" spans="1:19" x14ac:dyDescent="0.3">
      <c r="A28" s="4">
        <v>44062</v>
      </c>
      <c r="B28" s="5">
        <f t="shared" si="7"/>
        <v>8</v>
      </c>
      <c r="C28" s="5">
        <f t="shared" si="8"/>
        <v>2020</v>
      </c>
      <c r="D28" s="5" t="s">
        <v>40</v>
      </c>
      <c r="E28" s="5" t="str">
        <f>VLOOKUP(F28,'Set up'!$A$2:$C$70,2,FALSE)</f>
        <v>C00000003</v>
      </c>
      <c r="F28" s="1" t="s">
        <v>20</v>
      </c>
      <c r="G28" s="2" t="s">
        <v>96</v>
      </c>
      <c r="H28" s="5">
        <v>1</v>
      </c>
      <c r="I28" s="5">
        <f>VLOOKUP(F28,'Set up'!$A$2:$C$70,3,FALSE)</f>
        <v>45</v>
      </c>
      <c r="J28" s="5">
        <f>VLOOKUP(F28,'Set up'!$A$2:$D$70,4,FALSE)</f>
        <v>45</v>
      </c>
      <c r="K28" s="4">
        <f t="shared" si="9"/>
        <v>44107</v>
      </c>
      <c r="L28" s="5">
        <f t="shared" si="10"/>
        <v>10</v>
      </c>
      <c r="M28" s="5">
        <f t="shared" si="11"/>
        <v>2020</v>
      </c>
      <c r="N28" s="6">
        <v>367.2</v>
      </c>
      <c r="O28" s="6">
        <f t="shared" si="5"/>
        <v>-367.2</v>
      </c>
      <c r="P28" s="6">
        <f t="shared" si="6"/>
        <v>0</v>
      </c>
      <c r="Q28" s="7">
        <f t="shared" si="12"/>
        <v>29497.7</v>
      </c>
      <c r="R28" s="44" t="str">
        <f>VLOOKUP(F28,'Set up'!$A$2:$E$70,5,FALSE)</f>
        <v>PD Chq</v>
      </c>
      <c r="S28" s="13" t="s">
        <v>89</v>
      </c>
    </row>
    <row r="29" spans="1:19" x14ac:dyDescent="0.3">
      <c r="A29" s="4">
        <v>44062</v>
      </c>
      <c r="B29" s="5">
        <f t="shared" si="7"/>
        <v>8</v>
      </c>
      <c r="C29" s="5">
        <f t="shared" si="8"/>
        <v>2020</v>
      </c>
      <c r="D29" s="5" t="s">
        <v>41</v>
      </c>
      <c r="E29" s="5" t="str">
        <f>VLOOKUP(F29,'Set up'!$A$2:$C$70,2,FALSE)</f>
        <v>C00000006</v>
      </c>
      <c r="F29" s="1" t="s">
        <v>43</v>
      </c>
      <c r="G29" s="2" t="s">
        <v>95</v>
      </c>
      <c r="H29" s="5">
        <v>1</v>
      </c>
      <c r="I29" s="5" t="str">
        <f>VLOOKUP(F29,'Set up'!$A$2:$C$70,3,FALSE)</f>
        <v>Cash</v>
      </c>
      <c r="J29" s="5">
        <f>VLOOKUP(F29,'Set up'!$A$2:$D$70,4,FALSE)</f>
        <v>0</v>
      </c>
      <c r="K29" s="4">
        <f t="shared" si="9"/>
        <v>44062</v>
      </c>
      <c r="L29" s="5">
        <f t="shared" si="10"/>
        <v>8</v>
      </c>
      <c r="M29" s="5">
        <f t="shared" si="11"/>
        <v>2020</v>
      </c>
      <c r="N29" s="6">
        <v>1496</v>
      </c>
      <c r="O29" s="6">
        <f t="shared" si="5"/>
        <v>-1496</v>
      </c>
      <c r="P29" s="6">
        <f t="shared" si="6"/>
        <v>0</v>
      </c>
      <c r="Q29" s="7">
        <f t="shared" si="12"/>
        <v>30993.7</v>
      </c>
      <c r="R29" s="44" t="str">
        <f>VLOOKUP(F29,'Set up'!$A$2:$E$70,5,FALSE)</f>
        <v>Chq</v>
      </c>
      <c r="S29" s="1" t="s">
        <v>81</v>
      </c>
    </row>
    <row r="30" spans="1:19" x14ac:dyDescent="0.3">
      <c r="A30" s="4">
        <v>44062</v>
      </c>
      <c r="B30" s="5">
        <f t="shared" si="7"/>
        <v>8</v>
      </c>
      <c r="C30" s="5">
        <f t="shared" si="8"/>
        <v>2020</v>
      </c>
      <c r="D30" s="5" t="s">
        <v>41</v>
      </c>
      <c r="E30" s="5" t="str">
        <f>VLOOKUP(F30,'Set up'!$A$2:$C$70,2,FALSE)</f>
        <v>C00000006</v>
      </c>
      <c r="F30" s="1" t="s">
        <v>43</v>
      </c>
      <c r="G30" s="11" t="s">
        <v>24</v>
      </c>
      <c r="H30" s="5">
        <v>1</v>
      </c>
      <c r="I30" s="5" t="str">
        <f>VLOOKUP(F30,'Set up'!$A$2:$C$70,3,FALSE)</f>
        <v>Cash</v>
      </c>
      <c r="J30" s="5">
        <f>VLOOKUP(F30,'Set up'!$A$2:$D$70,4,FALSE)</f>
        <v>0</v>
      </c>
      <c r="K30" s="4">
        <f t="shared" si="9"/>
        <v>44062</v>
      </c>
      <c r="L30" s="5">
        <f t="shared" si="10"/>
        <v>8</v>
      </c>
      <c r="M30" s="5">
        <f t="shared" si="11"/>
        <v>2020</v>
      </c>
      <c r="N30" s="6">
        <v>210</v>
      </c>
      <c r="O30" s="6">
        <f t="shared" si="5"/>
        <v>-210</v>
      </c>
      <c r="P30" s="6">
        <f t="shared" si="6"/>
        <v>0</v>
      </c>
      <c r="Q30" s="7">
        <f t="shared" si="12"/>
        <v>31203.7</v>
      </c>
      <c r="R30" s="44" t="str">
        <f>VLOOKUP(F30,'Set up'!$A$2:$E$70,5,FALSE)</f>
        <v>Chq</v>
      </c>
      <c r="S30" s="8" t="s">
        <v>81</v>
      </c>
    </row>
    <row r="31" spans="1:19" x14ac:dyDescent="0.3">
      <c r="A31" s="4">
        <v>44065</v>
      </c>
      <c r="B31" s="5">
        <f t="shared" si="7"/>
        <v>8</v>
      </c>
      <c r="C31" s="5">
        <f t="shared" si="8"/>
        <v>2020</v>
      </c>
      <c r="D31" s="5" t="s">
        <v>49</v>
      </c>
      <c r="E31" s="5" t="str">
        <f>VLOOKUP(F31,'Set up'!$A$2:$C$70,2,FALSE)</f>
        <v>C00000007</v>
      </c>
      <c r="F31" s="1" t="s">
        <v>47</v>
      </c>
      <c r="G31" s="2" t="s">
        <v>96</v>
      </c>
      <c r="H31" s="5">
        <v>4</v>
      </c>
      <c r="I31" s="5" t="str">
        <f>VLOOKUP(F31,'Set up'!$A$2:$C$70,3,FALSE)</f>
        <v>Cash</v>
      </c>
      <c r="J31" s="5">
        <f>VLOOKUP(F31,'Set up'!$A$2:$D$70,4,FALSE)</f>
        <v>0</v>
      </c>
      <c r="K31" s="4">
        <f t="shared" si="9"/>
        <v>44065</v>
      </c>
      <c r="L31" s="5">
        <f t="shared" si="10"/>
        <v>8</v>
      </c>
      <c r="M31" s="5">
        <f t="shared" si="11"/>
        <v>2020</v>
      </c>
      <c r="N31" s="6">
        <v>1296</v>
      </c>
      <c r="O31" s="6">
        <f t="shared" si="5"/>
        <v>-1296</v>
      </c>
      <c r="P31" s="6">
        <f t="shared" si="6"/>
        <v>0</v>
      </c>
      <c r="Q31" s="7">
        <f t="shared" si="12"/>
        <v>32499.7</v>
      </c>
      <c r="R31" s="44" t="str">
        <f>VLOOKUP(F31,'Set up'!$A$2:$E$70,5,FALSE)</f>
        <v>Trsf</v>
      </c>
      <c r="S31" s="15" t="s">
        <v>108</v>
      </c>
    </row>
    <row r="32" spans="1:19" x14ac:dyDescent="0.3">
      <c r="A32" s="4">
        <v>44065</v>
      </c>
      <c r="B32" s="5">
        <f t="shared" si="7"/>
        <v>8</v>
      </c>
      <c r="C32" s="5">
        <f t="shared" si="8"/>
        <v>2020</v>
      </c>
      <c r="D32" s="5" t="s">
        <v>49</v>
      </c>
      <c r="E32" s="5" t="str">
        <f>VLOOKUP(F32,'Set up'!$A$2:$C$70,2,FALSE)</f>
        <v>C00000007</v>
      </c>
      <c r="F32" s="1" t="s">
        <v>47</v>
      </c>
      <c r="G32" s="11" t="s">
        <v>44</v>
      </c>
      <c r="H32" s="5">
        <v>4</v>
      </c>
      <c r="I32" s="5" t="str">
        <f>VLOOKUP(F32,'Set up'!$A$2:$C$70,3,FALSE)</f>
        <v>Cash</v>
      </c>
      <c r="J32" s="5">
        <f>VLOOKUP(F32,'Set up'!$A$2:$D$70,4,FALSE)</f>
        <v>0</v>
      </c>
      <c r="K32" s="4">
        <f t="shared" si="9"/>
        <v>44065</v>
      </c>
      <c r="L32" s="5">
        <f t="shared" si="10"/>
        <v>8</v>
      </c>
      <c r="M32" s="5">
        <f t="shared" si="11"/>
        <v>2020</v>
      </c>
      <c r="N32" s="6">
        <v>840</v>
      </c>
      <c r="O32" s="6">
        <f t="shared" si="5"/>
        <v>-840</v>
      </c>
      <c r="P32" s="6">
        <f t="shared" si="6"/>
        <v>0</v>
      </c>
      <c r="Q32" s="7">
        <f t="shared" si="12"/>
        <v>33339.699999999997</v>
      </c>
      <c r="R32" s="44" t="str">
        <f>VLOOKUP(F32,'Set up'!$A$2:$E$70,5,FALSE)</f>
        <v>Trsf</v>
      </c>
      <c r="S32" s="15" t="s">
        <v>108</v>
      </c>
    </row>
    <row r="33" spans="1:19" x14ac:dyDescent="0.3">
      <c r="A33" s="4">
        <v>44065</v>
      </c>
      <c r="B33" s="5">
        <f t="shared" si="7"/>
        <v>8</v>
      </c>
      <c r="C33" s="5">
        <f t="shared" si="8"/>
        <v>2020</v>
      </c>
      <c r="D33" s="5" t="s">
        <v>49</v>
      </c>
      <c r="E33" s="5" t="str">
        <f>VLOOKUP(F33,'Set up'!$A$2:$C$70,2,FALSE)</f>
        <v>C00000007</v>
      </c>
      <c r="F33" s="1" t="s">
        <v>47</v>
      </c>
      <c r="G33" s="2" t="s">
        <v>45</v>
      </c>
      <c r="H33" s="5">
        <v>2</v>
      </c>
      <c r="I33" s="5" t="str">
        <f>VLOOKUP(F33,'Set up'!$A$2:$C$70,3,FALSE)</f>
        <v>Cash</v>
      </c>
      <c r="J33" s="5">
        <f>VLOOKUP(F33,'Set up'!$A$2:$D$70,4,FALSE)</f>
        <v>0</v>
      </c>
      <c r="K33" s="4">
        <f t="shared" si="9"/>
        <v>44065</v>
      </c>
      <c r="L33" s="5">
        <f t="shared" si="10"/>
        <v>8</v>
      </c>
      <c r="M33" s="5">
        <f t="shared" si="11"/>
        <v>2020</v>
      </c>
      <c r="N33" s="6">
        <v>460</v>
      </c>
      <c r="O33" s="6">
        <f t="shared" si="5"/>
        <v>-460</v>
      </c>
      <c r="P33" s="6">
        <f t="shared" si="6"/>
        <v>0</v>
      </c>
      <c r="Q33" s="7">
        <f t="shared" si="12"/>
        <v>33799.699999999997</v>
      </c>
      <c r="R33" s="44" t="str">
        <f>VLOOKUP(F33,'Set up'!$A$2:$E$70,5,FALSE)</f>
        <v>Trsf</v>
      </c>
      <c r="S33" s="15" t="s">
        <v>108</v>
      </c>
    </row>
    <row r="34" spans="1:19" x14ac:dyDescent="0.3">
      <c r="A34" s="4">
        <v>44065</v>
      </c>
      <c r="B34" s="5">
        <f t="shared" si="7"/>
        <v>8</v>
      </c>
      <c r="C34" s="5">
        <f t="shared" si="8"/>
        <v>2020</v>
      </c>
      <c r="D34" s="5" t="s">
        <v>49</v>
      </c>
      <c r="E34" s="5" t="str">
        <f>VLOOKUP(F34,'Set up'!$A$2:$C$70,2,FALSE)</f>
        <v>C00000007</v>
      </c>
      <c r="F34" s="1" t="s">
        <v>47</v>
      </c>
      <c r="G34" s="11" t="s">
        <v>46</v>
      </c>
      <c r="H34" s="5">
        <v>4</v>
      </c>
      <c r="I34" s="5" t="str">
        <f>VLOOKUP(F34,'Set up'!$A$2:$C$70,3,FALSE)</f>
        <v>Cash</v>
      </c>
      <c r="J34" s="5">
        <f>VLOOKUP(F34,'Set up'!$A$2:$D$70,4,FALSE)</f>
        <v>0</v>
      </c>
      <c r="K34" s="4">
        <f t="shared" si="9"/>
        <v>44065</v>
      </c>
      <c r="L34" s="5">
        <f t="shared" si="10"/>
        <v>8</v>
      </c>
      <c r="M34" s="5">
        <f t="shared" si="11"/>
        <v>2020</v>
      </c>
      <c r="N34" s="6">
        <v>360</v>
      </c>
      <c r="O34" s="6">
        <f t="shared" si="5"/>
        <v>-360</v>
      </c>
      <c r="P34" s="6">
        <f t="shared" ref="P34:P65" si="13">SUM(N34+O34)</f>
        <v>0</v>
      </c>
      <c r="Q34" s="7">
        <f t="shared" si="12"/>
        <v>34159.699999999997</v>
      </c>
      <c r="R34" s="44" t="str">
        <f>VLOOKUP(F34,'Set up'!$A$2:$E$70,5,FALSE)</f>
        <v>Trsf</v>
      </c>
      <c r="S34" s="15" t="s">
        <v>108</v>
      </c>
    </row>
    <row r="35" spans="1:19" x14ac:dyDescent="0.3">
      <c r="A35" s="4">
        <v>44065</v>
      </c>
      <c r="B35" s="5">
        <f t="shared" si="7"/>
        <v>8</v>
      </c>
      <c r="C35" s="5">
        <f t="shared" si="8"/>
        <v>2020</v>
      </c>
      <c r="D35" s="5" t="s">
        <v>50</v>
      </c>
      <c r="E35" s="5" t="str">
        <f>VLOOKUP(F35,'Set up'!$A$2:$C$70,2,FALSE)</f>
        <v>C00000008</v>
      </c>
      <c r="F35" s="1" t="s">
        <v>52</v>
      </c>
      <c r="G35" s="2" t="s">
        <v>95</v>
      </c>
      <c r="H35" s="5">
        <v>1</v>
      </c>
      <c r="I35" s="5" t="str">
        <f>VLOOKUP(F35,'Set up'!$A$2:$C$70,3,FALSE)</f>
        <v>Cash</v>
      </c>
      <c r="J35" s="5">
        <f>VLOOKUP(F35,'Set up'!$A$2:$D$70,4,FALSE)</f>
        <v>0</v>
      </c>
      <c r="K35" s="4">
        <f t="shared" si="9"/>
        <v>44065</v>
      </c>
      <c r="L35" s="5">
        <f t="shared" si="10"/>
        <v>8</v>
      </c>
      <c r="M35" s="5">
        <f t="shared" si="11"/>
        <v>2020</v>
      </c>
      <c r="N35" s="6">
        <v>1452</v>
      </c>
      <c r="O35" s="6">
        <f t="shared" si="5"/>
        <v>-1452</v>
      </c>
      <c r="P35" s="6">
        <f t="shared" si="13"/>
        <v>0</v>
      </c>
      <c r="Q35" s="7">
        <f t="shared" si="12"/>
        <v>35611.699999999997</v>
      </c>
      <c r="R35" s="44" t="str">
        <f>VLOOKUP(F35,'Set up'!$A$2:$E$70,5,FALSE)</f>
        <v>Trsf</v>
      </c>
      <c r="S35" s="1" t="s">
        <v>73</v>
      </c>
    </row>
    <row r="36" spans="1:19" x14ac:dyDescent="0.3">
      <c r="A36" s="4">
        <v>44067</v>
      </c>
      <c r="B36" s="5">
        <f t="shared" si="7"/>
        <v>8</v>
      </c>
      <c r="C36" s="5">
        <f t="shared" si="8"/>
        <v>2020</v>
      </c>
      <c r="D36" s="5" t="s">
        <v>53</v>
      </c>
      <c r="E36" s="5" t="str">
        <f>VLOOKUP(F36,'Set up'!$A$2:$C$70,2,FALSE)</f>
        <v>C00000003</v>
      </c>
      <c r="F36" s="1" t="s">
        <v>20</v>
      </c>
      <c r="G36" s="2" t="s">
        <v>95</v>
      </c>
      <c r="H36" s="5">
        <v>1</v>
      </c>
      <c r="I36" s="5">
        <f>VLOOKUP(F36,'Set up'!$A$2:$C$70,3,FALSE)</f>
        <v>45</v>
      </c>
      <c r="J36" s="5">
        <f>VLOOKUP(F36,'Set up'!$A$2:$D$70,4,FALSE)</f>
        <v>45</v>
      </c>
      <c r="K36" s="4">
        <f t="shared" si="9"/>
        <v>44112</v>
      </c>
      <c r="L36" s="5">
        <f t="shared" si="10"/>
        <v>10</v>
      </c>
      <c r="M36" s="5">
        <f t="shared" si="11"/>
        <v>2020</v>
      </c>
      <c r="N36" s="12">
        <v>1518</v>
      </c>
      <c r="O36" s="6">
        <f t="shared" si="5"/>
        <v>-1518</v>
      </c>
      <c r="P36" s="6">
        <f t="shared" si="13"/>
        <v>0</v>
      </c>
      <c r="Q36" s="7">
        <f t="shared" si="12"/>
        <v>37129.699999999997</v>
      </c>
      <c r="R36" s="44" t="str">
        <f>VLOOKUP(F36,'Set up'!$A$2:$E$70,5,FALSE)</f>
        <v>PD Chq</v>
      </c>
      <c r="S36" s="13" t="s">
        <v>90</v>
      </c>
    </row>
    <row r="37" spans="1:19" x14ac:dyDescent="0.3">
      <c r="A37" s="4">
        <v>44067</v>
      </c>
      <c r="B37" s="5">
        <f t="shared" si="7"/>
        <v>8</v>
      </c>
      <c r="C37" s="5">
        <f t="shared" si="8"/>
        <v>2020</v>
      </c>
      <c r="D37" s="5" t="s">
        <v>53</v>
      </c>
      <c r="E37" s="5" t="str">
        <f>VLOOKUP(F37,'Set up'!$A$2:$C$70,2,FALSE)</f>
        <v>C00000003</v>
      </c>
      <c r="F37" s="1" t="s">
        <v>20</v>
      </c>
      <c r="G37" s="11" t="s">
        <v>54</v>
      </c>
      <c r="H37" s="5">
        <v>4</v>
      </c>
      <c r="I37" s="5">
        <f>VLOOKUP(F37,'Set up'!$A$2:$C$70,3,FALSE)</f>
        <v>45</v>
      </c>
      <c r="J37" s="5">
        <f>VLOOKUP(F37,'Set up'!$A$2:$D$70,4,FALSE)</f>
        <v>45</v>
      </c>
      <c r="K37" s="4">
        <f t="shared" si="9"/>
        <v>44112</v>
      </c>
      <c r="L37" s="5">
        <f t="shared" si="10"/>
        <v>10</v>
      </c>
      <c r="M37" s="5">
        <f t="shared" si="11"/>
        <v>2020</v>
      </c>
      <c r="N37" s="6">
        <v>200</v>
      </c>
      <c r="O37" s="6">
        <f t="shared" si="5"/>
        <v>-200</v>
      </c>
      <c r="P37" s="6">
        <f t="shared" si="13"/>
        <v>0</v>
      </c>
      <c r="Q37" s="7">
        <f t="shared" si="12"/>
        <v>37329.699999999997</v>
      </c>
      <c r="R37" s="44" t="str">
        <f>VLOOKUP(F37,'Set up'!$A$2:$E$70,5,FALSE)</f>
        <v>PD Chq</v>
      </c>
      <c r="S37" s="13" t="s">
        <v>72</v>
      </c>
    </row>
    <row r="38" spans="1:19" x14ac:dyDescent="0.3">
      <c r="A38" s="4">
        <v>44067</v>
      </c>
      <c r="B38" s="5">
        <f t="shared" si="7"/>
        <v>8</v>
      </c>
      <c r="C38" s="5">
        <f t="shared" si="8"/>
        <v>2020</v>
      </c>
      <c r="D38" s="5" t="s">
        <v>53</v>
      </c>
      <c r="E38" s="5" t="str">
        <f>VLOOKUP(F38,'Set up'!$A$2:$C$70,2,FALSE)</f>
        <v>C00000003</v>
      </c>
      <c r="F38" s="1" t="s">
        <v>20</v>
      </c>
      <c r="G38" s="11" t="s">
        <v>46</v>
      </c>
      <c r="H38" s="5">
        <v>2</v>
      </c>
      <c r="I38" s="5">
        <f>VLOOKUP(F38,'Set up'!$A$2:$C$70,3,FALSE)</f>
        <v>45</v>
      </c>
      <c r="J38" s="5">
        <f>VLOOKUP(F38,'Set up'!$A$2:$D$70,4,FALSE)</f>
        <v>45</v>
      </c>
      <c r="K38" s="4">
        <f t="shared" si="9"/>
        <v>44112</v>
      </c>
      <c r="L38" s="5">
        <f t="shared" si="10"/>
        <v>10</v>
      </c>
      <c r="M38" s="5">
        <f t="shared" si="11"/>
        <v>2020</v>
      </c>
      <c r="N38" s="6">
        <v>185</v>
      </c>
      <c r="O38" s="6">
        <f t="shared" si="5"/>
        <v>-185</v>
      </c>
      <c r="P38" s="6">
        <f t="shared" si="13"/>
        <v>0</v>
      </c>
      <c r="Q38" s="7">
        <f t="shared" si="12"/>
        <v>37514.699999999997</v>
      </c>
      <c r="R38" s="44" t="str">
        <f>VLOOKUP(F38,'Set up'!$A$2:$E$70,5,FALSE)</f>
        <v>PD Chq</v>
      </c>
      <c r="S38" s="13" t="s">
        <v>72</v>
      </c>
    </row>
    <row r="39" spans="1:19" x14ac:dyDescent="0.3">
      <c r="A39" s="4">
        <v>44068</v>
      </c>
      <c r="B39" s="5">
        <f t="shared" si="7"/>
        <v>8</v>
      </c>
      <c r="C39" s="5">
        <f t="shared" si="8"/>
        <v>2020</v>
      </c>
      <c r="D39" s="5" t="s">
        <v>55</v>
      </c>
      <c r="E39" s="5" t="str">
        <f>VLOOKUP(F39,'Set up'!$A$2:$C$70,2,FALSE)</f>
        <v>C00000009</v>
      </c>
      <c r="F39" s="1" t="s">
        <v>58</v>
      </c>
      <c r="G39" s="2" t="s">
        <v>95</v>
      </c>
      <c r="H39" s="5">
        <v>1</v>
      </c>
      <c r="I39" s="5">
        <f>VLOOKUP(F39,'Set up'!$A$2:$C$70,3,FALSE)</f>
        <v>60</v>
      </c>
      <c r="J39" s="5">
        <f>VLOOKUP(F39,'Set up'!$A$2:$D$70,4,FALSE)</f>
        <v>60</v>
      </c>
      <c r="K39" s="4">
        <f t="shared" si="9"/>
        <v>44128</v>
      </c>
      <c r="L39" s="5">
        <f t="shared" si="10"/>
        <v>10</v>
      </c>
      <c r="M39" s="5">
        <f t="shared" si="11"/>
        <v>2020</v>
      </c>
      <c r="N39" s="6">
        <v>1276</v>
      </c>
      <c r="O39" s="6">
        <f t="shared" si="5"/>
        <v>-1276</v>
      </c>
      <c r="P39" s="6">
        <f t="shared" si="13"/>
        <v>0</v>
      </c>
      <c r="Q39" s="7">
        <f t="shared" si="12"/>
        <v>38790.699999999997</v>
      </c>
      <c r="R39" s="44" t="str">
        <f>VLOOKUP(F39,'Set up'!$A$2:$E$70,5,FALSE)</f>
        <v>Chq</v>
      </c>
      <c r="S39" s="15" t="s">
        <v>186</v>
      </c>
    </row>
    <row r="40" spans="1:19" x14ac:dyDescent="0.3">
      <c r="A40" s="4">
        <v>44068</v>
      </c>
      <c r="B40" s="5">
        <f t="shared" si="7"/>
        <v>8</v>
      </c>
      <c r="C40" s="5">
        <f t="shared" si="8"/>
        <v>2020</v>
      </c>
      <c r="D40" s="5" t="s">
        <v>55</v>
      </c>
      <c r="E40" s="5" t="str">
        <f>VLOOKUP(F40,'Set up'!$A$2:$C$70,2,FALSE)</f>
        <v>C00000009</v>
      </c>
      <c r="F40" s="1" t="s">
        <v>58</v>
      </c>
      <c r="G40" s="2" t="s">
        <v>57</v>
      </c>
      <c r="H40" s="5">
        <v>1</v>
      </c>
      <c r="I40" s="5">
        <f>VLOOKUP(F40,'Set up'!$A$2:$C$70,3,FALSE)</f>
        <v>60</v>
      </c>
      <c r="J40" s="5">
        <f>VLOOKUP(F40,'Set up'!$A$2:$D$70,4,FALSE)</f>
        <v>60</v>
      </c>
      <c r="K40" s="4">
        <f t="shared" si="9"/>
        <v>44128</v>
      </c>
      <c r="L40" s="5">
        <f t="shared" si="10"/>
        <v>10</v>
      </c>
      <c r="M40" s="5">
        <f t="shared" si="11"/>
        <v>2020</v>
      </c>
      <c r="N40" s="6">
        <v>1276</v>
      </c>
      <c r="O40" s="6">
        <f t="shared" si="5"/>
        <v>-1276</v>
      </c>
      <c r="P40" s="6">
        <f t="shared" si="13"/>
        <v>0</v>
      </c>
      <c r="Q40" s="7">
        <f t="shared" si="12"/>
        <v>40066.699999999997</v>
      </c>
      <c r="R40" s="44" t="str">
        <f>VLOOKUP(F40,'Set up'!$A$2:$E$70,5,FALSE)</f>
        <v>Chq</v>
      </c>
      <c r="S40" s="15" t="s">
        <v>186</v>
      </c>
    </row>
    <row r="41" spans="1:19" x14ac:dyDescent="0.3">
      <c r="A41" s="4">
        <v>44068</v>
      </c>
      <c r="B41" s="5">
        <f t="shared" si="7"/>
        <v>8</v>
      </c>
      <c r="C41" s="5">
        <f t="shared" si="8"/>
        <v>2020</v>
      </c>
      <c r="D41" s="5" t="s">
        <v>56</v>
      </c>
      <c r="E41" s="5" t="str">
        <f>VLOOKUP(F41,'Set up'!$A$2:$C$70,2,FALSE)</f>
        <v>C00000001</v>
      </c>
      <c r="F41" s="1" t="s">
        <v>7</v>
      </c>
      <c r="G41" s="2" t="s">
        <v>95</v>
      </c>
      <c r="H41" s="5">
        <v>1</v>
      </c>
      <c r="I41" s="5" t="str">
        <f>VLOOKUP(F41,'Set up'!$A$2:$C$70,3,FALSE)</f>
        <v>Cash</v>
      </c>
      <c r="J41" s="5">
        <f>VLOOKUP(F41,'Set up'!$A$2:$D$70,4,FALSE)</f>
        <v>0</v>
      </c>
      <c r="K41" s="4">
        <f t="shared" si="9"/>
        <v>44068</v>
      </c>
      <c r="L41" s="5">
        <f t="shared" si="10"/>
        <v>8</v>
      </c>
      <c r="M41" s="5">
        <f t="shared" si="11"/>
        <v>2020</v>
      </c>
      <c r="N41" s="6">
        <v>1496</v>
      </c>
      <c r="O41" s="6">
        <f t="shared" si="5"/>
        <v>-1496</v>
      </c>
      <c r="P41" s="6">
        <f t="shared" si="13"/>
        <v>0</v>
      </c>
      <c r="Q41" s="7">
        <f t="shared" si="12"/>
        <v>41562.699999999997</v>
      </c>
      <c r="R41" s="44" t="str">
        <f>VLOOKUP(F41,'Set up'!$A$2:$E$70,5,FALSE)</f>
        <v>Trsf</v>
      </c>
      <c r="S41" s="1" t="s">
        <v>94</v>
      </c>
    </row>
    <row r="42" spans="1:19" x14ac:dyDescent="0.3">
      <c r="A42" s="4">
        <v>44070</v>
      </c>
      <c r="B42" s="5">
        <f t="shared" si="7"/>
        <v>8</v>
      </c>
      <c r="C42" s="5">
        <f t="shared" si="8"/>
        <v>2020</v>
      </c>
      <c r="D42" s="5" t="s">
        <v>60</v>
      </c>
      <c r="E42" s="5" t="str">
        <f>VLOOKUP(F42,'Set up'!$A$2:$C$70,2,FALSE)</f>
        <v>C00000010</v>
      </c>
      <c r="F42" s="1" t="s">
        <v>62</v>
      </c>
      <c r="G42" s="2" t="s">
        <v>95</v>
      </c>
      <c r="H42" s="5">
        <v>4</v>
      </c>
      <c r="I42" s="5">
        <f>VLOOKUP(F42,'Set up'!$A$2:$C$70,3,FALSE)</f>
        <v>120</v>
      </c>
      <c r="J42" s="5">
        <f>VLOOKUP(F42,'Set up'!$A$2:$D$70,4,FALSE)</f>
        <v>120</v>
      </c>
      <c r="K42" s="4">
        <f t="shared" si="9"/>
        <v>44190</v>
      </c>
      <c r="L42" s="5">
        <f t="shared" si="10"/>
        <v>12</v>
      </c>
      <c r="M42" s="5">
        <f t="shared" si="11"/>
        <v>2020</v>
      </c>
      <c r="N42" s="6">
        <v>5280</v>
      </c>
      <c r="O42" s="6">
        <v>-5280</v>
      </c>
      <c r="P42" s="6">
        <f t="shared" si="13"/>
        <v>0</v>
      </c>
      <c r="Q42" s="7">
        <f t="shared" si="12"/>
        <v>46842.7</v>
      </c>
      <c r="R42" s="44" t="str">
        <f>VLOOKUP(F42,'Set up'!$A$2:$E$70,5,FALSE)</f>
        <v>Trsf</v>
      </c>
      <c r="S42" s="13" t="s">
        <v>212</v>
      </c>
    </row>
    <row r="43" spans="1:19" x14ac:dyDescent="0.3">
      <c r="A43" s="4">
        <v>44070</v>
      </c>
      <c r="B43" s="5">
        <f t="shared" si="7"/>
        <v>8</v>
      </c>
      <c r="C43" s="5">
        <f t="shared" si="8"/>
        <v>2020</v>
      </c>
      <c r="D43" s="5" t="s">
        <v>60</v>
      </c>
      <c r="E43" s="5" t="str">
        <f>VLOOKUP(F43,'Set up'!$A$2:$C$70,2,FALSE)</f>
        <v>C00000010</v>
      </c>
      <c r="F43" s="1" t="s">
        <v>62</v>
      </c>
      <c r="G43" s="2" t="s">
        <v>63</v>
      </c>
      <c r="H43" s="5">
        <v>2</v>
      </c>
      <c r="I43" s="5">
        <f>VLOOKUP(F43,'Set up'!$A$2:$C$70,3,FALSE)</f>
        <v>120</v>
      </c>
      <c r="J43" s="5">
        <f>VLOOKUP(F43,'Set up'!$A$2:$D$70,4,FALSE)</f>
        <v>120</v>
      </c>
      <c r="K43" s="4">
        <f t="shared" si="9"/>
        <v>44190</v>
      </c>
      <c r="L43" s="5">
        <f t="shared" si="10"/>
        <v>12</v>
      </c>
      <c r="M43" s="5">
        <f t="shared" si="11"/>
        <v>2020</v>
      </c>
      <c r="N43" s="6">
        <v>444</v>
      </c>
      <c r="O43" s="6">
        <v>-444</v>
      </c>
      <c r="P43" s="6">
        <f t="shared" si="13"/>
        <v>0</v>
      </c>
      <c r="Q43" s="7">
        <f t="shared" si="12"/>
        <v>47286.7</v>
      </c>
      <c r="R43" s="44" t="str">
        <f>VLOOKUP(F43,'Set up'!$A$2:$E$70,5,FALSE)</f>
        <v>Trsf</v>
      </c>
      <c r="S43" s="13" t="s">
        <v>212</v>
      </c>
    </row>
    <row r="44" spans="1:19" x14ac:dyDescent="0.3">
      <c r="A44" s="4">
        <v>44070</v>
      </c>
      <c r="B44" s="5">
        <f t="shared" si="7"/>
        <v>8</v>
      </c>
      <c r="C44" s="5">
        <f t="shared" si="8"/>
        <v>2020</v>
      </c>
      <c r="D44" s="5" t="s">
        <v>60</v>
      </c>
      <c r="E44" s="5" t="str">
        <f>VLOOKUP(F44,'Set up'!$A$2:$C$70,2,FALSE)</f>
        <v>C00000010</v>
      </c>
      <c r="F44" s="1" t="s">
        <v>62</v>
      </c>
      <c r="G44" s="2" t="s">
        <v>64</v>
      </c>
      <c r="H44" s="5">
        <v>5</v>
      </c>
      <c r="I44" s="5">
        <f>VLOOKUP(F44,'Set up'!$A$2:$C$70,3,FALSE)</f>
        <v>120</v>
      </c>
      <c r="J44" s="5">
        <f>VLOOKUP(F44,'Set up'!$A$2:$D$70,4,FALSE)</f>
        <v>120</v>
      </c>
      <c r="K44" s="4">
        <f t="shared" si="9"/>
        <v>44190</v>
      </c>
      <c r="L44" s="5">
        <f t="shared" si="10"/>
        <v>12</v>
      </c>
      <c r="M44" s="5">
        <f t="shared" si="11"/>
        <v>2020</v>
      </c>
      <c r="N44" s="6">
        <v>275</v>
      </c>
      <c r="O44" s="6">
        <v>-275</v>
      </c>
      <c r="P44" s="6">
        <f t="shared" si="13"/>
        <v>0</v>
      </c>
      <c r="Q44" s="7">
        <f t="shared" si="12"/>
        <v>47561.7</v>
      </c>
      <c r="R44" s="44" t="str">
        <f>VLOOKUP(F44,'Set up'!$A$2:$E$70,5,FALSE)</f>
        <v>Trsf</v>
      </c>
      <c r="S44" s="13" t="s">
        <v>212</v>
      </c>
    </row>
    <row r="45" spans="1:19" x14ac:dyDescent="0.3">
      <c r="A45" s="4">
        <v>44070</v>
      </c>
      <c r="B45" s="5">
        <f t="shared" si="7"/>
        <v>8</v>
      </c>
      <c r="C45" s="5">
        <f t="shared" si="8"/>
        <v>2020</v>
      </c>
      <c r="D45" s="5" t="s">
        <v>60</v>
      </c>
      <c r="E45" s="5" t="str">
        <f>VLOOKUP(F45,'Set up'!$A$2:$C$70,2,FALSE)</f>
        <v>C00000010</v>
      </c>
      <c r="F45" s="1" t="s">
        <v>62</v>
      </c>
      <c r="G45" s="11" t="s">
        <v>46</v>
      </c>
      <c r="H45" s="5">
        <v>4</v>
      </c>
      <c r="I45" s="5">
        <f>VLOOKUP(F45,'Set up'!$A$2:$C$70,3,FALSE)</f>
        <v>120</v>
      </c>
      <c r="J45" s="5">
        <f>VLOOKUP(F45,'Set up'!$A$2:$D$70,4,FALSE)</f>
        <v>120</v>
      </c>
      <c r="K45" s="4">
        <f t="shared" si="9"/>
        <v>44190</v>
      </c>
      <c r="L45" s="5">
        <f t="shared" si="10"/>
        <v>12</v>
      </c>
      <c r="M45" s="5">
        <f t="shared" si="11"/>
        <v>2020</v>
      </c>
      <c r="N45" s="6">
        <v>360</v>
      </c>
      <c r="O45" s="6">
        <v>-360</v>
      </c>
      <c r="P45" s="6">
        <f t="shared" si="13"/>
        <v>0</v>
      </c>
      <c r="Q45" s="7">
        <f t="shared" si="12"/>
        <v>47921.7</v>
      </c>
      <c r="R45" s="44" t="str">
        <f>VLOOKUP(F45,'Set up'!$A$2:$E$70,5,FALSE)</f>
        <v>Trsf</v>
      </c>
      <c r="S45" s="13" t="s">
        <v>212</v>
      </c>
    </row>
    <row r="46" spans="1:19" x14ac:dyDescent="0.3">
      <c r="A46" s="4">
        <v>44070</v>
      </c>
      <c r="B46" s="5">
        <f t="shared" si="7"/>
        <v>8</v>
      </c>
      <c r="C46" s="5">
        <f t="shared" si="8"/>
        <v>2020</v>
      </c>
      <c r="D46" s="5" t="s">
        <v>60</v>
      </c>
      <c r="E46" s="5" t="str">
        <f>VLOOKUP(F46,'Set up'!$A$2:$C$70,2,FALSE)</f>
        <v>C00000010</v>
      </c>
      <c r="F46" s="1" t="s">
        <v>62</v>
      </c>
      <c r="G46" s="11" t="s">
        <v>65</v>
      </c>
      <c r="H46" s="5">
        <v>1</v>
      </c>
      <c r="I46" s="5">
        <f>VLOOKUP(F46,'Set up'!$A$2:$C$70,3,FALSE)</f>
        <v>120</v>
      </c>
      <c r="J46" s="5">
        <f>VLOOKUP(F46,'Set up'!$A$2:$D$70,4,FALSE)</f>
        <v>120</v>
      </c>
      <c r="K46" s="4">
        <f t="shared" si="9"/>
        <v>44190</v>
      </c>
      <c r="L46" s="5">
        <f t="shared" si="10"/>
        <v>12</v>
      </c>
      <c r="M46" s="5">
        <f t="shared" si="11"/>
        <v>2020</v>
      </c>
      <c r="N46" s="6">
        <v>375</v>
      </c>
      <c r="O46" s="6">
        <v>-375</v>
      </c>
      <c r="P46" s="6">
        <f t="shared" si="13"/>
        <v>0</v>
      </c>
      <c r="Q46" s="7">
        <f t="shared" si="12"/>
        <v>48296.7</v>
      </c>
      <c r="R46" s="44" t="str">
        <f>VLOOKUP(F46,'Set up'!$A$2:$E$70,5,FALSE)</f>
        <v>Trsf</v>
      </c>
      <c r="S46" s="13" t="s">
        <v>212</v>
      </c>
    </row>
    <row r="47" spans="1:19" x14ac:dyDescent="0.3">
      <c r="A47" s="4">
        <v>44075</v>
      </c>
      <c r="B47" s="5">
        <f t="shared" si="7"/>
        <v>9</v>
      </c>
      <c r="C47" s="5">
        <f t="shared" si="8"/>
        <v>2020</v>
      </c>
      <c r="D47" s="5" t="s">
        <v>66</v>
      </c>
      <c r="E47" s="5" t="str">
        <f>VLOOKUP(F47,'Set up'!$A$2:$C$70,2,FALSE)</f>
        <v>C00000008</v>
      </c>
      <c r="F47" s="1" t="s">
        <v>52</v>
      </c>
      <c r="G47" s="11" t="s">
        <v>67</v>
      </c>
      <c r="H47" s="5">
        <v>2</v>
      </c>
      <c r="I47" s="5" t="str">
        <f>VLOOKUP(F47,'Set up'!$A$2:$C$70,3,FALSE)</f>
        <v>Cash</v>
      </c>
      <c r="J47" s="5">
        <f>VLOOKUP(F47,'Set up'!$A$2:$D$70,4,FALSE)</f>
        <v>0</v>
      </c>
      <c r="K47" s="4">
        <f t="shared" si="9"/>
        <v>44075</v>
      </c>
      <c r="L47" s="5">
        <f t="shared" si="10"/>
        <v>9</v>
      </c>
      <c r="M47" s="5">
        <f t="shared" si="11"/>
        <v>2020</v>
      </c>
      <c r="N47" s="6">
        <v>2948</v>
      </c>
      <c r="O47" s="6">
        <f t="shared" ref="O47:O86" si="14">SUM(-N47)</f>
        <v>-2948</v>
      </c>
      <c r="P47" s="6">
        <f t="shared" si="13"/>
        <v>0</v>
      </c>
      <c r="Q47" s="7">
        <f t="shared" si="12"/>
        <v>51244.7</v>
      </c>
      <c r="R47" s="44" t="str">
        <f>VLOOKUP(F47,'Set up'!$A$2:$E$70,5,FALSE)</f>
        <v>Trsf</v>
      </c>
      <c r="S47" s="1" t="s">
        <v>93</v>
      </c>
    </row>
    <row r="48" spans="1:19" x14ac:dyDescent="0.3">
      <c r="A48" s="4">
        <v>44075</v>
      </c>
      <c r="B48" s="5">
        <f t="shared" si="7"/>
        <v>9</v>
      </c>
      <c r="C48" s="5">
        <f t="shared" si="8"/>
        <v>2020</v>
      </c>
      <c r="D48" s="5" t="s">
        <v>66</v>
      </c>
      <c r="E48" s="5" t="str">
        <f>VLOOKUP(F48,'Set up'!$A$2:$C$70,2,FALSE)</f>
        <v>C00000008</v>
      </c>
      <c r="F48" s="1" t="s">
        <v>52</v>
      </c>
      <c r="G48" s="11" t="s">
        <v>44</v>
      </c>
      <c r="H48" s="5">
        <v>4</v>
      </c>
      <c r="I48" s="5" t="str">
        <f>VLOOKUP(F48,'Set up'!$A$2:$C$70,3,FALSE)</f>
        <v>Cash</v>
      </c>
      <c r="J48" s="5">
        <f>VLOOKUP(F48,'Set up'!$A$2:$D$70,4,FALSE)</f>
        <v>0</v>
      </c>
      <c r="K48" s="4">
        <f t="shared" si="9"/>
        <v>44075</v>
      </c>
      <c r="L48" s="5">
        <f t="shared" si="10"/>
        <v>9</v>
      </c>
      <c r="M48" s="5">
        <f t="shared" si="11"/>
        <v>2020</v>
      </c>
      <c r="N48" s="6">
        <v>840</v>
      </c>
      <c r="O48" s="6">
        <f t="shared" si="14"/>
        <v>-840</v>
      </c>
      <c r="P48" s="6">
        <f t="shared" si="13"/>
        <v>0</v>
      </c>
      <c r="Q48" s="7">
        <f t="shared" si="12"/>
        <v>52084.7</v>
      </c>
      <c r="R48" s="44" t="str">
        <f>VLOOKUP(F48,'Set up'!$A$2:$E$70,5,FALSE)</f>
        <v>Trsf</v>
      </c>
      <c r="S48" s="1" t="s">
        <v>93</v>
      </c>
    </row>
    <row r="49" spans="1:20" x14ac:dyDescent="0.3">
      <c r="A49" s="4">
        <v>44075</v>
      </c>
      <c r="B49" s="5">
        <f t="shared" si="7"/>
        <v>9</v>
      </c>
      <c r="C49" s="5">
        <f t="shared" si="8"/>
        <v>2020</v>
      </c>
      <c r="D49" s="5" t="s">
        <v>66</v>
      </c>
      <c r="E49" s="5" t="str">
        <f>VLOOKUP(F49,'Set up'!$A$2:$C$70,2,FALSE)</f>
        <v>C00000008</v>
      </c>
      <c r="F49" s="1" t="s">
        <v>52</v>
      </c>
      <c r="G49" s="11" t="s">
        <v>46</v>
      </c>
      <c r="H49" s="5">
        <v>2</v>
      </c>
      <c r="I49" s="5" t="str">
        <f>VLOOKUP(F49,'Set up'!$A$2:$C$70,3,FALSE)</f>
        <v>Cash</v>
      </c>
      <c r="J49" s="5">
        <f>VLOOKUP(F49,'Set up'!$A$2:$D$70,4,FALSE)</f>
        <v>0</v>
      </c>
      <c r="K49" s="4">
        <f t="shared" si="9"/>
        <v>44075</v>
      </c>
      <c r="L49" s="5">
        <f t="shared" si="10"/>
        <v>9</v>
      </c>
      <c r="M49" s="5">
        <f t="shared" si="11"/>
        <v>2020</v>
      </c>
      <c r="N49" s="6">
        <v>180</v>
      </c>
      <c r="O49" s="6">
        <f t="shared" si="14"/>
        <v>-180</v>
      </c>
      <c r="P49" s="6">
        <f t="shared" si="13"/>
        <v>0</v>
      </c>
      <c r="Q49" s="7">
        <f t="shared" si="12"/>
        <v>52264.7</v>
      </c>
      <c r="R49" s="44" t="str">
        <f>VLOOKUP(F49,'Set up'!$A$2:$E$70,5,FALSE)</f>
        <v>Trsf</v>
      </c>
      <c r="S49" s="1" t="s">
        <v>93</v>
      </c>
    </row>
    <row r="50" spans="1:20" x14ac:dyDescent="0.3">
      <c r="A50" s="4">
        <v>44076</v>
      </c>
      <c r="B50" s="5">
        <f t="shared" si="7"/>
        <v>9</v>
      </c>
      <c r="C50" s="5">
        <f t="shared" si="8"/>
        <v>2020</v>
      </c>
      <c r="D50" s="5" t="s">
        <v>68</v>
      </c>
      <c r="E50" s="5" t="str">
        <f>VLOOKUP(F50,'Set up'!$A$2:$C$70,2,FALSE)</f>
        <v>C00000001</v>
      </c>
      <c r="F50" s="1" t="s">
        <v>7</v>
      </c>
      <c r="G50" s="11" t="s">
        <v>28</v>
      </c>
      <c r="H50" s="5">
        <v>1</v>
      </c>
      <c r="I50" s="5" t="str">
        <f>VLOOKUP(F50,'Set up'!$A$2:$C$70,3,FALSE)</f>
        <v>Cash</v>
      </c>
      <c r="J50" s="5">
        <f>VLOOKUP(F50,'Set up'!$A$2:$D$70,4,FALSE)</f>
        <v>0</v>
      </c>
      <c r="K50" s="4">
        <f t="shared" si="9"/>
        <v>44076</v>
      </c>
      <c r="L50" s="5">
        <f t="shared" si="10"/>
        <v>9</v>
      </c>
      <c r="M50" s="5">
        <f t="shared" si="11"/>
        <v>2020</v>
      </c>
      <c r="N50" s="6">
        <v>1250</v>
      </c>
      <c r="O50" s="6">
        <f t="shared" si="14"/>
        <v>-1250</v>
      </c>
      <c r="P50" s="6">
        <f t="shared" si="13"/>
        <v>0</v>
      </c>
      <c r="Q50" s="7">
        <f t="shared" si="12"/>
        <v>53514.7</v>
      </c>
      <c r="R50" s="44" t="str">
        <f>VLOOKUP(F50,'Set up'!$A$2:$E$70,5,FALSE)</f>
        <v>Trsf</v>
      </c>
      <c r="S50" s="1" t="s">
        <v>92</v>
      </c>
      <c r="T50" s="1" t="s">
        <v>74</v>
      </c>
    </row>
    <row r="51" spans="1:20" x14ac:dyDescent="0.3">
      <c r="A51" s="4">
        <v>44079</v>
      </c>
      <c r="B51" s="5">
        <f t="shared" si="7"/>
        <v>9</v>
      </c>
      <c r="C51" s="5">
        <f t="shared" si="8"/>
        <v>2020</v>
      </c>
      <c r="D51" s="5" t="s">
        <v>91</v>
      </c>
      <c r="E51" s="5" t="str">
        <f>VLOOKUP(F51,'Set up'!$A$2:$C$70,2,FALSE)</f>
        <v>C00000001</v>
      </c>
      <c r="F51" s="1" t="s">
        <v>7</v>
      </c>
      <c r="G51" s="11" t="s">
        <v>67</v>
      </c>
      <c r="H51" s="5">
        <v>1</v>
      </c>
      <c r="I51" s="5" t="str">
        <f>VLOOKUP(F51,'Set up'!$A$2:$C$70,3,FALSE)</f>
        <v>Cash</v>
      </c>
      <c r="J51" s="5">
        <f>VLOOKUP(F51,'Set up'!$A$2:$D$70,4,FALSE)</f>
        <v>0</v>
      </c>
      <c r="K51" s="4">
        <f t="shared" si="9"/>
        <v>44079</v>
      </c>
      <c r="L51" s="5">
        <f t="shared" si="10"/>
        <v>9</v>
      </c>
      <c r="M51" s="5">
        <f t="shared" si="11"/>
        <v>2020</v>
      </c>
      <c r="N51" s="6">
        <v>1496</v>
      </c>
      <c r="O51" s="6">
        <f t="shared" si="14"/>
        <v>-1496</v>
      </c>
      <c r="P51" s="6">
        <f t="shared" si="13"/>
        <v>0</v>
      </c>
      <c r="Q51" s="7">
        <f t="shared" si="12"/>
        <v>55010.7</v>
      </c>
      <c r="R51" s="44" t="str">
        <f>VLOOKUP(F51,'Set up'!$A$2:$E$70,5,FALSE)</f>
        <v>Trsf</v>
      </c>
      <c r="S51" s="1" t="s">
        <v>92</v>
      </c>
    </row>
    <row r="52" spans="1:20" x14ac:dyDescent="0.3">
      <c r="A52" s="4">
        <v>44079</v>
      </c>
      <c r="B52" s="5">
        <f t="shared" si="7"/>
        <v>9</v>
      </c>
      <c r="C52" s="5">
        <f t="shared" si="8"/>
        <v>2020</v>
      </c>
      <c r="D52" s="5" t="s">
        <v>91</v>
      </c>
      <c r="E52" s="5" t="str">
        <f>VLOOKUP(F52,'Set up'!$A$2:$C$70,2,FALSE)</f>
        <v>C00000001</v>
      </c>
      <c r="F52" s="1" t="s">
        <v>7</v>
      </c>
      <c r="G52" s="2" t="s">
        <v>63</v>
      </c>
      <c r="H52" s="5">
        <v>4</v>
      </c>
      <c r="I52" s="5" t="str">
        <f>VLOOKUP(F52,'Set up'!$A$2:$C$70,3,FALSE)</f>
        <v>Cash</v>
      </c>
      <c r="J52" s="5">
        <f>VLOOKUP(F52,'Set up'!$A$2:$D$70,4,FALSE)</f>
        <v>0</v>
      </c>
      <c r="K52" s="4">
        <f t="shared" si="9"/>
        <v>44079</v>
      </c>
      <c r="L52" s="5">
        <f t="shared" si="10"/>
        <v>9</v>
      </c>
      <c r="M52" s="5">
        <f t="shared" si="11"/>
        <v>2020</v>
      </c>
      <c r="N52" s="6">
        <v>962</v>
      </c>
      <c r="O52" s="6">
        <f t="shared" si="14"/>
        <v>-962</v>
      </c>
      <c r="P52" s="6">
        <f t="shared" si="13"/>
        <v>0</v>
      </c>
      <c r="Q52" s="7">
        <f t="shared" si="12"/>
        <v>55972.7</v>
      </c>
      <c r="R52" s="44" t="str">
        <f>VLOOKUP(F52,'Set up'!$A$2:$E$70,5,FALSE)</f>
        <v>Trsf</v>
      </c>
      <c r="S52" s="1" t="s">
        <v>92</v>
      </c>
    </row>
    <row r="53" spans="1:20" x14ac:dyDescent="0.3">
      <c r="A53" s="4">
        <v>44091</v>
      </c>
      <c r="B53" s="5">
        <f t="shared" si="7"/>
        <v>9</v>
      </c>
      <c r="C53" s="5">
        <f t="shared" si="8"/>
        <v>2020</v>
      </c>
      <c r="D53" s="5" t="s">
        <v>99</v>
      </c>
      <c r="E53" s="5" t="str">
        <f>VLOOKUP(F53,'Set up'!$A$2:$C$70,2,FALSE)</f>
        <v>C00000004</v>
      </c>
      <c r="F53" s="1" t="s">
        <v>23</v>
      </c>
      <c r="G53" s="2" t="s">
        <v>95</v>
      </c>
      <c r="H53" s="5">
        <v>5</v>
      </c>
      <c r="I53" s="5">
        <f>VLOOKUP(F53,'Set up'!$A$2:$C$70,3,FALSE)</f>
        <v>120</v>
      </c>
      <c r="J53" s="5">
        <f>VLOOKUP(F53,'Set up'!$A$2:$D$70,4,FALSE)</f>
        <v>120</v>
      </c>
      <c r="K53" s="4">
        <f t="shared" si="9"/>
        <v>44211</v>
      </c>
      <c r="L53" s="5">
        <f t="shared" si="10"/>
        <v>1</v>
      </c>
      <c r="M53" s="5">
        <f t="shared" si="11"/>
        <v>2021</v>
      </c>
      <c r="N53" s="6">
        <v>6270</v>
      </c>
      <c r="O53" s="6">
        <f t="shared" si="14"/>
        <v>-6270</v>
      </c>
      <c r="P53" s="6">
        <f t="shared" si="13"/>
        <v>0</v>
      </c>
      <c r="Q53" s="7">
        <f t="shared" si="12"/>
        <v>62242.7</v>
      </c>
      <c r="R53" s="44" t="str">
        <f>VLOOKUP(F53,'Set up'!$A$2:$E$70,5,FALSE)</f>
        <v>Chq</v>
      </c>
      <c r="S53" s="13" t="s">
        <v>247</v>
      </c>
    </row>
    <row r="54" spans="1:20" x14ac:dyDescent="0.3">
      <c r="A54" s="4">
        <v>44091</v>
      </c>
      <c r="B54" s="5">
        <f t="shared" si="7"/>
        <v>9</v>
      </c>
      <c r="C54" s="5">
        <f t="shared" si="8"/>
        <v>2020</v>
      </c>
      <c r="D54" s="5" t="s">
        <v>99</v>
      </c>
      <c r="E54" s="5" t="str">
        <f>VLOOKUP(F54,'Set up'!$A$2:$C$70,2,FALSE)</f>
        <v>C00000004</v>
      </c>
      <c r="F54" s="1" t="s">
        <v>23</v>
      </c>
      <c r="G54" s="2" t="s">
        <v>57</v>
      </c>
      <c r="H54" s="5">
        <v>1</v>
      </c>
      <c r="I54" s="5">
        <f>VLOOKUP(F54,'Set up'!$A$2:$C$70,3,FALSE)</f>
        <v>120</v>
      </c>
      <c r="J54" s="5">
        <f>VLOOKUP(F54,'Set up'!$A$2:$D$70,4,FALSE)</f>
        <v>120</v>
      </c>
      <c r="K54" s="4">
        <f t="shared" si="9"/>
        <v>44211</v>
      </c>
      <c r="L54" s="5">
        <f t="shared" si="10"/>
        <v>1</v>
      </c>
      <c r="M54" s="5">
        <f t="shared" si="11"/>
        <v>2021</v>
      </c>
      <c r="N54" s="6">
        <v>1254</v>
      </c>
      <c r="O54" s="6">
        <f t="shared" si="14"/>
        <v>-1254</v>
      </c>
      <c r="P54" s="6">
        <f t="shared" si="13"/>
        <v>0</v>
      </c>
      <c r="Q54" s="7">
        <f t="shared" si="12"/>
        <v>63496.7</v>
      </c>
      <c r="R54" s="44" t="str">
        <f>VLOOKUP(F54,'Set up'!$A$2:$E$70,5,FALSE)</f>
        <v>Chq</v>
      </c>
      <c r="S54" s="13" t="s">
        <v>247</v>
      </c>
    </row>
    <row r="55" spans="1:20" x14ac:dyDescent="0.3">
      <c r="A55" s="4">
        <v>44091</v>
      </c>
      <c r="B55" s="5">
        <f t="shared" si="7"/>
        <v>9</v>
      </c>
      <c r="C55" s="5">
        <f t="shared" si="8"/>
        <v>2020</v>
      </c>
      <c r="D55" s="5" t="s">
        <v>99</v>
      </c>
      <c r="E55" s="5" t="str">
        <f>VLOOKUP(F55,'Set up'!$A$2:$C$70,2,FALSE)</f>
        <v>C00000004</v>
      </c>
      <c r="F55" s="1" t="s">
        <v>23</v>
      </c>
      <c r="G55" s="2" t="s">
        <v>96</v>
      </c>
      <c r="H55" s="5">
        <v>3</v>
      </c>
      <c r="I55" s="5">
        <f>VLOOKUP(F55,'Set up'!$A$2:$C$70,3,FALSE)</f>
        <v>120</v>
      </c>
      <c r="J55" s="5">
        <f>VLOOKUP(F55,'Set up'!$A$2:$D$70,4,FALSE)</f>
        <v>120</v>
      </c>
      <c r="K55" s="4">
        <f t="shared" si="9"/>
        <v>44211</v>
      </c>
      <c r="L55" s="5">
        <f t="shared" si="10"/>
        <v>1</v>
      </c>
      <c r="M55" s="5">
        <f t="shared" si="11"/>
        <v>2021</v>
      </c>
      <c r="N55" s="6">
        <v>874.80000000000007</v>
      </c>
      <c r="O55" s="6">
        <f t="shared" si="14"/>
        <v>-874.80000000000007</v>
      </c>
      <c r="P55" s="6">
        <f t="shared" si="13"/>
        <v>0</v>
      </c>
      <c r="Q55" s="7">
        <f t="shared" si="12"/>
        <v>64371.5</v>
      </c>
      <c r="R55" s="44" t="str">
        <f>VLOOKUP(F55,'Set up'!$A$2:$E$70,5,FALSE)</f>
        <v>Chq</v>
      </c>
      <c r="S55" s="13" t="s">
        <v>247</v>
      </c>
    </row>
    <row r="56" spans="1:20" x14ac:dyDescent="0.3">
      <c r="A56" s="4">
        <v>44091</v>
      </c>
      <c r="B56" s="5">
        <f t="shared" si="7"/>
        <v>9</v>
      </c>
      <c r="C56" s="5">
        <f t="shared" si="8"/>
        <v>2020</v>
      </c>
      <c r="D56" s="5" t="s">
        <v>99</v>
      </c>
      <c r="E56" s="5" t="str">
        <f>VLOOKUP(F56,'Set up'!$A$2:$C$70,2,FALSE)</f>
        <v>C00000004</v>
      </c>
      <c r="F56" s="1" t="s">
        <v>23</v>
      </c>
      <c r="G56" s="2" t="s">
        <v>97</v>
      </c>
      <c r="H56" s="5">
        <v>3</v>
      </c>
      <c r="I56" s="5">
        <f>VLOOKUP(F56,'Set up'!$A$2:$C$70,3,FALSE)</f>
        <v>120</v>
      </c>
      <c r="J56" s="5">
        <f>VLOOKUP(F56,'Set up'!$A$2:$D$70,4,FALSE)</f>
        <v>120</v>
      </c>
      <c r="K56" s="4">
        <f t="shared" si="9"/>
        <v>44211</v>
      </c>
      <c r="L56" s="5">
        <f t="shared" si="10"/>
        <v>1</v>
      </c>
      <c r="M56" s="5">
        <f t="shared" si="11"/>
        <v>2021</v>
      </c>
      <c r="N56" s="6">
        <v>874.80000000000007</v>
      </c>
      <c r="O56" s="6">
        <f t="shared" si="14"/>
        <v>-874.80000000000007</v>
      </c>
      <c r="P56" s="6">
        <f t="shared" si="13"/>
        <v>0</v>
      </c>
      <c r="Q56" s="7">
        <f t="shared" si="12"/>
        <v>65246.3</v>
      </c>
      <c r="R56" s="44" t="str">
        <f>VLOOKUP(F56,'Set up'!$A$2:$E$70,5,FALSE)</f>
        <v>Chq</v>
      </c>
      <c r="S56" s="13" t="s">
        <v>247</v>
      </c>
    </row>
    <row r="57" spans="1:20" x14ac:dyDescent="0.3">
      <c r="A57" s="4">
        <v>44091</v>
      </c>
      <c r="B57" s="5">
        <f t="shared" si="7"/>
        <v>9</v>
      </c>
      <c r="C57" s="5">
        <f t="shared" si="8"/>
        <v>2020</v>
      </c>
      <c r="D57" s="5" t="s">
        <v>99</v>
      </c>
      <c r="E57" s="5" t="str">
        <f>VLOOKUP(F57,'Set up'!$A$2:$C$70,2,FALSE)</f>
        <v>C00000004</v>
      </c>
      <c r="F57" s="1" t="s">
        <v>23</v>
      </c>
      <c r="G57" s="11" t="s">
        <v>44</v>
      </c>
      <c r="H57" s="5">
        <v>6</v>
      </c>
      <c r="I57" s="5">
        <f>VLOOKUP(F57,'Set up'!$A$2:$C$70,3,FALSE)</f>
        <v>120</v>
      </c>
      <c r="J57" s="5">
        <f>VLOOKUP(F57,'Set up'!$A$2:$D$70,4,FALSE)</f>
        <v>120</v>
      </c>
      <c r="K57" s="4">
        <f t="shared" si="9"/>
        <v>44211</v>
      </c>
      <c r="L57" s="5">
        <f t="shared" si="10"/>
        <v>1</v>
      </c>
      <c r="M57" s="5">
        <f t="shared" si="11"/>
        <v>2021</v>
      </c>
      <c r="N57" s="6">
        <v>1224</v>
      </c>
      <c r="O57" s="6">
        <f t="shared" si="14"/>
        <v>-1224</v>
      </c>
      <c r="P57" s="6">
        <f t="shared" si="13"/>
        <v>0</v>
      </c>
      <c r="Q57" s="7">
        <f t="shared" si="12"/>
        <v>66470.3</v>
      </c>
      <c r="R57" s="44" t="str">
        <f>VLOOKUP(F57,'Set up'!$A$2:$E$70,5,FALSE)</f>
        <v>Chq</v>
      </c>
      <c r="S57" s="13" t="s">
        <v>247</v>
      </c>
    </row>
    <row r="58" spans="1:20" x14ac:dyDescent="0.3">
      <c r="A58" s="4">
        <v>44091</v>
      </c>
      <c r="B58" s="5">
        <f t="shared" si="7"/>
        <v>9</v>
      </c>
      <c r="C58" s="5">
        <f t="shared" si="8"/>
        <v>2020</v>
      </c>
      <c r="D58" s="5" t="s">
        <v>99</v>
      </c>
      <c r="E58" s="5" t="str">
        <f>VLOOKUP(F58,'Set up'!$A$2:$C$70,2,FALSE)</f>
        <v>C00000004</v>
      </c>
      <c r="F58" s="1" t="s">
        <v>23</v>
      </c>
      <c r="G58" s="11" t="s">
        <v>46</v>
      </c>
      <c r="H58" s="5">
        <v>4</v>
      </c>
      <c r="I58" s="5">
        <f>VLOOKUP(F58,'Set up'!$A$2:$C$70,3,FALSE)</f>
        <v>120</v>
      </c>
      <c r="J58" s="5">
        <f>VLOOKUP(F58,'Set up'!$A$2:$D$70,4,FALSE)</f>
        <v>120</v>
      </c>
      <c r="K58" s="4">
        <f t="shared" si="9"/>
        <v>44211</v>
      </c>
      <c r="L58" s="5">
        <f t="shared" si="10"/>
        <v>1</v>
      </c>
      <c r="M58" s="5">
        <f t="shared" si="11"/>
        <v>2021</v>
      </c>
      <c r="N58" s="6">
        <v>360</v>
      </c>
      <c r="O58" s="6">
        <f t="shared" si="14"/>
        <v>-360</v>
      </c>
      <c r="P58" s="6">
        <f t="shared" si="13"/>
        <v>0</v>
      </c>
      <c r="Q58" s="7">
        <f t="shared" si="12"/>
        <v>66830.3</v>
      </c>
      <c r="R58" s="44" t="str">
        <f>VLOOKUP(F58,'Set up'!$A$2:$E$70,5,FALSE)</f>
        <v>Chq</v>
      </c>
      <c r="S58" s="13" t="s">
        <v>247</v>
      </c>
    </row>
    <row r="59" spans="1:20" x14ac:dyDescent="0.3">
      <c r="A59" s="4">
        <v>44091</v>
      </c>
      <c r="B59" s="5">
        <f t="shared" si="7"/>
        <v>9</v>
      </c>
      <c r="C59" s="5">
        <f t="shared" si="8"/>
        <v>2020</v>
      </c>
      <c r="D59" s="5" t="s">
        <v>99</v>
      </c>
      <c r="E59" s="5" t="str">
        <f>VLOOKUP(F59,'Set up'!$A$2:$C$70,2,FALSE)</f>
        <v>C00000004</v>
      </c>
      <c r="F59" s="1" t="s">
        <v>23</v>
      </c>
      <c r="G59" s="11" t="s">
        <v>98</v>
      </c>
      <c r="H59" s="5">
        <v>1</v>
      </c>
      <c r="I59" s="5">
        <f>VLOOKUP(F59,'Set up'!$A$2:$C$70,3,FALSE)</f>
        <v>120</v>
      </c>
      <c r="J59" s="5">
        <f>VLOOKUP(F59,'Set up'!$A$2:$D$70,4,FALSE)</f>
        <v>120</v>
      </c>
      <c r="K59" s="4">
        <f t="shared" si="9"/>
        <v>44211</v>
      </c>
      <c r="L59" s="5">
        <f t="shared" si="10"/>
        <v>1</v>
      </c>
      <c r="M59" s="5">
        <f t="shared" si="11"/>
        <v>2021</v>
      </c>
      <c r="N59" s="6">
        <v>390</v>
      </c>
      <c r="O59" s="6">
        <f t="shared" si="14"/>
        <v>-390</v>
      </c>
      <c r="P59" s="6">
        <f t="shared" si="13"/>
        <v>0</v>
      </c>
      <c r="Q59" s="7">
        <f t="shared" si="12"/>
        <v>67220.3</v>
      </c>
      <c r="R59" s="44" t="str">
        <f>VLOOKUP(F59,'Set up'!$A$2:$E$70,5,FALSE)</f>
        <v>Chq</v>
      </c>
      <c r="S59" s="13" t="s">
        <v>247</v>
      </c>
    </row>
    <row r="60" spans="1:20" x14ac:dyDescent="0.3">
      <c r="A60" s="4">
        <v>44091</v>
      </c>
      <c r="B60" s="5">
        <f t="shared" si="7"/>
        <v>9</v>
      </c>
      <c r="C60" s="5">
        <f t="shared" si="8"/>
        <v>2020</v>
      </c>
      <c r="D60" s="5" t="s">
        <v>100</v>
      </c>
      <c r="E60" s="5" t="str">
        <f>VLOOKUP(F60,'Set up'!$A$2:$C$70,2,FALSE)</f>
        <v>C00000001</v>
      </c>
      <c r="F60" s="1" t="s">
        <v>7</v>
      </c>
      <c r="G60" s="11" t="s">
        <v>67</v>
      </c>
      <c r="H60" s="5">
        <v>1</v>
      </c>
      <c r="I60" s="5" t="str">
        <f>VLOOKUP(F60,'Set up'!$A$2:$C$70,3,FALSE)</f>
        <v>Cash</v>
      </c>
      <c r="J60" s="5">
        <f>VLOOKUP(F60,'Set up'!$A$2:$D$70,4,FALSE)</f>
        <v>0</v>
      </c>
      <c r="K60" s="4">
        <f t="shared" si="9"/>
        <v>44091</v>
      </c>
      <c r="L60" s="5">
        <f t="shared" si="10"/>
        <v>9</v>
      </c>
      <c r="M60" s="5">
        <f t="shared" si="11"/>
        <v>2020</v>
      </c>
      <c r="N60" s="6">
        <v>1496</v>
      </c>
      <c r="O60" s="6">
        <f t="shared" si="14"/>
        <v>-1496</v>
      </c>
      <c r="P60" s="6">
        <f t="shared" si="13"/>
        <v>0</v>
      </c>
      <c r="Q60" s="7">
        <f t="shared" si="12"/>
        <v>68716.3</v>
      </c>
      <c r="R60" s="44" t="str">
        <f>VLOOKUP(F60,'Set up'!$A$2:$E$70,5,FALSE)</f>
        <v>Trsf</v>
      </c>
      <c r="S60" s="1" t="s">
        <v>104</v>
      </c>
    </row>
    <row r="61" spans="1:20" x14ac:dyDescent="0.3">
      <c r="A61" s="4">
        <v>44091</v>
      </c>
      <c r="B61" s="5">
        <f t="shared" si="7"/>
        <v>9</v>
      </c>
      <c r="C61" s="5">
        <f t="shared" si="8"/>
        <v>2020</v>
      </c>
      <c r="D61" s="5" t="s">
        <v>100</v>
      </c>
      <c r="E61" s="5" t="str">
        <f>VLOOKUP(F61,'Set up'!$A$2:$C$70,2,FALSE)</f>
        <v>C00000001</v>
      </c>
      <c r="F61" s="1" t="s">
        <v>7</v>
      </c>
      <c r="G61" s="2" t="s">
        <v>63</v>
      </c>
      <c r="H61" s="5">
        <v>2</v>
      </c>
      <c r="I61" s="5" t="str">
        <f>VLOOKUP(F61,'Set up'!$A$2:$C$70,3,FALSE)</f>
        <v>Cash</v>
      </c>
      <c r="J61" s="5">
        <f>VLOOKUP(F61,'Set up'!$A$2:$D$70,4,FALSE)</f>
        <v>0</v>
      </c>
      <c r="K61" s="4">
        <f t="shared" si="9"/>
        <v>44091</v>
      </c>
      <c r="L61" s="5">
        <f t="shared" si="10"/>
        <v>9</v>
      </c>
      <c r="M61" s="5">
        <f t="shared" si="11"/>
        <v>2020</v>
      </c>
      <c r="N61" s="6">
        <v>481</v>
      </c>
      <c r="O61" s="6">
        <f t="shared" si="14"/>
        <v>-481</v>
      </c>
      <c r="P61" s="6">
        <f t="shared" si="13"/>
        <v>0</v>
      </c>
      <c r="Q61" s="7">
        <f t="shared" si="12"/>
        <v>69197.3</v>
      </c>
      <c r="R61" s="44" t="str">
        <f>VLOOKUP(F61,'Set up'!$A$2:$E$70,5,FALSE)</f>
        <v>Trsf</v>
      </c>
      <c r="S61" s="1" t="s">
        <v>104</v>
      </c>
    </row>
    <row r="62" spans="1:20" x14ac:dyDescent="0.3">
      <c r="A62" s="4">
        <v>44096</v>
      </c>
      <c r="B62" s="5">
        <f t="shared" si="7"/>
        <v>9</v>
      </c>
      <c r="C62" s="5">
        <f t="shared" si="8"/>
        <v>2020</v>
      </c>
      <c r="D62" s="5" t="s">
        <v>101</v>
      </c>
      <c r="E62" s="5" t="str">
        <f>VLOOKUP(F62,'Set up'!$A$2:$C$70,2,FALSE)</f>
        <v>C00000004</v>
      </c>
      <c r="F62" s="1" t="s">
        <v>23</v>
      </c>
      <c r="G62" s="2" t="s">
        <v>95</v>
      </c>
      <c r="H62" s="5">
        <v>5</v>
      </c>
      <c r="I62" s="5">
        <f>VLOOKUP(F62,'Set up'!$A$2:$C$70,3,FALSE)</f>
        <v>120</v>
      </c>
      <c r="J62" s="5">
        <f>VLOOKUP(F62,'Set up'!$A$2:$D$70,4,FALSE)</f>
        <v>120</v>
      </c>
      <c r="K62" s="4">
        <f t="shared" si="9"/>
        <v>44216</v>
      </c>
      <c r="L62" s="5">
        <f t="shared" si="10"/>
        <v>1</v>
      </c>
      <c r="M62" s="5">
        <f t="shared" si="11"/>
        <v>2021</v>
      </c>
      <c r="N62" s="6">
        <v>6270</v>
      </c>
      <c r="O62" s="6">
        <f t="shared" si="14"/>
        <v>-6270</v>
      </c>
      <c r="P62" s="6">
        <f t="shared" si="13"/>
        <v>0</v>
      </c>
      <c r="Q62" s="7">
        <f t="shared" si="12"/>
        <v>75467.3</v>
      </c>
      <c r="R62" s="44" t="str">
        <f>VLOOKUP(F62,'Set up'!$A$2:$E$70,5,FALSE)</f>
        <v>Chq</v>
      </c>
      <c r="S62" s="13" t="s">
        <v>247</v>
      </c>
    </row>
    <row r="63" spans="1:20" x14ac:dyDescent="0.3">
      <c r="A63" s="4">
        <v>44096</v>
      </c>
      <c r="B63" s="5">
        <f t="shared" si="7"/>
        <v>9</v>
      </c>
      <c r="C63" s="5">
        <f t="shared" si="8"/>
        <v>2020</v>
      </c>
      <c r="D63" s="5" t="s">
        <v>101</v>
      </c>
      <c r="E63" s="5" t="str">
        <f>VLOOKUP(F63,'Set up'!$A$2:$C$70,2,FALSE)</f>
        <v>C00000004</v>
      </c>
      <c r="F63" s="1" t="s">
        <v>23</v>
      </c>
      <c r="G63" s="2" t="s">
        <v>57</v>
      </c>
      <c r="H63" s="5">
        <v>1</v>
      </c>
      <c r="I63" s="5">
        <f>VLOOKUP(F63,'Set up'!$A$2:$C$70,3,FALSE)</f>
        <v>120</v>
      </c>
      <c r="J63" s="5">
        <f>VLOOKUP(F63,'Set up'!$A$2:$D$70,4,FALSE)</f>
        <v>120</v>
      </c>
      <c r="K63" s="4">
        <f t="shared" si="9"/>
        <v>44216</v>
      </c>
      <c r="L63" s="5">
        <f t="shared" si="10"/>
        <v>1</v>
      </c>
      <c r="M63" s="5">
        <f t="shared" si="11"/>
        <v>2021</v>
      </c>
      <c r="N63" s="6">
        <v>1254</v>
      </c>
      <c r="O63" s="6">
        <f t="shared" si="14"/>
        <v>-1254</v>
      </c>
      <c r="P63" s="6">
        <f t="shared" si="13"/>
        <v>0</v>
      </c>
      <c r="Q63" s="7">
        <f t="shared" si="12"/>
        <v>76721.3</v>
      </c>
      <c r="R63" s="44" t="str">
        <f>VLOOKUP(F63,'Set up'!$A$2:$E$70,5,FALSE)</f>
        <v>Chq</v>
      </c>
      <c r="S63" s="13" t="s">
        <v>247</v>
      </c>
    </row>
    <row r="64" spans="1:20" x14ac:dyDescent="0.3">
      <c r="A64" s="4">
        <v>44096</v>
      </c>
      <c r="B64" s="5">
        <f t="shared" si="7"/>
        <v>9</v>
      </c>
      <c r="C64" s="5">
        <f t="shared" si="8"/>
        <v>2020</v>
      </c>
      <c r="D64" s="5" t="s">
        <v>101</v>
      </c>
      <c r="E64" s="5" t="str">
        <f>VLOOKUP(F64,'Set up'!$A$2:$C$70,2,FALSE)</f>
        <v>C00000004</v>
      </c>
      <c r="F64" s="1" t="s">
        <v>23</v>
      </c>
      <c r="G64" s="2" t="s">
        <v>96</v>
      </c>
      <c r="H64" s="5">
        <v>5</v>
      </c>
      <c r="I64" s="5">
        <f>VLOOKUP(F64,'Set up'!$A$2:$C$70,3,FALSE)</f>
        <v>120</v>
      </c>
      <c r="J64" s="5">
        <f>VLOOKUP(F64,'Set up'!$A$2:$D$70,4,FALSE)</f>
        <v>120</v>
      </c>
      <c r="K64" s="4">
        <f t="shared" si="9"/>
        <v>44216</v>
      </c>
      <c r="L64" s="5">
        <f t="shared" si="10"/>
        <v>1</v>
      </c>
      <c r="M64" s="5">
        <f t="shared" si="11"/>
        <v>2021</v>
      </c>
      <c r="N64" s="6">
        <v>1458</v>
      </c>
      <c r="O64" s="6">
        <f t="shared" si="14"/>
        <v>-1458</v>
      </c>
      <c r="P64" s="6">
        <f t="shared" si="13"/>
        <v>0</v>
      </c>
      <c r="Q64" s="7">
        <f t="shared" si="12"/>
        <v>78179.3</v>
      </c>
      <c r="R64" s="44" t="str">
        <f>VLOOKUP(F64,'Set up'!$A$2:$E$70,5,FALSE)</f>
        <v>Chq</v>
      </c>
      <c r="S64" s="13" t="s">
        <v>247</v>
      </c>
    </row>
    <row r="65" spans="1:19" x14ac:dyDescent="0.3">
      <c r="A65" s="4">
        <v>44096</v>
      </c>
      <c r="B65" s="5">
        <f t="shared" si="7"/>
        <v>9</v>
      </c>
      <c r="C65" s="5">
        <f t="shared" si="8"/>
        <v>2020</v>
      </c>
      <c r="D65" s="5" t="s">
        <v>101</v>
      </c>
      <c r="E65" s="5" t="str">
        <f>VLOOKUP(F65,'Set up'!$A$2:$C$70,2,FALSE)</f>
        <v>C00000004</v>
      </c>
      <c r="F65" s="1" t="s">
        <v>23</v>
      </c>
      <c r="G65" s="11" t="s">
        <v>97</v>
      </c>
      <c r="H65" s="5">
        <v>2</v>
      </c>
      <c r="I65" s="5">
        <f>VLOOKUP(F65,'Set up'!$A$2:$C$70,3,FALSE)</f>
        <v>120</v>
      </c>
      <c r="J65" s="5">
        <f>VLOOKUP(F65,'Set up'!$A$2:$D$70,4,FALSE)</f>
        <v>120</v>
      </c>
      <c r="K65" s="4">
        <f t="shared" si="9"/>
        <v>44216</v>
      </c>
      <c r="L65" s="5">
        <f t="shared" si="10"/>
        <v>1</v>
      </c>
      <c r="M65" s="5">
        <f t="shared" si="11"/>
        <v>2021</v>
      </c>
      <c r="N65" s="6">
        <v>583.20000000000005</v>
      </c>
      <c r="O65" s="6">
        <f t="shared" si="14"/>
        <v>-583.20000000000005</v>
      </c>
      <c r="P65" s="6">
        <f t="shared" si="13"/>
        <v>0</v>
      </c>
      <c r="Q65" s="7">
        <f t="shared" si="12"/>
        <v>78762.5</v>
      </c>
      <c r="R65" s="44" t="str">
        <f>VLOOKUP(F65,'Set up'!$A$2:$E$70,5,FALSE)</f>
        <v>Chq</v>
      </c>
      <c r="S65" s="13" t="s">
        <v>247</v>
      </c>
    </row>
    <row r="66" spans="1:19" x14ac:dyDescent="0.3">
      <c r="A66" s="4">
        <v>44096</v>
      </c>
      <c r="B66" s="5">
        <f t="shared" si="7"/>
        <v>9</v>
      </c>
      <c r="C66" s="5">
        <f t="shared" si="8"/>
        <v>2020</v>
      </c>
      <c r="D66" s="5" t="s">
        <v>101</v>
      </c>
      <c r="E66" s="5" t="str">
        <f>VLOOKUP(F66,'Set up'!$A$2:$C$70,2,FALSE)</f>
        <v>C00000004</v>
      </c>
      <c r="F66" s="1" t="s">
        <v>23</v>
      </c>
      <c r="G66" s="11" t="s">
        <v>44</v>
      </c>
      <c r="H66" s="5">
        <v>10</v>
      </c>
      <c r="I66" s="5">
        <f>VLOOKUP(F66,'Set up'!$A$2:$C$70,3,FALSE)</f>
        <v>120</v>
      </c>
      <c r="J66" s="5">
        <f>VLOOKUP(F66,'Set up'!$A$2:$D$70,4,FALSE)</f>
        <v>120</v>
      </c>
      <c r="K66" s="4">
        <f t="shared" si="9"/>
        <v>44216</v>
      </c>
      <c r="L66" s="5">
        <f t="shared" si="10"/>
        <v>1</v>
      </c>
      <c r="M66" s="5">
        <f t="shared" si="11"/>
        <v>2021</v>
      </c>
      <c r="N66" s="6">
        <v>2040</v>
      </c>
      <c r="O66" s="6">
        <f t="shared" si="14"/>
        <v>-2040</v>
      </c>
      <c r="P66" s="6">
        <f t="shared" ref="P66:P97" si="15">SUM(N66+O66)</f>
        <v>0</v>
      </c>
      <c r="Q66" s="7">
        <f t="shared" si="12"/>
        <v>80802.5</v>
      </c>
      <c r="R66" s="44" t="str">
        <f>VLOOKUP(F66,'Set up'!$A$2:$E$70,5,FALSE)</f>
        <v>Chq</v>
      </c>
      <c r="S66" s="13" t="s">
        <v>247</v>
      </c>
    </row>
    <row r="67" spans="1:19" x14ac:dyDescent="0.3">
      <c r="A67" s="4">
        <v>44097</v>
      </c>
      <c r="B67" s="5">
        <f t="shared" ref="B67:B130" si="16">MONTH(A67)</f>
        <v>9</v>
      </c>
      <c r="C67" s="5">
        <f t="shared" ref="C67:C130" si="17">YEAR(A67)</f>
        <v>2020</v>
      </c>
      <c r="D67" s="5" t="s">
        <v>102</v>
      </c>
      <c r="E67" s="5" t="str">
        <f>VLOOKUP(F67,'Set up'!$A$2:$C$70,2,FALSE)</f>
        <v>C00000010</v>
      </c>
      <c r="F67" s="1" t="s">
        <v>62</v>
      </c>
      <c r="G67" s="2" t="s">
        <v>95</v>
      </c>
      <c r="H67" s="5">
        <v>5</v>
      </c>
      <c r="I67" s="5">
        <f>VLOOKUP(F67,'Set up'!$A$2:$C$70,3,FALSE)</f>
        <v>120</v>
      </c>
      <c r="J67" s="5">
        <f>VLOOKUP(F67,'Set up'!$A$2:$D$70,4,FALSE)</f>
        <v>120</v>
      </c>
      <c r="K67" s="4">
        <f t="shared" ref="K67:K130" si="18">A67+J67</f>
        <v>44217</v>
      </c>
      <c r="L67" s="5">
        <f t="shared" ref="L67:L130" si="19">MONTH(K67)</f>
        <v>1</v>
      </c>
      <c r="M67" s="5">
        <f t="shared" ref="M67:M130" si="20">YEAR(K67)</f>
        <v>2021</v>
      </c>
      <c r="N67" s="6">
        <v>6600</v>
      </c>
      <c r="O67" s="6">
        <f t="shared" si="14"/>
        <v>-6600</v>
      </c>
      <c r="P67" s="6">
        <f t="shared" si="15"/>
        <v>0</v>
      </c>
      <c r="Q67" s="7">
        <f t="shared" ref="Q67:Q130" si="21">SUM(Q66+N67)</f>
        <v>87402.5</v>
      </c>
      <c r="R67" s="44" t="str">
        <f>VLOOKUP(F67,'Set up'!$A$2:$E$70,5,FALSE)</f>
        <v>Trsf</v>
      </c>
      <c r="S67" s="13" t="s">
        <v>248</v>
      </c>
    </row>
    <row r="68" spans="1:19" x14ac:dyDescent="0.3">
      <c r="A68" s="4">
        <v>44097</v>
      </c>
      <c r="B68" s="5">
        <f t="shared" si="16"/>
        <v>9</v>
      </c>
      <c r="C68" s="5">
        <f t="shared" si="17"/>
        <v>2020</v>
      </c>
      <c r="D68" s="5" t="s">
        <v>102</v>
      </c>
      <c r="E68" s="5" t="str">
        <f>VLOOKUP(F68,'Set up'!$A$2:$C$70,2,FALSE)</f>
        <v>C00000010</v>
      </c>
      <c r="F68" s="1" t="s">
        <v>62</v>
      </c>
      <c r="G68" s="11" t="s">
        <v>63</v>
      </c>
      <c r="H68" s="5">
        <v>4</v>
      </c>
      <c r="I68" s="5">
        <f>VLOOKUP(F68,'Set up'!$A$2:$C$70,3,FALSE)</f>
        <v>120</v>
      </c>
      <c r="J68" s="5">
        <f>VLOOKUP(F68,'Set up'!$A$2:$D$70,4,FALSE)</f>
        <v>120</v>
      </c>
      <c r="K68" s="4">
        <f t="shared" si="18"/>
        <v>44217</v>
      </c>
      <c r="L68" s="5">
        <f t="shared" si="19"/>
        <v>1</v>
      </c>
      <c r="M68" s="5">
        <f t="shared" si="20"/>
        <v>2021</v>
      </c>
      <c r="N68" s="6">
        <v>888</v>
      </c>
      <c r="O68" s="6">
        <f t="shared" si="14"/>
        <v>-888</v>
      </c>
      <c r="P68" s="6">
        <f t="shared" si="15"/>
        <v>0</v>
      </c>
      <c r="Q68" s="7">
        <f t="shared" si="21"/>
        <v>88290.5</v>
      </c>
      <c r="R68" s="44" t="str">
        <f>VLOOKUP(F68,'Set up'!$A$2:$E$70,5,FALSE)</f>
        <v>Trsf</v>
      </c>
      <c r="S68" s="13" t="s">
        <v>248</v>
      </c>
    </row>
    <row r="69" spans="1:19" x14ac:dyDescent="0.3">
      <c r="A69" s="4">
        <v>44097</v>
      </c>
      <c r="B69" s="5">
        <f t="shared" si="16"/>
        <v>9</v>
      </c>
      <c r="C69" s="5">
        <f t="shared" si="17"/>
        <v>2020</v>
      </c>
      <c r="D69" s="5" t="s">
        <v>102</v>
      </c>
      <c r="E69" s="5" t="str">
        <f>VLOOKUP(F69,'Set up'!$A$2:$C$70,2,FALSE)</f>
        <v>C00000010</v>
      </c>
      <c r="F69" s="1" t="s">
        <v>62</v>
      </c>
      <c r="G69" s="11" t="s">
        <v>64</v>
      </c>
      <c r="H69" s="5">
        <v>5</v>
      </c>
      <c r="I69" s="5">
        <f>VLOOKUP(F69,'Set up'!$A$2:$C$70,3,FALSE)</f>
        <v>120</v>
      </c>
      <c r="J69" s="5">
        <f>VLOOKUP(F69,'Set up'!$A$2:$D$70,4,FALSE)</f>
        <v>120</v>
      </c>
      <c r="K69" s="4">
        <f t="shared" si="18"/>
        <v>44217</v>
      </c>
      <c r="L69" s="5">
        <f t="shared" si="19"/>
        <v>1</v>
      </c>
      <c r="M69" s="5">
        <f t="shared" si="20"/>
        <v>2021</v>
      </c>
      <c r="N69" s="6">
        <v>275</v>
      </c>
      <c r="O69" s="6">
        <f t="shared" si="14"/>
        <v>-275</v>
      </c>
      <c r="P69" s="6">
        <f t="shared" si="15"/>
        <v>0</v>
      </c>
      <c r="Q69" s="7">
        <f t="shared" si="21"/>
        <v>88565.5</v>
      </c>
      <c r="R69" s="44" t="str">
        <f>VLOOKUP(F69,'Set up'!$A$2:$E$70,5,FALSE)</f>
        <v>Trsf</v>
      </c>
      <c r="S69" s="13" t="s">
        <v>248</v>
      </c>
    </row>
    <row r="70" spans="1:19" x14ac:dyDescent="0.3">
      <c r="A70" s="4">
        <v>44097</v>
      </c>
      <c r="B70" s="5">
        <f t="shared" si="16"/>
        <v>9</v>
      </c>
      <c r="C70" s="5">
        <f t="shared" si="17"/>
        <v>2020</v>
      </c>
      <c r="D70" s="5" t="s">
        <v>102</v>
      </c>
      <c r="E70" s="5" t="str">
        <f>VLOOKUP(F70,'Set up'!$A$2:$C$70,2,FALSE)</f>
        <v>C00000010</v>
      </c>
      <c r="F70" s="1" t="s">
        <v>62</v>
      </c>
      <c r="G70" s="11" t="s">
        <v>46</v>
      </c>
      <c r="H70" s="5">
        <v>4</v>
      </c>
      <c r="I70" s="5">
        <f>VLOOKUP(F70,'Set up'!$A$2:$C$70,3,FALSE)</f>
        <v>120</v>
      </c>
      <c r="J70" s="5">
        <f>VLOOKUP(F70,'Set up'!$A$2:$D$70,4,FALSE)</f>
        <v>120</v>
      </c>
      <c r="K70" s="4">
        <f t="shared" si="18"/>
        <v>44217</v>
      </c>
      <c r="L70" s="5">
        <f t="shared" si="19"/>
        <v>1</v>
      </c>
      <c r="M70" s="5">
        <f t="shared" si="20"/>
        <v>2021</v>
      </c>
      <c r="N70" s="6">
        <v>360</v>
      </c>
      <c r="O70" s="6">
        <f t="shared" si="14"/>
        <v>-360</v>
      </c>
      <c r="P70" s="6">
        <f t="shared" si="15"/>
        <v>0</v>
      </c>
      <c r="Q70" s="7">
        <f t="shared" si="21"/>
        <v>88925.5</v>
      </c>
      <c r="R70" s="44" t="str">
        <f>VLOOKUP(F70,'Set up'!$A$2:$E$70,5,FALSE)</f>
        <v>Trsf</v>
      </c>
      <c r="S70" s="13" t="s">
        <v>248</v>
      </c>
    </row>
    <row r="71" spans="1:19" ht="15" customHeight="1" x14ac:dyDescent="0.3">
      <c r="A71" s="4">
        <v>44097</v>
      </c>
      <c r="B71" s="5">
        <f t="shared" si="16"/>
        <v>9</v>
      </c>
      <c r="C71" s="5">
        <f t="shared" si="17"/>
        <v>2020</v>
      </c>
      <c r="D71" s="5" t="s">
        <v>103</v>
      </c>
      <c r="E71" s="5" t="str">
        <f>VLOOKUP(F71,'Set up'!$A$2:$C$70,2,FALSE)</f>
        <v>C00000001</v>
      </c>
      <c r="F71" s="1" t="s">
        <v>7</v>
      </c>
      <c r="G71" s="11" t="s">
        <v>201</v>
      </c>
      <c r="H71" s="5">
        <v>6</v>
      </c>
      <c r="I71" s="5" t="str">
        <f>VLOOKUP(F71,'Set up'!$A$2:$C$70,3,FALSE)</f>
        <v>Cash</v>
      </c>
      <c r="J71" s="5">
        <f>VLOOKUP(F71,'Set up'!$A$2:$D$70,4,FALSE)</f>
        <v>0</v>
      </c>
      <c r="K71" s="4">
        <f t="shared" si="18"/>
        <v>44097</v>
      </c>
      <c r="L71" s="5">
        <f t="shared" si="19"/>
        <v>9</v>
      </c>
      <c r="M71" s="5">
        <f t="shared" si="20"/>
        <v>2020</v>
      </c>
      <c r="N71" s="6">
        <v>1392</v>
      </c>
      <c r="O71" s="6">
        <f t="shared" si="14"/>
        <v>-1392</v>
      </c>
      <c r="P71" s="6">
        <f t="shared" si="15"/>
        <v>0</v>
      </c>
      <c r="Q71" s="7">
        <f t="shared" si="21"/>
        <v>90317.5</v>
      </c>
      <c r="R71" s="44" t="str">
        <f>VLOOKUP(F71,'Set up'!$A$2:$E$70,5,FALSE)</f>
        <v>Trsf</v>
      </c>
      <c r="S71" s="1" t="s">
        <v>107</v>
      </c>
    </row>
    <row r="72" spans="1:19" x14ac:dyDescent="0.3">
      <c r="A72" s="4">
        <v>44100</v>
      </c>
      <c r="B72" s="5">
        <f t="shared" si="16"/>
        <v>9</v>
      </c>
      <c r="C72" s="5">
        <f t="shared" si="17"/>
        <v>2020</v>
      </c>
      <c r="D72" s="5" t="s">
        <v>105</v>
      </c>
      <c r="E72" s="5" t="str">
        <f>VLOOKUP(F72,'Set up'!$A$2:$C$70,2,FALSE)</f>
        <v>C00000001</v>
      </c>
      <c r="F72" s="1" t="s">
        <v>7</v>
      </c>
      <c r="G72" s="2" t="s">
        <v>95</v>
      </c>
      <c r="H72" s="5">
        <v>1</v>
      </c>
      <c r="I72" s="5" t="str">
        <f>VLOOKUP(F72,'Set up'!$A$2:$C$70,3,FALSE)</f>
        <v>Cash</v>
      </c>
      <c r="J72" s="5">
        <f>VLOOKUP(F72,'Set up'!$A$2:$D$70,4,FALSE)</f>
        <v>0</v>
      </c>
      <c r="K72" s="4">
        <f t="shared" si="18"/>
        <v>44100</v>
      </c>
      <c r="L72" s="5">
        <f t="shared" si="19"/>
        <v>9</v>
      </c>
      <c r="M72" s="5">
        <f t="shared" si="20"/>
        <v>2020</v>
      </c>
      <c r="N72" s="6">
        <v>1496</v>
      </c>
      <c r="O72" s="6">
        <f t="shared" si="14"/>
        <v>-1496</v>
      </c>
      <c r="P72" s="6">
        <f t="shared" si="15"/>
        <v>0</v>
      </c>
      <c r="Q72" s="7">
        <f t="shared" si="21"/>
        <v>91813.5</v>
      </c>
      <c r="R72" s="44" t="str">
        <f>VLOOKUP(F72,'Set up'!$A$2:$E$70,5,FALSE)</f>
        <v>Trsf</v>
      </c>
      <c r="S72" s="1" t="s">
        <v>107</v>
      </c>
    </row>
    <row r="73" spans="1:19" x14ac:dyDescent="0.3">
      <c r="A73" s="4">
        <v>44109</v>
      </c>
      <c r="B73" s="5">
        <f t="shared" si="16"/>
        <v>10</v>
      </c>
      <c r="C73" s="5">
        <f t="shared" si="17"/>
        <v>2020</v>
      </c>
      <c r="D73" s="5" t="s">
        <v>106</v>
      </c>
      <c r="E73" s="5" t="str">
        <f>VLOOKUP(F73,'Set up'!$A$2:$C$70,2,FALSE)</f>
        <v>C00000005</v>
      </c>
      <c r="F73" s="1" t="s">
        <v>35</v>
      </c>
      <c r="G73" s="11" t="s">
        <v>67</v>
      </c>
      <c r="H73" s="5">
        <v>1</v>
      </c>
      <c r="I73" s="5" t="str">
        <f>VLOOKUP(F73,'Set up'!$A$2:$C$70,3,FALSE)</f>
        <v>Cash</v>
      </c>
      <c r="J73" s="5">
        <f>VLOOKUP(F73,'Set up'!$A$2:$D$70,4,FALSE)</f>
        <v>0</v>
      </c>
      <c r="K73" s="4">
        <f t="shared" si="18"/>
        <v>44109</v>
      </c>
      <c r="L73" s="5">
        <f t="shared" si="19"/>
        <v>10</v>
      </c>
      <c r="M73" s="5">
        <f t="shared" si="20"/>
        <v>2020</v>
      </c>
      <c r="N73" s="6">
        <v>1496</v>
      </c>
      <c r="O73" s="6">
        <f t="shared" si="14"/>
        <v>-1496</v>
      </c>
      <c r="P73" s="6">
        <f t="shared" si="15"/>
        <v>0</v>
      </c>
      <c r="Q73" s="7">
        <f t="shared" si="21"/>
        <v>93309.5</v>
      </c>
      <c r="R73" s="44" t="str">
        <f>VLOOKUP(F73,'Set up'!$A$2:$E$70,5,FALSE)</f>
        <v>Chq</v>
      </c>
      <c r="S73" s="1" t="s">
        <v>128</v>
      </c>
    </row>
    <row r="74" spans="1:19" x14ac:dyDescent="0.3">
      <c r="A74" s="4">
        <v>44109</v>
      </c>
      <c r="B74" s="5">
        <f t="shared" si="16"/>
        <v>10</v>
      </c>
      <c r="C74" s="5">
        <f t="shared" si="17"/>
        <v>2020</v>
      </c>
      <c r="D74" s="5" t="s">
        <v>109</v>
      </c>
      <c r="E74" s="5" t="str">
        <f>VLOOKUP(F74,'Set up'!$A$2:$C$70,2,FALSE)</f>
        <v>C00000003</v>
      </c>
      <c r="F74" s="1" t="s">
        <v>20</v>
      </c>
      <c r="G74" s="2" t="s">
        <v>67</v>
      </c>
      <c r="H74" s="5">
        <v>3</v>
      </c>
      <c r="I74" s="5">
        <f>VLOOKUP(F74,'Set up'!$A$2:$C$70,3,FALSE)</f>
        <v>45</v>
      </c>
      <c r="J74" s="5">
        <f>VLOOKUP(F74,'Set up'!$A$2:$D$70,4,FALSE)</f>
        <v>45</v>
      </c>
      <c r="K74" s="4">
        <f t="shared" si="18"/>
        <v>44154</v>
      </c>
      <c r="L74" s="5">
        <f t="shared" si="19"/>
        <v>11</v>
      </c>
      <c r="M74" s="5">
        <f t="shared" si="20"/>
        <v>2020</v>
      </c>
      <c r="N74" s="6">
        <v>4554</v>
      </c>
      <c r="O74" s="6">
        <f t="shared" si="14"/>
        <v>-4554</v>
      </c>
      <c r="P74" s="6">
        <f t="shared" si="15"/>
        <v>0</v>
      </c>
      <c r="Q74" s="7">
        <f t="shared" si="21"/>
        <v>97863.5</v>
      </c>
      <c r="R74" s="44" t="str">
        <f>VLOOKUP(F74,'Set up'!$A$2:$E$70,5,FALSE)</f>
        <v>PD Chq</v>
      </c>
      <c r="S74" s="13" t="s">
        <v>113</v>
      </c>
    </row>
    <row r="75" spans="1:19" x14ac:dyDescent="0.3">
      <c r="A75" s="4">
        <v>44109</v>
      </c>
      <c r="B75" s="5">
        <f t="shared" si="16"/>
        <v>10</v>
      </c>
      <c r="C75" s="5">
        <f t="shared" si="17"/>
        <v>2020</v>
      </c>
      <c r="D75" s="5" t="s">
        <v>109</v>
      </c>
      <c r="E75" s="5" t="str">
        <f>VLOOKUP(F75,'Set up'!$A$2:$C$70,2,FALSE)</f>
        <v>C00000003</v>
      </c>
      <c r="F75" s="1" t="s">
        <v>20</v>
      </c>
      <c r="G75" s="11" t="s">
        <v>54</v>
      </c>
      <c r="H75" s="5">
        <v>8</v>
      </c>
      <c r="I75" s="5">
        <f>VLOOKUP(F75,'Set up'!$A$2:$C$70,3,FALSE)</f>
        <v>45</v>
      </c>
      <c r="J75" s="5">
        <f>VLOOKUP(F75,'Set up'!$A$2:$D$70,4,FALSE)</f>
        <v>45</v>
      </c>
      <c r="K75" s="4">
        <f t="shared" si="18"/>
        <v>44154</v>
      </c>
      <c r="L75" s="5">
        <f t="shared" si="19"/>
        <v>11</v>
      </c>
      <c r="M75" s="5">
        <f t="shared" si="20"/>
        <v>2020</v>
      </c>
      <c r="N75" s="6">
        <v>400</v>
      </c>
      <c r="O75" s="6">
        <f t="shared" si="14"/>
        <v>-400</v>
      </c>
      <c r="P75" s="6">
        <f t="shared" si="15"/>
        <v>0</v>
      </c>
      <c r="Q75" s="7">
        <f t="shared" si="21"/>
        <v>98263.5</v>
      </c>
      <c r="R75" s="44" t="str">
        <f>VLOOKUP(F75,'Set up'!$A$2:$E$70,5,FALSE)</f>
        <v>PD Chq</v>
      </c>
      <c r="S75" s="13" t="s">
        <v>114</v>
      </c>
    </row>
    <row r="76" spans="1:19" x14ac:dyDescent="0.3">
      <c r="A76" s="4">
        <v>44109</v>
      </c>
      <c r="B76" s="5">
        <f t="shared" si="16"/>
        <v>10</v>
      </c>
      <c r="C76" s="5">
        <f t="shared" si="17"/>
        <v>2020</v>
      </c>
      <c r="D76" s="5" t="s">
        <v>109</v>
      </c>
      <c r="E76" s="5" t="str">
        <f>VLOOKUP(F76,'Set up'!$A$2:$C$70,2,FALSE)</f>
        <v>C00000003</v>
      </c>
      <c r="F76" s="1" t="s">
        <v>20</v>
      </c>
      <c r="G76" s="2" t="s">
        <v>46</v>
      </c>
      <c r="H76" s="5">
        <v>6</v>
      </c>
      <c r="I76" s="5">
        <f>VLOOKUP(F76,'Set up'!$A$2:$C$70,3,FALSE)</f>
        <v>45</v>
      </c>
      <c r="J76" s="5">
        <f>VLOOKUP(F76,'Set up'!$A$2:$D$70,4,FALSE)</f>
        <v>45</v>
      </c>
      <c r="K76" s="4">
        <f t="shared" si="18"/>
        <v>44154</v>
      </c>
      <c r="L76" s="5">
        <f t="shared" si="19"/>
        <v>11</v>
      </c>
      <c r="M76" s="5">
        <f t="shared" si="20"/>
        <v>2020</v>
      </c>
      <c r="N76" s="6">
        <v>555</v>
      </c>
      <c r="O76" s="6">
        <f t="shared" si="14"/>
        <v>-555</v>
      </c>
      <c r="P76" s="6">
        <f t="shared" si="15"/>
        <v>0</v>
      </c>
      <c r="Q76" s="7">
        <f t="shared" si="21"/>
        <v>98818.5</v>
      </c>
      <c r="R76" s="44" t="str">
        <f>VLOOKUP(F76,'Set up'!$A$2:$E$70,5,FALSE)</f>
        <v>PD Chq</v>
      </c>
      <c r="S76" s="13" t="s">
        <v>115</v>
      </c>
    </row>
    <row r="77" spans="1:19" x14ac:dyDescent="0.3">
      <c r="A77" s="4">
        <v>44109</v>
      </c>
      <c r="B77" s="5">
        <f t="shared" si="16"/>
        <v>10</v>
      </c>
      <c r="C77" s="5">
        <f t="shared" si="17"/>
        <v>2020</v>
      </c>
      <c r="D77" s="5" t="s">
        <v>109</v>
      </c>
      <c r="E77" s="5" t="str">
        <f>VLOOKUP(F77,'Set up'!$A$2:$C$70,2,FALSE)</f>
        <v>C00000003</v>
      </c>
      <c r="F77" s="1" t="s">
        <v>20</v>
      </c>
      <c r="G77" s="11" t="s">
        <v>111</v>
      </c>
      <c r="H77" s="5">
        <v>1</v>
      </c>
      <c r="I77" s="5">
        <f>VLOOKUP(F77,'Set up'!$A$2:$C$70,3,FALSE)</f>
        <v>45</v>
      </c>
      <c r="J77" s="5">
        <f>VLOOKUP(F77,'Set up'!$A$2:$D$70,4,FALSE)</f>
        <v>45</v>
      </c>
      <c r="K77" s="4">
        <f t="shared" si="18"/>
        <v>44154</v>
      </c>
      <c r="L77" s="5">
        <f t="shared" si="19"/>
        <v>11</v>
      </c>
      <c r="M77" s="5">
        <f t="shared" si="20"/>
        <v>2020</v>
      </c>
      <c r="N77" s="6">
        <v>204</v>
      </c>
      <c r="O77" s="6">
        <f t="shared" si="14"/>
        <v>-204</v>
      </c>
      <c r="P77" s="6">
        <f t="shared" si="15"/>
        <v>0</v>
      </c>
      <c r="Q77" s="7">
        <f t="shared" si="21"/>
        <v>99022.5</v>
      </c>
      <c r="R77" s="44" t="str">
        <f>VLOOKUP(F77,'Set up'!$A$2:$E$70,5,FALSE)</f>
        <v>PD Chq</v>
      </c>
      <c r="S77" s="13" t="s">
        <v>115</v>
      </c>
    </row>
    <row r="78" spans="1:19" x14ac:dyDescent="0.3">
      <c r="A78" s="4">
        <v>44112</v>
      </c>
      <c r="B78" s="5">
        <f t="shared" si="16"/>
        <v>10</v>
      </c>
      <c r="C78" s="5">
        <f t="shared" si="17"/>
        <v>2020</v>
      </c>
      <c r="D78" s="5" t="s">
        <v>110</v>
      </c>
      <c r="E78" s="5" t="str">
        <f>VLOOKUP(F78,'Set up'!$A$2:$C$70,2,FALSE)</f>
        <v>C00000004</v>
      </c>
      <c r="F78" s="2" t="s">
        <v>23</v>
      </c>
      <c r="G78" s="2" t="s">
        <v>95</v>
      </c>
      <c r="H78" s="5">
        <v>5</v>
      </c>
      <c r="I78" s="5">
        <f>VLOOKUP(F78,'Set up'!$A$2:$C$70,3,FALSE)</f>
        <v>120</v>
      </c>
      <c r="J78" s="5">
        <f>VLOOKUP(F78,'Set up'!$A$2:$D$70,4,FALSE)</f>
        <v>120</v>
      </c>
      <c r="K78" s="4">
        <f t="shared" si="18"/>
        <v>44232</v>
      </c>
      <c r="L78" s="5">
        <f t="shared" si="19"/>
        <v>2</v>
      </c>
      <c r="M78" s="5">
        <f t="shared" si="20"/>
        <v>2021</v>
      </c>
      <c r="N78" s="6">
        <v>6270</v>
      </c>
      <c r="O78" s="6">
        <f t="shared" si="14"/>
        <v>-6270</v>
      </c>
      <c r="P78" s="6">
        <f t="shared" si="15"/>
        <v>0</v>
      </c>
      <c r="Q78" s="7">
        <f t="shared" si="21"/>
        <v>105292.5</v>
      </c>
      <c r="R78" s="44" t="str">
        <f>VLOOKUP(F78,'Set up'!$A$2:$E$70,5,FALSE)</f>
        <v>Chq</v>
      </c>
      <c r="S78" s="13" t="s">
        <v>276</v>
      </c>
    </row>
    <row r="79" spans="1:19" x14ac:dyDescent="0.3">
      <c r="A79" s="4">
        <v>44112</v>
      </c>
      <c r="B79" s="5">
        <f t="shared" si="16"/>
        <v>10</v>
      </c>
      <c r="C79" s="5">
        <f t="shared" si="17"/>
        <v>2020</v>
      </c>
      <c r="D79" s="5" t="s">
        <v>110</v>
      </c>
      <c r="E79" s="5" t="str">
        <f>VLOOKUP(F79,'Set up'!$A$2:$C$70,2,FALSE)</f>
        <v>C00000004</v>
      </c>
      <c r="F79" s="2" t="s">
        <v>23</v>
      </c>
      <c r="G79" s="2" t="s">
        <v>57</v>
      </c>
      <c r="H79" s="5">
        <v>1</v>
      </c>
      <c r="I79" s="5">
        <f>VLOOKUP(F79,'Set up'!$A$2:$C$70,3,FALSE)</f>
        <v>120</v>
      </c>
      <c r="J79" s="5">
        <f>VLOOKUP(F79,'Set up'!$A$2:$D$70,4,FALSE)</f>
        <v>120</v>
      </c>
      <c r="K79" s="4">
        <f t="shared" si="18"/>
        <v>44232</v>
      </c>
      <c r="L79" s="5">
        <f t="shared" si="19"/>
        <v>2</v>
      </c>
      <c r="M79" s="5">
        <f t="shared" si="20"/>
        <v>2021</v>
      </c>
      <c r="N79" s="6">
        <v>1254</v>
      </c>
      <c r="O79" s="6">
        <f t="shared" si="14"/>
        <v>-1254</v>
      </c>
      <c r="P79" s="6">
        <f t="shared" si="15"/>
        <v>0</v>
      </c>
      <c r="Q79" s="7">
        <f t="shared" si="21"/>
        <v>106546.5</v>
      </c>
      <c r="R79" s="44" t="str">
        <f>VLOOKUP(F79,'Set up'!$A$2:$E$70,5,FALSE)</f>
        <v>Chq</v>
      </c>
      <c r="S79" s="13" t="s">
        <v>276</v>
      </c>
    </row>
    <row r="80" spans="1:19" x14ac:dyDescent="0.3">
      <c r="A80" s="4">
        <v>44112</v>
      </c>
      <c r="B80" s="5">
        <f t="shared" si="16"/>
        <v>10</v>
      </c>
      <c r="C80" s="5">
        <f t="shared" si="17"/>
        <v>2020</v>
      </c>
      <c r="D80" s="5" t="s">
        <v>110</v>
      </c>
      <c r="E80" s="5" t="str">
        <f>VLOOKUP(F80,'Set up'!$A$2:$C$70,2,FALSE)</f>
        <v>C00000004</v>
      </c>
      <c r="F80" s="2" t="s">
        <v>23</v>
      </c>
      <c r="G80" s="11" t="s">
        <v>97</v>
      </c>
      <c r="H80" s="5">
        <v>3</v>
      </c>
      <c r="I80" s="5">
        <f>VLOOKUP(F80,'Set up'!$A$2:$C$70,3,FALSE)</f>
        <v>120</v>
      </c>
      <c r="J80" s="5">
        <f>VLOOKUP(F80,'Set up'!$A$2:$D$70,4,FALSE)</f>
        <v>120</v>
      </c>
      <c r="K80" s="4">
        <f t="shared" si="18"/>
        <v>44232</v>
      </c>
      <c r="L80" s="5">
        <f t="shared" si="19"/>
        <v>2</v>
      </c>
      <c r="M80" s="5">
        <f t="shared" si="20"/>
        <v>2021</v>
      </c>
      <c r="N80" s="6">
        <v>874.80000000000007</v>
      </c>
      <c r="O80" s="6">
        <f t="shared" si="14"/>
        <v>-874.80000000000007</v>
      </c>
      <c r="P80" s="6">
        <f t="shared" si="15"/>
        <v>0</v>
      </c>
      <c r="Q80" s="7">
        <f t="shared" si="21"/>
        <v>107421.3</v>
      </c>
      <c r="R80" s="44" t="str">
        <f>VLOOKUP(F80,'Set up'!$A$2:$E$70,5,FALSE)</f>
        <v>Chq</v>
      </c>
      <c r="S80" s="13" t="s">
        <v>276</v>
      </c>
    </row>
    <row r="81" spans="1:19" x14ac:dyDescent="0.3">
      <c r="A81" s="4">
        <v>44112</v>
      </c>
      <c r="B81" s="5">
        <f t="shared" si="16"/>
        <v>10</v>
      </c>
      <c r="C81" s="5">
        <f t="shared" si="17"/>
        <v>2020</v>
      </c>
      <c r="D81" s="5" t="s">
        <v>110</v>
      </c>
      <c r="E81" s="5" t="str">
        <f>VLOOKUP(F81,'Set up'!$A$2:$C$70,2,FALSE)</f>
        <v>C00000004</v>
      </c>
      <c r="F81" s="2" t="s">
        <v>23</v>
      </c>
      <c r="G81" s="11" t="s">
        <v>44</v>
      </c>
      <c r="H81" s="5">
        <v>10</v>
      </c>
      <c r="I81" s="5">
        <f>VLOOKUP(F81,'Set up'!$A$2:$C$70,3,FALSE)</f>
        <v>120</v>
      </c>
      <c r="J81" s="5">
        <f>VLOOKUP(F81,'Set up'!$A$2:$D$70,4,FALSE)</f>
        <v>120</v>
      </c>
      <c r="K81" s="4">
        <f t="shared" si="18"/>
        <v>44232</v>
      </c>
      <c r="L81" s="5">
        <f t="shared" si="19"/>
        <v>2</v>
      </c>
      <c r="M81" s="5">
        <f t="shared" si="20"/>
        <v>2021</v>
      </c>
      <c r="N81" s="6">
        <v>2040</v>
      </c>
      <c r="O81" s="6">
        <f t="shared" si="14"/>
        <v>-2040</v>
      </c>
      <c r="P81" s="6">
        <f t="shared" si="15"/>
        <v>0</v>
      </c>
      <c r="Q81" s="7">
        <f t="shared" si="21"/>
        <v>109461.3</v>
      </c>
      <c r="R81" s="44" t="str">
        <f>VLOOKUP(F81,'Set up'!$A$2:$E$70,5,FALSE)</f>
        <v>Chq</v>
      </c>
      <c r="S81" s="13" t="s">
        <v>276</v>
      </c>
    </row>
    <row r="82" spans="1:19" x14ac:dyDescent="0.3">
      <c r="A82" s="4">
        <v>44112</v>
      </c>
      <c r="B82" s="5">
        <f t="shared" si="16"/>
        <v>10</v>
      </c>
      <c r="C82" s="5">
        <f t="shared" si="17"/>
        <v>2020</v>
      </c>
      <c r="D82" s="5" t="s">
        <v>110</v>
      </c>
      <c r="E82" s="5" t="str">
        <f>VLOOKUP(F82,'Set up'!$A$2:$C$70,2,FALSE)</f>
        <v>C00000004</v>
      </c>
      <c r="F82" s="2" t="s">
        <v>23</v>
      </c>
      <c r="G82" s="11" t="s">
        <v>46</v>
      </c>
      <c r="H82" s="5">
        <v>2</v>
      </c>
      <c r="I82" s="5">
        <f>VLOOKUP(F82,'Set up'!$A$2:$C$70,3,FALSE)</f>
        <v>120</v>
      </c>
      <c r="J82" s="5">
        <f>VLOOKUP(F82,'Set up'!$A$2:$D$70,4,FALSE)</f>
        <v>120</v>
      </c>
      <c r="K82" s="4">
        <f t="shared" si="18"/>
        <v>44232</v>
      </c>
      <c r="L82" s="5">
        <f t="shared" si="19"/>
        <v>2</v>
      </c>
      <c r="M82" s="5">
        <f t="shared" si="20"/>
        <v>2021</v>
      </c>
      <c r="N82" s="6">
        <v>180</v>
      </c>
      <c r="O82" s="6">
        <f t="shared" si="14"/>
        <v>-180</v>
      </c>
      <c r="P82" s="6">
        <f t="shared" si="15"/>
        <v>0</v>
      </c>
      <c r="Q82" s="7">
        <f t="shared" si="21"/>
        <v>109641.3</v>
      </c>
      <c r="R82" s="44" t="str">
        <f>VLOOKUP(F82,'Set up'!$A$2:$E$70,5,FALSE)</f>
        <v>Chq</v>
      </c>
      <c r="S82" s="13" t="s">
        <v>276</v>
      </c>
    </row>
    <row r="83" spans="1:19" x14ac:dyDescent="0.3">
      <c r="A83" s="4">
        <v>44116</v>
      </c>
      <c r="B83" s="5">
        <f t="shared" si="16"/>
        <v>10</v>
      </c>
      <c r="C83" s="5">
        <f t="shared" si="17"/>
        <v>2020</v>
      </c>
      <c r="D83" s="5" t="s">
        <v>112</v>
      </c>
      <c r="E83" s="5" t="str">
        <f>VLOOKUP(F83,'Set up'!$A$2:$C$70,2,FALSE)</f>
        <v>C00000004</v>
      </c>
      <c r="F83" s="2" t="s">
        <v>23</v>
      </c>
      <c r="G83" s="2" t="s">
        <v>95</v>
      </c>
      <c r="H83" s="5">
        <v>6</v>
      </c>
      <c r="I83" s="5">
        <f>VLOOKUP(F83,'Set up'!$A$2:$C$70,3,FALSE)</f>
        <v>120</v>
      </c>
      <c r="J83" s="5">
        <f>VLOOKUP(F83,'Set up'!$A$2:$D$70,4,FALSE)</f>
        <v>120</v>
      </c>
      <c r="K83" s="4">
        <f t="shared" si="18"/>
        <v>44236</v>
      </c>
      <c r="L83" s="5">
        <f t="shared" si="19"/>
        <v>2</v>
      </c>
      <c r="M83" s="5">
        <f t="shared" si="20"/>
        <v>2021</v>
      </c>
      <c r="N83" s="6">
        <v>7524</v>
      </c>
      <c r="O83" s="6">
        <f t="shared" si="14"/>
        <v>-7524</v>
      </c>
      <c r="P83" s="6">
        <f t="shared" si="15"/>
        <v>0</v>
      </c>
      <c r="Q83" s="7">
        <f t="shared" si="21"/>
        <v>117165.3</v>
      </c>
      <c r="R83" s="44" t="str">
        <f>VLOOKUP(F83,'Set up'!$A$2:$E$70,5,FALSE)</f>
        <v>Chq</v>
      </c>
      <c r="S83" s="13" t="s">
        <v>276</v>
      </c>
    </row>
    <row r="84" spans="1:19" x14ac:dyDescent="0.3">
      <c r="A84" s="4">
        <v>44116</v>
      </c>
      <c r="B84" s="5">
        <f t="shared" si="16"/>
        <v>10</v>
      </c>
      <c r="C84" s="5">
        <f t="shared" si="17"/>
        <v>2020</v>
      </c>
      <c r="D84" s="5" t="s">
        <v>112</v>
      </c>
      <c r="E84" s="5" t="str">
        <f>VLOOKUP(F84,'Set up'!$A$2:$C$70,2,FALSE)</f>
        <v>C00000004</v>
      </c>
      <c r="F84" s="2" t="s">
        <v>23</v>
      </c>
      <c r="G84" s="2" t="s">
        <v>57</v>
      </c>
      <c r="H84" s="5">
        <v>1</v>
      </c>
      <c r="I84" s="5">
        <f>VLOOKUP(F84,'Set up'!$A$2:$C$70,3,FALSE)</f>
        <v>120</v>
      </c>
      <c r="J84" s="5">
        <f>VLOOKUP(F84,'Set up'!$A$2:$D$70,4,FALSE)</f>
        <v>120</v>
      </c>
      <c r="K84" s="4">
        <f t="shared" si="18"/>
        <v>44236</v>
      </c>
      <c r="L84" s="5">
        <f t="shared" si="19"/>
        <v>2</v>
      </c>
      <c r="M84" s="5">
        <f t="shared" si="20"/>
        <v>2021</v>
      </c>
      <c r="N84" s="6">
        <v>1254</v>
      </c>
      <c r="O84" s="6">
        <f t="shared" si="14"/>
        <v>-1254</v>
      </c>
      <c r="P84" s="6">
        <f t="shared" si="15"/>
        <v>0</v>
      </c>
      <c r="Q84" s="7">
        <f t="shared" si="21"/>
        <v>118419.3</v>
      </c>
      <c r="R84" s="44" t="str">
        <f>VLOOKUP(F84,'Set up'!$A$2:$E$70,5,FALSE)</f>
        <v>Chq</v>
      </c>
      <c r="S84" s="13" t="s">
        <v>276</v>
      </c>
    </row>
    <row r="85" spans="1:19" x14ac:dyDescent="0.3">
      <c r="A85" s="4">
        <v>44116</v>
      </c>
      <c r="B85" s="5">
        <f t="shared" si="16"/>
        <v>10</v>
      </c>
      <c r="C85" s="5">
        <f t="shared" si="17"/>
        <v>2020</v>
      </c>
      <c r="D85" s="5" t="s">
        <v>116</v>
      </c>
      <c r="E85" s="5" t="str">
        <f>VLOOKUP(F85,'Set up'!$A$2:$C$70,2,FALSE)</f>
        <v>C00000001</v>
      </c>
      <c r="F85" s="1" t="s">
        <v>7</v>
      </c>
      <c r="G85" s="11" t="s">
        <v>67</v>
      </c>
      <c r="H85" s="5">
        <v>1</v>
      </c>
      <c r="I85" s="5" t="str">
        <f>VLOOKUP(F85,'Set up'!$A$2:$C$70,3,FALSE)</f>
        <v>Cash</v>
      </c>
      <c r="J85" s="5">
        <f>VLOOKUP(F85,'Set up'!$A$2:$D$70,4,FALSE)</f>
        <v>0</v>
      </c>
      <c r="K85" s="4">
        <f t="shared" si="18"/>
        <v>44116</v>
      </c>
      <c r="L85" s="5">
        <f t="shared" si="19"/>
        <v>10</v>
      </c>
      <c r="M85" s="5">
        <f t="shared" si="20"/>
        <v>2020</v>
      </c>
      <c r="N85" s="6">
        <v>1496</v>
      </c>
      <c r="O85" s="6">
        <f t="shared" si="14"/>
        <v>-1496</v>
      </c>
      <c r="P85" s="6">
        <f t="shared" si="15"/>
        <v>0</v>
      </c>
      <c r="Q85" s="7">
        <f t="shared" si="21"/>
        <v>119915.3</v>
      </c>
      <c r="R85" s="44" t="str">
        <f>VLOOKUP(F85,'Set up'!$A$2:$E$70,5,FALSE)</f>
        <v>Trsf</v>
      </c>
      <c r="S85" s="1" t="s">
        <v>129</v>
      </c>
    </row>
    <row r="86" spans="1:19" x14ac:dyDescent="0.3">
      <c r="A86" s="4">
        <v>44116</v>
      </c>
      <c r="B86" s="5">
        <f t="shared" si="16"/>
        <v>10</v>
      </c>
      <c r="C86" s="5">
        <f t="shared" si="17"/>
        <v>2020</v>
      </c>
      <c r="D86" s="5" t="s">
        <v>116</v>
      </c>
      <c r="E86" s="5" t="str">
        <f>VLOOKUP(F86,'Set up'!$A$2:$C$70,2,FALSE)</f>
        <v>C00000001</v>
      </c>
      <c r="F86" s="1" t="s">
        <v>7</v>
      </c>
      <c r="G86" s="2" t="s">
        <v>63</v>
      </c>
      <c r="H86" s="5">
        <v>4</v>
      </c>
      <c r="I86" s="5" t="str">
        <f>VLOOKUP(F86,'Set up'!$A$2:$C$70,3,FALSE)</f>
        <v>Cash</v>
      </c>
      <c r="J86" s="5">
        <f>VLOOKUP(F86,'Set up'!$A$2:$D$70,4,FALSE)</f>
        <v>0</v>
      </c>
      <c r="K86" s="4">
        <f t="shared" si="18"/>
        <v>44116</v>
      </c>
      <c r="L86" s="5">
        <f t="shared" si="19"/>
        <v>10</v>
      </c>
      <c r="M86" s="5">
        <f t="shared" si="20"/>
        <v>2020</v>
      </c>
      <c r="N86" s="6">
        <v>962</v>
      </c>
      <c r="O86" s="6">
        <f t="shared" si="14"/>
        <v>-962</v>
      </c>
      <c r="P86" s="6">
        <f t="shared" si="15"/>
        <v>0</v>
      </c>
      <c r="Q86" s="7">
        <f t="shared" si="21"/>
        <v>120877.3</v>
      </c>
      <c r="R86" s="44" t="str">
        <f>VLOOKUP(F86,'Set up'!$A$2:$E$70,5,FALSE)</f>
        <v>Trsf</v>
      </c>
      <c r="S86" s="1" t="s">
        <v>129</v>
      </c>
    </row>
    <row r="87" spans="1:19" x14ac:dyDescent="0.3">
      <c r="A87" s="4">
        <v>44118</v>
      </c>
      <c r="B87" s="5">
        <f t="shared" si="16"/>
        <v>10</v>
      </c>
      <c r="C87" s="5">
        <f t="shared" si="17"/>
        <v>2020</v>
      </c>
      <c r="D87" s="5" t="s">
        <v>117</v>
      </c>
      <c r="E87" s="5" t="str">
        <f>VLOOKUP(F87,'Set up'!$A$2:$C$70,2,FALSE)</f>
        <v>C00000007</v>
      </c>
      <c r="F87" s="1" t="s">
        <v>47</v>
      </c>
      <c r="G87" s="11" t="s">
        <v>44</v>
      </c>
      <c r="H87" s="5">
        <v>7</v>
      </c>
      <c r="I87" s="5" t="str">
        <f>VLOOKUP(F87,'Set up'!$A$2:$C$70,3,FALSE)</f>
        <v>Cash</v>
      </c>
      <c r="J87" s="5">
        <f>VLOOKUP(F87,'Set up'!$A$2:$D$70,4,FALSE)</f>
        <v>0</v>
      </c>
      <c r="K87" s="4">
        <f t="shared" si="18"/>
        <v>44118</v>
      </c>
      <c r="L87" s="5">
        <f t="shared" si="19"/>
        <v>10</v>
      </c>
      <c r="M87" s="5">
        <f t="shared" si="20"/>
        <v>2020</v>
      </c>
      <c r="N87" s="6">
        <v>1470</v>
      </c>
      <c r="O87" s="6">
        <v>-1470</v>
      </c>
      <c r="P87" s="6">
        <f t="shared" si="15"/>
        <v>0</v>
      </c>
      <c r="Q87" s="7">
        <f t="shared" si="21"/>
        <v>122347.3</v>
      </c>
      <c r="R87" s="44" t="str">
        <f>VLOOKUP(F87,'Set up'!$A$2:$E$70,5,FALSE)</f>
        <v>Trsf</v>
      </c>
      <c r="S87" s="10" t="s">
        <v>70</v>
      </c>
    </row>
    <row r="88" spans="1:19" x14ac:dyDescent="0.3">
      <c r="A88" s="4">
        <v>44118</v>
      </c>
      <c r="B88" s="5">
        <f t="shared" si="16"/>
        <v>10</v>
      </c>
      <c r="C88" s="5">
        <f t="shared" si="17"/>
        <v>2020</v>
      </c>
      <c r="D88" s="5" t="s">
        <v>117</v>
      </c>
      <c r="E88" s="5" t="str">
        <f>VLOOKUP(F88,'Set up'!$A$2:$C$70,2,FALSE)</f>
        <v>C00000007</v>
      </c>
      <c r="F88" s="1" t="s">
        <v>47</v>
      </c>
      <c r="G88" s="11" t="s">
        <v>46</v>
      </c>
      <c r="H88" s="5">
        <v>8</v>
      </c>
      <c r="I88" s="5" t="str">
        <f>VLOOKUP(F88,'Set up'!$A$2:$C$70,3,FALSE)</f>
        <v>Cash</v>
      </c>
      <c r="J88" s="5">
        <f>VLOOKUP(F88,'Set up'!$A$2:$D$70,4,FALSE)</f>
        <v>0</v>
      </c>
      <c r="K88" s="4">
        <f t="shared" si="18"/>
        <v>44118</v>
      </c>
      <c r="L88" s="5">
        <f t="shared" si="19"/>
        <v>10</v>
      </c>
      <c r="M88" s="5">
        <f t="shared" si="20"/>
        <v>2020</v>
      </c>
      <c r="N88" s="6">
        <v>720</v>
      </c>
      <c r="O88" s="6">
        <v>-720</v>
      </c>
      <c r="P88" s="6">
        <f t="shared" si="15"/>
        <v>0</v>
      </c>
      <c r="Q88" s="7">
        <f t="shared" si="21"/>
        <v>123067.3</v>
      </c>
      <c r="R88" s="44" t="str">
        <f>VLOOKUP(F88,'Set up'!$A$2:$E$70,5,FALSE)</f>
        <v>Trsf</v>
      </c>
      <c r="S88" s="10" t="s">
        <v>70</v>
      </c>
    </row>
    <row r="89" spans="1:19" x14ac:dyDescent="0.3">
      <c r="A89" s="4">
        <v>44123</v>
      </c>
      <c r="B89" s="5">
        <f t="shared" si="16"/>
        <v>10</v>
      </c>
      <c r="C89" s="5">
        <f t="shared" si="17"/>
        <v>2020</v>
      </c>
      <c r="D89" s="5" t="s">
        <v>117</v>
      </c>
      <c r="E89" s="5" t="str">
        <f>VLOOKUP(F89,'Set up'!$A$2:$C$70,2,FALSE)</f>
        <v>C00000007</v>
      </c>
      <c r="F89" s="1" t="s">
        <v>47</v>
      </c>
      <c r="G89" s="11" t="s">
        <v>45</v>
      </c>
      <c r="H89" s="5">
        <v>2</v>
      </c>
      <c r="I89" s="5" t="str">
        <f>VLOOKUP(F89,'Set up'!$A$2:$C$70,3,FALSE)</f>
        <v>Cash</v>
      </c>
      <c r="J89" s="5">
        <f>VLOOKUP(F89,'Set up'!$A$2:$D$70,4,FALSE)</f>
        <v>0</v>
      </c>
      <c r="K89" s="4">
        <f t="shared" si="18"/>
        <v>44123</v>
      </c>
      <c r="L89" s="5">
        <f t="shared" si="19"/>
        <v>10</v>
      </c>
      <c r="M89" s="5">
        <f t="shared" si="20"/>
        <v>2020</v>
      </c>
      <c r="N89" s="6">
        <v>460</v>
      </c>
      <c r="O89" s="6">
        <v>-460</v>
      </c>
      <c r="P89" s="6">
        <f t="shared" si="15"/>
        <v>0</v>
      </c>
      <c r="Q89" s="7">
        <f t="shared" si="21"/>
        <v>123527.3</v>
      </c>
      <c r="R89" s="44" t="str">
        <f>VLOOKUP(F89,'Set up'!$A$2:$E$70,5,FALSE)</f>
        <v>Trsf</v>
      </c>
      <c r="S89" s="10" t="s">
        <v>70</v>
      </c>
    </row>
    <row r="90" spans="1:19" ht="15" customHeight="1" x14ac:dyDescent="0.3">
      <c r="A90" s="4">
        <v>44121</v>
      </c>
      <c r="B90" s="5">
        <f t="shared" si="16"/>
        <v>10</v>
      </c>
      <c r="C90" s="5">
        <f t="shared" si="17"/>
        <v>2020</v>
      </c>
      <c r="D90" s="5" t="s">
        <v>118</v>
      </c>
      <c r="E90" s="5" t="str">
        <f>VLOOKUP(F90,'Set up'!$A$2:$C$70,2,FALSE)</f>
        <v>C00000003</v>
      </c>
      <c r="F90" s="1" t="s">
        <v>20</v>
      </c>
      <c r="G90" s="2" t="s">
        <v>119</v>
      </c>
      <c r="H90" s="5">
        <v>4</v>
      </c>
      <c r="I90" s="5">
        <f>VLOOKUP(F90,'Set up'!$A$2:$C$70,3,FALSE)</f>
        <v>45</v>
      </c>
      <c r="J90" s="5">
        <f>VLOOKUP(F90,'Set up'!$A$2:$D$70,4,FALSE)</f>
        <v>45</v>
      </c>
      <c r="K90" s="4">
        <f t="shared" si="18"/>
        <v>44166</v>
      </c>
      <c r="L90" s="5">
        <f t="shared" si="19"/>
        <v>12</v>
      </c>
      <c r="M90" s="5">
        <f t="shared" si="20"/>
        <v>2020</v>
      </c>
      <c r="N90" s="6">
        <v>180</v>
      </c>
      <c r="O90" s="6">
        <f t="shared" ref="O90:O123" si="22">SUM(-N90)</f>
        <v>-180</v>
      </c>
      <c r="P90" s="6">
        <f t="shared" si="15"/>
        <v>0</v>
      </c>
      <c r="Q90" s="7">
        <f t="shared" si="21"/>
        <v>123707.3</v>
      </c>
      <c r="R90" s="44" t="str">
        <f>VLOOKUP(F90,'Set up'!$A$2:$E$70,5,FALSE)</f>
        <v>PD Chq</v>
      </c>
      <c r="S90" s="13" t="s">
        <v>121</v>
      </c>
    </row>
    <row r="91" spans="1:19" x14ac:dyDescent="0.3">
      <c r="A91" s="4">
        <v>44121</v>
      </c>
      <c r="B91" s="5">
        <f t="shared" si="16"/>
        <v>10</v>
      </c>
      <c r="C91" s="5">
        <f t="shared" si="17"/>
        <v>2020</v>
      </c>
      <c r="D91" s="5" t="s">
        <v>120</v>
      </c>
      <c r="E91" s="5" t="str">
        <f>VLOOKUP(F91,'Set up'!$A$2:$C$70,2,FALSE)</f>
        <v>C00000003</v>
      </c>
      <c r="F91" s="1" t="s">
        <v>20</v>
      </c>
      <c r="G91" s="11" t="s">
        <v>111</v>
      </c>
      <c r="H91" s="5">
        <v>1</v>
      </c>
      <c r="I91" s="5">
        <f>VLOOKUP(F91,'Set up'!$A$2:$C$70,3,FALSE)</f>
        <v>45</v>
      </c>
      <c r="J91" s="5">
        <f>VLOOKUP(F91,'Set up'!$A$2:$D$70,4,FALSE)</f>
        <v>45</v>
      </c>
      <c r="K91" s="4">
        <f t="shared" si="18"/>
        <v>44166</v>
      </c>
      <c r="L91" s="5">
        <f t="shared" si="19"/>
        <v>12</v>
      </c>
      <c r="M91" s="5">
        <f t="shared" si="20"/>
        <v>2020</v>
      </c>
      <c r="N91" s="6">
        <v>204</v>
      </c>
      <c r="O91" s="6">
        <f t="shared" si="22"/>
        <v>-204</v>
      </c>
      <c r="P91" s="6">
        <f t="shared" si="15"/>
        <v>0</v>
      </c>
      <c r="Q91" s="7">
        <f t="shared" si="21"/>
        <v>123911.3</v>
      </c>
      <c r="R91" s="44" t="str">
        <f>VLOOKUP(F91,'Set up'!$A$2:$E$70,5,FALSE)</f>
        <v>PD Chq</v>
      </c>
      <c r="S91" s="13" t="s">
        <v>121</v>
      </c>
    </row>
    <row r="92" spans="1:19" x14ac:dyDescent="0.3">
      <c r="A92" s="4">
        <v>44123</v>
      </c>
      <c r="B92" s="5">
        <f t="shared" si="16"/>
        <v>10</v>
      </c>
      <c r="C92" s="5">
        <f t="shared" si="17"/>
        <v>2020</v>
      </c>
      <c r="D92" s="5" t="s">
        <v>122</v>
      </c>
      <c r="E92" s="5" t="str">
        <f>VLOOKUP(F92,'Set up'!$A$2:$C$70,2,FALSE)</f>
        <v>C00000001</v>
      </c>
      <c r="F92" s="1" t="s">
        <v>7</v>
      </c>
      <c r="G92" s="11" t="s">
        <v>39</v>
      </c>
      <c r="H92" s="5">
        <v>4</v>
      </c>
      <c r="I92" s="5" t="str">
        <f>VLOOKUP(F92,'Set up'!$A$2:$C$70,3,FALSE)</f>
        <v>Cash</v>
      </c>
      <c r="J92" s="5">
        <f>VLOOKUP(F92,'Set up'!$A$2:$D$70,4,FALSE)</f>
        <v>0</v>
      </c>
      <c r="K92" s="4">
        <f t="shared" si="18"/>
        <v>44123</v>
      </c>
      <c r="L92" s="5">
        <f t="shared" si="19"/>
        <v>10</v>
      </c>
      <c r="M92" s="5">
        <f t="shared" si="20"/>
        <v>2020</v>
      </c>
      <c r="N92" s="6">
        <v>960</v>
      </c>
      <c r="O92" s="6">
        <f t="shared" si="22"/>
        <v>-960</v>
      </c>
      <c r="P92" s="6">
        <f t="shared" si="15"/>
        <v>0</v>
      </c>
      <c r="Q92" s="7">
        <f t="shared" si="21"/>
        <v>124871.3</v>
      </c>
      <c r="R92" s="44" t="str">
        <f>VLOOKUP(F92,'Set up'!$A$2:$E$70,5,FALSE)</f>
        <v>Trsf</v>
      </c>
      <c r="S92" s="1" t="s">
        <v>159</v>
      </c>
    </row>
    <row r="93" spans="1:19" x14ac:dyDescent="0.3">
      <c r="A93" s="4">
        <v>44123</v>
      </c>
      <c r="B93" s="5">
        <f t="shared" si="16"/>
        <v>10</v>
      </c>
      <c r="C93" s="5">
        <f t="shared" si="17"/>
        <v>2020</v>
      </c>
      <c r="D93" s="5" t="s">
        <v>122</v>
      </c>
      <c r="E93" s="5" t="str">
        <f>VLOOKUP(F93,'Set up'!$A$2:$C$70,2,FALSE)</f>
        <v>C00000001</v>
      </c>
      <c r="F93" s="1" t="s">
        <v>7</v>
      </c>
      <c r="G93" s="2" t="s">
        <v>124</v>
      </c>
      <c r="H93" s="5">
        <v>1</v>
      </c>
      <c r="I93" s="5" t="str">
        <f>VLOOKUP(F93,'Set up'!$A$2:$C$70,3,FALSE)</f>
        <v>Cash</v>
      </c>
      <c r="J93" s="5">
        <f>VLOOKUP(F93,'Set up'!$A$2:$D$70,4,FALSE)</f>
        <v>0</v>
      </c>
      <c r="K93" s="4">
        <f t="shared" si="18"/>
        <v>44123</v>
      </c>
      <c r="L93" s="5">
        <f t="shared" si="19"/>
        <v>10</v>
      </c>
      <c r="M93" s="5">
        <f t="shared" si="20"/>
        <v>2020</v>
      </c>
      <c r="N93" s="6">
        <v>625</v>
      </c>
      <c r="O93" s="6">
        <f t="shared" si="22"/>
        <v>-625</v>
      </c>
      <c r="P93" s="6">
        <f t="shared" si="15"/>
        <v>0</v>
      </c>
      <c r="Q93" s="7">
        <f t="shared" si="21"/>
        <v>125496.3</v>
      </c>
      <c r="R93" s="44" t="str">
        <f>VLOOKUP(F93,'Set up'!$A$2:$E$70,5,FALSE)</f>
        <v>Trsf</v>
      </c>
      <c r="S93" s="1" t="s">
        <v>159</v>
      </c>
    </row>
    <row r="94" spans="1:19" x14ac:dyDescent="0.3">
      <c r="A94" s="4">
        <v>44123</v>
      </c>
      <c r="B94" s="5">
        <f t="shared" si="16"/>
        <v>10</v>
      </c>
      <c r="C94" s="5">
        <f t="shared" si="17"/>
        <v>2020</v>
      </c>
      <c r="D94" s="5" t="s">
        <v>122</v>
      </c>
      <c r="E94" s="5" t="str">
        <f>VLOOKUP(F94,'Set up'!$A$2:$C$70,2,FALSE)</f>
        <v>C00000001</v>
      </c>
      <c r="F94" s="1" t="s">
        <v>7</v>
      </c>
      <c r="G94" s="2" t="s">
        <v>125</v>
      </c>
      <c r="H94" s="5">
        <v>1</v>
      </c>
      <c r="I94" s="5" t="str">
        <f>VLOOKUP(F94,'Set up'!$A$2:$C$70,3,FALSE)</f>
        <v>Cash</v>
      </c>
      <c r="J94" s="5">
        <f>VLOOKUP(F94,'Set up'!$A$2:$D$70,4,FALSE)</f>
        <v>0</v>
      </c>
      <c r="K94" s="4">
        <f t="shared" si="18"/>
        <v>44123</v>
      </c>
      <c r="L94" s="5">
        <f t="shared" si="19"/>
        <v>10</v>
      </c>
      <c r="M94" s="5">
        <f t="shared" si="20"/>
        <v>2020</v>
      </c>
      <c r="N94" s="6">
        <v>60</v>
      </c>
      <c r="O94" s="6">
        <f t="shared" si="22"/>
        <v>-60</v>
      </c>
      <c r="P94" s="6">
        <f t="shared" si="15"/>
        <v>0</v>
      </c>
      <c r="Q94" s="7">
        <f t="shared" si="21"/>
        <v>125556.3</v>
      </c>
      <c r="R94" s="44" t="str">
        <f>VLOOKUP(F94,'Set up'!$A$2:$E$70,5,FALSE)</f>
        <v>Trsf</v>
      </c>
      <c r="S94" s="1" t="s">
        <v>159</v>
      </c>
    </row>
    <row r="95" spans="1:19" x14ac:dyDescent="0.3">
      <c r="A95" s="4">
        <v>44123</v>
      </c>
      <c r="B95" s="5">
        <f t="shared" si="16"/>
        <v>10</v>
      </c>
      <c r="C95" s="5">
        <f t="shared" si="17"/>
        <v>2020</v>
      </c>
      <c r="D95" s="5" t="s">
        <v>123</v>
      </c>
      <c r="E95" s="5" t="str">
        <f>VLOOKUP(F95,'Set up'!$A$2:$C$70,2,FALSE)</f>
        <v>C00000005</v>
      </c>
      <c r="F95" s="1" t="s">
        <v>35</v>
      </c>
      <c r="G95" s="11" t="s">
        <v>46</v>
      </c>
      <c r="H95" s="5">
        <v>1</v>
      </c>
      <c r="I95" s="5" t="str">
        <f>VLOOKUP(F95,'Set up'!$A$2:$C$70,3,FALSE)</f>
        <v>Cash</v>
      </c>
      <c r="J95" s="5">
        <f>VLOOKUP(F95,'Set up'!$A$2:$D$70,4,FALSE)</f>
        <v>0</v>
      </c>
      <c r="K95" s="4">
        <f t="shared" si="18"/>
        <v>44123</v>
      </c>
      <c r="L95" s="5">
        <f t="shared" si="19"/>
        <v>10</v>
      </c>
      <c r="M95" s="5">
        <f t="shared" si="20"/>
        <v>2020</v>
      </c>
      <c r="N95" s="6">
        <v>90</v>
      </c>
      <c r="O95" s="6">
        <f t="shared" si="22"/>
        <v>-90</v>
      </c>
      <c r="P95" s="6">
        <f t="shared" si="15"/>
        <v>0</v>
      </c>
      <c r="Q95" s="7">
        <f t="shared" si="21"/>
        <v>125646.3</v>
      </c>
      <c r="R95" s="44" t="str">
        <f>VLOOKUP(F95,'Set up'!$A$2:$E$70,5,FALSE)</f>
        <v>Chq</v>
      </c>
      <c r="S95" s="1" t="s">
        <v>157</v>
      </c>
    </row>
    <row r="96" spans="1:19" x14ac:dyDescent="0.3">
      <c r="A96" s="4">
        <v>44125</v>
      </c>
      <c r="B96" s="5">
        <f t="shared" si="16"/>
        <v>10</v>
      </c>
      <c r="C96" s="5">
        <f t="shared" si="17"/>
        <v>2020</v>
      </c>
      <c r="D96" s="5" t="s">
        <v>126</v>
      </c>
      <c r="E96" s="5" t="str">
        <f>VLOOKUP(F96,'Set up'!$A$2:$C$70,2,FALSE)</f>
        <v>C00000005</v>
      </c>
      <c r="F96" s="1" t="s">
        <v>35</v>
      </c>
      <c r="G96" s="11" t="s">
        <v>67</v>
      </c>
      <c r="H96" s="5">
        <v>1</v>
      </c>
      <c r="I96" s="5" t="str">
        <f>VLOOKUP(F96,'Set up'!$A$2:$C$70,3,FALSE)</f>
        <v>Cash</v>
      </c>
      <c r="J96" s="5">
        <f>VLOOKUP(F96,'Set up'!$A$2:$D$70,4,FALSE)</f>
        <v>0</v>
      </c>
      <c r="K96" s="4">
        <f t="shared" si="18"/>
        <v>44125</v>
      </c>
      <c r="L96" s="5">
        <f t="shared" si="19"/>
        <v>10</v>
      </c>
      <c r="M96" s="5">
        <f t="shared" si="20"/>
        <v>2020</v>
      </c>
      <c r="N96" s="6">
        <v>1496</v>
      </c>
      <c r="O96" s="6">
        <f t="shared" si="22"/>
        <v>-1496</v>
      </c>
      <c r="P96" s="6">
        <f t="shared" si="15"/>
        <v>0</v>
      </c>
      <c r="Q96" s="7">
        <f t="shared" si="21"/>
        <v>127142.3</v>
      </c>
      <c r="R96" s="44" t="str">
        <f>VLOOKUP(F96,'Set up'!$A$2:$E$70,5,FALSE)</f>
        <v>Chq</v>
      </c>
      <c r="S96" s="1" t="s">
        <v>156</v>
      </c>
    </row>
    <row r="97" spans="1:19" x14ac:dyDescent="0.3">
      <c r="A97" s="4">
        <v>44125</v>
      </c>
      <c r="B97" s="5">
        <f t="shared" si="16"/>
        <v>10</v>
      </c>
      <c r="C97" s="5">
        <f t="shared" si="17"/>
        <v>2020</v>
      </c>
      <c r="D97" s="5" t="s">
        <v>127</v>
      </c>
      <c r="E97" s="5" t="str">
        <f>VLOOKUP(F97,'Set up'!$A$2:$C$70,2,FALSE)</f>
        <v>C00000010</v>
      </c>
      <c r="F97" s="1" t="s">
        <v>62</v>
      </c>
      <c r="G97" s="2" t="s">
        <v>95</v>
      </c>
      <c r="H97" s="5">
        <v>5</v>
      </c>
      <c r="I97" s="5">
        <f>VLOOKUP(F97,'Set up'!$A$2:$C$70,3,FALSE)</f>
        <v>120</v>
      </c>
      <c r="J97" s="5">
        <f>VLOOKUP(F97,'Set up'!$A$2:$D$70,4,FALSE)</f>
        <v>120</v>
      </c>
      <c r="K97" s="4">
        <f t="shared" si="18"/>
        <v>44245</v>
      </c>
      <c r="L97" s="5">
        <f t="shared" si="19"/>
        <v>2</v>
      </c>
      <c r="M97" s="5">
        <f t="shared" si="20"/>
        <v>2021</v>
      </c>
      <c r="N97" s="6">
        <v>6600</v>
      </c>
      <c r="O97" s="6">
        <f t="shared" si="22"/>
        <v>-6600</v>
      </c>
      <c r="P97" s="6">
        <f t="shared" si="15"/>
        <v>0</v>
      </c>
      <c r="Q97" s="7">
        <f t="shared" si="21"/>
        <v>133742.29999999999</v>
      </c>
      <c r="R97" s="44" t="str">
        <f>VLOOKUP(F97,'Set up'!$A$2:$E$70,5,FALSE)</f>
        <v>Trsf</v>
      </c>
      <c r="S97" s="13" t="s">
        <v>299</v>
      </c>
    </row>
    <row r="98" spans="1:19" x14ac:dyDescent="0.3">
      <c r="A98" s="4">
        <v>44125</v>
      </c>
      <c r="B98" s="5">
        <f t="shared" si="16"/>
        <v>10</v>
      </c>
      <c r="C98" s="5">
        <f t="shared" si="17"/>
        <v>2020</v>
      </c>
      <c r="D98" s="5" t="s">
        <v>127</v>
      </c>
      <c r="E98" s="5" t="str">
        <f>VLOOKUP(F98,'Set up'!$A$2:$C$70,2,FALSE)</f>
        <v>C00000010</v>
      </c>
      <c r="F98" s="1" t="s">
        <v>62</v>
      </c>
      <c r="G98" s="11" t="s">
        <v>63</v>
      </c>
      <c r="H98" s="5">
        <v>4</v>
      </c>
      <c r="I98" s="5">
        <f>VLOOKUP(F98,'Set up'!$A$2:$C$70,3,FALSE)</f>
        <v>120</v>
      </c>
      <c r="J98" s="5">
        <f>VLOOKUP(F98,'Set up'!$A$2:$D$70,4,FALSE)</f>
        <v>120</v>
      </c>
      <c r="K98" s="4">
        <f t="shared" si="18"/>
        <v>44245</v>
      </c>
      <c r="L98" s="5">
        <f t="shared" si="19"/>
        <v>2</v>
      </c>
      <c r="M98" s="5">
        <f t="shared" si="20"/>
        <v>2021</v>
      </c>
      <c r="N98" s="6">
        <v>888</v>
      </c>
      <c r="O98" s="6">
        <f t="shared" si="22"/>
        <v>-888</v>
      </c>
      <c r="P98" s="6">
        <f t="shared" ref="P98:P129" si="23">SUM(N98+O98)</f>
        <v>0</v>
      </c>
      <c r="Q98" s="7">
        <f t="shared" si="21"/>
        <v>134630.29999999999</v>
      </c>
      <c r="R98" s="44" t="str">
        <f>VLOOKUP(F98,'Set up'!$A$2:$E$70,5,FALSE)</f>
        <v>Trsf</v>
      </c>
      <c r="S98" s="13" t="s">
        <v>299</v>
      </c>
    </row>
    <row r="99" spans="1:19" x14ac:dyDescent="0.3">
      <c r="A99" s="4">
        <v>44125</v>
      </c>
      <c r="B99" s="5">
        <f t="shared" si="16"/>
        <v>10</v>
      </c>
      <c r="C99" s="5">
        <f t="shared" si="17"/>
        <v>2020</v>
      </c>
      <c r="D99" s="5" t="s">
        <v>127</v>
      </c>
      <c r="E99" s="5" t="str">
        <f>VLOOKUP(F99,'Set up'!$A$2:$C$70,2,FALSE)</f>
        <v>C00000010</v>
      </c>
      <c r="F99" s="1" t="s">
        <v>62</v>
      </c>
      <c r="G99" s="11" t="s">
        <v>64</v>
      </c>
      <c r="H99" s="5">
        <v>5</v>
      </c>
      <c r="I99" s="5">
        <f>VLOOKUP(F99,'Set up'!$A$2:$C$70,3,FALSE)</f>
        <v>120</v>
      </c>
      <c r="J99" s="5">
        <f>VLOOKUP(F99,'Set up'!$A$2:$D$70,4,FALSE)</f>
        <v>120</v>
      </c>
      <c r="K99" s="4">
        <f t="shared" si="18"/>
        <v>44245</v>
      </c>
      <c r="L99" s="5">
        <f t="shared" si="19"/>
        <v>2</v>
      </c>
      <c r="M99" s="5">
        <f t="shared" si="20"/>
        <v>2021</v>
      </c>
      <c r="N99" s="6">
        <v>275</v>
      </c>
      <c r="O99" s="6">
        <f t="shared" si="22"/>
        <v>-275</v>
      </c>
      <c r="P99" s="6">
        <f t="shared" si="23"/>
        <v>0</v>
      </c>
      <c r="Q99" s="7">
        <f t="shared" si="21"/>
        <v>134905.29999999999</v>
      </c>
      <c r="R99" s="44" t="str">
        <f>VLOOKUP(F99,'Set up'!$A$2:$E$70,5,FALSE)</f>
        <v>Trsf</v>
      </c>
      <c r="S99" s="13" t="s">
        <v>299</v>
      </c>
    </row>
    <row r="100" spans="1:19" x14ac:dyDescent="0.3">
      <c r="A100" s="4">
        <v>44125</v>
      </c>
      <c r="B100" s="5">
        <f t="shared" si="16"/>
        <v>10</v>
      </c>
      <c r="C100" s="5">
        <f t="shared" si="17"/>
        <v>2020</v>
      </c>
      <c r="D100" s="5" t="s">
        <v>127</v>
      </c>
      <c r="E100" s="5" t="str">
        <f>VLOOKUP(F100,'Set up'!$A$2:$C$70,2,FALSE)</f>
        <v>C00000010</v>
      </c>
      <c r="F100" s="1" t="s">
        <v>62</v>
      </c>
      <c r="G100" s="11" t="s">
        <v>46</v>
      </c>
      <c r="H100" s="5">
        <v>4</v>
      </c>
      <c r="I100" s="5">
        <f>VLOOKUP(F100,'Set up'!$A$2:$C$70,3,FALSE)</f>
        <v>120</v>
      </c>
      <c r="J100" s="5">
        <f>VLOOKUP(F100,'Set up'!$A$2:$D$70,4,FALSE)</f>
        <v>120</v>
      </c>
      <c r="K100" s="4">
        <f t="shared" si="18"/>
        <v>44245</v>
      </c>
      <c r="L100" s="5">
        <f t="shared" si="19"/>
        <v>2</v>
      </c>
      <c r="M100" s="5">
        <f t="shared" si="20"/>
        <v>2021</v>
      </c>
      <c r="N100" s="6">
        <v>360</v>
      </c>
      <c r="O100" s="6">
        <f t="shared" si="22"/>
        <v>-360</v>
      </c>
      <c r="P100" s="6">
        <f t="shared" si="23"/>
        <v>0</v>
      </c>
      <c r="Q100" s="7">
        <f t="shared" si="21"/>
        <v>135265.29999999999</v>
      </c>
      <c r="R100" s="44" t="str">
        <f>VLOOKUP(F100,'Set up'!$A$2:$E$70,5,FALSE)</f>
        <v>Trsf</v>
      </c>
      <c r="S100" s="13" t="s">
        <v>299</v>
      </c>
    </row>
    <row r="101" spans="1:19" x14ac:dyDescent="0.3">
      <c r="A101" s="4">
        <v>44130</v>
      </c>
      <c r="B101" s="5">
        <f t="shared" si="16"/>
        <v>10</v>
      </c>
      <c r="C101" s="5">
        <f t="shared" si="17"/>
        <v>2020</v>
      </c>
      <c r="D101" s="5" t="s">
        <v>130</v>
      </c>
      <c r="E101" s="5" t="str">
        <f>VLOOKUP(F101,'Set up'!$A$2:$C$70,2,FALSE)</f>
        <v>C00000003</v>
      </c>
      <c r="F101" s="1" t="s">
        <v>20</v>
      </c>
      <c r="G101" s="2" t="s">
        <v>67</v>
      </c>
      <c r="H101" s="5">
        <v>3</v>
      </c>
      <c r="I101" s="5">
        <f>VLOOKUP(F101,'Set up'!$A$2:$C$70,3,FALSE)</f>
        <v>45</v>
      </c>
      <c r="J101" s="5">
        <f>VLOOKUP(F101,'Set up'!$A$2:$D$70,4,FALSE)</f>
        <v>45</v>
      </c>
      <c r="K101" s="4">
        <f t="shared" si="18"/>
        <v>44175</v>
      </c>
      <c r="L101" s="5">
        <f t="shared" si="19"/>
        <v>12</v>
      </c>
      <c r="M101" s="5">
        <f t="shared" si="20"/>
        <v>2020</v>
      </c>
      <c r="N101" s="6">
        <v>4554</v>
      </c>
      <c r="O101" s="6">
        <f t="shared" si="22"/>
        <v>-4554</v>
      </c>
      <c r="P101" s="6">
        <f t="shared" si="23"/>
        <v>0</v>
      </c>
      <c r="Q101" s="7">
        <f t="shared" si="21"/>
        <v>139819.29999999999</v>
      </c>
      <c r="R101" s="44" t="str">
        <f>VLOOKUP(F101,'Set up'!$A$2:$E$70,5,FALSE)</f>
        <v>PD Chq</v>
      </c>
      <c r="S101" s="13" t="s">
        <v>146</v>
      </c>
    </row>
    <row r="102" spans="1:19" x14ac:dyDescent="0.3">
      <c r="A102" s="4">
        <v>44130</v>
      </c>
      <c r="B102" s="5">
        <f t="shared" si="16"/>
        <v>10</v>
      </c>
      <c r="C102" s="5">
        <f t="shared" si="17"/>
        <v>2020</v>
      </c>
      <c r="D102" s="5" t="s">
        <v>130</v>
      </c>
      <c r="E102" s="5" t="str">
        <f>VLOOKUP(F102,'Set up'!$A$2:$C$70,2,FALSE)</f>
        <v>C00000003</v>
      </c>
      <c r="F102" s="1" t="s">
        <v>20</v>
      </c>
      <c r="G102" s="2" t="s">
        <v>46</v>
      </c>
      <c r="H102" s="5">
        <v>6</v>
      </c>
      <c r="I102" s="5">
        <f>VLOOKUP(F102,'Set up'!$A$2:$C$70,3,FALSE)</f>
        <v>45</v>
      </c>
      <c r="J102" s="5">
        <f>VLOOKUP(F102,'Set up'!$A$2:$D$70,4,FALSE)</f>
        <v>45</v>
      </c>
      <c r="K102" s="4">
        <f t="shared" si="18"/>
        <v>44175</v>
      </c>
      <c r="L102" s="5">
        <f t="shared" si="19"/>
        <v>12</v>
      </c>
      <c r="M102" s="5">
        <f t="shared" si="20"/>
        <v>2020</v>
      </c>
      <c r="N102" s="6">
        <v>555</v>
      </c>
      <c r="O102" s="6">
        <f t="shared" si="22"/>
        <v>-555</v>
      </c>
      <c r="P102" s="6">
        <f t="shared" si="23"/>
        <v>0</v>
      </c>
      <c r="Q102" s="7">
        <f t="shared" si="21"/>
        <v>140374.29999999999</v>
      </c>
      <c r="R102" s="44" t="str">
        <f>VLOOKUP(F102,'Set up'!$A$2:$E$70,5,FALSE)</f>
        <v>PD Chq</v>
      </c>
      <c r="S102" s="13" t="s">
        <v>147</v>
      </c>
    </row>
    <row r="103" spans="1:19" x14ac:dyDescent="0.3">
      <c r="A103" s="4">
        <v>44135</v>
      </c>
      <c r="B103" s="5">
        <f t="shared" si="16"/>
        <v>10</v>
      </c>
      <c r="C103" s="5">
        <f t="shared" si="17"/>
        <v>2020</v>
      </c>
      <c r="D103" s="5" t="s">
        <v>148</v>
      </c>
      <c r="E103" s="5" t="str">
        <f>VLOOKUP(F103,'Set up'!$A$2:$C$70,2,FALSE)</f>
        <v>C00000001</v>
      </c>
      <c r="F103" s="1" t="s">
        <v>7</v>
      </c>
      <c r="G103" s="11" t="s">
        <v>67</v>
      </c>
      <c r="H103" s="5">
        <v>1</v>
      </c>
      <c r="I103" s="5" t="str">
        <f>VLOOKUP(F103,'Set up'!$A$2:$C$70,3,FALSE)</f>
        <v>Cash</v>
      </c>
      <c r="J103" s="5">
        <f>VLOOKUP(F103,'Set up'!$A$2:$D$70,4,FALSE)</f>
        <v>0</v>
      </c>
      <c r="K103" s="4">
        <f t="shared" si="18"/>
        <v>44135</v>
      </c>
      <c r="L103" s="5">
        <f t="shared" si="19"/>
        <v>10</v>
      </c>
      <c r="M103" s="5">
        <f t="shared" si="20"/>
        <v>2020</v>
      </c>
      <c r="N103" s="6">
        <v>1496</v>
      </c>
      <c r="O103" s="6">
        <f t="shared" si="22"/>
        <v>-1496</v>
      </c>
      <c r="P103" s="6">
        <f t="shared" si="23"/>
        <v>0</v>
      </c>
      <c r="Q103" s="7">
        <f t="shared" si="21"/>
        <v>141870.29999999999</v>
      </c>
      <c r="R103" s="44" t="str">
        <f>VLOOKUP(F103,'Set up'!$A$2:$E$70,5,FALSE)</f>
        <v>Trsf</v>
      </c>
      <c r="S103" s="1" t="s">
        <v>159</v>
      </c>
    </row>
    <row r="104" spans="1:19" x14ac:dyDescent="0.3">
      <c r="A104" s="4">
        <v>44135</v>
      </c>
      <c r="B104" s="5">
        <f t="shared" si="16"/>
        <v>10</v>
      </c>
      <c r="C104" s="5">
        <f t="shared" si="17"/>
        <v>2020</v>
      </c>
      <c r="D104" s="5" t="s">
        <v>148</v>
      </c>
      <c r="E104" s="5" t="str">
        <f>VLOOKUP(F104,'Set up'!$A$2:$C$70,2,FALSE)</f>
        <v>C00000001</v>
      </c>
      <c r="F104" s="1" t="s">
        <v>7</v>
      </c>
      <c r="G104" s="2" t="s">
        <v>63</v>
      </c>
      <c r="H104" s="5">
        <v>4</v>
      </c>
      <c r="I104" s="5" t="str">
        <f>VLOOKUP(F104,'Set up'!$A$2:$C$70,3,FALSE)</f>
        <v>Cash</v>
      </c>
      <c r="J104" s="5">
        <f>VLOOKUP(F104,'Set up'!$A$2:$D$70,4,FALSE)</f>
        <v>0</v>
      </c>
      <c r="K104" s="4">
        <f t="shared" si="18"/>
        <v>44135</v>
      </c>
      <c r="L104" s="5">
        <f t="shared" si="19"/>
        <v>10</v>
      </c>
      <c r="M104" s="5">
        <f t="shared" si="20"/>
        <v>2020</v>
      </c>
      <c r="N104" s="6">
        <v>962</v>
      </c>
      <c r="O104" s="6">
        <f t="shared" si="22"/>
        <v>-962</v>
      </c>
      <c r="P104" s="6">
        <f t="shared" si="23"/>
        <v>0</v>
      </c>
      <c r="Q104" s="7">
        <f t="shared" si="21"/>
        <v>142832.29999999999</v>
      </c>
      <c r="R104" s="44" t="str">
        <f>VLOOKUP(F104,'Set up'!$A$2:$E$70,5,FALSE)</f>
        <v>Trsf</v>
      </c>
      <c r="S104" s="1" t="s">
        <v>159</v>
      </c>
    </row>
    <row r="105" spans="1:19" x14ac:dyDescent="0.3">
      <c r="A105" s="4">
        <v>44135</v>
      </c>
      <c r="B105" s="5">
        <f t="shared" si="16"/>
        <v>10</v>
      </c>
      <c r="C105" s="5">
        <f t="shared" si="17"/>
        <v>2020</v>
      </c>
      <c r="D105" s="5" t="s">
        <v>149</v>
      </c>
      <c r="E105" s="5" t="str">
        <f>VLOOKUP(F105,'Set up'!$A$2:$C$70,2,FALSE)</f>
        <v>C00000005</v>
      </c>
      <c r="F105" s="1" t="s">
        <v>35</v>
      </c>
      <c r="G105" s="11" t="s">
        <v>67</v>
      </c>
      <c r="H105" s="5">
        <v>1</v>
      </c>
      <c r="I105" s="5" t="str">
        <f>VLOOKUP(F105,'Set up'!$A$2:$C$70,3,FALSE)</f>
        <v>Cash</v>
      </c>
      <c r="J105" s="5">
        <f>VLOOKUP(F105,'Set up'!$A$2:$D$70,4,FALSE)</f>
        <v>0</v>
      </c>
      <c r="K105" s="4">
        <f t="shared" si="18"/>
        <v>44135</v>
      </c>
      <c r="L105" s="5">
        <f t="shared" si="19"/>
        <v>10</v>
      </c>
      <c r="M105" s="5">
        <f t="shared" si="20"/>
        <v>2020</v>
      </c>
      <c r="N105" s="6">
        <v>1496</v>
      </c>
      <c r="O105" s="6">
        <f t="shared" si="22"/>
        <v>-1496</v>
      </c>
      <c r="P105" s="6">
        <f t="shared" si="23"/>
        <v>0</v>
      </c>
      <c r="Q105" s="7">
        <f t="shared" si="21"/>
        <v>144328.29999999999</v>
      </c>
      <c r="R105" s="44" t="str">
        <f>VLOOKUP(F105,'Set up'!$A$2:$E$70,5,FALSE)</f>
        <v>Chq</v>
      </c>
      <c r="S105" s="1" t="s">
        <v>158</v>
      </c>
    </row>
    <row r="106" spans="1:19" x14ac:dyDescent="0.3">
      <c r="A106" s="4">
        <v>44144</v>
      </c>
      <c r="B106" s="5">
        <f t="shared" si="16"/>
        <v>11</v>
      </c>
      <c r="C106" s="5">
        <f t="shared" si="17"/>
        <v>2020</v>
      </c>
      <c r="D106" s="5" t="s">
        <v>151</v>
      </c>
      <c r="E106" s="5" t="str">
        <f>VLOOKUP(F106,'Set up'!$A$2:$C$70,2,FALSE)</f>
        <v>C00000006</v>
      </c>
      <c r="F106" s="1" t="s">
        <v>43</v>
      </c>
      <c r="G106" s="2" t="s">
        <v>95</v>
      </c>
      <c r="H106" s="5">
        <v>1</v>
      </c>
      <c r="I106" s="5" t="str">
        <f>VLOOKUP(F106,'Set up'!$A$2:$C$70,3,FALSE)</f>
        <v>Cash</v>
      </c>
      <c r="J106" s="5">
        <f>VLOOKUP(F106,'Set up'!$A$2:$D$70,4,FALSE)</f>
        <v>0</v>
      </c>
      <c r="K106" s="4">
        <f t="shared" si="18"/>
        <v>44144</v>
      </c>
      <c r="L106" s="5">
        <f t="shared" si="19"/>
        <v>11</v>
      </c>
      <c r="M106" s="5">
        <f t="shared" si="20"/>
        <v>2020</v>
      </c>
      <c r="N106" s="6">
        <v>1584</v>
      </c>
      <c r="O106" s="6">
        <f t="shared" si="22"/>
        <v>-1584</v>
      </c>
      <c r="P106" s="6">
        <f t="shared" si="23"/>
        <v>0</v>
      </c>
      <c r="Q106" s="7">
        <f t="shared" si="21"/>
        <v>145912.29999999999</v>
      </c>
      <c r="R106" s="44" t="str">
        <f>VLOOKUP(F106,'Set up'!$A$2:$E$70,5,FALSE)</f>
        <v>Chq</v>
      </c>
      <c r="S106" s="1" t="s">
        <v>213</v>
      </c>
    </row>
    <row r="107" spans="1:19" x14ac:dyDescent="0.3">
      <c r="A107" s="4">
        <v>44144</v>
      </c>
      <c r="B107" s="5">
        <f t="shared" si="16"/>
        <v>11</v>
      </c>
      <c r="C107" s="5">
        <f t="shared" si="17"/>
        <v>2020</v>
      </c>
      <c r="D107" s="5" t="s">
        <v>151</v>
      </c>
      <c r="E107" s="5" t="str">
        <f>VLOOKUP(F107,'Set up'!$A$2:$C$70,2,FALSE)</f>
        <v>C00000006</v>
      </c>
      <c r="F107" s="1" t="s">
        <v>43</v>
      </c>
      <c r="G107" s="11" t="s">
        <v>44</v>
      </c>
      <c r="H107" s="5">
        <v>1</v>
      </c>
      <c r="I107" s="5" t="str">
        <f>VLOOKUP(F107,'Set up'!$A$2:$C$70,3,FALSE)</f>
        <v>Cash</v>
      </c>
      <c r="J107" s="5">
        <f>VLOOKUP(F107,'Set up'!$A$2:$D$70,4,FALSE)</f>
        <v>0</v>
      </c>
      <c r="K107" s="4">
        <f t="shared" si="18"/>
        <v>44144</v>
      </c>
      <c r="L107" s="5">
        <f t="shared" si="19"/>
        <v>11</v>
      </c>
      <c r="M107" s="5">
        <f t="shared" si="20"/>
        <v>2020</v>
      </c>
      <c r="N107" s="6">
        <v>210</v>
      </c>
      <c r="O107" s="6">
        <f t="shared" si="22"/>
        <v>-210</v>
      </c>
      <c r="P107" s="6">
        <f t="shared" si="23"/>
        <v>0</v>
      </c>
      <c r="Q107" s="7">
        <f t="shared" si="21"/>
        <v>146122.29999999999</v>
      </c>
      <c r="R107" s="44" t="str">
        <f>VLOOKUP(F107,'Set up'!$A$2:$E$70,5,FALSE)</f>
        <v>Chq</v>
      </c>
      <c r="S107" s="1" t="s">
        <v>213</v>
      </c>
    </row>
    <row r="108" spans="1:19" x14ac:dyDescent="0.3">
      <c r="A108" s="4">
        <v>44144</v>
      </c>
      <c r="B108" s="5">
        <f t="shared" si="16"/>
        <v>11</v>
      </c>
      <c r="C108" s="5">
        <f t="shared" si="17"/>
        <v>2020</v>
      </c>
      <c r="D108" s="5" t="s">
        <v>151</v>
      </c>
      <c r="E108" s="5" t="str">
        <f>VLOOKUP(F108,'Set up'!$A$2:$C$70,2,FALSE)</f>
        <v>C00000006</v>
      </c>
      <c r="F108" s="1" t="s">
        <v>43</v>
      </c>
      <c r="G108" s="11" t="s">
        <v>97</v>
      </c>
      <c r="H108" s="5">
        <v>1</v>
      </c>
      <c r="I108" s="5" t="str">
        <f>VLOOKUP(F108,'Set up'!$A$2:$C$70,3,FALSE)</f>
        <v>Cash</v>
      </c>
      <c r="J108" s="5">
        <f>VLOOKUP(F108,'Set up'!$A$2:$D$70,4,FALSE)</f>
        <v>0</v>
      </c>
      <c r="K108" s="4">
        <f t="shared" si="18"/>
        <v>44144</v>
      </c>
      <c r="L108" s="5">
        <f t="shared" si="19"/>
        <v>11</v>
      </c>
      <c r="M108" s="5">
        <f t="shared" si="20"/>
        <v>2020</v>
      </c>
      <c r="N108" s="6">
        <v>378</v>
      </c>
      <c r="O108" s="6">
        <f t="shared" si="22"/>
        <v>-378</v>
      </c>
      <c r="P108" s="6">
        <f t="shared" si="23"/>
        <v>0</v>
      </c>
      <c r="Q108" s="7">
        <f t="shared" si="21"/>
        <v>146500.29999999999</v>
      </c>
      <c r="R108" s="44" t="str">
        <f>VLOOKUP(F108,'Set up'!$A$2:$E$70,5,FALSE)</f>
        <v>Chq</v>
      </c>
      <c r="S108" s="1" t="s">
        <v>213</v>
      </c>
    </row>
    <row r="109" spans="1:19" x14ac:dyDescent="0.3">
      <c r="A109" s="4">
        <v>44144</v>
      </c>
      <c r="B109" s="5">
        <f t="shared" si="16"/>
        <v>11</v>
      </c>
      <c r="C109" s="5">
        <f t="shared" si="17"/>
        <v>2020</v>
      </c>
      <c r="D109" s="5" t="s">
        <v>151</v>
      </c>
      <c r="E109" s="5" t="str">
        <f>VLOOKUP(F109,'Set up'!$A$2:$C$70,2,FALSE)</f>
        <v>C00000006</v>
      </c>
      <c r="F109" s="1" t="s">
        <v>43</v>
      </c>
      <c r="G109" s="2" t="s">
        <v>152</v>
      </c>
      <c r="H109" s="5">
        <v>1</v>
      </c>
      <c r="I109" s="5" t="str">
        <f>VLOOKUP(F109,'Set up'!$A$2:$C$70,3,FALSE)</f>
        <v>Cash</v>
      </c>
      <c r="J109" s="5">
        <f>VLOOKUP(F109,'Set up'!$A$2:$D$70,4,FALSE)</f>
        <v>0</v>
      </c>
      <c r="K109" s="4">
        <f t="shared" si="18"/>
        <v>44144</v>
      </c>
      <c r="L109" s="5">
        <f t="shared" si="19"/>
        <v>11</v>
      </c>
      <c r="M109" s="5">
        <f t="shared" si="20"/>
        <v>2020</v>
      </c>
      <c r="N109" s="6">
        <v>130</v>
      </c>
      <c r="O109" s="6">
        <f t="shared" si="22"/>
        <v>-130</v>
      </c>
      <c r="P109" s="6">
        <f t="shared" si="23"/>
        <v>0</v>
      </c>
      <c r="Q109" s="7">
        <f t="shared" si="21"/>
        <v>146630.29999999999</v>
      </c>
      <c r="R109" s="44" t="str">
        <f>VLOOKUP(F109,'Set up'!$A$2:$E$70,5,FALSE)</f>
        <v>Chq</v>
      </c>
      <c r="S109" s="1" t="s">
        <v>213</v>
      </c>
    </row>
    <row r="110" spans="1:19" x14ac:dyDescent="0.3">
      <c r="A110" s="4">
        <v>44145</v>
      </c>
      <c r="B110" s="5">
        <f t="shared" si="16"/>
        <v>11</v>
      </c>
      <c r="C110" s="5">
        <f t="shared" si="17"/>
        <v>2020</v>
      </c>
      <c r="D110" s="5" t="s">
        <v>153</v>
      </c>
      <c r="E110" s="5" t="str">
        <f>VLOOKUP(F110,'Set up'!$A$2:$C$70,2,FALSE)</f>
        <v>C00000001</v>
      </c>
      <c r="F110" s="1" t="s">
        <v>7</v>
      </c>
      <c r="G110" s="11" t="s">
        <v>67</v>
      </c>
      <c r="H110" s="5">
        <v>1</v>
      </c>
      <c r="I110" s="5" t="str">
        <f>VLOOKUP(F110,'Set up'!$A$2:$C$70,3,FALSE)</f>
        <v>Cash</v>
      </c>
      <c r="J110" s="5">
        <f>VLOOKUP(F110,'Set up'!$A$2:$D$70,4,FALSE)</f>
        <v>0</v>
      </c>
      <c r="K110" s="4">
        <f t="shared" si="18"/>
        <v>44145</v>
      </c>
      <c r="L110" s="5">
        <f t="shared" si="19"/>
        <v>11</v>
      </c>
      <c r="M110" s="5">
        <f t="shared" si="20"/>
        <v>2020</v>
      </c>
      <c r="N110" s="6">
        <v>1584</v>
      </c>
      <c r="O110" s="6">
        <f t="shared" si="22"/>
        <v>-1584</v>
      </c>
      <c r="P110" s="6">
        <f t="shared" si="23"/>
        <v>0</v>
      </c>
      <c r="Q110" s="7">
        <f t="shared" si="21"/>
        <v>148214.29999999999</v>
      </c>
      <c r="R110" s="44" t="str">
        <f>VLOOKUP(F110,'Set up'!$A$2:$E$70,5,FALSE)</f>
        <v>Trsf</v>
      </c>
      <c r="S110" s="1" t="s">
        <v>171</v>
      </c>
    </row>
    <row r="111" spans="1:19" x14ac:dyDescent="0.3">
      <c r="A111" s="4">
        <v>44145</v>
      </c>
      <c r="B111" s="5">
        <f t="shared" si="16"/>
        <v>11</v>
      </c>
      <c r="C111" s="5">
        <f t="shared" si="17"/>
        <v>2020</v>
      </c>
      <c r="D111" s="5" t="s">
        <v>153</v>
      </c>
      <c r="E111" s="5" t="str">
        <f>VLOOKUP(F111,'Set up'!$A$2:$C$70,2,FALSE)</f>
        <v>C00000001</v>
      </c>
      <c r="F111" s="1" t="s">
        <v>7</v>
      </c>
      <c r="G111" s="11" t="s">
        <v>46</v>
      </c>
      <c r="H111" s="5">
        <v>4</v>
      </c>
      <c r="I111" s="5" t="str">
        <f>VLOOKUP(F111,'Set up'!$A$2:$C$70,3,FALSE)</f>
        <v>Cash</v>
      </c>
      <c r="J111" s="5">
        <f>VLOOKUP(F111,'Set up'!$A$2:$D$70,4,FALSE)</f>
        <v>0</v>
      </c>
      <c r="K111" s="4">
        <f t="shared" si="18"/>
        <v>44145</v>
      </c>
      <c r="L111" s="5">
        <f t="shared" si="19"/>
        <v>11</v>
      </c>
      <c r="M111" s="5">
        <f t="shared" si="20"/>
        <v>2020</v>
      </c>
      <c r="N111" s="6">
        <v>370</v>
      </c>
      <c r="O111" s="6">
        <f t="shared" si="22"/>
        <v>-370</v>
      </c>
      <c r="P111" s="6">
        <f t="shared" si="23"/>
        <v>0</v>
      </c>
      <c r="Q111" s="7">
        <f t="shared" si="21"/>
        <v>148584.29999999999</v>
      </c>
      <c r="R111" s="44" t="str">
        <f>VLOOKUP(F111,'Set up'!$A$2:$E$70,5,FALSE)</f>
        <v>Trsf</v>
      </c>
      <c r="S111" s="1" t="s">
        <v>171</v>
      </c>
    </row>
    <row r="112" spans="1:19" x14ac:dyDescent="0.3">
      <c r="A112" s="4">
        <v>44145</v>
      </c>
      <c r="B112" s="5">
        <f t="shared" si="16"/>
        <v>11</v>
      </c>
      <c r="C112" s="5">
        <f t="shared" si="17"/>
        <v>2020</v>
      </c>
      <c r="D112" s="5" t="s">
        <v>154</v>
      </c>
      <c r="E112" s="5" t="str">
        <f>VLOOKUP(F112,'Set up'!$A$2:$C$70,2,FALSE)</f>
        <v>C00000005</v>
      </c>
      <c r="F112" s="1" t="s">
        <v>35</v>
      </c>
      <c r="G112" s="11" t="s">
        <v>67</v>
      </c>
      <c r="H112" s="5">
        <v>1</v>
      </c>
      <c r="I112" s="5" t="str">
        <f>VLOOKUP(F112,'Set up'!$A$2:$C$70,3,FALSE)</f>
        <v>Cash</v>
      </c>
      <c r="J112" s="5">
        <f>VLOOKUP(F112,'Set up'!$A$2:$D$70,4,FALSE)</f>
        <v>0</v>
      </c>
      <c r="K112" s="4">
        <f t="shared" si="18"/>
        <v>44145</v>
      </c>
      <c r="L112" s="5">
        <f t="shared" si="19"/>
        <v>11</v>
      </c>
      <c r="M112" s="5">
        <f t="shared" si="20"/>
        <v>2020</v>
      </c>
      <c r="N112" s="6">
        <v>1540</v>
      </c>
      <c r="O112" s="6">
        <f t="shared" si="22"/>
        <v>-1540</v>
      </c>
      <c r="P112" s="6">
        <f t="shared" si="23"/>
        <v>0</v>
      </c>
      <c r="Q112" s="7">
        <f t="shared" si="21"/>
        <v>150124.29999999999</v>
      </c>
      <c r="R112" s="44" t="str">
        <f>VLOOKUP(F112,'Set up'!$A$2:$E$70,5,FALSE)</f>
        <v>Chq</v>
      </c>
      <c r="S112" s="1" t="s">
        <v>189</v>
      </c>
    </row>
    <row r="113" spans="1:19" x14ac:dyDescent="0.3">
      <c r="A113" s="4">
        <v>44145</v>
      </c>
      <c r="B113" s="5">
        <f t="shared" si="16"/>
        <v>11</v>
      </c>
      <c r="C113" s="5">
        <f t="shared" si="17"/>
        <v>2020</v>
      </c>
      <c r="D113" s="5" t="s">
        <v>154</v>
      </c>
      <c r="E113" s="5" t="str">
        <f>VLOOKUP(F113,'Set up'!$A$2:$C$70,2,FALSE)</f>
        <v>C00000005</v>
      </c>
      <c r="F113" s="1" t="s">
        <v>35</v>
      </c>
      <c r="G113" s="11" t="s">
        <v>46</v>
      </c>
      <c r="H113" s="5">
        <v>1</v>
      </c>
      <c r="I113" s="5" t="str">
        <f>VLOOKUP(F113,'Set up'!$A$2:$C$70,3,FALSE)</f>
        <v>Cash</v>
      </c>
      <c r="J113" s="5">
        <f>VLOOKUP(F113,'Set up'!$A$2:$D$70,4,FALSE)</f>
        <v>0</v>
      </c>
      <c r="K113" s="4">
        <f t="shared" si="18"/>
        <v>44145</v>
      </c>
      <c r="L113" s="5">
        <f t="shared" si="19"/>
        <v>11</v>
      </c>
      <c r="M113" s="5">
        <f t="shared" si="20"/>
        <v>2020</v>
      </c>
      <c r="N113" s="6">
        <v>90</v>
      </c>
      <c r="O113" s="6">
        <f t="shared" si="22"/>
        <v>-90</v>
      </c>
      <c r="P113" s="6">
        <f t="shared" si="23"/>
        <v>0</v>
      </c>
      <c r="Q113" s="7">
        <f t="shared" si="21"/>
        <v>150214.29999999999</v>
      </c>
      <c r="R113" s="44" t="str">
        <f>VLOOKUP(F113,'Set up'!$A$2:$E$70,5,FALSE)</f>
        <v>Chq</v>
      </c>
      <c r="S113" s="1" t="s">
        <v>189</v>
      </c>
    </row>
    <row r="114" spans="1:19" x14ac:dyDescent="0.3">
      <c r="A114" s="4">
        <v>44146</v>
      </c>
      <c r="B114" s="5">
        <f t="shared" si="16"/>
        <v>11</v>
      </c>
      <c r="C114" s="5">
        <f t="shared" si="17"/>
        <v>2020</v>
      </c>
      <c r="D114" s="5" t="s">
        <v>155</v>
      </c>
      <c r="E114" s="5" t="str">
        <f>VLOOKUP(F114,'Set up'!$A$2:$C$70,2,FALSE)</f>
        <v>C00000009</v>
      </c>
      <c r="F114" s="1" t="s">
        <v>58</v>
      </c>
      <c r="G114" s="2" t="s">
        <v>96</v>
      </c>
      <c r="H114" s="5">
        <v>3</v>
      </c>
      <c r="I114" s="5">
        <f>VLOOKUP(F114,'Set up'!$A$2:$C$70,3,FALSE)</f>
        <v>60</v>
      </c>
      <c r="J114" s="5">
        <f>VLOOKUP(F114,'Set up'!$A$2:$D$70,4,FALSE)</f>
        <v>60</v>
      </c>
      <c r="K114" s="4">
        <f t="shared" si="18"/>
        <v>44206</v>
      </c>
      <c r="L114" s="5">
        <f t="shared" si="19"/>
        <v>1</v>
      </c>
      <c r="M114" s="5">
        <f t="shared" si="20"/>
        <v>2021</v>
      </c>
      <c r="N114" s="6">
        <v>923.4</v>
      </c>
      <c r="O114" s="6">
        <f t="shared" si="22"/>
        <v>-923.4</v>
      </c>
      <c r="P114" s="6">
        <f t="shared" si="23"/>
        <v>0</v>
      </c>
      <c r="Q114" s="7">
        <f t="shared" si="21"/>
        <v>151137.69999999998</v>
      </c>
      <c r="R114" s="44" t="str">
        <f>VLOOKUP(F114,'Set up'!$A$2:$E$70,5,FALSE)</f>
        <v>Chq</v>
      </c>
      <c r="S114" s="9" t="s">
        <v>264</v>
      </c>
    </row>
    <row r="115" spans="1:19" x14ac:dyDescent="0.3">
      <c r="A115" s="4">
        <v>44146</v>
      </c>
      <c r="B115" s="5">
        <f t="shared" si="16"/>
        <v>11</v>
      </c>
      <c r="C115" s="5">
        <f t="shared" si="17"/>
        <v>2020</v>
      </c>
      <c r="D115" s="5" t="s">
        <v>155</v>
      </c>
      <c r="E115" s="5" t="str">
        <f>VLOOKUP(F115,'Set up'!$A$2:$C$70,2,FALSE)</f>
        <v>C00000009</v>
      </c>
      <c r="F115" s="1" t="s">
        <v>58</v>
      </c>
      <c r="G115" s="11" t="s">
        <v>97</v>
      </c>
      <c r="H115" s="5">
        <v>1</v>
      </c>
      <c r="I115" s="5">
        <f>VLOOKUP(F115,'Set up'!$A$2:$C$70,3,FALSE)</f>
        <v>60</v>
      </c>
      <c r="J115" s="5">
        <f>VLOOKUP(F115,'Set up'!$A$2:$D$70,4,FALSE)</f>
        <v>60</v>
      </c>
      <c r="K115" s="4">
        <f t="shared" si="18"/>
        <v>44206</v>
      </c>
      <c r="L115" s="5">
        <f t="shared" si="19"/>
        <v>1</v>
      </c>
      <c r="M115" s="5">
        <f t="shared" si="20"/>
        <v>2021</v>
      </c>
      <c r="N115" s="6">
        <v>307.8</v>
      </c>
      <c r="O115" s="6">
        <f t="shared" si="22"/>
        <v>-307.8</v>
      </c>
      <c r="P115" s="6">
        <f t="shared" si="23"/>
        <v>0</v>
      </c>
      <c r="Q115" s="7">
        <f t="shared" si="21"/>
        <v>151445.49999999997</v>
      </c>
      <c r="R115" s="44" t="str">
        <f>VLOOKUP(F115,'Set up'!$A$2:$E$70,5,FALSE)</f>
        <v>Chq</v>
      </c>
      <c r="S115" s="9" t="s">
        <v>264</v>
      </c>
    </row>
    <row r="116" spans="1:19" x14ac:dyDescent="0.3">
      <c r="A116" s="4">
        <v>44153</v>
      </c>
      <c r="B116" s="5">
        <f t="shared" si="16"/>
        <v>11</v>
      </c>
      <c r="C116" s="5">
        <f t="shared" si="17"/>
        <v>2020</v>
      </c>
      <c r="D116" s="5" t="s">
        <v>165</v>
      </c>
      <c r="E116" s="5" t="str">
        <f>VLOOKUP(F116,'Set up'!$A$2:$C$70,2,FALSE)</f>
        <v>C00000001</v>
      </c>
      <c r="F116" s="1" t="s">
        <v>7</v>
      </c>
      <c r="G116" s="11" t="s">
        <v>67</v>
      </c>
      <c r="H116" s="5">
        <v>1</v>
      </c>
      <c r="I116" s="5" t="str">
        <f>VLOOKUP(F116,'Set up'!$A$2:$C$70,3,FALSE)</f>
        <v>Cash</v>
      </c>
      <c r="J116" s="5">
        <f>VLOOKUP(F116,'Set up'!$A$2:$D$70,4,FALSE)</f>
        <v>0</v>
      </c>
      <c r="K116" s="4">
        <f t="shared" si="18"/>
        <v>44153</v>
      </c>
      <c r="L116" s="5">
        <f t="shared" si="19"/>
        <v>11</v>
      </c>
      <c r="M116" s="5">
        <f t="shared" si="20"/>
        <v>2020</v>
      </c>
      <c r="N116" s="6">
        <v>1584</v>
      </c>
      <c r="O116" s="6">
        <f t="shared" si="22"/>
        <v>-1584</v>
      </c>
      <c r="P116" s="6">
        <f t="shared" si="23"/>
        <v>0</v>
      </c>
      <c r="Q116" s="7">
        <f t="shared" si="21"/>
        <v>153029.49999999997</v>
      </c>
      <c r="R116" s="44" t="str">
        <f>VLOOKUP(F116,'Set up'!$A$2:$E$70,5,FALSE)</f>
        <v>Trsf</v>
      </c>
      <c r="S116" s="1" t="s">
        <v>171</v>
      </c>
    </row>
    <row r="117" spans="1:19" x14ac:dyDescent="0.3">
      <c r="A117" s="4">
        <v>44159</v>
      </c>
      <c r="B117" s="5">
        <f t="shared" si="16"/>
        <v>11</v>
      </c>
      <c r="C117" s="5">
        <f t="shared" si="17"/>
        <v>2020</v>
      </c>
      <c r="D117" s="5" t="s">
        <v>166</v>
      </c>
      <c r="E117" s="5" t="str">
        <f>VLOOKUP(F117,'Set up'!$A$2:$C$70,2,FALSE)</f>
        <v>C00000001</v>
      </c>
      <c r="F117" s="1" t="s">
        <v>7</v>
      </c>
      <c r="G117" s="11" t="s">
        <v>201</v>
      </c>
      <c r="H117" s="5">
        <v>2</v>
      </c>
      <c r="I117" s="5" t="str">
        <f>VLOOKUP(F117,'Set up'!$A$2:$C$70,3,FALSE)</f>
        <v>Cash</v>
      </c>
      <c r="J117" s="5">
        <f>VLOOKUP(F117,'Set up'!$A$2:$D$70,4,FALSE)</f>
        <v>0</v>
      </c>
      <c r="K117" s="4">
        <f t="shared" si="18"/>
        <v>44159</v>
      </c>
      <c r="L117" s="5">
        <f t="shared" si="19"/>
        <v>11</v>
      </c>
      <c r="M117" s="5">
        <f t="shared" si="20"/>
        <v>2020</v>
      </c>
      <c r="N117" s="6">
        <v>520</v>
      </c>
      <c r="O117" s="6">
        <f t="shared" si="22"/>
        <v>-520</v>
      </c>
      <c r="P117" s="6">
        <f t="shared" si="23"/>
        <v>0</v>
      </c>
      <c r="Q117" s="7">
        <f t="shared" si="21"/>
        <v>153549.49999999997</v>
      </c>
      <c r="R117" s="44" t="str">
        <f>VLOOKUP(F117,'Set up'!$A$2:$E$70,5,FALSE)</f>
        <v>Trsf</v>
      </c>
      <c r="S117" s="1" t="s">
        <v>214</v>
      </c>
    </row>
    <row r="118" spans="1:19" x14ac:dyDescent="0.3">
      <c r="A118" s="4">
        <v>44155</v>
      </c>
      <c r="B118" s="5">
        <f t="shared" si="16"/>
        <v>11</v>
      </c>
      <c r="C118" s="5">
        <f t="shared" si="17"/>
        <v>2020</v>
      </c>
      <c r="D118" s="5" t="s">
        <v>167</v>
      </c>
      <c r="E118" s="5" t="str">
        <f>VLOOKUP(F118,'Set up'!$A$2:$C$70,2,FALSE)</f>
        <v>C00000010</v>
      </c>
      <c r="F118" s="1" t="s">
        <v>62</v>
      </c>
      <c r="G118" s="2" t="s">
        <v>168</v>
      </c>
      <c r="H118" s="5">
        <v>3</v>
      </c>
      <c r="I118" s="5">
        <f>VLOOKUP(F118,'Set up'!$A$2:$C$70,3,FALSE)</f>
        <v>120</v>
      </c>
      <c r="J118" s="5">
        <f>VLOOKUP(F118,'Set up'!$A$2:$D$70,4,FALSE)</f>
        <v>120</v>
      </c>
      <c r="K118" s="4">
        <f t="shared" si="18"/>
        <v>44275</v>
      </c>
      <c r="L118" s="5">
        <f t="shared" si="19"/>
        <v>3</v>
      </c>
      <c r="M118" s="5">
        <f t="shared" si="20"/>
        <v>2021</v>
      </c>
      <c r="N118" s="6">
        <v>4050</v>
      </c>
      <c r="O118" s="6">
        <f t="shared" si="22"/>
        <v>-4050</v>
      </c>
      <c r="P118" s="6">
        <f t="shared" si="23"/>
        <v>0</v>
      </c>
      <c r="Q118" s="7">
        <f t="shared" si="21"/>
        <v>157599.49999999997</v>
      </c>
      <c r="R118" s="44" t="str">
        <f>VLOOKUP(F118,'Set up'!$A$2:$E$70,5,FALSE)</f>
        <v>Trsf</v>
      </c>
      <c r="S118" s="13" t="s">
        <v>187</v>
      </c>
    </row>
    <row r="119" spans="1:19" x14ac:dyDescent="0.3">
      <c r="A119" s="4">
        <v>44155</v>
      </c>
      <c r="B119" s="5">
        <f t="shared" si="16"/>
        <v>11</v>
      </c>
      <c r="C119" s="5">
        <f t="shared" si="17"/>
        <v>2020</v>
      </c>
      <c r="D119" s="5" t="s">
        <v>167</v>
      </c>
      <c r="E119" s="5" t="str">
        <f>VLOOKUP(F119,'Set up'!$A$2:$C$70,2,FALSE)</f>
        <v>C00000010</v>
      </c>
      <c r="F119" s="1" t="s">
        <v>62</v>
      </c>
      <c r="G119" s="2" t="s">
        <v>95</v>
      </c>
      <c r="H119" s="5">
        <v>2</v>
      </c>
      <c r="I119" s="5">
        <f>VLOOKUP(F119,'Set up'!$A$2:$C$70,3,FALSE)</f>
        <v>120</v>
      </c>
      <c r="J119" s="5">
        <f>VLOOKUP(F119,'Set up'!$A$2:$D$70,4,FALSE)</f>
        <v>120</v>
      </c>
      <c r="K119" s="4">
        <f t="shared" si="18"/>
        <v>44275</v>
      </c>
      <c r="L119" s="5">
        <f t="shared" si="19"/>
        <v>3</v>
      </c>
      <c r="M119" s="5">
        <f t="shared" si="20"/>
        <v>2021</v>
      </c>
      <c r="N119" s="6">
        <v>2640</v>
      </c>
      <c r="O119" s="6">
        <f t="shared" si="22"/>
        <v>-2640</v>
      </c>
      <c r="P119" s="6">
        <f t="shared" si="23"/>
        <v>0</v>
      </c>
      <c r="Q119" s="7">
        <f t="shared" si="21"/>
        <v>160239.49999999997</v>
      </c>
      <c r="R119" s="44" t="str">
        <f>VLOOKUP(F119,'Set up'!$A$2:$E$70,5,FALSE)</f>
        <v>Trsf</v>
      </c>
      <c r="S119" s="13" t="s">
        <v>187</v>
      </c>
    </row>
    <row r="120" spans="1:19" x14ac:dyDescent="0.3">
      <c r="A120" s="4">
        <v>44155</v>
      </c>
      <c r="B120" s="5">
        <f t="shared" si="16"/>
        <v>11</v>
      </c>
      <c r="C120" s="5">
        <f t="shared" si="17"/>
        <v>2020</v>
      </c>
      <c r="D120" s="5" t="s">
        <v>167</v>
      </c>
      <c r="E120" s="5" t="str">
        <f>VLOOKUP(F120,'Set up'!$A$2:$C$70,2,FALSE)</f>
        <v>C00000010</v>
      </c>
      <c r="F120" s="1" t="s">
        <v>62</v>
      </c>
      <c r="G120" s="2" t="s">
        <v>63</v>
      </c>
      <c r="H120" s="5">
        <v>8</v>
      </c>
      <c r="I120" s="5">
        <f>VLOOKUP(F120,'Set up'!$A$2:$C$70,3,FALSE)</f>
        <v>120</v>
      </c>
      <c r="J120" s="5">
        <f>VLOOKUP(F120,'Set up'!$A$2:$D$70,4,FALSE)</f>
        <v>120</v>
      </c>
      <c r="K120" s="4">
        <f t="shared" si="18"/>
        <v>44275</v>
      </c>
      <c r="L120" s="5">
        <f t="shared" si="19"/>
        <v>3</v>
      </c>
      <c r="M120" s="5">
        <f t="shared" si="20"/>
        <v>2021</v>
      </c>
      <c r="N120" s="6">
        <v>1776</v>
      </c>
      <c r="O120" s="6">
        <f t="shared" si="22"/>
        <v>-1776</v>
      </c>
      <c r="P120" s="6">
        <f t="shared" si="23"/>
        <v>0</v>
      </c>
      <c r="Q120" s="7">
        <f t="shared" si="21"/>
        <v>162015.49999999997</v>
      </c>
      <c r="R120" s="44" t="str">
        <f>VLOOKUP(F120,'Set up'!$A$2:$E$70,5,FALSE)</f>
        <v>Trsf</v>
      </c>
      <c r="S120" s="13" t="s">
        <v>187</v>
      </c>
    </row>
    <row r="121" spans="1:19" x14ac:dyDescent="0.3">
      <c r="A121" s="4">
        <v>44155</v>
      </c>
      <c r="B121" s="5">
        <f t="shared" si="16"/>
        <v>11</v>
      </c>
      <c r="C121" s="5">
        <f t="shared" si="17"/>
        <v>2020</v>
      </c>
      <c r="D121" s="5" t="s">
        <v>167</v>
      </c>
      <c r="E121" s="5" t="str">
        <f>VLOOKUP(F121,'Set up'!$A$2:$C$70,2,FALSE)</f>
        <v>C00000010</v>
      </c>
      <c r="F121" s="1" t="s">
        <v>62</v>
      </c>
      <c r="G121" s="11" t="s">
        <v>64</v>
      </c>
      <c r="H121" s="5">
        <v>5</v>
      </c>
      <c r="I121" s="5">
        <f>VLOOKUP(F121,'Set up'!$A$2:$C$70,3,FALSE)</f>
        <v>120</v>
      </c>
      <c r="J121" s="5">
        <f>VLOOKUP(F121,'Set up'!$A$2:$D$70,4,FALSE)</f>
        <v>120</v>
      </c>
      <c r="K121" s="4">
        <f t="shared" si="18"/>
        <v>44275</v>
      </c>
      <c r="L121" s="5">
        <f t="shared" si="19"/>
        <v>3</v>
      </c>
      <c r="M121" s="5">
        <f t="shared" si="20"/>
        <v>2021</v>
      </c>
      <c r="N121" s="6">
        <v>275</v>
      </c>
      <c r="O121" s="6">
        <f t="shared" si="22"/>
        <v>-275</v>
      </c>
      <c r="P121" s="6">
        <f t="shared" si="23"/>
        <v>0</v>
      </c>
      <c r="Q121" s="7">
        <f t="shared" si="21"/>
        <v>162290.49999999997</v>
      </c>
      <c r="R121" s="44" t="str">
        <f>VLOOKUP(F121,'Set up'!$A$2:$E$70,5,FALSE)</f>
        <v>Trsf</v>
      </c>
      <c r="S121" s="13" t="s">
        <v>187</v>
      </c>
    </row>
    <row r="122" spans="1:19" x14ac:dyDescent="0.3">
      <c r="A122" s="4">
        <v>44155</v>
      </c>
      <c r="B122" s="5">
        <f t="shared" si="16"/>
        <v>11</v>
      </c>
      <c r="C122" s="5">
        <f t="shared" si="17"/>
        <v>2020</v>
      </c>
      <c r="D122" s="5" t="s">
        <v>167</v>
      </c>
      <c r="E122" s="5" t="str">
        <f>VLOOKUP(F122,'Set up'!$A$2:$C$70,2,FALSE)</f>
        <v>C00000010</v>
      </c>
      <c r="F122" s="1" t="s">
        <v>62</v>
      </c>
      <c r="G122" s="11" t="s">
        <v>46</v>
      </c>
      <c r="H122" s="5">
        <v>2</v>
      </c>
      <c r="I122" s="5">
        <f>VLOOKUP(F122,'Set up'!$A$2:$C$70,3,FALSE)</f>
        <v>120</v>
      </c>
      <c r="J122" s="5">
        <f>VLOOKUP(F122,'Set up'!$A$2:$D$70,4,FALSE)</f>
        <v>120</v>
      </c>
      <c r="K122" s="4">
        <f t="shared" si="18"/>
        <v>44275</v>
      </c>
      <c r="L122" s="5">
        <f t="shared" si="19"/>
        <v>3</v>
      </c>
      <c r="M122" s="5">
        <f t="shared" si="20"/>
        <v>2021</v>
      </c>
      <c r="N122" s="6">
        <v>180</v>
      </c>
      <c r="O122" s="6">
        <f t="shared" si="22"/>
        <v>-180</v>
      </c>
      <c r="P122" s="6">
        <f t="shared" si="23"/>
        <v>0</v>
      </c>
      <c r="Q122" s="7">
        <f t="shared" si="21"/>
        <v>162470.49999999997</v>
      </c>
      <c r="R122" s="44" t="str">
        <f>VLOOKUP(F122,'Set up'!$A$2:$E$70,5,FALSE)</f>
        <v>Trsf</v>
      </c>
      <c r="S122" s="13" t="s">
        <v>187</v>
      </c>
    </row>
    <row r="123" spans="1:19" x14ac:dyDescent="0.3">
      <c r="A123" s="4">
        <v>44155</v>
      </c>
      <c r="B123" s="5">
        <f t="shared" si="16"/>
        <v>11</v>
      </c>
      <c r="C123" s="5">
        <f t="shared" si="17"/>
        <v>2020</v>
      </c>
      <c r="D123" s="5" t="s">
        <v>167</v>
      </c>
      <c r="E123" s="5" t="str">
        <f>VLOOKUP(F123,'Set up'!$A$2:$C$70,2,FALSE)</f>
        <v>C00000010</v>
      </c>
      <c r="F123" s="1" t="s">
        <v>62</v>
      </c>
      <c r="G123" s="11" t="s">
        <v>65</v>
      </c>
      <c r="H123" s="5">
        <v>1</v>
      </c>
      <c r="I123" s="5">
        <f>VLOOKUP(F123,'Set up'!$A$2:$C$70,3,FALSE)</f>
        <v>120</v>
      </c>
      <c r="J123" s="5">
        <f>VLOOKUP(F123,'Set up'!$A$2:$D$70,4,FALSE)</f>
        <v>120</v>
      </c>
      <c r="K123" s="4">
        <f t="shared" si="18"/>
        <v>44275</v>
      </c>
      <c r="L123" s="5">
        <f t="shared" si="19"/>
        <v>3</v>
      </c>
      <c r="M123" s="5">
        <f t="shared" si="20"/>
        <v>2021</v>
      </c>
      <c r="N123" s="6">
        <v>375</v>
      </c>
      <c r="O123" s="6">
        <f t="shared" si="22"/>
        <v>-375</v>
      </c>
      <c r="P123" s="6">
        <f t="shared" si="23"/>
        <v>0</v>
      </c>
      <c r="Q123" s="7">
        <f t="shared" si="21"/>
        <v>162845.49999999997</v>
      </c>
      <c r="R123" s="44" t="str">
        <f>VLOOKUP(F123,'Set up'!$A$2:$E$70,5,FALSE)</f>
        <v>Trsf</v>
      </c>
      <c r="S123" s="13" t="s">
        <v>187</v>
      </c>
    </row>
    <row r="124" spans="1:19" x14ac:dyDescent="0.3">
      <c r="A124" s="4">
        <v>44156</v>
      </c>
      <c r="B124" s="5">
        <f t="shared" si="16"/>
        <v>11</v>
      </c>
      <c r="C124" s="5">
        <f t="shared" si="17"/>
        <v>2020</v>
      </c>
      <c r="D124" s="5" t="s">
        <v>170</v>
      </c>
      <c r="E124" s="5" t="str">
        <f>VLOOKUP(F124,'Set up'!$A$2:$C$70,2,FALSE)</f>
        <v>C00000008</v>
      </c>
      <c r="F124" s="1" t="s">
        <v>52</v>
      </c>
      <c r="G124" s="2" t="s">
        <v>95</v>
      </c>
      <c r="H124" s="5">
        <v>1</v>
      </c>
      <c r="I124" s="5" t="str">
        <f>VLOOKUP(F124,'Set up'!$A$2:$C$70,3,FALSE)</f>
        <v>Cash</v>
      </c>
      <c r="J124" s="5">
        <f>VLOOKUP(F124,'Set up'!$A$2:$D$70,4,FALSE)</f>
        <v>0</v>
      </c>
      <c r="K124" s="4">
        <f t="shared" si="18"/>
        <v>44156</v>
      </c>
      <c r="L124" s="5">
        <f t="shared" si="19"/>
        <v>11</v>
      </c>
      <c r="M124" s="5">
        <f t="shared" si="20"/>
        <v>2020</v>
      </c>
      <c r="N124" s="6">
        <v>1584</v>
      </c>
      <c r="O124" s="6">
        <v>-1584</v>
      </c>
      <c r="P124" s="6">
        <f t="shared" si="23"/>
        <v>0</v>
      </c>
      <c r="Q124" s="7">
        <f t="shared" si="21"/>
        <v>164429.49999999997</v>
      </c>
      <c r="R124" s="44" t="str">
        <f>VLOOKUP(F124,'Set up'!$A$2:$E$70,5,FALSE)</f>
        <v>Trsf</v>
      </c>
    </row>
    <row r="125" spans="1:19" x14ac:dyDescent="0.3">
      <c r="A125" s="4">
        <v>44156</v>
      </c>
      <c r="B125" s="5">
        <f t="shared" si="16"/>
        <v>11</v>
      </c>
      <c r="C125" s="5">
        <f t="shared" si="17"/>
        <v>2020</v>
      </c>
      <c r="D125" s="5" t="s">
        <v>170</v>
      </c>
      <c r="E125" s="5" t="str">
        <f>VLOOKUP(F125,'Set up'!$A$2:$C$70,2,FALSE)</f>
        <v>C00000008</v>
      </c>
      <c r="F125" s="1" t="s">
        <v>52</v>
      </c>
      <c r="G125" s="11" t="s">
        <v>44</v>
      </c>
      <c r="H125" s="5">
        <v>2</v>
      </c>
      <c r="I125" s="5" t="str">
        <f>VLOOKUP(F125,'Set up'!$A$2:$C$70,3,FALSE)</f>
        <v>Cash</v>
      </c>
      <c r="J125" s="5">
        <f>VLOOKUP(F125,'Set up'!$A$2:$D$70,4,FALSE)</f>
        <v>0</v>
      </c>
      <c r="K125" s="4">
        <f t="shared" si="18"/>
        <v>44156</v>
      </c>
      <c r="L125" s="5">
        <f t="shared" si="19"/>
        <v>11</v>
      </c>
      <c r="M125" s="5">
        <f t="shared" si="20"/>
        <v>2020</v>
      </c>
      <c r="N125" s="6">
        <v>420</v>
      </c>
      <c r="O125" s="6">
        <v>-420</v>
      </c>
      <c r="P125" s="6">
        <f t="shared" si="23"/>
        <v>0</v>
      </c>
      <c r="Q125" s="7">
        <f t="shared" si="21"/>
        <v>164849.49999999997</v>
      </c>
      <c r="R125" s="44" t="str">
        <f>VLOOKUP(F125,'Set up'!$A$2:$E$70,5,FALSE)</f>
        <v>Trsf</v>
      </c>
    </row>
    <row r="126" spans="1:19" x14ac:dyDescent="0.3">
      <c r="A126" s="4">
        <v>44156</v>
      </c>
      <c r="B126" s="5">
        <f t="shared" si="16"/>
        <v>11</v>
      </c>
      <c r="C126" s="5">
        <f t="shared" si="17"/>
        <v>2020</v>
      </c>
      <c r="D126" s="5" t="s">
        <v>170</v>
      </c>
      <c r="E126" s="5" t="str">
        <f>VLOOKUP(F126,'Set up'!$A$2:$C$70,2,FALSE)</f>
        <v>C00000008</v>
      </c>
      <c r="F126" s="1" t="s">
        <v>52</v>
      </c>
      <c r="G126" s="11" t="s">
        <v>46</v>
      </c>
      <c r="H126" s="5">
        <v>1</v>
      </c>
      <c r="I126" s="5" t="str">
        <f>VLOOKUP(F126,'Set up'!$A$2:$C$70,3,FALSE)</f>
        <v>Cash</v>
      </c>
      <c r="J126" s="5">
        <f>VLOOKUP(F126,'Set up'!$A$2:$D$70,4,FALSE)</f>
        <v>0</v>
      </c>
      <c r="K126" s="4">
        <f t="shared" si="18"/>
        <v>44156</v>
      </c>
      <c r="L126" s="5">
        <f t="shared" si="19"/>
        <v>11</v>
      </c>
      <c r="M126" s="5">
        <f t="shared" si="20"/>
        <v>2020</v>
      </c>
      <c r="N126" s="6">
        <v>90</v>
      </c>
      <c r="O126" s="6">
        <v>-90</v>
      </c>
      <c r="P126" s="6">
        <f t="shared" si="23"/>
        <v>0</v>
      </c>
      <c r="Q126" s="7">
        <f t="shared" si="21"/>
        <v>164939.49999999997</v>
      </c>
      <c r="R126" s="44" t="str">
        <f>VLOOKUP(F126,'Set up'!$A$2:$E$70,5,FALSE)</f>
        <v>Trsf</v>
      </c>
    </row>
    <row r="127" spans="1:19" x14ac:dyDescent="0.3">
      <c r="A127" s="4">
        <v>44156</v>
      </c>
      <c r="B127" s="5">
        <f t="shared" si="16"/>
        <v>11</v>
      </c>
      <c r="C127" s="5">
        <f t="shared" si="17"/>
        <v>2020</v>
      </c>
      <c r="D127" s="5" t="s">
        <v>170</v>
      </c>
      <c r="E127" s="5" t="str">
        <f>VLOOKUP(F127,'Set up'!$A$2:$C$70,2,FALSE)</f>
        <v>C00000008</v>
      </c>
      <c r="F127" s="1" t="s">
        <v>52</v>
      </c>
      <c r="G127" s="11" t="s">
        <v>63</v>
      </c>
      <c r="H127" s="5">
        <v>2</v>
      </c>
      <c r="I127" s="5" t="str">
        <f>VLOOKUP(F127,'Set up'!$A$2:$C$70,3,FALSE)</f>
        <v>Cash</v>
      </c>
      <c r="J127" s="5">
        <f>VLOOKUP(F127,'Set up'!$A$2:$D$70,4,FALSE)</f>
        <v>0</v>
      </c>
      <c r="K127" s="4">
        <f t="shared" si="18"/>
        <v>44156</v>
      </c>
      <c r="L127" s="5">
        <f t="shared" si="19"/>
        <v>11</v>
      </c>
      <c r="M127" s="5">
        <f t="shared" si="20"/>
        <v>2020</v>
      </c>
      <c r="N127" s="6">
        <v>518</v>
      </c>
      <c r="O127" s="6">
        <v>-518</v>
      </c>
      <c r="P127" s="6">
        <f t="shared" si="23"/>
        <v>0</v>
      </c>
      <c r="Q127" s="7">
        <f t="shared" si="21"/>
        <v>165457.49999999997</v>
      </c>
      <c r="R127" s="44" t="str">
        <f>VLOOKUP(F127,'Set up'!$A$2:$E$70,5,FALSE)</f>
        <v>Trsf</v>
      </c>
    </row>
    <row r="128" spans="1:19" x14ac:dyDescent="0.3">
      <c r="A128" s="4">
        <v>44158</v>
      </c>
      <c r="B128" s="5">
        <f t="shared" si="16"/>
        <v>11</v>
      </c>
      <c r="C128" s="5">
        <f t="shared" si="17"/>
        <v>2020</v>
      </c>
      <c r="D128" s="5" t="s">
        <v>172</v>
      </c>
      <c r="E128" s="5" t="str">
        <f>VLOOKUP(F128,'Set up'!$A$2:$C$70,2,FALSE)</f>
        <v>C00000005</v>
      </c>
      <c r="F128" s="1" t="s">
        <v>35</v>
      </c>
      <c r="G128" s="11" t="s">
        <v>67</v>
      </c>
      <c r="H128" s="5">
        <v>1</v>
      </c>
      <c r="I128" s="5" t="str">
        <f>VLOOKUP(F128,'Set up'!$A$2:$C$70,3,FALSE)</f>
        <v>Cash</v>
      </c>
      <c r="J128" s="5">
        <f>VLOOKUP(F128,'Set up'!$A$2:$D$70,4,FALSE)</f>
        <v>0</v>
      </c>
      <c r="K128" s="4">
        <f t="shared" si="18"/>
        <v>44158</v>
      </c>
      <c r="L128" s="5">
        <f t="shared" si="19"/>
        <v>11</v>
      </c>
      <c r="M128" s="5">
        <f t="shared" si="20"/>
        <v>2020</v>
      </c>
      <c r="N128" s="6">
        <v>1540</v>
      </c>
      <c r="O128" s="6">
        <f t="shared" ref="O128:O154" si="24">SUM(-N128)</f>
        <v>-1540</v>
      </c>
      <c r="P128" s="6">
        <f t="shared" si="23"/>
        <v>0</v>
      </c>
      <c r="Q128" s="7">
        <f t="shared" si="21"/>
        <v>166997.49999999997</v>
      </c>
      <c r="R128" s="44" t="str">
        <f>VLOOKUP(F128,'Set up'!$A$2:$E$70,5,FALSE)</f>
        <v>Chq</v>
      </c>
      <c r="S128" s="1" t="s">
        <v>190</v>
      </c>
    </row>
    <row r="129" spans="1:19" x14ac:dyDescent="0.3">
      <c r="A129" s="4">
        <v>44159</v>
      </c>
      <c r="B129" s="5">
        <f t="shared" si="16"/>
        <v>11</v>
      </c>
      <c r="C129" s="5">
        <f t="shared" si="17"/>
        <v>2020</v>
      </c>
      <c r="D129" s="5" t="s">
        <v>175</v>
      </c>
      <c r="E129" s="5" t="str">
        <f>VLOOKUP(F129,'Set up'!$A$2:$C$70,2,FALSE)</f>
        <v>C00000011</v>
      </c>
      <c r="F129" s="1" t="s">
        <v>173</v>
      </c>
      <c r="G129" s="2" t="s">
        <v>176</v>
      </c>
      <c r="H129" s="5">
        <v>3</v>
      </c>
      <c r="I129" s="5" t="str">
        <f>VLOOKUP(F129,'Set up'!$A$2:$C$70,3,FALSE)</f>
        <v>Cash</v>
      </c>
      <c r="J129" s="5">
        <f>VLOOKUP(F129,'Set up'!$A$2:$D$70,4,FALSE)</f>
        <v>0</v>
      </c>
      <c r="K129" s="4">
        <f t="shared" si="18"/>
        <v>44159</v>
      </c>
      <c r="L129" s="5">
        <f t="shared" si="19"/>
        <v>11</v>
      </c>
      <c r="M129" s="5">
        <f t="shared" si="20"/>
        <v>2020</v>
      </c>
      <c r="N129" s="6">
        <v>982.80000000000007</v>
      </c>
      <c r="O129" s="6">
        <f t="shared" si="24"/>
        <v>-982.80000000000007</v>
      </c>
      <c r="P129" s="6">
        <f t="shared" si="23"/>
        <v>0</v>
      </c>
      <c r="Q129" s="7">
        <f t="shared" si="21"/>
        <v>167980.29999999996</v>
      </c>
      <c r="R129" s="44" t="str">
        <f>VLOOKUP(F129,'Set up'!$A$2:$E$70,5,FALSE)</f>
        <v>Trsf</v>
      </c>
      <c r="S129" s="1" t="s">
        <v>188</v>
      </c>
    </row>
    <row r="130" spans="1:19" x14ac:dyDescent="0.3">
      <c r="A130" s="4">
        <v>44159</v>
      </c>
      <c r="B130" s="5">
        <f t="shared" si="16"/>
        <v>11</v>
      </c>
      <c r="C130" s="5">
        <f t="shared" si="17"/>
        <v>2020</v>
      </c>
      <c r="D130" s="5" t="s">
        <v>175</v>
      </c>
      <c r="E130" s="5" t="str">
        <f>VLOOKUP(F130,'Set up'!$A$2:$C$70,2,FALSE)</f>
        <v>C00000011</v>
      </c>
      <c r="F130" s="1" t="s">
        <v>173</v>
      </c>
      <c r="G130" s="2" t="s">
        <v>177</v>
      </c>
      <c r="H130" s="5">
        <v>1</v>
      </c>
      <c r="I130" s="5" t="str">
        <f>VLOOKUP(F130,'Set up'!$A$2:$C$70,3,FALSE)</f>
        <v>Cash</v>
      </c>
      <c r="J130" s="5">
        <f>VLOOKUP(F130,'Set up'!$A$2:$D$70,4,FALSE)</f>
        <v>0</v>
      </c>
      <c r="K130" s="4">
        <f t="shared" si="18"/>
        <v>44159</v>
      </c>
      <c r="L130" s="5">
        <f t="shared" si="19"/>
        <v>11</v>
      </c>
      <c r="M130" s="5">
        <f t="shared" si="20"/>
        <v>2020</v>
      </c>
      <c r="N130" s="6">
        <v>100</v>
      </c>
      <c r="O130" s="6">
        <f t="shared" si="24"/>
        <v>-100</v>
      </c>
      <c r="P130" s="6">
        <f t="shared" ref="P130:P147" si="25">SUM(N130+O130)</f>
        <v>0</v>
      </c>
      <c r="Q130" s="7">
        <f t="shared" si="21"/>
        <v>168080.29999999996</v>
      </c>
      <c r="R130" s="44" t="str">
        <f>VLOOKUP(F130,'Set up'!$A$2:$E$70,5,FALSE)</f>
        <v>Trsf</v>
      </c>
      <c r="S130" s="1" t="s">
        <v>188</v>
      </c>
    </row>
    <row r="131" spans="1:19" x14ac:dyDescent="0.3">
      <c r="A131" s="4">
        <v>44159</v>
      </c>
      <c r="B131" s="5">
        <f t="shared" ref="B131:B194" si="26">MONTH(A131)</f>
        <v>11</v>
      </c>
      <c r="C131" s="5">
        <f t="shared" ref="C131:C194" si="27">YEAR(A131)</f>
        <v>2020</v>
      </c>
      <c r="D131" s="5" t="s">
        <v>179</v>
      </c>
      <c r="E131" s="5" t="str">
        <f>VLOOKUP(F131,'Set up'!$A$2:$C$70,2,FALSE)</f>
        <v>C00000003</v>
      </c>
      <c r="F131" s="1" t="s">
        <v>20</v>
      </c>
      <c r="G131" s="11" t="s">
        <v>67</v>
      </c>
      <c r="H131" s="5">
        <v>1</v>
      </c>
      <c r="I131" s="5">
        <f>VLOOKUP(F131,'Set up'!$A$2:$C$70,3,FALSE)</f>
        <v>45</v>
      </c>
      <c r="J131" s="5">
        <f>VLOOKUP(F131,'Set up'!$A$2:$D$70,4,FALSE)</f>
        <v>45</v>
      </c>
      <c r="K131" s="4">
        <f t="shared" ref="K131:K194" si="28">A131+J131</f>
        <v>44204</v>
      </c>
      <c r="L131" s="5">
        <f t="shared" ref="L131:L194" si="29">MONTH(K131)</f>
        <v>1</v>
      </c>
      <c r="M131" s="5">
        <f t="shared" ref="M131:M194" si="30">YEAR(K131)</f>
        <v>2021</v>
      </c>
      <c r="N131" s="6">
        <v>1628</v>
      </c>
      <c r="O131" s="6">
        <f t="shared" si="24"/>
        <v>-1628</v>
      </c>
      <c r="P131" s="6">
        <f t="shared" si="25"/>
        <v>0</v>
      </c>
      <c r="Q131" s="7">
        <f t="shared" ref="Q131:Q194" si="31">SUM(Q130+N131)</f>
        <v>169708.29999999996</v>
      </c>
      <c r="R131" s="44" t="str">
        <f>VLOOKUP(F131,'Set up'!$A$2:$E$70,5,FALSE)</f>
        <v>PD Chq</v>
      </c>
      <c r="S131" s="13" t="s">
        <v>221</v>
      </c>
    </row>
    <row r="132" spans="1:19" x14ac:dyDescent="0.3">
      <c r="A132" s="4">
        <v>44159</v>
      </c>
      <c r="B132" s="5">
        <f t="shared" si="26"/>
        <v>11</v>
      </c>
      <c r="C132" s="5">
        <f t="shared" si="27"/>
        <v>2020</v>
      </c>
      <c r="D132" s="5" t="s">
        <v>179</v>
      </c>
      <c r="E132" s="5" t="str">
        <f>VLOOKUP(F132,'Set up'!$A$2:$C$70,2,FALSE)</f>
        <v>C00000003</v>
      </c>
      <c r="F132" s="1" t="s">
        <v>20</v>
      </c>
      <c r="G132" s="11" t="s">
        <v>54</v>
      </c>
      <c r="H132" s="5">
        <v>3</v>
      </c>
      <c r="I132" s="5">
        <f>VLOOKUP(F132,'Set up'!$A$2:$C$70,3,FALSE)</f>
        <v>45</v>
      </c>
      <c r="J132" s="5">
        <f>VLOOKUP(F132,'Set up'!$A$2:$D$70,4,FALSE)</f>
        <v>45</v>
      </c>
      <c r="K132" s="4">
        <f t="shared" si="28"/>
        <v>44204</v>
      </c>
      <c r="L132" s="5">
        <f t="shared" si="29"/>
        <v>1</v>
      </c>
      <c r="M132" s="5">
        <f t="shared" si="30"/>
        <v>2021</v>
      </c>
      <c r="N132" s="6">
        <v>150</v>
      </c>
      <c r="O132" s="6">
        <f t="shared" si="24"/>
        <v>-150</v>
      </c>
      <c r="P132" s="6">
        <f t="shared" si="25"/>
        <v>0</v>
      </c>
      <c r="Q132" s="7">
        <f t="shared" si="31"/>
        <v>169858.29999999996</v>
      </c>
      <c r="R132" s="44" t="str">
        <f>VLOOKUP(F132,'Set up'!$A$2:$E$70,5,FALSE)</f>
        <v>PD Chq</v>
      </c>
      <c r="S132" s="13" t="s">
        <v>221</v>
      </c>
    </row>
    <row r="133" spans="1:19" x14ac:dyDescent="0.3">
      <c r="A133" s="4">
        <v>44159</v>
      </c>
      <c r="B133" s="5">
        <f t="shared" si="26"/>
        <v>11</v>
      </c>
      <c r="C133" s="5">
        <f t="shared" si="27"/>
        <v>2020</v>
      </c>
      <c r="D133" s="5" t="s">
        <v>179</v>
      </c>
      <c r="E133" s="5" t="str">
        <f>VLOOKUP(F133,'Set up'!$A$2:$C$70,2,FALSE)</f>
        <v>C00000003</v>
      </c>
      <c r="F133" s="1" t="s">
        <v>20</v>
      </c>
      <c r="G133" s="11" t="s">
        <v>46</v>
      </c>
      <c r="H133" s="5">
        <v>2</v>
      </c>
      <c r="I133" s="5">
        <f>VLOOKUP(F133,'Set up'!$A$2:$C$70,3,FALSE)</f>
        <v>45</v>
      </c>
      <c r="J133" s="5">
        <f>VLOOKUP(F133,'Set up'!$A$2:$D$70,4,FALSE)</f>
        <v>45</v>
      </c>
      <c r="K133" s="4">
        <f t="shared" si="28"/>
        <v>44204</v>
      </c>
      <c r="L133" s="5">
        <f t="shared" si="29"/>
        <v>1</v>
      </c>
      <c r="M133" s="5">
        <f t="shared" si="30"/>
        <v>2021</v>
      </c>
      <c r="N133" s="6">
        <v>185</v>
      </c>
      <c r="O133" s="6">
        <f t="shared" si="24"/>
        <v>-185</v>
      </c>
      <c r="P133" s="6">
        <f t="shared" si="25"/>
        <v>0</v>
      </c>
      <c r="Q133" s="7">
        <f t="shared" si="31"/>
        <v>170043.29999999996</v>
      </c>
      <c r="R133" s="44" t="str">
        <f>VLOOKUP(F133,'Set up'!$A$2:$E$70,5,FALSE)</f>
        <v>PD Chq</v>
      </c>
      <c r="S133" s="13" t="s">
        <v>221</v>
      </c>
    </row>
    <row r="134" spans="1:19" x14ac:dyDescent="0.3">
      <c r="A134" s="4">
        <v>44159</v>
      </c>
      <c r="B134" s="5">
        <f t="shared" si="26"/>
        <v>11</v>
      </c>
      <c r="C134" s="5">
        <f t="shared" si="27"/>
        <v>2020</v>
      </c>
      <c r="D134" s="5" t="s">
        <v>179</v>
      </c>
      <c r="E134" s="5" t="str">
        <f>VLOOKUP(F134,'Set up'!$A$2:$C$70,2,FALSE)</f>
        <v>C00000003</v>
      </c>
      <c r="F134" s="1" t="s">
        <v>20</v>
      </c>
      <c r="G134" s="11" t="s">
        <v>178</v>
      </c>
      <c r="H134" s="5">
        <v>1</v>
      </c>
      <c r="I134" s="5">
        <f>VLOOKUP(F134,'Set up'!$A$2:$C$70,3,FALSE)</f>
        <v>45</v>
      </c>
      <c r="J134" s="5">
        <f>VLOOKUP(F134,'Set up'!$A$2:$D$70,4,FALSE)</f>
        <v>45</v>
      </c>
      <c r="K134" s="4">
        <f t="shared" si="28"/>
        <v>44204</v>
      </c>
      <c r="L134" s="5">
        <f t="shared" si="29"/>
        <v>1</v>
      </c>
      <c r="M134" s="5">
        <f t="shared" si="30"/>
        <v>2021</v>
      </c>
      <c r="N134" s="6">
        <v>45</v>
      </c>
      <c r="O134" s="6">
        <f t="shared" si="24"/>
        <v>-45</v>
      </c>
      <c r="P134" s="6">
        <f t="shared" si="25"/>
        <v>0</v>
      </c>
      <c r="Q134" s="7">
        <f t="shared" si="31"/>
        <v>170088.29999999996</v>
      </c>
      <c r="R134" s="44" t="str">
        <f>VLOOKUP(F134,'Set up'!$A$2:$E$70,5,FALSE)</f>
        <v>PD Chq</v>
      </c>
      <c r="S134" s="13" t="s">
        <v>221</v>
      </c>
    </row>
    <row r="135" spans="1:19" x14ac:dyDescent="0.3">
      <c r="A135" s="4">
        <v>44162</v>
      </c>
      <c r="B135" s="5">
        <f t="shared" si="26"/>
        <v>11</v>
      </c>
      <c r="C135" s="5">
        <f t="shared" si="27"/>
        <v>2020</v>
      </c>
      <c r="D135" s="5" t="s">
        <v>181</v>
      </c>
      <c r="E135" s="5" t="str">
        <f>VLOOKUP(F135,'Set up'!$A$2:$C$70,2,FALSE)</f>
        <v>C00000001</v>
      </c>
      <c r="F135" s="1" t="s">
        <v>7</v>
      </c>
      <c r="G135" s="2" t="s">
        <v>95</v>
      </c>
      <c r="H135" s="5">
        <v>1</v>
      </c>
      <c r="I135" s="5" t="str">
        <f>VLOOKUP(F135,'Set up'!$A$2:$C$70,3,FALSE)</f>
        <v>Cash</v>
      </c>
      <c r="J135" s="5">
        <f>VLOOKUP(F135,'Set up'!$A$2:$D$70,4,FALSE)</f>
        <v>0</v>
      </c>
      <c r="K135" s="4">
        <f t="shared" si="28"/>
        <v>44162</v>
      </c>
      <c r="L135" s="5">
        <f t="shared" si="29"/>
        <v>11</v>
      </c>
      <c r="M135" s="5">
        <f t="shared" si="30"/>
        <v>2020</v>
      </c>
      <c r="N135" s="24">
        <v>1584</v>
      </c>
      <c r="O135" s="6">
        <f t="shared" si="24"/>
        <v>-1584</v>
      </c>
      <c r="P135" s="6">
        <f t="shared" si="25"/>
        <v>0</v>
      </c>
      <c r="Q135" s="7">
        <f t="shared" si="31"/>
        <v>171672.29999999996</v>
      </c>
      <c r="R135" s="44" t="str">
        <f>VLOOKUP(F135,'Set up'!$A$2:$E$70,5,FALSE)</f>
        <v>Trsf</v>
      </c>
      <c r="S135" s="1" t="s">
        <v>214</v>
      </c>
    </row>
    <row r="136" spans="1:19" x14ac:dyDescent="0.3">
      <c r="A136" s="4">
        <v>44162</v>
      </c>
      <c r="B136" s="5">
        <f t="shared" si="26"/>
        <v>11</v>
      </c>
      <c r="C136" s="5">
        <f t="shared" si="27"/>
        <v>2020</v>
      </c>
      <c r="D136" s="5" t="s">
        <v>181</v>
      </c>
      <c r="E136" s="5" t="str">
        <f>VLOOKUP(F136,'Set up'!$A$2:$C$70,2,FALSE)</f>
        <v>C00000001</v>
      </c>
      <c r="F136" s="1" t="s">
        <v>7</v>
      </c>
      <c r="G136" s="11" t="s">
        <v>180</v>
      </c>
      <c r="H136" s="5">
        <v>4</v>
      </c>
      <c r="I136" s="5" t="str">
        <f>VLOOKUP(F136,'Set up'!$A$2:$C$70,3,FALSE)</f>
        <v>Cash</v>
      </c>
      <c r="J136" s="5">
        <f>VLOOKUP(F136,'Set up'!$A$2:$D$70,4,FALSE)</f>
        <v>0</v>
      </c>
      <c r="K136" s="4">
        <f t="shared" si="28"/>
        <v>44162</v>
      </c>
      <c r="L136" s="5">
        <f t="shared" si="29"/>
        <v>11</v>
      </c>
      <c r="M136" s="5">
        <f t="shared" si="30"/>
        <v>2020</v>
      </c>
      <c r="N136" s="46">
        <v>840</v>
      </c>
      <c r="O136" s="6">
        <f t="shared" si="24"/>
        <v>-840</v>
      </c>
      <c r="P136" s="6">
        <f t="shared" si="25"/>
        <v>0</v>
      </c>
      <c r="Q136" s="7">
        <f t="shared" si="31"/>
        <v>172512.29999999996</v>
      </c>
      <c r="R136" s="44" t="str">
        <f>VLOOKUP(F136,'Set up'!$A$2:$E$70,5,FALSE)</f>
        <v>Trsf</v>
      </c>
      <c r="S136" s="1" t="s">
        <v>214</v>
      </c>
    </row>
    <row r="137" spans="1:19" x14ac:dyDescent="0.3">
      <c r="A137" s="4">
        <v>44163</v>
      </c>
      <c r="B137" s="5">
        <f t="shared" si="26"/>
        <v>11</v>
      </c>
      <c r="C137" s="5">
        <f t="shared" si="27"/>
        <v>2020</v>
      </c>
      <c r="D137" s="5" t="s">
        <v>182</v>
      </c>
      <c r="E137" s="5" t="str">
        <f>VLOOKUP(F137,'Set up'!$A$2:$C$70,2,FALSE)</f>
        <v>C00000009</v>
      </c>
      <c r="F137" s="1" t="s">
        <v>58</v>
      </c>
      <c r="G137" s="11" t="s">
        <v>44</v>
      </c>
      <c r="H137" s="5">
        <v>2</v>
      </c>
      <c r="I137" s="5">
        <f>VLOOKUP(F137,'Set up'!$A$2:$C$70,3,FALSE)</f>
        <v>60</v>
      </c>
      <c r="J137" s="5">
        <f>VLOOKUP(F137,'Set up'!$A$2:$D$70,4,FALSE)</f>
        <v>60</v>
      </c>
      <c r="K137" s="4">
        <f t="shared" si="28"/>
        <v>44223</v>
      </c>
      <c r="L137" s="5">
        <f t="shared" si="29"/>
        <v>1</v>
      </c>
      <c r="M137" s="5">
        <f t="shared" si="30"/>
        <v>2021</v>
      </c>
      <c r="N137" s="6">
        <v>408</v>
      </c>
      <c r="O137" s="6">
        <f t="shared" si="24"/>
        <v>-408</v>
      </c>
      <c r="P137" s="6">
        <f t="shared" si="25"/>
        <v>0</v>
      </c>
      <c r="Q137" s="7">
        <f t="shared" si="31"/>
        <v>172920.29999999996</v>
      </c>
      <c r="R137" s="44" t="str">
        <f>VLOOKUP(F137,'Set up'!$A$2:$E$70,5,FALSE)</f>
        <v>Chq</v>
      </c>
      <c r="S137" s="9" t="s">
        <v>264</v>
      </c>
    </row>
    <row r="138" spans="1:19" x14ac:dyDescent="0.3">
      <c r="A138" s="4">
        <v>44165</v>
      </c>
      <c r="B138" s="5">
        <f t="shared" si="26"/>
        <v>11</v>
      </c>
      <c r="C138" s="5">
        <f t="shared" si="27"/>
        <v>2020</v>
      </c>
      <c r="D138" s="5" t="s">
        <v>183</v>
      </c>
      <c r="E138" s="5" t="str">
        <f>VLOOKUP(F138,'Set up'!$A$2:$C$70,2,FALSE)</f>
        <v>C00000008</v>
      </c>
      <c r="F138" s="1" t="s">
        <v>52</v>
      </c>
      <c r="G138" s="11" t="s">
        <v>44</v>
      </c>
      <c r="H138" s="5">
        <v>5</v>
      </c>
      <c r="I138" s="5" t="str">
        <f>VLOOKUP(F138,'Set up'!$A$2:$C$70,3,FALSE)</f>
        <v>Cash</v>
      </c>
      <c r="J138" s="5">
        <f>VLOOKUP(F138,'Set up'!$A$2:$D$70,4,FALSE)</f>
        <v>0</v>
      </c>
      <c r="K138" s="4">
        <f t="shared" si="28"/>
        <v>44165</v>
      </c>
      <c r="L138" s="5">
        <f t="shared" si="29"/>
        <v>11</v>
      </c>
      <c r="M138" s="5">
        <f t="shared" si="30"/>
        <v>2020</v>
      </c>
      <c r="N138" s="6">
        <v>1050</v>
      </c>
      <c r="O138" s="6">
        <f t="shared" si="24"/>
        <v>-1050</v>
      </c>
      <c r="P138" s="6">
        <f t="shared" si="25"/>
        <v>0</v>
      </c>
      <c r="Q138" s="7">
        <f t="shared" si="31"/>
        <v>173970.29999999996</v>
      </c>
      <c r="R138" s="44" t="str">
        <f>VLOOKUP(F138,'Set up'!$A$2:$E$70,5,FALSE)</f>
        <v>Trsf</v>
      </c>
    </row>
    <row r="139" spans="1:19" x14ac:dyDescent="0.3">
      <c r="A139" s="4">
        <v>44165</v>
      </c>
      <c r="B139" s="5">
        <f t="shared" si="26"/>
        <v>11</v>
      </c>
      <c r="C139" s="5">
        <f t="shared" si="27"/>
        <v>2020</v>
      </c>
      <c r="D139" s="5" t="s">
        <v>184</v>
      </c>
      <c r="E139" s="5" t="str">
        <f>VLOOKUP(F139,'Set up'!$A$2:$C$70,2,FALSE)</f>
        <v>C00000010</v>
      </c>
      <c r="F139" s="1" t="s">
        <v>62</v>
      </c>
      <c r="G139" s="2" t="s">
        <v>95</v>
      </c>
      <c r="H139" s="5">
        <v>5</v>
      </c>
      <c r="I139" s="5">
        <f>VLOOKUP(F139,'Set up'!$A$2:$C$70,3,FALSE)</f>
        <v>120</v>
      </c>
      <c r="J139" s="5">
        <f>VLOOKUP(F139,'Set up'!$A$2:$D$70,4,FALSE)</f>
        <v>120</v>
      </c>
      <c r="K139" s="4">
        <f t="shared" si="28"/>
        <v>44285</v>
      </c>
      <c r="L139" s="5">
        <f t="shared" si="29"/>
        <v>3</v>
      </c>
      <c r="M139" s="5">
        <f t="shared" si="30"/>
        <v>2021</v>
      </c>
      <c r="N139" s="6">
        <v>6600</v>
      </c>
      <c r="O139" s="6">
        <f t="shared" si="24"/>
        <v>-6600</v>
      </c>
      <c r="P139" s="6">
        <f t="shared" si="25"/>
        <v>0</v>
      </c>
      <c r="Q139" s="7">
        <f t="shared" si="31"/>
        <v>180570.29999999996</v>
      </c>
      <c r="R139" s="44" t="str">
        <f>VLOOKUP(F139,'Set up'!$A$2:$E$70,5,FALSE)</f>
        <v>Trsf</v>
      </c>
      <c r="S139" s="13" t="s">
        <v>187</v>
      </c>
    </row>
    <row r="140" spans="1:19" x14ac:dyDescent="0.3">
      <c r="A140" s="4">
        <v>44165</v>
      </c>
      <c r="B140" s="5">
        <f t="shared" si="26"/>
        <v>11</v>
      </c>
      <c r="C140" s="5">
        <f t="shared" si="27"/>
        <v>2020</v>
      </c>
      <c r="D140" s="5" t="s">
        <v>184</v>
      </c>
      <c r="E140" s="5" t="str">
        <f>VLOOKUP(F140,'Set up'!$A$2:$C$70,2,FALSE)</f>
        <v>C00000010</v>
      </c>
      <c r="F140" s="1" t="s">
        <v>62</v>
      </c>
      <c r="G140" s="11" t="s">
        <v>180</v>
      </c>
      <c r="H140" s="5">
        <v>4</v>
      </c>
      <c r="I140" s="5">
        <f>VLOOKUP(F140,'Set up'!$A$2:$C$70,3,FALSE)</f>
        <v>120</v>
      </c>
      <c r="J140" s="5">
        <f>VLOOKUP(F140,'Set up'!$A$2:$D$70,4,FALSE)</f>
        <v>120</v>
      </c>
      <c r="K140" s="4">
        <f t="shared" si="28"/>
        <v>44285</v>
      </c>
      <c r="L140" s="5">
        <f t="shared" si="29"/>
        <v>3</v>
      </c>
      <c r="M140" s="5">
        <f t="shared" si="30"/>
        <v>2021</v>
      </c>
      <c r="N140" s="6">
        <v>720</v>
      </c>
      <c r="O140" s="6">
        <f t="shared" si="24"/>
        <v>-720</v>
      </c>
      <c r="P140" s="6">
        <f t="shared" si="25"/>
        <v>0</v>
      </c>
      <c r="Q140" s="7">
        <f t="shared" si="31"/>
        <v>181290.29999999996</v>
      </c>
      <c r="R140" s="44" t="str">
        <f>VLOOKUP(F140,'Set up'!$A$2:$E$70,5,FALSE)</f>
        <v>Trsf</v>
      </c>
      <c r="S140" s="13" t="s">
        <v>187</v>
      </c>
    </row>
    <row r="141" spans="1:19" x14ac:dyDescent="0.3">
      <c r="A141" s="4">
        <v>44165</v>
      </c>
      <c r="B141" s="5">
        <f t="shared" si="26"/>
        <v>11</v>
      </c>
      <c r="C141" s="5">
        <f t="shared" si="27"/>
        <v>2020</v>
      </c>
      <c r="D141" s="5" t="s">
        <v>184</v>
      </c>
      <c r="E141" s="5" t="str">
        <f>VLOOKUP(F141,'Set up'!$A$2:$C$70,2,FALSE)</f>
        <v>C00000010</v>
      </c>
      <c r="F141" s="1" t="s">
        <v>62</v>
      </c>
      <c r="G141" s="11" t="s">
        <v>64</v>
      </c>
      <c r="H141" s="5">
        <v>5</v>
      </c>
      <c r="I141" s="5">
        <f>VLOOKUP(F141,'Set up'!$A$2:$C$70,3,FALSE)</f>
        <v>120</v>
      </c>
      <c r="J141" s="5">
        <f>VLOOKUP(F141,'Set up'!$A$2:$D$70,4,FALSE)</f>
        <v>120</v>
      </c>
      <c r="K141" s="4">
        <f t="shared" si="28"/>
        <v>44285</v>
      </c>
      <c r="L141" s="5">
        <f t="shared" si="29"/>
        <v>3</v>
      </c>
      <c r="M141" s="5">
        <f t="shared" si="30"/>
        <v>2021</v>
      </c>
      <c r="N141" s="6">
        <v>275</v>
      </c>
      <c r="O141" s="6">
        <f t="shared" si="24"/>
        <v>-275</v>
      </c>
      <c r="P141" s="6">
        <f t="shared" si="25"/>
        <v>0</v>
      </c>
      <c r="Q141" s="7">
        <f t="shared" si="31"/>
        <v>181565.29999999996</v>
      </c>
      <c r="R141" s="44" t="str">
        <f>VLOOKUP(F141,'Set up'!$A$2:$E$70,5,FALSE)</f>
        <v>Trsf</v>
      </c>
      <c r="S141" s="13" t="s">
        <v>187</v>
      </c>
    </row>
    <row r="142" spans="1:19" x14ac:dyDescent="0.3">
      <c r="A142" s="4">
        <v>44165</v>
      </c>
      <c r="B142" s="5">
        <f t="shared" si="26"/>
        <v>11</v>
      </c>
      <c r="C142" s="5">
        <f t="shared" si="27"/>
        <v>2020</v>
      </c>
      <c r="D142" s="5" t="s">
        <v>184</v>
      </c>
      <c r="E142" s="5" t="str">
        <f>VLOOKUP(F142,'Set up'!$A$2:$C$70,2,FALSE)</f>
        <v>C00000010</v>
      </c>
      <c r="F142" s="1" t="s">
        <v>62</v>
      </c>
      <c r="G142" s="11" t="s">
        <v>46</v>
      </c>
      <c r="H142" s="5">
        <v>2</v>
      </c>
      <c r="I142" s="5">
        <f>VLOOKUP(F142,'Set up'!$A$2:$C$70,3,FALSE)</f>
        <v>120</v>
      </c>
      <c r="J142" s="5">
        <f>VLOOKUP(F142,'Set up'!$A$2:$D$70,4,FALSE)</f>
        <v>120</v>
      </c>
      <c r="K142" s="4">
        <f t="shared" si="28"/>
        <v>44285</v>
      </c>
      <c r="L142" s="5">
        <f t="shared" si="29"/>
        <v>3</v>
      </c>
      <c r="M142" s="5">
        <f t="shared" si="30"/>
        <v>2021</v>
      </c>
      <c r="N142" s="6">
        <v>180</v>
      </c>
      <c r="O142" s="6">
        <f t="shared" si="24"/>
        <v>-180</v>
      </c>
      <c r="P142" s="6">
        <f t="shared" si="25"/>
        <v>0</v>
      </c>
      <c r="Q142" s="7">
        <f t="shared" si="31"/>
        <v>181745.29999999996</v>
      </c>
      <c r="R142" s="44" t="str">
        <f>VLOOKUP(F142,'Set up'!$A$2:$E$70,5,FALSE)</f>
        <v>Trsf</v>
      </c>
      <c r="S142" s="13" t="s">
        <v>187</v>
      </c>
    </row>
    <row r="143" spans="1:19" x14ac:dyDescent="0.3">
      <c r="A143" s="4">
        <v>44165</v>
      </c>
      <c r="B143" s="5">
        <f t="shared" si="26"/>
        <v>11</v>
      </c>
      <c r="C143" s="5">
        <f t="shared" si="27"/>
        <v>2020</v>
      </c>
      <c r="D143" s="5" t="s">
        <v>200</v>
      </c>
      <c r="E143" s="5" t="str">
        <f>VLOOKUP(F143,'Set up'!$A$2:$C$70,2,FALSE)</f>
        <v>C00000010</v>
      </c>
      <c r="F143" s="1" t="s">
        <v>62</v>
      </c>
      <c r="G143" s="11" t="s">
        <v>64</v>
      </c>
      <c r="H143" s="5">
        <v>5</v>
      </c>
      <c r="I143" s="5">
        <f>VLOOKUP(F143,'Set up'!$A$2:$C$70,3,FALSE)</f>
        <v>120</v>
      </c>
      <c r="J143" s="5">
        <f>VLOOKUP(F143,'Set up'!$A$2:$D$70,4,FALSE)</f>
        <v>120</v>
      </c>
      <c r="K143" s="4">
        <f t="shared" si="28"/>
        <v>44285</v>
      </c>
      <c r="L143" s="5">
        <f t="shared" si="29"/>
        <v>3</v>
      </c>
      <c r="M143" s="5">
        <f t="shared" si="30"/>
        <v>2021</v>
      </c>
      <c r="N143" s="6">
        <v>275</v>
      </c>
      <c r="O143" s="6">
        <f t="shared" si="24"/>
        <v>-275</v>
      </c>
      <c r="P143" s="6">
        <f t="shared" si="25"/>
        <v>0</v>
      </c>
      <c r="Q143" s="7">
        <f t="shared" si="31"/>
        <v>182020.29999999996</v>
      </c>
      <c r="R143" s="44" t="str">
        <f>VLOOKUP(F143,'Set up'!$A$2:$E$70,5,FALSE)</f>
        <v>Trsf</v>
      </c>
      <c r="S143" s="13" t="s">
        <v>187</v>
      </c>
    </row>
    <row r="144" spans="1:19" x14ac:dyDescent="0.3">
      <c r="A144" s="4">
        <v>44170</v>
      </c>
      <c r="B144" s="5">
        <f t="shared" si="26"/>
        <v>12</v>
      </c>
      <c r="C144" s="5">
        <f t="shared" si="27"/>
        <v>2020</v>
      </c>
      <c r="D144" s="5" t="s">
        <v>209</v>
      </c>
      <c r="E144" s="5" t="e">
        <f>VLOOKUP(F144,'Set up'!$A$2:$C$70,2,FALSE)</f>
        <v>#N/A</v>
      </c>
      <c r="F144" s="1" t="s">
        <v>223</v>
      </c>
      <c r="G144" s="2" t="s">
        <v>96</v>
      </c>
      <c r="H144" s="5">
        <v>2</v>
      </c>
      <c r="I144" s="5" t="e">
        <f>VLOOKUP(F144,'Set up'!$A$2:$C$70,3,FALSE)</f>
        <v>#N/A</v>
      </c>
      <c r="J144" s="5" t="e">
        <f>VLOOKUP(F144,'Set up'!$A$2:$D$70,4,FALSE)</f>
        <v>#N/A</v>
      </c>
      <c r="K144" s="4" t="e">
        <f t="shared" si="28"/>
        <v>#N/A</v>
      </c>
      <c r="L144" s="5" t="e">
        <f t="shared" si="29"/>
        <v>#N/A</v>
      </c>
      <c r="M144" s="5" t="e">
        <f t="shared" si="30"/>
        <v>#N/A</v>
      </c>
      <c r="N144" s="6">
        <v>799.2</v>
      </c>
      <c r="O144" s="6">
        <f t="shared" si="24"/>
        <v>-799.2</v>
      </c>
      <c r="P144" s="6">
        <f t="shared" si="25"/>
        <v>0</v>
      </c>
      <c r="Q144" s="7">
        <f t="shared" si="31"/>
        <v>182819.49999999997</v>
      </c>
      <c r="R144" s="44" t="e">
        <f>VLOOKUP(F144,'Set up'!$A$2:$E$70,5,FALSE)</f>
        <v>#N/A</v>
      </c>
      <c r="S144" s="13" t="s">
        <v>214</v>
      </c>
    </row>
    <row r="145" spans="1:19" x14ac:dyDescent="0.3">
      <c r="A145" s="4">
        <v>44180</v>
      </c>
      <c r="B145" s="5">
        <f t="shared" si="26"/>
        <v>12</v>
      </c>
      <c r="C145" s="5">
        <f t="shared" si="27"/>
        <v>2020</v>
      </c>
      <c r="D145" s="5" t="s">
        <v>210</v>
      </c>
      <c r="E145" s="5" t="str">
        <f>VLOOKUP(F145,'Set up'!$A$2:$C$70,2,FALSE)</f>
        <v>C00000001</v>
      </c>
      <c r="F145" s="1" t="s">
        <v>7</v>
      </c>
      <c r="G145" s="11" t="s">
        <v>67</v>
      </c>
      <c r="H145" s="5">
        <v>1</v>
      </c>
      <c r="I145" s="5" t="str">
        <f>VLOOKUP(F145,'Set up'!$A$2:$C$70,3,FALSE)</f>
        <v>Cash</v>
      </c>
      <c r="J145" s="5">
        <f>VLOOKUP(F145,'Set up'!$A$2:$D$70,4,FALSE)</f>
        <v>0</v>
      </c>
      <c r="K145" s="4">
        <f t="shared" si="28"/>
        <v>44180</v>
      </c>
      <c r="L145" s="5">
        <f t="shared" si="29"/>
        <v>12</v>
      </c>
      <c r="M145" s="5">
        <f t="shared" si="30"/>
        <v>2020</v>
      </c>
      <c r="N145" s="24">
        <v>1716</v>
      </c>
      <c r="O145" s="6">
        <f t="shared" si="24"/>
        <v>-1716</v>
      </c>
      <c r="P145" s="6">
        <f t="shared" si="25"/>
        <v>0</v>
      </c>
      <c r="Q145" s="7">
        <f t="shared" si="31"/>
        <v>184535.49999999997</v>
      </c>
      <c r="R145" s="44" t="str">
        <f>VLOOKUP(F145,'Set up'!$A$2:$E$70,5,FALSE)</f>
        <v>Trsf</v>
      </c>
      <c r="S145" s="1" t="s">
        <v>215</v>
      </c>
    </row>
    <row r="146" spans="1:19" x14ac:dyDescent="0.3">
      <c r="A146" s="4">
        <v>44180</v>
      </c>
      <c r="B146" s="5">
        <f t="shared" si="26"/>
        <v>12</v>
      </c>
      <c r="C146" s="5">
        <f t="shared" si="27"/>
        <v>2020</v>
      </c>
      <c r="D146" s="5" t="s">
        <v>210</v>
      </c>
      <c r="E146" s="5" t="str">
        <f>VLOOKUP(F146,'Set up'!$A$2:$C$70,2,FALSE)</f>
        <v>C00000001</v>
      </c>
      <c r="F146" s="1" t="s">
        <v>7</v>
      </c>
      <c r="G146" s="11" t="s">
        <v>39</v>
      </c>
      <c r="H146" s="5">
        <v>2</v>
      </c>
      <c r="I146" s="5" t="str">
        <f>VLOOKUP(F146,'Set up'!$A$2:$C$70,3,FALSE)</f>
        <v>Cash</v>
      </c>
      <c r="J146" s="5">
        <f>VLOOKUP(F146,'Set up'!$A$2:$D$70,4,FALSE)</f>
        <v>0</v>
      </c>
      <c r="K146" s="4">
        <f t="shared" si="28"/>
        <v>44180</v>
      </c>
      <c r="L146" s="5">
        <f t="shared" si="29"/>
        <v>12</v>
      </c>
      <c r="M146" s="5">
        <f t="shared" si="30"/>
        <v>2020</v>
      </c>
      <c r="N146" s="24">
        <v>512</v>
      </c>
      <c r="O146" s="6">
        <f t="shared" si="24"/>
        <v>-512</v>
      </c>
      <c r="P146" s="6">
        <f t="shared" si="25"/>
        <v>0</v>
      </c>
      <c r="Q146" s="7">
        <f t="shared" si="31"/>
        <v>185047.49999999997</v>
      </c>
      <c r="R146" s="44" t="str">
        <f>VLOOKUP(F146,'Set up'!$A$2:$E$70,5,FALSE)</f>
        <v>Trsf</v>
      </c>
      <c r="S146" s="1" t="s">
        <v>215</v>
      </c>
    </row>
    <row r="147" spans="1:19" x14ac:dyDescent="0.3">
      <c r="A147" s="4">
        <v>44191</v>
      </c>
      <c r="B147" s="5">
        <f t="shared" si="26"/>
        <v>12</v>
      </c>
      <c r="C147" s="5">
        <f t="shared" si="27"/>
        <v>2020</v>
      </c>
      <c r="D147" s="5" t="s">
        <v>211</v>
      </c>
      <c r="E147" s="5" t="str">
        <f>VLOOKUP(F147,'Set up'!$A$2:$C$70,2,FALSE)</f>
        <v>C00000004</v>
      </c>
      <c r="F147" s="1" t="s">
        <v>23</v>
      </c>
      <c r="G147" s="11" t="s">
        <v>57</v>
      </c>
      <c r="H147" s="5">
        <v>2</v>
      </c>
      <c r="I147" s="5">
        <f>VLOOKUP(F147,'Set up'!$A$2:$C$70,3,FALSE)</f>
        <v>120</v>
      </c>
      <c r="J147" s="5">
        <f>VLOOKUP(F147,'Set up'!$A$2:$D$70,4,FALSE)</f>
        <v>120</v>
      </c>
      <c r="K147" s="4">
        <f t="shared" si="28"/>
        <v>44311</v>
      </c>
      <c r="L147" s="5">
        <f t="shared" si="29"/>
        <v>4</v>
      </c>
      <c r="M147" s="5">
        <f t="shared" si="30"/>
        <v>2021</v>
      </c>
      <c r="N147" s="24">
        <v>2860</v>
      </c>
      <c r="O147" s="6">
        <f t="shared" si="24"/>
        <v>-2860</v>
      </c>
      <c r="P147" s="6">
        <f t="shared" si="25"/>
        <v>0</v>
      </c>
      <c r="Q147" s="7">
        <f t="shared" si="31"/>
        <v>187907.49999999997</v>
      </c>
      <c r="R147" s="44" t="str">
        <f>VLOOKUP(F147,'Set up'!$A$2:$E$70,5,FALSE)</f>
        <v>Chq</v>
      </c>
      <c r="S147" s="1" t="s">
        <v>302</v>
      </c>
    </row>
    <row r="148" spans="1:19" ht="46.8" x14ac:dyDescent="0.3">
      <c r="A148" s="4">
        <v>44195</v>
      </c>
      <c r="B148" s="5">
        <f t="shared" si="26"/>
        <v>12</v>
      </c>
      <c r="C148" s="5">
        <f t="shared" si="27"/>
        <v>2020</v>
      </c>
      <c r="D148" s="5" t="s">
        <v>216</v>
      </c>
      <c r="E148" s="5" t="str">
        <f>VLOOKUP(F148,'Set up'!$A$2:$C$70,2,FALSE)</f>
        <v>C00000003</v>
      </c>
      <c r="F148" s="1" t="s">
        <v>20</v>
      </c>
      <c r="G148" s="11" t="s">
        <v>67</v>
      </c>
      <c r="H148" s="5">
        <v>3</v>
      </c>
      <c r="I148" s="5">
        <f>VLOOKUP(F148,'Set up'!$A$2:$C$70,3,FALSE)</f>
        <v>45</v>
      </c>
      <c r="J148" s="5">
        <f>VLOOKUP(F148,'Set up'!$A$2:$D$70,4,FALSE)</f>
        <v>45</v>
      </c>
      <c r="K148" s="4">
        <f t="shared" si="28"/>
        <v>44240</v>
      </c>
      <c r="L148" s="5">
        <f t="shared" si="29"/>
        <v>2</v>
      </c>
      <c r="M148" s="5">
        <f t="shared" si="30"/>
        <v>2021</v>
      </c>
      <c r="N148" s="24">
        <v>5148</v>
      </c>
      <c r="O148" s="6">
        <f t="shared" si="24"/>
        <v>-5148</v>
      </c>
      <c r="P148" s="48"/>
      <c r="Q148" s="7">
        <f t="shared" si="31"/>
        <v>193055.49999999997</v>
      </c>
      <c r="R148" s="44" t="str">
        <f>VLOOKUP(F148,'Set up'!$A$2:$E$70,5,FALSE)</f>
        <v>PD Chq</v>
      </c>
      <c r="S148" s="40" t="s">
        <v>220</v>
      </c>
    </row>
    <row r="149" spans="1:19" ht="46.8" x14ac:dyDescent="0.3">
      <c r="A149" s="4">
        <v>44195</v>
      </c>
      <c r="B149" s="5">
        <f t="shared" si="26"/>
        <v>12</v>
      </c>
      <c r="C149" s="5">
        <f t="shared" si="27"/>
        <v>2020</v>
      </c>
      <c r="D149" s="5" t="s">
        <v>216</v>
      </c>
      <c r="E149" s="5" t="str">
        <f>VLOOKUP(F149,'Set up'!$A$2:$C$70,2,FALSE)</f>
        <v>C00000003</v>
      </c>
      <c r="F149" s="1" t="s">
        <v>20</v>
      </c>
      <c r="G149" s="11" t="s">
        <v>96</v>
      </c>
      <c r="H149" s="5">
        <v>1</v>
      </c>
      <c r="I149" s="5">
        <f>VLOOKUP(F149,'Set up'!$A$2:$C$70,3,FALSE)</f>
        <v>45</v>
      </c>
      <c r="J149" s="5">
        <f>VLOOKUP(F149,'Set up'!$A$2:$D$70,4,FALSE)</f>
        <v>45</v>
      </c>
      <c r="K149" s="4">
        <f t="shared" si="28"/>
        <v>44240</v>
      </c>
      <c r="L149" s="5">
        <f t="shared" si="29"/>
        <v>2</v>
      </c>
      <c r="M149" s="5">
        <f t="shared" si="30"/>
        <v>2021</v>
      </c>
      <c r="N149" s="24">
        <v>405</v>
      </c>
      <c r="O149" s="6">
        <f t="shared" si="24"/>
        <v>-405</v>
      </c>
      <c r="P149" s="6">
        <f t="shared" ref="P149:P212" si="32">SUM(N149+O149)</f>
        <v>0</v>
      </c>
      <c r="Q149" s="7">
        <f t="shared" si="31"/>
        <v>193460.49999999997</v>
      </c>
      <c r="R149" s="44" t="str">
        <f>VLOOKUP(F149,'Set up'!$A$2:$E$70,5,FALSE)</f>
        <v>PD Chq</v>
      </c>
      <c r="S149" s="40" t="s">
        <v>220</v>
      </c>
    </row>
    <row r="150" spans="1:19" ht="46.8" x14ac:dyDescent="0.3">
      <c r="A150" s="4">
        <v>44195</v>
      </c>
      <c r="B150" s="5">
        <f t="shared" si="26"/>
        <v>12</v>
      </c>
      <c r="C150" s="5">
        <f t="shared" si="27"/>
        <v>2020</v>
      </c>
      <c r="D150" s="5" t="s">
        <v>216</v>
      </c>
      <c r="E150" s="5" t="str">
        <f>VLOOKUP(F150,'Set up'!$A$2:$C$70,2,FALSE)</f>
        <v>C00000003</v>
      </c>
      <c r="F150" s="1" t="s">
        <v>20</v>
      </c>
      <c r="G150" s="11" t="s">
        <v>46</v>
      </c>
      <c r="H150" s="5">
        <v>6</v>
      </c>
      <c r="I150" s="5">
        <f>VLOOKUP(F150,'Set up'!$A$2:$C$70,3,FALSE)</f>
        <v>45</v>
      </c>
      <c r="J150" s="5">
        <f>VLOOKUP(F150,'Set up'!$A$2:$D$70,4,FALSE)</f>
        <v>45</v>
      </c>
      <c r="K150" s="4">
        <f t="shared" si="28"/>
        <v>44240</v>
      </c>
      <c r="L150" s="5">
        <f t="shared" si="29"/>
        <v>2</v>
      </c>
      <c r="M150" s="5">
        <f t="shared" si="30"/>
        <v>2021</v>
      </c>
      <c r="N150" s="24">
        <v>555</v>
      </c>
      <c r="O150" s="6">
        <f t="shared" si="24"/>
        <v>-555</v>
      </c>
      <c r="P150" s="6">
        <f t="shared" si="32"/>
        <v>0</v>
      </c>
      <c r="Q150" s="7">
        <f t="shared" si="31"/>
        <v>194015.49999999997</v>
      </c>
      <c r="R150" s="44" t="str">
        <f>VLOOKUP(F150,'Set up'!$A$2:$E$70,5,FALSE)</f>
        <v>PD Chq</v>
      </c>
      <c r="S150" s="40" t="s">
        <v>220</v>
      </c>
    </row>
    <row r="151" spans="1:19" x14ac:dyDescent="0.3">
      <c r="A151" s="4">
        <v>44196</v>
      </c>
      <c r="B151" s="5">
        <f t="shared" si="26"/>
        <v>12</v>
      </c>
      <c r="C151" s="5">
        <f t="shared" si="27"/>
        <v>2020</v>
      </c>
      <c r="D151" s="5" t="s">
        <v>217</v>
      </c>
      <c r="E151" s="5" t="str">
        <f>VLOOKUP(F151,'Set up'!$A$2:$C$70,2,FALSE)</f>
        <v>C00000010</v>
      </c>
      <c r="F151" s="1" t="s">
        <v>62</v>
      </c>
      <c r="G151" s="11" t="s">
        <v>218</v>
      </c>
      <c r="H151" s="5">
        <v>5</v>
      </c>
      <c r="I151" s="5">
        <f>VLOOKUP(F151,'Set up'!$A$2:$C$70,3,FALSE)</f>
        <v>120</v>
      </c>
      <c r="J151" s="5">
        <f>VLOOKUP(F151,'Set up'!$A$2:$D$70,4,FALSE)</f>
        <v>120</v>
      </c>
      <c r="K151" s="4">
        <f t="shared" si="28"/>
        <v>44316</v>
      </c>
      <c r="L151" s="5">
        <f t="shared" si="29"/>
        <v>4</v>
      </c>
      <c r="M151" s="5">
        <f t="shared" si="30"/>
        <v>2021</v>
      </c>
      <c r="N151" s="24">
        <v>7700</v>
      </c>
      <c r="O151" s="6">
        <f t="shared" si="24"/>
        <v>-7700</v>
      </c>
      <c r="P151" s="6">
        <f t="shared" si="32"/>
        <v>0</v>
      </c>
      <c r="Q151" s="7">
        <f t="shared" si="31"/>
        <v>201715.49999999997</v>
      </c>
      <c r="R151" s="44" t="str">
        <f>VLOOKUP(F151,'Set up'!$A$2:$E$70,5,FALSE)</f>
        <v>Trsf</v>
      </c>
      <c r="S151" s="1" t="s">
        <v>312</v>
      </c>
    </row>
    <row r="152" spans="1:19" x14ac:dyDescent="0.3">
      <c r="A152" s="4">
        <v>44196</v>
      </c>
      <c r="B152" s="5">
        <f t="shared" si="26"/>
        <v>12</v>
      </c>
      <c r="C152" s="5">
        <f t="shared" si="27"/>
        <v>2020</v>
      </c>
      <c r="D152" s="5" t="s">
        <v>217</v>
      </c>
      <c r="E152" s="5" t="str">
        <f>VLOOKUP(F152,'Set up'!$A$2:$C$70,2,FALSE)</f>
        <v>C00000010</v>
      </c>
      <c r="F152" s="1" t="s">
        <v>62</v>
      </c>
      <c r="G152" s="11" t="s">
        <v>219</v>
      </c>
      <c r="H152" s="5">
        <v>8</v>
      </c>
      <c r="I152" s="5">
        <f>VLOOKUP(F152,'Set up'!$A$2:$C$70,3,FALSE)</f>
        <v>120</v>
      </c>
      <c r="J152" s="5">
        <f>VLOOKUP(F152,'Set up'!$A$2:$D$70,4,FALSE)</f>
        <v>120</v>
      </c>
      <c r="K152" s="4">
        <f t="shared" si="28"/>
        <v>44316</v>
      </c>
      <c r="L152" s="5">
        <f t="shared" si="29"/>
        <v>4</v>
      </c>
      <c r="M152" s="5">
        <f t="shared" si="30"/>
        <v>2021</v>
      </c>
      <c r="N152" s="24">
        <v>1680</v>
      </c>
      <c r="O152" s="6">
        <f t="shared" si="24"/>
        <v>-1680</v>
      </c>
      <c r="P152" s="6">
        <f t="shared" si="32"/>
        <v>0</v>
      </c>
      <c r="Q152" s="7">
        <f t="shared" si="31"/>
        <v>203395.49999999997</v>
      </c>
      <c r="R152" s="44" t="str">
        <f>VLOOKUP(F152,'Set up'!$A$2:$E$70,5,FALSE)</f>
        <v>Trsf</v>
      </c>
      <c r="S152" s="1" t="s">
        <v>312</v>
      </c>
    </row>
    <row r="153" spans="1:19" x14ac:dyDescent="0.3">
      <c r="A153" s="4">
        <v>44196</v>
      </c>
      <c r="B153" s="5">
        <f t="shared" si="26"/>
        <v>12</v>
      </c>
      <c r="C153" s="5">
        <f t="shared" si="27"/>
        <v>2020</v>
      </c>
      <c r="D153" s="5" t="s">
        <v>217</v>
      </c>
      <c r="E153" s="5" t="str">
        <f>VLOOKUP(F153,'Set up'!$A$2:$C$70,2,FALSE)</f>
        <v>C00000010</v>
      </c>
      <c r="F153" s="1" t="s">
        <v>62</v>
      </c>
      <c r="G153" s="11" t="s">
        <v>64</v>
      </c>
      <c r="H153" s="5">
        <v>10</v>
      </c>
      <c r="I153" s="5">
        <f>VLOOKUP(F153,'Set up'!$A$2:$C$70,3,FALSE)</f>
        <v>120</v>
      </c>
      <c r="J153" s="5">
        <f>VLOOKUP(F153,'Set up'!$A$2:$D$70,4,FALSE)</f>
        <v>120</v>
      </c>
      <c r="K153" s="4">
        <f t="shared" si="28"/>
        <v>44316</v>
      </c>
      <c r="L153" s="5">
        <f t="shared" si="29"/>
        <v>4</v>
      </c>
      <c r="M153" s="5">
        <f t="shared" si="30"/>
        <v>2021</v>
      </c>
      <c r="N153" s="24">
        <v>550</v>
      </c>
      <c r="O153" s="6">
        <f t="shared" si="24"/>
        <v>-550</v>
      </c>
      <c r="P153" s="6">
        <f t="shared" si="32"/>
        <v>0</v>
      </c>
      <c r="Q153" s="7">
        <f t="shared" si="31"/>
        <v>203945.49999999997</v>
      </c>
      <c r="R153" s="44" t="str">
        <f>VLOOKUP(F153,'Set up'!$A$2:$E$70,5,FALSE)</f>
        <v>Trsf</v>
      </c>
      <c r="S153" s="1" t="s">
        <v>312</v>
      </c>
    </row>
    <row r="154" spans="1:19" x14ac:dyDescent="0.3">
      <c r="A154" s="4">
        <v>44196</v>
      </c>
      <c r="B154" s="5">
        <f t="shared" si="26"/>
        <v>12</v>
      </c>
      <c r="C154" s="5">
        <f t="shared" si="27"/>
        <v>2020</v>
      </c>
      <c r="D154" s="5" t="s">
        <v>217</v>
      </c>
      <c r="E154" s="5" t="str">
        <f>VLOOKUP(F154,'Set up'!$A$2:$C$70,2,FALSE)</f>
        <v>C00000010</v>
      </c>
      <c r="F154" s="1" t="s">
        <v>62</v>
      </c>
      <c r="G154" s="11" t="s">
        <v>46</v>
      </c>
      <c r="H154" s="5">
        <v>2</v>
      </c>
      <c r="I154" s="5">
        <f>VLOOKUP(F154,'Set up'!$A$2:$C$70,3,FALSE)</f>
        <v>120</v>
      </c>
      <c r="J154" s="5">
        <f>VLOOKUP(F154,'Set up'!$A$2:$D$70,4,FALSE)</f>
        <v>120</v>
      </c>
      <c r="K154" s="4">
        <f t="shared" si="28"/>
        <v>44316</v>
      </c>
      <c r="L154" s="5">
        <f t="shared" si="29"/>
        <v>4</v>
      </c>
      <c r="M154" s="5">
        <f t="shared" si="30"/>
        <v>2021</v>
      </c>
      <c r="N154" s="24">
        <v>190</v>
      </c>
      <c r="O154" s="6">
        <f t="shared" si="24"/>
        <v>-190</v>
      </c>
      <c r="P154" s="6">
        <f t="shared" si="32"/>
        <v>0</v>
      </c>
      <c r="Q154" s="7">
        <f t="shared" si="31"/>
        <v>204135.49999999997</v>
      </c>
      <c r="R154" s="44" t="str">
        <f>VLOOKUP(F154,'Set up'!$A$2:$E$70,5,FALSE)</f>
        <v>Trsf</v>
      </c>
      <c r="S154" s="1" t="s">
        <v>312</v>
      </c>
    </row>
    <row r="155" spans="1:19" x14ac:dyDescent="0.3">
      <c r="A155" s="4">
        <v>44200</v>
      </c>
      <c r="B155" s="5">
        <f t="shared" si="26"/>
        <v>1</v>
      </c>
      <c r="C155" s="5">
        <f t="shared" si="27"/>
        <v>2021</v>
      </c>
      <c r="D155" s="5" t="s">
        <v>226</v>
      </c>
      <c r="E155" s="5" t="str">
        <f>VLOOKUP(F155,'Set up'!$A$2:$C$70,2,FALSE)</f>
        <v>C00000013a</v>
      </c>
      <c r="F155" s="1" t="s">
        <v>1453</v>
      </c>
      <c r="G155" s="11" t="s">
        <v>229</v>
      </c>
      <c r="H155" s="5">
        <v>2</v>
      </c>
      <c r="I155" s="5" t="str">
        <f>VLOOKUP(F155,'Set up'!$A$2:$C$70,3,FALSE)</f>
        <v>Cash</v>
      </c>
      <c r="J155" s="5">
        <f>VLOOKUP(F155,'Set up'!$A$2:$D$70,4,FALSE)</f>
        <v>0</v>
      </c>
      <c r="K155" s="4">
        <f t="shared" si="28"/>
        <v>44200</v>
      </c>
      <c r="L155" s="5">
        <f t="shared" si="29"/>
        <v>1</v>
      </c>
      <c r="M155" s="5">
        <f t="shared" si="30"/>
        <v>2021</v>
      </c>
      <c r="N155" s="24">
        <v>1540</v>
      </c>
      <c r="O155" s="6">
        <f t="shared" ref="O155:O186" si="33">-N155</f>
        <v>-1540</v>
      </c>
      <c r="P155" s="6">
        <f t="shared" si="32"/>
        <v>0</v>
      </c>
      <c r="Q155" s="7">
        <f t="shared" si="31"/>
        <v>205675.49999999997</v>
      </c>
      <c r="R155" s="44" t="str">
        <f>VLOOKUP(F155,'Set up'!$A$2:$E$70,5,FALSE)</f>
        <v>Chq</v>
      </c>
      <c r="S155" s="1" t="s">
        <v>230</v>
      </c>
    </row>
    <row r="156" spans="1:19" x14ac:dyDescent="0.3">
      <c r="A156" s="4">
        <v>44200</v>
      </c>
      <c r="B156" s="5">
        <f t="shared" si="26"/>
        <v>1</v>
      </c>
      <c r="C156" s="5">
        <f t="shared" si="27"/>
        <v>2021</v>
      </c>
      <c r="D156" s="5" t="s">
        <v>226</v>
      </c>
      <c r="E156" s="5" t="str">
        <f>VLOOKUP(F156,'Set up'!$A$2:$C$70,2,FALSE)</f>
        <v>C00000013a</v>
      </c>
      <c r="F156" s="1" t="s">
        <v>1453</v>
      </c>
      <c r="G156" s="11" t="s">
        <v>231</v>
      </c>
      <c r="H156" s="5">
        <v>2</v>
      </c>
      <c r="I156" s="5" t="str">
        <f>VLOOKUP(F156,'Set up'!$A$2:$C$70,3,FALSE)</f>
        <v>Cash</v>
      </c>
      <c r="J156" s="5">
        <f>VLOOKUP(F156,'Set up'!$A$2:$D$70,4,FALSE)</f>
        <v>0</v>
      </c>
      <c r="K156" s="4">
        <f t="shared" si="28"/>
        <v>44200</v>
      </c>
      <c r="L156" s="5">
        <f t="shared" si="29"/>
        <v>1</v>
      </c>
      <c r="M156" s="5">
        <f t="shared" si="30"/>
        <v>2021</v>
      </c>
      <c r="N156" s="24">
        <v>810</v>
      </c>
      <c r="O156" s="6">
        <f t="shared" si="33"/>
        <v>-810</v>
      </c>
      <c r="P156" s="6">
        <f t="shared" si="32"/>
        <v>0</v>
      </c>
      <c r="Q156" s="7">
        <f t="shared" si="31"/>
        <v>206485.49999999997</v>
      </c>
      <c r="R156" s="44" t="str">
        <f>VLOOKUP(F156,'Set up'!$A$2:$E$70,5,FALSE)</f>
        <v>Chq</v>
      </c>
      <c r="S156" s="1" t="s">
        <v>230</v>
      </c>
    </row>
    <row r="157" spans="1:19" x14ac:dyDescent="0.3">
      <c r="A157" s="4">
        <v>44200</v>
      </c>
      <c r="B157" s="5">
        <f t="shared" si="26"/>
        <v>1</v>
      </c>
      <c r="C157" s="5">
        <f t="shared" si="27"/>
        <v>2021</v>
      </c>
      <c r="D157" s="5" t="s">
        <v>226</v>
      </c>
      <c r="E157" s="5" t="str">
        <f>VLOOKUP(F157,'Set up'!$A$2:$C$70,2,FALSE)</f>
        <v>C00000013a</v>
      </c>
      <c r="F157" s="1" t="s">
        <v>1453</v>
      </c>
      <c r="G157" s="11" t="s">
        <v>97</v>
      </c>
      <c r="H157" s="5">
        <v>1</v>
      </c>
      <c r="I157" s="5" t="str">
        <f>VLOOKUP(F157,'Set up'!$A$2:$C$70,3,FALSE)</f>
        <v>Cash</v>
      </c>
      <c r="J157" s="5">
        <f>VLOOKUP(F157,'Set up'!$A$2:$D$70,4,FALSE)</f>
        <v>0</v>
      </c>
      <c r="K157" s="4">
        <f t="shared" si="28"/>
        <v>44200</v>
      </c>
      <c r="L157" s="5">
        <f t="shared" si="29"/>
        <v>1</v>
      </c>
      <c r="M157" s="5">
        <f t="shared" si="30"/>
        <v>2021</v>
      </c>
      <c r="N157" s="24">
        <v>405</v>
      </c>
      <c r="O157" s="6">
        <f t="shared" si="33"/>
        <v>-405</v>
      </c>
      <c r="P157" s="6">
        <f t="shared" si="32"/>
        <v>0</v>
      </c>
      <c r="Q157" s="7">
        <f t="shared" si="31"/>
        <v>206890.49999999997</v>
      </c>
      <c r="R157" s="44" t="str">
        <f>VLOOKUP(F157,'Set up'!$A$2:$E$70,5,FALSE)</f>
        <v>Chq</v>
      </c>
      <c r="S157" s="1" t="s">
        <v>230</v>
      </c>
    </row>
    <row r="158" spans="1:19" x14ac:dyDescent="0.3">
      <c r="A158" s="4">
        <v>44200</v>
      </c>
      <c r="B158" s="5">
        <f t="shared" si="26"/>
        <v>1</v>
      </c>
      <c r="C158" s="5">
        <f t="shared" si="27"/>
        <v>2021</v>
      </c>
      <c r="D158" s="5" t="s">
        <v>226</v>
      </c>
      <c r="E158" s="5" t="str">
        <f>VLOOKUP(F158,'Set up'!$A$2:$C$70,2,FALSE)</f>
        <v>C00000013a</v>
      </c>
      <c r="F158" s="1" t="s">
        <v>1453</v>
      </c>
      <c r="G158" s="11" t="s">
        <v>232</v>
      </c>
      <c r="H158" s="5">
        <v>2</v>
      </c>
      <c r="I158" s="5" t="str">
        <f>VLOOKUP(F158,'Set up'!$A$2:$C$70,3,FALSE)</f>
        <v>Cash</v>
      </c>
      <c r="J158" s="5">
        <f>VLOOKUP(F158,'Set up'!$A$2:$D$70,4,FALSE)</f>
        <v>0</v>
      </c>
      <c r="K158" s="4">
        <f t="shared" si="28"/>
        <v>44200</v>
      </c>
      <c r="L158" s="5">
        <f t="shared" si="29"/>
        <v>1</v>
      </c>
      <c r="M158" s="5">
        <f t="shared" si="30"/>
        <v>2021</v>
      </c>
      <c r="N158" s="24">
        <v>5920</v>
      </c>
      <c r="O158" s="6">
        <f t="shared" si="33"/>
        <v>-5920</v>
      </c>
      <c r="P158" s="6">
        <f t="shared" si="32"/>
        <v>0</v>
      </c>
      <c r="Q158" s="7">
        <f t="shared" si="31"/>
        <v>212810.49999999997</v>
      </c>
      <c r="R158" s="44" t="str">
        <f>VLOOKUP(F158,'Set up'!$A$2:$E$70,5,FALSE)</f>
        <v>Chq</v>
      </c>
      <c r="S158" s="1" t="s">
        <v>230</v>
      </c>
    </row>
    <row r="159" spans="1:19" x14ac:dyDescent="0.3">
      <c r="A159" s="4">
        <v>44200</v>
      </c>
      <c r="B159" s="5">
        <f t="shared" si="26"/>
        <v>1</v>
      </c>
      <c r="C159" s="5">
        <f t="shared" si="27"/>
        <v>2021</v>
      </c>
      <c r="D159" s="5" t="s">
        <v>226</v>
      </c>
      <c r="E159" s="5" t="str">
        <f>VLOOKUP(F159,'Set up'!$A$2:$C$70,2,FALSE)</f>
        <v>C00000013a</v>
      </c>
      <c r="F159" s="1" t="s">
        <v>1453</v>
      </c>
      <c r="G159" s="11" t="s">
        <v>233</v>
      </c>
      <c r="H159" s="5">
        <v>3</v>
      </c>
      <c r="I159" s="5" t="str">
        <f>VLOOKUP(F159,'Set up'!$A$2:$C$70,3,FALSE)</f>
        <v>Cash</v>
      </c>
      <c r="J159" s="5">
        <f>VLOOKUP(F159,'Set up'!$A$2:$D$70,4,FALSE)</f>
        <v>0</v>
      </c>
      <c r="K159" s="4">
        <f t="shared" si="28"/>
        <v>44200</v>
      </c>
      <c r="L159" s="5">
        <f t="shared" si="29"/>
        <v>1</v>
      </c>
      <c r="M159" s="5">
        <f t="shared" si="30"/>
        <v>2021</v>
      </c>
      <c r="N159" s="24">
        <v>135</v>
      </c>
      <c r="O159" s="6">
        <f t="shared" si="33"/>
        <v>-135</v>
      </c>
      <c r="P159" s="6">
        <f t="shared" si="32"/>
        <v>0</v>
      </c>
      <c r="Q159" s="7">
        <f t="shared" si="31"/>
        <v>212945.49999999997</v>
      </c>
      <c r="R159" s="44" t="str">
        <f>VLOOKUP(F159,'Set up'!$A$2:$E$70,5,FALSE)</f>
        <v>Chq</v>
      </c>
      <c r="S159" s="1" t="s">
        <v>230</v>
      </c>
    </row>
    <row r="160" spans="1:19" x14ac:dyDescent="0.3">
      <c r="A160" s="4">
        <v>44200</v>
      </c>
      <c r="B160" s="5">
        <f t="shared" si="26"/>
        <v>1</v>
      </c>
      <c r="C160" s="5">
        <f t="shared" si="27"/>
        <v>2021</v>
      </c>
      <c r="D160" s="5" t="s">
        <v>226</v>
      </c>
      <c r="E160" s="5" t="str">
        <f>VLOOKUP(F160,'Set up'!$A$2:$C$70,2,FALSE)</f>
        <v>C00000013a</v>
      </c>
      <c r="F160" s="1" t="s">
        <v>1453</v>
      </c>
      <c r="G160" s="11" t="s">
        <v>234</v>
      </c>
      <c r="H160" s="5">
        <v>1</v>
      </c>
      <c r="I160" s="5" t="str">
        <f>VLOOKUP(F160,'Set up'!$A$2:$C$70,3,FALSE)</f>
        <v>Cash</v>
      </c>
      <c r="J160" s="5">
        <f>VLOOKUP(F160,'Set up'!$A$2:$D$70,4,FALSE)</f>
        <v>0</v>
      </c>
      <c r="K160" s="4">
        <f t="shared" si="28"/>
        <v>44200</v>
      </c>
      <c r="L160" s="5">
        <f t="shared" si="29"/>
        <v>1</v>
      </c>
      <c r="M160" s="5">
        <f t="shared" si="30"/>
        <v>2021</v>
      </c>
      <c r="N160" s="24">
        <v>130</v>
      </c>
      <c r="O160" s="6">
        <f t="shared" si="33"/>
        <v>-130</v>
      </c>
      <c r="P160" s="6">
        <f t="shared" si="32"/>
        <v>0</v>
      </c>
      <c r="Q160" s="7">
        <f t="shared" si="31"/>
        <v>213075.49999999997</v>
      </c>
      <c r="R160" s="44" t="str">
        <f>VLOOKUP(F160,'Set up'!$A$2:$E$70,5,FALSE)</f>
        <v>Chq</v>
      </c>
      <c r="S160" s="1" t="s">
        <v>230</v>
      </c>
    </row>
    <row r="161" spans="1:19" x14ac:dyDescent="0.3">
      <c r="A161" s="4">
        <v>44200</v>
      </c>
      <c r="B161" s="5">
        <f t="shared" si="26"/>
        <v>1</v>
      </c>
      <c r="C161" s="5">
        <f t="shared" si="27"/>
        <v>2021</v>
      </c>
      <c r="D161" s="5" t="s">
        <v>226</v>
      </c>
      <c r="E161" s="5" t="str">
        <f>VLOOKUP(F161,'Set up'!$A$2:$C$70,2,FALSE)</f>
        <v>C00000013a</v>
      </c>
      <c r="F161" s="1" t="s">
        <v>1453</v>
      </c>
      <c r="G161" s="11" t="s">
        <v>235</v>
      </c>
      <c r="H161" s="5">
        <v>1</v>
      </c>
      <c r="I161" s="5" t="str">
        <f>VLOOKUP(F161,'Set up'!$A$2:$C$70,3,FALSE)</f>
        <v>Cash</v>
      </c>
      <c r="J161" s="5">
        <f>VLOOKUP(F161,'Set up'!$A$2:$D$70,4,FALSE)</f>
        <v>0</v>
      </c>
      <c r="K161" s="4">
        <f t="shared" si="28"/>
        <v>44200</v>
      </c>
      <c r="L161" s="5">
        <f t="shared" si="29"/>
        <v>1</v>
      </c>
      <c r="M161" s="5">
        <f t="shared" si="30"/>
        <v>2021</v>
      </c>
      <c r="N161" s="24">
        <v>380</v>
      </c>
      <c r="O161" s="6">
        <f t="shared" si="33"/>
        <v>-380</v>
      </c>
      <c r="P161" s="6">
        <f t="shared" si="32"/>
        <v>0</v>
      </c>
      <c r="Q161" s="7">
        <f t="shared" si="31"/>
        <v>213455.49999999997</v>
      </c>
      <c r="R161" s="44" t="str">
        <f>VLOOKUP(F161,'Set up'!$A$2:$E$70,5,FALSE)</f>
        <v>Chq</v>
      </c>
      <c r="S161" s="1" t="s">
        <v>230</v>
      </c>
    </row>
    <row r="162" spans="1:19" x14ac:dyDescent="0.3">
      <c r="A162" s="4">
        <v>44200</v>
      </c>
      <c r="B162" s="5">
        <f t="shared" si="26"/>
        <v>1</v>
      </c>
      <c r="C162" s="5">
        <f t="shared" si="27"/>
        <v>2021</v>
      </c>
      <c r="D162" s="5" t="s">
        <v>226</v>
      </c>
      <c r="E162" s="5" t="str">
        <f>VLOOKUP(F162,'Set up'!$A$2:$C$70,2,FALSE)</f>
        <v>C00000013a</v>
      </c>
      <c r="F162" s="1" t="s">
        <v>1453</v>
      </c>
      <c r="G162" s="11" t="s">
        <v>236</v>
      </c>
      <c r="H162" s="5">
        <v>1</v>
      </c>
      <c r="I162" s="5" t="str">
        <f>VLOOKUP(F162,'Set up'!$A$2:$C$70,3,FALSE)</f>
        <v>Cash</v>
      </c>
      <c r="J162" s="5">
        <f>VLOOKUP(F162,'Set up'!$A$2:$D$70,4,FALSE)</f>
        <v>0</v>
      </c>
      <c r="K162" s="4">
        <f t="shared" si="28"/>
        <v>44200</v>
      </c>
      <c r="L162" s="5">
        <f t="shared" si="29"/>
        <v>1</v>
      </c>
      <c r="M162" s="5">
        <f t="shared" si="30"/>
        <v>2021</v>
      </c>
      <c r="N162" s="24">
        <v>180</v>
      </c>
      <c r="O162" s="6">
        <f t="shared" si="33"/>
        <v>-180</v>
      </c>
      <c r="P162" s="6">
        <f t="shared" si="32"/>
        <v>0</v>
      </c>
      <c r="Q162" s="7">
        <f t="shared" si="31"/>
        <v>213635.49999999997</v>
      </c>
      <c r="R162" s="44" t="str">
        <f>VLOOKUP(F162,'Set up'!$A$2:$E$70,5,FALSE)</f>
        <v>Chq</v>
      </c>
      <c r="S162" s="1" t="s">
        <v>230</v>
      </c>
    </row>
    <row r="163" spans="1:19" x14ac:dyDescent="0.3">
      <c r="A163" s="4">
        <v>44200</v>
      </c>
      <c r="B163" s="5">
        <f t="shared" si="26"/>
        <v>1</v>
      </c>
      <c r="C163" s="5">
        <f t="shared" si="27"/>
        <v>2021</v>
      </c>
      <c r="D163" s="5" t="s">
        <v>226</v>
      </c>
      <c r="E163" s="5" t="str">
        <f>VLOOKUP(F163,'Set up'!$A$2:$C$70,2,FALSE)</f>
        <v>C00000013a</v>
      </c>
      <c r="F163" s="1" t="s">
        <v>1453</v>
      </c>
      <c r="G163" s="11" t="s">
        <v>237</v>
      </c>
      <c r="H163" s="5">
        <v>3</v>
      </c>
      <c r="I163" s="5" t="str">
        <f>VLOOKUP(F163,'Set up'!$A$2:$C$70,3,FALSE)</f>
        <v>Cash</v>
      </c>
      <c r="J163" s="5">
        <f>VLOOKUP(F163,'Set up'!$A$2:$D$70,4,FALSE)</f>
        <v>0</v>
      </c>
      <c r="K163" s="4">
        <f t="shared" si="28"/>
        <v>44200</v>
      </c>
      <c r="L163" s="5">
        <f t="shared" si="29"/>
        <v>1</v>
      </c>
      <c r="M163" s="5">
        <f t="shared" si="30"/>
        <v>2021</v>
      </c>
      <c r="N163" s="24">
        <v>144</v>
      </c>
      <c r="O163" s="6">
        <f t="shared" si="33"/>
        <v>-144</v>
      </c>
      <c r="P163" s="6">
        <f t="shared" si="32"/>
        <v>0</v>
      </c>
      <c r="Q163" s="7">
        <f t="shared" si="31"/>
        <v>213779.49999999997</v>
      </c>
      <c r="R163" s="44" t="str">
        <f>VLOOKUP(F163,'Set up'!$A$2:$E$70,5,FALSE)</f>
        <v>Chq</v>
      </c>
      <c r="S163" s="1" t="s">
        <v>230</v>
      </c>
    </row>
    <row r="164" spans="1:19" x14ac:dyDescent="0.3">
      <c r="A164" s="4">
        <v>44200</v>
      </c>
      <c r="B164" s="5">
        <f t="shared" si="26"/>
        <v>1</v>
      </c>
      <c r="C164" s="5">
        <f t="shared" si="27"/>
        <v>2021</v>
      </c>
      <c r="D164" s="5" t="s">
        <v>226</v>
      </c>
      <c r="E164" s="5" t="str">
        <f>VLOOKUP(F164,'Set up'!$A$2:$C$70,2,FALSE)</f>
        <v>C00000013a</v>
      </c>
      <c r="F164" s="1" t="s">
        <v>1453</v>
      </c>
      <c r="G164" s="11" t="s">
        <v>238</v>
      </c>
      <c r="H164" s="5">
        <v>1</v>
      </c>
      <c r="I164" s="5" t="str">
        <f>VLOOKUP(F164,'Set up'!$A$2:$C$70,3,FALSE)</f>
        <v>Cash</v>
      </c>
      <c r="J164" s="5">
        <f>VLOOKUP(F164,'Set up'!$A$2:$D$70,4,FALSE)</f>
        <v>0</v>
      </c>
      <c r="K164" s="4">
        <f t="shared" si="28"/>
        <v>44200</v>
      </c>
      <c r="L164" s="5">
        <f t="shared" si="29"/>
        <v>1</v>
      </c>
      <c r="M164" s="5">
        <f t="shared" si="30"/>
        <v>2021</v>
      </c>
      <c r="N164" s="24">
        <v>360</v>
      </c>
      <c r="O164" s="6">
        <f t="shared" si="33"/>
        <v>-360</v>
      </c>
      <c r="P164" s="6">
        <f t="shared" si="32"/>
        <v>0</v>
      </c>
      <c r="Q164" s="7">
        <f t="shared" si="31"/>
        <v>214139.49999999997</v>
      </c>
      <c r="R164" s="44" t="str">
        <f>VLOOKUP(F164,'Set up'!$A$2:$E$70,5,FALSE)</f>
        <v>Chq</v>
      </c>
      <c r="S164" s="1" t="s">
        <v>230</v>
      </c>
    </row>
    <row r="165" spans="1:19" x14ac:dyDescent="0.3">
      <c r="A165" s="4">
        <v>44200</v>
      </c>
      <c r="B165" s="5">
        <f t="shared" si="26"/>
        <v>1</v>
      </c>
      <c r="C165" s="5">
        <f t="shared" si="27"/>
        <v>2021</v>
      </c>
      <c r="D165" s="5" t="s">
        <v>226</v>
      </c>
      <c r="E165" s="5" t="str">
        <f>VLOOKUP(F165,'Set up'!$A$2:$C$70,2,FALSE)</f>
        <v>C00000013a</v>
      </c>
      <c r="F165" s="1" t="s">
        <v>1453</v>
      </c>
      <c r="G165" s="11" t="s">
        <v>17</v>
      </c>
      <c r="H165" s="5">
        <v>1</v>
      </c>
      <c r="I165" s="5" t="str">
        <f>VLOOKUP(F165,'Set up'!$A$2:$C$70,3,FALSE)</f>
        <v>Cash</v>
      </c>
      <c r="J165" s="5">
        <f>VLOOKUP(F165,'Set up'!$A$2:$D$70,4,FALSE)</f>
        <v>0</v>
      </c>
      <c r="K165" s="4">
        <f t="shared" si="28"/>
        <v>44200</v>
      </c>
      <c r="L165" s="5">
        <f t="shared" si="29"/>
        <v>1</v>
      </c>
      <c r="M165" s="5">
        <f t="shared" si="30"/>
        <v>2021</v>
      </c>
      <c r="N165" s="24">
        <v>95</v>
      </c>
      <c r="O165" s="6">
        <f t="shared" si="33"/>
        <v>-95</v>
      </c>
      <c r="P165" s="6">
        <f t="shared" si="32"/>
        <v>0</v>
      </c>
      <c r="Q165" s="7">
        <f t="shared" si="31"/>
        <v>214234.49999999997</v>
      </c>
      <c r="R165" s="44" t="str">
        <f>VLOOKUP(F165,'Set up'!$A$2:$E$70,5,FALSE)</f>
        <v>Chq</v>
      </c>
      <c r="S165" s="1" t="s">
        <v>230</v>
      </c>
    </row>
    <row r="166" spans="1:19" x14ac:dyDescent="0.3">
      <c r="A166" s="4">
        <v>44200</v>
      </c>
      <c r="B166" s="5">
        <f t="shared" si="26"/>
        <v>1</v>
      </c>
      <c r="C166" s="5">
        <f t="shared" si="27"/>
        <v>2021</v>
      </c>
      <c r="D166" s="5" t="s">
        <v>226</v>
      </c>
      <c r="E166" s="5" t="str">
        <f>VLOOKUP(F166,'Set up'!$A$2:$C$70,2,FALSE)</f>
        <v>C00000013a</v>
      </c>
      <c r="F166" s="1" t="s">
        <v>1453</v>
      </c>
      <c r="G166" s="11" t="s">
        <v>277</v>
      </c>
      <c r="H166" s="5">
        <v>1</v>
      </c>
      <c r="I166" s="5" t="str">
        <f>VLOOKUP(F166,'Set up'!$A$2:$C$70,3,FALSE)</f>
        <v>Cash</v>
      </c>
      <c r="J166" s="5">
        <f>VLOOKUP(F166,'Set up'!$A$2:$D$70,4,FALSE)</f>
        <v>0</v>
      </c>
      <c r="K166" s="4">
        <f t="shared" si="28"/>
        <v>44200</v>
      </c>
      <c r="L166" s="5">
        <f t="shared" si="29"/>
        <v>1</v>
      </c>
      <c r="M166" s="5">
        <f t="shared" si="30"/>
        <v>2021</v>
      </c>
      <c r="N166" s="24">
        <v>300</v>
      </c>
      <c r="O166" s="6">
        <f t="shared" si="33"/>
        <v>-300</v>
      </c>
      <c r="P166" s="6">
        <f t="shared" si="32"/>
        <v>0</v>
      </c>
      <c r="Q166" s="7">
        <f t="shared" si="31"/>
        <v>214534.49999999997</v>
      </c>
      <c r="R166" s="44" t="str">
        <f>VLOOKUP(F166,'Set up'!$A$2:$E$70,5,FALSE)</f>
        <v>Chq</v>
      </c>
      <c r="S166" s="1" t="s">
        <v>230</v>
      </c>
    </row>
    <row r="167" spans="1:19" x14ac:dyDescent="0.3">
      <c r="A167" s="4">
        <v>44207</v>
      </c>
      <c r="B167" s="5">
        <f t="shared" si="26"/>
        <v>1</v>
      </c>
      <c r="C167" s="5">
        <f t="shared" si="27"/>
        <v>2021</v>
      </c>
      <c r="D167" s="5" t="s">
        <v>239</v>
      </c>
      <c r="E167" s="5" t="str">
        <f>VLOOKUP(F167,'Set up'!$A$2:$C$70,2,FALSE)</f>
        <v>C00000010</v>
      </c>
      <c r="F167" s="1" t="s">
        <v>62</v>
      </c>
      <c r="G167" s="11" t="s">
        <v>240</v>
      </c>
      <c r="H167" s="5">
        <v>1</v>
      </c>
      <c r="I167" s="5">
        <f>VLOOKUP(F167,'Set up'!$A$2:$C$70,3,FALSE)</f>
        <v>120</v>
      </c>
      <c r="J167" s="5">
        <f>VLOOKUP(F167,'Set up'!$A$2:$D$70,4,FALSE)</f>
        <v>120</v>
      </c>
      <c r="K167" s="4">
        <f t="shared" si="28"/>
        <v>44327</v>
      </c>
      <c r="L167" s="5">
        <f t="shared" si="29"/>
        <v>5</v>
      </c>
      <c r="M167" s="5">
        <f t="shared" si="30"/>
        <v>2021</v>
      </c>
      <c r="N167" s="41">
        <v>0</v>
      </c>
      <c r="O167" s="42">
        <f t="shared" si="33"/>
        <v>0</v>
      </c>
      <c r="P167" s="42">
        <f t="shared" si="32"/>
        <v>0</v>
      </c>
      <c r="Q167" s="7">
        <f t="shared" si="31"/>
        <v>214534.49999999997</v>
      </c>
      <c r="R167" s="44" t="str">
        <f>VLOOKUP(F167,'Set up'!$A$2:$E$70,5,FALSE)</f>
        <v>Trsf</v>
      </c>
      <c r="S167" s="43" t="s">
        <v>241</v>
      </c>
    </row>
    <row r="168" spans="1:19" x14ac:dyDescent="0.3">
      <c r="A168" s="4">
        <v>44204</v>
      </c>
      <c r="B168" s="5">
        <f t="shared" si="26"/>
        <v>1</v>
      </c>
      <c r="C168" s="5">
        <f t="shared" si="27"/>
        <v>2021</v>
      </c>
      <c r="D168" s="5" t="s">
        <v>242</v>
      </c>
      <c r="E168" s="5" t="str">
        <f>VLOOKUP(F168,'Set up'!$A$2:$C$70,2,FALSE)</f>
        <v>C00000013a</v>
      </c>
      <c r="F168" s="1" t="s">
        <v>1453</v>
      </c>
      <c r="G168" s="11" t="s">
        <v>243</v>
      </c>
      <c r="H168" s="5">
        <v>3</v>
      </c>
      <c r="I168" s="5" t="str">
        <f>VLOOKUP(F168,'Set up'!$A$2:$C$70,3,FALSE)</f>
        <v>Cash</v>
      </c>
      <c r="J168" s="5">
        <f>VLOOKUP(F168,'Set up'!$A$2:$D$70,4,FALSE)</f>
        <v>0</v>
      </c>
      <c r="K168" s="4">
        <f t="shared" si="28"/>
        <v>44204</v>
      </c>
      <c r="L168" s="5">
        <f t="shared" si="29"/>
        <v>1</v>
      </c>
      <c r="M168" s="5">
        <f t="shared" si="30"/>
        <v>2021</v>
      </c>
      <c r="N168" s="24">
        <v>49</v>
      </c>
      <c r="O168" s="6">
        <f t="shared" si="33"/>
        <v>-49</v>
      </c>
      <c r="P168" s="6">
        <f t="shared" si="32"/>
        <v>0</v>
      </c>
      <c r="Q168" s="7">
        <f t="shared" si="31"/>
        <v>214583.49999999997</v>
      </c>
      <c r="R168" s="44" t="str">
        <f>VLOOKUP(F168,'Set up'!$A$2:$E$70,5,FALSE)</f>
        <v>Chq</v>
      </c>
      <c r="S168" s="1" t="s">
        <v>249</v>
      </c>
    </row>
    <row r="169" spans="1:19" x14ac:dyDescent="0.3">
      <c r="A169" s="4">
        <v>44205</v>
      </c>
      <c r="B169" s="5">
        <f t="shared" si="26"/>
        <v>1</v>
      </c>
      <c r="C169" s="5">
        <f t="shared" si="27"/>
        <v>2021</v>
      </c>
      <c r="D169" s="5" t="s">
        <v>244</v>
      </c>
      <c r="E169" s="5" t="str">
        <f>VLOOKUP(F169,'Set up'!$A$2:$C$70,2,FALSE)</f>
        <v>C00000003</v>
      </c>
      <c r="F169" s="1" t="s">
        <v>20</v>
      </c>
      <c r="G169" s="11" t="s">
        <v>54</v>
      </c>
      <c r="H169" s="5">
        <v>5</v>
      </c>
      <c r="I169" s="5">
        <f>VLOOKUP(F169,'Set up'!$A$2:$C$70,3,FALSE)</f>
        <v>45</v>
      </c>
      <c r="J169" s="5">
        <f>VLOOKUP(F169,'Set up'!$A$2:$D$70,4,FALSE)</f>
        <v>45</v>
      </c>
      <c r="K169" s="4">
        <f t="shared" si="28"/>
        <v>44250</v>
      </c>
      <c r="L169" s="5">
        <f t="shared" si="29"/>
        <v>2</v>
      </c>
      <c r="M169" s="5">
        <f t="shared" si="30"/>
        <v>2021</v>
      </c>
      <c r="N169" s="24">
        <v>250</v>
      </c>
      <c r="O169" s="6">
        <f t="shared" si="33"/>
        <v>-250</v>
      </c>
      <c r="P169" s="6">
        <f t="shared" si="32"/>
        <v>0</v>
      </c>
      <c r="Q169" s="7">
        <f t="shared" si="31"/>
        <v>214833.49999999997</v>
      </c>
      <c r="R169" s="44" t="str">
        <f>VLOOKUP(F169,'Set up'!$A$2:$E$70,5,FALSE)</f>
        <v>PD Chq</v>
      </c>
      <c r="S169" s="1" t="s">
        <v>245</v>
      </c>
    </row>
    <row r="170" spans="1:19" x14ac:dyDescent="0.3">
      <c r="A170" s="4">
        <v>44205</v>
      </c>
      <c r="B170" s="5">
        <f t="shared" si="26"/>
        <v>1</v>
      </c>
      <c r="C170" s="5">
        <f t="shared" si="27"/>
        <v>2021</v>
      </c>
      <c r="D170" s="5" t="s">
        <v>244</v>
      </c>
      <c r="E170" s="5" t="str">
        <f>VLOOKUP(F170,'Set up'!$A$2:$C$70,2,FALSE)</f>
        <v>C00000003</v>
      </c>
      <c r="F170" s="1" t="s">
        <v>20</v>
      </c>
      <c r="G170" s="11" t="s">
        <v>178</v>
      </c>
      <c r="H170" s="5">
        <v>2</v>
      </c>
      <c r="I170" s="5">
        <f>VLOOKUP(F170,'Set up'!$A$2:$C$70,3,FALSE)</f>
        <v>45</v>
      </c>
      <c r="J170" s="5">
        <f>VLOOKUP(F170,'Set up'!$A$2:$D$70,4,FALSE)</f>
        <v>45</v>
      </c>
      <c r="K170" s="4">
        <f t="shared" si="28"/>
        <v>44250</v>
      </c>
      <c r="L170" s="5">
        <f t="shared" si="29"/>
        <v>2</v>
      </c>
      <c r="M170" s="5">
        <f t="shared" si="30"/>
        <v>2021</v>
      </c>
      <c r="N170" s="24">
        <v>90</v>
      </c>
      <c r="O170" s="6">
        <f t="shared" si="33"/>
        <v>-90</v>
      </c>
      <c r="P170" s="6">
        <f t="shared" si="32"/>
        <v>0</v>
      </c>
      <c r="Q170" s="7">
        <f t="shared" si="31"/>
        <v>214923.49999999997</v>
      </c>
      <c r="R170" s="44" t="str">
        <f>VLOOKUP(F170,'Set up'!$A$2:$E$70,5,FALSE)</f>
        <v>PD Chq</v>
      </c>
      <c r="S170" s="1" t="s">
        <v>245</v>
      </c>
    </row>
    <row r="171" spans="1:19" x14ac:dyDescent="0.3">
      <c r="A171" s="4">
        <v>44214</v>
      </c>
      <c r="B171" s="5">
        <f t="shared" si="26"/>
        <v>1</v>
      </c>
      <c r="C171" s="5">
        <f t="shared" si="27"/>
        <v>2021</v>
      </c>
      <c r="D171" s="5" t="s">
        <v>246</v>
      </c>
      <c r="E171" s="5" t="str">
        <f>VLOOKUP(F171,'Set up'!$A$2:$C$70,2,FALSE)</f>
        <v>C00000013a</v>
      </c>
      <c r="F171" s="1" t="s">
        <v>1453</v>
      </c>
      <c r="G171" s="11" t="s">
        <v>24</v>
      </c>
      <c r="H171" s="5">
        <v>2</v>
      </c>
      <c r="I171" s="5" t="str">
        <f>VLOOKUP(F171,'Set up'!$A$2:$C$70,3,FALSE)</f>
        <v>Cash</v>
      </c>
      <c r="J171" s="5">
        <f>VLOOKUP(F171,'Set up'!$A$2:$D$70,4,FALSE)</f>
        <v>0</v>
      </c>
      <c r="K171" s="4">
        <f t="shared" si="28"/>
        <v>44214</v>
      </c>
      <c r="L171" s="5">
        <f t="shared" si="29"/>
        <v>1</v>
      </c>
      <c r="M171" s="5">
        <f t="shared" si="30"/>
        <v>2021</v>
      </c>
      <c r="N171" s="24">
        <v>472</v>
      </c>
      <c r="O171" s="6">
        <f t="shared" si="33"/>
        <v>-472</v>
      </c>
      <c r="P171" s="6">
        <f t="shared" si="32"/>
        <v>0</v>
      </c>
      <c r="Q171" s="7">
        <f t="shared" si="31"/>
        <v>215395.49999999997</v>
      </c>
      <c r="R171" s="44" t="str">
        <f>VLOOKUP(F171,'Set up'!$A$2:$E$70,5,FALSE)</f>
        <v>Chq</v>
      </c>
      <c r="S171" s="1" t="s">
        <v>249</v>
      </c>
    </row>
    <row r="172" spans="1:19" x14ac:dyDescent="0.3">
      <c r="A172" s="4">
        <v>44214</v>
      </c>
      <c r="B172" s="5">
        <f t="shared" si="26"/>
        <v>1</v>
      </c>
      <c r="C172" s="5">
        <f t="shared" si="27"/>
        <v>2021</v>
      </c>
      <c r="D172" s="5" t="s">
        <v>246</v>
      </c>
      <c r="E172" s="5" t="str">
        <f>VLOOKUP(F172,'Set up'!$A$2:$C$70,2,FALSE)</f>
        <v>C00000013a</v>
      </c>
      <c r="F172" s="1" t="s">
        <v>1453</v>
      </c>
      <c r="G172" s="11" t="s">
        <v>231</v>
      </c>
      <c r="H172" s="5">
        <v>1</v>
      </c>
      <c r="I172" s="5" t="str">
        <f>VLOOKUP(F172,'Set up'!$A$2:$C$70,3,FALSE)</f>
        <v>Cash</v>
      </c>
      <c r="J172" s="5">
        <f>VLOOKUP(F172,'Set up'!$A$2:$D$70,4,FALSE)</f>
        <v>0</v>
      </c>
      <c r="K172" s="4">
        <f t="shared" si="28"/>
        <v>44214</v>
      </c>
      <c r="L172" s="5">
        <f t="shared" si="29"/>
        <v>1</v>
      </c>
      <c r="M172" s="5">
        <f t="shared" si="30"/>
        <v>2021</v>
      </c>
      <c r="N172" s="24">
        <v>405</v>
      </c>
      <c r="O172" s="6">
        <f t="shared" si="33"/>
        <v>-405</v>
      </c>
      <c r="P172" s="6">
        <f t="shared" si="32"/>
        <v>0</v>
      </c>
      <c r="Q172" s="7">
        <f t="shared" si="31"/>
        <v>215800.49999999997</v>
      </c>
      <c r="R172" s="44" t="str">
        <f>VLOOKUP(F172,'Set up'!$A$2:$E$70,5,FALSE)</f>
        <v>Chq</v>
      </c>
      <c r="S172" s="1" t="s">
        <v>249</v>
      </c>
    </row>
    <row r="173" spans="1:19" x14ac:dyDescent="0.3">
      <c r="A173" s="4">
        <v>44214</v>
      </c>
      <c r="B173" s="5">
        <f t="shared" si="26"/>
        <v>1</v>
      </c>
      <c r="C173" s="5">
        <f t="shared" si="27"/>
        <v>2021</v>
      </c>
      <c r="D173" s="5" t="s">
        <v>246</v>
      </c>
      <c r="E173" s="5" t="str">
        <f>VLOOKUP(F173,'Set up'!$A$2:$C$70,2,FALSE)</f>
        <v>C00000013a</v>
      </c>
      <c r="F173" s="1" t="s">
        <v>1453</v>
      </c>
      <c r="G173" s="11" t="s">
        <v>97</v>
      </c>
      <c r="H173" s="5">
        <v>1</v>
      </c>
      <c r="I173" s="5" t="str">
        <f>VLOOKUP(F173,'Set up'!$A$2:$C$70,3,FALSE)</f>
        <v>Cash</v>
      </c>
      <c r="J173" s="5">
        <f>VLOOKUP(F173,'Set up'!$A$2:$D$70,4,FALSE)</f>
        <v>0</v>
      </c>
      <c r="K173" s="4">
        <f t="shared" si="28"/>
        <v>44214</v>
      </c>
      <c r="L173" s="5">
        <f t="shared" si="29"/>
        <v>1</v>
      </c>
      <c r="M173" s="5">
        <f t="shared" si="30"/>
        <v>2021</v>
      </c>
      <c r="N173" s="24">
        <v>405</v>
      </c>
      <c r="O173" s="6">
        <f t="shared" si="33"/>
        <v>-405</v>
      </c>
      <c r="P173" s="6">
        <f t="shared" si="32"/>
        <v>0</v>
      </c>
      <c r="Q173" s="7">
        <f t="shared" si="31"/>
        <v>216205.49999999997</v>
      </c>
      <c r="R173" s="44" t="str">
        <f>VLOOKUP(F173,'Set up'!$A$2:$E$70,5,FALSE)</f>
        <v>Chq</v>
      </c>
      <c r="S173" s="1" t="s">
        <v>249</v>
      </c>
    </row>
    <row r="174" spans="1:19" x14ac:dyDescent="0.3">
      <c r="A174" s="4">
        <v>44214</v>
      </c>
      <c r="B174" s="5">
        <f t="shared" si="26"/>
        <v>1</v>
      </c>
      <c r="C174" s="5">
        <f t="shared" si="27"/>
        <v>2021</v>
      </c>
      <c r="D174" s="5" t="s">
        <v>246</v>
      </c>
      <c r="E174" s="5" t="str">
        <f>VLOOKUP(F174,'Set up'!$A$2:$C$70,2,FALSE)</f>
        <v>C00000013a</v>
      </c>
      <c r="F174" s="1" t="s">
        <v>1453</v>
      </c>
      <c r="G174" s="11" t="s">
        <v>234</v>
      </c>
      <c r="H174" s="5">
        <v>1</v>
      </c>
      <c r="I174" s="5" t="str">
        <f>VLOOKUP(F174,'Set up'!$A$2:$C$70,3,FALSE)</f>
        <v>Cash</v>
      </c>
      <c r="J174" s="5">
        <f>VLOOKUP(F174,'Set up'!$A$2:$D$70,4,FALSE)</f>
        <v>0</v>
      </c>
      <c r="K174" s="4">
        <f t="shared" si="28"/>
        <v>44214</v>
      </c>
      <c r="L174" s="5">
        <f t="shared" si="29"/>
        <v>1</v>
      </c>
      <c r="M174" s="5">
        <f t="shared" si="30"/>
        <v>2021</v>
      </c>
      <c r="N174" s="24">
        <v>130</v>
      </c>
      <c r="O174" s="6">
        <f t="shared" si="33"/>
        <v>-130</v>
      </c>
      <c r="P174" s="6">
        <f t="shared" si="32"/>
        <v>0</v>
      </c>
      <c r="Q174" s="7">
        <f t="shared" si="31"/>
        <v>216335.49999999997</v>
      </c>
      <c r="R174" s="44" t="str">
        <f>VLOOKUP(F174,'Set up'!$A$2:$E$70,5,FALSE)</f>
        <v>Chq</v>
      </c>
      <c r="S174" s="1" t="s">
        <v>249</v>
      </c>
    </row>
    <row r="175" spans="1:19" x14ac:dyDescent="0.3">
      <c r="A175" s="4">
        <v>44214</v>
      </c>
      <c r="B175" s="5">
        <f t="shared" si="26"/>
        <v>1</v>
      </c>
      <c r="C175" s="5">
        <f t="shared" si="27"/>
        <v>2021</v>
      </c>
      <c r="D175" s="5" t="s">
        <v>246</v>
      </c>
      <c r="E175" s="5" t="str">
        <f>VLOOKUP(F175,'Set up'!$A$2:$C$70,2,FALSE)</f>
        <v>C00000013a</v>
      </c>
      <c r="F175" s="1" t="s">
        <v>1453</v>
      </c>
      <c r="G175" s="11" t="s">
        <v>178</v>
      </c>
      <c r="H175" s="5">
        <v>2</v>
      </c>
      <c r="I175" s="5" t="str">
        <f>VLOOKUP(F175,'Set up'!$A$2:$C$70,3,FALSE)</f>
        <v>Cash</v>
      </c>
      <c r="J175" s="5">
        <f>VLOOKUP(F175,'Set up'!$A$2:$D$70,4,FALSE)</f>
        <v>0</v>
      </c>
      <c r="K175" s="4">
        <f t="shared" si="28"/>
        <v>44214</v>
      </c>
      <c r="L175" s="5">
        <f t="shared" si="29"/>
        <v>1</v>
      </c>
      <c r="M175" s="5">
        <f t="shared" si="30"/>
        <v>2021</v>
      </c>
      <c r="N175" s="24">
        <v>90</v>
      </c>
      <c r="O175" s="6">
        <f t="shared" si="33"/>
        <v>-90</v>
      </c>
      <c r="P175" s="6">
        <f t="shared" si="32"/>
        <v>0</v>
      </c>
      <c r="Q175" s="7">
        <f t="shared" si="31"/>
        <v>216425.49999999997</v>
      </c>
      <c r="R175" s="44" t="str">
        <f>VLOOKUP(F175,'Set up'!$A$2:$E$70,5,FALSE)</f>
        <v>Chq</v>
      </c>
      <c r="S175" s="1" t="s">
        <v>249</v>
      </c>
    </row>
    <row r="176" spans="1:19" x14ac:dyDescent="0.3">
      <c r="A176" s="4">
        <v>44214</v>
      </c>
      <c r="B176" s="5">
        <f t="shared" si="26"/>
        <v>1</v>
      </c>
      <c r="C176" s="5">
        <f t="shared" si="27"/>
        <v>2021</v>
      </c>
      <c r="D176" s="5" t="s">
        <v>246</v>
      </c>
      <c r="E176" s="5" t="str">
        <f>VLOOKUP(F176,'Set up'!$A$2:$C$70,2,FALSE)</f>
        <v>C00000013a</v>
      </c>
      <c r="F176" s="1" t="s">
        <v>1453</v>
      </c>
      <c r="G176" s="11" t="s">
        <v>17</v>
      </c>
      <c r="H176" s="5">
        <v>2</v>
      </c>
      <c r="I176" s="5" t="str">
        <f>VLOOKUP(F176,'Set up'!$A$2:$C$70,3,FALSE)</f>
        <v>Cash</v>
      </c>
      <c r="J176" s="5">
        <f>VLOOKUP(F176,'Set up'!$A$2:$D$70,4,FALSE)</f>
        <v>0</v>
      </c>
      <c r="K176" s="4">
        <f t="shared" si="28"/>
        <v>44214</v>
      </c>
      <c r="L176" s="5">
        <f t="shared" si="29"/>
        <v>1</v>
      </c>
      <c r="M176" s="5">
        <f t="shared" si="30"/>
        <v>2021</v>
      </c>
      <c r="N176" s="24">
        <v>190</v>
      </c>
      <c r="O176" s="6">
        <f t="shared" si="33"/>
        <v>-190</v>
      </c>
      <c r="P176" s="6">
        <f t="shared" si="32"/>
        <v>0</v>
      </c>
      <c r="Q176" s="7">
        <f t="shared" si="31"/>
        <v>216615.49999999997</v>
      </c>
      <c r="R176" s="44" t="str">
        <f>VLOOKUP(F176,'Set up'!$A$2:$E$70,5,FALSE)</f>
        <v>Chq</v>
      </c>
      <c r="S176" s="1" t="s">
        <v>249</v>
      </c>
    </row>
    <row r="177" spans="1:19" x14ac:dyDescent="0.3">
      <c r="A177" s="4">
        <v>44214</v>
      </c>
      <c r="B177" s="5">
        <f t="shared" si="26"/>
        <v>1</v>
      </c>
      <c r="C177" s="5">
        <f t="shared" si="27"/>
        <v>2021</v>
      </c>
      <c r="D177" s="5" t="s">
        <v>246</v>
      </c>
      <c r="E177" s="5" t="str">
        <f>VLOOKUP(F177,'Set up'!$A$2:$C$70,2,FALSE)</f>
        <v>C00000013a</v>
      </c>
      <c r="F177" s="1" t="s">
        <v>1453</v>
      </c>
      <c r="G177" s="11" t="s">
        <v>218</v>
      </c>
      <c r="H177" s="5">
        <v>1</v>
      </c>
      <c r="I177" s="5" t="str">
        <f>VLOOKUP(F177,'Set up'!$A$2:$C$70,3,FALSE)</f>
        <v>Cash</v>
      </c>
      <c r="J177" s="5">
        <f>VLOOKUP(F177,'Set up'!$A$2:$D$70,4,FALSE)</f>
        <v>0</v>
      </c>
      <c r="K177" s="4">
        <f t="shared" si="28"/>
        <v>44214</v>
      </c>
      <c r="L177" s="5">
        <f t="shared" si="29"/>
        <v>1</v>
      </c>
      <c r="M177" s="5">
        <f t="shared" si="30"/>
        <v>2021</v>
      </c>
      <c r="N177" s="24">
        <v>1716</v>
      </c>
      <c r="O177" s="6">
        <f t="shared" si="33"/>
        <v>-1716</v>
      </c>
      <c r="P177" s="6">
        <f t="shared" si="32"/>
        <v>0</v>
      </c>
      <c r="Q177" s="7">
        <f t="shared" si="31"/>
        <v>218331.49999999997</v>
      </c>
      <c r="R177" s="44" t="str">
        <f>VLOOKUP(F177,'Set up'!$A$2:$E$70,5,FALSE)</f>
        <v>Chq</v>
      </c>
      <c r="S177" s="1" t="s">
        <v>249</v>
      </c>
    </row>
    <row r="178" spans="1:19" ht="46.8" x14ac:dyDescent="0.3">
      <c r="A178" s="4">
        <v>44223</v>
      </c>
      <c r="B178" s="5">
        <f t="shared" si="26"/>
        <v>1</v>
      </c>
      <c r="C178" s="5">
        <f t="shared" si="27"/>
        <v>2021</v>
      </c>
      <c r="D178" s="5" t="s">
        <v>250</v>
      </c>
      <c r="E178" s="5" t="str">
        <f>VLOOKUP(F178,'Set up'!$A$2:$C$70,2,FALSE)</f>
        <v>C00000003</v>
      </c>
      <c r="F178" s="1" t="s">
        <v>20</v>
      </c>
      <c r="G178" s="11" t="s">
        <v>67</v>
      </c>
      <c r="H178" s="5">
        <v>3</v>
      </c>
      <c r="I178" s="5">
        <f>VLOOKUP(F178,'Set up'!$A$2:$C$70,3,FALSE)</f>
        <v>45</v>
      </c>
      <c r="J178" s="5">
        <f>VLOOKUP(F178,'Set up'!$A$2:$D$70,4,FALSE)</f>
        <v>45</v>
      </c>
      <c r="K178" s="4">
        <f t="shared" si="28"/>
        <v>44268</v>
      </c>
      <c r="L178" s="5">
        <f t="shared" si="29"/>
        <v>3</v>
      </c>
      <c r="M178" s="5">
        <f t="shared" si="30"/>
        <v>2021</v>
      </c>
      <c r="N178" s="24">
        <v>5082</v>
      </c>
      <c r="O178" s="6">
        <f t="shared" si="33"/>
        <v>-5082</v>
      </c>
      <c r="P178" s="6">
        <f t="shared" si="32"/>
        <v>0</v>
      </c>
      <c r="Q178" s="7">
        <f t="shared" si="31"/>
        <v>223413.49999999997</v>
      </c>
      <c r="R178" s="44" t="str">
        <f>VLOOKUP(F178,'Set up'!$A$2:$E$70,5,FALSE)</f>
        <v>PD Chq</v>
      </c>
      <c r="S178" s="40" t="s">
        <v>251</v>
      </c>
    </row>
    <row r="179" spans="1:19" ht="46.8" x14ac:dyDescent="0.3">
      <c r="A179" s="4">
        <v>44223</v>
      </c>
      <c r="B179" s="5">
        <f t="shared" si="26"/>
        <v>1</v>
      </c>
      <c r="C179" s="5">
        <f t="shared" si="27"/>
        <v>2021</v>
      </c>
      <c r="D179" s="5" t="s">
        <v>250</v>
      </c>
      <c r="E179" s="5" t="str">
        <f>VLOOKUP(F179,'Set up'!$A$2:$C$70,2,FALSE)</f>
        <v>C00000003</v>
      </c>
      <c r="F179" s="1" t="s">
        <v>20</v>
      </c>
      <c r="G179" s="11" t="s">
        <v>54</v>
      </c>
      <c r="H179" s="5">
        <v>5</v>
      </c>
      <c r="I179" s="5">
        <f>VLOOKUP(F179,'Set up'!$A$2:$C$70,3,FALSE)</f>
        <v>45</v>
      </c>
      <c r="J179" s="5">
        <f>VLOOKUP(F179,'Set up'!$A$2:$D$70,4,FALSE)</f>
        <v>45</v>
      </c>
      <c r="K179" s="4">
        <f t="shared" si="28"/>
        <v>44268</v>
      </c>
      <c r="L179" s="5">
        <f t="shared" si="29"/>
        <v>3</v>
      </c>
      <c r="M179" s="5">
        <f t="shared" si="30"/>
        <v>2021</v>
      </c>
      <c r="N179" s="24">
        <v>250</v>
      </c>
      <c r="O179" s="6">
        <f t="shared" si="33"/>
        <v>-250</v>
      </c>
      <c r="P179" s="6">
        <f t="shared" si="32"/>
        <v>0</v>
      </c>
      <c r="Q179" s="7">
        <f t="shared" si="31"/>
        <v>223663.49999999997</v>
      </c>
      <c r="R179" s="44" t="str">
        <f>VLOOKUP(F179,'Set up'!$A$2:$E$70,5,FALSE)</f>
        <v>PD Chq</v>
      </c>
      <c r="S179" s="40" t="s">
        <v>251</v>
      </c>
    </row>
    <row r="180" spans="1:19" ht="46.8" x14ac:dyDescent="0.3">
      <c r="A180" s="4">
        <v>44223</v>
      </c>
      <c r="B180" s="5">
        <f t="shared" si="26"/>
        <v>1</v>
      </c>
      <c r="C180" s="5">
        <f t="shared" si="27"/>
        <v>2021</v>
      </c>
      <c r="D180" s="5" t="s">
        <v>250</v>
      </c>
      <c r="E180" s="5" t="str">
        <f>VLOOKUP(F180,'Set up'!$A$2:$C$70,2,FALSE)</f>
        <v>C00000003</v>
      </c>
      <c r="F180" s="1" t="s">
        <v>20</v>
      </c>
      <c r="G180" s="11" t="s">
        <v>46</v>
      </c>
      <c r="H180" s="5">
        <v>6</v>
      </c>
      <c r="I180" s="5">
        <f>VLOOKUP(F180,'Set up'!$A$2:$C$70,3,FALSE)</f>
        <v>45</v>
      </c>
      <c r="J180" s="5">
        <f>VLOOKUP(F180,'Set up'!$A$2:$D$70,4,FALSE)</f>
        <v>45</v>
      </c>
      <c r="K180" s="4">
        <f t="shared" si="28"/>
        <v>44268</v>
      </c>
      <c r="L180" s="5">
        <f t="shared" si="29"/>
        <v>3</v>
      </c>
      <c r="M180" s="5">
        <f t="shared" si="30"/>
        <v>2021</v>
      </c>
      <c r="N180" s="24">
        <v>555</v>
      </c>
      <c r="O180" s="6">
        <f t="shared" si="33"/>
        <v>-555</v>
      </c>
      <c r="P180" s="6">
        <f t="shared" si="32"/>
        <v>0</v>
      </c>
      <c r="Q180" s="7">
        <f t="shared" si="31"/>
        <v>224218.49999999997</v>
      </c>
      <c r="R180" s="44" t="str">
        <f>VLOOKUP(F180,'Set up'!$A$2:$E$70,5,FALSE)</f>
        <v>PD Chq</v>
      </c>
      <c r="S180" s="40" t="s">
        <v>251</v>
      </c>
    </row>
    <row r="181" spans="1:19" x14ac:dyDescent="0.3">
      <c r="A181" s="4">
        <v>44225</v>
      </c>
      <c r="B181" s="5">
        <f t="shared" si="26"/>
        <v>1</v>
      </c>
      <c r="C181" s="5">
        <f t="shared" si="27"/>
        <v>2021</v>
      </c>
      <c r="D181" s="5" t="s">
        <v>252</v>
      </c>
      <c r="E181" s="5" t="str">
        <f>VLOOKUP(F181,'Set up'!$A$2:$C$70,2,FALSE)</f>
        <v>C00000001</v>
      </c>
      <c r="F181" s="1" t="s">
        <v>7</v>
      </c>
      <c r="G181" s="2" t="s">
        <v>95</v>
      </c>
      <c r="H181" s="5">
        <v>1</v>
      </c>
      <c r="I181" s="5" t="str">
        <f>VLOOKUP(F181,'Set up'!$A$2:$C$70,3,FALSE)</f>
        <v>Cash</v>
      </c>
      <c r="J181" s="5">
        <f>VLOOKUP(F181,'Set up'!$A$2:$D$70,4,FALSE)</f>
        <v>0</v>
      </c>
      <c r="K181" s="4">
        <f t="shared" si="28"/>
        <v>44225</v>
      </c>
      <c r="L181" s="5">
        <f t="shared" si="29"/>
        <v>1</v>
      </c>
      <c r="M181" s="5">
        <f t="shared" si="30"/>
        <v>2021</v>
      </c>
      <c r="N181" s="24">
        <v>1694</v>
      </c>
      <c r="O181" s="6">
        <f t="shared" si="33"/>
        <v>-1694</v>
      </c>
      <c r="P181" s="6">
        <f t="shared" si="32"/>
        <v>0</v>
      </c>
      <c r="Q181" s="7">
        <f t="shared" si="31"/>
        <v>225912.49999999997</v>
      </c>
      <c r="R181" s="44" t="str">
        <f>VLOOKUP(F181,'Set up'!$A$2:$E$70,5,FALSE)</f>
        <v>Trsf</v>
      </c>
      <c r="S181" s="1" t="s">
        <v>267</v>
      </c>
    </row>
    <row r="182" spans="1:19" x14ac:dyDescent="0.3">
      <c r="A182" s="4">
        <v>44225</v>
      </c>
      <c r="B182" s="5">
        <f t="shared" si="26"/>
        <v>1</v>
      </c>
      <c r="C182" s="5">
        <f t="shared" si="27"/>
        <v>2021</v>
      </c>
      <c r="D182" s="5" t="s">
        <v>252</v>
      </c>
      <c r="E182" s="5" t="str">
        <f>VLOOKUP(F182,'Set up'!$A$2:$C$70,2,FALSE)</f>
        <v>C00000001</v>
      </c>
      <c r="F182" s="1" t="s">
        <v>7</v>
      </c>
      <c r="G182" s="11" t="s">
        <v>180</v>
      </c>
      <c r="H182" s="5">
        <v>4</v>
      </c>
      <c r="I182" s="5" t="str">
        <f>VLOOKUP(F182,'Set up'!$A$2:$C$70,3,FALSE)</f>
        <v>Cash</v>
      </c>
      <c r="J182" s="5">
        <f>VLOOKUP(F182,'Set up'!$A$2:$D$70,4,FALSE)</f>
        <v>0</v>
      </c>
      <c r="K182" s="4">
        <f t="shared" si="28"/>
        <v>44225</v>
      </c>
      <c r="L182" s="5">
        <f t="shared" si="29"/>
        <v>1</v>
      </c>
      <c r="M182" s="5">
        <f t="shared" si="30"/>
        <v>2021</v>
      </c>
      <c r="N182" s="24">
        <v>900</v>
      </c>
      <c r="O182" s="6">
        <f t="shared" si="33"/>
        <v>-900</v>
      </c>
      <c r="P182" s="6">
        <f t="shared" si="32"/>
        <v>0</v>
      </c>
      <c r="Q182" s="7">
        <f t="shared" si="31"/>
        <v>226812.49999999997</v>
      </c>
      <c r="R182" s="44" t="str">
        <f>VLOOKUP(F182,'Set up'!$A$2:$E$70,5,FALSE)</f>
        <v>Trsf</v>
      </c>
      <c r="S182" s="1" t="s">
        <v>267</v>
      </c>
    </row>
    <row r="183" spans="1:19" x14ac:dyDescent="0.3">
      <c r="A183" s="4">
        <v>44225</v>
      </c>
      <c r="B183" s="5">
        <f t="shared" si="26"/>
        <v>1</v>
      </c>
      <c r="C183" s="5">
        <f t="shared" si="27"/>
        <v>2021</v>
      </c>
      <c r="D183" s="5" t="s">
        <v>252</v>
      </c>
      <c r="E183" s="5" t="str">
        <f>VLOOKUP(F183,'Set up'!$A$2:$C$70,2,FALSE)</f>
        <v>C00000001</v>
      </c>
      <c r="F183" s="1" t="s">
        <v>7</v>
      </c>
      <c r="G183" s="11" t="s">
        <v>201</v>
      </c>
      <c r="H183" s="5">
        <v>1</v>
      </c>
      <c r="I183" s="5" t="str">
        <f>VLOOKUP(F183,'Set up'!$A$2:$C$70,3,FALSE)</f>
        <v>Cash</v>
      </c>
      <c r="J183" s="5">
        <f>VLOOKUP(F183,'Set up'!$A$2:$D$70,4,FALSE)</f>
        <v>0</v>
      </c>
      <c r="K183" s="4">
        <f t="shared" si="28"/>
        <v>44225</v>
      </c>
      <c r="L183" s="5">
        <f t="shared" si="29"/>
        <v>1</v>
      </c>
      <c r="M183" s="5">
        <f t="shared" si="30"/>
        <v>2021</v>
      </c>
      <c r="N183" s="24">
        <v>272</v>
      </c>
      <c r="O183" s="6">
        <f t="shared" si="33"/>
        <v>-272</v>
      </c>
      <c r="P183" s="6">
        <f t="shared" si="32"/>
        <v>0</v>
      </c>
      <c r="Q183" s="7">
        <f t="shared" si="31"/>
        <v>227084.49999999997</v>
      </c>
      <c r="R183" s="44" t="str">
        <f>VLOOKUP(F183,'Set up'!$A$2:$E$70,5,FALSE)</f>
        <v>Trsf</v>
      </c>
      <c r="S183" s="1" t="s">
        <v>267</v>
      </c>
    </row>
    <row r="184" spans="1:19" x14ac:dyDescent="0.3">
      <c r="A184" s="4">
        <v>44225</v>
      </c>
      <c r="B184" s="5">
        <f t="shared" si="26"/>
        <v>1</v>
      </c>
      <c r="C184" s="5">
        <f t="shared" si="27"/>
        <v>2021</v>
      </c>
      <c r="D184" s="5" t="s">
        <v>253</v>
      </c>
      <c r="E184" s="5" t="str">
        <f>VLOOKUP(F184,'Set up'!$A$2:$C$70,2,FALSE)</f>
        <v>C00000010</v>
      </c>
      <c r="F184" s="1" t="s">
        <v>62</v>
      </c>
      <c r="G184" s="11" t="s">
        <v>218</v>
      </c>
      <c r="H184" s="5">
        <v>5</v>
      </c>
      <c r="I184" s="5">
        <f>VLOOKUP(F184,'Set up'!$A$2:$C$70,3,FALSE)</f>
        <v>120</v>
      </c>
      <c r="J184" s="5">
        <f>VLOOKUP(F184,'Set up'!$A$2:$D$70,4,FALSE)</f>
        <v>120</v>
      </c>
      <c r="K184" s="4">
        <f t="shared" si="28"/>
        <v>44345</v>
      </c>
      <c r="L184" s="5">
        <f t="shared" si="29"/>
        <v>5</v>
      </c>
      <c r="M184" s="5">
        <f t="shared" si="30"/>
        <v>2021</v>
      </c>
      <c r="N184" s="24">
        <v>7700</v>
      </c>
      <c r="O184" s="6">
        <f t="shared" si="33"/>
        <v>-7700</v>
      </c>
      <c r="P184" s="6">
        <f t="shared" si="32"/>
        <v>0</v>
      </c>
      <c r="Q184" s="7">
        <f t="shared" si="31"/>
        <v>234784.49999999997</v>
      </c>
      <c r="R184" s="44" t="str">
        <f>VLOOKUP(F184,'Set up'!$A$2:$E$70,5,FALSE)</f>
        <v>Trsf</v>
      </c>
      <c r="S184" s="1" t="s">
        <v>343</v>
      </c>
    </row>
    <row r="185" spans="1:19" x14ac:dyDescent="0.3">
      <c r="A185" s="4">
        <v>44225</v>
      </c>
      <c r="B185" s="5">
        <f t="shared" si="26"/>
        <v>1</v>
      </c>
      <c r="C185" s="5">
        <f t="shared" si="27"/>
        <v>2021</v>
      </c>
      <c r="D185" s="5" t="s">
        <v>253</v>
      </c>
      <c r="E185" s="5" t="str">
        <f>VLOOKUP(F185,'Set up'!$A$2:$C$70,2,FALSE)</f>
        <v>C00000010</v>
      </c>
      <c r="F185" s="1" t="s">
        <v>62</v>
      </c>
      <c r="G185" s="11" t="s">
        <v>219</v>
      </c>
      <c r="H185" s="5">
        <v>8</v>
      </c>
      <c r="I185" s="5">
        <f>VLOOKUP(F185,'Set up'!$A$2:$C$70,3,FALSE)</f>
        <v>120</v>
      </c>
      <c r="J185" s="5">
        <f>VLOOKUP(F185,'Set up'!$A$2:$D$70,4,FALSE)</f>
        <v>120</v>
      </c>
      <c r="K185" s="4">
        <f t="shared" si="28"/>
        <v>44345</v>
      </c>
      <c r="L185" s="5">
        <f t="shared" si="29"/>
        <v>5</v>
      </c>
      <c r="M185" s="5">
        <f t="shared" si="30"/>
        <v>2021</v>
      </c>
      <c r="N185" s="24">
        <v>1680</v>
      </c>
      <c r="O185" s="6">
        <f t="shared" si="33"/>
        <v>-1680</v>
      </c>
      <c r="P185" s="6">
        <f t="shared" si="32"/>
        <v>0</v>
      </c>
      <c r="Q185" s="7">
        <f t="shared" si="31"/>
        <v>236464.49999999997</v>
      </c>
      <c r="R185" s="44" t="str">
        <f>VLOOKUP(F185,'Set up'!$A$2:$E$70,5,FALSE)</f>
        <v>Trsf</v>
      </c>
      <c r="S185" s="1" t="s">
        <v>343</v>
      </c>
    </row>
    <row r="186" spans="1:19" x14ac:dyDescent="0.3">
      <c r="A186" s="4">
        <v>44225</v>
      </c>
      <c r="B186" s="5">
        <f t="shared" si="26"/>
        <v>1</v>
      </c>
      <c r="C186" s="5">
        <f t="shared" si="27"/>
        <v>2021</v>
      </c>
      <c r="D186" s="5" t="s">
        <v>253</v>
      </c>
      <c r="E186" s="5" t="str">
        <f>VLOOKUP(F186,'Set up'!$A$2:$C$70,2,FALSE)</f>
        <v>C00000010</v>
      </c>
      <c r="F186" s="1" t="s">
        <v>62</v>
      </c>
      <c r="G186" s="11" t="s">
        <v>64</v>
      </c>
      <c r="H186" s="5">
        <v>10</v>
      </c>
      <c r="I186" s="5">
        <f>VLOOKUP(F186,'Set up'!$A$2:$C$70,3,FALSE)</f>
        <v>120</v>
      </c>
      <c r="J186" s="5">
        <f>VLOOKUP(F186,'Set up'!$A$2:$D$70,4,FALSE)</f>
        <v>120</v>
      </c>
      <c r="K186" s="4">
        <f t="shared" si="28"/>
        <v>44345</v>
      </c>
      <c r="L186" s="5">
        <f t="shared" si="29"/>
        <v>5</v>
      </c>
      <c r="M186" s="5">
        <f t="shared" si="30"/>
        <v>2021</v>
      </c>
      <c r="N186" s="24">
        <v>550</v>
      </c>
      <c r="O186" s="6">
        <f t="shared" si="33"/>
        <v>-550</v>
      </c>
      <c r="P186" s="6">
        <f t="shared" si="32"/>
        <v>0</v>
      </c>
      <c r="Q186" s="7">
        <f t="shared" si="31"/>
        <v>237014.49999999997</v>
      </c>
      <c r="R186" s="44" t="str">
        <f>VLOOKUP(F186,'Set up'!$A$2:$E$70,5,FALSE)</f>
        <v>Trsf</v>
      </c>
      <c r="S186" s="1" t="s">
        <v>343</v>
      </c>
    </row>
    <row r="187" spans="1:19" x14ac:dyDescent="0.3">
      <c r="A187" s="4">
        <v>44225</v>
      </c>
      <c r="B187" s="5">
        <f t="shared" si="26"/>
        <v>1</v>
      </c>
      <c r="C187" s="5">
        <f t="shared" si="27"/>
        <v>2021</v>
      </c>
      <c r="D187" s="5" t="s">
        <v>253</v>
      </c>
      <c r="E187" s="5" t="str">
        <f>VLOOKUP(F187,'Set up'!$A$2:$C$70,2,FALSE)</f>
        <v>C00000010</v>
      </c>
      <c r="F187" s="1" t="s">
        <v>62</v>
      </c>
      <c r="G187" s="11" t="s">
        <v>46</v>
      </c>
      <c r="H187" s="5">
        <v>4</v>
      </c>
      <c r="I187" s="5">
        <f>VLOOKUP(F187,'Set up'!$A$2:$C$70,3,FALSE)</f>
        <v>120</v>
      </c>
      <c r="J187" s="5">
        <f>VLOOKUP(F187,'Set up'!$A$2:$D$70,4,FALSE)</f>
        <v>120</v>
      </c>
      <c r="K187" s="4">
        <f t="shared" si="28"/>
        <v>44345</v>
      </c>
      <c r="L187" s="5">
        <f t="shared" si="29"/>
        <v>5</v>
      </c>
      <c r="M187" s="5">
        <f t="shared" si="30"/>
        <v>2021</v>
      </c>
      <c r="N187" s="24">
        <v>380</v>
      </c>
      <c r="O187" s="6">
        <f t="shared" ref="O187:O218" si="34">-N187</f>
        <v>-380</v>
      </c>
      <c r="P187" s="6">
        <f t="shared" si="32"/>
        <v>0</v>
      </c>
      <c r="Q187" s="7">
        <f t="shared" si="31"/>
        <v>237394.49999999997</v>
      </c>
      <c r="R187" s="44" t="str">
        <f>VLOOKUP(F187,'Set up'!$A$2:$E$70,5,FALSE)</f>
        <v>Trsf</v>
      </c>
      <c r="S187" s="1" t="s">
        <v>343</v>
      </c>
    </row>
    <row r="188" spans="1:19" x14ac:dyDescent="0.3">
      <c r="A188" s="4">
        <v>44230</v>
      </c>
      <c r="B188" s="5">
        <f t="shared" si="26"/>
        <v>2</v>
      </c>
      <c r="C188" s="5">
        <f t="shared" si="27"/>
        <v>2021</v>
      </c>
      <c r="D188" s="5" t="s">
        <v>256</v>
      </c>
      <c r="E188" s="5" t="str">
        <f>VLOOKUP(F188,'Set up'!$A$2:$C$70,2,FALSE)</f>
        <v>C00000014</v>
      </c>
      <c r="F188" s="1" t="s">
        <v>262</v>
      </c>
      <c r="G188" s="11" t="s">
        <v>67</v>
      </c>
      <c r="H188" s="5">
        <v>2</v>
      </c>
      <c r="I188" s="5" t="str">
        <f>VLOOKUP(F188,'Set up'!$A$2:$C$70,3,FALSE)</f>
        <v>Cash</v>
      </c>
      <c r="J188" s="5">
        <f>VLOOKUP(F188,'Set up'!$A$2:$D$70,4,FALSE)</f>
        <v>0</v>
      </c>
      <c r="K188" s="4">
        <f t="shared" si="28"/>
        <v>44230</v>
      </c>
      <c r="L188" s="5">
        <f t="shared" si="29"/>
        <v>2</v>
      </c>
      <c r="M188" s="5">
        <f t="shared" si="30"/>
        <v>2021</v>
      </c>
      <c r="N188" s="24">
        <v>3344</v>
      </c>
      <c r="O188" s="6">
        <f t="shared" si="34"/>
        <v>-3344</v>
      </c>
      <c r="P188" s="6">
        <f t="shared" si="32"/>
        <v>0</v>
      </c>
      <c r="Q188" s="7">
        <f t="shared" si="31"/>
        <v>240738.49999999997</v>
      </c>
      <c r="R188" s="44" t="str">
        <f>VLOOKUP(F188,'Set up'!$A$2:$E$70,5,FALSE)</f>
        <v>Cash</v>
      </c>
      <c r="S188" s="1" t="s">
        <v>268</v>
      </c>
    </row>
    <row r="189" spans="1:19" x14ac:dyDescent="0.3">
      <c r="A189" s="4">
        <v>44230</v>
      </c>
      <c r="B189" s="5">
        <f t="shared" si="26"/>
        <v>2</v>
      </c>
      <c r="C189" s="5">
        <f t="shared" si="27"/>
        <v>2021</v>
      </c>
      <c r="D189" s="5" t="s">
        <v>256</v>
      </c>
      <c r="E189" s="5" t="str">
        <f>VLOOKUP(F189,'Set up'!$A$2:$C$70,2,FALSE)</f>
        <v>C00000014</v>
      </c>
      <c r="F189" s="1" t="s">
        <v>262</v>
      </c>
      <c r="G189" s="11" t="s">
        <v>180</v>
      </c>
      <c r="H189" s="5">
        <v>5</v>
      </c>
      <c r="I189" s="5" t="str">
        <f>VLOOKUP(F189,'Set up'!$A$2:$C$70,3,FALSE)</f>
        <v>Cash</v>
      </c>
      <c r="J189" s="5">
        <f>VLOOKUP(F189,'Set up'!$A$2:$D$70,4,FALSE)</f>
        <v>0</v>
      </c>
      <c r="K189" s="4">
        <f t="shared" si="28"/>
        <v>44230</v>
      </c>
      <c r="L189" s="5">
        <f t="shared" si="29"/>
        <v>2</v>
      </c>
      <c r="M189" s="5">
        <f t="shared" si="30"/>
        <v>2021</v>
      </c>
      <c r="N189" s="24">
        <v>1125</v>
      </c>
      <c r="O189" s="6">
        <f t="shared" si="34"/>
        <v>-1125</v>
      </c>
      <c r="P189" s="6">
        <f t="shared" si="32"/>
        <v>0</v>
      </c>
      <c r="Q189" s="7">
        <f t="shared" si="31"/>
        <v>241863.49999999997</v>
      </c>
      <c r="R189" s="44" t="str">
        <f>VLOOKUP(F189,'Set up'!$A$2:$E$70,5,FALSE)</f>
        <v>Cash</v>
      </c>
      <c r="S189" s="1" t="s">
        <v>268</v>
      </c>
    </row>
    <row r="190" spans="1:19" x14ac:dyDescent="0.3">
      <c r="A190" s="4">
        <v>44230</v>
      </c>
      <c r="B190" s="5">
        <f t="shared" si="26"/>
        <v>2</v>
      </c>
      <c r="C190" s="5">
        <f t="shared" si="27"/>
        <v>2021</v>
      </c>
      <c r="D190" s="5" t="s">
        <v>256</v>
      </c>
      <c r="E190" s="5" t="str">
        <f>VLOOKUP(F190,'Set up'!$A$2:$C$70,2,FALSE)</f>
        <v>C00000014</v>
      </c>
      <c r="F190" s="1" t="s">
        <v>262</v>
      </c>
      <c r="G190" s="11" t="s">
        <v>258</v>
      </c>
      <c r="H190" s="5">
        <v>1</v>
      </c>
      <c r="I190" s="5" t="str">
        <f>VLOOKUP(F190,'Set up'!$A$2:$C$70,3,FALSE)</f>
        <v>Cash</v>
      </c>
      <c r="J190" s="5">
        <f>VLOOKUP(F190,'Set up'!$A$2:$D$70,4,FALSE)</f>
        <v>0</v>
      </c>
      <c r="K190" s="4">
        <f t="shared" si="28"/>
        <v>44230</v>
      </c>
      <c r="L190" s="5">
        <f t="shared" si="29"/>
        <v>2</v>
      </c>
      <c r="M190" s="5">
        <f t="shared" si="30"/>
        <v>2021</v>
      </c>
      <c r="N190" s="24">
        <v>280</v>
      </c>
      <c r="O190" s="6">
        <f t="shared" si="34"/>
        <v>-280</v>
      </c>
      <c r="P190" s="6">
        <f t="shared" si="32"/>
        <v>0</v>
      </c>
      <c r="Q190" s="7">
        <f t="shared" si="31"/>
        <v>242143.49999999997</v>
      </c>
      <c r="R190" s="44" t="str">
        <f>VLOOKUP(F190,'Set up'!$A$2:$E$70,5,FALSE)</f>
        <v>Cash</v>
      </c>
      <c r="S190" s="1" t="s">
        <v>268</v>
      </c>
    </row>
    <row r="191" spans="1:19" x14ac:dyDescent="0.3">
      <c r="A191" s="4">
        <v>44230</v>
      </c>
      <c r="B191" s="5">
        <f t="shared" si="26"/>
        <v>2</v>
      </c>
      <c r="C191" s="5">
        <f t="shared" si="27"/>
        <v>2021</v>
      </c>
      <c r="D191" s="5" t="s">
        <v>256</v>
      </c>
      <c r="E191" s="5" t="str">
        <f>VLOOKUP(F191,'Set up'!$A$2:$C$70,2,FALSE)</f>
        <v>C00000014</v>
      </c>
      <c r="F191" s="1" t="s">
        <v>262</v>
      </c>
      <c r="G191" s="11" t="s">
        <v>46</v>
      </c>
      <c r="H191" s="5">
        <v>2</v>
      </c>
      <c r="I191" s="5" t="str">
        <f>VLOOKUP(F191,'Set up'!$A$2:$C$70,3,FALSE)</f>
        <v>Cash</v>
      </c>
      <c r="J191" s="5">
        <f>VLOOKUP(F191,'Set up'!$A$2:$D$70,4,FALSE)</f>
        <v>0</v>
      </c>
      <c r="K191" s="4">
        <f t="shared" si="28"/>
        <v>44230</v>
      </c>
      <c r="L191" s="5">
        <f t="shared" si="29"/>
        <v>2</v>
      </c>
      <c r="M191" s="5">
        <f t="shared" si="30"/>
        <v>2021</v>
      </c>
      <c r="N191" s="24">
        <v>195</v>
      </c>
      <c r="O191" s="6">
        <f t="shared" si="34"/>
        <v>-195</v>
      </c>
      <c r="P191" s="6">
        <f t="shared" si="32"/>
        <v>0</v>
      </c>
      <c r="Q191" s="7">
        <f t="shared" si="31"/>
        <v>242338.49999999997</v>
      </c>
      <c r="R191" s="44" t="str">
        <f>VLOOKUP(F191,'Set up'!$A$2:$E$70,5,FALSE)</f>
        <v>Cash</v>
      </c>
      <c r="S191" s="1" t="s">
        <v>268</v>
      </c>
    </row>
    <row r="192" spans="1:19" x14ac:dyDescent="0.3">
      <c r="A192" s="4">
        <v>44230</v>
      </c>
      <c r="B192" s="5">
        <f t="shared" si="26"/>
        <v>2</v>
      </c>
      <c r="C192" s="5">
        <f t="shared" si="27"/>
        <v>2021</v>
      </c>
      <c r="D192" s="5" t="s">
        <v>256</v>
      </c>
      <c r="E192" s="5" t="str">
        <f>VLOOKUP(F192,'Set up'!$A$2:$C$70,2,FALSE)</f>
        <v>C00000014</v>
      </c>
      <c r="F192" s="1" t="s">
        <v>262</v>
      </c>
      <c r="G192" s="11" t="s">
        <v>178</v>
      </c>
      <c r="H192" s="5">
        <v>4</v>
      </c>
      <c r="I192" s="5" t="str">
        <f>VLOOKUP(F192,'Set up'!$A$2:$C$70,3,FALSE)</f>
        <v>Cash</v>
      </c>
      <c r="J192" s="5">
        <f>VLOOKUP(F192,'Set up'!$A$2:$D$70,4,FALSE)</f>
        <v>0</v>
      </c>
      <c r="K192" s="4">
        <f t="shared" si="28"/>
        <v>44230</v>
      </c>
      <c r="L192" s="5">
        <f t="shared" si="29"/>
        <v>2</v>
      </c>
      <c r="M192" s="5">
        <f t="shared" si="30"/>
        <v>2021</v>
      </c>
      <c r="N192" s="24">
        <v>180</v>
      </c>
      <c r="O192" s="6">
        <f t="shared" si="34"/>
        <v>-180</v>
      </c>
      <c r="P192" s="6">
        <f t="shared" si="32"/>
        <v>0</v>
      </c>
      <c r="Q192" s="7">
        <f t="shared" si="31"/>
        <v>242518.49999999997</v>
      </c>
      <c r="R192" s="44" t="str">
        <f>VLOOKUP(F192,'Set up'!$A$2:$E$70,5,FALSE)</f>
        <v>Cash</v>
      </c>
      <c r="S192" s="1" t="s">
        <v>268</v>
      </c>
    </row>
    <row r="193" spans="1:19" x14ac:dyDescent="0.3">
      <c r="A193" s="4">
        <v>44230</v>
      </c>
      <c r="B193" s="5">
        <f t="shared" si="26"/>
        <v>2</v>
      </c>
      <c r="C193" s="5">
        <f t="shared" si="27"/>
        <v>2021</v>
      </c>
      <c r="D193" s="5" t="s">
        <v>256</v>
      </c>
      <c r="E193" s="5" t="str">
        <f>VLOOKUP(F193,'Set up'!$A$2:$C$70,2,FALSE)</f>
        <v>C00000014</v>
      </c>
      <c r="F193" s="1" t="s">
        <v>262</v>
      </c>
      <c r="G193" s="11" t="s">
        <v>44</v>
      </c>
      <c r="H193" s="5">
        <v>1</v>
      </c>
      <c r="I193" s="5" t="str">
        <f>VLOOKUP(F193,'Set up'!$A$2:$C$70,3,FALSE)</f>
        <v>Cash</v>
      </c>
      <c r="J193" s="5">
        <f>VLOOKUP(F193,'Set up'!$A$2:$D$70,4,FALSE)</f>
        <v>0</v>
      </c>
      <c r="K193" s="4">
        <f t="shared" si="28"/>
        <v>44230</v>
      </c>
      <c r="L193" s="5">
        <f t="shared" si="29"/>
        <v>2</v>
      </c>
      <c r="M193" s="5">
        <f t="shared" si="30"/>
        <v>2021</v>
      </c>
      <c r="N193" s="24">
        <v>232</v>
      </c>
      <c r="O193" s="6">
        <f t="shared" si="34"/>
        <v>-232</v>
      </c>
      <c r="P193" s="6">
        <f t="shared" si="32"/>
        <v>0</v>
      </c>
      <c r="Q193" s="7">
        <f t="shared" si="31"/>
        <v>242750.49999999997</v>
      </c>
      <c r="R193" s="44" t="str">
        <f>VLOOKUP(F193,'Set up'!$A$2:$E$70,5,FALSE)</f>
        <v>Cash</v>
      </c>
      <c r="S193" s="1" t="s">
        <v>268</v>
      </c>
    </row>
    <row r="194" spans="1:19" x14ac:dyDescent="0.3">
      <c r="A194" s="4">
        <v>44229</v>
      </c>
      <c r="B194" s="5">
        <f t="shared" si="26"/>
        <v>2</v>
      </c>
      <c r="C194" s="5">
        <f t="shared" si="27"/>
        <v>2021</v>
      </c>
      <c r="D194" s="5" t="s">
        <v>260</v>
      </c>
      <c r="E194" s="5" t="str">
        <f>VLOOKUP(F194,'Set up'!$A$2:$C$70,2,FALSE)</f>
        <v>C00000005</v>
      </c>
      <c r="F194" s="1" t="s">
        <v>35</v>
      </c>
      <c r="G194" s="11" t="s">
        <v>67</v>
      </c>
      <c r="H194" s="5">
        <v>1</v>
      </c>
      <c r="I194" s="5" t="str">
        <f>VLOOKUP(F194,'Set up'!$A$2:$C$70,3,FALSE)</f>
        <v>Cash</v>
      </c>
      <c r="J194" s="5">
        <f>VLOOKUP(F194,'Set up'!$A$2:$D$70,4,FALSE)</f>
        <v>0</v>
      </c>
      <c r="K194" s="4">
        <f t="shared" si="28"/>
        <v>44229</v>
      </c>
      <c r="L194" s="5">
        <f t="shared" si="29"/>
        <v>2</v>
      </c>
      <c r="M194" s="5">
        <f t="shared" si="30"/>
        <v>2021</v>
      </c>
      <c r="N194" s="24">
        <v>1650</v>
      </c>
      <c r="O194" s="6">
        <f t="shared" si="34"/>
        <v>-1650</v>
      </c>
      <c r="P194" s="6">
        <f t="shared" si="32"/>
        <v>0</v>
      </c>
      <c r="Q194" s="7">
        <f t="shared" si="31"/>
        <v>244400.49999999997</v>
      </c>
      <c r="R194" s="44" t="str">
        <f>VLOOKUP(F194,'Set up'!$A$2:$E$70,5,FALSE)</f>
        <v>Chq</v>
      </c>
      <c r="S194" s="1" t="s">
        <v>269</v>
      </c>
    </row>
    <row r="195" spans="1:19" x14ac:dyDescent="0.3">
      <c r="A195" s="4">
        <v>44229</v>
      </c>
      <c r="B195" s="5">
        <f t="shared" ref="B195:B258" si="35">MONTH(A195)</f>
        <v>2</v>
      </c>
      <c r="C195" s="5">
        <f t="shared" ref="C195:C258" si="36">YEAR(A195)</f>
        <v>2021</v>
      </c>
      <c r="D195" s="5" t="s">
        <v>260</v>
      </c>
      <c r="E195" s="5" t="str">
        <f>VLOOKUP(F195,'Set up'!$A$2:$C$70,2,FALSE)</f>
        <v>C00000005</v>
      </c>
      <c r="F195" s="1" t="s">
        <v>35</v>
      </c>
      <c r="G195" s="11" t="s">
        <v>46</v>
      </c>
      <c r="H195" s="5">
        <v>1</v>
      </c>
      <c r="I195" s="5" t="str">
        <f>VLOOKUP(F195,'Set up'!$A$2:$C$70,3,FALSE)</f>
        <v>Cash</v>
      </c>
      <c r="J195" s="5">
        <f>VLOOKUP(F195,'Set up'!$A$2:$D$70,4,FALSE)</f>
        <v>0</v>
      </c>
      <c r="K195" s="4">
        <f t="shared" ref="K195:K258" si="37">A195+J195</f>
        <v>44229</v>
      </c>
      <c r="L195" s="5">
        <f t="shared" ref="L195:L258" si="38">MONTH(K195)</f>
        <v>2</v>
      </c>
      <c r="M195" s="5">
        <f t="shared" ref="M195:M258" si="39">YEAR(K195)</f>
        <v>2021</v>
      </c>
      <c r="N195" s="24">
        <v>100</v>
      </c>
      <c r="O195" s="6">
        <f t="shared" si="34"/>
        <v>-100</v>
      </c>
      <c r="P195" s="6">
        <f t="shared" si="32"/>
        <v>0</v>
      </c>
      <c r="Q195" s="7">
        <f t="shared" ref="Q195:Q258" si="40">SUM(Q194+N195)</f>
        <v>244500.49999999997</v>
      </c>
      <c r="R195" s="44" t="str">
        <f>VLOOKUP(F195,'Set up'!$A$2:$E$70,5,FALSE)</f>
        <v>Chq</v>
      </c>
      <c r="S195" s="1" t="s">
        <v>269</v>
      </c>
    </row>
    <row r="196" spans="1:19" x14ac:dyDescent="0.3">
      <c r="A196" s="4">
        <v>44233</v>
      </c>
      <c r="B196" s="5">
        <f t="shared" si="35"/>
        <v>2</v>
      </c>
      <c r="C196" s="5">
        <f t="shared" si="36"/>
        <v>2021</v>
      </c>
      <c r="D196" s="5" t="s">
        <v>261</v>
      </c>
      <c r="E196" s="5" t="str">
        <f>VLOOKUP(F196,'Set up'!$A$2:$C$70,2,FALSE)</f>
        <v>C00000014</v>
      </c>
      <c r="F196" s="1" t="s">
        <v>262</v>
      </c>
      <c r="G196" s="11" t="s">
        <v>259</v>
      </c>
      <c r="H196" s="5">
        <v>1</v>
      </c>
      <c r="I196" s="5" t="str">
        <f>VLOOKUP(F196,'Set up'!$A$2:$C$70,3,FALSE)</f>
        <v>Cash</v>
      </c>
      <c r="J196" s="5">
        <f>VLOOKUP(F196,'Set up'!$A$2:$D$70,4,FALSE)</f>
        <v>0</v>
      </c>
      <c r="K196" s="4">
        <f t="shared" si="37"/>
        <v>44233</v>
      </c>
      <c r="L196" s="5">
        <f t="shared" si="38"/>
        <v>2</v>
      </c>
      <c r="M196" s="5">
        <f t="shared" si="39"/>
        <v>2021</v>
      </c>
      <c r="N196" s="24">
        <v>130</v>
      </c>
      <c r="O196" s="6">
        <f t="shared" si="34"/>
        <v>-130</v>
      </c>
      <c r="P196" s="6">
        <f t="shared" si="32"/>
        <v>0</v>
      </c>
      <c r="Q196" s="7">
        <f t="shared" si="40"/>
        <v>244630.49999999997</v>
      </c>
      <c r="R196" s="44" t="str">
        <f>VLOOKUP(F196,'Set up'!$A$2:$E$70,5,FALSE)</f>
        <v>Cash</v>
      </c>
      <c r="S196" s="1" t="s">
        <v>268</v>
      </c>
    </row>
    <row r="197" spans="1:19" x14ac:dyDescent="0.3">
      <c r="A197" s="4">
        <v>44236</v>
      </c>
      <c r="B197" s="5">
        <f t="shared" si="35"/>
        <v>2</v>
      </c>
      <c r="C197" s="5">
        <f t="shared" si="36"/>
        <v>2021</v>
      </c>
      <c r="D197" s="5" t="s">
        <v>265</v>
      </c>
      <c r="E197" s="5" t="str">
        <f>VLOOKUP(F197,'Set up'!$A$2:$C$70,2,FALSE)</f>
        <v>C00000013a</v>
      </c>
      <c r="F197" s="1" t="s">
        <v>1453</v>
      </c>
      <c r="G197" s="11" t="s">
        <v>235</v>
      </c>
      <c r="H197" s="5">
        <v>1</v>
      </c>
      <c r="I197" s="5" t="str">
        <f>VLOOKUP(F197,'Set up'!$A$2:$C$70,3,FALSE)</f>
        <v>Cash</v>
      </c>
      <c r="J197" s="5">
        <f>VLOOKUP(F197,'Set up'!$A$2:$D$70,4,FALSE)</f>
        <v>0</v>
      </c>
      <c r="K197" s="4">
        <f t="shared" si="37"/>
        <v>44236</v>
      </c>
      <c r="L197" s="5">
        <f t="shared" si="38"/>
        <v>2</v>
      </c>
      <c r="M197" s="5">
        <f t="shared" si="39"/>
        <v>2021</v>
      </c>
      <c r="N197" s="24">
        <v>380</v>
      </c>
      <c r="O197" s="6">
        <f t="shared" si="34"/>
        <v>-380</v>
      </c>
      <c r="P197" s="6">
        <f t="shared" si="32"/>
        <v>0</v>
      </c>
      <c r="Q197" s="7">
        <f t="shared" si="40"/>
        <v>245010.49999999997</v>
      </c>
      <c r="R197" s="44" t="str">
        <f>VLOOKUP(F197,'Set up'!$A$2:$E$70,5,FALSE)</f>
        <v>Chq</v>
      </c>
      <c r="S197" s="1" t="s">
        <v>270</v>
      </c>
    </row>
    <row r="198" spans="1:19" x14ac:dyDescent="0.3">
      <c r="A198" s="4">
        <v>44236</v>
      </c>
      <c r="B198" s="5">
        <f t="shared" si="35"/>
        <v>2</v>
      </c>
      <c r="C198" s="5">
        <f t="shared" si="36"/>
        <v>2021</v>
      </c>
      <c r="D198" s="5" t="s">
        <v>265</v>
      </c>
      <c r="E198" s="5" t="str">
        <f>VLOOKUP(F198,'Set up'!$A$2:$C$70,2,FALSE)</f>
        <v>C00000013a</v>
      </c>
      <c r="F198" s="1" t="s">
        <v>1453</v>
      </c>
      <c r="G198" s="11" t="s">
        <v>24</v>
      </c>
      <c r="H198" s="5">
        <v>2</v>
      </c>
      <c r="I198" s="5" t="str">
        <f>VLOOKUP(F198,'Set up'!$A$2:$C$70,3,FALSE)</f>
        <v>Cash</v>
      </c>
      <c r="J198" s="5">
        <f>VLOOKUP(F198,'Set up'!$A$2:$D$70,4,FALSE)</f>
        <v>0</v>
      </c>
      <c r="K198" s="4">
        <f t="shared" si="37"/>
        <v>44236</v>
      </c>
      <c r="L198" s="5">
        <f t="shared" si="38"/>
        <v>2</v>
      </c>
      <c r="M198" s="5">
        <f t="shared" si="39"/>
        <v>2021</v>
      </c>
      <c r="N198" s="24">
        <v>472</v>
      </c>
      <c r="O198" s="6">
        <f t="shared" si="34"/>
        <v>-472</v>
      </c>
      <c r="P198" s="6">
        <f t="shared" si="32"/>
        <v>0</v>
      </c>
      <c r="Q198" s="7">
        <f t="shared" si="40"/>
        <v>245482.49999999997</v>
      </c>
      <c r="R198" s="44" t="str">
        <f>VLOOKUP(F198,'Set up'!$A$2:$E$70,5,FALSE)</f>
        <v>Chq</v>
      </c>
      <c r="S198" s="1" t="s">
        <v>270</v>
      </c>
    </row>
    <row r="199" spans="1:19" x14ac:dyDescent="0.3">
      <c r="A199" s="4">
        <v>44236</v>
      </c>
      <c r="B199" s="5">
        <f t="shared" si="35"/>
        <v>2</v>
      </c>
      <c r="C199" s="5">
        <f t="shared" si="36"/>
        <v>2021</v>
      </c>
      <c r="D199" s="5" t="s">
        <v>265</v>
      </c>
      <c r="E199" s="5" t="str">
        <f>VLOOKUP(F199,'Set up'!$A$2:$C$70,2,FALSE)</f>
        <v>C00000013a</v>
      </c>
      <c r="F199" s="1" t="s">
        <v>1453</v>
      </c>
      <c r="G199" s="11" t="s">
        <v>67</v>
      </c>
      <c r="H199" s="5">
        <v>1</v>
      </c>
      <c r="I199" s="5" t="str">
        <f>VLOOKUP(F199,'Set up'!$A$2:$C$70,3,FALSE)</f>
        <v>Cash</v>
      </c>
      <c r="J199" s="5">
        <f>VLOOKUP(F199,'Set up'!$A$2:$D$70,4,FALSE)</f>
        <v>0</v>
      </c>
      <c r="K199" s="4">
        <f t="shared" si="37"/>
        <v>44236</v>
      </c>
      <c r="L199" s="5">
        <f t="shared" si="38"/>
        <v>2</v>
      </c>
      <c r="M199" s="5">
        <f t="shared" si="39"/>
        <v>2021</v>
      </c>
      <c r="N199" s="24">
        <v>1716</v>
      </c>
      <c r="O199" s="6">
        <f t="shared" si="34"/>
        <v>-1716</v>
      </c>
      <c r="P199" s="6">
        <f t="shared" si="32"/>
        <v>0</v>
      </c>
      <c r="Q199" s="7">
        <f t="shared" si="40"/>
        <v>247198.49999999997</v>
      </c>
      <c r="R199" s="44" t="str">
        <f>VLOOKUP(F199,'Set up'!$A$2:$E$70,5,FALSE)</f>
        <v>Chq</v>
      </c>
      <c r="S199" s="1" t="s">
        <v>270</v>
      </c>
    </row>
    <row r="200" spans="1:19" x14ac:dyDescent="0.3">
      <c r="A200" s="4">
        <v>44236</v>
      </c>
      <c r="B200" s="5">
        <f t="shared" si="35"/>
        <v>2</v>
      </c>
      <c r="C200" s="5">
        <f t="shared" si="36"/>
        <v>2021</v>
      </c>
      <c r="D200" s="5" t="s">
        <v>265</v>
      </c>
      <c r="E200" s="5" t="str">
        <f>VLOOKUP(F200,'Set up'!$A$2:$C$70,2,FALSE)</f>
        <v>C00000013a</v>
      </c>
      <c r="F200" s="1" t="s">
        <v>1453</v>
      </c>
      <c r="G200" s="11" t="s">
        <v>231</v>
      </c>
      <c r="H200" s="5">
        <v>1</v>
      </c>
      <c r="I200" s="5" t="str">
        <f>VLOOKUP(F200,'Set up'!$A$2:$C$70,3,FALSE)</f>
        <v>Cash</v>
      </c>
      <c r="J200" s="5">
        <f>VLOOKUP(F200,'Set up'!$A$2:$D$70,4,FALSE)</f>
        <v>0</v>
      </c>
      <c r="K200" s="4">
        <f t="shared" si="37"/>
        <v>44236</v>
      </c>
      <c r="L200" s="5">
        <f t="shared" si="38"/>
        <v>2</v>
      </c>
      <c r="M200" s="5">
        <f t="shared" si="39"/>
        <v>2021</v>
      </c>
      <c r="N200" s="24">
        <v>405</v>
      </c>
      <c r="O200" s="6">
        <f t="shared" si="34"/>
        <v>-405</v>
      </c>
      <c r="P200" s="6">
        <f t="shared" si="32"/>
        <v>0</v>
      </c>
      <c r="Q200" s="7">
        <f t="shared" si="40"/>
        <v>247603.49999999997</v>
      </c>
      <c r="R200" s="44" t="str">
        <f>VLOOKUP(F200,'Set up'!$A$2:$E$70,5,FALSE)</f>
        <v>Chq</v>
      </c>
      <c r="S200" s="1" t="s">
        <v>270</v>
      </c>
    </row>
    <row r="201" spans="1:19" x14ac:dyDescent="0.3">
      <c r="A201" s="4">
        <v>44236</v>
      </c>
      <c r="B201" s="5">
        <f t="shared" si="35"/>
        <v>2</v>
      </c>
      <c r="C201" s="5">
        <f t="shared" si="36"/>
        <v>2021</v>
      </c>
      <c r="D201" s="5" t="s">
        <v>265</v>
      </c>
      <c r="E201" s="5" t="str">
        <f>VLOOKUP(F201,'Set up'!$A$2:$C$70,2,FALSE)</f>
        <v>C00000013a</v>
      </c>
      <c r="F201" s="1" t="s">
        <v>1453</v>
      </c>
      <c r="G201" s="11" t="s">
        <v>17</v>
      </c>
      <c r="H201" s="5">
        <v>1</v>
      </c>
      <c r="I201" s="5" t="str">
        <f>VLOOKUP(F201,'Set up'!$A$2:$C$70,3,FALSE)</f>
        <v>Cash</v>
      </c>
      <c r="J201" s="5">
        <f>VLOOKUP(F201,'Set up'!$A$2:$D$70,4,FALSE)</f>
        <v>0</v>
      </c>
      <c r="K201" s="4">
        <f t="shared" si="37"/>
        <v>44236</v>
      </c>
      <c r="L201" s="5">
        <f t="shared" si="38"/>
        <v>2</v>
      </c>
      <c r="M201" s="5">
        <f t="shared" si="39"/>
        <v>2021</v>
      </c>
      <c r="N201" s="24">
        <v>95</v>
      </c>
      <c r="O201" s="6">
        <f t="shared" si="34"/>
        <v>-95</v>
      </c>
      <c r="P201" s="6">
        <f t="shared" si="32"/>
        <v>0</v>
      </c>
      <c r="Q201" s="7">
        <f t="shared" si="40"/>
        <v>247698.49999999997</v>
      </c>
      <c r="R201" s="44" t="str">
        <f>VLOOKUP(F201,'Set up'!$A$2:$E$70,5,FALSE)</f>
        <v>Chq</v>
      </c>
      <c r="S201" s="1" t="s">
        <v>271</v>
      </c>
    </row>
    <row r="202" spans="1:19" x14ac:dyDescent="0.3">
      <c r="A202" s="4">
        <v>44236</v>
      </c>
      <c r="B202" s="5">
        <f t="shared" si="35"/>
        <v>2</v>
      </c>
      <c r="C202" s="5">
        <f t="shared" si="36"/>
        <v>2021</v>
      </c>
      <c r="D202" s="5" t="s">
        <v>265</v>
      </c>
      <c r="E202" s="5" t="str">
        <f>VLOOKUP(F202,'Set up'!$A$2:$C$70,2,FALSE)</f>
        <v>C00000013a</v>
      </c>
      <c r="F202" s="1" t="s">
        <v>1453</v>
      </c>
      <c r="G202" s="11" t="s">
        <v>234</v>
      </c>
      <c r="H202" s="5">
        <v>1</v>
      </c>
      <c r="I202" s="5" t="str">
        <f>VLOOKUP(F202,'Set up'!$A$2:$C$70,3,FALSE)</f>
        <v>Cash</v>
      </c>
      <c r="J202" s="5">
        <f>VLOOKUP(F202,'Set up'!$A$2:$D$70,4,FALSE)</f>
        <v>0</v>
      </c>
      <c r="K202" s="4">
        <f t="shared" si="37"/>
        <v>44236</v>
      </c>
      <c r="L202" s="5">
        <f t="shared" si="38"/>
        <v>2</v>
      </c>
      <c r="M202" s="5">
        <f t="shared" si="39"/>
        <v>2021</v>
      </c>
      <c r="N202" s="24">
        <v>130</v>
      </c>
      <c r="O202" s="6">
        <f t="shared" si="34"/>
        <v>-130</v>
      </c>
      <c r="P202" s="6">
        <f t="shared" si="32"/>
        <v>0</v>
      </c>
      <c r="Q202" s="7">
        <f t="shared" si="40"/>
        <v>247828.49999999997</v>
      </c>
      <c r="R202" s="44" t="str">
        <f>VLOOKUP(F202,'Set up'!$A$2:$E$70,5,FALSE)</f>
        <v>Chq</v>
      </c>
      <c r="S202" s="1" t="s">
        <v>271</v>
      </c>
    </row>
    <row r="203" spans="1:19" x14ac:dyDescent="0.3">
      <c r="A203" s="4">
        <v>44244</v>
      </c>
      <c r="B203" s="5">
        <f t="shared" si="35"/>
        <v>2</v>
      </c>
      <c r="C203" s="5">
        <f t="shared" si="36"/>
        <v>2021</v>
      </c>
      <c r="D203" s="5" t="s">
        <v>266</v>
      </c>
      <c r="E203" s="5" t="str">
        <f>VLOOKUP(F203,'Set up'!$A$2:$C$70,2,FALSE)</f>
        <v>C00000005</v>
      </c>
      <c r="F203" s="1" t="s">
        <v>35</v>
      </c>
      <c r="G203" s="11" t="s">
        <v>180</v>
      </c>
      <c r="H203" s="5">
        <v>1</v>
      </c>
      <c r="I203" s="5" t="str">
        <f>VLOOKUP(F203,'Set up'!$A$2:$C$70,3,FALSE)</f>
        <v>Cash</v>
      </c>
      <c r="J203" s="5">
        <f>VLOOKUP(F203,'Set up'!$A$2:$D$70,4,FALSE)</f>
        <v>0</v>
      </c>
      <c r="K203" s="4">
        <f t="shared" si="37"/>
        <v>44244</v>
      </c>
      <c r="L203" s="5">
        <f t="shared" si="38"/>
        <v>2</v>
      </c>
      <c r="M203" s="5">
        <f t="shared" si="39"/>
        <v>2021</v>
      </c>
      <c r="N203" s="24">
        <v>225</v>
      </c>
      <c r="O203" s="6">
        <f t="shared" si="34"/>
        <v>-225</v>
      </c>
      <c r="P203" s="6">
        <f t="shared" si="32"/>
        <v>0</v>
      </c>
      <c r="Q203" s="7">
        <f t="shared" si="40"/>
        <v>248053.49999999997</v>
      </c>
      <c r="R203" s="44" t="str">
        <f>VLOOKUP(F203,'Set up'!$A$2:$E$70,5,FALSE)</f>
        <v>Chq</v>
      </c>
    </row>
    <row r="204" spans="1:19" x14ac:dyDescent="0.3">
      <c r="A204" s="4">
        <v>44246</v>
      </c>
      <c r="B204" s="5">
        <f t="shared" si="35"/>
        <v>2</v>
      </c>
      <c r="C204" s="5">
        <f t="shared" si="36"/>
        <v>2021</v>
      </c>
      <c r="D204" s="5" t="s">
        <v>273</v>
      </c>
      <c r="E204" s="5" t="str">
        <f>VLOOKUP(F204,'Set up'!$A$2:$C$70,2,FALSE)</f>
        <v>C00000001</v>
      </c>
      <c r="F204" s="1" t="s">
        <v>7</v>
      </c>
      <c r="G204" s="11" t="s">
        <v>67</v>
      </c>
      <c r="H204" s="5">
        <v>1</v>
      </c>
      <c r="I204" s="5" t="str">
        <f>VLOOKUP(F204,'Set up'!$A$2:$C$70,3,FALSE)</f>
        <v>Cash</v>
      </c>
      <c r="J204" s="5">
        <f>VLOOKUP(F204,'Set up'!$A$2:$D$70,4,FALSE)</f>
        <v>0</v>
      </c>
      <c r="K204" s="4">
        <f t="shared" si="37"/>
        <v>44246</v>
      </c>
      <c r="L204" s="5">
        <f t="shared" si="38"/>
        <v>2</v>
      </c>
      <c r="M204" s="5">
        <f t="shared" si="39"/>
        <v>2021</v>
      </c>
      <c r="N204" s="24">
        <v>1694</v>
      </c>
      <c r="O204" s="6">
        <f t="shared" si="34"/>
        <v>-1694</v>
      </c>
      <c r="P204" s="6">
        <f t="shared" si="32"/>
        <v>0</v>
      </c>
      <c r="Q204" s="7">
        <f t="shared" si="40"/>
        <v>249747.49999999997</v>
      </c>
      <c r="R204" s="44" t="str">
        <f>VLOOKUP(F204,'Set up'!$A$2:$E$70,5,FALSE)</f>
        <v>Trsf</v>
      </c>
      <c r="S204" s="1" t="s">
        <v>283</v>
      </c>
    </row>
    <row r="205" spans="1:19" x14ac:dyDescent="0.3">
      <c r="A205" s="4">
        <v>44251</v>
      </c>
      <c r="B205" s="5">
        <f t="shared" si="35"/>
        <v>2</v>
      </c>
      <c r="C205" s="5">
        <f t="shared" si="36"/>
        <v>2021</v>
      </c>
      <c r="D205" s="5" t="s">
        <v>274</v>
      </c>
      <c r="E205" s="5" t="str">
        <f>VLOOKUP(F205,'Set up'!$A$2:$C$70,2,FALSE)</f>
        <v>C00000004</v>
      </c>
      <c r="F205" s="1" t="s">
        <v>23</v>
      </c>
      <c r="G205" s="2" t="s">
        <v>95</v>
      </c>
      <c r="H205" s="5">
        <v>5</v>
      </c>
      <c r="I205" s="5">
        <f>VLOOKUP(F205,'Set up'!$A$2:$C$70,3,FALSE)</f>
        <v>120</v>
      </c>
      <c r="J205" s="5">
        <f>VLOOKUP(F205,'Set up'!$A$2:$D$70,4,FALSE)</f>
        <v>120</v>
      </c>
      <c r="K205" s="4">
        <f t="shared" si="37"/>
        <v>44371</v>
      </c>
      <c r="L205" s="5">
        <f t="shared" si="38"/>
        <v>6</v>
      </c>
      <c r="M205" s="5">
        <f t="shared" si="39"/>
        <v>2021</v>
      </c>
      <c r="N205" s="24">
        <v>7370</v>
      </c>
      <c r="O205" s="6">
        <f t="shared" si="34"/>
        <v>-7370</v>
      </c>
      <c r="P205" s="6">
        <f t="shared" si="32"/>
        <v>0</v>
      </c>
      <c r="Q205" s="7">
        <f t="shared" si="40"/>
        <v>257117.49999999997</v>
      </c>
      <c r="R205" s="44" t="str">
        <f>VLOOKUP(F205,'Set up'!$A$2:$E$70,5,FALSE)</f>
        <v>Chq</v>
      </c>
      <c r="S205" s="1" t="s">
        <v>385</v>
      </c>
    </row>
    <row r="206" spans="1:19" x14ac:dyDescent="0.3">
      <c r="A206" s="4">
        <v>44251</v>
      </c>
      <c r="B206" s="5">
        <f t="shared" si="35"/>
        <v>2</v>
      </c>
      <c r="C206" s="5">
        <f t="shared" si="36"/>
        <v>2021</v>
      </c>
      <c r="D206" s="5" t="s">
        <v>274</v>
      </c>
      <c r="E206" s="5" t="str">
        <f>VLOOKUP(F206,'Set up'!$A$2:$C$70,2,FALSE)</f>
        <v>C00000004</v>
      </c>
      <c r="F206" s="1" t="s">
        <v>23</v>
      </c>
      <c r="G206" s="11" t="s">
        <v>231</v>
      </c>
      <c r="H206" s="5">
        <v>3</v>
      </c>
      <c r="I206" s="5">
        <f>VLOOKUP(F206,'Set up'!$A$2:$C$70,3,FALSE)</f>
        <v>120</v>
      </c>
      <c r="J206" s="5">
        <f>VLOOKUP(F206,'Set up'!$A$2:$D$70,4,FALSE)</f>
        <v>120</v>
      </c>
      <c r="K206" s="4">
        <f t="shared" si="37"/>
        <v>44371</v>
      </c>
      <c r="L206" s="5">
        <f t="shared" si="38"/>
        <v>6</v>
      </c>
      <c r="M206" s="5">
        <f t="shared" si="39"/>
        <v>2021</v>
      </c>
      <c r="N206" s="24">
        <v>1069.2</v>
      </c>
      <c r="O206" s="6">
        <f t="shared" si="34"/>
        <v>-1069.2</v>
      </c>
      <c r="P206" s="6">
        <f t="shared" si="32"/>
        <v>0</v>
      </c>
      <c r="Q206" s="7">
        <f t="shared" si="40"/>
        <v>258186.69999999998</v>
      </c>
      <c r="R206" s="44" t="str">
        <f>VLOOKUP(F206,'Set up'!$A$2:$E$70,5,FALSE)</f>
        <v>Chq</v>
      </c>
      <c r="S206" s="1" t="s">
        <v>385</v>
      </c>
    </row>
    <row r="207" spans="1:19" x14ac:dyDescent="0.3">
      <c r="A207" s="4">
        <v>44251</v>
      </c>
      <c r="B207" s="5">
        <f t="shared" si="35"/>
        <v>2</v>
      </c>
      <c r="C207" s="5">
        <f t="shared" si="36"/>
        <v>2021</v>
      </c>
      <c r="D207" s="5" t="s">
        <v>274</v>
      </c>
      <c r="E207" s="5" t="str">
        <f>VLOOKUP(F207,'Set up'!$A$2:$C$70,2,FALSE)</f>
        <v>C00000004</v>
      </c>
      <c r="F207" s="1" t="s">
        <v>23</v>
      </c>
      <c r="G207" s="11" t="s">
        <v>17</v>
      </c>
      <c r="H207" s="5">
        <v>1</v>
      </c>
      <c r="I207" s="5">
        <f>VLOOKUP(F207,'Set up'!$A$2:$C$70,3,FALSE)</f>
        <v>120</v>
      </c>
      <c r="J207" s="5">
        <f>VLOOKUP(F207,'Set up'!$A$2:$D$70,4,FALSE)</f>
        <v>120</v>
      </c>
      <c r="K207" s="4">
        <f t="shared" si="37"/>
        <v>44371</v>
      </c>
      <c r="L207" s="5">
        <f t="shared" si="38"/>
        <v>6</v>
      </c>
      <c r="M207" s="5">
        <f t="shared" si="39"/>
        <v>2021</v>
      </c>
      <c r="N207" s="24">
        <v>360</v>
      </c>
      <c r="O207" s="6">
        <f t="shared" si="34"/>
        <v>-360</v>
      </c>
      <c r="P207" s="6">
        <f t="shared" si="32"/>
        <v>0</v>
      </c>
      <c r="Q207" s="7">
        <f t="shared" si="40"/>
        <v>258546.69999999998</v>
      </c>
      <c r="R207" s="44" t="str">
        <f>VLOOKUP(F207,'Set up'!$A$2:$E$70,5,FALSE)</f>
        <v>Chq</v>
      </c>
      <c r="S207" s="1" t="s">
        <v>385</v>
      </c>
    </row>
    <row r="208" spans="1:19" x14ac:dyDescent="0.3">
      <c r="A208" s="4">
        <v>44251</v>
      </c>
      <c r="B208" s="5">
        <f t="shared" si="35"/>
        <v>2</v>
      </c>
      <c r="C208" s="5">
        <f t="shared" si="36"/>
        <v>2021</v>
      </c>
      <c r="D208" s="5" t="s">
        <v>274</v>
      </c>
      <c r="E208" s="5" t="str">
        <f>VLOOKUP(F208,'Set up'!$A$2:$C$70,2,FALSE)</f>
        <v>C00000004</v>
      </c>
      <c r="F208" s="1" t="s">
        <v>23</v>
      </c>
      <c r="G208" s="11" t="s">
        <v>277</v>
      </c>
      <c r="H208" s="5">
        <v>1</v>
      </c>
      <c r="I208" s="5">
        <f>VLOOKUP(F208,'Set up'!$A$2:$C$70,3,FALSE)</f>
        <v>120</v>
      </c>
      <c r="J208" s="5">
        <f>VLOOKUP(F208,'Set up'!$A$2:$D$70,4,FALSE)</f>
        <v>120</v>
      </c>
      <c r="K208" s="4">
        <f t="shared" si="37"/>
        <v>44371</v>
      </c>
      <c r="L208" s="5">
        <f t="shared" si="38"/>
        <v>6</v>
      </c>
      <c r="M208" s="5">
        <f t="shared" si="39"/>
        <v>2021</v>
      </c>
      <c r="N208" s="24">
        <v>312</v>
      </c>
      <c r="O208" s="6">
        <f t="shared" si="34"/>
        <v>-312</v>
      </c>
      <c r="P208" s="6">
        <f t="shared" si="32"/>
        <v>0</v>
      </c>
      <c r="Q208" s="7">
        <f t="shared" si="40"/>
        <v>258858.69999999998</v>
      </c>
      <c r="R208" s="44" t="str">
        <f>VLOOKUP(F208,'Set up'!$A$2:$E$70,5,FALSE)</f>
        <v>Chq</v>
      </c>
      <c r="S208" s="1" t="s">
        <v>385</v>
      </c>
    </row>
    <row r="209" spans="1:19" x14ac:dyDescent="0.3">
      <c r="A209" s="4">
        <v>44250</v>
      </c>
      <c r="B209" s="5">
        <f t="shared" si="35"/>
        <v>2</v>
      </c>
      <c r="C209" s="5">
        <f t="shared" si="36"/>
        <v>2021</v>
      </c>
      <c r="D209" s="5" t="s">
        <v>275</v>
      </c>
      <c r="E209" s="5" t="str">
        <f>VLOOKUP(F209,'Set up'!$A$2:$C$70,2,FALSE)</f>
        <v>C00000008</v>
      </c>
      <c r="F209" s="1" t="s">
        <v>52</v>
      </c>
      <c r="G209" s="11" t="s">
        <v>24</v>
      </c>
      <c r="H209" s="5">
        <v>4</v>
      </c>
      <c r="I209" s="5" t="str">
        <f>VLOOKUP(F209,'Set up'!$A$2:$C$70,3,FALSE)</f>
        <v>Cash</v>
      </c>
      <c r="J209" s="5">
        <f>VLOOKUP(F209,'Set up'!$A$2:$D$70,4,FALSE)</f>
        <v>0</v>
      </c>
      <c r="K209" s="4">
        <f t="shared" si="37"/>
        <v>44250</v>
      </c>
      <c r="L209" s="5">
        <f t="shared" si="38"/>
        <v>2</v>
      </c>
      <c r="M209" s="5">
        <f t="shared" si="39"/>
        <v>2021</v>
      </c>
      <c r="N209" s="24">
        <v>920</v>
      </c>
      <c r="O209" s="6">
        <f t="shared" si="34"/>
        <v>-920</v>
      </c>
      <c r="P209" s="6">
        <f t="shared" si="32"/>
        <v>0</v>
      </c>
      <c r="Q209" s="7">
        <f t="shared" si="40"/>
        <v>259778.69999999998</v>
      </c>
      <c r="R209" s="44" t="str">
        <f>VLOOKUP(F209,'Set up'!$A$2:$E$70,5,FALSE)</f>
        <v>Trsf</v>
      </c>
      <c r="S209" s="1" t="s">
        <v>298</v>
      </c>
    </row>
    <row r="210" spans="1:19" x14ac:dyDescent="0.3">
      <c r="A210" s="4">
        <v>44250</v>
      </c>
      <c r="B210" s="5">
        <f t="shared" si="35"/>
        <v>2</v>
      </c>
      <c r="C210" s="5">
        <f t="shared" si="36"/>
        <v>2021</v>
      </c>
      <c r="D210" s="5" t="s">
        <v>275</v>
      </c>
      <c r="E210" s="5" t="str">
        <f>VLOOKUP(F210,'Set up'!$A$2:$C$70,2,FALSE)</f>
        <v>C00000008</v>
      </c>
      <c r="F210" s="1" t="s">
        <v>52</v>
      </c>
      <c r="G210" s="11" t="s">
        <v>17</v>
      </c>
      <c r="H210" s="5">
        <v>1</v>
      </c>
      <c r="I210" s="5" t="str">
        <f>VLOOKUP(F210,'Set up'!$A$2:$C$70,3,FALSE)</f>
        <v>Cash</v>
      </c>
      <c r="J210" s="5">
        <f>VLOOKUP(F210,'Set up'!$A$2:$D$70,4,FALSE)</f>
        <v>0</v>
      </c>
      <c r="K210" s="4">
        <f t="shared" si="37"/>
        <v>44250</v>
      </c>
      <c r="L210" s="5">
        <f t="shared" si="38"/>
        <v>2</v>
      </c>
      <c r="M210" s="5">
        <f t="shared" si="39"/>
        <v>2021</v>
      </c>
      <c r="N210" s="24">
        <v>100</v>
      </c>
      <c r="O210" s="6">
        <f t="shared" si="34"/>
        <v>-100</v>
      </c>
      <c r="P210" s="6">
        <f t="shared" si="32"/>
        <v>0</v>
      </c>
      <c r="Q210" s="7">
        <f t="shared" si="40"/>
        <v>259878.69999999998</v>
      </c>
      <c r="R210" s="44" t="str">
        <f>VLOOKUP(F210,'Set up'!$A$2:$E$70,5,FALSE)</f>
        <v>Trsf</v>
      </c>
      <c r="S210" s="1" t="s">
        <v>298</v>
      </c>
    </row>
    <row r="211" spans="1:19" x14ac:dyDescent="0.3">
      <c r="A211" s="4">
        <v>44250</v>
      </c>
      <c r="B211" s="5">
        <f t="shared" si="35"/>
        <v>2</v>
      </c>
      <c r="C211" s="5">
        <f t="shared" si="36"/>
        <v>2021</v>
      </c>
      <c r="D211" s="5" t="s">
        <v>275</v>
      </c>
      <c r="E211" s="5" t="str">
        <f>VLOOKUP(F211,'Set up'!$A$2:$C$70,2,FALSE)</f>
        <v>C00000008</v>
      </c>
      <c r="F211" s="1" t="s">
        <v>52</v>
      </c>
      <c r="G211" s="11" t="s">
        <v>125</v>
      </c>
      <c r="H211" s="5">
        <v>3</v>
      </c>
      <c r="I211" s="5" t="str">
        <f>VLOOKUP(F211,'Set up'!$A$2:$C$70,3,FALSE)</f>
        <v>Cash</v>
      </c>
      <c r="J211" s="5">
        <f>VLOOKUP(F211,'Set up'!$A$2:$D$70,4,FALSE)</f>
        <v>0</v>
      </c>
      <c r="K211" s="4">
        <f t="shared" si="37"/>
        <v>44250</v>
      </c>
      <c r="L211" s="5">
        <f t="shared" si="38"/>
        <v>2</v>
      </c>
      <c r="M211" s="5">
        <f t="shared" si="39"/>
        <v>2021</v>
      </c>
      <c r="N211" s="24">
        <v>180</v>
      </c>
      <c r="O211" s="6">
        <f t="shared" si="34"/>
        <v>-180</v>
      </c>
      <c r="P211" s="6">
        <f t="shared" si="32"/>
        <v>0</v>
      </c>
      <c r="Q211" s="7">
        <f t="shared" si="40"/>
        <v>260058.69999999998</v>
      </c>
      <c r="R211" s="44" t="str">
        <f>VLOOKUP(F211,'Set up'!$A$2:$E$70,5,FALSE)</f>
        <v>Trsf</v>
      </c>
      <c r="S211" s="1" t="s">
        <v>298</v>
      </c>
    </row>
    <row r="212" spans="1:19" x14ac:dyDescent="0.3">
      <c r="A212" s="4">
        <v>44253</v>
      </c>
      <c r="B212" s="5">
        <f t="shared" si="35"/>
        <v>2</v>
      </c>
      <c r="C212" s="5">
        <f t="shared" si="36"/>
        <v>2021</v>
      </c>
      <c r="D212" s="5" t="s">
        <v>278</v>
      </c>
      <c r="E212" s="5" t="str">
        <f>VLOOKUP(F212,'Set up'!$A$2:$C$70,2,FALSE)</f>
        <v>C00000015</v>
      </c>
      <c r="F212" s="1" t="s">
        <v>280</v>
      </c>
      <c r="G212" s="11" t="s">
        <v>95</v>
      </c>
      <c r="H212" s="5">
        <v>1</v>
      </c>
      <c r="I212" s="5" t="str">
        <f>VLOOKUP(F212,'Set up'!$A$2:$C$70,3,FALSE)</f>
        <v>Cash</v>
      </c>
      <c r="J212" s="5">
        <f>VLOOKUP(F212,'Set up'!$A$2:$D$70,4,FALSE)</f>
        <v>0</v>
      </c>
      <c r="K212" s="4">
        <f t="shared" si="37"/>
        <v>44253</v>
      </c>
      <c r="L212" s="5">
        <f t="shared" si="38"/>
        <v>2</v>
      </c>
      <c r="M212" s="5">
        <f t="shared" si="39"/>
        <v>2021</v>
      </c>
      <c r="N212" s="24">
        <v>1694</v>
      </c>
      <c r="O212" s="6">
        <f t="shared" si="34"/>
        <v>-1694</v>
      </c>
      <c r="P212" s="6">
        <f t="shared" si="32"/>
        <v>0</v>
      </c>
      <c r="Q212" s="7">
        <f t="shared" si="40"/>
        <v>261752.69999999998</v>
      </c>
      <c r="R212" s="44" t="str">
        <f>VLOOKUP(F212,'Set up'!$A$2:$E$70,5,FALSE)</f>
        <v>Trsf</v>
      </c>
      <c r="S212" s="1" t="s">
        <v>282</v>
      </c>
    </row>
    <row r="213" spans="1:19" x14ac:dyDescent="0.3">
      <c r="A213" s="4">
        <v>44253</v>
      </c>
      <c r="B213" s="5">
        <f t="shared" si="35"/>
        <v>2</v>
      </c>
      <c r="C213" s="5">
        <f t="shared" si="36"/>
        <v>2021</v>
      </c>
      <c r="D213" s="5" t="s">
        <v>278</v>
      </c>
      <c r="E213" s="5" t="str">
        <f>VLOOKUP(F213,'Set up'!$A$2:$C$70,2,FALSE)</f>
        <v>C00000015</v>
      </c>
      <c r="F213" s="1" t="s">
        <v>280</v>
      </c>
      <c r="G213" s="11" t="s">
        <v>180</v>
      </c>
      <c r="H213" s="5">
        <v>1</v>
      </c>
      <c r="I213" s="5" t="str">
        <f>VLOOKUP(F213,'Set up'!$A$2:$C$70,3,FALSE)</f>
        <v>Cash</v>
      </c>
      <c r="J213" s="5">
        <f>VLOOKUP(F213,'Set up'!$A$2:$D$70,4,FALSE)</f>
        <v>0</v>
      </c>
      <c r="K213" s="4">
        <f t="shared" si="37"/>
        <v>44253</v>
      </c>
      <c r="L213" s="5">
        <f t="shared" si="38"/>
        <v>2</v>
      </c>
      <c r="M213" s="5">
        <f t="shared" si="39"/>
        <v>2021</v>
      </c>
      <c r="N213" s="24">
        <v>228</v>
      </c>
      <c r="O213" s="6">
        <f t="shared" si="34"/>
        <v>-228</v>
      </c>
      <c r="P213" s="6">
        <f t="shared" ref="P213:P276" si="41">SUM(N213+O213)</f>
        <v>0</v>
      </c>
      <c r="Q213" s="7">
        <f t="shared" si="40"/>
        <v>261980.69999999998</v>
      </c>
      <c r="R213" s="44" t="str">
        <f>VLOOKUP(F213,'Set up'!$A$2:$E$70,5,FALSE)</f>
        <v>Trsf</v>
      </c>
      <c r="S213" s="1" t="s">
        <v>282</v>
      </c>
    </row>
    <row r="214" spans="1:19" x14ac:dyDescent="0.3">
      <c r="A214" s="4">
        <v>44253</v>
      </c>
      <c r="B214" s="5">
        <f t="shared" si="35"/>
        <v>2</v>
      </c>
      <c r="C214" s="5">
        <f t="shared" si="36"/>
        <v>2021</v>
      </c>
      <c r="D214" s="5" t="s">
        <v>278</v>
      </c>
      <c r="E214" s="5" t="str">
        <f>VLOOKUP(F214,'Set up'!$A$2:$C$70,2,FALSE)</f>
        <v>C00000015</v>
      </c>
      <c r="F214" s="1" t="s">
        <v>280</v>
      </c>
      <c r="G214" s="11" t="s">
        <v>46</v>
      </c>
      <c r="H214" s="5">
        <v>1</v>
      </c>
      <c r="I214" s="5" t="str">
        <f>VLOOKUP(F214,'Set up'!$A$2:$C$70,3,FALSE)</f>
        <v>Cash</v>
      </c>
      <c r="J214" s="5">
        <f>VLOOKUP(F214,'Set up'!$A$2:$D$70,4,FALSE)</f>
        <v>0</v>
      </c>
      <c r="K214" s="4">
        <f t="shared" si="37"/>
        <v>44253</v>
      </c>
      <c r="L214" s="5">
        <f t="shared" si="38"/>
        <v>2</v>
      </c>
      <c r="M214" s="5">
        <f t="shared" si="39"/>
        <v>2021</v>
      </c>
      <c r="N214" s="24">
        <v>100</v>
      </c>
      <c r="O214" s="6">
        <f t="shared" si="34"/>
        <v>-100</v>
      </c>
      <c r="P214" s="6">
        <f t="shared" si="41"/>
        <v>0</v>
      </c>
      <c r="Q214" s="7">
        <f t="shared" si="40"/>
        <v>262080.69999999998</v>
      </c>
      <c r="R214" s="44" t="str">
        <f>VLOOKUP(F214,'Set up'!$A$2:$E$70,5,FALSE)</f>
        <v>Trsf</v>
      </c>
      <c r="S214" s="1" t="s">
        <v>282</v>
      </c>
    </row>
    <row r="215" spans="1:19" x14ac:dyDescent="0.3">
      <c r="A215" s="4">
        <v>44263</v>
      </c>
      <c r="B215" s="5">
        <f t="shared" si="35"/>
        <v>3</v>
      </c>
      <c r="C215" s="5">
        <f t="shared" si="36"/>
        <v>2021</v>
      </c>
      <c r="D215" s="5" t="s">
        <v>285</v>
      </c>
      <c r="E215" s="5" t="str">
        <f>VLOOKUP(F215,'Set up'!$A$2:$C$70,2,FALSE)</f>
        <v>C00000004</v>
      </c>
      <c r="F215" s="1" t="s">
        <v>23</v>
      </c>
      <c r="G215" s="11" t="s">
        <v>95</v>
      </c>
      <c r="H215" s="5">
        <v>6</v>
      </c>
      <c r="I215" s="5">
        <f>VLOOKUP(F215,'Set up'!$A$2:$C$70,3,FALSE)</f>
        <v>120</v>
      </c>
      <c r="J215" s="5">
        <f>VLOOKUP(F215,'Set up'!$A$2:$D$70,4,FALSE)</f>
        <v>120</v>
      </c>
      <c r="K215" s="4">
        <f t="shared" si="37"/>
        <v>44383</v>
      </c>
      <c r="L215" s="5">
        <f t="shared" si="38"/>
        <v>7</v>
      </c>
      <c r="M215" s="5">
        <f t="shared" si="39"/>
        <v>2021</v>
      </c>
      <c r="N215" s="24">
        <v>8976</v>
      </c>
      <c r="O215" s="6">
        <f t="shared" si="34"/>
        <v>-8976</v>
      </c>
      <c r="P215" s="12">
        <f t="shared" si="41"/>
        <v>0</v>
      </c>
      <c r="Q215" s="7">
        <f t="shared" si="40"/>
        <v>271056.69999999995</v>
      </c>
      <c r="R215" s="44" t="str">
        <f>VLOOKUP(F215,'Set up'!$A$2:$E$70,5,FALSE)</f>
        <v>Chq</v>
      </c>
      <c r="S215" s="1" t="s">
        <v>389</v>
      </c>
    </row>
    <row r="216" spans="1:19" x14ac:dyDescent="0.3">
      <c r="A216" s="4">
        <v>44263</v>
      </c>
      <c r="B216" s="5">
        <f t="shared" si="35"/>
        <v>3</v>
      </c>
      <c r="C216" s="5">
        <f t="shared" si="36"/>
        <v>2021</v>
      </c>
      <c r="D216" s="5" t="s">
        <v>285</v>
      </c>
      <c r="E216" s="5" t="str">
        <f>VLOOKUP(F216,'Set up'!$A$2:$C$70,2,FALSE)</f>
        <v>C00000004</v>
      </c>
      <c r="F216" s="1" t="s">
        <v>23</v>
      </c>
      <c r="G216" s="11" t="s">
        <v>286</v>
      </c>
      <c r="H216" s="5">
        <v>1</v>
      </c>
      <c r="I216" s="5">
        <f>VLOOKUP(F216,'Set up'!$A$2:$C$70,3,FALSE)</f>
        <v>120</v>
      </c>
      <c r="J216" s="5">
        <f>VLOOKUP(F216,'Set up'!$A$2:$D$70,4,FALSE)</f>
        <v>120</v>
      </c>
      <c r="K216" s="4">
        <f t="shared" si="37"/>
        <v>44383</v>
      </c>
      <c r="L216" s="5">
        <f t="shared" si="38"/>
        <v>7</v>
      </c>
      <c r="M216" s="5">
        <f t="shared" si="39"/>
        <v>2021</v>
      </c>
      <c r="N216" s="24">
        <v>1496</v>
      </c>
      <c r="O216" s="6">
        <f t="shared" si="34"/>
        <v>-1496</v>
      </c>
      <c r="P216" s="12">
        <f t="shared" si="41"/>
        <v>0</v>
      </c>
      <c r="Q216" s="7">
        <f t="shared" si="40"/>
        <v>272552.69999999995</v>
      </c>
      <c r="R216" s="44" t="str">
        <f>VLOOKUP(F216,'Set up'!$A$2:$E$70,5,FALSE)</f>
        <v>Chq</v>
      </c>
      <c r="S216" s="1" t="s">
        <v>389</v>
      </c>
    </row>
    <row r="217" spans="1:19" x14ac:dyDescent="0.3">
      <c r="A217" s="4">
        <v>44263</v>
      </c>
      <c r="B217" s="5">
        <f t="shared" si="35"/>
        <v>3</v>
      </c>
      <c r="C217" s="5">
        <f t="shared" si="36"/>
        <v>2021</v>
      </c>
      <c r="D217" s="5" t="s">
        <v>285</v>
      </c>
      <c r="E217" s="5" t="str">
        <f>VLOOKUP(F217,'Set up'!$A$2:$C$70,2,FALSE)</f>
        <v>C00000004</v>
      </c>
      <c r="F217" s="1" t="s">
        <v>23</v>
      </c>
      <c r="G217" s="11" t="s">
        <v>96</v>
      </c>
      <c r="H217" s="5">
        <v>7</v>
      </c>
      <c r="I217" s="5">
        <f>VLOOKUP(F217,'Set up'!$A$2:$C$70,3,FALSE)</f>
        <v>120</v>
      </c>
      <c r="J217" s="5">
        <f>VLOOKUP(F217,'Set up'!$A$2:$D$70,4,FALSE)</f>
        <v>120</v>
      </c>
      <c r="K217" s="4">
        <f t="shared" si="37"/>
        <v>44383</v>
      </c>
      <c r="L217" s="5">
        <f t="shared" si="38"/>
        <v>7</v>
      </c>
      <c r="M217" s="5">
        <f t="shared" si="39"/>
        <v>2021</v>
      </c>
      <c r="N217" s="24">
        <v>2532.6</v>
      </c>
      <c r="O217" s="6">
        <f t="shared" si="34"/>
        <v>-2532.6</v>
      </c>
      <c r="P217" s="12">
        <f t="shared" si="41"/>
        <v>0</v>
      </c>
      <c r="Q217" s="7">
        <f t="shared" si="40"/>
        <v>275085.29999999993</v>
      </c>
      <c r="R217" s="44" t="str">
        <f>VLOOKUP(F217,'Set up'!$A$2:$E$70,5,FALSE)</f>
        <v>Chq</v>
      </c>
      <c r="S217" s="1" t="s">
        <v>389</v>
      </c>
    </row>
    <row r="218" spans="1:19" x14ac:dyDescent="0.3">
      <c r="A218" s="4">
        <v>44263</v>
      </c>
      <c r="B218" s="5">
        <f t="shared" si="35"/>
        <v>3</v>
      </c>
      <c r="C218" s="5">
        <f t="shared" si="36"/>
        <v>2021</v>
      </c>
      <c r="D218" s="5" t="s">
        <v>285</v>
      </c>
      <c r="E218" s="5" t="str">
        <f>VLOOKUP(F218,'Set up'!$A$2:$C$70,2,FALSE)</f>
        <v>C00000004</v>
      </c>
      <c r="F218" s="1" t="s">
        <v>23</v>
      </c>
      <c r="G218" s="11" t="s">
        <v>97</v>
      </c>
      <c r="H218" s="5">
        <v>5</v>
      </c>
      <c r="I218" s="5">
        <f>VLOOKUP(F218,'Set up'!$A$2:$C$70,3,FALSE)</f>
        <v>120</v>
      </c>
      <c r="J218" s="5">
        <f>VLOOKUP(F218,'Set up'!$A$2:$D$70,4,FALSE)</f>
        <v>120</v>
      </c>
      <c r="K218" s="4">
        <f t="shared" si="37"/>
        <v>44383</v>
      </c>
      <c r="L218" s="5">
        <f t="shared" si="38"/>
        <v>7</v>
      </c>
      <c r="M218" s="5">
        <f t="shared" si="39"/>
        <v>2021</v>
      </c>
      <c r="N218" s="24">
        <v>1809</v>
      </c>
      <c r="O218" s="6">
        <f t="shared" si="34"/>
        <v>-1809</v>
      </c>
      <c r="P218" s="12">
        <f t="shared" si="41"/>
        <v>0</v>
      </c>
      <c r="Q218" s="7">
        <f t="shared" si="40"/>
        <v>276894.29999999993</v>
      </c>
      <c r="R218" s="44" t="str">
        <f>VLOOKUP(F218,'Set up'!$A$2:$E$70,5,FALSE)</f>
        <v>Chq</v>
      </c>
      <c r="S218" s="1" t="s">
        <v>389</v>
      </c>
    </row>
    <row r="219" spans="1:19" x14ac:dyDescent="0.3">
      <c r="A219" s="4">
        <v>44265</v>
      </c>
      <c r="B219" s="5">
        <f t="shared" si="35"/>
        <v>3</v>
      </c>
      <c r="C219" s="5">
        <f t="shared" si="36"/>
        <v>2021</v>
      </c>
      <c r="D219" s="5" t="s">
        <v>315</v>
      </c>
      <c r="E219" s="5" t="str">
        <f>VLOOKUP(F219,'Set up'!$A$2:$C$70,2,FALSE)</f>
        <v>C00000016</v>
      </c>
      <c r="F219" s="1" t="s">
        <v>289</v>
      </c>
      <c r="G219" s="11" t="s">
        <v>95</v>
      </c>
      <c r="H219" s="5">
        <v>2</v>
      </c>
      <c r="I219" s="5" t="str">
        <f>VLOOKUP(F219,'Set up'!$A$2:$C$70,3,FALSE)</f>
        <v>Cash</v>
      </c>
      <c r="J219" s="5">
        <f>VLOOKUP(F219,'Set up'!$A$2:$D$70,4,FALSE)</f>
        <v>0</v>
      </c>
      <c r="K219" s="4">
        <f t="shared" si="37"/>
        <v>44265</v>
      </c>
      <c r="L219" s="5">
        <f t="shared" si="38"/>
        <v>3</v>
      </c>
      <c r="M219" s="5">
        <f t="shared" si="39"/>
        <v>2021</v>
      </c>
      <c r="N219" s="44">
        <v>3058</v>
      </c>
      <c r="O219" s="6">
        <f t="shared" ref="O219:O250" si="42">-N219</f>
        <v>-3058</v>
      </c>
      <c r="P219" s="6">
        <f t="shared" si="41"/>
        <v>0</v>
      </c>
      <c r="Q219" s="7">
        <f t="shared" si="40"/>
        <v>279952.29999999993</v>
      </c>
      <c r="R219" s="44" t="str">
        <f>VLOOKUP(F219,'Set up'!$A$2:$E$70,5,FALSE)</f>
        <v>Trsf</v>
      </c>
      <c r="S219" s="1" t="s">
        <v>300</v>
      </c>
    </row>
    <row r="220" spans="1:19" x14ac:dyDescent="0.3">
      <c r="A220" s="4">
        <v>44265</v>
      </c>
      <c r="B220" s="5">
        <f t="shared" si="35"/>
        <v>3</v>
      </c>
      <c r="C220" s="5">
        <f t="shared" si="36"/>
        <v>2021</v>
      </c>
      <c r="D220" s="5" t="s">
        <v>315</v>
      </c>
      <c r="E220" s="5" t="str">
        <f>VLOOKUP(F220,'Set up'!$A$2:$C$70,2,FALSE)</f>
        <v>C00000016</v>
      </c>
      <c r="F220" s="1" t="s">
        <v>289</v>
      </c>
      <c r="G220" s="11" t="s">
        <v>67</v>
      </c>
      <c r="H220" s="5">
        <v>2</v>
      </c>
      <c r="I220" s="5" t="str">
        <f>VLOOKUP(F220,'Set up'!$A$2:$C$70,3,FALSE)</f>
        <v>Cash</v>
      </c>
      <c r="J220" s="5">
        <f>VLOOKUP(F220,'Set up'!$A$2:$D$70,4,FALSE)</f>
        <v>0</v>
      </c>
      <c r="K220" s="4">
        <f t="shared" si="37"/>
        <v>44265</v>
      </c>
      <c r="L220" s="5">
        <f t="shared" si="38"/>
        <v>3</v>
      </c>
      <c r="M220" s="5">
        <f t="shared" si="39"/>
        <v>2021</v>
      </c>
      <c r="N220" s="44">
        <v>3058</v>
      </c>
      <c r="O220" s="6">
        <f t="shared" si="42"/>
        <v>-3058</v>
      </c>
      <c r="P220" s="6">
        <f t="shared" si="41"/>
        <v>0</v>
      </c>
      <c r="Q220" s="7">
        <f t="shared" si="40"/>
        <v>283010.29999999993</v>
      </c>
      <c r="R220" s="44" t="str">
        <f>VLOOKUP(F220,'Set up'!$A$2:$E$70,5,FALSE)</f>
        <v>Trsf</v>
      </c>
      <c r="S220" s="1" t="s">
        <v>300</v>
      </c>
    </row>
    <row r="221" spans="1:19" x14ac:dyDescent="0.3">
      <c r="A221" s="4">
        <v>44265</v>
      </c>
      <c r="B221" s="5">
        <f t="shared" si="35"/>
        <v>3</v>
      </c>
      <c r="C221" s="5">
        <f t="shared" si="36"/>
        <v>2021</v>
      </c>
      <c r="D221" s="5" t="s">
        <v>315</v>
      </c>
      <c r="E221" s="5" t="str">
        <f>VLOOKUP(F221,'Set up'!$A$2:$C$70,2,FALSE)</f>
        <v>C00000016</v>
      </c>
      <c r="F221" s="1" t="s">
        <v>289</v>
      </c>
      <c r="G221" s="11" t="s">
        <v>290</v>
      </c>
      <c r="H221" s="5">
        <v>3</v>
      </c>
      <c r="I221" s="5" t="str">
        <f>VLOOKUP(F221,'Set up'!$A$2:$C$70,3,FALSE)</f>
        <v>Cash</v>
      </c>
      <c r="J221" s="5">
        <f>VLOOKUP(F221,'Set up'!$A$2:$D$70,4,FALSE)</f>
        <v>0</v>
      </c>
      <c r="K221" s="4">
        <f t="shared" si="37"/>
        <v>44265</v>
      </c>
      <c r="L221" s="5">
        <f t="shared" si="38"/>
        <v>3</v>
      </c>
      <c r="M221" s="5">
        <f t="shared" si="39"/>
        <v>2021</v>
      </c>
      <c r="N221" s="44">
        <v>4691.25</v>
      </c>
      <c r="O221" s="6">
        <f t="shared" si="42"/>
        <v>-4691.25</v>
      </c>
      <c r="P221" s="6">
        <f t="shared" si="41"/>
        <v>0</v>
      </c>
      <c r="Q221" s="7">
        <f t="shared" si="40"/>
        <v>287701.54999999993</v>
      </c>
      <c r="R221" s="44" t="str">
        <f>VLOOKUP(F221,'Set up'!$A$2:$E$70,5,FALSE)</f>
        <v>Trsf</v>
      </c>
      <c r="S221" s="1" t="s">
        <v>300</v>
      </c>
    </row>
    <row r="222" spans="1:19" x14ac:dyDescent="0.3">
      <c r="A222" s="4">
        <v>44266</v>
      </c>
      <c r="B222" s="5">
        <f t="shared" si="35"/>
        <v>3</v>
      </c>
      <c r="C222" s="5">
        <f t="shared" si="36"/>
        <v>2021</v>
      </c>
      <c r="D222" s="5" t="s">
        <v>316</v>
      </c>
      <c r="E222" s="5" t="str">
        <f>VLOOKUP(F222,'Set up'!$A$2:$C$70,2,FALSE)</f>
        <v>C00000009</v>
      </c>
      <c r="F222" s="1" t="s">
        <v>58</v>
      </c>
      <c r="G222" s="11" t="s">
        <v>286</v>
      </c>
      <c r="H222" s="5">
        <v>2</v>
      </c>
      <c r="I222" s="5">
        <f>VLOOKUP(F222,'Set up'!$A$2:$C$70,3,FALSE)</f>
        <v>60</v>
      </c>
      <c r="J222" s="5">
        <f>VLOOKUP(F222,'Set up'!$A$2:$D$70,4,FALSE)</f>
        <v>60</v>
      </c>
      <c r="K222" s="4">
        <f t="shared" si="37"/>
        <v>44326</v>
      </c>
      <c r="L222" s="5">
        <f t="shared" si="38"/>
        <v>5</v>
      </c>
      <c r="M222" s="5">
        <f t="shared" si="39"/>
        <v>2021</v>
      </c>
      <c r="N222" s="44">
        <v>3212</v>
      </c>
      <c r="O222" s="6">
        <f t="shared" si="42"/>
        <v>-3212</v>
      </c>
      <c r="P222" s="6">
        <f t="shared" si="41"/>
        <v>0</v>
      </c>
      <c r="Q222" s="7">
        <f t="shared" si="40"/>
        <v>290913.54999999993</v>
      </c>
      <c r="R222" s="44" t="str">
        <f>VLOOKUP(F222,'Set up'!$A$2:$E$70,5,FALSE)</f>
        <v>Chq</v>
      </c>
      <c r="S222" s="1" t="s">
        <v>461</v>
      </c>
    </row>
    <row r="223" spans="1:19" x14ac:dyDescent="0.3">
      <c r="A223" s="4">
        <v>44266</v>
      </c>
      <c r="B223" s="5">
        <f t="shared" si="35"/>
        <v>3</v>
      </c>
      <c r="C223" s="5">
        <f t="shared" si="36"/>
        <v>2021</v>
      </c>
      <c r="D223" s="5" t="s">
        <v>316</v>
      </c>
      <c r="E223" s="5" t="str">
        <f>VLOOKUP(F223,'Set up'!$A$2:$C$70,2,FALSE)</f>
        <v>C00000009</v>
      </c>
      <c r="F223" s="1" t="s">
        <v>58</v>
      </c>
      <c r="G223" s="11" t="s">
        <v>286</v>
      </c>
      <c r="H223" s="5">
        <v>1</v>
      </c>
      <c r="I223" s="5">
        <f>VLOOKUP(F223,'Set up'!$A$2:$C$70,3,FALSE)</f>
        <v>60</v>
      </c>
      <c r="J223" s="5">
        <f>VLOOKUP(F223,'Set up'!$A$2:$D$70,4,FALSE)</f>
        <v>60</v>
      </c>
      <c r="K223" s="4">
        <f t="shared" si="37"/>
        <v>44326</v>
      </c>
      <c r="L223" s="5">
        <f t="shared" si="38"/>
        <v>5</v>
      </c>
      <c r="M223" s="5">
        <f t="shared" si="39"/>
        <v>2021</v>
      </c>
      <c r="N223" s="44">
        <v>1606</v>
      </c>
      <c r="O223" s="6">
        <f t="shared" si="42"/>
        <v>-1606</v>
      </c>
      <c r="P223" s="6">
        <f t="shared" si="41"/>
        <v>0</v>
      </c>
      <c r="Q223" s="7">
        <f t="shared" si="40"/>
        <v>292519.54999999993</v>
      </c>
      <c r="R223" s="44" t="str">
        <f>VLOOKUP(F223,'Set up'!$A$2:$E$70,5,FALSE)</f>
        <v>Chq</v>
      </c>
      <c r="S223" s="1" t="s">
        <v>461</v>
      </c>
    </row>
    <row r="224" spans="1:19" x14ac:dyDescent="0.3">
      <c r="A224" s="4">
        <v>44266</v>
      </c>
      <c r="B224" s="5">
        <f t="shared" si="35"/>
        <v>3</v>
      </c>
      <c r="C224" s="5">
        <f t="shared" si="36"/>
        <v>2021</v>
      </c>
      <c r="D224" s="5" t="s">
        <v>316</v>
      </c>
      <c r="E224" s="5" t="str">
        <f>VLOOKUP(F224,'Set up'!$A$2:$C$70,2,FALSE)</f>
        <v>C00000009</v>
      </c>
      <c r="F224" s="1" t="s">
        <v>58</v>
      </c>
      <c r="G224" s="11" t="s">
        <v>96</v>
      </c>
      <c r="H224" s="5">
        <v>2</v>
      </c>
      <c r="I224" s="5">
        <f>VLOOKUP(F224,'Set up'!$A$2:$C$70,3,FALSE)</f>
        <v>60</v>
      </c>
      <c r="J224" s="5">
        <f>VLOOKUP(F224,'Set up'!$A$2:$D$70,4,FALSE)</f>
        <v>60</v>
      </c>
      <c r="K224" s="4">
        <f t="shared" si="37"/>
        <v>44326</v>
      </c>
      <c r="L224" s="5">
        <f t="shared" si="38"/>
        <v>5</v>
      </c>
      <c r="M224" s="5">
        <f t="shared" si="39"/>
        <v>2021</v>
      </c>
      <c r="N224" s="44">
        <v>820.8</v>
      </c>
      <c r="O224" s="6">
        <f t="shared" si="42"/>
        <v>-820.8</v>
      </c>
      <c r="P224" s="6">
        <f t="shared" si="41"/>
        <v>0</v>
      </c>
      <c r="Q224" s="7">
        <f t="shared" si="40"/>
        <v>293340.34999999992</v>
      </c>
      <c r="R224" s="44" t="str">
        <f>VLOOKUP(F224,'Set up'!$A$2:$E$70,5,FALSE)</f>
        <v>Chq</v>
      </c>
      <c r="S224" s="1" t="s">
        <v>461</v>
      </c>
    </row>
    <row r="225" spans="1:19" ht="15" customHeight="1" x14ac:dyDescent="0.3">
      <c r="A225" s="4">
        <v>44266</v>
      </c>
      <c r="B225" s="5">
        <f t="shared" si="35"/>
        <v>3</v>
      </c>
      <c r="C225" s="5">
        <f t="shared" si="36"/>
        <v>2021</v>
      </c>
      <c r="D225" s="5" t="s">
        <v>316</v>
      </c>
      <c r="E225" s="5" t="str">
        <f>VLOOKUP(F225,'Set up'!$A$2:$C$70,2,FALSE)</f>
        <v>C00000009</v>
      </c>
      <c r="F225" s="1" t="s">
        <v>58</v>
      </c>
      <c r="G225" s="11" t="s">
        <v>97</v>
      </c>
      <c r="H225" s="5">
        <v>2</v>
      </c>
      <c r="I225" s="5">
        <f>VLOOKUP(F225,'Set up'!$A$2:$C$70,3,FALSE)</f>
        <v>60</v>
      </c>
      <c r="J225" s="5">
        <f>VLOOKUP(F225,'Set up'!$A$2:$D$70,4,FALSE)</f>
        <v>60</v>
      </c>
      <c r="K225" s="4">
        <f t="shared" si="37"/>
        <v>44326</v>
      </c>
      <c r="L225" s="5">
        <f t="shared" si="38"/>
        <v>5</v>
      </c>
      <c r="M225" s="5">
        <f t="shared" si="39"/>
        <v>2021</v>
      </c>
      <c r="N225" s="44">
        <v>820.8</v>
      </c>
      <c r="O225" s="6">
        <f t="shared" si="42"/>
        <v>-820.8</v>
      </c>
      <c r="P225" s="6">
        <f t="shared" si="41"/>
        <v>0</v>
      </c>
      <c r="Q225" s="7">
        <f t="shared" si="40"/>
        <v>294161.14999999991</v>
      </c>
      <c r="R225" s="44" t="str">
        <f>VLOOKUP(F225,'Set up'!$A$2:$E$70,5,FALSE)</f>
        <v>Chq</v>
      </c>
      <c r="S225" s="1" t="s">
        <v>461</v>
      </c>
    </row>
    <row r="226" spans="1:19" ht="15" customHeight="1" x14ac:dyDescent="0.3">
      <c r="A226" s="4">
        <v>44278</v>
      </c>
      <c r="B226" s="5">
        <f t="shared" si="35"/>
        <v>3</v>
      </c>
      <c r="C226" s="5">
        <f t="shared" si="36"/>
        <v>2021</v>
      </c>
      <c r="D226" s="5" t="s">
        <v>318</v>
      </c>
      <c r="E226" s="5" t="str">
        <f>VLOOKUP(F226,'Set up'!$A$2:$C$70,2,FALSE)</f>
        <v>C00000004</v>
      </c>
      <c r="F226" s="1" t="s">
        <v>23</v>
      </c>
      <c r="G226" s="11" t="s">
        <v>95</v>
      </c>
      <c r="H226" s="5">
        <v>5</v>
      </c>
      <c r="I226" s="5">
        <f>VLOOKUP(F226,'Set up'!$A$2:$C$70,3,FALSE)</f>
        <v>120</v>
      </c>
      <c r="J226" s="5">
        <f>VLOOKUP(F226,'Set up'!$A$2:$D$70,4,FALSE)</f>
        <v>120</v>
      </c>
      <c r="K226" s="4">
        <f t="shared" si="37"/>
        <v>44398</v>
      </c>
      <c r="L226" s="5">
        <f t="shared" si="38"/>
        <v>7</v>
      </c>
      <c r="M226" s="5">
        <f t="shared" si="39"/>
        <v>2021</v>
      </c>
      <c r="N226" s="44">
        <v>8140</v>
      </c>
      <c r="O226" s="6">
        <f t="shared" si="42"/>
        <v>-8140</v>
      </c>
      <c r="P226" s="12">
        <f t="shared" si="41"/>
        <v>0</v>
      </c>
      <c r="Q226" s="7">
        <f t="shared" si="40"/>
        <v>302301.14999999991</v>
      </c>
      <c r="R226" s="44" t="str">
        <f>VLOOKUP(F226,'Set up'!$A$2:$E$70,5,FALSE)</f>
        <v>Chq</v>
      </c>
      <c r="S226" s="1" t="s">
        <v>389</v>
      </c>
    </row>
    <row r="227" spans="1:19" ht="15" customHeight="1" x14ac:dyDescent="0.3">
      <c r="A227" s="4">
        <v>44278</v>
      </c>
      <c r="B227" s="5">
        <f t="shared" si="35"/>
        <v>3</v>
      </c>
      <c r="C227" s="5">
        <f t="shared" si="36"/>
        <v>2021</v>
      </c>
      <c r="D227" s="5" t="s">
        <v>318</v>
      </c>
      <c r="E227" s="5" t="str">
        <f>VLOOKUP(F227,'Set up'!$A$2:$C$70,2,FALSE)</f>
        <v>C00000004</v>
      </c>
      <c r="F227" s="1" t="s">
        <v>23</v>
      </c>
      <c r="G227" s="11" t="s">
        <v>96</v>
      </c>
      <c r="H227" s="5">
        <v>4</v>
      </c>
      <c r="I227" s="5">
        <f>VLOOKUP(F227,'Set up'!$A$2:$C$70,3,FALSE)</f>
        <v>120</v>
      </c>
      <c r="J227" s="5">
        <f>VLOOKUP(F227,'Set up'!$A$2:$D$70,4,FALSE)</f>
        <v>120</v>
      </c>
      <c r="K227" s="4">
        <f t="shared" si="37"/>
        <v>44398</v>
      </c>
      <c r="L227" s="5">
        <f t="shared" si="38"/>
        <v>7</v>
      </c>
      <c r="M227" s="5">
        <f t="shared" si="39"/>
        <v>2021</v>
      </c>
      <c r="N227" s="44">
        <v>1641.6</v>
      </c>
      <c r="O227" s="6">
        <f t="shared" si="42"/>
        <v>-1641.6</v>
      </c>
      <c r="P227" s="12">
        <f t="shared" si="41"/>
        <v>0</v>
      </c>
      <c r="Q227" s="7">
        <f t="shared" si="40"/>
        <v>303942.74999999988</v>
      </c>
      <c r="R227" s="44" t="str">
        <f>VLOOKUP(F227,'Set up'!$A$2:$E$70,5,FALSE)</f>
        <v>Chq</v>
      </c>
      <c r="S227" s="1" t="s">
        <v>389</v>
      </c>
    </row>
    <row r="228" spans="1:19" ht="15" customHeight="1" x14ac:dyDescent="0.3">
      <c r="A228" s="4">
        <v>44278</v>
      </c>
      <c r="B228" s="5">
        <f t="shared" si="35"/>
        <v>3</v>
      </c>
      <c r="C228" s="5">
        <f t="shared" si="36"/>
        <v>2021</v>
      </c>
      <c r="D228" s="5" t="s">
        <v>318</v>
      </c>
      <c r="E228" s="5" t="str">
        <f>VLOOKUP(F228,'Set up'!$A$2:$C$70,2,FALSE)</f>
        <v>C00000004</v>
      </c>
      <c r="F228" s="1" t="s">
        <v>23</v>
      </c>
      <c r="G228" s="11" t="s">
        <v>97</v>
      </c>
      <c r="H228" s="5">
        <v>4</v>
      </c>
      <c r="I228" s="5">
        <f>VLOOKUP(F228,'Set up'!$A$2:$C$70,3,FALSE)</f>
        <v>120</v>
      </c>
      <c r="J228" s="5">
        <f>VLOOKUP(F228,'Set up'!$A$2:$D$70,4,FALSE)</f>
        <v>120</v>
      </c>
      <c r="K228" s="4">
        <f t="shared" si="37"/>
        <v>44398</v>
      </c>
      <c r="L228" s="5">
        <f t="shared" si="38"/>
        <v>7</v>
      </c>
      <c r="M228" s="5">
        <f t="shared" si="39"/>
        <v>2021</v>
      </c>
      <c r="N228" s="44">
        <v>1641.6</v>
      </c>
      <c r="O228" s="6">
        <f t="shared" si="42"/>
        <v>-1641.6</v>
      </c>
      <c r="P228" s="12">
        <f t="shared" si="41"/>
        <v>0</v>
      </c>
      <c r="Q228" s="7">
        <f t="shared" si="40"/>
        <v>305584.34999999986</v>
      </c>
      <c r="R228" s="44" t="str">
        <f>VLOOKUP(F228,'Set up'!$A$2:$E$70,5,FALSE)</f>
        <v>Chq</v>
      </c>
      <c r="S228" s="1" t="s">
        <v>389</v>
      </c>
    </row>
    <row r="229" spans="1:19" ht="15" customHeight="1" x14ac:dyDescent="0.3">
      <c r="A229" s="4">
        <v>44278</v>
      </c>
      <c r="B229" s="5">
        <f t="shared" si="35"/>
        <v>3</v>
      </c>
      <c r="C229" s="5">
        <f t="shared" si="36"/>
        <v>2021</v>
      </c>
      <c r="D229" s="5" t="s">
        <v>318</v>
      </c>
      <c r="E229" s="5" t="str">
        <f>VLOOKUP(F229,'Set up'!$A$2:$C$70,2,FALSE)</f>
        <v>C00000004</v>
      </c>
      <c r="F229" s="1" t="s">
        <v>23</v>
      </c>
      <c r="G229" s="11" t="s">
        <v>46</v>
      </c>
      <c r="H229" s="5">
        <v>4</v>
      </c>
      <c r="I229" s="5">
        <f>VLOOKUP(F229,'Set up'!$A$2:$C$70,3,FALSE)</f>
        <v>120</v>
      </c>
      <c r="J229" s="5">
        <f>VLOOKUP(F229,'Set up'!$A$2:$D$70,4,FALSE)</f>
        <v>120</v>
      </c>
      <c r="K229" s="4">
        <f t="shared" si="37"/>
        <v>44398</v>
      </c>
      <c r="L229" s="5">
        <f t="shared" si="38"/>
        <v>7</v>
      </c>
      <c r="M229" s="5">
        <f t="shared" si="39"/>
        <v>2021</v>
      </c>
      <c r="N229" s="44">
        <v>380</v>
      </c>
      <c r="O229" s="6">
        <f t="shared" si="42"/>
        <v>-380</v>
      </c>
      <c r="P229" s="12">
        <f t="shared" si="41"/>
        <v>0</v>
      </c>
      <c r="Q229" s="7">
        <f t="shared" si="40"/>
        <v>305964.34999999986</v>
      </c>
      <c r="R229" s="44" t="str">
        <f>VLOOKUP(F229,'Set up'!$A$2:$E$70,5,FALSE)</f>
        <v>Chq</v>
      </c>
      <c r="S229" s="1" t="s">
        <v>389</v>
      </c>
    </row>
    <row r="230" spans="1:19" ht="15" customHeight="1" x14ac:dyDescent="0.3">
      <c r="A230" s="4">
        <v>44279</v>
      </c>
      <c r="B230" s="5">
        <f t="shared" si="35"/>
        <v>3</v>
      </c>
      <c r="C230" s="5">
        <f t="shared" si="36"/>
        <v>2021</v>
      </c>
      <c r="D230" s="5" t="s">
        <v>319</v>
      </c>
      <c r="E230" s="5" t="str">
        <f>VLOOKUP(F230,'Set up'!$A$2:$C$70,2,FALSE)</f>
        <v>C00000009</v>
      </c>
      <c r="F230" s="1" t="s">
        <v>58</v>
      </c>
      <c r="G230" s="11" t="s">
        <v>178</v>
      </c>
      <c r="H230" s="5">
        <v>2</v>
      </c>
      <c r="I230" s="5">
        <f>VLOOKUP(F230,'Set up'!$A$2:$C$70,3,FALSE)</f>
        <v>60</v>
      </c>
      <c r="J230" s="5">
        <f>VLOOKUP(F230,'Set up'!$A$2:$D$70,4,FALSE)</f>
        <v>60</v>
      </c>
      <c r="K230" s="4">
        <f t="shared" si="37"/>
        <v>44339</v>
      </c>
      <c r="L230" s="5">
        <f t="shared" si="38"/>
        <v>5</v>
      </c>
      <c r="M230" s="5">
        <f t="shared" si="39"/>
        <v>2021</v>
      </c>
      <c r="N230" s="44">
        <v>90</v>
      </c>
      <c r="O230" s="6">
        <f t="shared" si="42"/>
        <v>-90</v>
      </c>
      <c r="P230" s="6">
        <f t="shared" si="41"/>
        <v>0</v>
      </c>
      <c r="Q230" s="7">
        <f t="shared" si="40"/>
        <v>306054.34999999986</v>
      </c>
      <c r="R230" s="44" t="str">
        <f>VLOOKUP(F230,'Set up'!$A$2:$E$70,5,FALSE)</f>
        <v>Chq</v>
      </c>
      <c r="S230" s="1" t="s">
        <v>461</v>
      </c>
    </row>
    <row r="231" spans="1:19" ht="15" customHeight="1" x14ac:dyDescent="0.3">
      <c r="A231" s="4">
        <v>44279</v>
      </c>
      <c r="B231" s="5">
        <f t="shared" si="35"/>
        <v>3</v>
      </c>
      <c r="C231" s="5">
        <f t="shared" si="36"/>
        <v>2021</v>
      </c>
      <c r="D231" s="5" t="s">
        <v>320</v>
      </c>
      <c r="E231" s="5" t="str">
        <f>VLOOKUP(F231,'Set up'!$A$2:$C$70,2,FALSE)</f>
        <v>C00000010</v>
      </c>
      <c r="F231" s="1" t="s">
        <v>62</v>
      </c>
      <c r="G231" s="11" t="s">
        <v>297</v>
      </c>
      <c r="H231" s="5">
        <v>5</v>
      </c>
      <c r="I231" s="5">
        <f>VLOOKUP(F231,'Set up'!$A$2:$C$70,3,FALSE)</f>
        <v>120</v>
      </c>
      <c r="J231" s="5">
        <f>VLOOKUP(F231,'Set up'!$A$2:$D$70,4,FALSE)</f>
        <v>120</v>
      </c>
      <c r="K231" s="4">
        <f t="shared" si="37"/>
        <v>44399</v>
      </c>
      <c r="L231" s="5">
        <f t="shared" si="38"/>
        <v>7</v>
      </c>
      <c r="M231" s="5">
        <f t="shared" si="39"/>
        <v>2021</v>
      </c>
      <c r="N231" s="44">
        <v>8250</v>
      </c>
      <c r="O231" s="6">
        <f t="shared" si="42"/>
        <v>-8250</v>
      </c>
      <c r="P231" s="6">
        <f t="shared" si="41"/>
        <v>0</v>
      </c>
      <c r="Q231" s="7">
        <f t="shared" si="40"/>
        <v>314304.34999999986</v>
      </c>
      <c r="R231" s="44" t="str">
        <f>VLOOKUP(F231,'Set up'!$A$2:$E$70,5,FALSE)</f>
        <v>Trsf</v>
      </c>
      <c r="S231" s="1" t="s">
        <v>383</v>
      </c>
    </row>
    <row r="232" spans="1:19" ht="15" customHeight="1" x14ac:dyDescent="0.3">
      <c r="A232" s="4">
        <v>44279</v>
      </c>
      <c r="B232" s="5">
        <f t="shared" si="35"/>
        <v>3</v>
      </c>
      <c r="C232" s="5">
        <f t="shared" si="36"/>
        <v>2021</v>
      </c>
      <c r="D232" s="5" t="s">
        <v>320</v>
      </c>
      <c r="E232" s="5" t="str">
        <f>VLOOKUP(F232,'Set up'!$A$2:$C$70,2,FALSE)</f>
        <v>C00000010</v>
      </c>
      <c r="F232" s="1" t="s">
        <v>62</v>
      </c>
      <c r="G232" s="11" t="s">
        <v>219</v>
      </c>
      <c r="H232" s="5">
        <v>5</v>
      </c>
      <c r="I232" s="5">
        <f>VLOOKUP(F232,'Set up'!$A$2:$C$70,3,FALSE)</f>
        <v>120</v>
      </c>
      <c r="J232" s="5">
        <f>VLOOKUP(F232,'Set up'!$A$2:$D$70,4,FALSE)</f>
        <v>120</v>
      </c>
      <c r="K232" s="4">
        <f t="shared" si="37"/>
        <v>44399</v>
      </c>
      <c r="L232" s="5">
        <f t="shared" si="38"/>
        <v>7</v>
      </c>
      <c r="M232" s="5">
        <f t="shared" si="39"/>
        <v>2021</v>
      </c>
      <c r="N232" s="44">
        <v>1170</v>
      </c>
      <c r="O232" s="6">
        <f t="shared" si="42"/>
        <v>-1170</v>
      </c>
      <c r="P232" s="6">
        <f t="shared" si="41"/>
        <v>0</v>
      </c>
      <c r="Q232" s="7">
        <f t="shared" si="40"/>
        <v>315474.34999999986</v>
      </c>
      <c r="R232" s="44" t="str">
        <f>VLOOKUP(F232,'Set up'!$A$2:$E$70,5,FALSE)</f>
        <v>Trsf</v>
      </c>
      <c r="S232" s="1" t="s">
        <v>383</v>
      </c>
    </row>
    <row r="233" spans="1:19" ht="15" customHeight="1" x14ac:dyDescent="0.3">
      <c r="A233" s="4">
        <v>44279</v>
      </c>
      <c r="B233" s="5">
        <f t="shared" si="35"/>
        <v>3</v>
      </c>
      <c r="C233" s="5">
        <f t="shared" si="36"/>
        <v>2021</v>
      </c>
      <c r="D233" s="5" t="s">
        <v>320</v>
      </c>
      <c r="E233" s="5" t="str">
        <f>VLOOKUP(F233,'Set up'!$A$2:$C$70,2,FALSE)</f>
        <v>C00000010</v>
      </c>
      <c r="F233" s="1" t="s">
        <v>62</v>
      </c>
      <c r="G233" s="11" t="s">
        <v>64</v>
      </c>
      <c r="H233" s="5">
        <v>5</v>
      </c>
      <c r="I233" s="5">
        <f>VLOOKUP(F233,'Set up'!$A$2:$C$70,3,FALSE)</f>
        <v>120</v>
      </c>
      <c r="J233" s="5">
        <f>VLOOKUP(F233,'Set up'!$A$2:$D$70,4,FALSE)</f>
        <v>120</v>
      </c>
      <c r="K233" s="4">
        <f t="shared" si="37"/>
        <v>44399</v>
      </c>
      <c r="L233" s="5">
        <f t="shared" si="38"/>
        <v>7</v>
      </c>
      <c r="M233" s="5">
        <f t="shared" si="39"/>
        <v>2021</v>
      </c>
      <c r="N233" s="44">
        <v>275</v>
      </c>
      <c r="O233" s="6">
        <f t="shared" si="42"/>
        <v>-275</v>
      </c>
      <c r="P233" s="6">
        <f t="shared" si="41"/>
        <v>0</v>
      </c>
      <c r="Q233" s="7">
        <f t="shared" si="40"/>
        <v>315749.34999999986</v>
      </c>
      <c r="R233" s="44" t="str">
        <f>VLOOKUP(F233,'Set up'!$A$2:$E$70,5,FALSE)</f>
        <v>Trsf</v>
      </c>
      <c r="S233" s="1" t="s">
        <v>383</v>
      </c>
    </row>
    <row r="234" spans="1:19" ht="15" customHeight="1" x14ac:dyDescent="0.3">
      <c r="A234" s="4">
        <v>44279</v>
      </c>
      <c r="B234" s="5">
        <f t="shared" si="35"/>
        <v>3</v>
      </c>
      <c r="C234" s="5">
        <f t="shared" si="36"/>
        <v>2021</v>
      </c>
      <c r="D234" s="5" t="s">
        <v>320</v>
      </c>
      <c r="E234" s="5" t="str">
        <f>VLOOKUP(F234,'Set up'!$A$2:$C$70,2,FALSE)</f>
        <v>C00000010</v>
      </c>
      <c r="F234" s="1" t="s">
        <v>62</v>
      </c>
      <c r="G234" s="11" t="s">
        <v>46</v>
      </c>
      <c r="H234" s="5">
        <v>4</v>
      </c>
      <c r="I234" s="5">
        <f>VLOOKUP(F234,'Set up'!$A$2:$C$70,3,FALSE)</f>
        <v>120</v>
      </c>
      <c r="J234" s="5">
        <f>VLOOKUP(F234,'Set up'!$A$2:$D$70,4,FALSE)</f>
        <v>120</v>
      </c>
      <c r="K234" s="4">
        <f t="shared" si="37"/>
        <v>44399</v>
      </c>
      <c r="L234" s="5">
        <f t="shared" si="38"/>
        <v>7</v>
      </c>
      <c r="M234" s="5">
        <f t="shared" si="39"/>
        <v>2021</v>
      </c>
      <c r="N234" s="44">
        <v>380</v>
      </c>
      <c r="O234" s="6">
        <f t="shared" si="42"/>
        <v>-380</v>
      </c>
      <c r="P234" s="6">
        <f t="shared" si="41"/>
        <v>0</v>
      </c>
      <c r="Q234" s="7">
        <f t="shared" si="40"/>
        <v>316129.34999999986</v>
      </c>
      <c r="R234" s="44" t="str">
        <f>VLOOKUP(F234,'Set up'!$A$2:$E$70,5,FALSE)</f>
        <v>Trsf</v>
      </c>
      <c r="S234" s="1" t="s">
        <v>383</v>
      </c>
    </row>
    <row r="235" spans="1:19" ht="15" customHeight="1" x14ac:dyDescent="0.3">
      <c r="A235" s="4">
        <v>44280</v>
      </c>
      <c r="B235" s="5">
        <f t="shared" si="35"/>
        <v>3</v>
      </c>
      <c r="C235" s="5">
        <f t="shared" si="36"/>
        <v>2021</v>
      </c>
      <c r="D235" s="5" t="s">
        <v>321</v>
      </c>
      <c r="E235" s="5" t="str">
        <f>VLOOKUP(F235,'Set up'!$A$2:$C$70,2,FALSE)</f>
        <v>C00000014</v>
      </c>
      <c r="F235" s="1" t="s">
        <v>262</v>
      </c>
      <c r="G235" s="11" t="s">
        <v>24</v>
      </c>
      <c r="H235" s="5">
        <v>1</v>
      </c>
      <c r="I235" s="5" t="str">
        <f>VLOOKUP(F235,'Set up'!$A$2:$C$70,3,FALSE)</f>
        <v>Cash</v>
      </c>
      <c r="J235" s="5">
        <f>VLOOKUP(F235,'Set up'!$A$2:$D$70,4,FALSE)</f>
        <v>0</v>
      </c>
      <c r="K235" s="4">
        <f t="shared" si="37"/>
        <v>44280</v>
      </c>
      <c r="L235" s="5">
        <f t="shared" si="38"/>
        <v>3</v>
      </c>
      <c r="M235" s="5">
        <f t="shared" si="39"/>
        <v>2021</v>
      </c>
      <c r="N235" s="44">
        <v>240</v>
      </c>
      <c r="O235" s="6">
        <f t="shared" si="42"/>
        <v>-240</v>
      </c>
      <c r="P235" s="6">
        <f t="shared" si="41"/>
        <v>0</v>
      </c>
      <c r="Q235" s="7">
        <f t="shared" si="40"/>
        <v>316369.34999999986</v>
      </c>
      <c r="R235" s="44" t="str">
        <f>VLOOKUP(F235,'Set up'!$A$2:$E$70,5,FALSE)</f>
        <v>Cash</v>
      </c>
      <c r="S235" s="1" t="s">
        <v>313</v>
      </c>
    </row>
    <row r="236" spans="1:19" ht="15" customHeight="1" x14ac:dyDescent="0.3">
      <c r="A236" s="4">
        <v>44285</v>
      </c>
      <c r="B236" s="5">
        <f t="shared" si="35"/>
        <v>3</v>
      </c>
      <c r="C236" s="5">
        <f t="shared" si="36"/>
        <v>2021</v>
      </c>
      <c r="D236" s="5" t="s">
        <v>322</v>
      </c>
      <c r="E236" s="5" t="str">
        <f>VLOOKUP(F236,'Set up'!$A$2:$C$70,2,FALSE)</f>
        <v>C00000004</v>
      </c>
      <c r="F236" s="1" t="s">
        <v>23</v>
      </c>
      <c r="G236" s="11" t="s">
        <v>301</v>
      </c>
      <c r="H236" s="5">
        <v>2</v>
      </c>
      <c r="I236" s="5">
        <f>VLOOKUP(F236,'Set up'!$A$2:$C$70,3,FALSE)</f>
        <v>120</v>
      </c>
      <c r="J236" s="5">
        <f>VLOOKUP(F236,'Set up'!$A$2:$D$70,4,FALSE)</f>
        <v>120</v>
      </c>
      <c r="K236" s="4">
        <f t="shared" si="37"/>
        <v>44405</v>
      </c>
      <c r="L236" s="5">
        <f t="shared" si="38"/>
        <v>7</v>
      </c>
      <c r="M236" s="5">
        <f t="shared" si="39"/>
        <v>2021</v>
      </c>
      <c r="N236" s="44">
        <v>3510</v>
      </c>
      <c r="O236" s="6">
        <f t="shared" si="42"/>
        <v>-3510</v>
      </c>
      <c r="P236" s="12">
        <f t="shared" si="41"/>
        <v>0</v>
      </c>
      <c r="Q236" s="7">
        <f t="shared" si="40"/>
        <v>319879.34999999986</v>
      </c>
      <c r="R236" s="44" t="str">
        <f>VLOOKUP(F236,'Set up'!$A$2:$E$70,5,FALSE)</f>
        <v>Chq</v>
      </c>
      <c r="S236" s="1" t="s">
        <v>389</v>
      </c>
    </row>
    <row r="237" spans="1:19" x14ac:dyDescent="0.3">
      <c r="A237" s="4">
        <v>44287</v>
      </c>
      <c r="B237" s="5">
        <f t="shared" si="35"/>
        <v>4</v>
      </c>
      <c r="C237" s="5">
        <f t="shared" si="36"/>
        <v>2021</v>
      </c>
      <c r="D237" s="5" t="s">
        <v>323</v>
      </c>
      <c r="E237" s="5" t="str">
        <f>VLOOKUP(F237,'Set up'!$A$2:$C$70,2,FALSE)</f>
        <v>C00000003</v>
      </c>
      <c r="F237" s="1" t="s">
        <v>20</v>
      </c>
      <c r="G237" s="2" t="s">
        <v>67</v>
      </c>
      <c r="H237" s="5">
        <v>3</v>
      </c>
      <c r="I237" s="5">
        <f>VLOOKUP(F237,'Set up'!$A$2:$C$70,3,FALSE)</f>
        <v>45</v>
      </c>
      <c r="J237" s="5">
        <f>VLOOKUP(F237,'Set up'!$A$2:$D$70,4,FALSE)</f>
        <v>45</v>
      </c>
      <c r="K237" s="4">
        <f t="shared" si="37"/>
        <v>44332</v>
      </c>
      <c r="L237" s="5">
        <f t="shared" si="38"/>
        <v>5</v>
      </c>
      <c r="M237" s="5">
        <f t="shared" si="39"/>
        <v>2021</v>
      </c>
      <c r="N237" s="44">
        <v>5412</v>
      </c>
      <c r="O237" s="6">
        <f t="shared" si="42"/>
        <v>-5412</v>
      </c>
      <c r="P237" s="6">
        <f t="shared" si="41"/>
        <v>0</v>
      </c>
      <c r="Q237" s="7">
        <f t="shared" si="40"/>
        <v>325291.34999999986</v>
      </c>
      <c r="R237" s="44" t="str">
        <f>VLOOKUP(F237,'Set up'!$A$2:$E$70,5,FALSE)</f>
        <v>PD Chq</v>
      </c>
      <c r="S237" s="70" t="s">
        <v>391</v>
      </c>
    </row>
    <row r="238" spans="1:19" ht="15" customHeight="1" x14ac:dyDescent="0.3">
      <c r="A238" s="4">
        <v>44287</v>
      </c>
      <c r="B238" s="5">
        <f t="shared" si="35"/>
        <v>4</v>
      </c>
      <c r="C238" s="5">
        <f t="shared" si="36"/>
        <v>2021</v>
      </c>
      <c r="D238" s="5" t="s">
        <v>323</v>
      </c>
      <c r="E238" s="5" t="str">
        <f>VLOOKUP(F238,'Set up'!$A$2:$C$70,2,FALSE)</f>
        <v>C00000003</v>
      </c>
      <c r="F238" s="1" t="s">
        <v>20</v>
      </c>
      <c r="G238" s="55" t="s">
        <v>97</v>
      </c>
      <c r="H238" s="5">
        <v>1</v>
      </c>
      <c r="I238" s="5">
        <f>VLOOKUP(F238,'Set up'!$A$2:$C$70,3,FALSE)</f>
        <v>45</v>
      </c>
      <c r="J238" s="5">
        <f>VLOOKUP(F238,'Set up'!$A$2:$D$70,4,FALSE)</f>
        <v>45</v>
      </c>
      <c r="K238" s="4">
        <f t="shared" si="37"/>
        <v>44332</v>
      </c>
      <c r="L238" s="5">
        <f t="shared" si="38"/>
        <v>5</v>
      </c>
      <c r="M238" s="5">
        <f t="shared" si="39"/>
        <v>2021</v>
      </c>
      <c r="N238" s="44">
        <v>459</v>
      </c>
      <c r="O238" s="6">
        <f t="shared" si="42"/>
        <v>-459</v>
      </c>
      <c r="P238" s="6">
        <f t="shared" si="41"/>
        <v>0</v>
      </c>
      <c r="Q238" s="7">
        <f t="shared" si="40"/>
        <v>325750.34999999986</v>
      </c>
      <c r="R238" s="44" t="str">
        <f>VLOOKUP(F238,'Set up'!$A$2:$E$70,5,FALSE)</f>
        <v>PD Chq</v>
      </c>
      <c r="S238" s="69" t="s">
        <v>390</v>
      </c>
    </row>
    <row r="239" spans="1:19" ht="15" customHeight="1" x14ac:dyDescent="0.3">
      <c r="A239" s="4">
        <v>44287</v>
      </c>
      <c r="B239" s="5">
        <f t="shared" si="35"/>
        <v>4</v>
      </c>
      <c r="C239" s="5">
        <f t="shared" si="36"/>
        <v>2021</v>
      </c>
      <c r="D239" s="5" t="s">
        <v>323</v>
      </c>
      <c r="E239" s="5" t="str">
        <f>VLOOKUP(F239,'Set up'!$A$2:$C$70,2,FALSE)</f>
        <v>C00000003</v>
      </c>
      <c r="F239" s="1" t="s">
        <v>20</v>
      </c>
      <c r="G239" s="76" t="s">
        <v>54</v>
      </c>
      <c r="H239" s="5">
        <v>5</v>
      </c>
      <c r="I239" s="5">
        <f>VLOOKUP(F239,'Set up'!$A$2:$C$70,3,FALSE)</f>
        <v>45</v>
      </c>
      <c r="J239" s="5">
        <f>VLOOKUP(F239,'Set up'!$A$2:$D$70,4,FALSE)</f>
        <v>45</v>
      </c>
      <c r="K239" s="4">
        <f t="shared" si="37"/>
        <v>44332</v>
      </c>
      <c r="L239" s="5">
        <f t="shared" si="38"/>
        <v>5</v>
      </c>
      <c r="M239" s="5">
        <f t="shared" si="39"/>
        <v>2021</v>
      </c>
      <c r="N239" s="44">
        <v>250</v>
      </c>
      <c r="O239" s="6">
        <f t="shared" si="42"/>
        <v>-250</v>
      </c>
      <c r="P239" s="6">
        <f t="shared" si="41"/>
        <v>0</v>
      </c>
      <c r="Q239" s="7">
        <f t="shared" si="40"/>
        <v>326000.34999999986</v>
      </c>
      <c r="R239" s="44" t="str">
        <f>VLOOKUP(F239,'Set up'!$A$2:$E$70,5,FALSE)</f>
        <v>PD Chq</v>
      </c>
      <c r="S239" s="69" t="s">
        <v>390</v>
      </c>
    </row>
    <row r="240" spans="1:19" ht="15" customHeight="1" x14ac:dyDescent="0.3">
      <c r="A240" s="4">
        <v>44287</v>
      </c>
      <c r="B240" s="5">
        <f t="shared" si="35"/>
        <v>4</v>
      </c>
      <c r="C240" s="5">
        <f t="shared" si="36"/>
        <v>2021</v>
      </c>
      <c r="D240" s="5" t="s">
        <v>323</v>
      </c>
      <c r="E240" s="5" t="str">
        <f>VLOOKUP(F240,'Set up'!$A$2:$C$70,2,FALSE)</f>
        <v>C00000003</v>
      </c>
      <c r="F240" s="1" t="s">
        <v>20</v>
      </c>
      <c r="G240" s="55" t="s">
        <v>46</v>
      </c>
      <c r="H240" s="5">
        <v>5</v>
      </c>
      <c r="I240" s="5">
        <f>VLOOKUP(F240,'Set up'!$A$2:$C$70,3,FALSE)</f>
        <v>45</v>
      </c>
      <c r="J240" s="5">
        <f>VLOOKUP(F240,'Set up'!$A$2:$D$70,4,FALSE)</f>
        <v>45</v>
      </c>
      <c r="K240" s="4">
        <f t="shared" si="37"/>
        <v>44332</v>
      </c>
      <c r="L240" s="5">
        <f t="shared" si="38"/>
        <v>5</v>
      </c>
      <c r="M240" s="5">
        <f t="shared" si="39"/>
        <v>2021</v>
      </c>
      <c r="N240" s="44">
        <v>500</v>
      </c>
      <c r="O240" s="6">
        <f t="shared" si="42"/>
        <v>-500</v>
      </c>
      <c r="P240" s="6">
        <f t="shared" si="41"/>
        <v>0</v>
      </c>
      <c r="Q240" s="7">
        <f t="shared" si="40"/>
        <v>326500.34999999986</v>
      </c>
      <c r="R240" s="44" t="str">
        <f>VLOOKUP(F240,'Set up'!$A$2:$E$70,5,FALSE)</f>
        <v>PD Chq</v>
      </c>
      <c r="S240" s="69" t="s">
        <v>390</v>
      </c>
    </row>
    <row r="241" spans="1:19" ht="15" customHeight="1" x14ac:dyDescent="0.3">
      <c r="A241" s="4">
        <v>44287</v>
      </c>
      <c r="B241" s="5">
        <f t="shared" si="35"/>
        <v>4</v>
      </c>
      <c r="C241" s="5">
        <f t="shared" si="36"/>
        <v>2021</v>
      </c>
      <c r="D241" s="5" t="s">
        <v>324</v>
      </c>
      <c r="E241" s="5" t="str">
        <f>VLOOKUP(F241,'Set up'!$A$2:$C$70,2,FALSE)</f>
        <v>C00000003</v>
      </c>
      <c r="F241" s="1" t="s">
        <v>20</v>
      </c>
      <c r="G241" s="11" t="s">
        <v>178</v>
      </c>
      <c r="H241" s="5">
        <v>2</v>
      </c>
      <c r="I241" s="5">
        <f>VLOOKUP(F241,'Set up'!$A$2:$C$70,3,FALSE)</f>
        <v>45</v>
      </c>
      <c r="J241" s="5">
        <f>VLOOKUP(F241,'Set up'!$A$2:$D$70,4,FALSE)</f>
        <v>45</v>
      </c>
      <c r="K241" s="4">
        <f t="shared" si="37"/>
        <v>44332</v>
      </c>
      <c r="L241" s="5">
        <f t="shared" si="38"/>
        <v>5</v>
      </c>
      <c r="M241" s="5">
        <f t="shared" si="39"/>
        <v>2021</v>
      </c>
      <c r="N241" s="44">
        <v>90</v>
      </c>
      <c r="O241" s="6">
        <f t="shared" si="42"/>
        <v>-90</v>
      </c>
      <c r="P241" s="6">
        <f t="shared" si="41"/>
        <v>0</v>
      </c>
      <c r="Q241" s="7">
        <f t="shared" si="40"/>
        <v>326590.34999999986</v>
      </c>
      <c r="R241" s="44" t="str">
        <f>VLOOKUP(F241,'Set up'!$A$2:$E$70,5,FALSE)</f>
        <v>PD Chq</v>
      </c>
      <c r="S241" s="1" t="s">
        <v>313</v>
      </c>
    </row>
    <row r="242" spans="1:19" ht="15" customHeight="1" x14ac:dyDescent="0.3">
      <c r="A242" s="4">
        <v>44294</v>
      </c>
      <c r="B242" s="5">
        <f t="shared" si="35"/>
        <v>4</v>
      </c>
      <c r="C242" s="5">
        <f t="shared" si="36"/>
        <v>2021</v>
      </c>
      <c r="D242" s="5" t="s">
        <v>325</v>
      </c>
      <c r="E242" s="5" t="str">
        <f>VLOOKUP(F242,'Set up'!$A$2:$C$70,2,FALSE)</f>
        <v>C00000015</v>
      </c>
      <c r="F242" s="1" t="s">
        <v>280</v>
      </c>
      <c r="G242" s="11" t="s">
        <v>95</v>
      </c>
      <c r="H242" s="5">
        <v>1</v>
      </c>
      <c r="I242" s="5" t="str">
        <f>VLOOKUP(F242,'Set up'!$A$2:$C$70,3,FALSE)</f>
        <v>Cash</v>
      </c>
      <c r="J242" s="5">
        <f>VLOOKUP(F242,'Set up'!$A$2:$D$70,4,FALSE)</f>
        <v>0</v>
      </c>
      <c r="K242" s="4">
        <f t="shared" si="37"/>
        <v>44294</v>
      </c>
      <c r="L242" s="5">
        <f t="shared" si="38"/>
        <v>4</v>
      </c>
      <c r="M242" s="5">
        <f t="shared" si="39"/>
        <v>2021</v>
      </c>
      <c r="N242" s="44">
        <v>1870</v>
      </c>
      <c r="O242" s="6">
        <f t="shared" si="42"/>
        <v>-1870</v>
      </c>
      <c r="P242" s="6">
        <f t="shared" si="41"/>
        <v>0</v>
      </c>
      <c r="Q242" s="7">
        <f t="shared" si="40"/>
        <v>328460.34999999986</v>
      </c>
      <c r="R242" s="44" t="str">
        <f>VLOOKUP(F242,'Set up'!$A$2:$E$70,5,FALSE)</f>
        <v>Trsf</v>
      </c>
      <c r="S242" s="1" t="s">
        <v>310</v>
      </c>
    </row>
    <row r="243" spans="1:19" ht="15" customHeight="1" x14ac:dyDescent="0.3">
      <c r="A243" s="4">
        <v>44294</v>
      </c>
      <c r="B243" s="5">
        <f t="shared" si="35"/>
        <v>4</v>
      </c>
      <c r="C243" s="5">
        <f t="shared" si="36"/>
        <v>2021</v>
      </c>
      <c r="D243" s="5" t="s">
        <v>325</v>
      </c>
      <c r="E243" s="5" t="str">
        <f>VLOOKUP(F243,'Set up'!$A$2:$C$70,2,FALSE)</f>
        <v>C00000015</v>
      </c>
      <c r="F243" s="1" t="s">
        <v>280</v>
      </c>
      <c r="G243" s="11" t="s">
        <v>180</v>
      </c>
      <c r="H243" s="5">
        <v>1</v>
      </c>
      <c r="I243" s="5" t="str">
        <f>VLOOKUP(F243,'Set up'!$A$2:$C$70,3,FALSE)</f>
        <v>Cash</v>
      </c>
      <c r="J243" s="5">
        <f>VLOOKUP(F243,'Set up'!$A$2:$D$70,4,FALSE)</f>
        <v>0</v>
      </c>
      <c r="K243" s="4">
        <f t="shared" si="37"/>
        <v>44294</v>
      </c>
      <c r="L243" s="5">
        <f t="shared" si="38"/>
        <v>4</v>
      </c>
      <c r="M243" s="5">
        <f t="shared" si="39"/>
        <v>2021</v>
      </c>
      <c r="N243" s="44">
        <v>255</v>
      </c>
      <c r="O243" s="6">
        <f t="shared" si="42"/>
        <v>-255</v>
      </c>
      <c r="P243" s="6">
        <f t="shared" si="41"/>
        <v>0</v>
      </c>
      <c r="Q243" s="7">
        <f t="shared" si="40"/>
        <v>328715.34999999986</v>
      </c>
      <c r="R243" s="44" t="str">
        <f>VLOOKUP(F243,'Set up'!$A$2:$E$70,5,FALSE)</f>
        <v>Trsf</v>
      </c>
      <c r="S243" s="1" t="s">
        <v>310</v>
      </c>
    </row>
    <row r="244" spans="1:19" ht="15" customHeight="1" x14ac:dyDescent="0.3">
      <c r="A244" s="4">
        <v>44294</v>
      </c>
      <c r="B244" s="5">
        <f t="shared" si="35"/>
        <v>4</v>
      </c>
      <c r="C244" s="5">
        <f t="shared" si="36"/>
        <v>2021</v>
      </c>
      <c r="D244" s="5" t="s">
        <v>325</v>
      </c>
      <c r="E244" s="5" t="str">
        <f>VLOOKUP(F244,'Set up'!$A$2:$C$70,2,FALSE)</f>
        <v>C00000015</v>
      </c>
      <c r="F244" s="1" t="s">
        <v>280</v>
      </c>
      <c r="G244" s="11" t="s">
        <v>46</v>
      </c>
      <c r="H244" s="5">
        <v>1</v>
      </c>
      <c r="I244" s="5" t="str">
        <f>VLOOKUP(F244,'Set up'!$A$2:$C$70,3,FALSE)</f>
        <v>Cash</v>
      </c>
      <c r="J244" s="5">
        <f>VLOOKUP(F244,'Set up'!$A$2:$D$70,4,FALSE)</f>
        <v>0</v>
      </c>
      <c r="K244" s="4">
        <f t="shared" si="37"/>
        <v>44294</v>
      </c>
      <c r="L244" s="5">
        <f t="shared" si="38"/>
        <v>4</v>
      </c>
      <c r="M244" s="5">
        <f t="shared" si="39"/>
        <v>2021</v>
      </c>
      <c r="N244" s="44">
        <v>100</v>
      </c>
      <c r="O244" s="6">
        <f t="shared" si="42"/>
        <v>-100</v>
      </c>
      <c r="P244" s="6">
        <f t="shared" si="41"/>
        <v>0</v>
      </c>
      <c r="Q244" s="7">
        <f t="shared" si="40"/>
        <v>328815.34999999986</v>
      </c>
      <c r="R244" s="44" t="str">
        <f>VLOOKUP(F244,'Set up'!$A$2:$E$70,5,FALSE)</f>
        <v>Trsf</v>
      </c>
      <c r="S244" s="1" t="s">
        <v>310</v>
      </c>
    </row>
    <row r="245" spans="1:19" ht="15" customHeight="1" x14ac:dyDescent="0.3">
      <c r="A245" s="4">
        <v>44294</v>
      </c>
      <c r="B245" s="5">
        <f t="shared" si="35"/>
        <v>4</v>
      </c>
      <c r="C245" s="5">
        <f t="shared" si="36"/>
        <v>2021</v>
      </c>
      <c r="D245" s="5" t="s">
        <v>326</v>
      </c>
      <c r="E245" s="5" t="str">
        <f>VLOOKUP(F245,'Set up'!$A$2:$C$70,2,FALSE)</f>
        <v>C00000010</v>
      </c>
      <c r="F245" s="1" t="s">
        <v>62</v>
      </c>
      <c r="G245" s="56" t="s">
        <v>303</v>
      </c>
      <c r="H245" s="5">
        <v>5</v>
      </c>
      <c r="I245" s="5">
        <f>VLOOKUP(F245,'Set up'!$A$2:$C$70,3,FALSE)</f>
        <v>120</v>
      </c>
      <c r="J245" s="5">
        <f>VLOOKUP(F245,'Set up'!$A$2:$D$70,4,FALSE)</f>
        <v>120</v>
      </c>
      <c r="K245" s="4">
        <f t="shared" si="37"/>
        <v>44414</v>
      </c>
      <c r="L245" s="5">
        <f t="shared" si="38"/>
        <v>8</v>
      </c>
      <c r="M245" s="5">
        <f t="shared" si="39"/>
        <v>2021</v>
      </c>
      <c r="N245" s="44">
        <v>8690</v>
      </c>
      <c r="O245" s="6">
        <f t="shared" si="42"/>
        <v>-8690</v>
      </c>
      <c r="P245" s="6">
        <f t="shared" si="41"/>
        <v>0</v>
      </c>
      <c r="Q245" s="7">
        <f t="shared" si="40"/>
        <v>337505.34999999986</v>
      </c>
      <c r="R245" s="44" t="str">
        <f>VLOOKUP(F245,'Set up'!$A$2:$E$70,5,FALSE)</f>
        <v>Trsf</v>
      </c>
      <c r="S245" s="1" t="s">
        <v>384</v>
      </c>
    </row>
    <row r="246" spans="1:19" ht="15" customHeight="1" x14ac:dyDescent="0.3">
      <c r="A246" s="4">
        <v>44294</v>
      </c>
      <c r="B246" s="5">
        <f t="shared" si="35"/>
        <v>4</v>
      </c>
      <c r="C246" s="5">
        <f t="shared" si="36"/>
        <v>2021</v>
      </c>
      <c r="D246" s="5" t="s">
        <v>326</v>
      </c>
      <c r="E246" s="5" t="str">
        <f>VLOOKUP(F246,'Set up'!$A$2:$C$70,2,FALSE)</f>
        <v>C00000010</v>
      </c>
      <c r="F246" s="1" t="s">
        <v>62</v>
      </c>
      <c r="G246" s="56" t="s">
        <v>63</v>
      </c>
      <c r="H246" s="5">
        <v>6</v>
      </c>
      <c r="I246" s="5">
        <f>VLOOKUP(F246,'Set up'!$A$2:$C$70,3,FALSE)</f>
        <v>120</v>
      </c>
      <c r="J246" s="5">
        <f>VLOOKUP(F246,'Set up'!$A$2:$D$70,4,FALSE)</f>
        <v>120</v>
      </c>
      <c r="K246" s="4">
        <f t="shared" si="37"/>
        <v>44414</v>
      </c>
      <c r="L246" s="5">
        <f t="shared" si="38"/>
        <v>8</v>
      </c>
      <c r="M246" s="5">
        <f t="shared" si="39"/>
        <v>2021</v>
      </c>
      <c r="N246" s="44">
        <v>1731.6000000000001</v>
      </c>
      <c r="O246" s="6">
        <f t="shared" si="42"/>
        <v>-1731.6000000000001</v>
      </c>
      <c r="P246" s="6">
        <f t="shared" si="41"/>
        <v>0</v>
      </c>
      <c r="Q246" s="7">
        <f t="shared" si="40"/>
        <v>339236.94999999984</v>
      </c>
      <c r="R246" s="44" t="str">
        <f>VLOOKUP(F246,'Set up'!$A$2:$E$70,5,FALSE)</f>
        <v>Trsf</v>
      </c>
      <c r="S246" s="1" t="s">
        <v>384</v>
      </c>
    </row>
    <row r="247" spans="1:19" ht="15" customHeight="1" x14ac:dyDescent="0.3">
      <c r="A247" s="4">
        <v>44294</v>
      </c>
      <c r="B247" s="5">
        <f t="shared" si="35"/>
        <v>4</v>
      </c>
      <c r="C247" s="5">
        <f t="shared" si="36"/>
        <v>2021</v>
      </c>
      <c r="D247" s="5" t="s">
        <v>326</v>
      </c>
      <c r="E247" s="5" t="str">
        <f>VLOOKUP(F247,'Set up'!$A$2:$C$70,2,FALSE)</f>
        <v>C00000010</v>
      </c>
      <c r="F247" s="1" t="s">
        <v>62</v>
      </c>
      <c r="G247" s="56" t="s">
        <v>64</v>
      </c>
      <c r="H247" s="5">
        <v>10</v>
      </c>
      <c r="I247" s="5">
        <f>VLOOKUP(F247,'Set up'!$A$2:$C$70,3,FALSE)</f>
        <v>120</v>
      </c>
      <c r="J247" s="5">
        <f>VLOOKUP(F247,'Set up'!$A$2:$D$70,4,FALSE)</f>
        <v>120</v>
      </c>
      <c r="K247" s="4">
        <f t="shared" si="37"/>
        <v>44414</v>
      </c>
      <c r="L247" s="5">
        <f t="shared" si="38"/>
        <v>8</v>
      </c>
      <c r="M247" s="5">
        <f t="shared" si="39"/>
        <v>2021</v>
      </c>
      <c r="N247" s="44">
        <v>550</v>
      </c>
      <c r="O247" s="6">
        <f t="shared" si="42"/>
        <v>-550</v>
      </c>
      <c r="P247" s="6">
        <f t="shared" si="41"/>
        <v>0</v>
      </c>
      <c r="Q247" s="7">
        <f t="shared" si="40"/>
        <v>339786.94999999984</v>
      </c>
      <c r="R247" s="44" t="str">
        <f>VLOOKUP(F247,'Set up'!$A$2:$E$70,5,FALSE)</f>
        <v>Trsf</v>
      </c>
      <c r="S247" s="1" t="s">
        <v>384</v>
      </c>
    </row>
    <row r="248" spans="1:19" ht="15" customHeight="1" x14ac:dyDescent="0.3">
      <c r="A248" s="4">
        <v>44294</v>
      </c>
      <c r="B248" s="5">
        <f t="shared" si="35"/>
        <v>4</v>
      </c>
      <c r="C248" s="5">
        <f t="shared" si="36"/>
        <v>2021</v>
      </c>
      <c r="D248" s="5" t="s">
        <v>326</v>
      </c>
      <c r="E248" s="5" t="str">
        <f>VLOOKUP(F248,'Set up'!$A$2:$C$70,2,FALSE)</f>
        <v>C00000010</v>
      </c>
      <c r="F248" s="1" t="s">
        <v>62</v>
      </c>
      <c r="G248" s="77" t="s">
        <v>46</v>
      </c>
      <c r="H248" s="5">
        <v>2</v>
      </c>
      <c r="I248" s="5">
        <f>VLOOKUP(F248,'Set up'!$A$2:$C$70,3,FALSE)</f>
        <v>120</v>
      </c>
      <c r="J248" s="5">
        <f>VLOOKUP(F248,'Set up'!$A$2:$D$70,4,FALSE)</f>
        <v>120</v>
      </c>
      <c r="K248" s="4">
        <f t="shared" si="37"/>
        <v>44414</v>
      </c>
      <c r="L248" s="5">
        <f t="shared" si="38"/>
        <v>8</v>
      </c>
      <c r="M248" s="5">
        <f t="shared" si="39"/>
        <v>2021</v>
      </c>
      <c r="N248" s="44">
        <v>190</v>
      </c>
      <c r="O248" s="6">
        <f t="shared" si="42"/>
        <v>-190</v>
      </c>
      <c r="P248" s="6">
        <f t="shared" si="41"/>
        <v>0</v>
      </c>
      <c r="Q248" s="7">
        <f t="shared" si="40"/>
        <v>339976.94999999984</v>
      </c>
      <c r="R248" s="44" t="str">
        <f>VLOOKUP(F248,'Set up'!$A$2:$E$70,5,FALSE)</f>
        <v>Trsf</v>
      </c>
      <c r="S248" s="1" t="s">
        <v>384</v>
      </c>
    </row>
    <row r="249" spans="1:19" ht="15" customHeight="1" x14ac:dyDescent="0.3">
      <c r="A249" s="4">
        <v>44294</v>
      </c>
      <c r="B249" s="5">
        <f t="shared" si="35"/>
        <v>4</v>
      </c>
      <c r="C249" s="5">
        <f t="shared" si="36"/>
        <v>2021</v>
      </c>
      <c r="D249" s="5" t="s">
        <v>326</v>
      </c>
      <c r="E249" s="5" t="str">
        <f>VLOOKUP(F249,'Set up'!$A$2:$C$70,2,FALSE)</f>
        <v>C00000010</v>
      </c>
      <c r="F249" s="1" t="s">
        <v>62</v>
      </c>
      <c r="G249" s="11" t="s">
        <v>238</v>
      </c>
      <c r="H249" s="5">
        <v>2</v>
      </c>
      <c r="I249" s="5">
        <f>VLOOKUP(F249,'Set up'!$A$2:$C$70,3,FALSE)</f>
        <v>120</v>
      </c>
      <c r="J249" s="5">
        <f>VLOOKUP(F249,'Set up'!$A$2:$D$70,4,FALSE)</f>
        <v>120</v>
      </c>
      <c r="K249" s="4">
        <f t="shared" si="37"/>
        <v>44414</v>
      </c>
      <c r="L249" s="5">
        <f t="shared" si="38"/>
        <v>8</v>
      </c>
      <c r="M249" s="5">
        <f t="shared" si="39"/>
        <v>2021</v>
      </c>
      <c r="N249" s="44">
        <v>720</v>
      </c>
      <c r="O249" s="6">
        <f t="shared" si="42"/>
        <v>-720</v>
      </c>
      <c r="P249" s="6">
        <f t="shared" si="41"/>
        <v>0</v>
      </c>
      <c r="Q249" s="7">
        <f t="shared" si="40"/>
        <v>340696.94999999984</v>
      </c>
      <c r="R249" s="44" t="str">
        <f>VLOOKUP(F249,'Set up'!$A$2:$E$70,5,FALSE)</f>
        <v>Trsf</v>
      </c>
      <c r="S249" s="1" t="s">
        <v>384</v>
      </c>
    </row>
    <row r="250" spans="1:19" ht="15" customHeight="1" x14ac:dyDescent="0.3">
      <c r="A250" s="4">
        <v>44294</v>
      </c>
      <c r="B250" s="5">
        <f t="shared" si="35"/>
        <v>4</v>
      </c>
      <c r="C250" s="5">
        <f t="shared" si="36"/>
        <v>2021</v>
      </c>
      <c r="D250" s="5" t="s">
        <v>326</v>
      </c>
      <c r="E250" s="5" t="str">
        <f>VLOOKUP(F250,'Set up'!$A$2:$C$70,2,FALSE)</f>
        <v>C00000010</v>
      </c>
      <c r="F250" s="1" t="s">
        <v>62</v>
      </c>
      <c r="G250" s="11" t="s">
        <v>304</v>
      </c>
      <c r="H250" s="5">
        <v>4</v>
      </c>
      <c r="I250" s="5">
        <f>VLOOKUP(F250,'Set up'!$A$2:$C$70,3,FALSE)</f>
        <v>120</v>
      </c>
      <c r="J250" s="5">
        <f>VLOOKUP(F250,'Set up'!$A$2:$D$70,4,FALSE)</f>
        <v>120</v>
      </c>
      <c r="K250" s="4">
        <f t="shared" si="37"/>
        <v>44414</v>
      </c>
      <c r="L250" s="5">
        <f t="shared" si="38"/>
        <v>8</v>
      </c>
      <c r="M250" s="5">
        <f t="shared" si="39"/>
        <v>2021</v>
      </c>
      <c r="N250" s="24">
        <v>220</v>
      </c>
      <c r="O250" s="6">
        <f t="shared" si="42"/>
        <v>-220</v>
      </c>
      <c r="P250" s="6">
        <f t="shared" si="41"/>
        <v>0</v>
      </c>
      <c r="Q250" s="7">
        <f t="shared" si="40"/>
        <v>340916.94999999984</v>
      </c>
      <c r="R250" s="44" t="str">
        <f>VLOOKUP(F250,'Set up'!$A$2:$E$70,5,FALSE)</f>
        <v>Trsf</v>
      </c>
      <c r="S250" s="1" t="s">
        <v>384</v>
      </c>
    </row>
    <row r="251" spans="1:19" ht="15" customHeight="1" x14ac:dyDescent="0.3">
      <c r="A251" s="4">
        <v>44295</v>
      </c>
      <c r="B251" s="5">
        <f t="shared" si="35"/>
        <v>4</v>
      </c>
      <c r="C251" s="5">
        <f t="shared" si="36"/>
        <v>2021</v>
      </c>
      <c r="D251" s="5" t="s">
        <v>327</v>
      </c>
      <c r="E251" s="5" t="str">
        <f>VLOOKUP(F251,'Set up'!$A$2:$C$70,2,FALSE)</f>
        <v>C00000001</v>
      </c>
      <c r="F251" s="1" t="s">
        <v>7</v>
      </c>
      <c r="G251" s="2" t="s">
        <v>305</v>
      </c>
      <c r="H251" s="5">
        <v>2</v>
      </c>
      <c r="I251" s="5" t="str">
        <f>VLOOKUP(F251,'Set up'!$A$2:$C$70,3,FALSE)</f>
        <v>Cash</v>
      </c>
      <c r="J251" s="5">
        <f>VLOOKUP(F251,'Set up'!$A$2:$D$70,4,FALSE)</f>
        <v>0</v>
      </c>
      <c r="K251" s="4">
        <f t="shared" si="37"/>
        <v>44295</v>
      </c>
      <c r="L251" s="5">
        <f t="shared" si="38"/>
        <v>4</v>
      </c>
      <c r="M251" s="5">
        <f t="shared" si="39"/>
        <v>2021</v>
      </c>
      <c r="N251" s="24">
        <v>520</v>
      </c>
      <c r="O251" s="6">
        <f t="shared" ref="O251:O269" si="43">-N251</f>
        <v>-520</v>
      </c>
      <c r="P251" s="6">
        <f t="shared" si="41"/>
        <v>0</v>
      </c>
      <c r="Q251" s="7">
        <f t="shared" si="40"/>
        <v>341436.94999999984</v>
      </c>
      <c r="R251" s="44" t="str">
        <f>VLOOKUP(F251,'Set up'!$A$2:$E$70,5,FALSE)</f>
        <v>Trsf</v>
      </c>
      <c r="S251" s="1" t="s">
        <v>314</v>
      </c>
    </row>
    <row r="252" spans="1:19" ht="15" customHeight="1" x14ac:dyDescent="0.3">
      <c r="A252" s="4">
        <v>44313</v>
      </c>
      <c r="B252" s="5">
        <f t="shared" si="35"/>
        <v>4</v>
      </c>
      <c r="C252" s="5">
        <f t="shared" si="36"/>
        <v>2021</v>
      </c>
      <c r="D252" s="5" t="s">
        <v>328</v>
      </c>
      <c r="E252" s="5" t="str">
        <f>VLOOKUP(F252,'Set up'!$A$2:$C$70,2,FALSE)</f>
        <v>C00000009</v>
      </c>
      <c r="F252" s="1" t="s">
        <v>58</v>
      </c>
      <c r="G252" s="2" t="s">
        <v>95</v>
      </c>
      <c r="H252" s="5">
        <v>2</v>
      </c>
      <c r="I252" s="5">
        <f>VLOOKUP(F252,'Set up'!$A$2:$C$70,3,FALSE)</f>
        <v>60</v>
      </c>
      <c r="J252" s="5">
        <f>VLOOKUP(F252,'Set up'!$A$2:$D$70,4,FALSE)</f>
        <v>60</v>
      </c>
      <c r="K252" s="4">
        <f t="shared" si="37"/>
        <v>44373</v>
      </c>
      <c r="L252" s="5">
        <f t="shared" si="38"/>
        <v>6</v>
      </c>
      <c r="M252" s="5">
        <f t="shared" si="39"/>
        <v>2021</v>
      </c>
      <c r="N252" s="44">
        <v>3476</v>
      </c>
      <c r="O252" s="6">
        <f t="shared" si="43"/>
        <v>-3476</v>
      </c>
      <c r="P252" s="6">
        <f t="shared" si="41"/>
        <v>0</v>
      </c>
      <c r="Q252" s="7">
        <f t="shared" si="40"/>
        <v>344912.94999999984</v>
      </c>
      <c r="R252" s="44" t="str">
        <f>VLOOKUP(F252,'Set up'!$A$2:$E$70,5,FALSE)</f>
        <v>Chq</v>
      </c>
      <c r="S252" s="1" t="s">
        <v>468</v>
      </c>
    </row>
    <row r="253" spans="1:19" ht="15" customHeight="1" x14ac:dyDescent="0.3">
      <c r="A253" s="4">
        <v>44313</v>
      </c>
      <c r="B253" s="5">
        <f t="shared" si="35"/>
        <v>4</v>
      </c>
      <c r="C253" s="5">
        <f t="shared" si="36"/>
        <v>2021</v>
      </c>
      <c r="D253" s="5" t="s">
        <v>328</v>
      </c>
      <c r="E253" s="5" t="str">
        <f>VLOOKUP(F253,'Set up'!$A$2:$C$70,2,FALSE)</f>
        <v>C00000009</v>
      </c>
      <c r="F253" s="1" t="s">
        <v>58</v>
      </c>
      <c r="G253" s="2" t="s">
        <v>286</v>
      </c>
      <c r="H253" s="5">
        <v>1</v>
      </c>
      <c r="I253" s="5">
        <f>VLOOKUP(F253,'Set up'!$A$2:$C$70,3,FALSE)</f>
        <v>60</v>
      </c>
      <c r="J253" s="5">
        <f>VLOOKUP(F253,'Set up'!$A$2:$D$70,4,FALSE)</f>
        <v>60</v>
      </c>
      <c r="K253" s="4">
        <f t="shared" si="37"/>
        <v>44373</v>
      </c>
      <c r="L253" s="5">
        <f t="shared" si="38"/>
        <v>6</v>
      </c>
      <c r="M253" s="5">
        <f t="shared" si="39"/>
        <v>2021</v>
      </c>
      <c r="N253" s="44">
        <v>1738</v>
      </c>
      <c r="O253" s="6">
        <f t="shared" si="43"/>
        <v>-1738</v>
      </c>
      <c r="P253" s="6">
        <f t="shared" si="41"/>
        <v>0</v>
      </c>
      <c r="Q253" s="7">
        <f t="shared" si="40"/>
        <v>346650.94999999984</v>
      </c>
      <c r="R253" s="44" t="str">
        <f>VLOOKUP(F253,'Set up'!$A$2:$E$70,5,FALSE)</f>
        <v>Chq</v>
      </c>
      <c r="S253" s="1" t="s">
        <v>468</v>
      </c>
    </row>
    <row r="254" spans="1:19" ht="15" customHeight="1" x14ac:dyDescent="0.3">
      <c r="A254" s="4">
        <v>44313</v>
      </c>
      <c r="B254" s="5">
        <f t="shared" si="35"/>
        <v>4</v>
      </c>
      <c r="C254" s="5">
        <f t="shared" si="36"/>
        <v>2021</v>
      </c>
      <c r="D254" s="5" t="s">
        <v>328</v>
      </c>
      <c r="E254" s="5" t="str">
        <f>VLOOKUP(F254,'Set up'!$A$2:$C$70,2,FALSE)</f>
        <v>C00000009</v>
      </c>
      <c r="F254" s="1" t="s">
        <v>58</v>
      </c>
      <c r="G254" s="2" t="s">
        <v>96</v>
      </c>
      <c r="H254" s="5">
        <v>5</v>
      </c>
      <c r="I254" s="5">
        <f>VLOOKUP(F254,'Set up'!$A$2:$C$70,3,FALSE)</f>
        <v>60</v>
      </c>
      <c r="J254" s="5">
        <f>VLOOKUP(F254,'Set up'!$A$2:$D$70,4,FALSE)</f>
        <v>60</v>
      </c>
      <c r="K254" s="4">
        <f t="shared" si="37"/>
        <v>44373</v>
      </c>
      <c r="L254" s="5">
        <f t="shared" si="38"/>
        <v>6</v>
      </c>
      <c r="M254" s="5">
        <f t="shared" si="39"/>
        <v>2021</v>
      </c>
      <c r="N254" s="44">
        <v>2268</v>
      </c>
      <c r="O254" s="6">
        <f t="shared" si="43"/>
        <v>-2268</v>
      </c>
      <c r="P254" s="6">
        <f t="shared" si="41"/>
        <v>0</v>
      </c>
      <c r="Q254" s="7">
        <f t="shared" si="40"/>
        <v>348918.94999999984</v>
      </c>
      <c r="R254" s="44" t="str">
        <f>VLOOKUP(F254,'Set up'!$A$2:$E$70,5,FALSE)</f>
        <v>Chq</v>
      </c>
      <c r="S254" s="1" t="s">
        <v>468</v>
      </c>
    </row>
    <row r="255" spans="1:19" ht="15" customHeight="1" x14ac:dyDescent="0.3">
      <c r="A255" s="4">
        <v>44315</v>
      </c>
      <c r="B255" s="5">
        <f t="shared" si="35"/>
        <v>4</v>
      </c>
      <c r="C255" s="5">
        <f t="shared" si="36"/>
        <v>2021</v>
      </c>
      <c r="D255" s="5" t="s">
        <v>331</v>
      </c>
      <c r="E255" s="5" t="str">
        <f>VLOOKUP(F255,'Set up'!$A$2:$C$70,2,FALSE)</f>
        <v>C00000010</v>
      </c>
      <c r="F255" s="1" t="s">
        <v>62</v>
      </c>
      <c r="G255" s="56" t="s">
        <v>303</v>
      </c>
      <c r="H255" s="5">
        <v>5</v>
      </c>
      <c r="I255" s="5">
        <f>VLOOKUP(F255,'Set up'!$A$2:$C$70,3,FALSE)</f>
        <v>120</v>
      </c>
      <c r="J255" s="5">
        <f>VLOOKUP(F255,'Set up'!$A$2:$D$70,4,FALSE)</f>
        <v>120</v>
      </c>
      <c r="K255" s="4">
        <f t="shared" si="37"/>
        <v>44435</v>
      </c>
      <c r="L255" s="5">
        <f t="shared" si="38"/>
        <v>8</v>
      </c>
      <c r="M255" s="5">
        <f t="shared" si="39"/>
        <v>2021</v>
      </c>
      <c r="N255" s="44">
        <v>8690</v>
      </c>
      <c r="O255" s="6">
        <f t="shared" si="43"/>
        <v>-8690</v>
      </c>
      <c r="P255" s="6">
        <f t="shared" si="41"/>
        <v>0</v>
      </c>
      <c r="Q255" s="7">
        <f t="shared" si="40"/>
        <v>357608.94999999984</v>
      </c>
      <c r="R255" s="44" t="str">
        <f>VLOOKUP(F255,'Set up'!$A$2:$E$70,5,FALSE)</f>
        <v>Trsf</v>
      </c>
      <c r="S255" s="1" t="s">
        <v>384</v>
      </c>
    </row>
    <row r="256" spans="1:19" ht="15" customHeight="1" x14ac:dyDescent="0.3">
      <c r="A256" s="4">
        <v>44315</v>
      </c>
      <c r="B256" s="5">
        <f t="shared" si="35"/>
        <v>4</v>
      </c>
      <c r="C256" s="5">
        <f t="shared" si="36"/>
        <v>2021</v>
      </c>
      <c r="D256" s="5" t="s">
        <v>331</v>
      </c>
      <c r="E256" s="5" t="str">
        <f>VLOOKUP(F256,'Set up'!$A$2:$C$70,2,FALSE)</f>
        <v>C00000010</v>
      </c>
      <c r="F256" s="1" t="s">
        <v>62</v>
      </c>
      <c r="G256" s="56" t="s">
        <v>219</v>
      </c>
      <c r="H256" s="5">
        <v>5</v>
      </c>
      <c r="I256" s="5">
        <f>VLOOKUP(F256,'Set up'!$A$2:$C$70,3,FALSE)</f>
        <v>120</v>
      </c>
      <c r="J256" s="5">
        <f>VLOOKUP(F256,'Set up'!$A$2:$D$70,4,FALSE)</f>
        <v>120</v>
      </c>
      <c r="K256" s="4">
        <f t="shared" si="37"/>
        <v>44435</v>
      </c>
      <c r="L256" s="5">
        <f t="shared" si="38"/>
        <v>8</v>
      </c>
      <c r="M256" s="5">
        <f t="shared" si="39"/>
        <v>2021</v>
      </c>
      <c r="N256" s="44">
        <v>1230</v>
      </c>
      <c r="O256" s="6">
        <f t="shared" si="43"/>
        <v>-1230</v>
      </c>
      <c r="P256" s="6">
        <f t="shared" si="41"/>
        <v>0</v>
      </c>
      <c r="Q256" s="7">
        <f t="shared" si="40"/>
        <v>358838.94999999984</v>
      </c>
      <c r="R256" s="44" t="str">
        <f>VLOOKUP(F256,'Set up'!$A$2:$E$70,5,FALSE)</f>
        <v>Trsf</v>
      </c>
      <c r="S256" s="1" t="s">
        <v>384</v>
      </c>
    </row>
    <row r="257" spans="1:24" ht="15" customHeight="1" x14ac:dyDescent="0.3">
      <c r="A257" s="4">
        <v>44315</v>
      </c>
      <c r="B257" s="5">
        <f t="shared" si="35"/>
        <v>4</v>
      </c>
      <c r="C257" s="5">
        <f t="shared" si="36"/>
        <v>2021</v>
      </c>
      <c r="D257" s="5" t="s">
        <v>331</v>
      </c>
      <c r="E257" s="5" t="str">
        <f>VLOOKUP(F257,'Set up'!$A$2:$C$70,2,FALSE)</f>
        <v>C00000010</v>
      </c>
      <c r="F257" s="1" t="s">
        <v>62</v>
      </c>
      <c r="G257" s="56" t="s">
        <v>64</v>
      </c>
      <c r="H257" s="5">
        <v>10</v>
      </c>
      <c r="I257" s="5">
        <f>VLOOKUP(F257,'Set up'!$A$2:$C$70,3,FALSE)</f>
        <v>120</v>
      </c>
      <c r="J257" s="5">
        <f>VLOOKUP(F257,'Set up'!$A$2:$D$70,4,FALSE)</f>
        <v>120</v>
      </c>
      <c r="K257" s="4">
        <f t="shared" si="37"/>
        <v>44435</v>
      </c>
      <c r="L257" s="5">
        <f t="shared" si="38"/>
        <v>8</v>
      </c>
      <c r="M257" s="5">
        <f t="shared" si="39"/>
        <v>2021</v>
      </c>
      <c r="N257" s="44">
        <v>550</v>
      </c>
      <c r="O257" s="6">
        <f t="shared" si="43"/>
        <v>-550</v>
      </c>
      <c r="P257" s="6">
        <f t="shared" si="41"/>
        <v>0</v>
      </c>
      <c r="Q257" s="7">
        <f t="shared" si="40"/>
        <v>359388.94999999984</v>
      </c>
      <c r="R257" s="44" t="str">
        <f>VLOOKUP(F257,'Set up'!$A$2:$E$70,5,FALSE)</f>
        <v>Trsf</v>
      </c>
      <c r="S257" s="1" t="s">
        <v>384</v>
      </c>
    </row>
    <row r="258" spans="1:24" ht="15" customHeight="1" x14ac:dyDescent="0.3">
      <c r="A258" s="4">
        <v>44315</v>
      </c>
      <c r="B258" s="5">
        <f t="shared" si="35"/>
        <v>4</v>
      </c>
      <c r="C258" s="5">
        <f t="shared" si="36"/>
        <v>2021</v>
      </c>
      <c r="D258" s="5" t="s">
        <v>331</v>
      </c>
      <c r="E258" s="5" t="str">
        <f>VLOOKUP(F258,'Set up'!$A$2:$C$70,2,FALSE)</f>
        <v>C00000010</v>
      </c>
      <c r="F258" s="1" t="s">
        <v>62</v>
      </c>
      <c r="G258" s="77" t="s">
        <v>46</v>
      </c>
      <c r="H258" s="5">
        <v>4</v>
      </c>
      <c r="I258" s="5">
        <f>VLOOKUP(F258,'Set up'!$A$2:$C$70,3,FALSE)</f>
        <v>120</v>
      </c>
      <c r="J258" s="5">
        <f>VLOOKUP(F258,'Set up'!$A$2:$D$70,4,FALSE)</f>
        <v>120</v>
      </c>
      <c r="K258" s="4">
        <f t="shared" si="37"/>
        <v>44435</v>
      </c>
      <c r="L258" s="5">
        <f t="shared" si="38"/>
        <v>8</v>
      </c>
      <c r="M258" s="5">
        <f t="shared" si="39"/>
        <v>2021</v>
      </c>
      <c r="N258" s="44">
        <v>380</v>
      </c>
      <c r="O258" s="6">
        <f t="shared" si="43"/>
        <v>-380</v>
      </c>
      <c r="P258" s="6">
        <f t="shared" si="41"/>
        <v>0</v>
      </c>
      <c r="Q258" s="7">
        <f t="shared" si="40"/>
        <v>359768.94999999984</v>
      </c>
      <c r="R258" s="44" t="str">
        <f>VLOOKUP(F258,'Set up'!$A$2:$E$70,5,FALSE)</f>
        <v>Trsf</v>
      </c>
      <c r="S258" s="1" t="s">
        <v>384</v>
      </c>
    </row>
    <row r="259" spans="1:24" ht="15" customHeight="1" x14ac:dyDescent="0.3">
      <c r="A259" s="4">
        <v>44315</v>
      </c>
      <c r="B259" s="5">
        <f t="shared" ref="B259:B322" si="44">MONTH(A259)</f>
        <v>4</v>
      </c>
      <c r="C259" s="5">
        <f t="shared" ref="C259:C322" si="45">YEAR(A259)</f>
        <v>2021</v>
      </c>
      <c r="D259" s="5" t="s">
        <v>331</v>
      </c>
      <c r="E259" s="5" t="str">
        <f>VLOOKUP(F259,'Set up'!$A$2:$C$70,2,FALSE)</f>
        <v>C00000010</v>
      </c>
      <c r="F259" s="1" t="s">
        <v>62</v>
      </c>
      <c r="G259" s="11" t="s">
        <v>238</v>
      </c>
      <c r="H259" s="5">
        <v>1</v>
      </c>
      <c r="I259" s="5">
        <f>VLOOKUP(F259,'Set up'!$A$2:$C$70,3,FALSE)</f>
        <v>120</v>
      </c>
      <c r="J259" s="5">
        <f>VLOOKUP(F259,'Set up'!$A$2:$D$70,4,FALSE)</f>
        <v>120</v>
      </c>
      <c r="K259" s="4">
        <f t="shared" ref="K259:K322" si="46">A259+J259</f>
        <v>44435</v>
      </c>
      <c r="L259" s="5">
        <f t="shared" ref="L259:L322" si="47">MONTH(K259)</f>
        <v>8</v>
      </c>
      <c r="M259" s="5">
        <f t="shared" ref="M259:M322" si="48">YEAR(K259)</f>
        <v>2021</v>
      </c>
      <c r="N259" s="44">
        <v>360</v>
      </c>
      <c r="O259" s="6">
        <f t="shared" si="43"/>
        <v>-360</v>
      </c>
      <c r="P259" s="6">
        <f t="shared" si="41"/>
        <v>0</v>
      </c>
      <c r="Q259" s="7">
        <f t="shared" ref="Q259:Q322" si="49">SUM(Q258+N259)</f>
        <v>360128.94999999984</v>
      </c>
      <c r="R259" s="44" t="str">
        <f>VLOOKUP(F259,'Set up'!$A$2:$E$70,5,FALSE)</f>
        <v>Trsf</v>
      </c>
      <c r="S259" s="1" t="s">
        <v>384</v>
      </c>
    </row>
    <row r="260" spans="1:24" ht="15" customHeight="1" x14ac:dyDescent="0.35">
      <c r="A260" s="4">
        <v>44315</v>
      </c>
      <c r="B260" s="5">
        <f t="shared" si="44"/>
        <v>4</v>
      </c>
      <c r="C260" s="5">
        <f t="shared" si="45"/>
        <v>2021</v>
      </c>
      <c r="D260" s="5" t="s">
        <v>331</v>
      </c>
      <c r="E260" s="5" t="str">
        <f>VLOOKUP(F260,'Set up'!$A$2:$C$70,2,FALSE)</f>
        <v>C00000010</v>
      </c>
      <c r="F260" s="1" t="s">
        <v>62</v>
      </c>
      <c r="G260" s="11" t="s">
        <v>332</v>
      </c>
      <c r="H260" s="5">
        <v>1</v>
      </c>
      <c r="I260" s="5">
        <f>VLOOKUP(F260,'Set up'!$A$2:$C$70,3,FALSE)</f>
        <v>120</v>
      </c>
      <c r="J260" s="5">
        <f>VLOOKUP(F260,'Set up'!$A$2:$D$70,4,FALSE)</f>
        <v>120</v>
      </c>
      <c r="K260" s="4">
        <f t="shared" si="46"/>
        <v>44435</v>
      </c>
      <c r="L260" s="5">
        <f t="shared" si="47"/>
        <v>8</v>
      </c>
      <c r="M260" s="5">
        <f t="shared" si="48"/>
        <v>2021</v>
      </c>
      <c r="N260" s="44">
        <v>375</v>
      </c>
      <c r="O260" s="6">
        <f>-N260-179.4</f>
        <v>-554.4</v>
      </c>
      <c r="P260" s="48">
        <f t="shared" si="41"/>
        <v>-179.39999999999998</v>
      </c>
      <c r="Q260" s="7">
        <f t="shared" si="49"/>
        <v>360503.94999999984</v>
      </c>
      <c r="R260" s="44" t="str">
        <f>VLOOKUP(F260,'Set up'!$A$2:$E$70,5,FALSE)</f>
        <v>Trsf</v>
      </c>
      <c r="S260" s="1" t="s">
        <v>396</v>
      </c>
    </row>
    <row r="261" spans="1:24" ht="15" customHeight="1" x14ac:dyDescent="0.3">
      <c r="A261" s="4">
        <v>44319</v>
      </c>
      <c r="B261" s="5">
        <f t="shared" si="44"/>
        <v>5</v>
      </c>
      <c r="C261" s="5">
        <f t="shared" si="45"/>
        <v>2021</v>
      </c>
      <c r="D261" s="5" t="s">
        <v>329</v>
      </c>
      <c r="E261" s="5" t="str">
        <f>VLOOKUP(F261,'Set up'!$A$2:$C$70,2,FALSE)</f>
        <v>C00000004</v>
      </c>
      <c r="F261" s="1" t="s">
        <v>23</v>
      </c>
      <c r="G261" s="2" t="s">
        <v>95</v>
      </c>
      <c r="H261" s="5">
        <v>5</v>
      </c>
      <c r="I261" s="5">
        <f>VLOOKUP(F261,'Set up'!$A$2:$C$70,3,FALSE)</f>
        <v>120</v>
      </c>
      <c r="J261" s="5">
        <f>VLOOKUP(F261,'Set up'!$A$2:$D$70,4,FALSE)</f>
        <v>120</v>
      </c>
      <c r="K261" s="4">
        <f t="shared" si="46"/>
        <v>44439</v>
      </c>
      <c r="L261" s="5">
        <f t="shared" si="47"/>
        <v>8</v>
      </c>
      <c r="M261" s="5">
        <f t="shared" si="48"/>
        <v>2021</v>
      </c>
      <c r="N261" s="44">
        <v>8690</v>
      </c>
      <c r="O261" s="6">
        <f t="shared" si="43"/>
        <v>-8690</v>
      </c>
      <c r="P261" s="6">
        <f t="shared" si="41"/>
        <v>0</v>
      </c>
      <c r="Q261" s="7">
        <f t="shared" si="49"/>
        <v>369193.94999999984</v>
      </c>
      <c r="R261" s="44" t="str">
        <f>VLOOKUP(F261,'Set up'!$A$2:$E$70,5,FALSE)</f>
        <v>Chq</v>
      </c>
      <c r="S261" s="1" t="s">
        <v>493</v>
      </c>
    </row>
    <row r="262" spans="1:24" ht="15" customHeight="1" x14ac:dyDescent="0.3">
      <c r="A262" s="4">
        <v>44319</v>
      </c>
      <c r="B262" s="5">
        <f t="shared" si="44"/>
        <v>5</v>
      </c>
      <c r="C262" s="5">
        <f t="shared" si="45"/>
        <v>2021</v>
      </c>
      <c r="D262" s="5" t="s">
        <v>329</v>
      </c>
      <c r="E262" s="5" t="str">
        <f>VLOOKUP(F262,'Set up'!$A$2:$C$70,2,FALSE)</f>
        <v>C00000004</v>
      </c>
      <c r="F262" s="1" t="s">
        <v>23</v>
      </c>
      <c r="G262" s="2" t="s">
        <v>335</v>
      </c>
      <c r="H262" s="5">
        <v>1</v>
      </c>
      <c r="I262" s="5">
        <f>VLOOKUP(F262,'Set up'!$A$2:$C$70,3,FALSE)</f>
        <v>120</v>
      </c>
      <c r="J262" s="5">
        <f>VLOOKUP(F262,'Set up'!$A$2:$D$70,4,FALSE)</f>
        <v>120</v>
      </c>
      <c r="K262" s="4">
        <f t="shared" si="46"/>
        <v>44439</v>
      </c>
      <c r="L262" s="5">
        <f t="shared" si="47"/>
        <v>8</v>
      </c>
      <c r="M262" s="5">
        <f t="shared" si="48"/>
        <v>2021</v>
      </c>
      <c r="N262" s="44">
        <v>1716</v>
      </c>
      <c r="O262" s="6">
        <f t="shared" si="43"/>
        <v>-1716</v>
      </c>
      <c r="P262" s="6">
        <f t="shared" si="41"/>
        <v>0</v>
      </c>
      <c r="Q262" s="7">
        <f t="shared" si="49"/>
        <v>370909.94999999984</v>
      </c>
      <c r="R262" s="44" t="str">
        <f>VLOOKUP(F262,'Set up'!$A$2:$E$70,5,FALSE)</f>
        <v>Chq</v>
      </c>
      <c r="S262" s="1" t="s">
        <v>493</v>
      </c>
    </row>
    <row r="263" spans="1:24" ht="15" customHeight="1" x14ac:dyDescent="0.3">
      <c r="A263" s="4">
        <v>44319</v>
      </c>
      <c r="B263" s="5">
        <f t="shared" si="44"/>
        <v>5</v>
      </c>
      <c r="C263" s="5">
        <f t="shared" si="45"/>
        <v>2021</v>
      </c>
      <c r="D263" s="5" t="s">
        <v>329</v>
      </c>
      <c r="E263" s="5" t="str">
        <f>VLOOKUP(F263,'Set up'!$A$2:$C$70,2,FALSE)</f>
        <v>C00000004</v>
      </c>
      <c r="F263" s="1" t="s">
        <v>23</v>
      </c>
      <c r="G263" s="2" t="s">
        <v>336</v>
      </c>
      <c r="H263" s="5">
        <v>4</v>
      </c>
      <c r="I263" s="5">
        <f>VLOOKUP(F263,'Set up'!$A$2:$C$70,3,FALSE)</f>
        <v>120</v>
      </c>
      <c r="J263" s="5">
        <f>VLOOKUP(F263,'Set up'!$A$2:$D$70,4,FALSE)</f>
        <v>120</v>
      </c>
      <c r="K263" s="4">
        <f t="shared" si="46"/>
        <v>44439</v>
      </c>
      <c r="L263" s="5">
        <f t="shared" si="47"/>
        <v>8</v>
      </c>
      <c r="M263" s="5">
        <f t="shared" si="48"/>
        <v>2021</v>
      </c>
      <c r="N263" s="44">
        <v>1814.4</v>
      </c>
      <c r="O263" s="6">
        <f t="shared" si="43"/>
        <v>-1814.4</v>
      </c>
      <c r="P263" s="6">
        <f t="shared" si="41"/>
        <v>0</v>
      </c>
      <c r="Q263" s="7">
        <f t="shared" si="49"/>
        <v>372724.34999999986</v>
      </c>
      <c r="R263" s="44" t="str">
        <f>VLOOKUP(F263,'Set up'!$A$2:$E$70,5,FALSE)</f>
        <v>Chq</v>
      </c>
      <c r="S263" s="1" t="s">
        <v>493</v>
      </c>
    </row>
    <row r="264" spans="1:24" ht="15" customHeight="1" x14ac:dyDescent="0.3">
      <c r="A264" s="4">
        <v>44319</v>
      </c>
      <c r="B264" s="5">
        <f t="shared" si="44"/>
        <v>5</v>
      </c>
      <c r="C264" s="5">
        <f t="shared" si="45"/>
        <v>2021</v>
      </c>
      <c r="D264" s="5" t="s">
        <v>329</v>
      </c>
      <c r="E264" s="5" t="str">
        <f>VLOOKUP(F264,'Set up'!$A$2:$C$70,2,FALSE)</f>
        <v>C00000004</v>
      </c>
      <c r="F264" s="1" t="s">
        <v>23</v>
      </c>
      <c r="G264" s="2" t="s">
        <v>97</v>
      </c>
      <c r="H264" s="5">
        <v>4</v>
      </c>
      <c r="I264" s="5">
        <f>VLOOKUP(F264,'Set up'!$A$2:$C$70,3,FALSE)</f>
        <v>120</v>
      </c>
      <c r="J264" s="5">
        <f>VLOOKUP(F264,'Set up'!$A$2:$D$70,4,FALSE)</f>
        <v>120</v>
      </c>
      <c r="K264" s="4">
        <f t="shared" si="46"/>
        <v>44439</v>
      </c>
      <c r="L264" s="5">
        <f t="shared" si="47"/>
        <v>8</v>
      </c>
      <c r="M264" s="5">
        <f t="shared" si="48"/>
        <v>2021</v>
      </c>
      <c r="N264" s="44">
        <v>1814.4</v>
      </c>
      <c r="O264" s="6">
        <f t="shared" si="43"/>
        <v>-1814.4</v>
      </c>
      <c r="P264" s="6">
        <f t="shared" si="41"/>
        <v>0</v>
      </c>
      <c r="Q264" s="7">
        <f t="shared" si="49"/>
        <v>374538.74999999988</v>
      </c>
      <c r="R264" s="44" t="str">
        <f>VLOOKUP(F264,'Set up'!$A$2:$E$70,5,FALSE)</f>
        <v>Chq</v>
      </c>
      <c r="S264" s="1" t="s">
        <v>493</v>
      </c>
    </row>
    <row r="265" spans="1:24" ht="15" customHeight="1" x14ac:dyDescent="0.3">
      <c r="A265" s="4">
        <v>44322</v>
      </c>
      <c r="B265" s="5">
        <f t="shared" si="44"/>
        <v>5</v>
      </c>
      <c r="C265" s="5">
        <f t="shared" si="45"/>
        <v>2021</v>
      </c>
      <c r="D265" s="5" t="s">
        <v>337</v>
      </c>
      <c r="E265" s="5" t="str">
        <f>VLOOKUP(F265,'Set up'!$A$2:$C$70,2,FALSE)</f>
        <v>C00000005</v>
      </c>
      <c r="F265" s="1" t="s">
        <v>35</v>
      </c>
      <c r="G265" s="11" t="s">
        <v>67</v>
      </c>
      <c r="H265" s="5">
        <v>1</v>
      </c>
      <c r="I265" s="5" t="str">
        <f>VLOOKUP(F265,'Set up'!$A$2:$C$70,3,FALSE)</f>
        <v>Cash</v>
      </c>
      <c r="J265" s="5">
        <f>VLOOKUP(F265,'Set up'!$A$2:$D$70,4,FALSE)</f>
        <v>0</v>
      </c>
      <c r="K265" s="4">
        <f t="shared" si="46"/>
        <v>44322</v>
      </c>
      <c r="L265" s="5">
        <f t="shared" si="47"/>
        <v>5</v>
      </c>
      <c r="M265" s="5">
        <f t="shared" si="48"/>
        <v>2021</v>
      </c>
      <c r="N265" s="67">
        <v>1826</v>
      </c>
      <c r="O265" s="6">
        <f t="shared" si="43"/>
        <v>-1826</v>
      </c>
      <c r="P265" s="6">
        <f t="shared" si="41"/>
        <v>0</v>
      </c>
      <c r="Q265" s="7">
        <f t="shared" si="49"/>
        <v>376364.74999999988</v>
      </c>
      <c r="R265" s="44" t="str">
        <f>VLOOKUP(F265,'Set up'!$A$2:$E$70,5,FALSE)</f>
        <v>Chq</v>
      </c>
      <c r="S265" s="1" t="s">
        <v>345</v>
      </c>
    </row>
    <row r="266" spans="1:24" ht="15" customHeight="1" x14ac:dyDescent="0.3">
      <c r="A266" s="4">
        <v>44322</v>
      </c>
      <c r="B266" s="5">
        <f t="shared" si="44"/>
        <v>5</v>
      </c>
      <c r="C266" s="5">
        <f t="shared" si="45"/>
        <v>2021</v>
      </c>
      <c r="D266" s="5" t="s">
        <v>337</v>
      </c>
      <c r="E266" s="5" t="str">
        <f>VLOOKUP(F266,'Set up'!$A$2:$C$70,2,FALSE)</f>
        <v>C00000005</v>
      </c>
      <c r="F266" s="1" t="s">
        <v>35</v>
      </c>
      <c r="G266" s="2" t="s">
        <v>339</v>
      </c>
      <c r="H266" s="5">
        <v>1</v>
      </c>
      <c r="I266" s="5" t="str">
        <f>VLOOKUP(F266,'Set up'!$A$2:$C$70,3,FALSE)</f>
        <v>Cash</v>
      </c>
      <c r="J266" s="5">
        <f>VLOOKUP(F266,'Set up'!$A$2:$D$70,4,FALSE)</f>
        <v>0</v>
      </c>
      <c r="K266" s="4">
        <f t="shared" si="46"/>
        <v>44322</v>
      </c>
      <c r="L266" s="5">
        <f t="shared" si="47"/>
        <v>5</v>
      </c>
      <c r="M266" s="5">
        <f t="shared" si="48"/>
        <v>2021</v>
      </c>
      <c r="N266" s="67">
        <v>50</v>
      </c>
      <c r="O266" s="6">
        <f t="shared" si="43"/>
        <v>-50</v>
      </c>
      <c r="P266" s="6">
        <f t="shared" si="41"/>
        <v>0</v>
      </c>
      <c r="Q266" s="7">
        <f t="shared" si="49"/>
        <v>376414.74999999988</v>
      </c>
      <c r="R266" s="44" t="str">
        <f>VLOOKUP(F266,'Set up'!$A$2:$E$70,5,FALSE)</f>
        <v>Chq</v>
      </c>
      <c r="S266" s="1" t="s">
        <v>345</v>
      </c>
    </row>
    <row r="267" spans="1:24" ht="15" customHeight="1" x14ac:dyDescent="0.3">
      <c r="A267" s="4">
        <v>44323</v>
      </c>
      <c r="B267" s="5">
        <f t="shared" si="44"/>
        <v>5</v>
      </c>
      <c r="C267" s="5">
        <f t="shared" si="45"/>
        <v>2021</v>
      </c>
      <c r="D267" s="5" t="s">
        <v>338</v>
      </c>
      <c r="E267" s="5" t="str">
        <f>VLOOKUP(F267,'Set up'!$A$2:$C$70,2,FALSE)</f>
        <v>C00000001</v>
      </c>
      <c r="F267" s="1" t="s">
        <v>7</v>
      </c>
      <c r="G267" s="11" t="s">
        <v>67</v>
      </c>
      <c r="H267" s="5">
        <v>1</v>
      </c>
      <c r="I267" s="5" t="str">
        <f>VLOOKUP(F267,'Set up'!$A$2:$C$70,3,FALSE)</f>
        <v>Cash</v>
      </c>
      <c r="J267" s="5">
        <f>VLOOKUP(F267,'Set up'!$A$2:$D$70,4,FALSE)</f>
        <v>0</v>
      </c>
      <c r="K267" s="4">
        <f t="shared" si="46"/>
        <v>44323</v>
      </c>
      <c r="L267" s="5">
        <f t="shared" si="47"/>
        <v>5</v>
      </c>
      <c r="M267" s="5">
        <f t="shared" si="48"/>
        <v>2021</v>
      </c>
      <c r="N267" s="24">
        <v>1826</v>
      </c>
      <c r="O267" s="6">
        <f t="shared" si="43"/>
        <v>-1826</v>
      </c>
      <c r="P267" s="6">
        <f t="shared" si="41"/>
        <v>0</v>
      </c>
      <c r="Q267" s="7">
        <f t="shared" si="49"/>
        <v>378240.74999999988</v>
      </c>
      <c r="R267" s="44" t="str">
        <f>VLOOKUP(F267,'Set up'!$A$2:$E$70,5,FALSE)</f>
        <v>Trsf</v>
      </c>
      <c r="S267" s="1" t="s">
        <v>344</v>
      </c>
    </row>
    <row r="268" spans="1:24" ht="15" customHeight="1" x14ac:dyDescent="0.3">
      <c r="A268" s="4">
        <v>44323</v>
      </c>
      <c r="B268" s="5">
        <f t="shared" si="44"/>
        <v>5</v>
      </c>
      <c r="C268" s="5">
        <f t="shared" si="45"/>
        <v>2021</v>
      </c>
      <c r="D268" s="5" t="s">
        <v>338</v>
      </c>
      <c r="E268" s="5" t="str">
        <f>VLOOKUP(F268,'Set up'!$A$2:$C$70,2,FALSE)</f>
        <v>C00000001</v>
      </c>
      <c r="F268" s="1" t="s">
        <v>7</v>
      </c>
      <c r="G268" s="11" t="s">
        <v>180</v>
      </c>
      <c r="H268" s="5">
        <v>4</v>
      </c>
      <c r="I268" s="5" t="str">
        <f>VLOOKUP(F268,'Set up'!$A$2:$C$70,3,FALSE)</f>
        <v>Cash</v>
      </c>
      <c r="J268" s="5">
        <f>VLOOKUP(F268,'Set up'!$A$2:$D$70,4,FALSE)</f>
        <v>0</v>
      </c>
      <c r="K268" s="4">
        <f t="shared" si="46"/>
        <v>44323</v>
      </c>
      <c r="L268" s="5">
        <f t="shared" si="47"/>
        <v>5</v>
      </c>
      <c r="M268" s="5">
        <f t="shared" si="48"/>
        <v>2021</v>
      </c>
      <c r="N268" s="24">
        <v>1020</v>
      </c>
      <c r="O268" s="6">
        <f t="shared" si="43"/>
        <v>-1020</v>
      </c>
      <c r="P268" s="6">
        <f t="shared" si="41"/>
        <v>0</v>
      </c>
      <c r="Q268" s="7">
        <f t="shared" si="49"/>
        <v>379260.74999999988</v>
      </c>
      <c r="R268" s="44" t="str">
        <f>VLOOKUP(F268,'Set up'!$A$2:$E$70,5,FALSE)</f>
        <v>Trsf</v>
      </c>
      <c r="S268" s="1" t="s">
        <v>344</v>
      </c>
    </row>
    <row r="269" spans="1:24" ht="15" customHeight="1" x14ac:dyDescent="0.3">
      <c r="A269" s="4">
        <v>44335</v>
      </c>
      <c r="B269" s="5">
        <f t="shared" si="44"/>
        <v>5</v>
      </c>
      <c r="C269" s="5">
        <f t="shared" si="45"/>
        <v>2021</v>
      </c>
      <c r="D269" s="5" t="s">
        <v>340</v>
      </c>
      <c r="E269" s="5" t="str">
        <f>VLOOKUP(F269,'Set up'!$A$2:$C$70,2,FALSE)</f>
        <v>C00000005</v>
      </c>
      <c r="F269" s="1" t="s">
        <v>35</v>
      </c>
      <c r="G269" s="11" t="s">
        <v>67</v>
      </c>
      <c r="H269" s="5">
        <v>1</v>
      </c>
      <c r="I269" s="5" t="str">
        <f>VLOOKUP(F269,'Set up'!$A$2:$C$70,3,FALSE)</f>
        <v>Cash</v>
      </c>
      <c r="J269" s="5">
        <f>VLOOKUP(F269,'Set up'!$A$2:$D$70,4,FALSE)</f>
        <v>0</v>
      </c>
      <c r="K269" s="4">
        <f t="shared" si="46"/>
        <v>44335</v>
      </c>
      <c r="L269" s="5">
        <f t="shared" si="47"/>
        <v>5</v>
      </c>
      <c r="M269" s="5">
        <f t="shared" si="48"/>
        <v>2021</v>
      </c>
      <c r="N269" s="24">
        <v>1826</v>
      </c>
      <c r="O269" s="6">
        <f t="shared" si="43"/>
        <v>-1826</v>
      </c>
      <c r="P269" s="6">
        <f t="shared" si="41"/>
        <v>0</v>
      </c>
      <c r="Q269" s="7">
        <f t="shared" si="49"/>
        <v>381086.74999999988</v>
      </c>
      <c r="R269" s="44" t="str">
        <f>VLOOKUP(F269,'Set up'!$A$2:$E$70,5,FALSE)</f>
        <v>Chq</v>
      </c>
      <c r="S269" s="1" t="s">
        <v>346</v>
      </c>
    </row>
    <row r="270" spans="1:24" ht="15" customHeight="1" x14ac:dyDescent="0.3">
      <c r="A270" s="4">
        <v>44337</v>
      </c>
      <c r="B270" s="5">
        <f t="shared" si="44"/>
        <v>5</v>
      </c>
      <c r="C270" s="5">
        <f t="shared" si="45"/>
        <v>2021</v>
      </c>
      <c r="D270" s="5" t="s">
        <v>341</v>
      </c>
      <c r="E270" s="5" t="str">
        <f>VLOOKUP(F270,'Set up'!$A$2:$C$70,2,FALSE)</f>
        <v>C00000003</v>
      </c>
      <c r="F270" s="1" t="s">
        <v>20</v>
      </c>
      <c r="G270" s="2" t="s">
        <v>67</v>
      </c>
      <c r="H270" s="5">
        <v>3</v>
      </c>
      <c r="I270" s="5">
        <f>VLOOKUP(F270,'Set up'!$A$2:$C$70,3,FALSE)</f>
        <v>45</v>
      </c>
      <c r="J270" s="5">
        <f>VLOOKUP(F270,'Set up'!$A$2:$D$70,4,FALSE)</f>
        <v>45</v>
      </c>
      <c r="K270" s="4">
        <f t="shared" si="46"/>
        <v>44382</v>
      </c>
      <c r="L270" s="5">
        <f t="shared" si="47"/>
        <v>7</v>
      </c>
      <c r="M270" s="5">
        <f t="shared" si="48"/>
        <v>2021</v>
      </c>
      <c r="N270" s="24">
        <v>5610</v>
      </c>
      <c r="O270" s="6">
        <f>-3050-1700-860</f>
        <v>-5610</v>
      </c>
      <c r="P270" s="6">
        <f t="shared" si="41"/>
        <v>0</v>
      </c>
      <c r="Q270" s="7">
        <f t="shared" si="49"/>
        <v>386696.74999999988</v>
      </c>
      <c r="R270" s="44" t="str">
        <f>VLOOKUP(F270,'Set up'!$A$2:$E$70,5,FALSE)</f>
        <v>PD Chq</v>
      </c>
      <c r="S270" s="69" t="s">
        <v>348</v>
      </c>
      <c r="V270" s="1" t="s">
        <v>393</v>
      </c>
      <c r="W270" s="72">
        <v>44468</v>
      </c>
      <c r="X270" s="73" t="s">
        <v>394</v>
      </c>
    </row>
    <row r="271" spans="1:24" ht="15" customHeight="1" x14ac:dyDescent="0.3">
      <c r="A271" s="4">
        <v>44337</v>
      </c>
      <c r="B271" s="5">
        <f t="shared" si="44"/>
        <v>5</v>
      </c>
      <c r="C271" s="5">
        <f t="shared" si="45"/>
        <v>2021</v>
      </c>
      <c r="D271" s="5" t="s">
        <v>341</v>
      </c>
      <c r="E271" s="5" t="str">
        <f>VLOOKUP(F271,'Set up'!$A$2:$C$70,2,FALSE)</f>
        <v>C00000003</v>
      </c>
      <c r="F271" s="1" t="s">
        <v>20</v>
      </c>
      <c r="G271" s="76" t="s">
        <v>54</v>
      </c>
      <c r="H271" s="5">
        <v>5</v>
      </c>
      <c r="I271" s="5">
        <f>VLOOKUP(F271,'Set up'!$A$2:$C$70,3,FALSE)</f>
        <v>45</v>
      </c>
      <c r="J271" s="5">
        <f>VLOOKUP(F271,'Set up'!$A$2:$D$70,4,FALSE)</f>
        <v>45</v>
      </c>
      <c r="K271" s="4">
        <f t="shared" si="46"/>
        <v>44382</v>
      </c>
      <c r="L271" s="5">
        <f t="shared" si="47"/>
        <v>7</v>
      </c>
      <c r="M271" s="5">
        <f t="shared" si="48"/>
        <v>2021</v>
      </c>
      <c r="N271" s="24">
        <v>250</v>
      </c>
      <c r="O271" s="6">
        <f t="shared" ref="O271:O300" si="50">-N271</f>
        <v>-250</v>
      </c>
      <c r="P271" s="6">
        <f t="shared" si="41"/>
        <v>0</v>
      </c>
      <c r="Q271" s="7">
        <f t="shared" si="49"/>
        <v>386946.74999999988</v>
      </c>
      <c r="R271" s="44" t="str">
        <f>VLOOKUP(F271,'Set up'!$A$2:$E$70,5,FALSE)</f>
        <v>PD Chq</v>
      </c>
      <c r="S271" s="69" t="s">
        <v>348</v>
      </c>
      <c r="V271" s="1" t="s">
        <v>393</v>
      </c>
      <c r="W271" s="57">
        <v>44464</v>
      </c>
      <c r="X271" s="73" t="s">
        <v>395</v>
      </c>
    </row>
    <row r="272" spans="1:24" ht="15" customHeight="1" x14ac:dyDescent="0.3">
      <c r="A272" s="4">
        <v>44337</v>
      </c>
      <c r="B272" s="5">
        <f t="shared" si="44"/>
        <v>5</v>
      </c>
      <c r="C272" s="5">
        <f t="shared" si="45"/>
        <v>2021</v>
      </c>
      <c r="D272" s="5" t="s">
        <v>341</v>
      </c>
      <c r="E272" s="5" t="str">
        <f>VLOOKUP(F272,'Set up'!$A$2:$C$70,2,FALSE)</f>
        <v>C00000003</v>
      </c>
      <c r="F272" s="1" t="s">
        <v>20</v>
      </c>
      <c r="G272" s="55" t="s">
        <v>46</v>
      </c>
      <c r="H272" s="5">
        <v>5</v>
      </c>
      <c r="I272" s="5">
        <f>VLOOKUP(F272,'Set up'!$A$2:$C$70,3,FALSE)</f>
        <v>45</v>
      </c>
      <c r="J272" s="5">
        <f>VLOOKUP(F272,'Set up'!$A$2:$D$70,4,FALSE)</f>
        <v>45</v>
      </c>
      <c r="K272" s="4">
        <f t="shared" si="46"/>
        <v>44382</v>
      </c>
      <c r="L272" s="5">
        <f t="shared" si="47"/>
        <v>7</v>
      </c>
      <c r="M272" s="5">
        <f t="shared" si="48"/>
        <v>2021</v>
      </c>
      <c r="N272" s="24">
        <v>500</v>
      </c>
      <c r="O272" s="6">
        <f t="shared" si="50"/>
        <v>-500</v>
      </c>
      <c r="P272" s="6">
        <f t="shared" si="41"/>
        <v>0</v>
      </c>
      <c r="Q272" s="7">
        <f t="shared" si="49"/>
        <v>387446.74999999988</v>
      </c>
      <c r="R272" s="44" t="str">
        <f>VLOOKUP(F272,'Set up'!$A$2:$E$70,5,FALSE)</f>
        <v>PD Chq</v>
      </c>
      <c r="S272" s="69" t="s">
        <v>348</v>
      </c>
      <c r="V272" s="1" t="s">
        <v>393</v>
      </c>
      <c r="W272" s="57">
        <v>44485</v>
      </c>
      <c r="X272" s="73" t="s">
        <v>438</v>
      </c>
    </row>
    <row r="273" spans="1:24" ht="15" customHeight="1" x14ac:dyDescent="0.3">
      <c r="A273" s="4">
        <v>44337</v>
      </c>
      <c r="B273" s="5">
        <f t="shared" si="44"/>
        <v>5</v>
      </c>
      <c r="C273" s="5">
        <f t="shared" si="45"/>
        <v>2021</v>
      </c>
      <c r="D273" s="5" t="s">
        <v>341</v>
      </c>
      <c r="E273" s="5" t="str">
        <f>VLOOKUP(F273,'Set up'!$A$2:$C$70,2,FALSE)</f>
        <v>C00000003</v>
      </c>
      <c r="F273" s="1" t="s">
        <v>20</v>
      </c>
      <c r="G273" s="11" t="s">
        <v>178</v>
      </c>
      <c r="H273" s="5">
        <v>2</v>
      </c>
      <c r="I273" s="5">
        <f>VLOOKUP(F273,'Set up'!$A$2:$C$70,3,FALSE)</f>
        <v>45</v>
      </c>
      <c r="J273" s="5">
        <f>VLOOKUP(F273,'Set up'!$A$2:$D$70,4,FALSE)</f>
        <v>45</v>
      </c>
      <c r="K273" s="4">
        <f t="shared" si="46"/>
        <v>44382</v>
      </c>
      <c r="L273" s="5">
        <f t="shared" si="47"/>
        <v>7</v>
      </c>
      <c r="M273" s="5">
        <f t="shared" si="48"/>
        <v>2021</v>
      </c>
      <c r="N273" s="24">
        <v>90</v>
      </c>
      <c r="O273" s="6">
        <f t="shared" si="50"/>
        <v>-90</v>
      </c>
      <c r="P273" s="6">
        <f t="shared" si="41"/>
        <v>0</v>
      </c>
      <c r="Q273" s="7">
        <f t="shared" si="49"/>
        <v>387536.74999999988</v>
      </c>
      <c r="R273" s="44" t="str">
        <f>VLOOKUP(F273,'Set up'!$A$2:$E$70,5,FALSE)</f>
        <v>PD Chq</v>
      </c>
      <c r="S273" s="69" t="s">
        <v>348</v>
      </c>
      <c r="V273" s="1" t="s">
        <v>393</v>
      </c>
      <c r="W273" s="57">
        <v>44492</v>
      </c>
      <c r="X273" s="73" t="s">
        <v>453</v>
      </c>
    </row>
    <row r="274" spans="1:24" ht="15" customHeight="1" x14ac:dyDescent="0.3">
      <c r="A274" s="4">
        <v>44341</v>
      </c>
      <c r="B274" s="5">
        <f t="shared" si="44"/>
        <v>5</v>
      </c>
      <c r="C274" s="5">
        <f t="shared" si="45"/>
        <v>2021</v>
      </c>
      <c r="D274" s="5" t="s">
        <v>317</v>
      </c>
      <c r="E274" s="5" t="str">
        <f>VLOOKUP(F274,'Set up'!$A$2:$C$70,2,FALSE)</f>
        <v>C00000013a</v>
      </c>
      <c r="F274" s="1" t="s">
        <v>1453</v>
      </c>
      <c r="G274" s="55" t="s">
        <v>96</v>
      </c>
      <c r="H274" s="5">
        <v>1</v>
      </c>
      <c r="I274" s="5" t="str">
        <f>VLOOKUP(F274,'Set up'!$A$2:$C$70,3,FALSE)</f>
        <v>Cash</v>
      </c>
      <c r="J274" s="5">
        <f>VLOOKUP(F274,'Set up'!$A$2:$D$70,4,FALSE)</f>
        <v>0</v>
      </c>
      <c r="K274" s="4">
        <f t="shared" si="46"/>
        <v>44341</v>
      </c>
      <c r="L274" s="5">
        <f t="shared" si="47"/>
        <v>5</v>
      </c>
      <c r="M274" s="5">
        <f t="shared" si="48"/>
        <v>2021</v>
      </c>
      <c r="N274" s="24">
        <v>459</v>
      </c>
      <c r="O274" s="6">
        <f t="shared" si="50"/>
        <v>-459</v>
      </c>
      <c r="P274" s="6">
        <f t="shared" si="41"/>
        <v>0</v>
      </c>
      <c r="Q274" s="7">
        <f t="shared" si="49"/>
        <v>387995.74999999988</v>
      </c>
      <c r="R274" s="44" t="str">
        <f>VLOOKUP(F274,'Set up'!$A$2:$E$70,5,FALSE)</f>
        <v>Chq</v>
      </c>
      <c r="S274" s="1" t="s">
        <v>347</v>
      </c>
    </row>
    <row r="275" spans="1:24" ht="15" customHeight="1" x14ac:dyDescent="0.3">
      <c r="A275" s="4">
        <v>44341</v>
      </c>
      <c r="B275" s="5">
        <f t="shared" si="44"/>
        <v>5</v>
      </c>
      <c r="C275" s="5">
        <f t="shared" si="45"/>
        <v>2021</v>
      </c>
      <c r="D275" s="5" t="s">
        <v>317</v>
      </c>
      <c r="E275" s="5" t="str">
        <f>VLOOKUP(F275,'Set up'!$A$2:$C$70,2,FALSE)</f>
        <v>C00000013a</v>
      </c>
      <c r="F275" s="1" t="s">
        <v>1453</v>
      </c>
      <c r="G275" s="55" t="s">
        <v>97</v>
      </c>
      <c r="H275" s="5">
        <v>1</v>
      </c>
      <c r="I275" s="5" t="str">
        <f>VLOOKUP(F275,'Set up'!$A$2:$C$70,3,FALSE)</f>
        <v>Cash</v>
      </c>
      <c r="J275" s="5">
        <f>VLOOKUP(F275,'Set up'!$A$2:$D$70,4,FALSE)</f>
        <v>0</v>
      </c>
      <c r="K275" s="4">
        <f t="shared" si="46"/>
        <v>44341</v>
      </c>
      <c r="L275" s="5">
        <f t="shared" si="47"/>
        <v>5</v>
      </c>
      <c r="M275" s="5">
        <f t="shared" si="48"/>
        <v>2021</v>
      </c>
      <c r="N275" s="24">
        <v>459</v>
      </c>
      <c r="O275" s="6">
        <f t="shared" si="50"/>
        <v>-459</v>
      </c>
      <c r="P275" s="6">
        <f t="shared" si="41"/>
        <v>0</v>
      </c>
      <c r="Q275" s="7">
        <f t="shared" si="49"/>
        <v>388454.74999999988</v>
      </c>
      <c r="R275" s="44" t="str">
        <f>VLOOKUP(F275,'Set up'!$A$2:$E$70,5,FALSE)</f>
        <v>Chq</v>
      </c>
      <c r="S275" s="1" t="s">
        <v>347</v>
      </c>
    </row>
    <row r="276" spans="1:24" ht="15" customHeight="1" x14ac:dyDescent="0.3">
      <c r="A276" s="4">
        <v>44341</v>
      </c>
      <c r="B276" s="5">
        <f t="shared" si="44"/>
        <v>5</v>
      </c>
      <c r="C276" s="5">
        <f t="shared" si="45"/>
        <v>2021</v>
      </c>
      <c r="D276" s="5" t="s">
        <v>317</v>
      </c>
      <c r="E276" s="5" t="str">
        <f>VLOOKUP(F276,'Set up'!$A$2:$C$70,2,FALSE)</f>
        <v>C00000013a</v>
      </c>
      <c r="F276" s="1" t="s">
        <v>1453</v>
      </c>
      <c r="G276" s="68" t="s">
        <v>17</v>
      </c>
      <c r="H276" s="5">
        <v>1</v>
      </c>
      <c r="I276" s="5" t="str">
        <f>VLOOKUP(F276,'Set up'!$A$2:$C$70,3,FALSE)</f>
        <v>Cash</v>
      </c>
      <c r="J276" s="5">
        <f>VLOOKUP(F276,'Set up'!$A$2:$D$70,4,FALSE)</f>
        <v>0</v>
      </c>
      <c r="K276" s="4">
        <f t="shared" si="46"/>
        <v>44341</v>
      </c>
      <c r="L276" s="5">
        <f t="shared" si="47"/>
        <v>5</v>
      </c>
      <c r="M276" s="5">
        <f t="shared" si="48"/>
        <v>2021</v>
      </c>
      <c r="N276" s="24">
        <v>100</v>
      </c>
      <c r="O276" s="6">
        <f t="shared" si="50"/>
        <v>-100</v>
      </c>
      <c r="P276" s="6">
        <f t="shared" si="41"/>
        <v>0</v>
      </c>
      <c r="Q276" s="7">
        <f t="shared" si="49"/>
        <v>388554.74999999988</v>
      </c>
      <c r="R276" s="44" t="str">
        <f>VLOOKUP(F276,'Set up'!$A$2:$E$70,5,FALSE)</f>
        <v>Chq</v>
      </c>
      <c r="S276" s="1" t="s">
        <v>347</v>
      </c>
    </row>
    <row r="277" spans="1:24" ht="15" customHeight="1" x14ac:dyDescent="0.3">
      <c r="A277" s="4">
        <v>44341</v>
      </c>
      <c r="B277" s="5">
        <f t="shared" si="44"/>
        <v>5</v>
      </c>
      <c r="C277" s="5">
        <f t="shared" si="45"/>
        <v>2021</v>
      </c>
      <c r="D277" s="5" t="s">
        <v>317</v>
      </c>
      <c r="E277" s="5" t="str">
        <f>VLOOKUP(F277,'Set up'!$A$2:$C$70,2,FALSE)</f>
        <v>C00000013a</v>
      </c>
      <c r="F277" s="1" t="s">
        <v>1453</v>
      </c>
      <c r="G277" s="55" t="s">
        <v>292</v>
      </c>
      <c r="H277" s="5">
        <v>1</v>
      </c>
      <c r="I277" s="5" t="str">
        <f>VLOOKUP(F277,'Set up'!$A$2:$C$70,3,FALSE)</f>
        <v>Cash</v>
      </c>
      <c r="J277" s="5">
        <f>VLOOKUP(F277,'Set up'!$A$2:$D$70,4,FALSE)</f>
        <v>0</v>
      </c>
      <c r="K277" s="4">
        <f t="shared" si="46"/>
        <v>44341</v>
      </c>
      <c r="L277" s="5">
        <f t="shared" si="47"/>
        <v>5</v>
      </c>
      <c r="M277" s="5">
        <f t="shared" si="48"/>
        <v>2021</v>
      </c>
      <c r="N277" s="24">
        <v>380</v>
      </c>
      <c r="O277" s="6">
        <f t="shared" si="50"/>
        <v>-380</v>
      </c>
      <c r="P277" s="6">
        <f t="shared" ref="P277:P340" si="51">SUM(N277+O277)</f>
        <v>0</v>
      </c>
      <c r="Q277" s="7">
        <f t="shared" si="49"/>
        <v>388934.74999999988</v>
      </c>
      <c r="R277" s="44" t="str">
        <f>VLOOKUP(F277,'Set up'!$A$2:$E$70,5,FALSE)</f>
        <v>Chq</v>
      </c>
      <c r="S277" s="1" t="s">
        <v>347</v>
      </c>
    </row>
    <row r="278" spans="1:24" ht="15" customHeight="1" x14ac:dyDescent="0.3">
      <c r="A278" s="4">
        <v>44341</v>
      </c>
      <c r="B278" s="5">
        <f t="shared" si="44"/>
        <v>5</v>
      </c>
      <c r="C278" s="5">
        <f t="shared" si="45"/>
        <v>2021</v>
      </c>
      <c r="D278" s="5" t="s">
        <v>317</v>
      </c>
      <c r="E278" s="5" t="str">
        <f>VLOOKUP(F278,'Set up'!$A$2:$C$70,2,FALSE)</f>
        <v>C00000013a</v>
      </c>
      <c r="F278" s="1" t="s">
        <v>1453</v>
      </c>
      <c r="G278" s="78" t="s">
        <v>24</v>
      </c>
      <c r="H278" s="5">
        <v>1</v>
      </c>
      <c r="I278" s="5" t="str">
        <f>VLOOKUP(F278,'Set up'!$A$2:$C$70,3,FALSE)</f>
        <v>Cash</v>
      </c>
      <c r="J278" s="5">
        <f>VLOOKUP(F278,'Set up'!$A$2:$D$70,4,FALSE)</f>
        <v>0</v>
      </c>
      <c r="K278" s="4">
        <f t="shared" si="46"/>
        <v>44341</v>
      </c>
      <c r="L278" s="5">
        <f t="shared" si="47"/>
        <v>5</v>
      </c>
      <c r="M278" s="5">
        <f t="shared" si="48"/>
        <v>2021</v>
      </c>
      <c r="N278" s="24">
        <v>246</v>
      </c>
      <c r="O278" s="6">
        <f t="shared" si="50"/>
        <v>-246</v>
      </c>
      <c r="P278" s="6">
        <f t="shared" si="51"/>
        <v>0</v>
      </c>
      <c r="Q278" s="7">
        <f t="shared" si="49"/>
        <v>389180.74999999988</v>
      </c>
      <c r="R278" s="44" t="str">
        <f>VLOOKUP(F278,'Set up'!$A$2:$E$70,5,FALSE)</f>
        <v>Chq</v>
      </c>
      <c r="S278" s="1" t="s">
        <v>347</v>
      </c>
    </row>
    <row r="279" spans="1:24" ht="15" customHeight="1" x14ac:dyDescent="0.3">
      <c r="A279" s="4">
        <v>44341</v>
      </c>
      <c r="B279" s="5">
        <f t="shared" si="44"/>
        <v>5</v>
      </c>
      <c r="C279" s="5">
        <f t="shared" si="45"/>
        <v>2021</v>
      </c>
      <c r="D279" s="5" t="s">
        <v>317</v>
      </c>
      <c r="E279" s="5" t="str">
        <f>VLOOKUP(F279,'Set up'!$A$2:$C$70,2,FALSE)</f>
        <v>C00000013a</v>
      </c>
      <c r="F279" s="1" t="s">
        <v>1453</v>
      </c>
      <c r="G279" s="78" t="s">
        <v>178</v>
      </c>
      <c r="H279" s="5">
        <v>2</v>
      </c>
      <c r="I279" s="5" t="str">
        <f>VLOOKUP(F279,'Set up'!$A$2:$C$70,3,FALSE)</f>
        <v>Cash</v>
      </c>
      <c r="J279" s="5">
        <f>VLOOKUP(F279,'Set up'!$A$2:$D$70,4,FALSE)</f>
        <v>0</v>
      </c>
      <c r="K279" s="4">
        <f t="shared" si="46"/>
        <v>44341</v>
      </c>
      <c r="L279" s="5">
        <f t="shared" si="47"/>
        <v>5</v>
      </c>
      <c r="M279" s="5">
        <f t="shared" si="48"/>
        <v>2021</v>
      </c>
      <c r="N279" s="24">
        <v>90</v>
      </c>
      <c r="O279" s="6">
        <f t="shared" si="50"/>
        <v>-90</v>
      </c>
      <c r="P279" s="6">
        <f t="shared" si="51"/>
        <v>0</v>
      </c>
      <c r="Q279" s="7">
        <f t="shared" si="49"/>
        <v>389270.74999999988</v>
      </c>
      <c r="R279" s="44" t="str">
        <f>VLOOKUP(F279,'Set up'!$A$2:$E$70,5,FALSE)</f>
        <v>Chq</v>
      </c>
      <c r="S279" s="1" t="s">
        <v>347</v>
      </c>
    </row>
    <row r="280" spans="1:24" ht="15" customHeight="1" x14ac:dyDescent="0.3">
      <c r="A280" s="4">
        <v>44341</v>
      </c>
      <c r="B280" s="5">
        <f t="shared" si="44"/>
        <v>5</v>
      </c>
      <c r="C280" s="5">
        <f t="shared" si="45"/>
        <v>2021</v>
      </c>
      <c r="D280" s="5" t="s">
        <v>317</v>
      </c>
      <c r="E280" s="5" t="str">
        <f>VLOOKUP(F280,'Set up'!$A$2:$C$70,2,FALSE)</f>
        <v>C00000013a</v>
      </c>
      <c r="F280" s="1" t="s">
        <v>1453</v>
      </c>
      <c r="G280" s="78" t="s">
        <v>293</v>
      </c>
      <c r="H280" s="5">
        <v>1</v>
      </c>
      <c r="I280" s="5" t="str">
        <f>VLOOKUP(F280,'Set up'!$A$2:$C$70,3,FALSE)</f>
        <v>Cash</v>
      </c>
      <c r="J280" s="5">
        <f>VLOOKUP(F280,'Set up'!$A$2:$D$70,4,FALSE)</f>
        <v>0</v>
      </c>
      <c r="K280" s="4">
        <f t="shared" si="46"/>
        <v>44341</v>
      </c>
      <c r="L280" s="5">
        <f t="shared" si="47"/>
        <v>5</v>
      </c>
      <c r="M280" s="5">
        <f t="shared" si="48"/>
        <v>2021</v>
      </c>
      <c r="N280" s="24">
        <v>68</v>
      </c>
      <c r="O280" s="6">
        <f t="shared" si="50"/>
        <v>-68</v>
      </c>
      <c r="P280" s="6">
        <f t="shared" si="51"/>
        <v>0</v>
      </c>
      <c r="Q280" s="7">
        <f t="shared" si="49"/>
        <v>389338.74999999988</v>
      </c>
      <c r="R280" s="44" t="str">
        <f>VLOOKUP(F280,'Set up'!$A$2:$E$70,5,FALSE)</f>
        <v>Chq</v>
      </c>
      <c r="S280" s="1" t="s">
        <v>347</v>
      </c>
    </row>
    <row r="281" spans="1:24" ht="15" customHeight="1" x14ac:dyDescent="0.3">
      <c r="A281" s="4">
        <v>44341</v>
      </c>
      <c r="B281" s="5">
        <f t="shared" si="44"/>
        <v>5</v>
      </c>
      <c r="C281" s="5">
        <f t="shared" si="45"/>
        <v>2021</v>
      </c>
      <c r="D281" s="5" t="s">
        <v>317</v>
      </c>
      <c r="E281" s="5" t="str">
        <f>VLOOKUP(F281,'Set up'!$A$2:$C$70,2,FALSE)</f>
        <v>C00000013a</v>
      </c>
      <c r="F281" s="1" t="s">
        <v>1453</v>
      </c>
      <c r="G281" s="78" t="s">
        <v>294</v>
      </c>
      <c r="H281" s="5">
        <v>2</v>
      </c>
      <c r="I281" s="5" t="str">
        <f>VLOOKUP(F281,'Set up'!$A$2:$C$70,3,FALSE)</f>
        <v>Cash</v>
      </c>
      <c r="J281" s="5">
        <f>VLOOKUP(F281,'Set up'!$A$2:$D$70,4,FALSE)</f>
        <v>0</v>
      </c>
      <c r="K281" s="4">
        <f t="shared" si="46"/>
        <v>44341</v>
      </c>
      <c r="L281" s="5">
        <f t="shared" si="47"/>
        <v>5</v>
      </c>
      <c r="M281" s="5">
        <f t="shared" si="48"/>
        <v>2021</v>
      </c>
      <c r="N281" s="24">
        <v>130</v>
      </c>
      <c r="O281" s="6">
        <f t="shared" si="50"/>
        <v>-130</v>
      </c>
      <c r="P281" s="6">
        <f t="shared" si="51"/>
        <v>0</v>
      </c>
      <c r="Q281" s="7">
        <f t="shared" si="49"/>
        <v>389468.74999999988</v>
      </c>
      <c r="R281" s="44" t="str">
        <f>VLOOKUP(F281,'Set up'!$A$2:$E$70,5,FALSE)</f>
        <v>Chq</v>
      </c>
      <c r="S281" s="1" t="s">
        <v>347</v>
      </c>
    </row>
    <row r="282" spans="1:24" ht="15" customHeight="1" x14ac:dyDescent="0.3">
      <c r="A282" s="4">
        <v>44341</v>
      </c>
      <c r="B282" s="5">
        <f t="shared" si="44"/>
        <v>5</v>
      </c>
      <c r="C282" s="5">
        <f t="shared" si="45"/>
        <v>2021</v>
      </c>
      <c r="D282" s="5" t="s">
        <v>317</v>
      </c>
      <c r="E282" s="5" t="str">
        <f>VLOOKUP(F282,'Set up'!$A$2:$C$70,2,FALSE)</f>
        <v>C00000013a</v>
      </c>
      <c r="F282" s="1" t="s">
        <v>1453</v>
      </c>
      <c r="G282" s="11" t="s">
        <v>295</v>
      </c>
      <c r="H282" s="5">
        <v>1</v>
      </c>
      <c r="I282" s="5" t="str">
        <f>VLOOKUP(F282,'Set up'!$A$2:$C$70,3,FALSE)</f>
        <v>Cash</v>
      </c>
      <c r="J282" s="5">
        <f>VLOOKUP(F282,'Set up'!$A$2:$D$70,4,FALSE)</f>
        <v>0</v>
      </c>
      <c r="K282" s="4">
        <f t="shared" si="46"/>
        <v>44341</v>
      </c>
      <c r="L282" s="5">
        <f t="shared" si="47"/>
        <v>5</v>
      </c>
      <c r="M282" s="5">
        <f t="shared" si="48"/>
        <v>2021</v>
      </c>
      <c r="N282" s="24">
        <v>42</v>
      </c>
      <c r="O282" s="6">
        <f t="shared" si="50"/>
        <v>-42</v>
      </c>
      <c r="P282" s="6">
        <f t="shared" si="51"/>
        <v>0</v>
      </c>
      <c r="Q282" s="7">
        <f t="shared" si="49"/>
        <v>389510.74999999988</v>
      </c>
      <c r="R282" s="44" t="str">
        <f>VLOOKUP(F282,'Set up'!$A$2:$E$70,5,FALSE)</f>
        <v>Chq</v>
      </c>
      <c r="S282" s="1" t="s">
        <v>347</v>
      </c>
    </row>
    <row r="283" spans="1:24" ht="15" customHeight="1" x14ac:dyDescent="0.3">
      <c r="A283" s="4">
        <v>44341</v>
      </c>
      <c r="B283" s="5">
        <f t="shared" si="44"/>
        <v>5</v>
      </c>
      <c r="C283" s="5">
        <f t="shared" si="45"/>
        <v>2021</v>
      </c>
      <c r="D283" s="5" t="s">
        <v>317</v>
      </c>
      <c r="E283" s="5" t="str">
        <f>VLOOKUP(F283,'Set up'!$A$2:$C$70,2,FALSE)</f>
        <v>C00000013a</v>
      </c>
      <c r="F283" s="1" t="s">
        <v>1453</v>
      </c>
      <c r="G283" s="11" t="s">
        <v>296</v>
      </c>
      <c r="H283" s="5">
        <v>1</v>
      </c>
      <c r="I283" s="5" t="str">
        <f>VLOOKUP(F283,'Set up'!$A$2:$C$70,3,FALSE)</f>
        <v>Cash</v>
      </c>
      <c r="J283" s="5">
        <f>VLOOKUP(F283,'Set up'!$A$2:$D$70,4,FALSE)</f>
        <v>0</v>
      </c>
      <c r="K283" s="4">
        <f t="shared" si="46"/>
        <v>44341</v>
      </c>
      <c r="L283" s="5">
        <f t="shared" si="47"/>
        <v>5</v>
      </c>
      <c r="M283" s="5">
        <f t="shared" si="48"/>
        <v>2021</v>
      </c>
      <c r="N283" s="24">
        <v>60</v>
      </c>
      <c r="O283" s="6">
        <f t="shared" si="50"/>
        <v>-60</v>
      </c>
      <c r="P283" s="6">
        <f t="shared" si="51"/>
        <v>0</v>
      </c>
      <c r="Q283" s="7">
        <f t="shared" si="49"/>
        <v>389570.74999999988</v>
      </c>
      <c r="R283" s="44" t="str">
        <f>VLOOKUP(F283,'Set up'!$A$2:$E$70,5,FALSE)</f>
        <v>Chq</v>
      </c>
      <c r="S283" s="1" t="s">
        <v>347</v>
      </c>
    </row>
    <row r="284" spans="1:24" ht="15" customHeight="1" x14ac:dyDescent="0.3">
      <c r="A284" s="4">
        <v>44341</v>
      </c>
      <c r="B284" s="5">
        <f t="shared" si="44"/>
        <v>5</v>
      </c>
      <c r="C284" s="5">
        <f t="shared" si="45"/>
        <v>2021</v>
      </c>
      <c r="D284" s="5" t="s">
        <v>317</v>
      </c>
      <c r="E284" s="5" t="str">
        <f>VLOOKUP(F284,'Set up'!$A$2:$C$70,2,FALSE)</f>
        <v>C00000013a</v>
      </c>
      <c r="F284" s="1" t="s">
        <v>1453</v>
      </c>
      <c r="G284" s="2" t="s">
        <v>67</v>
      </c>
      <c r="H284" s="5">
        <v>1</v>
      </c>
      <c r="I284" s="5" t="str">
        <f>VLOOKUP(F284,'Set up'!$A$2:$C$70,3,FALSE)</f>
        <v>Cash</v>
      </c>
      <c r="J284" s="5">
        <f>VLOOKUP(F284,'Set up'!$A$2:$D$70,4,FALSE)</f>
        <v>0</v>
      </c>
      <c r="K284" s="4">
        <f t="shared" si="46"/>
        <v>44341</v>
      </c>
      <c r="L284" s="5">
        <f t="shared" si="47"/>
        <v>5</v>
      </c>
      <c r="M284" s="5">
        <f t="shared" si="48"/>
        <v>2021</v>
      </c>
      <c r="N284" s="24">
        <v>1870</v>
      </c>
      <c r="O284" s="6">
        <f t="shared" si="50"/>
        <v>-1870</v>
      </c>
      <c r="P284" s="6">
        <f t="shared" si="51"/>
        <v>0</v>
      </c>
      <c r="Q284" s="7">
        <f t="shared" si="49"/>
        <v>391440.74999999988</v>
      </c>
      <c r="R284" s="44" t="str">
        <f>VLOOKUP(F284,'Set up'!$A$2:$E$70,5,FALSE)</f>
        <v>Chq</v>
      </c>
      <c r="S284" s="1" t="s">
        <v>347</v>
      </c>
    </row>
    <row r="285" spans="1:24" ht="15" customHeight="1" x14ac:dyDescent="0.3">
      <c r="A285" s="4">
        <v>44341</v>
      </c>
      <c r="B285" s="5">
        <f t="shared" si="44"/>
        <v>5</v>
      </c>
      <c r="C285" s="5">
        <f t="shared" si="45"/>
        <v>2021</v>
      </c>
      <c r="D285" s="5" t="s">
        <v>317</v>
      </c>
      <c r="E285" s="5" t="str">
        <f>VLOOKUP(F285,'Set up'!$A$2:$C$70,2,FALSE)</f>
        <v>C00000013a</v>
      </c>
      <c r="F285" s="1" t="s">
        <v>1453</v>
      </c>
      <c r="G285" s="56" t="s">
        <v>64</v>
      </c>
      <c r="H285" s="5">
        <v>1</v>
      </c>
      <c r="I285" s="5" t="str">
        <f>VLOOKUP(F285,'Set up'!$A$2:$C$70,3,FALSE)</f>
        <v>Cash</v>
      </c>
      <c r="J285" s="5">
        <f>VLOOKUP(F285,'Set up'!$A$2:$D$70,4,FALSE)</f>
        <v>0</v>
      </c>
      <c r="K285" s="4">
        <f t="shared" si="46"/>
        <v>44341</v>
      </c>
      <c r="L285" s="5">
        <f t="shared" si="47"/>
        <v>5</v>
      </c>
      <c r="M285" s="5">
        <f t="shared" si="48"/>
        <v>2021</v>
      </c>
      <c r="N285" s="24">
        <v>55</v>
      </c>
      <c r="O285" s="6">
        <f t="shared" si="50"/>
        <v>-55</v>
      </c>
      <c r="P285" s="6">
        <f t="shared" si="51"/>
        <v>0</v>
      </c>
      <c r="Q285" s="7">
        <f t="shared" si="49"/>
        <v>391495.74999999988</v>
      </c>
      <c r="R285" s="44" t="str">
        <f>VLOOKUP(F285,'Set up'!$A$2:$E$70,5,FALSE)</f>
        <v>Chq</v>
      </c>
      <c r="S285" s="1" t="s">
        <v>347</v>
      </c>
    </row>
    <row r="286" spans="1:24" ht="15" customHeight="1" x14ac:dyDescent="0.3">
      <c r="A286" s="4">
        <v>44341</v>
      </c>
      <c r="B286" s="5">
        <f t="shared" si="44"/>
        <v>5</v>
      </c>
      <c r="C286" s="5">
        <f t="shared" si="45"/>
        <v>2021</v>
      </c>
      <c r="D286" s="5" t="s">
        <v>342</v>
      </c>
      <c r="E286" s="5" t="str">
        <f>VLOOKUP(F286,'Set up'!$A$2:$C$70,2,FALSE)</f>
        <v>C00000005</v>
      </c>
      <c r="F286" s="1" t="s">
        <v>35</v>
      </c>
      <c r="G286" s="11" t="s">
        <v>17</v>
      </c>
      <c r="H286" s="5">
        <v>1</v>
      </c>
      <c r="I286" s="5" t="str">
        <f>VLOOKUP(F286,'Set up'!$A$2:$C$70,3,FALSE)</f>
        <v>Cash</v>
      </c>
      <c r="J286" s="5">
        <f>VLOOKUP(F286,'Set up'!$A$2:$D$70,4,FALSE)</f>
        <v>0</v>
      </c>
      <c r="K286" s="4">
        <f t="shared" si="46"/>
        <v>44341</v>
      </c>
      <c r="L286" s="5">
        <f t="shared" si="47"/>
        <v>5</v>
      </c>
      <c r="M286" s="5">
        <f t="shared" si="48"/>
        <v>2021</v>
      </c>
      <c r="N286" s="24">
        <v>100</v>
      </c>
      <c r="O286" s="6">
        <f t="shared" si="50"/>
        <v>-100</v>
      </c>
      <c r="P286" s="6">
        <f t="shared" si="51"/>
        <v>0</v>
      </c>
      <c r="Q286" s="7">
        <f t="shared" si="49"/>
        <v>391595.74999999988</v>
      </c>
      <c r="R286" s="44" t="str">
        <f>VLOOKUP(F286,'Set up'!$A$2:$E$70,5,FALSE)</f>
        <v>Chq</v>
      </c>
      <c r="S286" s="1" t="s">
        <v>354</v>
      </c>
    </row>
    <row r="287" spans="1:24" ht="15" customHeight="1" x14ac:dyDescent="0.3">
      <c r="A287" s="4">
        <v>44348</v>
      </c>
      <c r="B287" s="5">
        <f t="shared" si="44"/>
        <v>6</v>
      </c>
      <c r="C287" s="5">
        <f t="shared" si="45"/>
        <v>2021</v>
      </c>
      <c r="D287" s="5" t="s">
        <v>355</v>
      </c>
      <c r="E287" s="5" t="str">
        <f>VLOOKUP(F287,'Set up'!$A$2:$C$70,2,FALSE)</f>
        <v>C00000010</v>
      </c>
      <c r="F287" s="1" t="s">
        <v>62</v>
      </c>
      <c r="G287" s="56" t="s">
        <v>303</v>
      </c>
      <c r="H287" s="5">
        <v>4</v>
      </c>
      <c r="I287" s="5">
        <f>VLOOKUP(F287,'Set up'!$A$2:$C$70,3,FALSE)</f>
        <v>120</v>
      </c>
      <c r="J287" s="5">
        <f>VLOOKUP(F287,'Set up'!$A$2:$D$70,4,FALSE)</f>
        <v>120</v>
      </c>
      <c r="K287" s="4">
        <f t="shared" si="46"/>
        <v>44468</v>
      </c>
      <c r="L287" s="5">
        <f t="shared" si="47"/>
        <v>9</v>
      </c>
      <c r="M287" s="5">
        <f t="shared" si="48"/>
        <v>2021</v>
      </c>
      <c r="N287" s="24">
        <v>6952</v>
      </c>
      <c r="O287" s="6">
        <f t="shared" si="50"/>
        <v>-6952</v>
      </c>
      <c r="P287" s="6">
        <f t="shared" si="51"/>
        <v>0</v>
      </c>
      <c r="Q287" s="7">
        <f t="shared" si="49"/>
        <v>398547.74999999988</v>
      </c>
      <c r="R287" s="44" t="str">
        <f>VLOOKUP(F287,'Set up'!$A$2:$E$70,5,FALSE)</f>
        <v>Trsf</v>
      </c>
      <c r="S287" s="1" t="s">
        <v>439</v>
      </c>
    </row>
    <row r="288" spans="1:24" ht="15" customHeight="1" x14ac:dyDescent="0.3">
      <c r="A288" s="4">
        <v>44348</v>
      </c>
      <c r="B288" s="5">
        <f t="shared" si="44"/>
        <v>6</v>
      </c>
      <c r="C288" s="5">
        <f t="shared" si="45"/>
        <v>2021</v>
      </c>
      <c r="D288" s="5" t="s">
        <v>356</v>
      </c>
      <c r="E288" s="5" t="str">
        <f>VLOOKUP(F288,'Set up'!$A$2:$C$70,2,FALSE)</f>
        <v>C00000009</v>
      </c>
      <c r="F288" s="1" t="s">
        <v>58</v>
      </c>
      <c r="G288" s="2" t="s">
        <v>360</v>
      </c>
      <c r="H288" s="5">
        <v>3</v>
      </c>
      <c r="I288" s="5">
        <f>VLOOKUP(F288,'Set up'!$A$2:$C$70,3,FALSE)</f>
        <v>60</v>
      </c>
      <c r="J288" s="5">
        <f>VLOOKUP(F288,'Set up'!$A$2:$D$70,4,FALSE)</f>
        <v>60</v>
      </c>
      <c r="K288" s="4">
        <f t="shared" si="46"/>
        <v>44408</v>
      </c>
      <c r="L288" s="5">
        <f t="shared" si="47"/>
        <v>7</v>
      </c>
      <c r="M288" s="5">
        <f t="shared" si="48"/>
        <v>2021</v>
      </c>
      <c r="N288" s="24">
        <v>1530</v>
      </c>
      <c r="O288" s="6">
        <f t="shared" si="50"/>
        <v>-1530</v>
      </c>
      <c r="P288" s="6">
        <f t="shared" si="51"/>
        <v>0</v>
      </c>
      <c r="Q288" s="7">
        <f t="shared" si="49"/>
        <v>400077.74999999988</v>
      </c>
      <c r="R288" s="44" t="str">
        <f>VLOOKUP(F288,'Set up'!$A$2:$E$70,5,FALSE)</f>
        <v>Chq</v>
      </c>
      <c r="S288" s="1" t="s">
        <v>527</v>
      </c>
    </row>
    <row r="289" spans="1:21" ht="15" customHeight="1" x14ac:dyDescent="0.3">
      <c r="A289" s="4">
        <v>44348</v>
      </c>
      <c r="B289" s="5">
        <f t="shared" si="44"/>
        <v>6</v>
      </c>
      <c r="C289" s="5">
        <f t="shared" si="45"/>
        <v>2021</v>
      </c>
      <c r="D289" s="5" t="s">
        <v>356</v>
      </c>
      <c r="E289" s="5" t="str">
        <f>VLOOKUP(F289,'Set up'!$A$2:$C$70,2,FALSE)</f>
        <v>C00000009</v>
      </c>
      <c r="F289" s="1" t="s">
        <v>58</v>
      </c>
      <c r="G289" s="2" t="s">
        <v>359</v>
      </c>
      <c r="H289" s="5">
        <v>5</v>
      </c>
      <c r="I289" s="5">
        <f>VLOOKUP(F289,'Set up'!$A$2:$C$70,3,FALSE)</f>
        <v>60</v>
      </c>
      <c r="J289" s="5">
        <f>VLOOKUP(F289,'Set up'!$A$2:$D$70,4,FALSE)</f>
        <v>60</v>
      </c>
      <c r="K289" s="4">
        <f t="shared" si="46"/>
        <v>44408</v>
      </c>
      <c r="L289" s="5">
        <f t="shared" si="47"/>
        <v>7</v>
      </c>
      <c r="M289" s="5">
        <f t="shared" si="48"/>
        <v>2021</v>
      </c>
      <c r="N289" s="44">
        <v>2295</v>
      </c>
      <c r="O289" s="6">
        <f t="shared" si="50"/>
        <v>-2295</v>
      </c>
      <c r="P289" s="6">
        <f t="shared" si="51"/>
        <v>0</v>
      </c>
      <c r="Q289" s="7">
        <f t="shared" si="49"/>
        <v>402372.74999999988</v>
      </c>
      <c r="R289" s="44" t="str">
        <f>VLOOKUP(F289,'Set up'!$A$2:$E$70,5,FALSE)</f>
        <v>Chq</v>
      </c>
      <c r="S289" s="1" t="s">
        <v>527</v>
      </c>
    </row>
    <row r="290" spans="1:21" ht="15" customHeight="1" x14ac:dyDescent="0.3">
      <c r="A290" s="4">
        <v>44348</v>
      </c>
      <c r="B290" s="5">
        <f t="shared" si="44"/>
        <v>6</v>
      </c>
      <c r="C290" s="5">
        <f t="shared" si="45"/>
        <v>2021</v>
      </c>
      <c r="D290" s="5" t="s">
        <v>357</v>
      </c>
      <c r="E290" s="5" t="str">
        <f>VLOOKUP(F290,'Set up'!$A$2:$C$70,2,FALSE)</f>
        <v>C00000009</v>
      </c>
      <c r="F290" s="1" t="s">
        <v>58</v>
      </c>
      <c r="G290" s="11" t="s">
        <v>44</v>
      </c>
      <c r="H290" s="5">
        <v>3</v>
      </c>
      <c r="I290" s="5">
        <f>VLOOKUP(F290,'Set up'!$A$2:$C$70,3,FALSE)</f>
        <v>60</v>
      </c>
      <c r="J290" s="5">
        <f>VLOOKUP(F290,'Set up'!$A$2:$D$70,4,FALSE)</f>
        <v>60</v>
      </c>
      <c r="K290" s="4">
        <f t="shared" si="46"/>
        <v>44408</v>
      </c>
      <c r="L290" s="5">
        <f t="shared" si="47"/>
        <v>7</v>
      </c>
      <c r="M290" s="5">
        <f t="shared" si="48"/>
        <v>2021</v>
      </c>
      <c r="N290" s="44">
        <v>690</v>
      </c>
      <c r="O290" s="6">
        <f t="shared" si="50"/>
        <v>-690</v>
      </c>
      <c r="P290" s="6">
        <f t="shared" si="51"/>
        <v>0</v>
      </c>
      <c r="Q290" s="7">
        <f t="shared" si="49"/>
        <v>403062.74999999988</v>
      </c>
      <c r="R290" s="44" t="str">
        <f>VLOOKUP(F290,'Set up'!$A$2:$E$70,5,FALSE)</f>
        <v>Chq</v>
      </c>
      <c r="S290" s="1" t="s">
        <v>527</v>
      </c>
    </row>
    <row r="291" spans="1:21" x14ac:dyDescent="0.3">
      <c r="A291" s="4">
        <v>44348</v>
      </c>
      <c r="B291" s="5">
        <f t="shared" si="44"/>
        <v>6</v>
      </c>
      <c r="C291" s="5">
        <f t="shared" si="45"/>
        <v>2021</v>
      </c>
      <c r="D291" s="5" t="s">
        <v>358</v>
      </c>
      <c r="E291" s="5" t="str">
        <f>VLOOKUP(F291,'Set up'!$A$2:$C$70,2,FALSE)</f>
        <v>C00000010</v>
      </c>
      <c r="F291" s="1" t="s">
        <v>62</v>
      </c>
      <c r="G291" s="2" t="s">
        <v>64</v>
      </c>
      <c r="H291" s="5">
        <v>10</v>
      </c>
      <c r="I291" s="5">
        <f>VLOOKUP(F291,'Set up'!$A$2:$C$70,3,FALSE)</f>
        <v>120</v>
      </c>
      <c r="J291" s="5">
        <f>VLOOKUP(F291,'Set up'!$A$2:$D$70,4,FALSE)</f>
        <v>120</v>
      </c>
      <c r="K291" s="4">
        <f t="shared" si="46"/>
        <v>44468</v>
      </c>
      <c r="L291" s="5">
        <f t="shared" si="47"/>
        <v>9</v>
      </c>
      <c r="M291" s="5">
        <f t="shared" si="48"/>
        <v>2021</v>
      </c>
      <c r="N291" s="44">
        <v>550</v>
      </c>
      <c r="O291" s="6">
        <f t="shared" si="50"/>
        <v>-550</v>
      </c>
      <c r="P291" s="6">
        <f t="shared" si="51"/>
        <v>0</v>
      </c>
      <c r="Q291" s="7">
        <f t="shared" si="49"/>
        <v>403612.74999999988</v>
      </c>
      <c r="R291" s="44" t="str">
        <f>VLOOKUP(F291,'Set up'!$A$2:$E$70,5,FALSE)</f>
        <v>Trsf</v>
      </c>
      <c r="S291" s="1" t="s">
        <v>439</v>
      </c>
      <c r="T291"/>
    </row>
    <row r="292" spans="1:21" x14ac:dyDescent="0.3">
      <c r="A292" s="4">
        <v>44348</v>
      </c>
      <c r="B292" s="5">
        <f t="shared" si="44"/>
        <v>6</v>
      </c>
      <c r="C292" s="5">
        <f t="shared" si="45"/>
        <v>2021</v>
      </c>
      <c r="D292" s="5" t="s">
        <v>358</v>
      </c>
      <c r="E292" s="5" t="str">
        <f>VLOOKUP(F292,'Set up'!$A$2:$C$70,2,FALSE)</f>
        <v>C00000010</v>
      </c>
      <c r="F292" s="1" t="s">
        <v>62</v>
      </c>
      <c r="G292" s="11" t="s">
        <v>46</v>
      </c>
      <c r="H292" s="5">
        <v>4</v>
      </c>
      <c r="I292" s="5">
        <f>VLOOKUP(F292,'Set up'!$A$2:$C$70,3,FALSE)</f>
        <v>120</v>
      </c>
      <c r="J292" s="5">
        <f>VLOOKUP(F292,'Set up'!$A$2:$D$70,4,FALSE)</f>
        <v>120</v>
      </c>
      <c r="K292" s="4">
        <f t="shared" si="46"/>
        <v>44468</v>
      </c>
      <c r="L292" s="5">
        <f t="shared" si="47"/>
        <v>9</v>
      </c>
      <c r="M292" s="5">
        <f t="shared" si="48"/>
        <v>2021</v>
      </c>
      <c r="N292" s="6">
        <v>380</v>
      </c>
      <c r="O292" s="6">
        <f t="shared" si="50"/>
        <v>-380</v>
      </c>
      <c r="P292" s="6">
        <f t="shared" si="51"/>
        <v>0</v>
      </c>
      <c r="Q292" s="7">
        <f t="shared" si="49"/>
        <v>403992.74999999988</v>
      </c>
      <c r="R292" s="44" t="str">
        <f>VLOOKUP(F292,'Set up'!$A$2:$E$70,5,FALSE)</f>
        <v>Trsf</v>
      </c>
      <c r="S292" s="1" t="s">
        <v>439</v>
      </c>
    </row>
    <row r="293" spans="1:21" x14ac:dyDescent="0.3">
      <c r="A293" s="4">
        <v>44440</v>
      </c>
      <c r="B293" s="5">
        <f t="shared" si="44"/>
        <v>9</v>
      </c>
      <c r="C293" s="5">
        <f t="shared" si="45"/>
        <v>2021</v>
      </c>
      <c r="D293" s="5" t="s">
        <v>363</v>
      </c>
      <c r="E293" s="5" t="str">
        <f>VLOOKUP(F293,'Set up'!$A$2:$C$70,2,FALSE)</f>
        <v>C00000017</v>
      </c>
      <c r="F293" s="1" t="s">
        <v>1697</v>
      </c>
      <c r="G293" s="11" t="s">
        <v>366</v>
      </c>
      <c r="H293" s="5">
        <v>2</v>
      </c>
      <c r="I293" s="5" t="str">
        <f>VLOOKUP(F293,'Set up'!$A$2:$C$70,3,FALSE)</f>
        <v>Cash</v>
      </c>
      <c r="J293" s="5">
        <f>VLOOKUP(F293,'Set up'!$A$2:$D$70,4,FALSE)</f>
        <v>0</v>
      </c>
      <c r="K293" s="4">
        <f t="shared" si="46"/>
        <v>44440</v>
      </c>
      <c r="L293" s="5">
        <f t="shared" si="47"/>
        <v>9</v>
      </c>
      <c r="M293" s="5">
        <f t="shared" si="48"/>
        <v>2021</v>
      </c>
      <c r="N293" s="6">
        <v>600</v>
      </c>
      <c r="O293" s="6">
        <f t="shared" si="50"/>
        <v>-600</v>
      </c>
      <c r="P293" s="6">
        <f t="shared" si="51"/>
        <v>0</v>
      </c>
      <c r="Q293" s="7">
        <f t="shared" si="49"/>
        <v>404592.74999999988</v>
      </c>
      <c r="R293" s="44" t="str">
        <f>VLOOKUP(F293,'Set up'!$A$2:$E$70,5,FALSE)</f>
        <v>Trsf</v>
      </c>
      <c r="S293" s="1" t="s">
        <v>387</v>
      </c>
    </row>
    <row r="294" spans="1:21" x14ac:dyDescent="0.3">
      <c r="A294" s="4">
        <v>44440</v>
      </c>
      <c r="B294" s="5">
        <f t="shared" si="44"/>
        <v>9</v>
      </c>
      <c r="C294" s="5">
        <f t="shared" si="45"/>
        <v>2021</v>
      </c>
      <c r="D294" s="5" t="s">
        <v>363</v>
      </c>
      <c r="E294" s="5" t="str">
        <f>VLOOKUP(F294,'Set up'!$A$2:$C$70,2,FALSE)</f>
        <v>C00000017</v>
      </c>
      <c r="F294" s="1" t="s">
        <v>1697</v>
      </c>
      <c r="G294" s="11" t="s">
        <v>180</v>
      </c>
      <c r="H294" s="5">
        <v>1</v>
      </c>
      <c r="I294" s="5" t="str">
        <f>VLOOKUP(F294,'Set up'!$A$2:$C$70,3,FALSE)</f>
        <v>Cash</v>
      </c>
      <c r="J294" s="5">
        <f>VLOOKUP(F294,'Set up'!$A$2:$D$70,4,FALSE)</f>
        <v>0</v>
      </c>
      <c r="K294" s="4">
        <f t="shared" si="46"/>
        <v>44440</v>
      </c>
      <c r="L294" s="5">
        <f t="shared" si="47"/>
        <v>9</v>
      </c>
      <c r="M294" s="5">
        <f t="shared" si="48"/>
        <v>2021</v>
      </c>
      <c r="N294" s="6">
        <v>255</v>
      </c>
      <c r="O294" s="6">
        <f t="shared" si="50"/>
        <v>-255</v>
      </c>
      <c r="P294" s="6">
        <f t="shared" si="51"/>
        <v>0</v>
      </c>
      <c r="Q294" s="7">
        <f t="shared" si="49"/>
        <v>404847.74999999988</v>
      </c>
      <c r="R294" s="44" t="str">
        <f>VLOOKUP(F294,'Set up'!$A$2:$E$70,5,FALSE)</f>
        <v>Trsf</v>
      </c>
      <c r="S294" s="1" t="s">
        <v>387</v>
      </c>
    </row>
    <row r="295" spans="1:21" x14ac:dyDescent="0.3">
      <c r="A295" s="4">
        <v>44440</v>
      </c>
      <c r="B295" s="5">
        <f t="shared" si="44"/>
        <v>9</v>
      </c>
      <c r="C295" s="5">
        <f t="shared" si="45"/>
        <v>2021</v>
      </c>
      <c r="D295" s="5" t="s">
        <v>367</v>
      </c>
      <c r="E295" s="5" t="str">
        <f>VLOOKUP(F295,'Set up'!$A$2:$C$70,2,FALSE)</f>
        <v>C00000005</v>
      </c>
      <c r="F295" s="1" t="s">
        <v>35</v>
      </c>
      <c r="G295" s="2" t="s">
        <v>67</v>
      </c>
      <c r="H295" s="5">
        <v>1</v>
      </c>
      <c r="I295" s="5" t="str">
        <f>VLOOKUP(F295,'Set up'!$A$2:$C$70,3,FALSE)</f>
        <v>Cash</v>
      </c>
      <c r="J295" s="5">
        <f>VLOOKUP(F295,'Set up'!$A$2:$D$70,4,FALSE)</f>
        <v>0</v>
      </c>
      <c r="K295" s="4">
        <f t="shared" si="46"/>
        <v>44440</v>
      </c>
      <c r="L295" s="5">
        <f t="shared" si="47"/>
        <v>9</v>
      </c>
      <c r="M295" s="5">
        <f t="shared" si="48"/>
        <v>2021</v>
      </c>
      <c r="N295" s="6">
        <v>1826</v>
      </c>
      <c r="O295" s="6">
        <f t="shared" si="50"/>
        <v>-1826</v>
      </c>
      <c r="P295" s="6">
        <f t="shared" si="51"/>
        <v>0</v>
      </c>
      <c r="Q295" s="7">
        <f t="shared" si="49"/>
        <v>406673.74999999988</v>
      </c>
      <c r="R295" s="44" t="str">
        <f>VLOOKUP(F295,'Set up'!$A$2:$E$70,5,FALSE)</f>
        <v>Chq</v>
      </c>
      <c r="S295" s="1" t="s">
        <v>386</v>
      </c>
    </row>
    <row r="296" spans="1:21" x14ac:dyDescent="0.3">
      <c r="A296" s="4">
        <v>44440</v>
      </c>
      <c r="B296" s="5">
        <f t="shared" si="44"/>
        <v>9</v>
      </c>
      <c r="C296" s="5">
        <f t="shared" si="45"/>
        <v>2021</v>
      </c>
      <c r="D296" s="5" t="s">
        <v>368</v>
      </c>
      <c r="E296" s="5" t="str">
        <f>VLOOKUP(F296,'Set up'!$A$2:$C$70,2,FALSE)</f>
        <v>C00000005</v>
      </c>
      <c r="F296" s="1" t="s">
        <v>35</v>
      </c>
      <c r="G296" s="2" t="s">
        <v>67</v>
      </c>
      <c r="H296" s="5">
        <v>1</v>
      </c>
      <c r="I296" s="5" t="str">
        <f>VLOOKUP(F296,'Set up'!$A$2:$C$70,3,FALSE)</f>
        <v>Cash</v>
      </c>
      <c r="J296" s="5">
        <f>VLOOKUP(F296,'Set up'!$A$2:$D$70,4,FALSE)</f>
        <v>0</v>
      </c>
      <c r="K296" s="4">
        <f t="shared" si="46"/>
        <v>44440</v>
      </c>
      <c r="L296" s="5">
        <f t="shared" si="47"/>
        <v>9</v>
      </c>
      <c r="M296" s="5">
        <f t="shared" si="48"/>
        <v>2021</v>
      </c>
      <c r="N296" s="6">
        <v>1826</v>
      </c>
      <c r="O296" s="6">
        <f t="shared" si="50"/>
        <v>-1826</v>
      </c>
      <c r="P296" s="6">
        <f t="shared" si="51"/>
        <v>0</v>
      </c>
      <c r="Q296" s="7">
        <f t="shared" si="49"/>
        <v>408499.74999999988</v>
      </c>
      <c r="R296" s="44" t="str">
        <f>VLOOKUP(F296,'Set up'!$A$2:$E$70,5,FALSE)</f>
        <v>Chq</v>
      </c>
      <c r="S296" s="1" t="s">
        <v>388</v>
      </c>
    </row>
    <row r="297" spans="1:21" x14ac:dyDescent="0.3">
      <c r="A297" s="4">
        <v>44440</v>
      </c>
      <c r="B297" s="5">
        <f t="shared" si="44"/>
        <v>9</v>
      </c>
      <c r="C297" s="5">
        <f t="shared" si="45"/>
        <v>2021</v>
      </c>
      <c r="D297" s="5" t="s">
        <v>368</v>
      </c>
      <c r="E297" s="5" t="str">
        <f>VLOOKUP(F297,'Set up'!$A$2:$C$70,2,FALSE)</f>
        <v>C00000005</v>
      </c>
      <c r="F297" s="1" t="s">
        <v>35</v>
      </c>
      <c r="G297" s="11" t="s">
        <v>46</v>
      </c>
      <c r="H297" s="5">
        <v>1</v>
      </c>
      <c r="I297" s="5" t="str">
        <f>VLOOKUP(F297,'Set up'!$A$2:$C$70,3,FALSE)</f>
        <v>Cash</v>
      </c>
      <c r="J297" s="5">
        <f>VLOOKUP(F297,'Set up'!$A$2:$D$70,4,FALSE)</f>
        <v>0</v>
      </c>
      <c r="K297" s="4">
        <f t="shared" si="46"/>
        <v>44440</v>
      </c>
      <c r="L297" s="5">
        <f t="shared" si="47"/>
        <v>9</v>
      </c>
      <c r="M297" s="5">
        <f t="shared" si="48"/>
        <v>2021</v>
      </c>
      <c r="N297" s="6">
        <v>100</v>
      </c>
      <c r="O297" s="6">
        <f t="shared" si="50"/>
        <v>-100</v>
      </c>
      <c r="P297" s="6">
        <f t="shared" si="51"/>
        <v>0</v>
      </c>
      <c r="Q297" s="7">
        <f t="shared" si="49"/>
        <v>408599.74999999988</v>
      </c>
      <c r="R297" s="44" t="str">
        <f>VLOOKUP(F297,'Set up'!$A$2:$E$70,5,FALSE)</f>
        <v>Chq</v>
      </c>
      <c r="S297" s="1" t="s">
        <v>388</v>
      </c>
    </row>
    <row r="298" spans="1:21" x14ac:dyDescent="0.3">
      <c r="A298" s="4">
        <v>44440</v>
      </c>
      <c r="B298" s="5">
        <f t="shared" si="44"/>
        <v>9</v>
      </c>
      <c r="C298" s="5">
        <f t="shared" si="45"/>
        <v>2021</v>
      </c>
      <c r="D298" s="5" t="s">
        <v>369</v>
      </c>
      <c r="E298" s="5" t="str">
        <f>VLOOKUP(F298,'Set up'!$A$2:$C$70,2,FALSE)</f>
        <v>C00000004</v>
      </c>
      <c r="F298" s="1" t="s">
        <v>23</v>
      </c>
      <c r="G298" s="11" t="s">
        <v>360</v>
      </c>
      <c r="H298" s="5">
        <v>4</v>
      </c>
      <c r="I298" s="5">
        <f>VLOOKUP(F298,'Set up'!$A$2:$C$70,3,FALSE)</f>
        <v>120</v>
      </c>
      <c r="J298" s="5">
        <f>VLOOKUP(F298,'Set up'!$A$2:$D$70,4,FALSE)</f>
        <v>120</v>
      </c>
      <c r="K298" s="4">
        <f t="shared" si="46"/>
        <v>44560</v>
      </c>
      <c r="L298" s="5">
        <f t="shared" si="47"/>
        <v>12</v>
      </c>
      <c r="M298" s="5">
        <f t="shared" si="48"/>
        <v>2021</v>
      </c>
      <c r="N298" s="6">
        <v>2016</v>
      </c>
      <c r="O298" s="6">
        <f t="shared" si="50"/>
        <v>-2016</v>
      </c>
      <c r="P298" s="6">
        <f t="shared" si="51"/>
        <v>0</v>
      </c>
      <c r="Q298" s="7">
        <f t="shared" si="49"/>
        <v>410615.74999999988</v>
      </c>
      <c r="R298" s="44" t="str">
        <f>VLOOKUP(F298,'Set up'!$A$2:$E$70,5,FALSE)</f>
        <v>Chq</v>
      </c>
      <c r="S298" s="1" t="s">
        <v>575</v>
      </c>
    </row>
    <row r="299" spans="1:21" x14ac:dyDescent="0.3">
      <c r="A299" s="4">
        <v>44440</v>
      </c>
      <c r="B299" s="5">
        <f t="shared" si="44"/>
        <v>9</v>
      </c>
      <c r="C299" s="5">
        <f t="shared" si="45"/>
        <v>2021</v>
      </c>
      <c r="D299" s="5" t="s">
        <v>369</v>
      </c>
      <c r="E299" s="5" t="str">
        <f>VLOOKUP(F299,'Set up'!$A$2:$C$70,2,FALSE)</f>
        <v>C00000004</v>
      </c>
      <c r="F299" s="1" t="s">
        <v>23</v>
      </c>
      <c r="G299" s="11" t="s">
        <v>359</v>
      </c>
      <c r="H299" s="5">
        <v>4</v>
      </c>
      <c r="I299" s="5">
        <f>VLOOKUP(F299,'Set up'!$A$2:$C$70,3,FALSE)</f>
        <v>120</v>
      </c>
      <c r="J299" s="5">
        <f>VLOOKUP(F299,'Set up'!$A$2:$D$70,4,FALSE)</f>
        <v>120</v>
      </c>
      <c r="K299" s="4">
        <f t="shared" si="46"/>
        <v>44560</v>
      </c>
      <c r="L299" s="5">
        <f t="shared" si="47"/>
        <v>12</v>
      </c>
      <c r="M299" s="5">
        <f t="shared" si="48"/>
        <v>2021</v>
      </c>
      <c r="N299" s="6">
        <v>1814.4</v>
      </c>
      <c r="O299" s="6">
        <f t="shared" si="50"/>
        <v>-1814.4</v>
      </c>
      <c r="P299" s="6">
        <f t="shared" si="51"/>
        <v>0</v>
      </c>
      <c r="Q299" s="7">
        <f t="shared" si="49"/>
        <v>412430.14999999991</v>
      </c>
      <c r="R299" s="44" t="str">
        <f>VLOOKUP(F299,'Set up'!$A$2:$E$70,5,FALSE)</f>
        <v>Chq</v>
      </c>
      <c r="S299" s="1" t="s">
        <v>575</v>
      </c>
    </row>
    <row r="300" spans="1:21" x14ac:dyDescent="0.3">
      <c r="A300" s="4">
        <v>44440</v>
      </c>
      <c r="B300" s="5">
        <f t="shared" si="44"/>
        <v>9</v>
      </c>
      <c r="C300" s="5">
        <f t="shared" si="45"/>
        <v>2021</v>
      </c>
      <c r="D300" s="5" t="s">
        <v>370</v>
      </c>
      <c r="E300" s="5" t="str">
        <f>VLOOKUP(F300,'Set up'!$A$2:$C$70,2,FALSE)</f>
        <v>C00000002</v>
      </c>
      <c r="F300" s="1" t="s">
        <v>14</v>
      </c>
      <c r="G300" s="11" t="s">
        <v>303</v>
      </c>
      <c r="H300" s="5">
        <v>2</v>
      </c>
      <c r="I300" s="5" t="str">
        <f>VLOOKUP(F300,'Set up'!$A$2:$C$70,3,FALSE)</f>
        <v>Cash</v>
      </c>
      <c r="J300" s="5">
        <f>VLOOKUP(F300,'Set up'!$A$2:$D$70,4,FALSE)</f>
        <v>0</v>
      </c>
      <c r="K300" s="4">
        <f t="shared" si="46"/>
        <v>44440</v>
      </c>
      <c r="L300" s="5">
        <f t="shared" si="47"/>
        <v>9</v>
      </c>
      <c r="M300" s="5">
        <f t="shared" si="48"/>
        <v>2021</v>
      </c>
      <c r="N300" s="6">
        <v>3432</v>
      </c>
      <c r="O300" s="6">
        <f t="shared" si="50"/>
        <v>-3432</v>
      </c>
      <c r="P300" s="6">
        <f t="shared" si="51"/>
        <v>0</v>
      </c>
      <c r="Q300" s="7">
        <f t="shared" si="49"/>
        <v>415862.14999999991</v>
      </c>
      <c r="R300" s="44" t="str">
        <f>VLOOKUP(F300,'Set up'!$A$2:$E$70,5,FALSE)</f>
        <v>Chq</v>
      </c>
      <c r="S300" s="1" t="s">
        <v>440</v>
      </c>
    </row>
    <row r="301" spans="1:21" x14ac:dyDescent="0.3">
      <c r="A301" s="4">
        <v>44453</v>
      </c>
      <c r="B301" s="5">
        <f t="shared" si="44"/>
        <v>9</v>
      </c>
      <c r="C301" s="5">
        <f t="shared" si="45"/>
        <v>2021</v>
      </c>
      <c r="D301" s="5" t="s">
        <v>371</v>
      </c>
      <c r="E301" s="5" t="str">
        <f>VLOOKUP(F301,'Set up'!$A$2:$C$70,2,FALSE)</f>
        <v>C00000003</v>
      </c>
      <c r="F301" s="1" t="s">
        <v>20</v>
      </c>
      <c r="G301" s="2" t="s">
        <v>67</v>
      </c>
      <c r="H301" s="5">
        <v>3</v>
      </c>
      <c r="I301" s="5">
        <f>VLOOKUP(F301,'Set up'!$A$2:$C$70,3,FALSE)</f>
        <v>45</v>
      </c>
      <c r="J301" s="5">
        <f>VLOOKUP(F301,'Set up'!$A$2:$D$70,4,FALSE)</f>
        <v>45</v>
      </c>
      <c r="K301" s="4">
        <f t="shared" si="46"/>
        <v>44498</v>
      </c>
      <c r="L301" s="5">
        <f t="shared" si="47"/>
        <v>10</v>
      </c>
      <c r="M301" s="5">
        <f t="shared" si="48"/>
        <v>2021</v>
      </c>
      <c r="N301" s="6">
        <v>5610</v>
      </c>
      <c r="O301" s="6">
        <f>-1400-1400-1400-1400-10</f>
        <v>-5610</v>
      </c>
      <c r="P301" s="6">
        <f t="shared" si="51"/>
        <v>0</v>
      </c>
      <c r="Q301" s="7">
        <f t="shared" si="49"/>
        <v>421472.14999999991</v>
      </c>
      <c r="R301" s="44" t="str">
        <f>VLOOKUP(F301,'Set up'!$A$2:$E$70,5,FALSE)</f>
        <v>PD Chq</v>
      </c>
      <c r="S301" s="57" t="s">
        <v>485</v>
      </c>
      <c r="T301" s="73"/>
      <c r="U301" s="16"/>
    </row>
    <row r="302" spans="1:21" x14ac:dyDescent="0.3">
      <c r="A302" s="4">
        <v>44453</v>
      </c>
      <c r="B302" s="5">
        <f t="shared" si="44"/>
        <v>9</v>
      </c>
      <c r="C302" s="5">
        <f t="shared" si="45"/>
        <v>2021</v>
      </c>
      <c r="D302" s="5" t="s">
        <v>371</v>
      </c>
      <c r="E302" s="5" t="str">
        <f>VLOOKUP(F302,'Set up'!$A$2:$C$70,2,FALSE)</f>
        <v>C00000003</v>
      </c>
      <c r="F302" s="1" t="s">
        <v>20</v>
      </c>
      <c r="G302" s="76" t="s">
        <v>54</v>
      </c>
      <c r="H302" s="5">
        <v>4</v>
      </c>
      <c r="I302" s="5">
        <f>VLOOKUP(F302,'Set up'!$A$2:$C$70,3,FALSE)</f>
        <v>45</v>
      </c>
      <c r="J302" s="5">
        <f>VLOOKUP(F302,'Set up'!$A$2:$D$70,4,FALSE)</f>
        <v>45</v>
      </c>
      <c r="K302" s="4">
        <f t="shared" si="46"/>
        <v>44498</v>
      </c>
      <c r="L302" s="5">
        <f t="shared" si="47"/>
        <v>10</v>
      </c>
      <c r="M302" s="5">
        <f t="shared" si="48"/>
        <v>2021</v>
      </c>
      <c r="N302" s="6">
        <v>200</v>
      </c>
      <c r="O302" s="6">
        <f t="shared" ref="O302:O320" si="52">-N302</f>
        <v>-200</v>
      </c>
      <c r="P302" s="6">
        <f t="shared" si="51"/>
        <v>0</v>
      </c>
      <c r="Q302" s="7">
        <f t="shared" si="49"/>
        <v>421672.14999999991</v>
      </c>
      <c r="R302" s="44" t="str">
        <f>VLOOKUP(F302,'Set up'!$A$2:$E$70,5,FALSE)</f>
        <v>PD Chq</v>
      </c>
      <c r="S302" s="57" t="s">
        <v>487</v>
      </c>
      <c r="T302" s="73"/>
      <c r="U302" s="16"/>
    </row>
    <row r="303" spans="1:21" x14ac:dyDescent="0.3">
      <c r="A303" s="4">
        <v>44453</v>
      </c>
      <c r="B303" s="5">
        <f t="shared" si="44"/>
        <v>9</v>
      </c>
      <c r="C303" s="5">
        <f t="shared" si="45"/>
        <v>2021</v>
      </c>
      <c r="D303" s="5" t="s">
        <v>371</v>
      </c>
      <c r="E303" s="5" t="str">
        <f>VLOOKUP(F303,'Set up'!$A$2:$C$70,2,FALSE)</f>
        <v>C00000003</v>
      </c>
      <c r="F303" s="1" t="s">
        <v>20</v>
      </c>
      <c r="G303" s="55" t="s">
        <v>46</v>
      </c>
      <c r="H303" s="5">
        <v>6</v>
      </c>
      <c r="I303" s="5">
        <f>VLOOKUP(F303,'Set up'!$A$2:$C$70,3,FALSE)</f>
        <v>45</v>
      </c>
      <c r="J303" s="5">
        <f>VLOOKUP(F303,'Set up'!$A$2:$D$70,4,FALSE)</f>
        <v>45</v>
      </c>
      <c r="K303" s="4">
        <f t="shared" si="46"/>
        <v>44498</v>
      </c>
      <c r="L303" s="5">
        <f t="shared" si="47"/>
        <v>10</v>
      </c>
      <c r="M303" s="5">
        <f t="shared" si="48"/>
        <v>2021</v>
      </c>
      <c r="N303" s="6">
        <v>600</v>
      </c>
      <c r="O303" s="6">
        <f t="shared" si="52"/>
        <v>-600</v>
      </c>
      <c r="P303" s="6">
        <f t="shared" si="51"/>
        <v>0</v>
      </c>
      <c r="Q303" s="7">
        <f t="shared" si="49"/>
        <v>422272.14999999991</v>
      </c>
      <c r="R303" s="44" t="str">
        <f>VLOOKUP(F303,'Set up'!$A$2:$E$70,5,FALSE)</f>
        <v>PD Chq</v>
      </c>
      <c r="S303" s="57" t="s">
        <v>486</v>
      </c>
      <c r="T303" s="73"/>
      <c r="U303" s="16"/>
    </row>
    <row r="304" spans="1:21" x14ac:dyDescent="0.3">
      <c r="A304" s="4">
        <v>44453</v>
      </c>
      <c r="B304" s="5">
        <f t="shared" si="44"/>
        <v>9</v>
      </c>
      <c r="C304" s="5">
        <f t="shared" si="45"/>
        <v>2021</v>
      </c>
      <c r="D304" s="5" t="s">
        <v>371</v>
      </c>
      <c r="E304" s="5" t="str">
        <f>VLOOKUP(F304,'Set up'!$A$2:$C$70,2,FALSE)</f>
        <v>C00000003</v>
      </c>
      <c r="F304" s="1" t="s">
        <v>20</v>
      </c>
      <c r="G304" s="11" t="s">
        <v>178</v>
      </c>
      <c r="H304" s="5">
        <v>1</v>
      </c>
      <c r="I304" s="5">
        <f>VLOOKUP(F304,'Set up'!$A$2:$C$70,3,FALSE)</f>
        <v>45</v>
      </c>
      <c r="J304" s="5">
        <f>VLOOKUP(F304,'Set up'!$A$2:$D$70,4,FALSE)</f>
        <v>45</v>
      </c>
      <c r="K304" s="4">
        <f t="shared" si="46"/>
        <v>44498</v>
      </c>
      <c r="L304" s="5">
        <f t="shared" si="47"/>
        <v>10</v>
      </c>
      <c r="M304" s="5">
        <f t="shared" si="48"/>
        <v>2021</v>
      </c>
      <c r="N304" s="6">
        <v>45</v>
      </c>
      <c r="O304" s="6">
        <f t="shared" si="52"/>
        <v>-45</v>
      </c>
      <c r="P304" s="6">
        <f t="shared" si="51"/>
        <v>0</v>
      </c>
      <c r="Q304" s="7">
        <f t="shared" si="49"/>
        <v>422317.14999999991</v>
      </c>
      <c r="R304" s="44" t="str">
        <f>VLOOKUP(F304,'Set up'!$A$2:$E$70,5,FALSE)</f>
        <v>PD Chq</v>
      </c>
      <c r="S304" s="57" t="s">
        <v>488</v>
      </c>
      <c r="T304" s="73"/>
      <c r="U304" s="16"/>
    </row>
    <row r="305" spans="1:21" ht="28.8" x14ac:dyDescent="0.3">
      <c r="A305" s="4">
        <v>44453</v>
      </c>
      <c r="B305" s="5">
        <f t="shared" si="44"/>
        <v>9</v>
      </c>
      <c r="C305" s="5">
        <f t="shared" si="45"/>
        <v>2021</v>
      </c>
      <c r="D305" s="5" t="s">
        <v>371</v>
      </c>
      <c r="E305" s="5" t="str">
        <f>VLOOKUP(F305,'Set up'!$A$2:$C$70,2,FALSE)</f>
        <v>C00000003</v>
      </c>
      <c r="F305" s="1" t="s">
        <v>20</v>
      </c>
      <c r="G305" s="55" t="s">
        <v>97</v>
      </c>
      <c r="H305" s="5">
        <v>1</v>
      </c>
      <c r="I305" s="5">
        <f>VLOOKUP(F305,'Set up'!$A$2:$C$70,3,FALSE)</f>
        <v>45</v>
      </c>
      <c r="J305" s="5">
        <f>VLOOKUP(F305,'Set up'!$A$2:$D$70,4,FALSE)</f>
        <v>45</v>
      </c>
      <c r="K305" s="4">
        <f t="shared" si="46"/>
        <v>44498</v>
      </c>
      <c r="L305" s="5">
        <f t="shared" si="47"/>
        <v>10</v>
      </c>
      <c r="M305" s="5">
        <f t="shared" si="48"/>
        <v>2021</v>
      </c>
      <c r="N305" s="6">
        <v>459</v>
      </c>
      <c r="O305" s="6">
        <f t="shared" si="52"/>
        <v>-459</v>
      </c>
      <c r="P305" s="6">
        <f t="shared" si="51"/>
        <v>0</v>
      </c>
      <c r="Q305" s="7">
        <f t="shared" si="49"/>
        <v>422776.14999999991</v>
      </c>
      <c r="R305" s="44" t="str">
        <f>VLOOKUP(F305,'Set up'!$A$2:$E$70,5,FALSE)</f>
        <v>PD Chq</v>
      </c>
      <c r="S305" s="86" t="s">
        <v>489</v>
      </c>
      <c r="T305" s="73"/>
      <c r="U305" s="16"/>
    </row>
    <row r="306" spans="1:21" x14ac:dyDescent="0.3">
      <c r="A306" s="4">
        <v>44453</v>
      </c>
      <c r="B306" s="5">
        <f t="shared" si="44"/>
        <v>9</v>
      </c>
      <c r="C306" s="5">
        <f t="shared" si="45"/>
        <v>2021</v>
      </c>
      <c r="D306" s="5" t="s">
        <v>372</v>
      </c>
      <c r="E306" s="5" t="str">
        <f>VLOOKUP(F306,'Set up'!$A$2:$C$70,2,FALSE)</f>
        <v>C00000010</v>
      </c>
      <c r="F306" s="1" t="s">
        <v>62</v>
      </c>
      <c r="G306" s="56" t="s">
        <v>303</v>
      </c>
      <c r="H306" s="5">
        <v>6</v>
      </c>
      <c r="I306" s="5">
        <f>VLOOKUP(F306,'Set up'!$A$2:$C$70,3,FALSE)</f>
        <v>120</v>
      </c>
      <c r="J306" s="5">
        <f>VLOOKUP(F306,'Set up'!$A$2:$D$70,4,FALSE)</f>
        <v>120</v>
      </c>
      <c r="K306" s="4">
        <f t="shared" si="46"/>
        <v>44573</v>
      </c>
      <c r="L306" s="5">
        <f t="shared" si="47"/>
        <v>1</v>
      </c>
      <c r="M306" s="5">
        <f t="shared" si="48"/>
        <v>2022</v>
      </c>
      <c r="N306" s="6">
        <v>10428</v>
      </c>
      <c r="O306" s="6">
        <f t="shared" si="52"/>
        <v>-10428</v>
      </c>
      <c r="P306" s="6">
        <f t="shared" si="51"/>
        <v>0</v>
      </c>
      <c r="Q306" s="7">
        <f t="shared" si="49"/>
        <v>433204.14999999991</v>
      </c>
      <c r="R306" s="44" t="str">
        <f>VLOOKUP(F306,'Set up'!$A$2:$E$70,5,FALSE)</f>
        <v>Trsf</v>
      </c>
      <c r="S306" s="1" t="s">
        <v>523</v>
      </c>
    </row>
    <row r="307" spans="1:21" x14ac:dyDescent="0.3">
      <c r="A307" s="4">
        <v>44453</v>
      </c>
      <c r="B307" s="5">
        <f t="shared" si="44"/>
        <v>9</v>
      </c>
      <c r="C307" s="5">
        <f t="shared" si="45"/>
        <v>2021</v>
      </c>
      <c r="D307" s="5" t="s">
        <v>372</v>
      </c>
      <c r="E307" s="5" t="str">
        <f>VLOOKUP(F307,'Set up'!$A$2:$C$70,2,FALSE)</f>
        <v>C00000010</v>
      </c>
      <c r="F307" s="1" t="s">
        <v>62</v>
      </c>
      <c r="G307" s="56" t="s">
        <v>219</v>
      </c>
      <c r="H307" s="5">
        <v>10</v>
      </c>
      <c r="I307" s="5">
        <f>VLOOKUP(F307,'Set up'!$A$2:$C$70,3,FALSE)</f>
        <v>120</v>
      </c>
      <c r="J307" s="5">
        <f>VLOOKUP(F307,'Set up'!$A$2:$D$70,4,FALSE)</f>
        <v>120</v>
      </c>
      <c r="K307" s="4">
        <f t="shared" si="46"/>
        <v>44573</v>
      </c>
      <c r="L307" s="5">
        <f t="shared" si="47"/>
        <v>1</v>
      </c>
      <c r="M307" s="5">
        <f t="shared" si="48"/>
        <v>2022</v>
      </c>
      <c r="N307" s="6">
        <v>2550</v>
      </c>
      <c r="O307" s="6">
        <f t="shared" si="52"/>
        <v>-2550</v>
      </c>
      <c r="P307" s="6">
        <f t="shared" si="51"/>
        <v>0</v>
      </c>
      <c r="Q307" s="7">
        <f t="shared" si="49"/>
        <v>435754.14999999991</v>
      </c>
      <c r="R307" s="44" t="str">
        <f>VLOOKUP(F307,'Set up'!$A$2:$E$70,5,FALSE)</f>
        <v>Trsf</v>
      </c>
      <c r="S307" s="1" t="s">
        <v>523</v>
      </c>
    </row>
    <row r="308" spans="1:21" x14ac:dyDescent="0.3">
      <c r="A308" s="4">
        <v>44453</v>
      </c>
      <c r="B308" s="5">
        <f t="shared" si="44"/>
        <v>9</v>
      </c>
      <c r="C308" s="5">
        <f t="shared" si="45"/>
        <v>2021</v>
      </c>
      <c r="D308" s="5" t="s">
        <v>372</v>
      </c>
      <c r="E308" s="5" t="str">
        <f>VLOOKUP(F308,'Set up'!$A$2:$C$70,2,FALSE)</f>
        <v>C00000010</v>
      </c>
      <c r="F308" s="1" t="s">
        <v>62</v>
      </c>
      <c r="G308" s="56" t="s">
        <v>64</v>
      </c>
      <c r="H308" s="5">
        <v>10</v>
      </c>
      <c r="I308" s="5">
        <f>VLOOKUP(F308,'Set up'!$A$2:$C$70,3,FALSE)</f>
        <v>120</v>
      </c>
      <c r="J308" s="5">
        <f>VLOOKUP(F308,'Set up'!$A$2:$D$70,4,FALSE)</f>
        <v>120</v>
      </c>
      <c r="K308" s="4">
        <f t="shared" si="46"/>
        <v>44573</v>
      </c>
      <c r="L308" s="5">
        <f t="shared" si="47"/>
        <v>1</v>
      </c>
      <c r="M308" s="5">
        <f t="shared" si="48"/>
        <v>2022</v>
      </c>
      <c r="N308" s="6">
        <v>550</v>
      </c>
      <c r="O308" s="6">
        <f t="shared" si="52"/>
        <v>-550</v>
      </c>
      <c r="P308" s="6">
        <f t="shared" si="51"/>
        <v>0</v>
      </c>
      <c r="Q308" s="7">
        <f t="shared" si="49"/>
        <v>436304.14999999991</v>
      </c>
      <c r="R308" s="44" t="str">
        <f>VLOOKUP(F308,'Set up'!$A$2:$E$70,5,FALSE)</f>
        <v>Trsf</v>
      </c>
      <c r="S308" s="1" t="s">
        <v>523</v>
      </c>
    </row>
    <row r="309" spans="1:21" ht="28.8" x14ac:dyDescent="0.3">
      <c r="A309" s="4">
        <v>44453</v>
      </c>
      <c r="B309" s="5">
        <f t="shared" si="44"/>
        <v>9</v>
      </c>
      <c r="C309" s="5">
        <f t="shared" si="45"/>
        <v>2021</v>
      </c>
      <c r="D309" s="5" t="s">
        <v>372</v>
      </c>
      <c r="E309" s="5" t="str">
        <f>VLOOKUP(F309,'Set up'!$A$2:$C$70,2,FALSE)</f>
        <v>C00000010</v>
      </c>
      <c r="F309" s="1" t="s">
        <v>62</v>
      </c>
      <c r="G309" s="74" t="s">
        <v>381</v>
      </c>
      <c r="H309" s="5">
        <v>4</v>
      </c>
      <c r="I309" s="5">
        <f>VLOOKUP(F309,'Set up'!$A$2:$C$70,3,FALSE)</f>
        <v>120</v>
      </c>
      <c r="J309" s="5">
        <f>VLOOKUP(F309,'Set up'!$A$2:$D$70,4,FALSE)</f>
        <v>120</v>
      </c>
      <c r="K309" s="4">
        <f t="shared" si="46"/>
        <v>44573</v>
      </c>
      <c r="L309" s="5">
        <f t="shared" si="47"/>
        <v>1</v>
      </c>
      <c r="M309" s="5">
        <f t="shared" si="48"/>
        <v>2022</v>
      </c>
      <c r="N309" s="6">
        <v>320</v>
      </c>
      <c r="O309" s="6">
        <f t="shared" si="52"/>
        <v>-320</v>
      </c>
      <c r="P309" s="6">
        <f t="shared" si="51"/>
        <v>0</v>
      </c>
      <c r="Q309" s="7">
        <f t="shared" si="49"/>
        <v>436624.14999999991</v>
      </c>
      <c r="R309" s="44" t="str">
        <f>VLOOKUP(F309,'Set up'!$A$2:$E$70,5,FALSE)</f>
        <v>Trsf</v>
      </c>
      <c r="S309" s="1" t="s">
        <v>523</v>
      </c>
    </row>
    <row r="310" spans="1:21" x14ac:dyDescent="0.3">
      <c r="A310" s="4">
        <v>44453</v>
      </c>
      <c r="B310" s="5">
        <f t="shared" si="44"/>
        <v>9</v>
      </c>
      <c r="C310" s="5">
        <f t="shared" si="45"/>
        <v>2021</v>
      </c>
      <c r="D310" s="5" t="s">
        <v>372</v>
      </c>
      <c r="E310" s="5" t="str">
        <f>VLOOKUP(F310,'Set up'!$A$2:$C$70,2,FALSE)</f>
        <v>C00000010</v>
      </c>
      <c r="F310" s="1" t="s">
        <v>62</v>
      </c>
      <c r="G310" s="11" t="s">
        <v>238</v>
      </c>
      <c r="H310" s="5">
        <v>1</v>
      </c>
      <c r="I310" s="5">
        <f>VLOOKUP(F310,'Set up'!$A$2:$C$70,3,FALSE)</f>
        <v>120</v>
      </c>
      <c r="J310" s="5">
        <f>VLOOKUP(F310,'Set up'!$A$2:$D$70,4,FALSE)</f>
        <v>120</v>
      </c>
      <c r="K310" s="4">
        <f t="shared" si="46"/>
        <v>44573</v>
      </c>
      <c r="L310" s="5">
        <f t="shared" si="47"/>
        <v>1</v>
      </c>
      <c r="M310" s="5">
        <f t="shared" si="48"/>
        <v>2022</v>
      </c>
      <c r="N310" s="6">
        <v>360</v>
      </c>
      <c r="O310" s="6">
        <f t="shared" si="52"/>
        <v>-360</v>
      </c>
      <c r="P310" s="6">
        <f t="shared" si="51"/>
        <v>0</v>
      </c>
      <c r="Q310" s="7">
        <f t="shared" si="49"/>
        <v>436984.14999999991</v>
      </c>
      <c r="R310" s="44" t="str">
        <f>VLOOKUP(F310,'Set up'!$A$2:$E$70,5,FALSE)</f>
        <v>Trsf</v>
      </c>
      <c r="S310" s="1" t="s">
        <v>523</v>
      </c>
    </row>
    <row r="311" spans="1:21" x14ac:dyDescent="0.3">
      <c r="A311" s="4">
        <v>44460</v>
      </c>
      <c r="B311" s="5">
        <f t="shared" si="44"/>
        <v>9</v>
      </c>
      <c r="C311" s="5">
        <f t="shared" si="45"/>
        <v>2021</v>
      </c>
      <c r="D311" s="5" t="s">
        <v>373</v>
      </c>
      <c r="E311" s="5" t="str">
        <f>VLOOKUP(F311,'Set up'!$A$2:$C$70,2,FALSE)</f>
        <v>C00000018</v>
      </c>
      <c r="F311" s="1" t="s">
        <v>375</v>
      </c>
      <c r="G311" s="2" t="s">
        <v>67</v>
      </c>
      <c r="H311" s="5">
        <v>4</v>
      </c>
      <c r="I311" s="5" t="str">
        <f>VLOOKUP(F311,'Set up'!$A$2:$C$70,3,FALSE)</f>
        <v>Cash</v>
      </c>
      <c r="J311" s="5">
        <f>VLOOKUP(F311,'Set up'!$A$2:$D$70,4,FALSE)</f>
        <v>0</v>
      </c>
      <c r="K311" s="4">
        <f t="shared" si="46"/>
        <v>44460</v>
      </c>
      <c r="L311" s="5">
        <f t="shared" si="47"/>
        <v>9</v>
      </c>
      <c r="M311" s="5">
        <f t="shared" si="48"/>
        <v>2021</v>
      </c>
      <c r="N311" s="6">
        <v>6952</v>
      </c>
      <c r="O311" s="6">
        <f t="shared" si="52"/>
        <v>-6952</v>
      </c>
      <c r="P311" s="6">
        <f t="shared" si="51"/>
        <v>0</v>
      </c>
      <c r="Q311" s="7">
        <f t="shared" si="49"/>
        <v>443936.14999999991</v>
      </c>
      <c r="R311" s="44" t="str">
        <f>VLOOKUP(F311,'Set up'!$A$2:$E$70,5,FALSE)</f>
        <v>Trsf</v>
      </c>
      <c r="S311" s="1" t="s">
        <v>392</v>
      </c>
    </row>
    <row r="312" spans="1:21" x14ac:dyDescent="0.3">
      <c r="A312" s="4">
        <v>44460</v>
      </c>
      <c r="B312" s="5">
        <f t="shared" si="44"/>
        <v>9</v>
      </c>
      <c r="C312" s="5">
        <f t="shared" si="45"/>
        <v>2021</v>
      </c>
      <c r="D312" s="5" t="s">
        <v>373</v>
      </c>
      <c r="E312" s="5" t="str">
        <f>VLOOKUP(F312,'Set up'!$A$2:$C$70,2,FALSE)</f>
        <v>C00000018</v>
      </c>
      <c r="F312" s="1" t="s">
        <v>375</v>
      </c>
      <c r="G312" s="56" t="s">
        <v>219</v>
      </c>
      <c r="H312" s="5">
        <v>10</v>
      </c>
      <c r="I312" s="5" t="str">
        <f>VLOOKUP(F312,'Set up'!$A$2:$C$70,3,FALSE)</f>
        <v>Cash</v>
      </c>
      <c r="J312" s="5">
        <f>VLOOKUP(F312,'Set up'!$A$2:$D$70,4,FALSE)</f>
        <v>0</v>
      </c>
      <c r="K312" s="4">
        <f t="shared" si="46"/>
        <v>44460</v>
      </c>
      <c r="L312" s="5">
        <f t="shared" si="47"/>
        <v>9</v>
      </c>
      <c r="M312" s="5">
        <f t="shared" si="48"/>
        <v>2021</v>
      </c>
      <c r="N312" s="6">
        <v>2400</v>
      </c>
      <c r="O312" s="6">
        <f t="shared" si="52"/>
        <v>-2400</v>
      </c>
      <c r="P312" s="6">
        <f t="shared" si="51"/>
        <v>0</v>
      </c>
      <c r="Q312" s="7">
        <f t="shared" si="49"/>
        <v>446336.14999999991</v>
      </c>
      <c r="R312" s="44" t="str">
        <f>VLOOKUP(F312,'Set up'!$A$2:$E$70,5,FALSE)</f>
        <v>Trsf</v>
      </c>
      <c r="S312" s="1" t="s">
        <v>392</v>
      </c>
    </row>
    <row r="313" spans="1:21" ht="28.8" x14ac:dyDescent="0.3">
      <c r="A313" s="4">
        <v>44460</v>
      </c>
      <c r="B313" s="5">
        <f t="shared" si="44"/>
        <v>9</v>
      </c>
      <c r="C313" s="5">
        <f t="shared" si="45"/>
        <v>2021</v>
      </c>
      <c r="D313" s="5" t="s">
        <v>373</v>
      </c>
      <c r="E313" s="5" t="str">
        <f>VLOOKUP(F313,'Set up'!$A$2:$C$70,2,FALSE)</f>
        <v>C00000018</v>
      </c>
      <c r="F313" s="1" t="s">
        <v>375</v>
      </c>
      <c r="G313" s="74" t="s">
        <v>381</v>
      </c>
      <c r="H313" s="5">
        <v>3</v>
      </c>
      <c r="I313" s="5" t="str">
        <f>VLOOKUP(F313,'Set up'!$A$2:$C$70,3,FALSE)</f>
        <v>Cash</v>
      </c>
      <c r="J313" s="5">
        <f>VLOOKUP(F313,'Set up'!$A$2:$D$70,4,FALSE)</f>
        <v>0</v>
      </c>
      <c r="K313" s="4">
        <f t="shared" si="46"/>
        <v>44460</v>
      </c>
      <c r="L313" s="5">
        <f t="shared" si="47"/>
        <v>9</v>
      </c>
      <c r="M313" s="5">
        <f t="shared" si="48"/>
        <v>2021</v>
      </c>
      <c r="N313" s="6">
        <v>240</v>
      </c>
      <c r="O313" s="6">
        <f t="shared" si="52"/>
        <v>-240</v>
      </c>
      <c r="P313" s="6">
        <f t="shared" si="51"/>
        <v>0</v>
      </c>
      <c r="Q313" s="7">
        <f t="shared" si="49"/>
        <v>446576.14999999991</v>
      </c>
      <c r="R313" s="44" t="str">
        <f>VLOOKUP(F313,'Set up'!$A$2:$E$70,5,FALSE)</f>
        <v>Trsf</v>
      </c>
      <c r="S313" s="1" t="s">
        <v>392</v>
      </c>
    </row>
    <row r="314" spans="1:21" x14ac:dyDescent="0.3">
      <c r="A314" s="4">
        <v>44464</v>
      </c>
      <c r="B314" s="5">
        <f t="shared" si="44"/>
        <v>9</v>
      </c>
      <c r="C314" s="5">
        <f t="shared" si="45"/>
        <v>2021</v>
      </c>
      <c r="D314" s="5" t="s">
        <v>376</v>
      </c>
      <c r="E314" s="5" t="str">
        <f>VLOOKUP(F314,'Set up'!$A$2:$C$70,2,FALSE)</f>
        <v>C00000001</v>
      </c>
      <c r="F314" s="1" t="s">
        <v>7</v>
      </c>
      <c r="G314" s="2" t="s">
        <v>67</v>
      </c>
      <c r="H314" s="5">
        <v>1</v>
      </c>
      <c r="I314" s="5" t="str">
        <f>VLOOKUP(F314,'Set up'!$A$2:$C$70,3,FALSE)</f>
        <v>Cash</v>
      </c>
      <c r="J314" s="5">
        <f>VLOOKUP(F314,'Set up'!$A$2:$D$70,4,FALSE)</f>
        <v>0</v>
      </c>
      <c r="K314" s="4">
        <f t="shared" si="46"/>
        <v>44464</v>
      </c>
      <c r="L314" s="5">
        <f t="shared" si="47"/>
        <v>9</v>
      </c>
      <c r="M314" s="5">
        <f t="shared" si="48"/>
        <v>2021</v>
      </c>
      <c r="N314" s="6">
        <v>1870</v>
      </c>
      <c r="O314" s="6">
        <f t="shared" si="52"/>
        <v>-1870</v>
      </c>
      <c r="P314" s="6">
        <f t="shared" si="51"/>
        <v>0</v>
      </c>
      <c r="Q314" s="7">
        <f t="shared" si="49"/>
        <v>448446.14999999991</v>
      </c>
      <c r="R314" s="44" t="str">
        <f>VLOOKUP(F314,'Set up'!$A$2:$E$70,5,FALSE)</f>
        <v>Trsf</v>
      </c>
      <c r="S314" s="1" t="s">
        <v>432</v>
      </c>
    </row>
    <row r="315" spans="1:21" x14ac:dyDescent="0.3">
      <c r="A315" s="4">
        <v>44466</v>
      </c>
      <c r="B315" s="5">
        <f t="shared" si="44"/>
        <v>9</v>
      </c>
      <c r="C315" s="5">
        <f t="shared" si="45"/>
        <v>2021</v>
      </c>
      <c r="D315" s="5" t="s">
        <v>377</v>
      </c>
      <c r="E315" s="5" t="str">
        <f>VLOOKUP(F315,'Set up'!$A$2:$C$70,2,FALSE)</f>
        <v>C00000004</v>
      </c>
      <c r="F315" s="1" t="s">
        <v>23</v>
      </c>
      <c r="G315" s="11" t="s">
        <v>303</v>
      </c>
      <c r="H315" s="5">
        <v>5</v>
      </c>
      <c r="I315" s="5">
        <f>VLOOKUP(F315,'Set up'!$A$2:$C$70,3,FALSE)</f>
        <v>120</v>
      </c>
      <c r="J315" s="5">
        <f>VLOOKUP(F315,'Set up'!$A$2:$D$70,4,FALSE)</f>
        <v>120</v>
      </c>
      <c r="K315" s="4">
        <f t="shared" si="46"/>
        <v>44586</v>
      </c>
      <c r="L315" s="5">
        <f t="shared" si="47"/>
        <v>1</v>
      </c>
      <c r="M315" s="5">
        <f t="shared" si="48"/>
        <v>2022</v>
      </c>
      <c r="N315" s="6">
        <v>8690</v>
      </c>
      <c r="O315" s="6">
        <f t="shared" si="52"/>
        <v>-8690</v>
      </c>
      <c r="P315" s="6">
        <f t="shared" si="51"/>
        <v>0</v>
      </c>
      <c r="Q315" s="7">
        <f t="shared" si="49"/>
        <v>457136.14999999991</v>
      </c>
      <c r="R315" s="44" t="str">
        <f>VLOOKUP(F315,'Set up'!$A$2:$E$70,5,FALSE)</f>
        <v>Chq</v>
      </c>
      <c r="S315" s="1" t="s">
        <v>575</v>
      </c>
    </row>
    <row r="316" spans="1:21" x14ac:dyDescent="0.3">
      <c r="A316" s="4">
        <v>44466</v>
      </c>
      <c r="B316" s="5">
        <f t="shared" si="44"/>
        <v>9</v>
      </c>
      <c r="C316" s="5">
        <f t="shared" si="45"/>
        <v>2021</v>
      </c>
      <c r="D316" s="5" t="s">
        <v>377</v>
      </c>
      <c r="E316" s="5" t="str">
        <f>VLOOKUP(F316,'Set up'!$A$2:$C$70,2,FALSE)</f>
        <v>C00000004</v>
      </c>
      <c r="F316" s="1" t="s">
        <v>23</v>
      </c>
      <c r="G316" s="11" t="s">
        <v>378</v>
      </c>
      <c r="H316" s="5">
        <v>1</v>
      </c>
      <c r="I316" s="5">
        <f>VLOOKUP(F316,'Set up'!$A$2:$C$70,3,FALSE)</f>
        <v>120</v>
      </c>
      <c r="J316" s="5">
        <f>VLOOKUP(F316,'Set up'!$A$2:$D$70,4,FALSE)</f>
        <v>120</v>
      </c>
      <c r="K316" s="4">
        <f t="shared" si="46"/>
        <v>44586</v>
      </c>
      <c r="L316" s="5">
        <f t="shared" si="47"/>
        <v>1</v>
      </c>
      <c r="M316" s="5">
        <f t="shared" si="48"/>
        <v>2022</v>
      </c>
      <c r="N316" s="6">
        <v>1738</v>
      </c>
      <c r="O316" s="6">
        <f t="shared" si="52"/>
        <v>-1738</v>
      </c>
      <c r="P316" s="6">
        <f t="shared" si="51"/>
        <v>0</v>
      </c>
      <c r="Q316" s="7">
        <f t="shared" si="49"/>
        <v>458874.14999999991</v>
      </c>
      <c r="R316" s="44" t="str">
        <f>VLOOKUP(F316,'Set up'!$A$2:$E$70,5,FALSE)</f>
        <v>Chq</v>
      </c>
      <c r="S316" s="1" t="s">
        <v>575</v>
      </c>
    </row>
    <row r="317" spans="1:21" x14ac:dyDescent="0.3">
      <c r="A317" s="4">
        <v>44466</v>
      </c>
      <c r="B317" s="5">
        <f t="shared" si="44"/>
        <v>9</v>
      </c>
      <c r="C317" s="5">
        <f t="shared" si="45"/>
        <v>2021</v>
      </c>
      <c r="D317" s="5" t="s">
        <v>377</v>
      </c>
      <c r="E317" s="5" t="str">
        <f>VLOOKUP(F317,'Set up'!$A$2:$C$70,2,FALSE)</f>
        <v>C00000004</v>
      </c>
      <c r="F317" s="1" t="s">
        <v>23</v>
      </c>
      <c r="G317" s="11" t="s">
        <v>360</v>
      </c>
      <c r="H317" s="5">
        <v>4</v>
      </c>
      <c r="I317" s="5">
        <f>VLOOKUP(F317,'Set up'!$A$2:$C$70,3,FALSE)</f>
        <v>120</v>
      </c>
      <c r="J317" s="5">
        <f>VLOOKUP(F317,'Set up'!$A$2:$D$70,4,FALSE)</f>
        <v>120</v>
      </c>
      <c r="K317" s="4">
        <f t="shared" si="46"/>
        <v>44586</v>
      </c>
      <c r="L317" s="5">
        <f t="shared" si="47"/>
        <v>1</v>
      </c>
      <c r="M317" s="5">
        <f t="shared" si="48"/>
        <v>2022</v>
      </c>
      <c r="N317" s="6">
        <v>2016</v>
      </c>
      <c r="O317" s="6">
        <f t="shared" si="52"/>
        <v>-2016</v>
      </c>
      <c r="P317" s="6">
        <f t="shared" si="51"/>
        <v>0</v>
      </c>
      <c r="Q317" s="7">
        <f t="shared" si="49"/>
        <v>460890.14999999991</v>
      </c>
      <c r="R317" s="44" t="str">
        <f>VLOOKUP(F317,'Set up'!$A$2:$E$70,5,FALSE)</f>
        <v>Chq</v>
      </c>
      <c r="S317" s="1" t="s">
        <v>575</v>
      </c>
    </row>
    <row r="318" spans="1:21" x14ac:dyDescent="0.3">
      <c r="A318" s="4">
        <v>44466</v>
      </c>
      <c r="B318" s="5">
        <f t="shared" si="44"/>
        <v>9</v>
      </c>
      <c r="C318" s="5">
        <f t="shared" si="45"/>
        <v>2021</v>
      </c>
      <c r="D318" s="5" t="s">
        <v>377</v>
      </c>
      <c r="E318" s="5" t="str">
        <f>VLOOKUP(F318,'Set up'!$A$2:$C$70,2,FALSE)</f>
        <v>C00000004</v>
      </c>
      <c r="F318" s="1" t="s">
        <v>23</v>
      </c>
      <c r="G318" s="11" t="s">
        <v>381</v>
      </c>
      <c r="H318" s="5">
        <v>1</v>
      </c>
      <c r="I318" s="5">
        <f>VLOOKUP(F318,'Set up'!$A$2:$C$70,3,FALSE)</f>
        <v>120</v>
      </c>
      <c r="J318" s="5">
        <f>VLOOKUP(F318,'Set up'!$A$2:$D$70,4,FALSE)</f>
        <v>120</v>
      </c>
      <c r="K318" s="4">
        <f t="shared" si="46"/>
        <v>44586</v>
      </c>
      <c r="L318" s="5">
        <f t="shared" si="47"/>
        <v>1</v>
      </c>
      <c r="M318" s="5">
        <f t="shared" si="48"/>
        <v>2022</v>
      </c>
      <c r="N318" s="6">
        <v>80</v>
      </c>
      <c r="O318" s="6">
        <f t="shared" si="52"/>
        <v>-80</v>
      </c>
      <c r="P318" s="6">
        <f t="shared" si="51"/>
        <v>0</v>
      </c>
      <c r="Q318" s="7">
        <f t="shared" si="49"/>
        <v>460970.14999999991</v>
      </c>
      <c r="R318" s="44" t="str">
        <f>VLOOKUP(F318,'Set up'!$A$2:$E$70,5,FALSE)</f>
        <v>Chq</v>
      </c>
      <c r="S318" s="1" t="s">
        <v>575</v>
      </c>
    </row>
    <row r="319" spans="1:21" x14ac:dyDescent="0.3">
      <c r="A319" s="4">
        <v>44467</v>
      </c>
      <c r="B319" s="5">
        <f t="shared" si="44"/>
        <v>9</v>
      </c>
      <c r="C319" s="5">
        <f t="shared" si="45"/>
        <v>2021</v>
      </c>
      <c r="D319" s="5" t="s">
        <v>379</v>
      </c>
      <c r="E319" s="5" t="str">
        <f>VLOOKUP(F319,'Set up'!$A$2:$C$70,2,FALSE)</f>
        <v>C00000005</v>
      </c>
      <c r="F319" s="1" t="s">
        <v>35</v>
      </c>
      <c r="G319" s="2" t="s">
        <v>67</v>
      </c>
      <c r="H319" s="5">
        <v>1</v>
      </c>
      <c r="I319" s="5" t="str">
        <f>VLOOKUP(F319,'Set up'!$A$2:$C$70,3,FALSE)</f>
        <v>Cash</v>
      </c>
      <c r="J319" s="5">
        <f>VLOOKUP(F319,'Set up'!$A$2:$D$70,4,FALSE)</f>
        <v>0</v>
      </c>
      <c r="K319" s="4">
        <f t="shared" si="46"/>
        <v>44467</v>
      </c>
      <c r="L319" s="5">
        <f t="shared" si="47"/>
        <v>9</v>
      </c>
      <c r="M319" s="5">
        <f t="shared" si="48"/>
        <v>2021</v>
      </c>
      <c r="N319" s="6">
        <v>1826</v>
      </c>
      <c r="O319" s="6">
        <f t="shared" si="52"/>
        <v>-1826</v>
      </c>
      <c r="P319" s="6">
        <f t="shared" si="51"/>
        <v>0</v>
      </c>
      <c r="Q319" s="7">
        <f t="shared" si="49"/>
        <v>462796.14999999991</v>
      </c>
      <c r="R319" s="44" t="str">
        <f>VLOOKUP(F319,'Set up'!$A$2:$E$70,5,FALSE)</f>
        <v>Chq</v>
      </c>
      <c r="S319" s="1" t="s">
        <v>433</v>
      </c>
    </row>
    <row r="320" spans="1:21" x14ac:dyDescent="0.3">
      <c r="A320" s="4">
        <v>44469</v>
      </c>
      <c r="B320" s="5">
        <f t="shared" si="44"/>
        <v>9</v>
      </c>
      <c r="C320" s="5">
        <f t="shared" si="45"/>
        <v>2021</v>
      </c>
      <c r="D320" s="5" t="s">
        <v>380</v>
      </c>
      <c r="E320" s="5" t="str">
        <f>VLOOKUP(F320,'Set up'!$A$2:$C$70,2,FALSE)</f>
        <v>C00000004</v>
      </c>
      <c r="F320" s="1" t="s">
        <v>23</v>
      </c>
      <c r="G320" s="11" t="s">
        <v>17</v>
      </c>
      <c r="H320" s="5">
        <v>3</v>
      </c>
      <c r="I320" s="5">
        <f>VLOOKUP(F320,'Set up'!$A$2:$C$70,3,FALSE)</f>
        <v>120</v>
      </c>
      <c r="J320" s="5">
        <f>VLOOKUP(F320,'Set up'!$A$2:$D$70,4,FALSE)</f>
        <v>120</v>
      </c>
      <c r="K320" s="4">
        <f t="shared" si="46"/>
        <v>44589</v>
      </c>
      <c r="L320" s="5">
        <f t="shared" si="47"/>
        <v>1</v>
      </c>
      <c r="M320" s="5">
        <f t="shared" si="48"/>
        <v>2022</v>
      </c>
      <c r="N320" s="6">
        <v>240</v>
      </c>
      <c r="O320" s="6">
        <f t="shared" si="52"/>
        <v>-240</v>
      </c>
      <c r="P320" s="6">
        <f t="shared" si="51"/>
        <v>0</v>
      </c>
      <c r="Q320" s="7">
        <f t="shared" si="49"/>
        <v>463036.14999999991</v>
      </c>
      <c r="R320" s="44" t="str">
        <f>VLOOKUP(F320,'Set up'!$A$2:$E$70,5,FALSE)</f>
        <v>Chq</v>
      </c>
      <c r="S320" s="1" t="s">
        <v>575</v>
      </c>
    </row>
    <row r="321" spans="1:19" x14ac:dyDescent="0.3">
      <c r="A321" s="4">
        <v>44470</v>
      </c>
      <c r="B321" s="5">
        <f t="shared" si="44"/>
        <v>10</v>
      </c>
      <c r="C321" s="5">
        <f t="shared" si="45"/>
        <v>2021</v>
      </c>
      <c r="D321" s="5" t="s">
        <v>397</v>
      </c>
      <c r="E321" s="5" t="str">
        <f>VLOOKUP(F321,'Set up'!$A$2:$C$70,2,FALSE)</f>
        <v>C00000006</v>
      </c>
      <c r="F321" s="1" t="s">
        <v>43</v>
      </c>
      <c r="G321" s="11" t="s">
        <v>24</v>
      </c>
      <c r="H321" s="5">
        <v>1</v>
      </c>
      <c r="I321" s="5" t="str">
        <f>VLOOKUP(F321,'Set up'!$A$2:$C$70,3,FALSE)</f>
        <v>Cash</v>
      </c>
      <c r="J321" s="5">
        <f>VLOOKUP(F321,'Set up'!$A$2:$D$70,4,FALSE)</f>
        <v>0</v>
      </c>
      <c r="K321" s="4">
        <f t="shared" si="46"/>
        <v>44470</v>
      </c>
      <c r="L321" s="5">
        <f t="shared" si="47"/>
        <v>10</v>
      </c>
      <c r="M321" s="5">
        <f t="shared" si="48"/>
        <v>2021</v>
      </c>
      <c r="N321" s="6">
        <v>240</v>
      </c>
      <c r="O321" s="6">
        <f>SUM(-N321)</f>
        <v>-240</v>
      </c>
      <c r="P321" s="6">
        <f t="shared" si="51"/>
        <v>0</v>
      </c>
      <c r="Q321" s="7">
        <f t="shared" si="49"/>
        <v>463276.14999999991</v>
      </c>
      <c r="R321" s="44" t="str">
        <f>VLOOKUP(F321,'Set up'!$A$2:$E$70,5,FALSE)</f>
        <v>Chq</v>
      </c>
      <c r="S321" s="1" t="s">
        <v>479</v>
      </c>
    </row>
    <row r="322" spans="1:19" x14ac:dyDescent="0.3">
      <c r="A322" s="4">
        <v>44471</v>
      </c>
      <c r="B322" s="5">
        <f t="shared" si="44"/>
        <v>10</v>
      </c>
      <c r="C322" s="5">
        <f t="shared" si="45"/>
        <v>2021</v>
      </c>
      <c r="D322" s="5" t="s">
        <v>398</v>
      </c>
      <c r="E322" s="5" t="str">
        <f>VLOOKUP(F322,'Set up'!$A$2:$C$70,2,FALSE)</f>
        <v>C00000019</v>
      </c>
      <c r="F322" s="1" t="s">
        <v>400</v>
      </c>
      <c r="G322" s="56" t="s">
        <v>303</v>
      </c>
      <c r="H322" s="5">
        <v>2</v>
      </c>
      <c r="I322" s="5" t="str">
        <f>VLOOKUP(F322,'Set up'!$A$2:$C$70,3,FALSE)</f>
        <v>Cash</v>
      </c>
      <c r="J322" s="5">
        <f>VLOOKUP(F322,'Set up'!$A$2:$D$70,4,FALSE)</f>
        <v>0</v>
      </c>
      <c r="K322" s="4">
        <f t="shared" si="46"/>
        <v>44471</v>
      </c>
      <c r="L322" s="5">
        <f t="shared" si="47"/>
        <v>10</v>
      </c>
      <c r="M322" s="5">
        <f t="shared" si="48"/>
        <v>2021</v>
      </c>
      <c r="N322" s="6">
        <v>3696</v>
      </c>
      <c r="O322" s="6">
        <f t="shared" ref="O322:O330" si="53">-N322</f>
        <v>-3696</v>
      </c>
      <c r="P322" s="6">
        <f t="shared" si="51"/>
        <v>0</v>
      </c>
      <c r="Q322" s="7">
        <f t="shared" si="49"/>
        <v>466972.14999999991</v>
      </c>
      <c r="R322" s="44" t="str">
        <f>VLOOKUP(F322,'Set up'!$A$2:$E$70,5,FALSE)</f>
        <v>Trsf</v>
      </c>
      <c r="S322" s="1" t="s">
        <v>430</v>
      </c>
    </row>
    <row r="323" spans="1:19" x14ac:dyDescent="0.3">
      <c r="A323" s="4">
        <v>44471</v>
      </c>
      <c r="B323" s="5">
        <f t="shared" ref="B323:B386" si="54">MONTH(A323)</f>
        <v>10</v>
      </c>
      <c r="C323" s="5">
        <f t="shared" ref="C323:C386" si="55">YEAR(A323)</f>
        <v>2021</v>
      </c>
      <c r="D323" s="5" t="s">
        <v>398</v>
      </c>
      <c r="E323" s="5" t="str">
        <f>VLOOKUP(F323,'Set up'!$A$2:$C$70,2,FALSE)</f>
        <v>C00000019</v>
      </c>
      <c r="F323" s="1" t="s">
        <v>400</v>
      </c>
      <c r="G323" s="55" t="s">
        <v>96</v>
      </c>
      <c r="H323" s="5">
        <v>1</v>
      </c>
      <c r="I323" s="5" t="str">
        <f>VLOOKUP(F323,'Set up'!$A$2:$C$70,3,FALSE)</f>
        <v>Cash</v>
      </c>
      <c r="J323" s="5">
        <f>VLOOKUP(F323,'Set up'!$A$2:$D$70,4,FALSE)</f>
        <v>0</v>
      </c>
      <c r="K323" s="4">
        <f t="shared" ref="K323:K386" si="56">A323+J323</f>
        <v>44471</v>
      </c>
      <c r="L323" s="5">
        <f t="shared" ref="L323:L386" si="57">MONTH(K323)</f>
        <v>10</v>
      </c>
      <c r="M323" s="5">
        <f t="shared" ref="M323:M386" si="58">YEAR(K323)</f>
        <v>2021</v>
      </c>
      <c r="N323" s="6">
        <v>475.2</v>
      </c>
      <c r="O323" s="6">
        <f t="shared" si="53"/>
        <v>-475.2</v>
      </c>
      <c r="P323" s="6">
        <f t="shared" si="51"/>
        <v>0</v>
      </c>
      <c r="Q323" s="7">
        <f t="shared" ref="Q323:Q386" si="59">SUM(Q322+N323)</f>
        <v>467447.34999999992</v>
      </c>
      <c r="R323" s="44" t="str">
        <f>VLOOKUP(F323,'Set up'!$A$2:$E$70,5,FALSE)</f>
        <v>Trsf</v>
      </c>
      <c r="S323" s="1" t="s">
        <v>430</v>
      </c>
    </row>
    <row r="324" spans="1:19" x14ac:dyDescent="0.3">
      <c r="A324" s="4">
        <v>44471</v>
      </c>
      <c r="B324" s="5">
        <f t="shared" si="54"/>
        <v>10</v>
      </c>
      <c r="C324" s="5">
        <f t="shared" si="55"/>
        <v>2021</v>
      </c>
      <c r="D324" s="5" t="s">
        <v>398</v>
      </c>
      <c r="E324" s="5" t="str">
        <f>VLOOKUP(F324,'Set up'!$A$2:$C$70,2,FALSE)</f>
        <v>C00000019</v>
      </c>
      <c r="F324" s="1" t="s">
        <v>400</v>
      </c>
      <c r="G324" s="11" t="s">
        <v>292</v>
      </c>
      <c r="H324" s="5">
        <v>2</v>
      </c>
      <c r="I324" s="5" t="str">
        <f>VLOOKUP(F324,'Set up'!$A$2:$C$70,3,FALSE)</f>
        <v>Cash</v>
      </c>
      <c r="J324" s="5">
        <f>VLOOKUP(F324,'Set up'!$A$2:$D$70,4,FALSE)</f>
        <v>0</v>
      </c>
      <c r="K324" s="4">
        <f t="shared" si="56"/>
        <v>44471</v>
      </c>
      <c r="L324" s="5">
        <f t="shared" si="57"/>
        <v>10</v>
      </c>
      <c r="M324" s="5">
        <f t="shared" si="58"/>
        <v>2021</v>
      </c>
      <c r="N324" s="6">
        <v>720</v>
      </c>
      <c r="O324" s="6">
        <f t="shared" si="53"/>
        <v>-720</v>
      </c>
      <c r="P324" s="6">
        <f t="shared" si="51"/>
        <v>0</v>
      </c>
      <c r="Q324" s="7">
        <f t="shared" si="59"/>
        <v>468167.34999999992</v>
      </c>
      <c r="R324" s="44" t="str">
        <f>VLOOKUP(F324,'Set up'!$A$2:$E$70,5,FALSE)</f>
        <v>Trsf</v>
      </c>
      <c r="S324" s="1" t="s">
        <v>430</v>
      </c>
    </row>
    <row r="325" spans="1:19" x14ac:dyDescent="0.3">
      <c r="A325" s="4">
        <v>44471</v>
      </c>
      <c r="B325" s="5">
        <f t="shared" si="54"/>
        <v>10</v>
      </c>
      <c r="C325" s="5">
        <f t="shared" si="55"/>
        <v>2021</v>
      </c>
      <c r="D325" s="5" t="s">
        <v>398</v>
      </c>
      <c r="E325" s="5" t="str">
        <f>VLOOKUP(F325,'Set up'!$A$2:$C$70,2,FALSE)</f>
        <v>C00000019</v>
      </c>
      <c r="F325" s="1" t="s">
        <v>400</v>
      </c>
      <c r="G325" s="11" t="s">
        <v>64</v>
      </c>
      <c r="H325" s="5">
        <v>3</v>
      </c>
      <c r="I325" s="5" t="str">
        <f>VLOOKUP(F325,'Set up'!$A$2:$C$70,3,FALSE)</f>
        <v>Cash</v>
      </c>
      <c r="J325" s="5">
        <f>VLOOKUP(F325,'Set up'!$A$2:$D$70,4,FALSE)</f>
        <v>0</v>
      </c>
      <c r="K325" s="4">
        <f t="shared" si="56"/>
        <v>44471</v>
      </c>
      <c r="L325" s="5">
        <f t="shared" si="57"/>
        <v>10</v>
      </c>
      <c r="M325" s="5">
        <f t="shared" si="58"/>
        <v>2021</v>
      </c>
      <c r="N325" s="6">
        <v>165</v>
      </c>
      <c r="O325" s="6">
        <f t="shared" si="53"/>
        <v>-165</v>
      </c>
      <c r="P325" s="6">
        <f t="shared" si="51"/>
        <v>0</v>
      </c>
      <c r="Q325" s="7">
        <f t="shared" si="59"/>
        <v>468332.34999999992</v>
      </c>
      <c r="R325" s="44" t="str">
        <f>VLOOKUP(F325,'Set up'!$A$2:$E$70,5,FALSE)</f>
        <v>Trsf</v>
      </c>
      <c r="S325" s="1" t="s">
        <v>430</v>
      </c>
    </row>
    <row r="326" spans="1:19" x14ac:dyDescent="0.3">
      <c r="A326" s="4">
        <v>44474</v>
      </c>
      <c r="B326" s="5">
        <f t="shared" si="54"/>
        <v>10</v>
      </c>
      <c r="C326" s="5">
        <f t="shared" si="55"/>
        <v>2021</v>
      </c>
      <c r="D326" s="5" t="s">
        <v>401</v>
      </c>
      <c r="E326" s="5" t="str">
        <f>VLOOKUP(F326,'Set up'!$A$2:$C$70,2,FALSE)</f>
        <v>C00000019</v>
      </c>
      <c r="F326" s="1" t="s">
        <v>400</v>
      </c>
      <c r="G326" s="11" t="s">
        <v>46</v>
      </c>
      <c r="H326" s="5">
        <v>1</v>
      </c>
      <c r="I326" s="5" t="str">
        <f>VLOOKUP(F326,'Set up'!$A$2:$C$70,3,FALSE)</f>
        <v>Cash</v>
      </c>
      <c r="J326" s="5">
        <f>VLOOKUP(F326,'Set up'!$A$2:$D$70,4,FALSE)</f>
        <v>0</v>
      </c>
      <c r="K326" s="4">
        <f t="shared" si="56"/>
        <v>44474</v>
      </c>
      <c r="L326" s="5">
        <f t="shared" si="57"/>
        <v>10</v>
      </c>
      <c r="M326" s="5">
        <f t="shared" si="58"/>
        <v>2021</v>
      </c>
      <c r="N326" s="6">
        <v>100</v>
      </c>
      <c r="O326" s="6">
        <f t="shared" si="53"/>
        <v>-100</v>
      </c>
      <c r="P326" s="6">
        <f t="shared" si="51"/>
        <v>0</v>
      </c>
      <c r="Q326" s="7">
        <f t="shared" si="59"/>
        <v>468432.34999999992</v>
      </c>
      <c r="R326" s="44" t="str">
        <f>VLOOKUP(F326,'Set up'!$A$2:$E$70,5,FALSE)</f>
        <v>Trsf</v>
      </c>
      <c r="S326" s="1" t="s">
        <v>431</v>
      </c>
    </row>
    <row r="327" spans="1:19" x14ac:dyDescent="0.3">
      <c r="A327" s="4">
        <v>44474</v>
      </c>
      <c r="B327" s="5">
        <f t="shared" si="54"/>
        <v>10</v>
      </c>
      <c r="C327" s="5">
        <f t="shared" si="55"/>
        <v>2021</v>
      </c>
      <c r="D327" s="5" t="s">
        <v>402</v>
      </c>
      <c r="E327" s="5" t="str">
        <f>VLOOKUP(F327,'Set up'!$A$2:$C$70,2,FALSE)</f>
        <v>C00000010</v>
      </c>
      <c r="F327" s="1" t="s">
        <v>62</v>
      </c>
      <c r="G327" s="56" t="s">
        <v>303</v>
      </c>
      <c r="H327" s="5">
        <v>6</v>
      </c>
      <c r="I327" s="5">
        <f>VLOOKUP(F327,'Set up'!$A$2:$C$70,3,FALSE)</f>
        <v>120</v>
      </c>
      <c r="J327" s="5">
        <f>VLOOKUP(F327,'Set up'!$A$2:$D$70,4,FALSE)</f>
        <v>120</v>
      </c>
      <c r="K327" s="4">
        <f t="shared" si="56"/>
        <v>44594</v>
      </c>
      <c r="L327" s="5">
        <f t="shared" si="57"/>
        <v>2</v>
      </c>
      <c r="M327" s="5">
        <f t="shared" si="58"/>
        <v>2022</v>
      </c>
      <c r="N327" s="71">
        <v>10428</v>
      </c>
      <c r="O327" s="6">
        <f t="shared" si="53"/>
        <v>-10428</v>
      </c>
      <c r="P327" s="6">
        <f t="shared" si="51"/>
        <v>0</v>
      </c>
      <c r="Q327" s="7">
        <f t="shared" si="59"/>
        <v>478860.34999999992</v>
      </c>
      <c r="R327" s="44" t="str">
        <f>VLOOKUP(F327,'Set up'!$A$2:$E$70,5,FALSE)</f>
        <v>Trsf</v>
      </c>
      <c r="S327" s="1" t="s">
        <v>577</v>
      </c>
    </row>
    <row r="328" spans="1:19" x14ac:dyDescent="0.3">
      <c r="A328" s="4">
        <v>44474</v>
      </c>
      <c r="B328" s="5">
        <f t="shared" si="54"/>
        <v>10</v>
      </c>
      <c r="C328" s="5">
        <f t="shared" si="55"/>
        <v>2021</v>
      </c>
      <c r="D328" s="5" t="s">
        <v>402</v>
      </c>
      <c r="E328" s="5" t="str">
        <f>VLOOKUP(F328,'Set up'!$A$2:$C$70,2,FALSE)</f>
        <v>C00000010</v>
      </c>
      <c r="F328" s="1" t="s">
        <v>62</v>
      </c>
      <c r="G328" s="56" t="s">
        <v>219</v>
      </c>
      <c r="H328" s="5">
        <v>4</v>
      </c>
      <c r="I328" s="5">
        <f>VLOOKUP(F328,'Set up'!$A$2:$C$70,3,FALSE)</f>
        <v>120</v>
      </c>
      <c r="J328" s="5">
        <f>VLOOKUP(F328,'Set up'!$A$2:$D$70,4,FALSE)</f>
        <v>120</v>
      </c>
      <c r="K328" s="4">
        <f t="shared" si="56"/>
        <v>44594</v>
      </c>
      <c r="L328" s="5">
        <f t="shared" si="57"/>
        <v>2</v>
      </c>
      <c r="M328" s="5">
        <f t="shared" si="58"/>
        <v>2022</v>
      </c>
      <c r="N328" s="6">
        <v>1258</v>
      </c>
      <c r="O328" s="6">
        <f t="shared" si="53"/>
        <v>-1258</v>
      </c>
      <c r="P328" s="6">
        <f t="shared" si="51"/>
        <v>0</v>
      </c>
      <c r="Q328" s="7">
        <f t="shared" si="59"/>
        <v>480118.34999999992</v>
      </c>
      <c r="R328" s="44" t="str">
        <f>VLOOKUP(F328,'Set up'!$A$2:$E$70,5,FALSE)</f>
        <v>Trsf</v>
      </c>
      <c r="S328" s="1" t="s">
        <v>577</v>
      </c>
    </row>
    <row r="329" spans="1:19" x14ac:dyDescent="0.3">
      <c r="A329" s="4">
        <v>44474</v>
      </c>
      <c r="B329" s="5">
        <f t="shared" si="54"/>
        <v>10</v>
      </c>
      <c r="C329" s="5">
        <f t="shared" si="55"/>
        <v>2021</v>
      </c>
      <c r="D329" s="5" t="s">
        <v>402</v>
      </c>
      <c r="E329" s="5" t="str">
        <f>VLOOKUP(F329,'Set up'!$A$2:$C$70,2,FALSE)</f>
        <v>C00000010</v>
      </c>
      <c r="F329" s="1" t="s">
        <v>62</v>
      </c>
      <c r="G329" s="56" t="s">
        <v>64</v>
      </c>
      <c r="H329" s="5">
        <v>5</v>
      </c>
      <c r="I329" s="5">
        <f>VLOOKUP(F329,'Set up'!$A$2:$C$70,3,FALSE)</f>
        <v>120</v>
      </c>
      <c r="J329" s="5">
        <f>VLOOKUP(F329,'Set up'!$A$2:$D$70,4,FALSE)</f>
        <v>120</v>
      </c>
      <c r="K329" s="4">
        <f t="shared" si="56"/>
        <v>44594</v>
      </c>
      <c r="L329" s="5">
        <f t="shared" si="57"/>
        <v>2</v>
      </c>
      <c r="M329" s="5">
        <f t="shared" si="58"/>
        <v>2022</v>
      </c>
      <c r="N329" s="6">
        <v>275</v>
      </c>
      <c r="O329" s="6">
        <f t="shared" si="53"/>
        <v>-275</v>
      </c>
      <c r="P329" s="6">
        <f t="shared" si="51"/>
        <v>0</v>
      </c>
      <c r="Q329" s="7">
        <f t="shared" si="59"/>
        <v>480393.34999999992</v>
      </c>
      <c r="R329" s="44" t="str">
        <f>VLOOKUP(F329,'Set up'!$A$2:$E$70,5,FALSE)</f>
        <v>Trsf</v>
      </c>
      <c r="S329" s="1" t="s">
        <v>577</v>
      </c>
    </row>
    <row r="330" spans="1:19" x14ac:dyDescent="0.3">
      <c r="A330" s="4">
        <v>44474</v>
      </c>
      <c r="B330" s="5">
        <f t="shared" si="54"/>
        <v>10</v>
      </c>
      <c r="C330" s="5">
        <f t="shared" si="55"/>
        <v>2021</v>
      </c>
      <c r="D330" s="5" t="s">
        <v>402</v>
      </c>
      <c r="E330" s="5" t="str">
        <f>VLOOKUP(F330,'Set up'!$A$2:$C$70,2,FALSE)</f>
        <v>C00000010</v>
      </c>
      <c r="F330" s="1" t="s">
        <v>62</v>
      </c>
      <c r="G330" s="77" t="s">
        <v>381</v>
      </c>
      <c r="H330" s="5">
        <v>2</v>
      </c>
      <c r="I330" s="5">
        <f>VLOOKUP(F330,'Set up'!$A$2:$C$70,3,FALSE)</f>
        <v>120</v>
      </c>
      <c r="J330" s="5">
        <f>VLOOKUP(F330,'Set up'!$A$2:$D$70,4,FALSE)</f>
        <v>120</v>
      </c>
      <c r="K330" s="4">
        <f t="shared" si="56"/>
        <v>44594</v>
      </c>
      <c r="L330" s="5">
        <f t="shared" si="57"/>
        <v>2</v>
      </c>
      <c r="M330" s="5">
        <f t="shared" si="58"/>
        <v>2022</v>
      </c>
      <c r="N330" s="6">
        <v>160</v>
      </c>
      <c r="O330" s="6">
        <f t="shared" si="53"/>
        <v>-160</v>
      </c>
      <c r="P330" s="6">
        <f t="shared" si="51"/>
        <v>0</v>
      </c>
      <c r="Q330" s="7">
        <f t="shared" si="59"/>
        <v>480553.34999999992</v>
      </c>
      <c r="R330" s="44" t="str">
        <f>VLOOKUP(F330,'Set up'!$A$2:$E$70,5,FALSE)</f>
        <v>Trsf</v>
      </c>
      <c r="S330" s="1" t="s">
        <v>577</v>
      </c>
    </row>
    <row r="331" spans="1:19" ht="62.4" x14ac:dyDescent="0.3">
      <c r="A331" s="4">
        <v>44476</v>
      </c>
      <c r="B331" s="5">
        <f t="shared" si="54"/>
        <v>10</v>
      </c>
      <c r="C331" s="5">
        <f t="shared" si="55"/>
        <v>2021</v>
      </c>
      <c r="D331" s="5" t="s">
        <v>403</v>
      </c>
      <c r="E331" s="5" t="str">
        <f>VLOOKUP(F331,'Set up'!$A$2:$C$70,2,FALSE)</f>
        <v>C00000003</v>
      </c>
      <c r="F331" s="1" t="s">
        <v>20</v>
      </c>
      <c r="G331" s="2" t="s">
        <v>404</v>
      </c>
      <c r="H331" s="5">
        <v>1</v>
      </c>
      <c r="I331" s="5">
        <f>VLOOKUP(F331,'Set up'!$A$2:$C$70,3,FALSE)</f>
        <v>45</v>
      </c>
      <c r="J331" s="5">
        <f>VLOOKUP(F331,'Set up'!$A$2:$D$70,4,FALSE)</f>
        <v>45</v>
      </c>
      <c r="K331" s="4">
        <f t="shared" si="56"/>
        <v>44521</v>
      </c>
      <c r="L331" s="5">
        <f t="shared" si="57"/>
        <v>11</v>
      </c>
      <c r="M331" s="5">
        <f t="shared" si="58"/>
        <v>2021</v>
      </c>
      <c r="N331" s="6">
        <v>1870</v>
      </c>
      <c r="O331" s="6">
        <f>-1314-556</f>
        <v>-1870</v>
      </c>
      <c r="P331" s="6">
        <f t="shared" si="51"/>
        <v>0</v>
      </c>
      <c r="Q331" s="7">
        <f t="shared" si="59"/>
        <v>482423.34999999992</v>
      </c>
      <c r="R331" s="44" t="str">
        <f>VLOOKUP(F331,'Set up'!$A$2:$E$70,5,FALSE)</f>
        <v>PD Chq</v>
      </c>
      <c r="S331" s="40" t="s">
        <v>538</v>
      </c>
    </row>
    <row r="332" spans="1:19" ht="31.2" x14ac:dyDescent="0.3">
      <c r="A332" s="4">
        <v>44476</v>
      </c>
      <c r="B332" s="5">
        <f t="shared" si="54"/>
        <v>10</v>
      </c>
      <c r="C332" s="5">
        <f t="shared" si="55"/>
        <v>2021</v>
      </c>
      <c r="D332" s="5" t="s">
        <v>403</v>
      </c>
      <c r="E332" s="5" t="str">
        <f>VLOOKUP(F332,'Set up'!$A$2:$C$70,2,FALSE)</f>
        <v>C00000003</v>
      </c>
      <c r="F332" s="1" t="s">
        <v>20</v>
      </c>
      <c r="G332" s="76" t="s">
        <v>54</v>
      </c>
      <c r="H332" s="5">
        <v>6</v>
      </c>
      <c r="I332" s="5">
        <f>VLOOKUP(F332,'Set up'!$A$2:$C$70,3,FALSE)</f>
        <v>45</v>
      </c>
      <c r="J332" s="5">
        <f>VLOOKUP(F332,'Set up'!$A$2:$D$70,4,FALSE)</f>
        <v>45</v>
      </c>
      <c r="K332" s="4">
        <f t="shared" si="56"/>
        <v>44521</v>
      </c>
      <c r="L332" s="5">
        <f t="shared" si="57"/>
        <v>11</v>
      </c>
      <c r="M332" s="5">
        <f t="shared" si="58"/>
        <v>2021</v>
      </c>
      <c r="N332" s="6">
        <v>300</v>
      </c>
      <c r="O332" s="6">
        <f>-N332</f>
        <v>-300</v>
      </c>
      <c r="P332" s="6">
        <f t="shared" si="51"/>
        <v>0</v>
      </c>
      <c r="Q332" s="7">
        <f t="shared" si="59"/>
        <v>482723.34999999992</v>
      </c>
      <c r="R332" s="44" t="str">
        <f>VLOOKUP(F332,'Set up'!$A$2:$E$70,5,FALSE)</f>
        <v>PD Chq</v>
      </c>
      <c r="S332" s="40" t="s">
        <v>537</v>
      </c>
    </row>
    <row r="333" spans="1:19" ht="31.2" x14ac:dyDescent="0.3">
      <c r="A333" s="4">
        <v>44476</v>
      </c>
      <c r="B333" s="5">
        <f t="shared" si="54"/>
        <v>10</v>
      </c>
      <c r="C333" s="5">
        <f t="shared" si="55"/>
        <v>2021</v>
      </c>
      <c r="D333" s="5" t="s">
        <v>403</v>
      </c>
      <c r="E333" s="5" t="str">
        <f>VLOOKUP(F333,'Set up'!$A$2:$C$70,2,FALSE)</f>
        <v>C00000003</v>
      </c>
      <c r="F333" s="1" t="s">
        <v>20</v>
      </c>
      <c r="G333" s="55" t="s">
        <v>381</v>
      </c>
      <c r="H333" s="5">
        <v>2</v>
      </c>
      <c r="I333" s="5">
        <f>VLOOKUP(F333,'Set up'!$A$2:$C$70,3,FALSE)</f>
        <v>45</v>
      </c>
      <c r="J333" s="5">
        <f>VLOOKUP(F333,'Set up'!$A$2:$D$70,4,FALSE)</f>
        <v>45</v>
      </c>
      <c r="K333" s="4">
        <f t="shared" si="56"/>
        <v>44521</v>
      </c>
      <c r="L333" s="5">
        <f t="shared" si="57"/>
        <v>11</v>
      </c>
      <c r="M333" s="5">
        <f t="shared" si="58"/>
        <v>2021</v>
      </c>
      <c r="N333" s="6">
        <v>160</v>
      </c>
      <c r="O333" s="6">
        <f>-N333</f>
        <v>-160</v>
      </c>
      <c r="P333" s="6">
        <f t="shared" si="51"/>
        <v>0</v>
      </c>
      <c r="Q333" s="7">
        <f t="shared" si="59"/>
        <v>482883.34999999992</v>
      </c>
      <c r="R333" s="44" t="str">
        <f>VLOOKUP(F333,'Set up'!$A$2:$E$70,5,FALSE)</f>
        <v>PD Chq</v>
      </c>
      <c r="S333" s="40" t="s">
        <v>524</v>
      </c>
    </row>
    <row r="334" spans="1:19" ht="62.4" x14ac:dyDescent="0.3">
      <c r="A334" s="4">
        <v>44477</v>
      </c>
      <c r="B334" s="5">
        <f t="shared" si="54"/>
        <v>10</v>
      </c>
      <c r="C334" s="5">
        <f t="shared" si="55"/>
        <v>2021</v>
      </c>
      <c r="D334" s="5" t="s">
        <v>405</v>
      </c>
      <c r="E334" s="5" t="str">
        <f>VLOOKUP(F334,'Set up'!$A$2:$C$70,2,FALSE)</f>
        <v>C00000003</v>
      </c>
      <c r="F334" s="1" t="s">
        <v>20</v>
      </c>
      <c r="G334" s="77" t="s">
        <v>406</v>
      </c>
      <c r="H334" s="5">
        <v>1</v>
      </c>
      <c r="I334" s="5">
        <f>VLOOKUP(F334,'Set up'!$A$2:$C$70,3,FALSE)</f>
        <v>45</v>
      </c>
      <c r="J334" s="5">
        <f>VLOOKUP(F334,'Set up'!$A$2:$D$70,4,FALSE)</f>
        <v>45</v>
      </c>
      <c r="K334" s="4">
        <f t="shared" si="56"/>
        <v>44522</v>
      </c>
      <c r="L334" s="5">
        <f t="shared" si="57"/>
        <v>11</v>
      </c>
      <c r="M334" s="5">
        <f t="shared" si="58"/>
        <v>2021</v>
      </c>
      <c r="N334" s="6">
        <v>1300</v>
      </c>
      <c r="O334" s="6">
        <f>-484-816</f>
        <v>-1300</v>
      </c>
      <c r="P334" s="6">
        <f t="shared" si="51"/>
        <v>0</v>
      </c>
      <c r="Q334" s="7">
        <f t="shared" si="59"/>
        <v>484183.34999999992</v>
      </c>
      <c r="R334" s="44" t="str">
        <f>VLOOKUP(F334,'Set up'!$A$2:$E$70,5,FALSE)</f>
        <v>PD Chq</v>
      </c>
      <c r="S334" s="40" t="s">
        <v>525</v>
      </c>
    </row>
    <row r="335" spans="1:19" x14ac:dyDescent="0.3">
      <c r="A335" s="4">
        <v>44478</v>
      </c>
      <c r="B335" s="5">
        <f t="shared" si="54"/>
        <v>10</v>
      </c>
      <c r="C335" s="5">
        <f t="shared" si="55"/>
        <v>2021</v>
      </c>
      <c r="D335" s="5" t="s">
        <v>407</v>
      </c>
      <c r="E335" s="5" t="str">
        <f>VLOOKUP(F335,'Set up'!$A$2:$C$70,2,FALSE)</f>
        <v>C00000020</v>
      </c>
      <c r="F335" s="1" t="s">
        <v>409</v>
      </c>
      <c r="G335" s="11" t="s">
        <v>286</v>
      </c>
      <c r="H335" s="5">
        <v>1</v>
      </c>
      <c r="I335" s="5" t="str">
        <f>VLOOKUP(F335,'Set up'!$A$2:$C$70,3,FALSE)</f>
        <v>Cash</v>
      </c>
      <c r="J335" s="5">
        <f>VLOOKUP(F335,'Set up'!$A$2:$D$70,4,FALSE)</f>
        <v>0</v>
      </c>
      <c r="K335" s="4">
        <f t="shared" si="56"/>
        <v>44478</v>
      </c>
      <c r="L335" s="5">
        <f t="shared" si="57"/>
        <v>10</v>
      </c>
      <c r="M335" s="5">
        <f t="shared" si="58"/>
        <v>2021</v>
      </c>
      <c r="N335" s="6">
        <v>1760</v>
      </c>
      <c r="O335" s="6">
        <f t="shared" ref="O335:O375" si="60">-N335</f>
        <v>-1760</v>
      </c>
      <c r="P335" s="6">
        <f t="shared" si="51"/>
        <v>0</v>
      </c>
      <c r="Q335" s="7">
        <f t="shared" si="59"/>
        <v>485943.34999999992</v>
      </c>
      <c r="R335" s="44" t="str">
        <f>VLOOKUP(F335,'Set up'!$A$2:$E$70,5,FALSE)</f>
        <v>Trsf</v>
      </c>
      <c r="S335" s="1" t="s">
        <v>431</v>
      </c>
    </row>
    <row r="336" spans="1:19" x14ac:dyDescent="0.3">
      <c r="A336" s="4">
        <v>44480</v>
      </c>
      <c r="B336" s="5">
        <f t="shared" si="54"/>
        <v>10</v>
      </c>
      <c r="C336" s="5">
        <f t="shared" si="55"/>
        <v>2021</v>
      </c>
      <c r="D336" s="5" t="s">
        <v>410</v>
      </c>
      <c r="E336" s="5" t="str">
        <f>VLOOKUP(F336,'Set up'!$A$2:$C$70,2,FALSE)</f>
        <v>C00000013a</v>
      </c>
      <c r="F336" s="1" t="s">
        <v>1453</v>
      </c>
      <c r="G336" s="11" t="s">
        <v>64</v>
      </c>
      <c r="H336" s="5">
        <v>2</v>
      </c>
      <c r="I336" s="5" t="str">
        <f>VLOOKUP(F336,'Set up'!$A$2:$C$70,3,FALSE)</f>
        <v>Cash</v>
      </c>
      <c r="J336" s="5">
        <f>VLOOKUP(F336,'Set up'!$A$2:$D$70,4,FALSE)</f>
        <v>0</v>
      </c>
      <c r="K336" s="4">
        <f t="shared" si="56"/>
        <v>44480</v>
      </c>
      <c r="L336" s="5">
        <f t="shared" si="57"/>
        <v>10</v>
      </c>
      <c r="M336" s="5">
        <f t="shared" si="58"/>
        <v>2021</v>
      </c>
      <c r="N336" s="6">
        <v>125</v>
      </c>
      <c r="O336" s="6">
        <f t="shared" si="60"/>
        <v>-125</v>
      </c>
      <c r="P336" s="6">
        <f t="shared" si="51"/>
        <v>0</v>
      </c>
      <c r="Q336" s="7">
        <f t="shared" si="59"/>
        <v>486068.34999999992</v>
      </c>
      <c r="R336" s="44" t="str">
        <f>VLOOKUP(F336,'Set up'!$A$2:$E$70,5,FALSE)</f>
        <v>Chq</v>
      </c>
      <c r="S336" s="1" t="s">
        <v>431</v>
      </c>
    </row>
    <row r="337" spans="1:19" x14ac:dyDescent="0.3">
      <c r="A337" s="4">
        <v>44480</v>
      </c>
      <c r="B337" s="5">
        <f t="shared" si="54"/>
        <v>10</v>
      </c>
      <c r="C337" s="5">
        <f t="shared" si="55"/>
        <v>2021</v>
      </c>
      <c r="D337" s="5" t="s">
        <v>410</v>
      </c>
      <c r="E337" s="5" t="str">
        <f>VLOOKUP(F337,'Set up'!$A$2:$C$70,2,FALSE)</f>
        <v>C00000013a</v>
      </c>
      <c r="F337" s="1" t="s">
        <v>1453</v>
      </c>
      <c r="G337" s="77" t="s">
        <v>381</v>
      </c>
      <c r="H337" s="5">
        <v>1</v>
      </c>
      <c r="I337" s="5" t="str">
        <f>VLOOKUP(F337,'Set up'!$A$2:$C$70,3,FALSE)</f>
        <v>Cash</v>
      </c>
      <c r="J337" s="5">
        <f>VLOOKUP(F337,'Set up'!$A$2:$D$70,4,FALSE)</f>
        <v>0</v>
      </c>
      <c r="K337" s="4">
        <f t="shared" si="56"/>
        <v>44480</v>
      </c>
      <c r="L337" s="5">
        <f t="shared" si="57"/>
        <v>10</v>
      </c>
      <c r="M337" s="5">
        <f t="shared" si="58"/>
        <v>2021</v>
      </c>
      <c r="N337" s="6">
        <v>80</v>
      </c>
      <c r="O337" s="6">
        <f t="shared" si="60"/>
        <v>-80</v>
      </c>
      <c r="P337" s="6">
        <f t="shared" si="51"/>
        <v>0</v>
      </c>
      <c r="Q337" s="7">
        <f t="shared" si="59"/>
        <v>486148.34999999992</v>
      </c>
      <c r="R337" s="44" t="str">
        <f>VLOOKUP(F337,'Set up'!$A$2:$E$70,5,FALSE)</f>
        <v>Chq</v>
      </c>
      <c r="S337" s="1" t="s">
        <v>431</v>
      </c>
    </row>
    <row r="338" spans="1:19" ht="43.2" x14ac:dyDescent="0.3">
      <c r="A338" s="4">
        <v>44481</v>
      </c>
      <c r="B338" s="5">
        <f t="shared" si="54"/>
        <v>10</v>
      </c>
      <c r="C338" s="5">
        <f t="shared" si="55"/>
        <v>2021</v>
      </c>
      <c r="D338" s="5" t="s">
        <v>411</v>
      </c>
      <c r="E338" s="5" t="str">
        <f>VLOOKUP(F338,'Set up'!$A$2:$C$70,2,FALSE)</f>
        <v>C00000020</v>
      </c>
      <c r="F338" s="1" t="s">
        <v>409</v>
      </c>
      <c r="G338" s="74" t="s">
        <v>412</v>
      </c>
      <c r="H338" s="5">
        <v>4</v>
      </c>
      <c r="I338" s="5" t="str">
        <f>VLOOKUP(F338,'Set up'!$A$2:$C$70,3,FALSE)</f>
        <v>Cash</v>
      </c>
      <c r="J338" s="5">
        <f>VLOOKUP(F338,'Set up'!$A$2:$D$70,4,FALSE)</f>
        <v>0</v>
      </c>
      <c r="K338" s="4">
        <f t="shared" si="56"/>
        <v>44481</v>
      </c>
      <c r="L338" s="5">
        <f t="shared" si="57"/>
        <v>10</v>
      </c>
      <c r="M338" s="5">
        <f t="shared" si="58"/>
        <v>2021</v>
      </c>
      <c r="N338" s="6">
        <v>7650</v>
      </c>
      <c r="O338" s="6">
        <f t="shared" si="60"/>
        <v>-7650</v>
      </c>
      <c r="P338" s="6">
        <f t="shared" si="51"/>
        <v>0</v>
      </c>
      <c r="Q338" s="7">
        <f t="shared" si="59"/>
        <v>493798.34999999992</v>
      </c>
      <c r="R338" s="44" t="str">
        <f>VLOOKUP(F338,'Set up'!$A$2:$E$70,5,FALSE)</f>
        <v>Trsf</v>
      </c>
      <c r="S338" s="1" t="s">
        <v>434</v>
      </c>
    </row>
    <row r="339" spans="1:19" ht="43.2" x14ac:dyDescent="0.3">
      <c r="A339" s="4">
        <v>44481</v>
      </c>
      <c r="B339" s="5">
        <f t="shared" si="54"/>
        <v>10</v>
      </c>
      <c r="C339" s="5">
        <f t="shared" si="55"/>
        <v>2021</v>
      </c>
      <c r="D339" s="5" t="s">
        <v>411</v>
      </c>
      <c r="E339" s="5" t="str">
        <f>VLOOKUP(F339,'Set up'!$A$2:$C$70,2,FALSE)</f>
        <v>C00000020</v>
      </c>
      <c r="F339" s="1" t="s">
        <v>409</v>
      </c>
      <c r="G339" s="74" t="s">
        <v>413</v>
      </c>
      <c r="H339" s="5">
        <v>10</v>
      </c>
      <c r="I339" s="5" t="str">
        <f>VLOOKUP(F339,'Set up'!$A$2:$C$70,3,FALSE)</f>
        <v>Cash</v>
      </c>
      <c r="J339" s="5">
        <f>VLOOKUP(F339,'Set up'!$A$2:$D$70,4,FALSE)</f>
        <v>0</v>
      </c>
      <c r="K339" s="4">
        <f t="shared" si="56"/>
        <v>44481</v>
      </c>
      <c r="L339" s="5">
        <f t="shared" si="57"/>
        <v>10</v>
      </c>
      <c r="M339" s="5">
        <f t="shared" si="58"/>
        <v>2021</v>
      </c>
      <c r="N339" s="6">
        <v>3182</v>
      </c>
      <c r="O339" s="6">
        <f t="shared" si="60"/>
        <v>-3182</v>
      </c>
      <c r="P339" s="6">
        <f t="shared" si="51"/>
        <v>0</v>
      </c>
      <c r="Q339" s="7">
        <f t="shared" si="59"/>
        <v>496980.34999999992</v>
      </c>
      <c r="R339" s="44" t="str">
        <f>VLOOKUP(F339,'Set up'!$A$2:$E$70,5,FALSE)</f>
        <v>Trsf</v>
      </c>
      <c r="S339" s="1" t="s">
        <v>434</v>
      </c>
    </row>
    <row r="340" spans="1:19" ht="28.8" x14ac:dyDescent="0.3">
      <c r="A340" s="4">
        <v>44481</v>
      </c>
      <c r="B340" s="5">
        <f t="shared" si="54"/>
        <v>10</v>
      </c>
      <c r="C340" s="5">
        <f t="shared" si="55"/>
        <v>2021</v>
      </c>
      <c r="D340" s="5" t="s">
        <v>411</v>
      </c>
      <c r="E340" s="5" t="str">
        <f>VLOOKUP(F340,'Set up'!$A$2:$C$70,2,FALSE)</f>
        <v>C00000020</v>
      </c>
      <c r="F340" s="1" t="s">
        <v>409</v>
      </c>
      <c r="G340" s="74" t="s">
        <v>64</v>
      </c>
      <c r="H340" s="5">
        <v>2</v>
      </c>
      <c r="I340" s="5" t="str">
        <f>VLOOKUP(F340,'Set up'!$A$2:$C$70,3,FALSE)</f>
        <v>Cash</v>
      </c>
      <c r="J340" s="5">
        <f>VLOOKUP(F340,'Set up'!$A$2:$D$70,4,FALSE)</f>
        <v>0</v>
      </c>
      <c r="K340" s="4">
        <f t="shared" si="56"/>
        <v>44481</v>
      </c>
      <c r="L340" s="5">
        <f t="shared" si="57"/>
        <v>10</v>
      </c>
      <c r="M340" s="5">
        <f t="shared" si="58"/>
        <v>2021</v>
      </c>
      <c r="N340" s="6">
        <v>125</v>
      </c>
      <c r="O340" s="6">
        <f t="shared" si="60"/>
        <v>-125</v>
      </c>
      <c r="P340" s="6">
        <f t="shared" si="51"/>
        <v>0</v>
      </c>
      <c r="Q340" s="7">
        <f t="shared" si="59"/>
        <v>497105.34999999992</v>
      </c>
      <c r="R340" s="44" t="str">
        <f>VLOOKUP(F340,'Set up'!$A$2:$E$70,5,FALSE)</f>
        <v>Trsf</v>
      </c>
      <c r="S340" s="1" t="s">
        <v>434</v>
      </c>
    </row>
    <row r="341" spans="1:19" ht="28.8" x14ac:dyDescent="0.3">
      <c r="A341" s="4">
        <v>44481</v>
      </c>
      <c r="B341" s="5">
        <f t="shared" si="54"/>
        <v>10</v>
      </c>
      <c r="C341" s="5">
        <f t="shared" si="55"/>
        <v>2021</v>
      </c>
      <c r="D341" s="5" t="s">
        <v>411</v>
      </c>
      <c r="E341" s="5" t="str">
        <f>VLOOKUP(F341,'Set up'!$A$2:$C$70,2,FALSE)</f>
        <v>C00000020</v>
      </c>
      <c r="F341" s="1" t="s">
        <v>409</v>
      </c>
      <c r="G341" s="74" t="s">
        <v>381</v>
      </c>
      <c r="H341" s="5">
        <v>4</v>
      </c>
      <c r="I341" s="5" t="str">
        <f>VLOOKUP(F341,'Set up'!$A$2:$C$70,3,FALSE)</f>
        <v>Cash</v>
      </c>
      <c r="J341" s="5">
        <f>VLOOKUP(F341,'Set up'!$A$2:$D$70,4,FALSE)</f>
        <v>0</v>
      </c>
      <c r="K341" s="4">
        <f t="shared" si="56"/>
        <v>44481</v>
      </c>
      <c r="L341" s="5">
        <f t="shared" si="57"/>
        <v>10</v>
      </c>
      <c r="M341" s="5">
        <f t="shared" si="58"/>
        <v>2021</v>
      </c>
      <c r="N341" s="6">
        <v>320</v>
      </c>
      <c r="O341" s="6">
        <f t="shared" si="60"/>
        <v>-320</v>
      </c>
      <c r="P341" s="6">
        <f t="shared" ref="P341:P404" si="61">SUM(N341+O341)</f>
        <v>0</v>
      </c>
      <c r="Q341" s="7">
        <f t="shared" si="59"/>
        <v>497425.34999999992</v>
      </c>
      <c r="R341" s="44" t="str">
        <f>VLOOKUP(F341,'Set up'!$A$2:$E$70,5,FALSE)</f>
        <v>Trsf</v>
      </c>
      <c r="S341" s="1" t="s">
        <v>434</v>
      </c>
    </row>
    <row r="342" spans="1:19" ht="43.2" x14ac:dyDescent="0.3">
      <c r="A342" s="4">
        <v>44481</v>
      </c>
      <c r="B342" s="5">
        <f t="shared" si="54"/>
        <v>10</v>
      </c>
      <c r="C342" s="5">
        <f t="shared" si="55"/>
        <v>2021</v>
      </c>
      <c r="D342" s="5" t="s">
        <v>411</v>
      </c>
      <c r="E342" s="5" t="str">
        <f>VLOOKUP(F342,'Set up'!$A$2:$C$70,2,FALSE)</f>
        <v>C00000020</v>
      </c>
      <c r="F342" s="1" t="s">
        <v>409</v>
      </c>
      <c r="G342" s="74" t="s">
        <v>414</v>
      </c>
      <c r="H342" s="5">
        <v>4</v>
      </c>
      <c r="I342" s="5" t="str">
        <f>VLOOKUP(F342,'Set up'!$A$2:$C$70,3,FALSE)</f>
        <v>Cash</v>
      </c>
      <c r="J342" s="5">
        <f>VLOOKUP(F342,'Set up'!$A$2:$D$70,4,FALSE)</f>
        <v>0</v>
      </c>
      <c r="K342" s="4">
        <f t="shared" si="56"/>
        <v>44481</v>
      </c>
      <c r="L342" s="5">
        <f t="shared" si="57"/>
        <v>10</v>
      </c>
      <c r="M342" s="5">
        <f t="shared" si="58"/>
        <v>2021</v>
      </c>
      <c r="N342" s="6">
        <v>1350</v>
      </c>
      <c r="O342" s="6">
        <f t="shared" si="60"/>
        <v>-1350</v>
      </c>
      <c r="P342" s="6">
        <f t="shared" si="61"/>
        <v>0</v>
      </c>
      <c r="Q342" s="7">
        <f t="shared" si="59"/>
        <v>498775.34999999992</v>
      </c>
      <c r="R342" s="44" t="str">
        <f>VLOOKUP(F342,'Set up'!$A$2:$E$70,5,FALSE)</f>
        <v>Trsf</v>
      </c>
      <c r="S342" s="1" t="s">
        <v>434</v>
      </c>
    </row>
    <row r="343" spans="1:19" x14ac:dyDescent="0.3">
      <c r="A343" s="4">
        <v>44482</v>
      </c>
      <c r="B343" s="5">
        <f t="shared" si="54"/>
        <v>10</v>
      </c>
      <c r="C343" s="5">
        <f t="shared" si="55"/>
        <v>2021</v>
      </c>
      <c r="D343" s="5" t="s">
        <v>415</v>
      </c>
      <c r="E343" s="5" t="str">
        <f>VLOOKUP(F343,'Set up'!$A$2:$C$70,2,FALSE)</f>
        <v>C00000019</v>
      </c>
      <c r="F343" s="1" t="s">
        <v>400</v>
      </c>
      <c r="G343" s="56" t="s">
        <v>303</v>
      </c>
      <c r="H343" s="5">
        <v>2</v>
      </c>
      <c r="I343" s="5" t="str">
        <f>VLOOKUP(F343,'Set up'!$A$2:$C$70,3,FALSE)</f>
        <v>Cash</v>
      </c>
      <c r="J343" s="5">
        <f>VLOOKUP(F343,'Set up'!$A$2:$D$70,4,FALSE)</f>
        <v>0</v>
      </c>
      <c r="K343" s="4">
        <f t="shared" si="56"/>
        <v>44482</v>
      </c>
      <c r="L343" s="5">
        <f t="shared" si="57"/>
        <v>10</v>
      </c>
      <c r="M343" s="5">
        <f t="shared" si="58"/>
        <v>2021</v>
      </c>
      <c r="N343" s="6">
        <v>3696</v>
      </c>
      <c r="O343" s="6">
        <f t="shared" si="60"/>
        <v>-3696</v>
      </c>
      <c r="P343" s="6">
        <f t="shared" si="61"/>
        <v>0</v>
      </c>
      <c r="Q343" s="7">
        <f t="shared" si="59"/>
        <v>502471.34999999992</v>
      </c>
      <c r="R343" s="44" t="str">
        <f>VLOOKUP(F343,'Set up'!$A$2:$E$70,5,FALSE)</f>
        <v>Trsf</v>
      </c>
      <c r="S343" s="1" t="s">
        <v>435</v>
      </c>
    </row>
    <row r="344" spans="1:19" x14ac:dyDescent="0.3">
      <c r="A344" s="4">
        <v>44482</v>
      </c>
      <c r="B344" s="5">
        <f t="shared" si="54"/>
        <v>10</v>
      </c>
      <c r="C344" s="5">
        <f t="shared" si="55"/>
        <v>2021</v>
      </c>
      <c r="D344" s="5" t="s">
        <v>415</v>
      </c>
      <c r="E344" s="5" t="str">
        <f>VLOOKUP(F344,'Set up'!$A$2:$C$70,2,FALSE)</f>
        <v>C00000019</v>
      </c>
      <c r="F344" s="1" t="s">
        <v>400</v>
      </c>
      <c r="G344" s="85" t="s">
        <v>478</v>
      </c>
      <c r="H344" s="5">
        <v>2</v>
      </c>
      <c r="I344" s="5" t="str">
        <f>VLOOKUP(F344,'Set up'!$A$2:$C$70,3,FALSE)</f>
        <v>Cash</v>
      </c>
      <c r="J344" s="5">
        <f>VLOOKUP(F344,'Set up'!$A$2:$D$70,4,FALSE)</f>
        <v>0</v>
      </c>
      <c r="K344" s="4">
        <f t="shared" si="56"/>
        <v>44482</v>
      </c>
      <c r="L344" s="5">
        <f t="shared" si="57"/>
        <v>10</v>
      </c>
      <c r="M344" s="5">
        <f t="shared" si="58"/>
        <v>2021</v>
      </c>
      <c r="N344" s="6">
        <v>950.4</v>
      </c>
      <c r="O344" s="6">
        <f t="shared" si="60"/>
        <v>-950.4</v>
      </c>
      <c r="P344" s="6">
        <f t="shared" si="61"/>
        <v>0</v>
      </c>
      <c r="Q344" s="7">
        <f t="shared" si="59"/>
        <v>503421.74999999994</v>
      </c>
      <c r="R344" s="44" t="str">
        <f>VLOOKUP(F344,'Set up'!$A$2:$E$70,5,FALSE)</f>
        <v>Trsf</v>
      </c>
      <c r="S344" s="1" t="s">
        <v>435</v>
      </c>
    </row>
    <row r="345" spans="1:19" x14ac:dyDescent="0.3">
      <c r="A345" s="4">
        <v>44482</v>
      </c>
      <c r="B345" s="5">
        <f t="shared" si="54"/>
        <v>10</v>
      </c>
      <c r="C345" s="5">
        <f t="shared" si="55"/>
        <v>2021</v>
      </c>
      <c r="D345" s="5" t="s">
        <v>415</v>
      </c>
      <c r="E345" s="5" t="str">
        <f>VLOOKUP(F345,'Set up'!$A$2:$C$70,2,FALSE)</f>
        <v>C00000019</v>
      </c>
      <c r="F345" s="1" t="s">
        <v>400</v>
      </c>
      <c r="G345" s="11" t="s">
        <v>238</v>
      </c>
      <c r="H345" s="5">
        <v>1</v>
      </c>
      <c r="I345" s="5" t="str">
        <f>VLOOKUP(F345,'Set up'!$A$2:$C$70,3,FALSE)</f>
        <v>Cash</v>
      </c>
      <c r="J345" s="5">
        <f>VLOOKUP(F345,'Set up'!$A$2:$D$70,4,FALSE)</f>
        <v>0</v>
      </c>
      <c r="K345" s="4">
        <f t="shared" si="56"/>
        <v>44482</v>
      </c>
      <c r="L345" s="5">
        <f t="shared" si="57"/>
        <v>10</v>
      </c>
      <c r="M345" s="5">
        <f t="shared" si="58"/>
        <v>2021</v>
      </c>
      <c r="N345" s="6">
        <v>360</v>
      </c>
      <c r="O345" s="6">
        <f t="shared" si="60"/>
        <v>-360</v>
      </c>
      <c r="P345" s="6">
        <f t="shared" si="61"/>
        <v>0</v>
      </c>
      <c r="Q345" s="7">
        <f t="shared" si="59"/>
        <v>503781.74999999994</v>
      </c>
      <c r="R345" s="44" t="str">
        <f>VLOOKUP(F345,'Set up'!$A$2:$E$70,5,FALSE)</f>
        <v>Trsf</v>
      </c>
      <c r="S345" s="1" t="s">
        <v>435</v>
      </c>
    </row>
    <row r="346" spans="1:19" ht="28.8" x14ac:dyDescent="0.3">
      <c r="A346" s="4">
        <v>44483</v>
      </c>
      <c r="B346" s="5">
        <f t="shared" si="54"/>
        <v>10</v>
      </c>
      <c r="C346" s="5">
        <f t="shared" si="55"/>
        <v>2021</v>
      </c>
      <c r="D346" s="5" t="s">
        <v>416</v>
      </c>
      <c r="E346" s="5" t="str">
        <f>VLOOKUP(F346,'Set up'!$A$2:$C$70,2,FALSE)</f>
        <v>C00000019</v>
      </c>
      <c r="F346" s="1" t="s">
        <v>400</v>
      </c>
      <c r="G346" s="74" t="s">
        <v>417</v>
      </c>
      <c r="H346" s="5">
        <v>6</v>
      </c>
      <c r="I346" s="5" t="str">
        <f>VLOOKUP(F346,'Set up'!$A$2:$C$70,3,FALSE)</f>
        <v>Cash</v>
      </c>
      <c r="J346" s="5">
        <f>VLOOKUP(F346,'Set up'!$A$2:$D$70,4,FALSE)</f>
        <v>0</v>
      </c>
      <c r="K346" s="4">
        <f t="shared" si="56"/>
        <v>44483</v>
      </c>
      <c r="L346" s="5">
        <f t="shared" si="57"/>
        <v>10</v>
      </c>
      <c r="M346" s="5">
        <f t="shared" si="58"/>
        <v>2021</v>
      </c>
      <c r="N346" s="6">
        <v>300</v>
      </c>
      <c r="O346" s="6">
        <f t="shared" si="60"/>
        <v>-300</v>
      </c>
      <c r="P346" s="6">
        <f t="shared" si="61"/>
        <v>0</v>
      </c>
      <c r="Q346" s="7">
        <f t="shared" si="59"/>
        <v>504081.74999999994</v>
      </c>
      <c r="R346" s="44" t="str">
        <f>VLOOKUP(F346,'Set up'!$A$2:$E$70,5,FALSE)</f>
        <v>Trsf</v>
      </c>
      <c r="S346" s="1" t="s">
        <v>435</v>
      </c>
    </row>
    <row r="347" spans="1:19" ht="28.8" x14ac:dyDescent="0.3">
      <c r="A347" s="4">
        <v>44483</v>
      </c>
      <c r="B347" s="5">
        <f t="shared" si="54"/>
        <v>10</v>
      </c>
      <c r="C347" s="5">
        <f t="shared" si="55"/>
        <v>2021</v>
      </c>
      <c r="D347" s="5" t="s">
        <v>416</v>
      </c>
      <c r="E347" s="5" t="str">
        <f>VLOOKUP(F347,'Set up'!$A$2:$C$70,2,FALSE)</f>
        <v>C00000019</v>
      </c>
      <c r="F347" s="1" t="s">
        <v>400</v>
      </c>
      <c r="G347" s="74" t="s">
        <v>46</v>
      </c>
      <c r="H347" s="5">
        <v>1</v>
      </c>
      <c r="I347" s="5" t="str">
        <f>VLOOKUP(F347,'Set up'!$A$2:$C$70,3,FALSE)</f>
        <v>Cash</v>
      </c>
      <c r="J347" s="5">
        <f>VLOOKUP(F347,'Set up'!$A$2:$D$70,4,FALSE)</f>
        <v>0</v>
      </c>
      <c r="K347" s="4">
        <f t="shared" si="56"/>
        <v>44483</v>
      </c>
      <c r="L347" s="5">
        <f t="shared" si="57"/>
        <v>10</v>
      </c>
      <c r="M347" s="5">
        <f t="shared" si="58"/>
        <v>2021</v>
      </c>
      <c r="N347" s="6">
        <v>100</v>
      </c>
      <c r="O347" s="6">
        <f t="shared" si="60"/>
        <v>-100</v>
      </c>
      <c r="P347" s="6">
        <f t="shared" si="61"/>
        <v>0</v>
      </c>
      <c r="Q347" s="7">
        <f t="shared" si="59"/>
        <v>504181.74999999994</v>
      </c>
      <c r="R347" s="44" t="str">
        <f>VLOOKUP(F347,'Set up'!$A$2:$E$70,5,FALSE)</f>
        <v>Trsf</v>
      </c>
      <c r="S347" s="1" t="s">
        <v>435</v>
      </c>
    </row>
    <row r="348" spans="1:19" x14ac:dyDescent="0.3">
      <c r="A348" s="4">
        <v>44483</v>
      </c>
      <c r="B348" s="5">
        <f t="shared" si="54"/>
        <v>10</v>
      </c>
      <c r="C348" s="5">
        <f t="shared" si="55"/>
        <v>2021</v>
      </c>
      <c r="D348" s="5" t="s">
        <v>418</v>
      </c>
      <c r="E348" s="5" t="str">
        <f>VLOOKUP(F348,'Set up'!$A$2:$C$70,2,FALSE)</f>
        <v>C00000009</v>
      </c>
      <c r="F348" s="1" t="s">
        <v>58</v>
      </c>
      <c r="G348" s="2" t="s">
        <v>360</v>
      </c>
      <c r="H348" s="5">
        <v>10</v>
      </c>
      <c r="I348" s="5">
        <f>VLOOKUP(F348,'Set up'!$A$2:$C$70,3,FALSE)</f>
        <v>60</v>
      </c>
      <c r="J348" s="5">
        <f>VLOOKUP(F348,'Set up'!$A$2:$D$70,4,FALSE)</f>
        <v>60</v>
      </c>
      <c r="K348" s="4">
        <f t="shared" si="56"/>
        <v>44543</v>
      </c>
      <c r="L348" s="5">
        <f t="shared" si="57"/>
        <v>12</v>
      </c>
      <c r="M348" s="5">
        <f t="shared" si="58"/>
        <v>2021</v>
      </c>
      <c r="N348" s="6">
        <v>5100</v>
      </c>
      <c r="O348" s="6">
        <f t="shared" si="60"/>
        <v>-5100</v>
      </c>
      <c r="P348" s="6">
        <f t="shared" si="61"/>
        <v>0</v>
      </c>
      <c r="Q348" s="7">
        <f t="shared" si="59"/>
        <v>509281.74999999994</v>
      </c>
      <c r="R348" s="44" t="str">
        <f>VLOOKUP(F348,'Set up'!$A$2:$E$70,5,FALSE)</f>
        <v>Chq</v>
      </c>
      <c r="S348" s="1" t="s">
        <v>583</v>
      </c>
    </row>
    <row r="349" spans="1:19" ht="28.8" x14ac:dyDescent="0.3">
      <c r="A349" s="4">
        <v>44484</v>
      </c>
      <c r="B349" s="5">
        <f t="shared" si="54"/>
        <v>10</v>
      </c>
      <c r="C349" s="5">
        <f t="shared" si="55"/>
        <v>2021</v>
      </c>
      <c r="D349" s="5" t="s">
        <v>419</v>
      </c>
      <c r="E349" s="5" t="str">
        <f>VLOOKUP(F349,'Set up'!$A$2:$C$70,2,FALSE)</f>
        <v>C00000014</v>
      </c>
      <c r="F349" s="1" t="s">
        <v>262</v>
      </c>
      <c r="G349" s="74" t="s">
        <v>420</v>
      </c>
      <c r="H349" s="5">
        <v>3</v>
      </c>
      <c r="I349" s="5" t="str">
        <f>VLOOKUP(F349,'Set up'!$A$2:$C$70,3,FALSE)</f>
        <v>Cash</v>
      </c>
      <c r="J349" s="5">
        <f>VLOOKUP(F349,'Set up'!$A$2:$D$70,4,FALSE)</f>
        <v>0</v>
      </c>
      <c r="K349" s="4">
        <f t="shared" si="56"/>
        <v>44484</v>
      </c>
      <c r="L349" s="5">
        <f t="shared" si="57"/>
        <v>10</v>
      </c>
      <c r="M349" s="5">
        <f t="shared" si="58"/>
        <v>2021</v>
      </c>
      <c r="N349" s="6">
        <v>2025</v>
      </c>
      <c r="O349" s="6">
        <f t="shared" si="60"/>
        <v>-2025</v>
      </c>
      <c r="P349" s="6">
        <f t="shared" si="61"/>
        <v>0</v>
      </c>
      <c r="Q349" s="7">
        <f t="shared" si="59"/>
        <v>511306.74999999994</v>
      </c>
      <c r="R349" s="44" t="str">
        <f>VLOOKUP(F349,'Set up'!$A$2:$E$70,5,FALSE)</f>
        <v>Cash</v>
      </c>
      <c r="S349" s="1" t="s">
        <v>437</v>
      </c>
    </row>
    <row r="350" spans="1:19" ht="43.2" x14ac:dyDescent="0.3">
      <c r="A350" s="4">
        <v>44484</v>
      </c>
      <c r="B350" s="5">
        <f t="shared" si="54"/>
        <v>10</v>
      </c>
      <c r="C350" s="5">
        <f t="shared" si="55"/>
        <v>2021</v>
      </c>
      <c r="D350" s="5" t="s">
        <v>419</v>
      </c>
      <c r="E350" s="5" t="str">
        <f>VLOOKUP(F350,'Set up'!$A$2:$C$70,2,FALSE)</f>
        <v>C00000014</v>
      </c>
      <c r="F350" s="1" t="s">
        <v>262</v>
      </c>
      <c r="G350" s="74" t="s">
        <v>413</v>
      </c>
      <c r="H350" s="5">
        <v>2</v>
      </c>
      <c r="I350" s="5" t="str">
        <f>VLOOKUP(F350,'Set up'!$A$2:$C$70,3,FALSE)</f>
        <v>Cash</v>
      </c>
      <c r="J350" s="5">
        <f>VLOOKUP(F350,'Set up'!$A$2:$D$70,4,FALSE)</f>
        <v>0</v>
      </c>
      <c r="K350" s="4">
        <f t="shared" si="56"/>
        <v>44484</v>
      </c>
      <c r="L350" s="5">
        <f t="shared" si="57"/>
        <v>10</v>
      </c>
      <c r="M350" s="5">
        <f t="shared" si="58"/>
        <v>2021</v>
      </c>
      <c r="N350" s="6">
        <v>516</v>
      </c>
      <c r="O350" s="6">
        <f t="shared" si="60"/>
        <v>-516</v>
      </c>
      <c r="P350" s="6">
        <f t="shared" si="61"/>
        <v>0</v>
      </c>
      <c r="Q350" s="7">
        <f t="shared" si="59"/>
        <v>511822.74999999994</v>
      </c>
      <c r="R350" s="44" t="str">
        <f>VLOOKUP(F350,'Set up'!$A$2:$E$70,5,FALSE)</f>
        <v>Cash</v>
      </c>
      <c r="S350" s="1" t="s">
        <v>437</v>
      </c>
    </row>
    <row r="351" spans="1:19" ht="28.8" x14ac:dyDescent="0.3">
      <c r="A351" s="4">
        <v>44484</v>
      </c>
      <c r="B351" s="5">
        <f t="shared" si="54"/>
        <v>10</v>
      </c>
      <c r="C351" s="5">
        <f t="shared" si="55"/>
        <v>2021</v>
      </c>
      <c r="D351" s="5" t="s">
        <v>419</v>
      </c>
      <c r="E351" s="5" t="str">
        <f>VLOOKUP(F351,'Set up'!$A$2:$C$70,2,FALSE)</f>
        <v>C00000014</v>
      </c>
      <c r="F351" s="1" t="s">
        <v>262</v>
      </c>
      <c r="G351" s="74" t="s">
        <v>64</v>
      </c>
      <c r="H351" s="5">
        <v>1</v>
      </c>
      <c r="I351" s="5" t="str">
        <f>VLOOKUP(F351,'Set up'!$A$2:$C$70,3,FALSE)</f>
        <v>Cash</v>
      </c>
      <c r="J351" s="5">
        <f>VLOOKUP(F351,'Set up'!$A$2:$D$70,4,FALSE)</f>
        <v>0</v>
      </c>
      <c r="K351" s="4">
        <f t="shared" si="56"/>
        <v>44484</v>
      </c>
      <c r="L351" s="5">
        <f t="shared" si="57"/>
        <v>10</v>
      </c>
      <c r="M351" s="5">
        <f t="shared" si="58"/>
        <v>2021</v>
      </c>
      <c r="N351" s="6">
        <v>55</v>
      </c>
      <c r="O351" s="6">
        <f t="shared" si="60"/>
        <v>-55</v>
      </c>
      <c r="P351" s="6">
        <f t="shared" si="61"/>
        <v>0</v>
      </c>
      <c r="Q351" s="7">
        <f t="shared" si="59"/>
        <v>511877.74999999994</v>
      </c>
      <c r="R351" s="44" t="str">
        <f>VLOOKUP(F351,'Set up'!$A$2:$E$70,5,FALSE)</f>
        <v>Cash</v>
      </c>
      <c r="S351" s="1" t="s">
        <v>437</v>
      </c>
    </row>
    <row r="352" spans="1:19" ht="28.8" x14ac:dyDescent="0.3">
      <c r="A352" s="4">
        <v>44484</v>
      </c>
      <c r="B352" s="5">
        <f t="shared" si="54"/>
        <v>10</v>
      </c>
      <c r="C352" s="5">
        <f t="shared" si="55"/>
        <v>2021</v>
      </c>
      <c r="D352" s="5" t="s">
        <v>419</v>
      </c>
      <c r="E352" s="5" t="str">
        <f>VLOOKUP(F352,'Set up'!$A$2:$C$70,2,FALSE)</f>
        <v>C00000014</v>
      </c>
      <c r="F352" s="1" t="s">
        <v>262</v>
      </c>
      <c r="G352" s="74" t="s">
        <v>381</v>
      </c>
      <c r="H352" s="5">
        <v>1</v>
      </c>
      <c r="I352" s="5" t="str">
        <f>VLOOKUP(F352,'Set up'!$A$2:$C$70,3,FALSE)</f>
        <v>Cash</v>
      </c>
      <c r="J352" s="5">
        <f>VLOOKUP(F352,'Set up'!$A$2:$D$70,4,FALSE)</f>
        <v>0</v>
      </c>
      <c r="K352" s="4">
        <f t="shared" si="56"/>
        <v>44484</v>
      </c>
      <c r="L352" s="5">
        <f t="shared" si="57"/>
        <v>10</v>
      </c>
      <c r="M352" s="5">
        <f t="shared" si="58"/>
        <v>2021</v>
      </c>
      <c r="N352" s="6">
        <v>80</v>
      </c>
      <c r="O352" s="6">
        <f t="shared" si="60"/>
        <v>-80</v>
      </c>
      <c r="P352" s="6">
        <f t="shared" si="61"/>
        <v>0</v>
      </c>
      <c r="Q352" s="7">
        <f t="shared" si="59"/>
        <v>511957.74999999994</v>
      </c>
      <c r="R352" s="44" t="str">
        <f>VLOOKUP(F352,'Set up'!$A$2:$E$70,5,FALSE)</f>
        <v>Cash</v>
      </c>
      <c r="S352" s="1" t="s">
        <v>437</v>
      </c>
    </row>
    <row r="353" spans="1:19" ht="28.8" x14ac:dyDescent="0.3">
      <c r="A353" s="4">
        <v>44484</v>
      </c>
      <c r="B353" s="5">
        <f t="shared" si="54"/>
        <v>10</v>
      </c>
      <c r="C353" s="5">
        <f t="shared" si="55"/>
        <v>2021</v>
      </c>
      <c r="D353" s="5" t="s">
        <v>423</v>
      </c>
      <c r="E353" s="5" t="str">
        <f>VLOOKUP(F353,'Set up'!$A$2:$C$70,2,FALSE)</f>
        <v>C00000005</v>
      </c>
      <c r="F353" s="1" t="s">
        <v>35</v>
      </c>
      <c r="G353" s="74" t="s">
        <v>67</v>
      </c>
      <c r="H353" s="5">
        <v>1</v>
      </c>
      <c r="I353" s="5" t="str">
        <f>VLOOKUP(F353,'Set up'!$A$2:$C$70,3,FALSE)</f>
        <v>Cash</v>
      </c>
      <c r="J353" s="5">
        <f>VLOOKUP(F353,'Set up'!$A$2:$D$70,4,FALSE)</f>
        <v>0</v>
      </c>
      <c r="K353" s="4">
        <f t="shared" si="56"/>
        <v>44484</v>
      </c>
      <c r="L353" s="5">
        <f t="shared" si="57"/>
        <v>10</v>
      </c>
      <c r="M353" s="5">
        <f t="shared" si="58"/>
        <v>2021</v>
      </c>
      <c r="N353" s="6">
        <v>1826</v>
      </c>
      <c r="O353" s="6">
        <f t="shared" si="60"/>
        <v>-1826</v>
      </c>
      <c r="P353" s="6">
        <f t="shared" si="61"/>
        <v>0</v>
      </c>
      <c r="Q353" s="7">
        <f t="shared" si="59"/>
        <v>513783.74999999994</v>
      </c>
      <c r="R353" s="44" t="str">
        <f>VLOOKUP(F353,'Set up'!$A$2:$E$70,5,FALSE)</f>
        <v>Chq</v>
      </c>
      <c r="S353" s="1" t="s">
        <v>463</v>
      </c>
    </row>
    <row r="354" spans="1:19" ht="28.8" x14ac:dyDescent="0.3">
      <c r="A354" s="4">
        <v>44484</v>
      </c>
      <c r="B354" s="5">
        <f t="shared" si="54"/>
        <v>10</v>
      </c>
      <c r="C354" s="5">
        <f t="shared" si="55"/>
        <v>2021</v>
      </c>
      <c r="D354" s="5" t="s">
        <v>423</v>
      </c>
      <c r="E354" s="5" t="str">
        <f>VLOOKUP(F354,'Set up'!$A$2:$C$70,2,FALSE)</f>
        <v>C00000005</v>
      </c>
      <c r="F354" s="1" t="s">
        <v>35</v>
      </c>
      <c r="G354" s="74" t="s">
        <v>46</v>
      </c>
      <c r="H354" s="5">
        <v>1</v>
      </c>
      <c r="I354" s="5" t="str">
        <f>VLOOKUP(F354,'Set up'!$A$2:$C$70,3,FALSE)</f>
        <v>Cash</v>
      </c>
      <c r="J354" s="5">
        <f>VLOOKUP(F354,'Set up'!$A$2:$D$70,4,FALSE)</f>
        <v>0</v>
      </c>
      <c r="K354" s="4">
        <f t="shared" si="56"/>
        <v>44484</v>
      </c>
      <c r="L354" s="5">
        <f t="shared" si="57"/>
        <v>10</v>
      </c>
      <c r="M354" s="5">
        <f t="shared" si="58"/>
        <v>2021</v>
      </c>
      <c r="N354" s="6">
        <v>100</v>
      </c>
      <c r="O354" s="6">
        <f t="shared" si="60"/>
        <v>-100</v>
      </c>
      <c r="P354" s="6">
        <f t="shared" si="61"/>
        <v>0</v>
      </c>
      <c r="Q354" s="7">
        <f t="shared" si="59"/>
        <v>513883.74999999994</v>
      </c>
      <c r="R354" s="44" t="str">
        <f>VLOOKUP(F354,'Set up'!$A$2:$E$70,5,FALSE)</f>
        <v>Chq</v>
      </c>
      <c r="S354" s="1" t="s">
        <v>463</v>
      </c>
    </row>
    <row r="355" spans="1:19" ht="46.8" x14ac:dyDescent="0.3">
      <c r="A355" s="4">
        <v>44484</v>
      </c>
      <c r="B355" s="5">
        <f t="shared" si="54"/>
        <v>10</v>
      </c>
      <c r="C355" s="5">
        <f t="shared" si="55"/>
        <v>2021</v>
      </c>
      <c r="D355" s="5" t="s">
        <v>424</v>
      </c>
      <c r="E355" s="5" t="str">
        <f>VLOOKUP(F355,'Set up'!$A$2:$C$70,2,FALSE)</f>
        <v>C00000020</v>
      </c>
      <c r="F355" s="1" t="s">
        <v>409</v>
      </c>
      <c r="G355" s="79" t="s">
        <v>219</v>
      </c>
      <c r="H355" s="5">
        <v>2</v>
      </c>
      <c r="I355" s="5" t="str">
        <f>VLOOKUP(F355,'Set up'!$A$2:$C$70,3,FALSE)</f>
        <v>Cash</v>
      </c>
      <c r="J355" s="5">
        <f>VLOOKUP(F355,'Set up'!$A$2:$D$70,4,FALSE)</f>
        <v>0</v>
      </c>
      <c r="K355" s="4">
        <f t="shared" si="56"/>
        <v>44484</v>
      </c>
      <c r="L355" s="5">
        <f t="shared" si="57"/>
        <v>10</v>
      </c>
      <c r="M355" s="5">
        <f t="shared" si="58"/>
        <v>2021</v>
      </c>
      <c r="N355" s="6">
        <v>636.4</v>
      </c>
      <c r="O355" s="6">
        <f t="shared" si="60"/>
        <v>-636.4</v>
      </c>
      <c r="P355" s="6">
        <f t="shared" si="61"/>
        <v>0</v>
      </c>
      <c r="Q355" s="7">
        <f t="shared" si="59"/>
        <v>514520.14999999997</v>
      </c>
      <c r="R355" s="44" t="str">
        <f>VLOOKUP(F355,'Set up'!$A$2:$E$70,5,FALSE)</f>
        <v>Trsf</v>
      </c>
      <c r="S355" s="1" t="s">
        <v>436</v>
      </c>
    </row>
    <row r="356" spans="1:19" ht="43.2" x14ac:dyDescent="0.3">
      <c r="A356" s="4">
        <v>44484</v>
      </c>
      <c r="B356" s="5">
        <f t="shared" si="54"/>
        <v>10</v>
      </c>
      <c r="C356" s="5">
        <f t="shared" si="55"/>
        <v>2021</v>
      </c>
      <c r="D356" s="5" t="s">
        <v>424</v>
      </c>
      <c r="E356" s="5" t="str">
        <f>VLOOKUP(F356,'Set up'!$A$2:$C$70,2,FALSE)</f>
        <v>C00000020</v>
      </c>
      <c r="F356" s="1" t="s">
        <v>409</v>
      </c>
      <c r="G356" s="74" t="s">
        <v>414</v>
      </c>
      <c r="H356" s="5">
        <v>2</v>
      </c>
      <c r="I356" s="5" t="str">
        <f>VLOOKUP(F356,'Set up'!$A$2:$C$70,3,FALSE)</f>
        <v>Cash</v>
      </c>
      <c r="J356" s="5">
        <f>VLOOKUP(F356,'Set up'!$A$2:$D$70,4,FALSE)</f>
        <v>0</v>
      </c>
      <c r="K356" s="4">
        <f t="shared" si="56"/>
        <v>44484</v>
      </c>
      <c r="L356" s="5">
        <f t="shared" si="57"/>
        <v>10</v>
      </c>
      <c r="M356" s="5">
        <f t="shared" si="58"/>
        <v>2021</v>
      </c>
      <c r="N356" s="6">
        <v>675</v>
      </c>
      <c r="O356" s="6">
        <f t="shared" si="60"/>
        <v>-675</v>
      </c>
      <c r="P356" s="6">
        <f t="shared" si="61"/>
        <v>0</v>
      </c>
      <c r="Q356" s="7">
        <f t="shared" si="59"/>
        <v>515195.14999999997</v>
      </c>
      <c r="R356" s="44" t="str">
        <f>VLOOKUP(F356,'Set up'!$A$2:$E$70,5,FALSE)</f>
        <v>Trsf</v>
      </c>
      <c r="S356" s="1" t="s">
        <v>436</v>
      </c>
    </row>
    <row r="357" spans="1:19" ht="28.8" x14ac:dyDescent="0.3">
      <c r="A357" s="4">
        <v>44487</v>
      </c>
      <c r="B357" s="5">
        <f t="shared" si="54"/>
        <v>10</v>
      </c>
      <c r="C357" s="5">
        <f t="shared" si="55"/>
        <v>2021</v>
      </c>
      <c r="D357" s="5" t="s">
        <v>425</v>
      </c>
      <c r="E357" s="5" t="str">
        <f>VLOOKUP(F357,'Set up'!$A$2:$C$70,2,FALSE)</f>
        <v>C00000020</v>
      </c>
      <c r="F357" s="1" t="s">
        <v>409</v>
      </c>
      <c r="G357" s="74" t="s">
        <v>428</v>
      </c>
      <c r="H357" s="5">
        <v>2</v>
      </c>
      <c r="I357" s="5" t="str">
        <f>VLOOKUP(F357,'Set up'!$A$2:$C$70,3,FALSE)</f>
        <v>Cash</v>
      </c>
      <c r="J357" s="5">
        <f>VLOOKUP(F357,'Set up'!$A$2:$D$70,4,FALSE)</f>
        <v>0</v>
      </c>
      <c r="K357" s="4">
        <f t="shared" si="56"/>
        <v>44487</v>
      </c>
      <c r="L357" s="5">
        <f t="shared" si="57"/>
        <v>10</v>
      </c>
      <c r="M357" s="5">
        <f t="shared" si="58"/>
        <v>2021</v>
      </c>
      <c r="N357" s="6">
        <v>3825</v>
      </c>
      <c r="O357" s="6">
        <f t="shared" si="60"/>
        <v>-3825</v>
      </c>
      <c r="P357" s="6">
        <f t="shared" si="61"/>
        <v>0</v>
      </c>
      <c r="Q357" s="7">
        <f t="shared" si="59"/>
        <v>519020.14999999997</v>
      </c>
      <c r="R357" s="44" t="str">
        <f>VLOOKUP(F357,'Set up'!$A$2:$E$70,5,FALSE)</f>
        <v>Trsf</v>
      </c>
      <c r="S357" s="1" t="s">
        <v>454</v>
      </c>
    </row>
    <row r="358" spans="1:19" ht="28.8" x14ac:dyDescent="0.3">
      <c r="A358" s="4">
        <v>44487</v>
      </c>
      <c r="B358" s="5">
        <f t="shared" si="54"/>
        <v>10</v>
      </c>
      <c r="C358" s="5">
        <f t="shared" si="55"/>
        <v>2021</v>
      </c>
      <c r="D358" s="5" t="s">
        <v>425</v>
      </c>
      <c r="E358" s="5" t="str">
        <f>VLOOKUP(F358,'Set up'!$A$2:$C$70,2,FALSE)</f>
        <v>C00000020</v>
      </c>
      <c r="F358" s="1" t="s">
        <v>409</v>
      </c>
      <c r="G358" s="74" t="s">
        <v>95</v>
      </c>
      <c r="H358" s="5">
        <v>2</v>
      </c>
      <c r="I358" s="5" t="str">
        <f>VLOOKUP(F358,'Set up'!$A$2:$C$70,3,FALSE)</f>
        <v>Cash</v>
      </c>
      <c r="J358" s="5">
        <f>VLOOKUP(F358,'Set up'!$A$2:$D$70,4,FALSE)</f>
        <v>0</v>
      </c>
      <c r="K358" s="4">
        <f t="shared" si="56"/>
        <v>44487</v>
      </c>
      <c r="L358" s="5">
        <f t="shared" si="57"/>
        <v>10</v>
      </c>
      <c r="M358" s="5">
        <f t="shared" si="58"/>
        <v>2021</v>
      </c>
      <c r="N358" s="6">
        <v>3740</v>
      </c>
      <c r="O358" s="6">
        <f t="shared" si="60"/>
        <v>-3740</v>
      </c>
      <c r="P358" s="6">
        <f t="shared" si="61"/>
        <v>0</v>
      </c>
      <c r="Q358" s="7">
        <f t="shared" si="59"/>
        <v>522760.14999999997</v>
      </c>
      <c r="R358" s="44" t="str">
        <f>VLOOKUP(F358,'Set up'!$A$2:$E$70,5,FALSE)</f>
        <v>Trsf</v>
      </c>
      <c r="S358" s="1" t="s">
        <v>454</v>
      </c>
    </row>
    <row r="359" spans="1:19" ht="43.2" x14ac:dyDescent="0.3">
      <c r="A359" s="4">
        <v>44487</v>
      </c>
      <c r="B359" s="5">
        <f t="shared" si="54"/>
        <v>10</v>
      </c>
      <c r="C359" s="5">
        <f t="shared" si="55"/>
        <v>2021</v>
      </c>
      <c r="D359" s="5" t="s">
        <v>425</v>
      </c>
      <c r="E359" s="5" t="str">
        <f>VLOOKUP(F359,'Set up'!$A$2:$C$70,2,FALSE)</f>
        <v>C00000020</v>
      </c>
      <c r="F359" s="1" t="s">
        <v>409</v>
      </c>
      <c r="G359" s="74" t="s">
        <v>413</v>
      </c>
      <c r="H359" s="5">
        <v>6</v>
      </c>
      <c r="I359" s="5" t="str">
        <f>VLOOKUP(F359,'Set up'!$A$2:$C$70,3,FALSE)</f>
        <v>Cash</v>
      </c>
      <c r="J359" s="5">
        <f>VLOOKUP(F359,'Set up'!$A$2:$D$70,4,FALSE)</f>
        <v>0</v>
      </c>
      <c r="K359" s="4">
        <f t="shared" si="56"/>
        <v>44487</v>
      </c>
      <c r="L359" s="5">
        <f t="shared" si="57"/>
        <v>10</v>
      </c>
      <c r="M359" s="5">
        <f t="shared" si="58"/>
        <v>2021</v>
      </c>
      <c r="N359" s="6">
        <v>1909.2</v>
      </c>
      <c r="O359" s="6">
        <f t="shared" si="60"/>
        <v>-1909.2</v>
      </c>
      <c r="P359" s="6">
        <f t="shared" si="61"/>
        <v>0</v>
      </c>
      <c r="Q359" s="7">
        <f t="shared" si="59"/>
        <v>524669.35</v>
      </c>
      <c r="R359" s="44" t="str">
        <f>VLOOKUP(F359,'Set up'!$A$2:$E$70,5,FALSE)</f>
        <v>Trsf</v>
      </c>
      <c r="S359" s="1" t="s">
        <v>454</v>
      </c>
    </row>
    <row r="360" spans="1:19" ht="28.8" x14ac:dyDescent="0.3">
      <c r="A360" s="4">
        <v>44487</v>
      </c>
      <c r="B360" s="5">
        <f t="shared" si="54"/>
        <v>10</v>
      </c>
      <c r="C360" s="5">
        <f t="shared" si="55"/>
        <v>2021</v>
      </c>
      <c r="D360" s="5" t="s">
        <v>425</v>
      </c>
      <c r="E360" s="5" t="str">
        <f>VLOOKUP(F360,'Set up'!$A$2:$C$70,2,FALSE)</f>
        <v>C00000020</v>
      </c>
      <c r="F360" s="1" t="s">
        <v>409</v>
      </c>
      <c r="G360" s="74" t="s">
        <v>64</v>
      </c>
      <c r="H360" s="5">
        <v>7</v>
      </c>
      <c r="I360" s="5" t="str">
        <f>VLOOKUP(F360,'Set up'!$A$2:$C$70,3,FALSE)</f>
        <v>Cash</v>
      </c>
      <c r="J360" s="5">
        <f>VLOOKUP(F360,'Set up'!$A$2:$D$70,4,FALSE)</f>
        <v>0</v>
      </c>
      <c r="K360" s="4">
        <f t="shared" si="56"/>
        <v>44487</v>
      </c>
      <c r="L360" s="5">
        <f t="shared" si="57"/>
        <v>10</v>
      </c>
      <c r="M360" s="5">
        <f t="shared" si="58"/>
        <v>2021</v>
      </c>
      <c r="N360" s="6">
        <v>437.5</v>
      </c>
      <c r="O360" s="6">
        <f t="shared" si="60"/>
        <v>-437.5</v>
      </c>
      <c r="P360" s="6">
        <f t="shared" si="61"/>
        <v>0</v>
      </c>
      <c r="Q360" s="7">
        <f t="shared" si="59"/>
        <v>525106.85</v>
      </c>
      <c r="R360" s="44" t="str">
        <f>VLOOKUP(F360,'Set up'!$A$2:$E$70,5,FALSE)</f>
        <v>Trsf</v>
      </c>
      <c r="S360" s="1" t="s">
        <v>454</v>
      </c>
    </row>
    <row r="361" spans="1:19" ht="28.8" x14ac:dyDescent="0.3">
      <c r="A361" s="4">
        <v>44487</v>
      </c>
      <c r="B361" s="5">
        <f t="shared" si="54"/>
        <v>10</v>
      </c>
      <c r="C361" s="5">
        <f t="shared" si="55"/>
        <v>2021</v>
      </c>
      <c r="D361" s="5" t="s">
        <v>425</v>
      </c>
      <c r="E361" s="5" t="str">
        <f>VLOOKUP(F361,'Set up'!$A$2:$C$70,2,FALSE)</f>
        <v>C00000020</v>
      </c>
      <c r="F361" s="1" t="s">
        <v>409</v>
      </c>
      <c r="G361" s="74" t="s">
        <v>381</v>
      </c>
      <c r="H361" s="5">
        <v>2</v>
      </c>
      <c r="I361" s="5" t="str">
        <f>VLOOKUP(F361,'Set up'!$A$2:$C$70,3,FALSE)</f>
        <v>Cash</v>
      </c>
      <c r="J361" s="5">
        <f>VLOOKUP(F361,'Set up'!$A$2:$D$70,4,FALSE)</f>
        <v>0</v>
      </c>
      <c r="K361" s="4">
        <f t="shared" si="56"/>
        <v>44487</v>
      </c>
      <c r="L361" s="5">
        <f t="shared" si="57"/>
        <v>10</v>
      </c>
      <c r="M361" s="5">
        <f t="shared" si="58"/>
        <v>2021</v>
      </c>
      <c r="N361" s="6">
        <v>160</v>
      </c>
      <c r="O361" s="6">
        <f t="shared" si="60"/>
        <v>-160</v>
      </c>
      <c r="P361" s="6">
        <f t="shared" si="61"/>
        <v>0</v>
      </c>
      <c r="Q361" s="7">
        <f t="shared" si="59"/>
        <v>525266.85</v>
      </c>
      <c r="R361" s="44" t="str">
        <f>VLOOKUP(F361,'Set up'!$A$2:$E$70,5,FALSE)</f>
        <v>Trsf</v>
      </c>
      <c r="S361" s="1" t="s">
        <v>454</v>
      </c>
    </row>
    <row r="362" spans="1:19" ht="43.2" x14ac:dyDescent="0.3">
      <c r="A362" s="4">
        <v>44487</v>
      </c>
      <c r="B362" s="5">
        <f t="shared" si="54"/>
        <v>10</v>
      </c>
      <c r="C362" s="5">
        <f t="shared" si="55"/>
        <v>2021</v>
      </c>
      <c r="D362" s="5" t="s">
        <v>425</v>
      </c>
      <c r="E362" s="5" t="str">
        <f>VLOOKUP(F362,'Set up'!$A$2:$C$70,2,FALSE)</f>
        <v>C00000020</v>
      </c>
      <c r="F362" s="1" t="s">
        <v>409</v>
      </c>
      <c r="G362" s="74" t="s">
        <v>414</v>
      </c>
      <c r="H362" s="5">
        <v>9</v>
      </c>
      <c r="I362" s="5" t="str">
        <f>VLOOKUP(F362,'Set up'!$A$2:$C$70,3,FALSE)</f>
        <v>Cash</v>
      </c>
      <c r="J362" s="5">
        <f>VLOOKUP(F362,'Set up'!$A$2:$D$70,4,FALSE)</f>
        <v>0</v>
      </c>
      <c r="K362" s="4">
        <f t="shared" si="56"/>
        <v>44487</v>
      </c>
      <c r="L362" s="5">
        <f t="shared" si="57"/>
        <v>10</v>
      </c>
      <c r="M362" s="5">
        <f t="shared" si="58"/>
        <v>2021</v>
      </c>
      <c r="N362" s="6">
        <v>3037.5</v>
      </c>
      <c r="O362" s="6">
        <f t="shared" si="60"/>
        <v>-3037.5</v>
      </c>
      <c r="P362" s="6">
        <f t="shared" si="61"/>
        <v>0</v>
      </c>
      <c r="Q362" s="7">
        <f t="shared" si="59"/>
        <v>528304.35</v>
      </c>
      <c r="R362" s="44" t="str">
        <f>VLOOKUP(F362,'Set up'!$A$2:$E$70,5,FALSE)</f>
        <v>Trsf</v>
      </c>
      <c r="S362" s="1" t="s">
        <v>454</v>
      </c>
    </row>
    <row r="363" spans="1:19" ht="28.8" x14ac:dyDescent="0.3">
      <c r="A363" s="4">
        <v>44488</v>
      </c>
      <c r="B363" s="5">
        <f t="shared" si="54"/>
        <v>10</v>
      </c>
      <c r="C363" s="5">
        <f t="shared" si="55"/>
        <v>2021</v>
      </c>
      <c r="D363" s="5" t="s">
        <v>426</v>
      </c>
      <c r="E363" s="5" t="str">
        <f>VLOOKUP(F363,'Set up'!$A$2:$C$70,2,FALSE)</f>
        <v>C00000020</v>
      </c>
      <c r="F363" s="1" t="s">
        <v>409</v>
      </c>
      <c r="G363" s="74" t="s">
        <v>429</v>
      </c>
      <c r="H363" s="5">
        <v>1</v>
      </c>
      <c r="I363" s="5" t="str">
        <f>VLOOKUP(F363,'Set up'!$A$2:$C$70,3,FALSE)</f>
        <v>Cash</v>
      </c>
      <c r="J363" s="5">
        <f>VLOOKUP(F363,'Set up'!$A$2:$D$70,4,FALSE)</f>
        <v>0</v>
      </c>
      <c r="K363" s="4">
        <f t="shared" si="56"/>
        <v>44488</v>
      </c>
      <c r="L363" s="5">
        <f t="shared" si="57"/>
        <v>10</v>
      </c>
      <c r="M363" s="5">
        <f t="shared" si="58"/>
        <v>2021</v>
      </c>
      <c r="N363" s="6">
        <v>1000</v>
      </c>
      <c r="O363" s="6">
        <f t="shared" si="60"/>
        <v>-1000</v>
      </c>
      <c r="P363" s="6">
        <f t="shared" si="61"/>
        <v>0</v>
      </c>
      <c r="Q363" s="7">
        <f t="shared" si="59"/>
        <v>529304.35</v>
      </c>
      <c r="R363" s="44" t="str">
        <f>VLOOKUP(F363,'Set up'!$A$2:$E$70,5,FALSE)</f>
        <v>Trsf</v>
      </c>
      <c r="S363" s="1" t="s">
        <v>454</v>
      </c>
    </row>
    <row r="364" spans="1:19" ht="28.8" x14ac:dyDescent="0.3">
      <c r="A364" s="4">
        <v>44489</v>
      </c>
      <c r="B364" s="5">
        <f t="shared" si="54"/>
        <v>10</v>
      </c>
      <c r="C364" s="5">
        <f t="shared" si="55"/>
        <v>2021</v>
      </c>
      <c r="D364" s="5" t="s">
        <v>427</v>
      </c>
      <c r="E364" s="5" t="str">
        <f>VLOOKUP(F364,'Set up'!$A$2:$C$70,2,FALSE)</f>
        <v>C00000020</v>
      </c>
      <c r="F364" s="1" t="s">
        <v>409</v>
      </c>
      <c r="G364" s="74" t="s">
        <v>428</v>
      </c>
      <c r="H364" s="5">
        <v>2</v>
      </c>
      <c r="I364" s="5" t="str">
        <f>VLOOKUP(F364,'Set up'!$A$2:$C$70,3,FALSE)</f>
        <v>Cash</v>
      </c>
      <c r="J364" s="5">
        <f>VLOOKUP(F364,'Set up'!$A$2:$D$70,4,FALSE)</f>
        <v>0</v>
      </c>
      <c r="K364" s="4">
        <f t="shared" si="56"/>
        <v>44489</v>
      </c>
      <c r="L364" s="5">
        <f t="shared" si="57"/>
        <v>10</v>
      </c>
      <c r="M364" s="5">
        <f t="shared" si="58"/>
        <v>2021</v>
      </c>
      <c r="N364" s="6">
        <v>3825</v>
      </c>
      <c r="O364" s="6">
        <f t="shared" si="60"/>
        <v>-3825</v>
      </c>
      <c r="P364" s="6">
        <f t="shared" si="61"/>
        <v>0</v>
      </c>
      <c r="Q364" s="7">
        <f t="shared" si="59"/>
        <v>533129.35</v>
      </c>
      <c r="R364" s="44" t="str">
        <f>VLOOKUP(F364,'Set up'!$A$2:$E$70,5,FALSE)</f>
        <v>Trsf</v>
      </c>
      <c r="S364" s="1" t="s">
        <v>498</v>
      </c>
    </row>
    <row r="365" spans="1:19" ht="28.8" x14ac:dyDescent="0.3">
      <c r="A365" s="4">
        <v>44489</v>
      </c>
      <c r="B365" s="5">
        <f t="shared" si="54"/>
        <v>10</v>
      </c>
      <c r="C365" s="5">
        <f t="shared" si="55"/>
        <v>2021</v>
      </c>
      <c r="D365" s="5" t="s">
        <v>427</v>
      </c>
      <c r="E365" s="5" t="str">
        <f>VLOOKUP(F365,'Set up'!$A$2:$C$70,2,FALSE)</f>
        <v>C00000020</v>
      </c>
      <c r="F365" s="1" t="s">
        <v>409</v>
      </c>
      <c r="G365" s="74" t="s">
        <v>95</v>
      </c>
      <c r="H365" s="5">
        <v>1</v>
      </c>
      <c r="I365" s="5" t="str">
        <f>VLOOKUP(F365,'Set up'!$A$2:$C$70,3,FALSE)</f>
        <v>Cash</v>
      </c>
      <c r="J365" s="5">
        <f>VLOOKUP(F365,'Set up'!$A$2:$D$70,4,FALSE)</f>
        <v>0</v>
      </c>
      <c r="K365" s="4">
        <f t="shared" si="56"/>
        <v>44489</v>
      </c>
      <c r="L365" s="5">
        <f t="shared" si="57"/>
        <v>10</v>
      </c>
      <c r="M365" s="5">
        <f t="shared" si="58"/>
        <v>2021</v>
      </c>
      <c r="N365" s="6">
        <v>1870</v>
      </c>
      <c r="O365" s="6">
        <f t="shared" si="60"/>
        <v>-1870</v>
      </c>
      <c r="P365" s="6">
        <f t="shared" si="61"/>
        <v>0</v>
      </c>
      <c r="Q365" s="7">
        <f t="shared" si="59"/>
        <v>534999.35</v>
      </c>
      <c r="R365" s="44" t="str">
        <f>VLOOKUP(F365,'Set up'!$A$2:$E$70,5,FALSE)</f>
        <v>Trsf</v>
      </c>
      <c r="S365" s="1" t="s">
        <v>498</v>
      </c>
    </row>
    <row r="366" spans="1:19" ht="43.2" x14ac:dyDescent="0.3">
      <c r="A366" s="4">
        <v>44489</v>
      </c>
      <c r="B366" s="5">
        <f t="shared" si="54"/>
        <v>10</v>
      </c>
      <c r="C366" s="5">
        <f t="shared" si="55"/>
        <v>2021</v>
      </c>
      <c r="D366" s="5" t="s">
        <v>427</v>
      </c>
      <c r="E366" s="5" t="str">
        <f>VLOOKUP(F366,'Set up'!$A$2:$C$70,2,FALSE)</f>
        <v>C00000020</v>
      </c>
      <c r="F366" s="1" t="s">
        <v>409</v>
      </c>
      <c r="G366" s="74" t="s">
        <v>413</v>
      </c>
      <c r="H366" s="5">
        <v>12</v>
      </c>
      <c r="I366" s="5" t="str">
        <f>VLOOKUP(F366,'Set up'!$A$2:$C$70,3,FALSE)</f>
        <v>Cash</v>
      </c>
      <c r="J366" s="5">
        <f>VLOOKUP(F366,'Set up'!$A$2:$D$70,4,FALSE)</f>
        <v>0</v>
      </c>
      <c r="K366" s="4">
        <f t="shared" si="56"/>
        <v>44489</v>
      </c>
      <c r="L366" s="5">
        <f t="shared" si="57"/>
        <v>10</v>
      </c>
      <c r="M366" s="5">
        <f t="shared" si="58"/>
        <v>2021</v>
      </c>
      <c r="N366" s="6">
        <v>3818.4</v>
      </c>
      <c r="O366" s="6">
        <f t="shared" si="60"/>
        <v>-3818.4</v>
      </c>
      <c r="P366" s="6">
        <f t="shared" si="61"/>
        <v>0</v>
      </c>
      <c r="Q366" s="7">
        <f t="shared" si="59"/>
        <v>538817.75</v>
      </c>
      <c r="R366" s="44" t="str">
        <f>VLOOKUP(F366,'Set up'!$A$2:$E$70,5,FALSE)</f>
        <v>Trsf</v>
      </c>
      <c r="S366" s="1" t="s">
        <v>498</v>
      </c>
    </row>
    <row r="367" spans="1:19" ht="28.8" x14ac:dyDescent="0.3">
      <c r="A367" s="4">
        <v>44489</v>
      </c>
      <c r="B367" s="5">
        <f t="shared" si="54"/>
        <v>10</v>
      </c>
      <c r="C367" s="5">
        <f t="shared" si="55"/>
        <v>2021</v>
      </c>
      <c r="D367" s="5" t="s">
        <v>427</v>
      </c>
      <c r="E367" s="5" t="str">
        <f>VLOOKUP(F367,'Set up'!$A$2:$C$70,2,FALSE)</f>
        <v>C00000020</v>
      </c>
      <c r="F367" s="1" t="s">
        <v>409</v>
      </c>
      <c r="G367" s="74" t="s">
        <v>381</v>
      </c>
      <c r="H367" s="5">
        <v>2</v>
      </c>
      <c r="I367" s="5" t="str">
        <f>VLOOKUP(F367,'Set up'!$A$2:$C$70,3,FALSE)</f>
        <v>Cash</v>
      </c>
      <c r="J367" s="5">
        <f>VLOOKUP(F367,'Set up'!$A$2:$D$70,4,FALSE)</f>
        <v>0</v>
      </c>
      <c r="K367" s="4">
        <f t="shared" si="56"/>
        <v>44489</v>
      </c>
      <c r="L367" s="5">
        <f t="shared" si="57"/>
        <v>10</v>
      </c>
      <c r="M367" s="5">
        <f t="shared" si="58"/>
        <v>2021</v>
      </c>
      <c r="N367" s="6">
        <v>160</v>
      </c>
      <c r="O367" s="6">
        <f t="shared" si="60"/>
        <v>-160</v>
      </c>
      <c r="P367" s="6">
        <f t="shared" si="61"/>
        <v>0</v>
      </c>
      <c r="Q367" s="7">
        <f t="shared" si="59"/>
        <v>538977.75</v>
      </c>
      <c r="R367" s="44" t="str">
        <f>VLOOKUP(F367,'Set up'!$A$2:$E$70,5,FALSE)</f>
        <v>Trsf</v>
      </c>
      <c r="S367" s="1" t="s">
        <v>498</v>
      </c>
    </row>
    <row r="368" spans="1:19" ht="28.8" x14ac:dyDescent="0.3">
      <c r="A368" s="4">
        <v>44492</v>
      </c>
      <c r="B368" s="5">
        <f t="shared" si="54"/>
        <v>10</v>
      </c>
      <c r="C368" s="5">
        <f t="shared" si="55"/>
        <v>2021</v>
      </c>
      <c r="D368" s="5" t="s">
        <v>441</v>
      </c>
      <c r="E368" s="5" t="str">
        <f>VLOOKUP(F368,'Set up'!$A$2:$C$70,2,FALSE)</f>
        <v>C00000008</v>
      </c>
      <c r="F368" s="1" t="s">
        <v>52</v>
      </c>
      <c r="G368" s="74" t="s">
        <v>67</v>
      </c>
      <c r="H368" s="5">
        <v>1</v>
      </c>
      <c r="I368" s="5" t="str">
        <f>VLOOKUP(F368,'Set up'!$A$2:$C$70,3,FALSE)</f>
        <v>Cash</v>
      </c>
      <c r="J368" s="5">
        <f>VLOOKUP(F368,'Set up'!$A$2:$D$70,4,FALSE)</f>
        <v>0</v>
      </c>
      <c r="K368" s="4">
        <f t="shared" si="56"/>
        <v>44492</v>
      </c>
      <c r="L368" s="5">
        <f t="shared" si="57"/>
        <v>10</v>
      </c>
      <c r="M368" s="5">
        <f t="shared" si="58"/>
        <v>2021</v>
      </c>
      <c r="N368" s="6">
        <v>1892</v>
      </c>
      <c r="O368" s="6">
        <f t="shared" si="60"/>
        <v>-1892</v>
      </c>
      <c r="P368" s="6">
        <f t="shared" si="61"/>
        <v>0</v>
      </c>
      <c r="Q368" s="7">
        <f t="shared" si="59"/>
        <v>540869.75</v>
      </c>
      <c r="R368" s="44" t="str">
        <f>VLOOKUP(F368,'Set up'!$A$2:$E$70,5,FALSE)</f>
        <v>Trsf</v>
      </c>
      <c r="S368" s="1" t="s">
        <v>452</v>
      </c>
    </row>
    <row r="369" spans="1:19" ht="46.8" x14ac:dyDescent="0.3">
      <c r="A369" s="4">
        <v>44492</v>
      </c>
      <c r="B369" s="5">
        <f t="shared" si="54"/>
        <v>10</v>
      </c>
      <c r="C369" s="5">
        <f t="shared" si="55"/>
        <v>2021</v>
      </c>
      <c r="D369" s="5" t="s">
        <v>441</v>
      </c>
      <c r="E369" s="5" t="str">
        <f>VLOOKUP(F369,'Set up'!$A$2:$C$70,2,FALSE)</f>
        <v>C00000008</v>
      </c>
      <c r="F369" s="1" t="s">
        <v>52</v>
      </c>
      <c r="G369" s="79" t="s">
        <v>219</v>
      </c>
      <c r="H369" s="5">
        <v>2</v>
      </c>
      <c r="I369" s="5" t="str">
        <f>VLOOKUP(F369,'Set up'!$A$2:$C$70,3,FALSE)</f>
        <v>Cash</v>
      </c>
      <c r="J369" s="5">
        <f>VLOOKUP(F369,'Set up'!$A$2:$D$70,4,FALSE)</f>
        <v>0</v>
      </c>
      <c r="K369" s="4">
        <f t="shared" si="56"/>
        <v>44492</v>
      </c>
      <c r="L369" s="5">
        <f t="shared" si="57"/>
        <v>10</v>
      </c>
      <c r="M369" s="5">
        <f t="shared" si="58"/>
        <v>2021</v>
      </c>
      <c r="N369" s="6">
        <v>510</v>
      </c>
      <c r="O369" s="6">
        <f t="shared" si="60"/>
        <v>-510</v>
      </c>
      <c r="P369" s="6">
        <f t="shared" si="61"/>
        <v>0</v>
      </c>
      <c r="Q369" s="7">
        <f t="shared" si="59"/>
        <v>541379.75</v>
      </c>
      <c r="R369" s="44" t="str">
        <f>VLOOKUP(F369,'Set up'!$A$2:$E$70,5,FALSE)</f>
        <v>Trsf</v>
      </c>
      <c r="S369" s="1" t="s">
        <v>452</v>
      </c>
    </row>
    <row r="370" spans="1:19" x14ac:dyDescent="0.3">
      <c r="A370" s="4">
        <v>44492</v>
      </c>
      <c r="B370" s="5">
        <f t="shared" si="54"/>
        <v>10</v>
      </c>
      <c r="C370" s="5">
        <f t="shared" si="55"/>
        <v>2021</v>
      </c>
      <c r="D370" s="5" t="s">
        <v>441</v>
      </c>
      <c r="E370" s="5" t="str">
        <f>VLOOKUP(F370,'Set up'!$A$2:$C$70,2,FALSE)</f>
        <v>C00000008</v>
      </c>
      <c r="F370" s="1" t="s">
        <v>52</v>
      </c>
      <c r="G370" s="11" t="s">
        <v>24</v>
      </c>
      <c r="H370" s="5">
        <v>4</v>
      </c>
      <c r="I370" s="5" t="str">
        <f>VLOOKUP(F370,'Set up'!$A$2:$C$70,3,FALSE)</f>
        <v>Cash</v>
      </c>
      <c r="J370" s="5">
        <f>VLOOKUP(F370,'Set up'!$A$2:$D$70,4,FALSE)</f>
        <v>0</v>
      </c>
      <c r="K370" s="4">
        <f t="shared" si="56"/>
        <v>44492</v>
      </c>
      <c r="L370" s="5">
        <f t="shared" si="57"/>
        <v>10</v>
      </c>
      <c r="M370" s="5">
        <f t="shared" si="58"/>
        <v>2021</v>
      </c>
      <c r="N370" s="6">
        <v>960</v>
      </c>
      <c r="O370" s="6">
        <f t="shared" si="60"/>
        <v>-960</v>
      </c>
      <c r="P370" s="6">
        <f t="shared" si="61"/>
        <v>0</v>
      </c>
      <c r="Q370" s="7">
        <f t="shared" si="59"/>
        <v>542339.75</v>
      </c>
      <c r="R370" s="44" t="str">
        <f>VLOOKUP(F370,'Set up'!$A$2:$E$70,5,FALSE)</f>
        <v>Trsf</v>
      </c>
      <c r="S370" s="1" t="s">
        <v>452</v>
      </c>
    </row>
    <row r="371" spans="1:19" ht="28.8" x14ac:dyDescent="0.3">
      <c r="A371" s="4">
        <v>44495</v>
      </c>
      <c r="B371" s="5">
        <f t="shared" si="54"/>
        <v>10</v>
      </c>
      <c r="C371" s="5">
        <f t="shared" si="55"/>
        <v>2021</v>
      </c>
      <c r="D371" s="5" t="s">
        <v>442</v>
      </c>
      <c r="E371" s="5" t="str">
        <f>VLOOKUP(F371,'Set up'!$A$2:$C$70,2,FALSE)</f>
        <v>C00000001</v>
      </c>
      <c r="F371" s="1" t="s">
        <v>7</v>
      </c>
      <c r="G371" s="74" t="s">
        <v>67</v>
      </c>
      <c r="H371" s="5">
        <v>2</v>
      </c>
      <c r="I371" s="5" t="str">
        <f>VLOOKUP(F371,'Set up'!$A$2:$C$70,3,FALSE)</f>
        <v>Cash</v>
      </c>
      <c r="J371" s="5">
        <f>VLOOKUP(F371,'Set up'!$A$2:$D$70,4,FALSE)</f>
        <v>0</v>
      </c>
      <c r="K371" s="4">
        <f t="shared" si="56"/>
        <v>44495</v>
      </c>
      <c r="L371" s="5">
        <f t="shared" si="57"/>
        <v>10</v>
      </c>
      <c r="M371" s="5">
        <f t="shared" si="58"/>
        <v>2021</v>
      </c>
      <c r="N371" s="6">
        <v>3740</v>
      </c>
      <c r="O371" s="6">
        <f t="shared" si="60"/>
        <v>-3740</v>
      </c>
      <c r="P371" s="6">
        <f t="shared" si="61"/>
        <v>0</v>
      </c>
      <c r="Q371" s="7">
        <f t="shared" si="59"/>
        <v>546079.75</v>
      </c>
      <c r="R371" s="44" t="str">
        <f>VLOOKUP(F371,'Set up'!$A$2:$E$70,5,FALSE)</f>
        <v>Trsf</v>
      </c>
      <c r="S371" s="1" t="s">
        <v>450</v>
      </c>
    </row>
    <row r="372" spans="1:19" ht="46.8" x14ac:dyDescent="0.3">
      <c r="A372" s="4">
        <v>44495</v>
      </c>
      <c r="B372" s="5">
        <f t="shared" si="54"/>
        <v>10</v>
      </c>
      <c r="C372" s="5">
        <f t="shared" si="55"/>
        <v>2021</v>
      </c>
      <c r="D372" s="5" t="s">
        <v>442</v>
      </c>
      <c r="E372" s="5" t="str">
        <f>VLOOKUP(F372,'Set up'!$A$2:$C$70,2,FALSE)</f>
        <v>C00000001</v>
      </c>
      <c r="F372" s="1" t="s">
        <v>7</v>
      </c>
      <c r="G372" s="79" t="s">
        <v>219</v>
      </c>
      <c r="H372" s="5">
        <v>8</v>
      </c>
      <c r="I372" s="5" t="str">
        <f>VLOOKUP(F372,'Set up'!$A$2:$C$70,3,FALSE)</f>
        <v>Cash</v>
      </c>
      <c r="J372" s="5">
        <f>VLOOKUP(F372,'Set up'!$A$2:$D$70,4,FALSE)</f>
        <v>0</v>
      </c>
      <c r="K372" s="4">
        <f t="shared" si="56"/>
        <v>44495</v>
      </c>
      <c r="L372" s="5">
        <f t="shared" si="57"/>
        <v>10</v>
      </c>
      <c r="M372" s="5">
        <f t="shared" si="58"/>
        <v>2021</v>
      </c>
      <c r="N372" s="6">
        <v>2516</v>
      </c>
      <c r="O372" s="6">
        <f t="shared" si="60"/>
        <v>-2516</v>
      </c>
      <c r="P372" s="6">
        <f t="shared" si="61"/>
        <v>0</v>
      </c>
      <c r="Q372" s="7">
        <f t="shared" si="59"/>
        <v>548595.75</v>
      </c>
      <c r="R372" s="44" t="str">
        <f>VLOOKUP(F372,'Set up'!$A$2:$E$70,5,FALSE)</f>
        <v>Trsf</v>
      </c>
      <c r="S372" s="1" t="s">
        <v>450</v>
      </c>
    </row>
    <row r="373" spans="1:19" x14ac:dyDescent="0.3">
      <c r="A373" s="4">
        <v>44495</v>
      </c>
      <c r="B373" s="5">
        <f t="shared" si="54"/>
        <v>10</v>
      </c>
      <c r="C373" s="5">
        <f t="shared" si="55"/>
        <v>2021</v>
      </c>
      <c r="D373" s="5" t="s">
        <v>442</v>
      </c>
      <c r="E373" s="5" t="str">
        <f>VLOOKUP(F373,'Set up'!$A$2:$C$70,2,FALSE)</f>
        <v>C00000001</v>
      </c>
      <c r="F373" s="1" t="s">
        <v>7</v>
      </c>
      <c r="G373" s="56" t="s">
        <v>46</v>
      </c>
      <c r="H373" s="5">
        <v>4</v>
      </c>
      <c r="I373" s="5" t="str">
        <f>VLOOKUP(F373,'Set up'!$A$2:$C$70,3,FALSE)</f>
        <v>Cash</v>
      </c>
      <c r="J373" s="5">
        <f>VLOOKUP(F373,'Set up'!$A$2:$D$70,4,FALSE)</f>
        <v>0</v>
      </c>
      <c r="K373" s="4">
        <f t="shared" si="56"/>
        <v>44495</v>
      </c>
      <c r="L373" s="5">
        <f t="shared" si="57"/>
        <v>10</v>
      </c>
      <c r="M373" s="5">
        <f t="shared" si="58"/>
        <v>2021</v>
      </c>
      <c r="N373" s="6">
        <v>400</v>
      </c>
      <c r="O373" s="6">
        <f t="shared" si="60"/>
        <v>-400</v>
      </c>
      <c r="P373" s="6">
        <f t="shared" si="61"/>
        <v>0</v>
      </c>
      <c r="Q373" s="7">
        <f t="shared" si="59"/>
        <v>548995.75</v>
      </c>
      <c r="R373" s="44" t="str">
        <f>VLOOKUP(F373,'Set up'!$A$2:$E$70,5,FALSE)</f>
        <v>Trsf</v>
      </c>
      <c r="S373" s="1" t="s">
        <v>450</v>
      </c>
    </row>
    <row r="374" spans="1:19" x14ac:dyDescent="0.3">
      <c r="A374" s="4">
        <v>44495</v>
      </c>
      <c r="B374" s="5">
        <f t="shared" si="54"/>
        <v>10</v>
      </c>
      <c r="C374" s="5">
        <f t="shared" si="55"/>
        <v>2021</v>
      </c>
      <c r="D374" s="5" t="s">
        <v>442</v>
      </c>
      <c r="E374" s="5" t="str">
        <f>VLOOKUP(F374,'Set up'!$A$2:$C$70,2,FALSE)</f>
        <v>C00000001</v>
      </c>
      <c r="F374" s="1" t="s">
        <v>7</v>
      </c>
      <c r="G374" s="56" t="s">
        <v>240</v>
      </c>
      <c r="H374" s="5">
        <v>1</v>
      </c>
      <c r="I374" s="5" t="str">
        <f>VLOOKUP(F374,'Set up'!$A$2:$C$70,3,FALSE)</f>
        <v>Cash</v>
      </c>
      <c r="J374" s="5">
        <f>VLOOKUP(F374,'Set up'!$A$2:$D$70,4,FALSE)</f>
        <v>0</v>
      </c>
      <c r="K374" s="4">
        <f t="shared" si="56"/>
        <v>44495</v>
      </c>
      <c r="L374" s="5">
        <f t="shared" si="57"/>
        <v>10</v>
      </c>
      <c r="M374" s="5">
        <f t="shared" si="58"/>
        <v>2021</v>
      </c>
      <c r="N374" s="6">
        <v>0</v>
      </c>
      <c r="O374" s="6">
        <f t="shared" si="60"/>
        <v>0</v>
      </c>
      <c r="P374" s="6">
        <f t="shared" si="61"/>
        <v>0</v>
      </c>
      <c r="Q374" s="7">
        <f t="shared" si="59"/>
        <v>548995.75</v>
      </c>
      <c r="R374" s="44" t="str">
        <f>VLOOKUP(F374,'Set up'!$A$2:$E$70,5,FALSE)</f>
        <v>Trsf</v>
      </c>
    </row>
    <row r="375" spans="1:19" ht="28.8" x14ac:dyDescent="0.3">
      <c r="A375" s="4">
        <v>44495</v>
      </c>
      <c r="B375" s="5">
        <f t="shared" si="54"/>
        <v>10</v>
      </c>
      <c r="C375" s="5">
        <f t="shared" si="55"/>
        <v>2021</v>
      </c>
      <c r="D375" s="5" t="s">
        <v>443</v>
      </c>
      <c r="E375" s="5" t="str">
        <f>VLOOKUP(F375,'Set up'!$A$2:$C$70,2,FALSE)</f>
        <v>C00000020</v>
      </c>
      <c r="F375" s="1" t="s">
        <v>409</v>
      </c>
      <c r="G375" s="74" t="s">
        <v>67</v>
      </c>
      <c r="H375" s="5">
        <v>2</v>
      </c>
      <c r="I375" s="5" t="str">
        <f>VLOOKUP(F375,'Set up'!$A$2:$C$70,3,FALSE)</f>
        <v>Cash</v>
      </c>
      <c r="J375" s="5">
        <f>VLOOKUP(F375,'Set up'!$A$2:$D$70,4,FALSE)</f>
        <v>0</v>
      </c>
      <c r="K375" s="4">
        <f t="shared" si="56"/>
        <v>44495</v>
      </c>
      <c r="L375" s="5">
        <f t="shared" si="57"/>
        <v>10</v>
      </c>
      <c r="M375" s="5">
        <f t="shared" si="58"/>
        <v>2021</v>
      </c>
      <c r="N375" s="6">
        <v>3916</v>
      </c>
      <c r="O375" s="6">
        <f t="shared" si="60"/>
        <v>-3916</v>
      </c>
      <c r="P375" s="6">
        <f t="shared" si="61"/>
        <v>0</v>
      </c>
      <c r="Q375" s="7">
        <f t="shared" si="59"/>
        <v>552911.75</v>
      </c>
      <c r="R375" s="44" t="str">
        <f>VLOOKUP(F375,'Set up'!$A$2:$E$70,5,FALSE)</f>
        <v>Trsf</v>
      </c>
      <c r="S375" s="1" t="s">
        <v>494</v>
      </c>
    </row>
    <row r="376" spans="1:19" ht="46.8" x14ac:dyDescent="0.3">
      <c r="A376" s="4">
        <v>44495</v>
      </c>
      <c r="B376" s="5">
        <f t="shared" si="54"/>
        <v>10</v>
      </c>
      <c r="C376" s="5">
        <f t="shared" si="55"/>
        <v>2021</v>
      </c>
      <c r="D376" s="5" t="s">
        <v>443</v>
      </c>
      <c r="E376" s="5" t="str">
        <f>VLOOKUP(F376,'Set up'!$A$2:$C$70,2,FALSE)</f>
        <v>C00000020</v>
      </c>
      <c r="F376" s="1" t="s">
        <v>409</v>
      </c>
      <c r="G376" s="74" t="s">
        <v>95</v>
      </c>
      <c r="H376" s="5">
        <v>2</v>
      </c>
      <c r="I376" s="5" t="str">
        <f>VLOOKUP(F376,'Set up'!$A$2:$C$70,3,FALSE)</f>
        <v>Cash</v>
      </c>
      <c r="J376" s="5">
        <f>VLOOKUP(F376,'Set up'!$A$2:$D$70,4,FALSE)</f>
        <v>0</v>
      </c>
      <c r="K376" s="4">
        <f t="shared" si="56"/>
        <v>44495</v>
      </c>
      <c r="L376" s="5">
        <f t="shared" si="57"/>
        <v>10</v>
      </c>
      <c r="M376" s="5">
        <f t="shared" si="58"/>
        <v>2021</v>
      </c>
      <c r="N376" s="6">
        <v>3916</v>
      </c>
      <c r="O376" s="6">
        <f>-3084-832</f>
        <v>-3916</v>
      </c>
      <c r="P376" s="6">
        <f t="shared" si="61"/>
        <v>0</v>
      </c>
      <c r="Q376" s="7">
        <f t="shared" si="59"/>
        <v>556827.75</v>
      </c>
      <c r="R376" s="44" t="str">
        <f>VLOOKUP(F376,'Set up'!$A$2:$E$70,5,FALSE)</f>
        <v>Trsf</v>
      </c>
      <c r="S376" s="40" t="s">
        <v>518</v>
      </c>
    </row>
    <row r="377" spans="1:19" ht="46.8" x14ac:dyDescent="0.3">
      <c r="A377" s="4">
        <v>44495</v>
      </c>
      <c r="B377" s="5">
        <f t="shared" si="54"/>
        <v>10</v>
      </c>
      <c r="C377" s="5">
        <f t="shared" si="55"/>
        <v>2021</v>
      </c>
      <c r="D377" s="5" t="s">
        <v>443</v>
      </c>
      <c r="E377" s="5" t="str">
        <f>VLOOKUP(F377,'Set up'!$A$2:$C$70,2,FALSE)</f>
        <v>C00000020</v>
      </c>
      <c r="F377" s="1" t="s">
        <v>409</v>
      </c>
      <c r="G377" s="79" t="s">
        <v>219</v>
      </c>
      <c r="H377" s="5">
        <v>14</v>
      </c>
      <c r="I377" s="5" t="str">
        <f>VLOOKUP(F377,'Set up'!$A$2:$C$70,3,FALSE)</f>
        <v>Cash</v>
      </c>
      <c r="J377" s="5">
        <f>VLOOKUP(F377,'Set up'!$A$2:$D$70,4,FALSE)</f>
        <v>0</v>
      </c>
      <c r="K377" s="4">
        <f t="shared" si="56"/>
        <v>44495</v>
      </c>
      <c r="L377" s="5">
        <f t="shared" si="57"/>
        <v>10</v>
      </c>
      <c r="M377" s="5">
        <f t="shared" si="58"/>
        <v>2021</v>
      </c>
      <c r="N377" s="6">
        <v>4610.2</v>
      </c>
      <c r="O377" s="6">
        <f>-2168-2442.2</f>
        <v>-4610.2</v>
      </c>
      <c r="P377" s="6">
        <f t="shared" si="61"/>
        <v>0</v>
      </c>
      <c r="Q377" s="7">
        <f t="shared" si="59"/>
        <v>561437.94999999995</v>
      </c>
      <c r="R377" s="44" t="str">
        <f>VLOOKUP(F377,'Set up'!$A$2:$E$70,5,FALSE)</f>
        <v>Trsf</v>
      </c>
      <c r="S377" s="40" t="s">
        <v>519</v>
      </c>
    </row>
    <row r="378" spans="1:19" ht="28.8" x14ac:dyDescent="0.3">
      <c r="A378" s="4">
        <v>44495</v>
      </c>
      <c r="B378" s="5">
        <f t="shared" si="54"/>
        <v>10</v>
      </c>
      <c r="C378" s="5">
        <f t="shared" si="55"/>
        <v>2021</v>
      </c>
      <c r="D378" s="5" t="s">
        <v>443</v>
      </c>
      <c r="E378" s="5" t="str">
        <f>VLOOKUP(F378,'Set up'!$A$2:$C$70,2,FALSE)</f>
        <v>C00000020</v>
      </c>
      <c r="F378" s="1" t="s">
        <v>409</v>
      </c>
      <c r="G378" s="74" t="s">
        <v>64</v>
      </c>
      <c r="H378" s="5">
        <v>6</v>
      </c>
      <c r="I378" s="5" t="str">
        <f>VLOOKUP(F378,'Set up'!$A$2:$C$70,3,FALSE)</f>
        <v>Cash</v>
      </c>
      <c r="J378" s="5">
        <f>VLOOKUP(F378,'Set up'!$A$2:$D$70,4,FALSE)</f>
        <v>0</v>
      </c>
      <c r="K378" s="4">
        <f t="shared" si="56"/>
        <v>44495</v>
      </c>
      <c r="L378" s="5">
        <f t="shared" si="57"/>
        <v>10</v>
      </c>
      <c r="M378" s="5">
        <f t="shared" si="58"/>
        <v>2021</v>
      </c>
      <c r="N378" s="6">
        <v>375</v>
      </c>
      <c r="O378" s="6">
        <f t="shared" ref="O378:O395" si="62">-N378</f>
        <v>-375</v>
      </c>
      <c r="P378" s="6">
        <f t="shared" si="61"/>
        <v>0</v>
      </c>
      <c r="Q378" s="7">
        <f t="shared" si="59"/>
        <v>561812.94999999995</v>
      </c>
      <c r="R378" s="44" t="str">
        <f>VLOOKUP(F378,'Set up'!$A$2:$E$70,5,FALSE)</f>
        <v>Trsf</v>
      </c>
      <c r="S378" s="1" t="s">
        <v>520</v>
      </c>
    </row>
    <row r="379" spans="1:19" ht="43.2" x14ac:dyDescent="0.3">
      <c r="A379" s="4">
        <v>44495</v>
      </c>
      <c r="B379" s="5">
        <f t="shared" si="54"/>
        <v>10</v>
      </c>
      <c r="C379" s="5">
        <f t="shared" si="55"/>
        <v>2021</v>
      </c>
      <c r="D379" s="5" t="s">
        <v>443</v>
      </c>
      <c r="E379" s="5" t="str">
        <f>VLOOKUP(F379,'Set up'!$A$2:$C$70,2,FALSE)</f>
        <v>C00000020</v>
      </c>
      <c r="F379" s="1" t="s">
        <v>409</v>
      </c>
      <c r="G379" s="74" t="s">
        <v>414</v>
      </c>
      <c r="H379" s="5">
        <v>9</v>
      </c>
      <c r="I379" s="5" t="str">
        <f>VLOOKUP(F379,'Set up'!$A$2:$C$70,3,FALSE)</f>
        <v>Cash</v>
      </c>
      <c r="J379" s="5">
        <f>VLOOKUP(F379,'Set up'!$A$2:$D$70,4,FALSE)</f>
        <v>0</v>
      </c>
      <c r="K379" s="4">
        <f t="shared" si="56"/>
        <v>44495</v>
      </c>
      <c r="L379" s="5">
        <f t="shared" si="57"/>
        <v>10</v>
      </c>
      <c r="M379" s="5">
        <f t="shared" si="58"/>
        <v>2021</v>
      </c>
      <c r="N379" s="6">
        <v>3159</v>
      </c>
      <c r="O379" s="6">
        <f t="shared" si="62"/>
        <v>-3159</v>
      </c>
      <c r="P379" s="6">
        <f t="shared" si="61"/>
        <v>0</v>
      </c>
      <c r="Q379" s="7">
        <f t="shared" si="59"/>
        <v>564971.94999999995</v>
      </c>
      <c r="R379" s="44" t="str">
        <f>VLOOKUP(F379,'Set up'!$A$2:$E$70,5,FALSE)</f>
        <v>Trsf</v>
      </c>
      <c r="S379" s="1" t="s">
        <v>520</v>
      </c>
    </row>
    <row r="380" spans="1:19" ht="28.8" x14ac:dyDescent="0.3">
      <c r="A380" s="4">
        <v>44495</v>
      </c>
      <c r="B380" s="5">
        <f t="shared" si="54"/>
        <v>10</v>
      </c>
      <c r="C380" s="5">
        <f t="shared" si="55"/>
        <v>2021</v>
      </c>
      <c r="D380" s="5" t="s">
        <v>443</v>
      </c>
      <c r="E380" s="5" t="str">
        <f>VLOOKUP(F380,'Set up'!$A$2:$C$70,2,FALSE)</f>
        <v>C00000020</v>
      </c>
      <c r="F380" s="1" t="s">
        <v>409</v>
      </c>
      <c r="G380" s="74" t="s">
        <v>429</v>
      </c>
      <c r="H380" s="5">
        <v>1</v>
      </c>
      <c r="I380" s="5" t="str">
        <f>VLOOKUP(F380,'Set up'!$A$2:$C$70,3,FALSE)</f>
        <v>Cash</v>
      </c>
      <c r="J380" s="5">
        <f>VLOOKUP(F380,'Set up'!$A$2:$D$70,4,FALSE)</f>
        <v>0</v>
      </c>
      <c r="K380" s="4">
        <f t="shared" si="56"/>
        <v>44495</v>
      </c>
      <c r="L380" s="5">
        <f t="shared" si="57"/>
        <v>10</v>
      </c>
      <c r="M380" s="5">
        <f t="shared" si="58"/>
        <v>2021</v>
      </c>
      <c r="N380" s="6">
        <v>1000</v>
      </c>
      <c r="O380" s="6">
        <f t="shared" si="62"/>
        <v>-1000</v>
      </c>
      <c r="P380" s="6">
        <f t="shared" si="61"/>
        <v>0</v>
      </c>
      <c r="Q380" s="7">
        <f t="shared" si="59"/>
        <v>565971.94999999995</v>
      </c>
      <c r="R380" s="44" t="str">
        <f>VLOOKUP(F380,'Set up'!$A$2:$E$70,5,FALSE)</f>
        <v>Trsf</v>
      </c>
      <c r="S380" s="1" t="s">
        <v>520</v>
      </c>
    </row>
    <row r="381" spans="1:19" ht="46.8" x14ac:dyDescent="0.3">
      <c r="A381" s="4">
        <v>44497</v>
      </c>
      <c r="B381" s="5">
        <f t="shared" si="54"/>
        <v>10</v>
      </c>
      <c r="C381" s="5">
        <f t="shared" si="55"/>
        <v>2021</v>
      </c>
      <c r="D381" s="5" t="s">
        <v>444</v>
      </c>
      <c r="E381" s="5" t="str">
        <f>VLOOKUP(F381,'Set up'!$A$2:$C$70,2,FALSE)</f>
        <v>C00000008</v>
      </c>
      <c r="F381" s="1" t="s">
        <v>52</v>
      </c>
      <c r="G381" s="79" t="s">
        <v>219</v>
      </c>
      <c r="H381" s="5">
        <v>2</v>
      </c>
      <c r="I381" s="5" t="str">
        <f>VLOOKUP(F381,'Set up'!$A$2:$C$70,3,FALSE)</f>
        <v>Cash</v>
      </c>
      <c r="J381" s="5">
        <f>VLOOKUP(F381,'Set up'!$A$2:$D$70,4,FALSE)</f>
        <v>0</v>
      </c>
      <c r="K381" s="4">
        <f t="shared" si="56"/>
        <v>44497</v>
      </c>
      <c r="L381" s="5">
        <f t="shared" si="57"/>
        <v>10</v>
      </c>
      <c r="M381" s="5">
        <f t="shared" si="58"/>
        <v>2021</v>
      </c>
      <c r="N381" s="6">
        <v>510</v>
      </c>
      <c r="O381" s="6">
        <f t="shared" si="62"/>
        <v>-510</v>
      </c>
      <c r="P381" s="34">
        <f t="shared" si="61"/>
        <v>0</v>
      </c>
      <c r="Q381" s="7">
        <f t="shared" si="59"/>
        <v>566481.94999999995</v>
      </c>
      <c r="R381" s="44" t="str">
        <f>VLOOKUP(F381,'Set up'!$A$2:$E$70,5,FALSE)</f>
        <v>Trsf</v>
      </c>
      <c r="S381" s="1" t="s">
        <v>581</v>
      </c>
    </row>
    <row r="382" spans="1:19" ht="28.8" x14ac:dyDescent="0.3">
      <c r="A382" s="4">
        <v>44496</v>
      </c>
      <c r="B382" s="5">
        <f t="shared" si="54"/>
        <v>10</v>
      </c>
      <c r="C382" s="5">
        <f t="shared" si="55"/>
        <v>2021</v>
      </c>
      <c r="D382" s="5" t="s">
        <v>445</v>
      </c>
      <c r="E382" s="5" t="str">
        <f>VLOOKUP(F382,'Set up'!$A$2:$C$70,2,FALSE)</f>
        <v>C00000020</v>
      </c>
      <c r="F382" s="1" t="s">
        <v>409</v>
      </c>
      <c r="G382" s="74" t="s">
        <v>67</v>
      </c>
      <c r="H382" s="5">
        <v>3</v>
      </c>
      <c r="I382" s="5" t="str">
        <f>VLOOKUP(F382,'Set up'!$A$2:$C$70,3,FALSE)</f>
        <v>Cash</v>
      </c>
      <c r="J382" s="5">
        <f>VLOOKUP(F382,'Set up'!$A$2:$D$70,4,FALSE)</f>
        <v>0</v>
      </c>
      <c r="K382" s="4">
        <f t="shared" si="56"/>
        <v>44496</v>
      </c>
      <c r="L382" s="5">
        <f t="shared" si="57"/>
        <v>10</v>
      </c>
      <c r="M382" s="5">
        <f t="shared" si="58"/>
        <v>2021</v>
      </c>
      <c r="N382" s="6">
        <v>5874</v>
      </c>
      <c r="O382" s="6">
        <f t="shared" si="62"/>
        <v>-5874</v>
      </c>
      <c r="P382" s="6">
        <f t="shared" si="61"/>
        <v>0</v>
      </c>
      <c r="Q382" s="7">
        <f t="shared" si="59"/>
        <v>572355.94999999995</v>
      </c>
      <c r="R382" s="44" t="str">
        <f>VLOOKUP(F382,'Set up'!$A$2:$E$70,5,FALSE)</f>
        <v>Trsf</v>
      </c>
      <c r="S382" s="1" t="s">
        <v>520</v>
      </c>
    </row>
    <row r="383" spans="1:19" x14ac:dyDescent="0.3">
      <c r="A383" s="4">
        <v>44497</v>
      </c>
      <c r="B383" s="5">
        <f t="shared" si="54"/>
        <v>10</v>
      </c>
      <c r="C383" s="5">
        <f t="shared" si="55"/>
        <v>2021</v>
      </c>
      <c r="D383" s="5" t="s">
        <v>446</v>
      </c>
      <c r="E383" s="5" t="str">
        <f>VLOOKUP(F383,'Set up'!$A$2:$C$70,2,FALSE)</f>
        <v>C00000010</v>
      </c>
      <c r="F383" s="1" t="s">
        <v>62</v>
      </c>
      <c r="G383" s="56" t="s">
        <v>303</v>
      </c>
      <c r="H383" s="5">
        <v>6</v>
      </c>
      <c r="I383" s="5">
        <f>VLOOKUP(F383,'Set up'!$A$2:$C$70,3,FALSE)</f>
        <v>120</v>
      </c>
      <c r="J383" s="5">
        <f>VLOOKUP(F383,'Set up'!$A$2:$D$70,4,FALSE)</f>
        <v>120</v>
      </c>
      <c r="K383" s="4">
        <f t="shared" si="56"/>
        <v>44617</v>
      </c>
      <c r="L383" s="5">
        <f t="shared" si="57"/>
        <v>2</v>
      </c>
      <c r="M383" s="5">
        <f t="shared" si="58"/>
        <v>2022</v>
      </c>
      <c r="N383" s="6">
        <v>11748</v>
      </c>
      <c r="O383" s="6">
        <f t="shared" si="62"/>
        <v>-11748</v>
      </c>
      <c r="P383" s="6">
        <f t="shared" si="61"/>
        <v>0</v>
      </c>
      <c r="Q383" s="7">
        <f t="shared" si="59"/>
        <v>584103.94999999995</v>
      </c>
      <c r="R383" s="44" t="str">
        <f>VLOOKUP(F383,'Set up'!$A$2:$E$70,5,FALSE)</f>
        <v>Trsf</v>
      </c>
      <c r="S383" s="1" t="s">
        <v>577</v>
      </c>
    </row>
    <row r="384" spans="1:19" x14ac:dyDescent="0.3">
      <c r="A384" s="4">
        <v>44497</v>
      </c>
      <c r="B384" s="5">
        <f t="shared" si="54"/>
        <v>10</v>
      </c>
      <c r="C384" s="5">
        <f t="shared" si="55"/>
        <v>2021</v>
      </c>
      <c r="D384" s="5" t="s">
        <v>446</v>
      </c>
      <c r="E384" s="5" t="str">
        <f>VLOOKUP(F384,'Set up'!$A$2:$C$70,2,FALSE)</f>
        <v>C00000010</v>
      </c>
      <c r="F384" s="1" t="s">
        <v>62</v>
      </c>
      <c r="G384" s="56" t="s">
        <v>448</v>
      </c>
      <c r="H384" s="5">
        <v>6</v>
      </c>
      <c r="I384" s="5">
        <f>VLOOKUP(F384,'Set up'!$A$2:$C$70,3,FALSE)</f>
        <v>120</v>
      </c>
      <c r="J384" s="5">
        <f>VLOOKUP(F384,'Set up'!$A$2:$D$70,4,FALSE)</f>
        <v>120</v>
      </c>
      <c r="K384" s="4">
        <f t="shared" si="56"/>
        <v>44617</v>
      </c>
      <c r="L384" s="5">
        <f t="shared" si="57"/>
        <v>2</v>
      </c>
      <c r="M384" s="5">
        <f t="shared" si="58"/>
        <v>2022</v>
      </c>
      <c r="N384" s="6">
        <v>1975.8</v>
      </c>
      <c r="O384" s="6">
        <f t="shared" si="62"/>
        <v>-1975.8</v>
      </c>
      <c r="P384" s="6">
        <f t="shared" si="61"/>
        <v>0</v>
      </c>
      <c r="Q384" s="7">
        <f t="shared" si="59"/>
        <v>586079.75</v>
      </c>
      <c r="R384" s="44" t="str">
        <f>VLOOKUP(F384,'Set up'!$A$2:$E$70,5,FALSE)</f>
        <v>Trsf</v>
      </c>
      <c r="S384" s="1" t="s">
        <v>577</v>
      </c>
    </row>
    <row r="385" spans="1:19" x14ac:dyDescent="0.3">
      <c r="A385" s="4">
        <v>44497</v>
      </c>
      <c r="B385" s="5">
        <f t="shared" si="54"/>
        <v>10</v>
      </c>
      <c r="C385" s="5">
        <f t="shared" si="55"/>
        <v>2021</v>
      </c>
      <c r="D385" s="5" t="s">
        <v>447</v>
      </c>
      <c r="E385" s="5" t="str">
        <f>VLOOKUP(F385,'Set up'!$A$2:$C$70,2,FALSE)</f>
        <v>C00000019</v>
      </c>
      <c r="F385" s="1" t="s">
        <v>400</v>
      </c>
      <c r="G385" s="11" t="s">
        <v>292</v>
      </c>
      <c r="H385" s="5">
        <v>2</v>
      </c>
      <c r="I385" s="5" t="str">
        <f>VLOOKUP(F385,'Set up'!$A$2:$C$70,3,FALSE)</f>
        <v>Cash</v>
      </c>
      <c r="J385" s="5">
        <f>VLOOKUP(F385,'Set up'!$A$2:$D$70,4,FALSE)</f>
        <v>0</v>
      </c>
      <c r="K385" s="4">
        <f t="shared" si="56"/>
        <v>44497</v>
      </c>
      <c r="L385" s="5">
        <f t="shared" si="57"/>
        <v>10</v>
      </c>
      <c r="M385" s="5">
        <f t="shared" si="58"/>
        <v>2021</v>
      </c>
      <c r="N385" s="6">
        <v>720</v>
      </c>
      <c r="O385" s="6">
        <f t="shared" si="62"/>
        <v>-720</v>
      </c>
      <c r="P385" s="6">
        <f t="shared" si="61"/>
        <v>0</v>
      </c>
      <c r="Q385" s="7">
        <f t="shared" si="59"/>
        <v>586799.75</v>
      </c>
      <c r="R385" s="44" t="str">
        <f>VLOOKUP(F385,'Set up'!$A$2:$E$70,5,FALSE)</f>
        <v>Trsf</v>
      </c>
      <c r="S385" s="1" t="s">
        <v>451</v>
      </c>
    </row>
    <row r="386" spans="1:19" x14ac:dyDescent="0.3">
      <c r="A386" s="4">
        <v>44499</v>
      </c>
      <c r="B386" s="5">
        <f t="shared" si="54"/>
        <v>10</v>
      </c>
      <c r="C386" s="5">
        <f t="shared" si="55"/>
        <v>2021</v>
      </c>
      <c r="D386" s="5" t="s">
        <v>449</v>
      </c>
      <c r="E386" s="5" t="str">
        <f>VLOOKUP(F386,'Set up'!$A$2:$C$70,2,FALSE)</f>
        <v>C00000010</v>
      </c>
      <c r="F386" s="1" t="s">
        <v>62</v>
      </c>
      <c r="G386" s="56" t="s">
        <v>303</v>
      </c>
      <c r="H386" s="5">
        <v>4</v>
      </c>
      <c r="I386" s="5">
        <f>VLOOKUP(F386,'Set up'!$A$2:$C$70,3,FALSE)</f>
        <v>120</v>
      </c>
      <c r="J386" s="5">
        <f>VLOOKUP(F386,'Set up'!$A$2:$D$70,4,FALSE)</f>
        <v>120</v>
      </c>
      <c r="K386" s="4">
        <f t="shared" si="56"/>
        <v>44619</v>
      </c>
      <c r="L386" s="5">
        <f t="shared" si="57"/>
        <v>2</v>
      </c>
      <c r="M386" s="5">
        <f t="shared" si="58"/>
        <v>2022</v>
      </c>
      <c r="N386" s="6">
        <v>7832</v>
      </c>
      <c r="O386" s="6">
        <f t="shared" si="62"/>
        <v>-7832</v>
      </c>
      <c r="P386" s="6">
        <f t="shared" si="61"/>
        <v>0</v>
      </c>
      <c r="Q386" s="7">
        <f t="shared" si="59"/>
        <v>594631.75</v>
      </c>
      <c r="R386" s="44" t="str">
        <f>VLOOKUP(F386,'Set up'!$A$2:$E$70,5,FALSE)</f>
        <v>Trsf</v>
      </c>
      <c r="S386" s="1" t="s">
        <v>577</v>
      </c>
    </row>
    <row r="387" spans="1:19" x14ac:dyDescent="0.3">
      <c r="A387" s="4">
        <v>44499</v>
      </c>
      <c r="B387" s="5">
        <f t="shared" ref="B387:B450" si="63">MONTH(A387)</f>
        <v>10</v>
      </c>
      <c r="C387" s="5">
        <f t="shared" ref="C387:C450" si="64">YEAR(A387)</f>
        <v>2021</v>
      </c>
      <c r="D387" s="5" t="s">
        <v>449</v>
      </c>
      <c r="E387" s="5" t="str">
        <f>VLOOKUP(F387,'Set up'!$A$2:$C$70,2,FALSE)</f>
        <v>C00000010</v>
      </c>
      <c r="F387" s="1" t="s">
        <v>62</v>
      </c>
      <c r="G387" s="56" t="s">
        <v>448</v>
      </c>
      <c r="H387" s="5">
        <v>4</v>
      </c>
      <c r="I387" s="5">
        <f>VLOOKUP(F387,'Set up'!$A$2:$C$70,3,FALSE)</f>
        <v>120</v>
      </c>
      <c r="J387" s="5">
        <f>VLOOKUP(F387,'Set up'!$A$2:$D$70,4,FALSE)</f>
        <v>120</v>
      </c>
      <c r="K387" s="4">
        <f t="shared" ref="K387:K450" si="65">A387+J387</f>
        <v>44619</v>
      </c>
      <c r="L387" s="5">
        <f t="shared" ref="L387:L450" si="66">MONTH(K387)</f>
        <v>2</v>
      </c>
      <c r="M387" s="5">
        <f t="shared" ref="M387:M450" si="67">YEAR(K387)</f>
        <v>2022</v>
      </c>
      <c r="N387" s="6">
        <v>1317.2</v>
      </c>
      <c r="O387" s="6">
        <f t="shared" si="62"/>
        <v>-1317.2</v>
      </c>
      <c r="P387" s="6">
        <f t="shared" si="61"/>
        <v>0</v>
      </c>
      <c r="Q387" s="7">
        <f t="shared" ref="Q387:Q450" si="68">SUM(Q386+N387)</f>
        <v>595948.94999999995</v>
      </c>
      <c r="R387" s="44" t="str">
        <f>VLOOKUP(F387,'Set up'!$A$2:$E$70,5,FALSE)</f>
        <v>Trsf</v>
      </c>
      <c r="S387" s="1" t="s">
        <v>577</v>
      </c>
    </row>
    <row r="388" spans="1:19" x14ac:dyDescent="0.3">
      <c r="A388" s="4">
        <v>44499</v>
      </c>
      <c r="B388" s="5">
        <f t="shared" si="63"/>
        <v>10</v>
      </c>
      <c r="C388" s="5">
        <f t="shared" si="64"/>
        <v>2021</v>
      </c>
      <c r="D388" s="5" t="s">
        <v>449</v>
      </c>
      <c r="E388" s="5" t="str">
        <f>VLOOKUP(F388,'Set up'!$A$2:$C$70,2,FALSE)</f>
        <v>C00000010</v>
      </c>
      <c r="F388" s="1" t="s">
        <v>62</v>
      </c>
      <c r="G388" s="56" t="s">
        <v>64</v>
      </c>
      <c r="H388" s="5">
        <v>10</v>
      </c>
      <c r="I388" s="5">
        <f>VLOOKUP(F388,'Set up'!$A$2:$C$70,3,FALSE)</f>
        <v>120</v>
      </c>
      <c r="J388" s="5">
        <f>VLOOKUP(F388,'Set up'!$A$2:$D$70,4,FALSE)</f>
        <v>120</v>
      </c>
      <c r="K388" s="4">
        <f t="shared" si="65"/>
        <v>44619</v>
      </c>
      <c r="L388" s="5">
        <f t="shared" si="66"/>
        <v>2</v>
      </c>
      <c r="M388" s="5">
        <f t="shared" si="67"/>
        <v>2022</v>
      </c>
      <c r="N388" s="6">
        <v>550</v>
      </c>
      <c r="O388" s="6">
        <f t="shared" si="62"/>
        <v>-550</v>
      </c>
      <c r="P388" s="6">
        <f t="shared" si="61"/>
        <v>0</v>
      </c>
      <c r="Q388" s="7">
        <f t="shared" si="68"/>
        <v>596498.94999999995</v>
      </c>
      <c r="R388" s="44" t="str">
        <f>VLOOKUP(F388,'Set up'!$A$2:$E$70,5,FALSE)</f>
        <v>Trsf</v>
      </c>
      <c r="S388" s="1" t="s">
        <v>577</v>
      </c>
    </row>
    <row r="389" spans="1:19" x14ac:dyDescent="0.3">
      <c r="A389" s="4">
        <v>44499</v>
      </c>
      <c r="B389" s="5">
        <f t="shared" si="63"/>
        <v>10</v>
      </c>
      <c r="C389" s="5">
        <f t="shared" si="64"/>
        <v>2021</v>
      </c>
      <c r="D389" s="5" t="s">
        <v>449</v>
      </c>
      <c r="E389" s="5" t="str">
        <f>VLOOKUP(F389,'Set up'!$A$2:$C$70,2,FALSE)</f>
        <v>C00000010</v>
      </c>
      <c r="F389" s="1" t="s">
        <v>62</v>
      </c>
      <c r="G389" s="77" t="s">
        <v>381</v>
      </c>
      <c r="H389" s="5">
        <v>4</v>
      </c>
      <c r="I389" s="5">
        <f>VLOOKUP(F389,'Set up'!$A$2:$C$70,3,FALSE)</f>
        <v>120</v>
      </c>
      <c r="J389" s="5">
        <f>VLOOKUP(F389,'Set up'!$A$2:$D$70,4,FALSE)</f>
        <v>120</v>
      </c>
      <c r="K389" s="4">
        <f t="shared" si="65"/>
        <v>44619</v>
      </c>
      <c r="L389" s="5">
        <f t="shared" si="66"/>
        <v>2</v>
      </c>
      <c r="M389" s="5">
        <f t="shared" si="67"/>
        <v>2022</v>
      </c>
      <c r="N389" s="6">
        <v>320</v>
      </c>
      <c r="O389" s="6">
        <f t="shared" si="62"/>
        <v>-320</v>
      </c>
      <c r="P389" s="6">
        <f t="shared" si="61"/>
        <v>0</v>
      </c>
      <c r="Q389" s="7">
        <f t="shared" si="68"/>
        <v>596818.94999999995</v>
      </c>
      <c r="R389" s="44" t="str">
        <f>VLOOKUP(F389,'Set up'!$A$2:$E$70,5,FALSE)</f>
        <v>Trsf</v>
      </c>
      <c r="S389" s="1" t="s">
        <v>577</v>
      </c>
    </row>
    <row r="390" spans="1:19" x14ac:dyDescent="0.3">
      <c r="A390" s="4">
        <v>44501</v>
      </c>
      <c r="B390" s="5">
        <f t="shared" si="63"/>
        <v>11</v>
      </c>
      <c r="C390" s="5">
        <f t="shared" si="64"/>
        <v>2021</v>
      </c>
      <c r="D390" s="5" t="s">
        <v>455</v>
      </c>
      <c r="E390" s="5" t="str">
        <f>VLOOKUP(F390,'Set up'!$A$2:$C$70,2,FALSE)</f>
        <v>C00000005</v>
      </c>
      <c r="F390" s="1" t="s">
        <v>35</v>
      </c>
      <c r="G390" s="80" t="s">
        <v>448</v>
      </c>
      <c r="H390" s="5">
        <v>1</v>
      </c>
      <c r="I390" s="5" t="str">
        <f>VLOOKUP(F390,'Set up'!$A$2:$C$70,3,FALSE)</f>
        <v>Cash</v>
      </c>
      <c r="J390" s="5">
        <f>VLOOKUP(F390,'Set up'!$A$2:$D$70,4,FALSE)</f>
        <v>0</v>
      </c>
      <c r="K390" s="4">
        <f t="shared" si="65"/>
        <v>44501</v>
      </c>
      <c r="L390" s="5">
        <f t="shared" si="66"/>
        <v>11</v>
      </c>
      <c r="M390" s="5">
        <f t="shared" si="67"/>
        <v>2021</v>
      </c>
      <c r="N390" s="6">
        <v>340.4</v>
      </c>
      <c r="O390" s="6">
        <f t="shared" si="62"/>
        <v>-340.4</v>
      </c>
      <c r="P390" s="6">
        <f t="shared" si="61"/>
        <v>0</v>
      </c>
      <c r="Q390" s="7">
        <f t="shared" si="68"/>
        <v>597159.35</v>
      </c>
      <c r="R390" s="44" t="str">
        <f>VLOOKUP(F390,'Set up'!$A$2:$E$70,5,FALSE)</f>
        <v>Chq</v>
      </c>
      <c r="S390" s="1" t="s">
        <v>490</v>
      </c>
    </row>
    <row r="391" spans="1:19" x14ac:dyDescent="0.3">
      <c r="A391" s="4">
        <v>44501</v>
      </c>
      <c r="B391" s="5">
        <f t="shared" si="63"/>
        <v>11</v>
      </c>
      <c r="C391" s="5">
        <f t="shared" si="64"/>
        <v>2021</v>
      </c>
      <c r="D391" s="5" t="s">
        <v>455</v>
      </c>
      <c r="E391" s="5" t="str">
        <f>VLOOKUP(F391,'Set up'!$A$2:$C$70,2,FALSE)</f>
        <v>C00000005</v>
      </c>
      <c r="F391" s="1" t="s">
        <v>35</v>
      </c>
      <c r="G391" s="55" t="s">
        <v>456</v>
      </c>
      <c r="H391" s="5">
        <v>1</v>
      </c>
      <c r="I391" s="5" t="str">
        <f>VLOOKUP(F391,'Set up'!$A$2:$C$70,3,FALSE)</f>
        <v>Cash</v>
      </c>
      <c r="J391" s="5">
        <f>VLOOKUP(F391,'Set up'!$A$2:$D$70,4,FALSE)</f>
        <v>0</v>
      </c>
      <c r="K391" s="4">
        <f t="shared" si="65"/>
        <v>44501</v>
      </c>
      <c r="L391" s="5">
        <f t="shared" si="66"/>
        <v>11</v>
      </c>
      <c r="M391" s="5">
        <f t="shared" si="67"/>
        <v>2021</v>
      </c>
      <c r="N391" s="6">
        <v>40</v>
      </c>
      <c r="O391" s="6">
        <f t="shared" si="62"/>
        <v>-40</v>
      </c>
      <c r="P391" s="6">
        <f t="shared" si="61"/>
        <v>0</v>
      </c>
      <c r="Q391" s="7">
        <f t="shared" si="68"/>
        <v>597199.35</v>
      </c>
      <c r="R391" s="44" t="str">
        <f>VLOOKUP(F391,'Set up'!$A$2:$E$70,5,FALSE)</f>
        <v>Chq</v>
      </c>
      <c r="S391" s="1" t="s">
        <v>490</v>
      </c>
    </row>
    <row r="392" spans="1:19" x14ac:dyDescent="0.3">
      <c r="A392" s="4">
        <v>44502</v>
      </c>
      <c r="B392" s="5">
        <f t="shared" si="63"/>
        <v>11</v>
      </c>
      <c r="C392" s="5">
        <f t="shared" si="64"/>
        <v>2021</v>
      </c>
      <c r="D392" s="5" t="s">
        <v>457</v>
      </c>
      <c r="E392" s="5" t="str">
        <f>VLOOKUP(F392,'Set up'!$A$2:$C$70,2,FALSE)</f>
        <v>C00000019</v>
      </c>
      <c r="F392" s="1" t="s">
        <v>400</v>
      </c>
      <c r="G392" s="56" t="s">
        <v>303</v>
      </c>
      <c r="H392" s="5">
        <v>2</v>
      </c>
      <c r="I392" s="5" t="str">
        <f>VLOOKUP(F392,'Set up'!$A$2:$C$70,3,FALSE)</f>
        <v>Cash</v>
      </c>
      <c r="J392" s="5">
        <f>VLOOKUP(F392,'Set up'!$A$2:$D$70,4,FALSE)</f>
        <v>0</v>
      </c>
      <c r="K392" s="4">
        <f t="shared" si="65"/>
        <v>44502</v>
      </c>
      <c r="L392" s="5">
        <f t="shared" si="66"/>
        <v>11</v>
      </c>
      <c r="M392" s="5">
        <f t="shared" si="67"/>
        <v>2021</v>
      </c>
      <c r="N392" s="6">
        <v>3960</v>
      </c>
      <c r="O392" s="6">
        <f t="shared" si="62"/>
        <v>-3960</v>
      </c>
      <c r="P392" s="6">
        <f t="shared" si="61"/>
        <v>0</v>
      </c>
      <c r="Q392" s="7">
        <f t="shared" si="68"/>
        <v>601159.35</v>
      </c>
      <c r="R392" s="44" t="str">
        <f>VLOOKUP(F392,'Set up'!$A$2:$E$70,5,FALSE)</f>
        <v>Trsf</v>
      </c>
      <c r="S392" s="1" t="s">
        <v>462</v>
      </c>
    </row>
    <row r="393" spans="1:19" x14ac:dyDescent="0.3">
      <c r="A393" s="4">
        <v>44502</v>
      </c>
      <c r="B393" s="5">
        <f t="shared" si="63"/>
        <v>11</v>
      </c>
      <c r="C393" s="5">
        <f t="shared" si="64"/>
        <v>2021</v>
      </c>
      <c r="D393" s="5" t="s">
        <v>457</v>
      </c>
      <c r="E393" s="5" t="str">
        <f>VLOOKUP(F393,'Set up'!$A$2:$C$70,2,FALSE)</f>
        <v>C00000019</v>
      </c>
      <c r="F393" s="1" t="s">
        <v>400</v>
      </c>
      <c r="G393" s="56" t="s">
        <v>64</v>
      </c>
      <c r="H393" s="5">
        <v>6</v>
      </c>
      <c r="I393" s="5" t="str">
        <f>VLOOKUP(F393,'Set up'!$A$2:$C$70,3,FALSE)</f>
        <v>Cash</v>
      </c>
      <c r="J393" s="5">
        <f>VLOOKUP(F393,'Set up'!$A$2:$D$70,4,FALSE)</f>
        <v>0</v>
      </c>
      <c r="K393" s="4">
        <f t="shared" si="65"/>
        <v>44502</v>
      </c>
      <c r="L393" s="5">
        <f t="shared" si="66"/>
        <v>11</v>
      </c>
      <c r="M393" s="5">
        <f t="shared" si="67"/>
        <v>2021</v>
      </c>
      <c r="N393" s="6">
        <v>360</v>
      </c>
      <c r="O393" s="6">
        <f t="shared" si="62"/>
        <v>-360</v>
      </c>
      <c r="P393" s="6">
        <f t="shared" si="61"/>
        <v>0</v>
      </c>
      <c r="Q393" s="7">
        <f t="shared" si="68"/>
        <v>601519.35</v>
      </c>
      <c r="R393" s="44" t="str">
        <f>VLOOKUP(F393,'Set up'!$A$2:$E$70,5,FALSE)</f>
        <v>Trsf</v>
      </c>
      <c r="S393" s="1" t="s">
        <v>462</v>
      </c>
    </row>
    <row r="394" spans="1:19" x14ac:dyDescent="0.3">
      <c r="A394" s="4">
        <v>44502</v>
      </c>
      <c r="B394" s="5">
        <f t="shared" si="63"/>
        <v>11</v>
      </c>
      <c r="C394" s="5">
        <f t="shared" si="64"/>
        <v>2021</v>
      </c>
      <c r="D394" s="5" t="s">
        <v>457</v>
      </c>
      <c r="E394" s="5" t="str">
        <f>VLOOKUP(F394,'Set up'!$A$2:$C$70,2,FALSE)</f>
        <v>C00000019</v>
      </c>
      <c r="F394" s="1" t="s">
        <v>400</v>
      </c>
      <c r="G394" s="77" t="s">
        <v>238</v>
      </c>
      <c r="H394" s="5">
        <v>1</v>
      </c>
      <c r="I394" s="5" t="str">
        <f>VLOOKUP(F394,'Set up'!$A$2:$C$70,3,FALSE)</f>
        <v>Cash</v>
      </c>
      <c r="J394" s="5">
        <f>VLOOKUP(F394,'Set up'!$A$2:$D$70,4,FALSE)</f>
        <v>0</v>
      </c>
      <c r="K394" s="4">
        <f t="shared" si="65"/>
        <v>44502</v>
      </c>
      <c r="L394" s="5">
        <f t="shared" si="66"/>
        <v>11</v>
      </c>
      <c r="M394" s="5">
        <f t="shared" si="67"/>
        <v>2021</v>
      </c>
      <c r="N394" s="6">
        <v>440</v>
      </c>
      <c r="O394" s="6">
        <f t="shared" si="62"/>
        <v>-440</v>
      </c>
      <c r="P394" s="6">
        <f t="shared" si="61"/>
        <v>0</v>
      </c>
      <c r="Q394" s="7">
        <f t="shared" si="68"/>
        <v>601959.35</v>
      </c>
      <c r="R394" s="44" t="str">
        <f>VLOOKUP(F394,'Set up'!$A$2:$E$70,5,FALSE)</f>
        <v>Trsf</v>
      </c>
      <c r="S394" s="1" t="s">
        <v>462</v>
      </c>
    </row>
    <row r="395" spans="1:19" x14ac:dyDescent="0.3">
      <c r="A395" s="4">
        <v>44502</v>
      </c>
      <c r="B395" s="5">
        <f t="shared" si="63"/>
        <v>11</v>
      </c>
      <c r="C395" s="5">
        <f t="shared" si="64"/>
        <v>2021</v>
      </c>
      <c r="D395" s="5" t="s">
        <v>457</v>
      </c>
      <c r="E395" s="5" t="str">
        <f>VLOOKUP(F395,'Set up'!$A$2:$C$70,2,FALSE)</f>
        <v>C00000019</v>
      </c>
      <c r="F395" s="1" t="s">
        <v>400</v>
      </c>
      <c r="G395" s="77" t="s">
        <v>292</v>
      </c>
      <c r="H395" s="5">
        <v>1</v>
      </c>
      <c r="I395" s="5" t="str">
        <f>VLOOKUP(F395,'Set up'!$A$2:$C$70,3,FALSE)</f>
        <v>Cash</v>
      </c>
      <c r="J395" s="5">
        <f>VLOOKUP(F395,'Set up'!$A$2:$D$70,4,FALSE)</f>
        <v>0</v>
      </c>
      <c r="K395" s="4">
        <f t="shared" si="65"/>
        <v>44502</v>
      </c>
      <c r="L395" s="5">
        <f t="shared" si="66"/>
        <v>11</v>
      </c>
      <c r="M395" s="5">
        <f t="shared" si="67"/>
        <v>2021</v>
      </c>
      <c r="N395" s="6">
        <v>360</v>
      </c>
      <c r="O395" s="6">
        <f t="shared" si="62"/>
        <v>-360</v>
      </c>
      <c r="P395" s="6">
        <f t="shared" si="61"/>
        <v>0</v>
      </c>
      <c r="Q395" s="7">
        <f t="shared" si="68"/>
        <v>602319.35</v>
      </c>
      <c r="R395" s="44" t="str">
        <f>VLOOKUP(F395,'Set up'!$A$2:$E$70,5,FALSE)</f>
        <v>Trsf</v>
      </c>
      <c r="S395" s="1" t="s">
        <v>462</v>
      </c>
    </row>
    <row r="396" spans="1:19" ht="62.4" x14ac:dyDescent="0.3">
      <c r="A396" s="4">
        <v>44502</v>
      </c>
      <c r="B396" s="5">
        <f t="shared" si="63"/>
        <v>11</v>
      </c>
      <c r="C396" s="5">
        <f t="shared" si="64"/>
        <v>2021</v>
      </c>
      <c r="D396" s="5" t="s">
        <v>458</v>
      </c>
      <c r="E396" s="5" t="str">
        <f>VLOOKUP(F396,'Set up'!$A$2:$C$70,2,FALSE)</f>
        <v>C00000003</v>
      </c>
      <c r="F396" s="1" t="s">
        <v>20</v>
      </c>
      <c r="G396" s="2" t="s">
        <v>404</v>
      </c>
      <c r="H396" s="5">
        <v>1</v>
      </c>
      <c r="I396" s="5">
        <f>VLOOKUP(F396,'Set up'!$A$2:$C$70,3,FALSE)</f>
        <v>45</v>
      </c>
      <c r="J396" s="5">
        <f>VLOOKUP(F396,'Set up'!$A$2:$D$70,4,FALSE)</f>
        <v>45</v>
      </c>
      <c r="K396" s="4">
        <f t="shared" si="65"/>
        <v>44547</v>
      </c>
      <c r="L396" s="5">
        <f t="shared" si="66"/>
        <v>12</v>
      </c>
      <c r="M396" s="5">
        <f t="shared" si="67"/>
        <v>2021</v>
      </c>
      <c r="N396" s="6">
        <v>2024</v>
      </c>
      <c r="O396" s="6">
        <f>-684-1340</f>
        <v>-2024</v>
      </c>
      <c r="P396" s="6">
        <f t="shared" si="61"/>
        <v>0</v>
      </c>
      <c r="Q396" s="7">
        <f t="shared" si="68"/>
        <v>604343.35</v>
      </c>
      <c r="R396" s="44" t="str">
        <f>VLOOKUP(F396,'Set up'!$A$2:$E$70,5,FALSE)</f>
        <v>PD Chq</v>
      </c>
      <c r="S396" s="40" t="s">
        <v>625</v>
      </c>
    </row>
    <row r="397" spans="1:19" ht="31.2" x14ac:dyDescent="0.3">
      <c r="A397" s="4">
        <v>44502</v>
      </c>
      <c r="B397" s="5">
        <f t="shared" si="63"/>
        <v>11</v>
      </c>
      <c r="C397" s="5">
        <f t="shared" si="64"/>
        <v>2021</v>
      </c>
      <c r="D397" s="5" t="s">
        <v>458</v>
      </c>
      <c r="E397" s="5" t="str">
        <f>VLOOKUP(F397,'Set up'!$A$2:$C$70,2,FALSE)</f>
        <v>C00000003</v>
      </c>
      <c r="F397" s="1" t="s">
        <v>20</v>
      </c>
      <c r="G397" s="55" t="s">
        <v>381</v>
      </c>
      <c r="H397" s="5">
        <v>2</v>
      </c>
      <c r="I397" s="5">
        <f>VLOOKUP(F397,'Set up'!$A$2:$C$70,3,FALSE)</f>
        <v>45</v>
      </c>
      <c r="J397" s="5">
        <f>VLOOKUP(F397,'Set up'!$A$2:$D$70,4,FALSE)</f>
        <v>45</v>
      </c>
      <c r="K397" s="4">
        <f t="shared" si="65"/>
        <v>44547</v>
      </c>
      <c r="L397" s="5">
        <f t="shared" si="66"/>
        <v>12</v>
      </c>
      <c r="M397" s="5">
        <f t="shared" si="67"/>
        <v>2021</v>
      </c>
      <c r="N397" s="6">
        <v>160</v>
      </c>
      <c r="O397" s="6">
        <f>-N397</f>
        <v>-160</v>
      </c>
      <c r="P397" s="6">
        <f t="shared" si="61"/>
        <v>0</v>
      </c>
      <c r="Q397" s="7">
        <f t="shared" si="68"/>
        <v>604503.35</v>
      </c>
      <c r="R397" s="44" t="str">
        <f>VLOOKUP(F397,'Set up'!$A$2:$E$70,5,FALSE)</f>
        <v>PD Chq</v>
      </c>
      <c r="S397" s="40" t="s">
        <v>621</v>
      </c>
    </row>
    <row r="398" spans="1:19" ht="28.8" x14ac:dyDescent="0.3">
      <c r="A398" s="4">
        <v>44503</v>
      </c>
      <c r="B398" s="5">
        <f t="shared" si="63"/>
        <v>11</v>
      </c>
      <c r="C398" s="5">
        <f t="shared" si="64"/>
        <v>2021</v>
      </c>
      <c r="D398" s="5" t="s">
        <v>459</v>
      </c>
      <c r="E398" s="5" t="str">
        <f>VLOOKUP(F398,'Set up'!$A$2:$C$70,2,FALSE)</f>
        <v>C00000020</v>
      </c>
      <c r="F398" s="1" t="s">
        <v>409</v>
      </c>
      <c r="G398" s="74" t="s">
        <v>67</v>
      </c>
      <c r="H398" s="5">
        <v>2</v>
      </c>
      <c r="I398" s="5" t="str">
        <f>VLOOKUP(F398,'Set up'!$A$2:$C$70,3,FALSE)</f>
        <v>Cash</v>
      </c>
      <c r="J398" s="5">
        <f>VLOOKUP(F398,'Set up'!$A$2:$D$70,4,FALSE)</f>
        <v>0</v>
      </c>
      <c r="K398" s="4">
        <f t="shared" si="65"/>
        <v>44503</v>
      </c>
      <c r="L398" s="5">
        <f t="shared" si="66"/>
        <v>11</v>
      </c>
      <c r="M398" s="5">
        <f t="shared" si="67"/>
        <v>2021</v>
      </c>
      <c r="N398" s="6">
        <v>4048</v>
      </c>
      <c r="O398" s="6">
        <f>-N398</f>
        <v>-4048</v>
      </c>
      <c r="P398" s="6">
        <f t="shared" si="61"/>
        <v>0</v>
      </c>
      <c r="Q398" s="7">
        <f t="shared" si="68"/>
        <v>608551.35</v>
      </c>
      <c r="R398" s="44" t="str">
        <f>VLOOKUP(F398,'Set up'!$A$2:$E$70,5,FALSE)</f>
        <v>Trsf</v>
      </c>
      <c r="S398" s="1" t="s">
        <v>520</v>
      </c>
    </row>
    <row r="399" spans="1:19" ht="46.8" x14ac:dyDescent="0.3">
      <c r="A399" s="4">
        <v>44503</v>
      </c>
      <c r="B399" s="5">
        <f t="shared" si="63"/>
        <v>11</v>
      </c>
      <c r="C399" s="5">
        <f t="shared" si="64"/>
        <v>2021</v>
      </c>
      <c r="D399" s="5" t="s">
        <v>459</v>
      </c>
      <c r="E399" s="5" t="str">
        <f>VLOOKUP(F399,'Set up'!$A$2:$C$70,2,FALSE)</f>
        <v>C00000020</v>
      </c>
      <c r="F399" s="1" t="s">
        <v>409</v>
      </c>
      <c r="G399" s="74" t="s">
        <v>95</v>
      </c>
      <c r="H399" s="5">
        <v>3</v>
      </c>
      <c r="I399" s="5" t="str">
        <f>VLOOKUP(F399,'Set up'!$A$2:$C$70,3,FALSE)</f>
        <v>Cash</v>
      </c>
      <c r="J399" s="5">
        <f>VLOOKUP(F399,'Set up'!$A$2:$D$70,4,FALSE)</f>
        <v>0</v>
      </c>
      <c r="K399" s="4">
        <f t="shared" si="65"/>
        <v>44503</v>
      </c>
      <c r="L399" s="5">
        <f t="shared" si="66"/>
        <v>11</v>
      </c>
      <c r="M399" s="5">
        <f t="shared" si="67"/>
        <v>2021</v>
      </c>
      <c r="N399" s="6">
        <v>6072</v>
      </c>
      <c r="O399" s="6">
        <f>-3101.8-2970.2</f>
        <v>-6072</v>
      </c>
      <c r="P399" s="6">
        <f t="shared" si="61"/>
        <v>0</v>
      </c>
      <c r="Q399" s="7">
        <f t="shared" si="68"/>
        <v>614623.35</v>
      </c>
      <c r="R399" s="44" t="str">
        <f>VLOOKUP(F399,'Set up'!$A$2:$E$70,5,FALSE)</f>
        <v>Trsf</v>
      </c>
      <c r="S399" s="40" t="s">
        <v>541</v>
      </c>
    </row>
    <row r="400" spans="1:19" ht="46.8" x14ac:dyDescent="0.3">
      <c r="A400" s="4">
        <v>44503</v>
      </c>
      <c r="B400" s="5">
        <f t="shared" si="63"/>
        <v>11</v>
      </c>
      <c r="C400" s="5">
        <f t="shared" si="64"/>
        <v>2021</v>
      </c>
      <c r="D400" s="5" t="s">
        <v>459</v>
      </c>
      <c r="E400" s="5" t="str">
        <f>VLOOKUP(F400,'Set up'!$A$2:$C$70,2,FALSE)</f>
        <v>C00000020</v>
      </c>
      <c r="F400" s="1" t="s">
        <v>409</v>
      </c>
      <c r="G400" s="79" t="s">
        <v>448</v>
      </c>
      <c r="H400" s="5">
        <v>15</v>
      </c>
      <c r="I400" s="5" t="str">
        <f>VLOOKUP(F400,'Set up'!$A$2:$C$70,3,FALSE)</f>
        <v>Cash</v>
      </c>
      <c r="J400" s="5">
        <f>VLOOKUP(F400,'Set up'!$A$2:$D$70,4,FALSE)</f>
        <v>0</v>
      </c>
      <c r="K400" s="4">
        <f t="shared" si="65"/>
        <v>44503</v>
      </c>
      <c r="L400" s="5">
        <f t="shared" si="66"/>
        <v>11</v>
      </c>
      <c r="M400" s="5">
        <f t="shared" si="67"/>
        <v>2021</v>
      </c>
      <c r="N400" s="6">
        <v>5106</v>
      </c>
      <c r="O400" s="6">
        <f>-N400</f>
        <v>-5106</v>
      </c>
      <c r="P400" s="6">
        <f t="shared" si="61"/>
        <v>0</v>
      </c>
      <c r="Q400" s="7">
        <f t="shared" si="68"/>
        <v>619729.35</v>
      </c>
      <c r="R400" s="44" t="str">
        <f>VLOOKUP(F400,'Set up'!$A$2:$E$70,5,FALSE)</f>
        <v>Trsf</v>
      </c>
      <c r="S400" s="1" t="s">
        <v>521</v>
      </c>
    </row>
    <row r="401" spans="1:19" ht="28.8" x14ac:dyDescent="0.3">
      <c r="A401" s="4">
        <v>44503</v>
      </c>
      <c r="B401" s="5">
        <f t="shared" si="63"/>
        <v>11</v>
      </c>
      <c r="C401" s="5">
        <f t="shared" si="64"/>
        <v>2021</v>
      </c>
      <c r="D401" s="5" t="s">
        <v>459</v>
      </c>
      <c r="E401" s="5" t="str">
        <f>VLOOKUP(F401,'Set up'!$A$2:$C$70,2,FALSE)</f>
        <v>C00000020</v>
      </c>
      <c r="F401" s="1" t="s">
        <v>409</v>
      </c>
      <c r="G401" s="74" t="s">
        <v>64</v>
      </c>
      <c r="H401" s="5">
        <v>5</v>
      </c>
      <c r="I401" s="5" t="str">
        <f>VLOOKUP(F401,'Set up'!$A$2:$C$70,3,FALSE)</f>
        <v>Cash</v>
      </c>
      <c r="J401" s="5">
        <f>VLOOKUP(F401,'Set up'!$A$2:$D$70,4,FALSE)</f>
        <v>0</v>
      </c>
      <c r="K401" s="4">
        <f t="shared" si="65"/>
        <v>44503</v>
      </c>
      <c r="L401" s="5">
        <f t="shared" si="66"/>
        <v>11</v>
      </c>
      <c r="M401" s="5">
        <f t="shared" si="67"/>
        <v>2021</v>
      </c>
      <c r="N401" s="6">
        <v>312.5</v>
      </c>
      <c r="O401" s="6">
        <f>-N401</f>
        <v>-312.5</v>
      </c>
      <c r="P401" s="6">
        <f t="shared" si="61"/>
        <v>0</v>
      </c>
      <c r="Q401" s="7">
        <f t="shared" si="68"/>
        <v>620041.85</v>
      </c>
      <c r="R401" s="44" t="str">
        <f>VLOOKUP(F401,'Set up'!$A$2:$E$70,5,FALSE)</f>
        <v>Trsf</v>
      </c>
      <c r="S401" s="1" t="s">
        <v>521</v>
      </c>
    </row>
    <row r="402" spans="1:19" ht="46.8" x14ac:dyDescent="0.3">
      <c r="A402" s="4">
        <v>44503</v>
      </c>
      <c r="B402" s="5">
        <f t="shared" si="63"/>
        <v>11</v>
      </c>
      <c r="C402" s="5">
        <f t="shared" si="64"/>
        <v>2021</v>
      </c>
      <c r="D402" s="5" t="s">
        <v>459</v>
      </c>
      <c r="E402" s="5" t="str">
        <f>VLOOKUP(F402,'Set up'!$A$2:$C$70,2,FALSE)</f>
        <v>C00000020</v>
      </c>
      <c r="F402" s="1" t="s">
        <v>409</v>
      </c>
      <c r="G402" s="74" t="s">
        <v>414</v>
      </c>
      <c r="H402" s="5">
        <v>9</v>
      </c>
      <c r="I402" s="5" t="str">
        <f>VLOOKUP(F402,'Set up'!$A$2:$C$70,3,FALSE)</f>
        <v>Cash</v>
      </c>
      <c r="J402" s="5">
        <f>VLOOKUP(F402,'Set up'!$A$2:$D$70,4,FALSE)</f>
        <v>0</v>
      </c>
      <c r="K402" s="4">
        <f t="shared" si="65"/>
        <v>44503</v>
      </c>
      <c r="L402" s="5">
        <f t="shared" si="66"/>
        <v>11</v>
      </c>
      <c r="M402" s="5">
        <f t="shared" si="67"/>
        <v>2021</v>
      </c>
      <c r="N402" s="6">
        <v>3159</v>
      </c>
      <c r="O402" s="6">
        <f>-1611.3-1547.7</f>
        <v>-3159</v>
      </c>
      <c r="P402" s="6">
        <f t="shared" si="61"/>
        <v>0</v>
      </c>
      <c r="Q402" s="7">
        <f t="shared" si="68"/>
        <v>623200.85</v>
      </c>
      <c r="R402" s="44" t="str">
        <f>VLOOKUP(F402,'Set up'!$A$2:$E$70,5,FALSE)</f>
        <v>Trsf</v>
      </c>
      <c r="S402" s="40" t="s">
        <v>539</v>
      </c>
    </row>
    <row r="403" spans="1:19" x14ac:dyDescent="0.3">
      <c r="A403" s="4">
        <v>44503</v>
      </c>
      <c r="B403" s="5">
        <f t="shared" si="63"/>
        <v>11</v>
      </c>
      <c r="C403" s="5">
        <f t="shared" si="64"/>
        <v>2021</v>
      </c>
      <c r="D403" s="5" t="s">
        <v>459</v>
      </c>
      <c r="E403" s="5" t="str">
        <f>VLOOKUP(F403,'Set up'!$A$2:$C$70,2,FALSE)</f>
        <v>C00000020</v>
      </c>
      <c r="F403" s="1" t="s">
        <v>409</v>
      </c>
      <c r="G403" s="55" t="s">
        <v>381</v>
      </c>
      <c r="H403" s="5">
        <v>4</v>
      </c>
      <c r="I403" s="5" t="str">
        <f>VLOOKUP(F403,'Set up'!$A$2:$C$70,3,FALSE)</f>
        <v>Cash</v>
      </c>
      <c r="J403" s="5">
        <f>VLOOKUP(F403,'Set up'!$A$2:$D$70,4,FALSE)</f>
        <v>0</v>
      </c>
      <c r="K403" s="4">
        <f t="shared" si="65"/>
        <v>44503</v>
      </c>
      <c r="L403" s="5">
        <f t="shared" si="66"/>
        <v>11</v>
      </c>
      <c r="M403" s="5">
        <f t="shared" si="67"/>
        <v>2021</v>
      </c>
      <c r="N403" s="6">
        <v>320</v>
      </c>
      <c r="O403" s="6">
        <f t="shared" ref="O403:O409" si="69">-N403</f>
        <v>-320</v>
      </c>
      <c r="P403" s="6">
        <f t="shared" si="61"/>
        <v>0</v>
      </c>
      <c r="Q403" s="7">
        <f t="shared" si="68"/>
        <v>623520.85</v>
      </c>
      <c r="R403" s="44" t="str">
        <f>VLOOKUP(F403,'Set up'!$A$2:$E$70,5,FALSE)</f>
        <v>Trsf</v>
      </c>
      <c r="S403" s="1" t="s">
        <v>542</v>
      </c>
    </row>
    <row r="404" spans="1:19" ht="28.8" x14ac:dyDescent="0.3">
      <c r="A404" s="4">
        <v>44503</v>
      </c>
      <c r="B404" s="5">
        <f t="shared" si="63"/>
        <v>11</v>
      </c>
      <c r="C404" s="5">
        <f t="shared" si="64"/>
        <v>2021</v>
      </c>
      <c r="D404" s="5" t="s">
        <v>460</v>
      </c>
      <c r="E404" s="5" t="str">
        <f>VLOOKUP(F404,'Set up'!$A$2:$C$70,2,FALSE)</f>
        <v>C00000010</v>
      </c>
      <c r="F404" s="1" t="s">
        <v>62</v>
      </c>
      <c r="G404" s="74" t="s">
        <v>64</v>
      </c>
      <c r="H404" s="5">
        <v>5</v>
      </c>
      <c r="I404" s="5">
        <f>VLOOKUP(F404,'Set up'!$A$2:$C$70,3,FALSE)</f>
        <v>120</v>
      </c>
      <c r="J404" s="5">
        <f>VLOOKUP(F404,'Set up'!$A$2:$D$70,4,FALSE)</f>
        <v>120</v>
      </c>
      <c r="K404" s="4">
        <f t="shared" si="65"/>
        <v>44623</v>
      </c>
      <c r="L404" s="5">
        <f t="shared" si="66"/>
        <v>3</v>
      </c>
      <c r="M404" s="5">
        <f t="shared" si="67"/>
        <v>2022</v>
      </c>
      <c r="N404" s="6">
        <v>275</v>
      </c>
      <c r="O404" s="6">
        <f t="shared" si="69"/>
        <v>-275</v>
      </c>
      <c r="P404" s="6">
        <f t="shared" si="61"/>
        <v>0</v>
      </c>
      <c r="Q404" s="7">
        <f t="shared" si="68"/>
        <v>623795.85</v>
      </c>
      <c r="R404" s="44" t="str">
        <f>VLOOKUP(F404,'Set up'!$A$2:$E$70,5,FALSE)</f>
        <v>Trsf</v>
      </c>
      <c r="S404" s="1" t="s">
        <v>631</v>
      </c>
    </row>
    <row r="405" spans="1:19" x14ac:dyDescent="0.3">
      <c r="A405" s="4">
        <v>44503</v>
      </c>
      <c r="B405" s="5">
        <f t="shared" si="63"/>
        <v>11</v>
      </c>
      <c r="C405" s="5">
        <f t="shared" si="64"/>
        <v>2021</v>
      </c>
      <c r="D405" s="5" t="s">
        <v>460</v>
      </c>
      <c r="E405" s="5" t="str">
        <f>VLOOKUP(F405,'Set up'!$A$2:$C$70,2,FALSE)</f>
        <v>C00000010</v>
      </c>
      <c r="F405" s="1" t="s">
        <v>62</v>
      </c>
      <c r="G405" s="55" t="s">
        <v>381</v>
      </c>
      <c r="H405" s="5">
        <v>4</v>
      </c>
      <c r="I405" s="5">
        <f>VLOOKUP(F405,'Set up'!$A$2:$C$70,3,FALSE)</f>
        <v>120</v>
      </c>
      <c r="J405" s="5">
        <f>VLOOKUP(F405,'Set up'!$A$2:$D$70,4,FALSE)</f>
        <v>120</v>
      </c>
      <c r="K405" s="4">
        <f t="shared" si="65"/>
        <v>44623</v>
      </c>
      <c r="L405" s="5">
        <f t="shared" si="66"/>
        <v>3</v>
      </c>
      <c r="M405" s="5">
        <f t="shared" si="67"/>
        <v>2022</v>
      </c>
      <c r="N405" s="6">
        <v>320</v>
      </c>
      <c r="O405" s="6">
        <f t="shared" si="69"/>
        <v>-320</v>
      </c>
      <c r="P405" s="6">
        <f t="shared" ref="P405:P468" si="70">SUM(N405+O405)</f>
        <v>0</v>
      </c>
      <c r="Q405" s="7">
        <f t="shared" si="68"/>
        <v>624115.85</v>
      </c>
      <c r="R405" s="44" t="str">
        <f>VLOOKUP(F405,'Set up'!$A$2:$E$70,5,FALSE)</f>
        <v>Trsf</v>
      </c>
      <c r="S405" s="1" t="s">
        <v>631</v>
      </c>
    </row>
    <row r="406" spans="1:19" x14ac:dyDescent="0.3">
      <c r="A406" s="4">
        <v>44503</v>
      </c>
      <c r="B406" s="5">
        <f t="shared" si="63"/>
        <v>11</v>
      </c>
      <c r="C406" s="5">
        <f t="shared" si="64"/>
        <v>2021</v>
      </c>
      <c r="D406" s="5" t="s">
        <v>460</v>
      </c>
      <c r="E406" s="5" t="str">
        <f>VLOOKUP(F406,'Set up'!$A$2:$C$70,2,FALSE)</f>
        <v>C00000010</v>
      </c>
      <c r="F406" s="1" t="s">
        <v>62</v>
      </c>
      <c r="G406" s="77" t="s">
        <v>238</v>
      </c>
      <c r="H406" s="5">
        <v>3</v>
      </c>
      <c r="I406" s="5">
        <f>VLOOKUP(F406,'Set up'!$A$2:$C$70,3,FALSE)</f>
        <v>120</v>
      </c>
      <c r="J406" s="5">
        <f>VLOOKUP(F406,'Set up'!$A$2:$D$70,4,FALSE)</f>
        <v>120</v>
      </c>
      <c r="K406" s="4">
        <f t="shared" si="65"/>
        <v>44623</v>
      </c>
      <c r="L406" s="5">
        <f t="shared" si="66"/>
        <v>3</v>
      </c>
      <c r="M406" s="5">
        <f t="shared" si="67"/>
        <v>2022</v>
      </c>
      <c r="N406" s="6">
        <v>1320</v>
      </c>
      <c r="O406" s="6">
        <f t="shared" si="69"/>
        <v>-1320</v>
      </c>
      <c r="P406" s="6">
        <f t="shared" si="70"/>
        <v>0</v>
      </c>
      <c r="Q406" s="7">
        <f t="shared" si="68"/>
        <v>625435.85</v>
      </c>
      <c r="R406" s="44" t="str">
        <f>VLOOKUP(F406,'Set up'!$A$2:$E$70,5,FALSE)</f>
        <v>Trsf</v>
      </c>
      <c r="S406" s="1" t="s">
        <v>631</v>
      </c>
    </row>
    <row r="407" spans="1:19" x14ac:dyDescent="0.3">
      <c r="A407" s="4">
        <v>44503</v>
      </c>
      <c r="B407" s="5">
        <f t="shared" si="63"/>
        <v>11</v>
      </c>
      <c r="C407" s="5">
        <f t="shared" si="64"/>
        <v>2021</v>
      </c>
      <c r="D407" s="5" t="s">
        <v>460</v>
      </c>
      <c r="E407" s="5" t="str">
        <f>VLOOKUP(F407,'Set up'!$A$2:$C$70,2,FALSE)</f>
        <v>C00000010</v>
      </c>
      <c r="F407" s="1" t="s">
        <v>62</v>
      </c>
      <c r="G407" s="55" t="s">
        <v>304</v>
      </c>
      <c r="H407" s="5">
        <v>4</v>
      </c>
      <c r="I407" s="5">
        <f>VLOOKUP(F407,'Set up'!$A$2:$C$70,3,FALSE)</f>
        <v>120</v>
      </c>
      <c r="J407" s="5">
        <f>VLOOKUP(F407,'Set up'!$A$2:$D$70,4,FALSE)</f>
        <v>120</v>
      </c>
      <c r="K407" s="4">
        <f t="shared" si="65"/>
        <v>44623</v>
      </c>
      <c r="L407" s="5">
        <f t="shared" si="66"/>
        <v>3</v>
      </c>
      <c r="M407" s="5">
        <f t="shared" si="67"/>
        <v>2022</v>
      </c>
      <c r="N407" s="6">
        <v>220</v>
      </c>
      <c r="O407" s="6">
        <f t="shared" si="69"/>
        <v>-220</v>
      </c>
      <c r="P407" s="6">
        <f t="shared" si="70"/>
        <v>0</v>
      </c>
      <c r="Q407" s="7">
        <f t="shared" si="68"/>
        <v>625655.85</v>
      </c>
      <c r="R407" s="44" t="str">
        <f>VLOOKUP(F407,'Set up'!$A$2:$E$70,5,FALSE)</f>
        <v>Trsf</v>
      </c>
      <c r="S407" s="1" t="s">
        <v>631</v>
      </c>
    </row>
    <row r="408" spans="1:19" ht="28.8" x14ac:dyDescent="0.3">
      <c r="A408" s="4">
        <v>44506</v>
      </c>
      <c r="B408" s="5">
        <f t="shared" si="63"/>
        <v>11</v>
      </c>
      <c r="C408" s="5">
        <f t="shared" si="64"/>
        <v>2021</v>
      </c>
      <c r="D408" s="5" t="s">
        <v>464</v>
      </c>
      <c r="E408" s="5" t="str">
        <f>VLOOKUP(F408,'Set up'!$A$2:$C$70,2,FALSE)</f>
        <v>C00000020</v>
      </c>
      <c r="F408" s="1" t="s">
        <v>409</v>
      </c>
      <c r="G408" s="74" t="s">
        <v>67</v>
      </c>
      <c r="H408" s="5">
        <v>2</v>
      </c>
      <c r="I408" s="5" t="str">
        <f>VLOOKUP(F408,'Set up'!$A$2:$C$70,3,FALSE)</f>
        <v>Cash</v>
      </c>
      <c r="J408" s="5">
        <f>VLOOKUP(F408,'Set up'!$A$2:$D$70,4,FALSE)</f>
        <v>0</v>
      </c>
      <c r="K408" s="4">
        <f t="shared" si="65"/>
        <v>44506</v>
      </c>
      <c r="L408" s="5">
        <f t="shared" si="66"/>
        <v>11</v>
      </c>
      <c r="M408" s="5">
        <f t="shared" si="67"/>
        <v>2021</v>
      </c>
      <c r="N408" s="6">
        <v>4048</v>
      </c>
      <c r="O408" s="6">
        <f t="shared" si="69"/>
        <v>-4048</v>
      </c>
      <c r="P408" s="6">
        <f t="shared" si="70"/>
        <v>0</v>
      </c>
      <c r="Q408" s="7">
        <f t="shared" si="68"/>
        <v>629703.85</v>
      </c>
      <c r="R408" s="44" t="str">
        <f>VLOOKUP(F408,'Set up'!$A$2:$E$70,5,FALSE)</f>
        <v>Trsf</v>
      </c>
      <c r="S408" s="1" t="s">
        <v>540</v>
      </c>
    </row>
    <row r="409" spans="1:19" ht="28.8" x14ac:dyDescent="0.3">
      <c r="A409" s="4">
        <v>44506</v>
      </c>
      <c r="B409" s="5">
        <f t="shared" si="63"/>
        <v>11</v>
      </c>
      <c r="C409" s="5">
        <f t="shared" si="64"/>
        <v>2021</v>
      </c>
      <c r="D409" s="5" t="s">
        <v>464</v>
      </c>
      <c r="E409" s="5" t="str">
        <f>VLOOKUP(F409,'Set up'!$A$2:$C$70,2,FALSE)</f>
        <v>C00000020</v>
      </c>
      <c r="F409" s="1" t="s">
        <v>409</v>
      </c>
      <c r="G409" s="74" t="s">
        <v>95</v>
      </c>
      <c r="H409" s="5">
        <v>3</v>
      </c>
      <c r="I409" s="5" t="str">
        <f>VLOOKUP(F409,'Set up'!$A$2:$C$70,3,FALSE)</f>
        <v>Cash</v>
      </c>
      <c r="J409" s="5">
        <f>VLOOKUP(F409,'Set up'!$A$2:$D$70,4,FALSE)</f>
        <v>0</v>
      </c>
      <c r="K409" s="4">
        <f t="shared" si="65"/>
        <v>44506</v>
      </c>
      <c r="L409" s="5">
        <f t="shared" si="66"/>
        <v>11</v>
      </c>
      <c r="M409" s="5">
        <f t="shared" si="67"/>
        <v>2021</v>
      </c>
      <c r="N409" s="6">
        <v>6072</v>
      </c>
      <c r="O409" s="6">
        <f t="shared" si="69"/>
        <v>-6072</v>
      </c>
      <c r="P409" s="6">
        <f t="shared" si="70"/>
        <v>0</v>
      </c>
      <c r="Q409" s="7">
        <f t="shared" si="68"/>
        <v>635775.85</v>
      </c>
      <c r="R409" s="44" t="str">
        <f>VLOOKUP(F409,'Set up'!$A$2:$E$70,5,FALSE)</f>
        <v>Trsf</v>
      </c>
      <c r="S409" s="1" t="s">
        <v>543</v>
      </c>
    </row>
    <row r="410" spans="1:19" x14ac:dyDescent="0.3">
      <c r="A410" s="4">
        <v>44506</v>
      </c>
      <c r="B410" s="5">
        <f t="shared" si="63"/>
        <v>11</v>
      </c>
      <c r="C410" s="5">
        <f t="shared" si="64"/>
        <v>2021</v>
      </c>
      <c r="D410" s="5" t="s">
        <v>464</v>
      </c>
      <c r="E410" s="5" t="str">
        <f>VLOOKUP(F410,'Set up'!$A$2:$C$70,2,FALSE)</f>
        <v>C00000020</v>
      </c>
      <c r="F410" s="1" t="s">
        <v>409</v>
      </c>
      <c r="G410" s="56" t="s">
        <v>448</v>
      </c>
      <c r="H410" s="5">
        <v>15</v>
      </c>
      <c r="I410" s="5" t="str">
        <f>VLOOKUP(F410,'Set up'!$A$2:$C$70,3,FALSE)</f>
        <v>Cash</v>
      </c>
      <c r="J410" s="5">
        <f>VLOOKUP(F410,'Set up'!$A$2:$D$70,4,FALSE)</f>
        <v>0</v>
      </c>
      <c r="K410" s="4">
        <f t="shared" si="65"/>
        <v>44506</v>
      </c>
      <c r="L410" s="5">
        <f t="shared" si="66"/>
        <v>11</v>
      </c>
      <c r="M410" s="5">
        <f t="shared" si="67"/>
        <v>2021</v>
      </c>
      <c r="N410" s="6">
        <v>5106</v>
      </c>
      <c r="O410" s="6">
        <f>-512.3-4593.7</f>
        <v>-5106</v>
      </c>
      <c r="P410" s="6">
        <f t="shared" si="70"/>
        <v>0</v>
      </c>
      <c r="Q410" s="7">
        <f t="shared" si="68"/>
        <v>640881.85</v>
      </c>
      <c r="R410" s="44" t="str">
        <f>VLOOKUP(F410,'Set up'!$A$2:$E$70,5,FALSE)</f>
        <v>Trsf</v>
      </c>
      <c r="S410" s="1" t="s">
        <v>571</v>
      </c>
    </row>
    <row r="411" spans="1:19" ht="28.8" x14ac:dyDescent="0.3">
      <c r="A411" s="4">
        <v>44506</v>
      </c>
      <c r="B411" s="5">
        <f t="shared" si="63"/>
        <v>11</v>
      </c>
      <c r="C411" s="5">
        <f t="shared" si="64"/>
        <v>2021</v>
      </c>
      <c r="D411" s="5" t="s">
        <v>464</v>
      </c>
      <c r="E411" s="5" t="str">
        <f>VLOOKUP(F411,'Set up'!$A$2:$C$70,2,FALSE)</f>
        <v>C00000020</v>
      </c>
      <c r="F411" s="1" t="s">
        <v>409</v>
      </c>
      <c r="G411" s="74" t="s">
        <v>64</v>
      </c>
      <c r="H411" s="5">
        <v>5</v>
      </c>
      <c r="I411" s="5" t="str">
        <f>VLOOKUP(F411,'Set up'!$A$2:$C$70,3,FALSE)</f>
        <v>Cash</v>
      </c>
      <c r="J411" s="5">
        <f>VLOOKUP(F411,'Set up'!$A$2:$D$70,4,FALSE)</f>
        <v>0</v>
      </c>
      <c r="K411" s="4">
        <f t="shared" si="65"/>
        <v>44506</v>
      </c>
      <c r="L411" s="5">
        <f t="shared" si="66"/>
        <v>11</v>
      </c>
      <c r="M411" s="5">
        <f t="shared" si="67"/>
        <v>2021</v>
      </c>
      <c r="N411" s="6">
        <v>312.5</v>
      </c>
      <c r="O411" s="6">
        <f t="shared" ref="O411:O420" si="71">-N411</f>
        <v>-312.5</v>
      </c>
      <c r="P411" s="6">
        <f t="shared" si="70"/>
        <v>0</v>
      </c>
      <c r="Q411" s="7">
        <f t="shared" si="68"/>
        <v>641194.35</v>
      </c>
      <c r="R411" s="44" t="str">
        <f>VLOOKUP(F411,'Set up'!$A$2:$E$70,5,FALSE)</f>
        <v>Trsf</v>
      </c>
      <c r="S411" s="1" t="s">
        <v>572</v>
      </c>
    </row>
    <row r="412" spans="1:19" ht="43.2" x14ac:dyDescent="0.3">
      <c r="A412" s="4">
        <v>44506</v>
      </c>
      <c r="B412" s="5">
        <f t="shared" si="63"/>
        <v>11</v>
      </c>
      <c r="C412" s="5">
        <f t="shared" si="64"/>
        <v>2021</v>
      </c>
      <c r="D412" s="5" t="s">
        <v>464</v>
      </c>
      <c r="E412" s="5" t="str">
        <f>VLOOKUP(F412,'Set up'!$A$2:$C$70,2,FALSE)</f>
        <v>C00000020</v>
      </c>
      <c r="F412" s="1" t="s">
        <v>409</v>
      </c>
      <c r="G412" s="74" t="s">
        <v>414</v>
      </c>
      <c r="H412" s="5">
        <v>7</v>
      </c>
      <c r="I412" s="5" t="str">
        <f>VLOOKUP(F412,'Set up'!$A$2:$C$70,3,FALSE)</f>
        <v>Cash</v>
      </c>
      <c r="J412" s="5">
        <f>VLOOKUP(F412,'Set up'!$A$2:$D$70,4,FALSE)</f>
        <v>0</v>
      </c>
      <c r="K412" s="4">
        <f t="shared" si="65"/>
        <v>44506</v>
      </c>
      <c r="L412" s="5">
        <f t="shared" si="66"/>
        <v>11</v>
      </c>
      <c r="M412" s="5">
        <f t="shared" si="67"/>
        <v>2021</v>
      </c>
      <c r="N412" s="6">
        <v>2457</v>
      </c>
      <c r="O412" s="6">
        <f t="shared" si="71"/>
        <v>-2457</v>
      </c>
      <c r="P412" s="6">
        <f t="shared" si="70"/>
        <v>0</v>
      </c>
      <c r="Q412" s="7">
        <f t="shared" si="68"/>
        <v>643651.35</v>
      </c>
      <c r="R412" s="44" t="str">
        <f>VLOOKUP(F412,'Set up'!$A$2:$E$70,5,FALSE)</f>
        <v>Trsf</v>
      </c>
      <c r="S412" s="1" t="s">
        <v>572</v>
      </c>
    </row>
    <row r="413" spans="1:19" x14ac:dyDescent="0.3">
      <c r="A413" s="4">
        <v>44506</v>
      </c>
      <c r="B413" s="5">
        <f t="shared" si="63"/>
        <v>11</v>
      </c>
      <c r="C413" s="5">
        <f t="shared" si="64"/>
        <v>2021</v>
      </c>
      <c r="D413" s="5" t="s">
        <v>464</v>
      </c>
      <c r="E413" s="5" t="str">
        <f>VLOOKUP(F413,'Set up'!$A$2:$C$70,2,FALSE)</f>
        <v>C00000020</v>
      </c>
      <c r="F413" s="1" t="s">
        <v>409</v>
      </c>
      <c r="G413" s="55" t="s">
        <v>381</v>
      </c>
      <c r="H413" s="5">
        <v>4</v>
      </c>
      <c r="I413" s="5" t="str">
        <f>VLOOKUP(F413,'Set up'!$A$2:$C$70,3,FALSE)</f>
        <v>Cash</v>
      </c>
      <c r="J413" s="5">
        <f>VLOOKUP(F413,'Set up'!$A$2:$D$70,4,FALSE)</f>
        <v>0</v>
      </c>
      <c r="K413" s="4">
        <f t="shared" si="65"/>
        <v>44506</v>
      </c>
      <c r="L413" s="5">
        <f t="shared" si="66"/>
        <v>11</v>
      </c>
      <c r="M413" s="5">
        <f t="shared" si="67"/>
        <v>2021</v>
      </c>
      <c r="N413" s="6">
        <v>320</v>
      </c>
      <c r="O413" s="6">
        <f t="shared" si="71"/>
        <v>-320</v>
      </c>
      <c r="P413" s="6">
        <f t="shared" si="70"/>
        <v>0</v>
      </c>
      <c r="Q413" s="7">
        <f t="shared" si="68"/>
        <v>643971.35</v>
      </c>
      <c r="R413" s="44" t="str">
        <f>VLOOKUP(F413,'Set up'!$A$2:$E$70,5,FALSE)</f>
        <v>Trsf</v>
      </c>
      <c r="S413" s="1" t="s">
        <v>572</v>
      </c>
    </row>
    <row r="414" spans="1:19" ht="28.8" x14ac:dyDescent="0.3">
      <c r="A414" s="4">
        <v>44506</v>
      </c>
      <c r="B414" s="5">
        <f t="shared" si="63"/>
        <v>11</v>
      </c>
      <c r="C414" s="5">
        <f t="shared" si="64"/>
        <v>2021</v>
      </c>
      <c r="D414" s="5" t="s">
        <v>464</v>
      </c>
      <c r="E414" s="5" t="str">
        <f>VLOOKUP(F414,'Set up'!$A$2:$C$70,2,FALSE)</f>
        <v>C00000020</v>
      </c>
      <c r="F414" s="1" t="s">
        <v>409</v>
      </c>
      <c r="G414" s="74" t="s">
        <v>429</v>
      </c>
      <c r="H414" s="5">
        <v>1</v>
      </c>
      <c r="I414" s="5" t="str">
        <f>VLOOKUP(F414,'Set up'!$A$2:$C$70,3,FALSE)</f>
        <v>Cash</v>
      </c>
      <c r="J414" s="5">
        <f>VLOOKUP(F414,'Set up'!$A$2:$D$70,4,FALSE)</f>
        <v>0</v>
      </c>
      <c r="K414" s="4">
        <f t="shared" si="65"/>
        <v>44506</v>
      </c>
      <c r="L414" s="5">
        <f t="shared" si="66"/>
        <v>11</v>
      </c>
      <c r="M414" s="5">
        <f t="shared" si="67"/>
        <v>2021</v>
      </c>
      <c r="N414" s="6">
        <v>1000</v>
      </c>
      <c r="O414" s="6">
        <f t="shared" si="71"/>
        <v>-1000</v>
      </c>
      <c r="P414" s="6">
        <f t="shared" si="70"/>
        <v>0</v>
      </c>
      <c r="Q414" s="7">
        <f t="shared" si="68"/>
        <v>644971.35</v>
      </c>
      <c r="R414" s="44" t="str">
        <f>VLOOKUP(F414,'Set up'!$A$2:$E$70,5,FALSE)</f>
        <v>Trsf</v>
      </c>
      <c r="S414" s="1" t="s">
        <v>572</v>
      </c>
    </row>
    <row r="415" spans="1:19" x14ac:dyDescent="0.3">
      <c r="A415" s="4">
        <v>44508</v>
      </c>
      <c r="B415" s="5">
        <f t="shared" si="63"/>
        <v>11</v>
      </c>
      <c r="C415" s="5">
        <f t="shared" si="64"/>
        <v>2021</v>
      </c>
      <c r="D415" s="5" t="s">
        <v>465</v>
      </c>
      <c r="E415" s="5" t="str">
        <f>VLOOKUP(F415,'Set up'!$A$2:$C$70,2,FALSE)</f>
        <v>C00000010</v>
      </c>
      <c r="F415" s="1" t="s">
        <v>62</v>
      </c>
      <c r="G415" s="56" t="s">
        <v>303</v>
      </c>
      <c r="H415" s="5">
        <v>6</v>
      </c>
      <c r="I415" s="5">
        <f>VLOOKUP(F415,'Set up'!$A$2:$C$70,3,FALSE)</f>
        <v>120</v>
      </c>
      <c r="J415" s="5">
        <f>VLOOKUP(F415,'Set up'!$A$2:$D$70,4,FALSE)</f>
        <v>120</v>
      </c>
      <c r="K415" s="4">
        <f t="shared" si="65"/>
        <v>44628</v>
      </c>
      <c r="L415" s="5">
        <f t="shared" si="66"/>
        <v>3</v>
      </c>
      <c r="M415" s="5">
        <f t="shared" si="67"/>
        <v>2022</v>
      </c>
      <c r="N415" s="6">
        <v>12144</v>
      </c>
      <c r="O415" s="6">
        <f t="shared" si="71"/>
        <v>-12144</v>
      </c>
      <c r="P415" s="6">
        <f t="shared" si="70"/>
        <v>0</v>
      </c>
      <c r="Q415" s="7">
        <f t="shared" si="68"/>
        <v>657115.35</v>
      </c>
      <c r="R415" s="44" t="str">
        <f>VLOOKUP(F415,'Set up'!$A$2:$E$70,5,FALSE)</f>
        <v>Trsf</v>
      </c>
      <c r="S415" s="1" t="s">
        <v>631</v>
      </c>
    </row>
    <row r="416" spans="1:19" x14ac:dyDescent="0.3">
      <c r="A416" s="4">
        <v>44508</v>
      </c>
      <c r="B416" s="5">
        <f t="shared" si="63"/>
        <v>11</v>
      </c>
      <c r="C416" s="5">
        <f t="shared" si="64"/>
        <v>2021</v>
      </c>
      <c r="D416" s="5" t="s">
        <v>465</v>
      </c>
      <c r="E416" s="5" t="str">
        <f>VLOOKUP(F416,'Set up'!$A$2:$C$70,2,FALSE)</f>
        <v>C00000010</v>
      </c>
      <c r="F416" s="1" t="s">
        <v>62</v>
      </c>
      <c r="G416" s="56" t="s">
        <v>448</v>
      </c>
      <c r="H416" s="5">
        <v>6</v>
      </c>
      <c r="I416" s="5">
        <f>VLOOKUP(F416,'Set up'!$A$2:$C$70,3,FALSE)</f>
        <v>120</v>
      </c>
      <c r="J416" s="5">
        <f>VLOOKUP(F416,'Set up'!$A$2:$D$70,4,FALSE)</f>
        <v>120</v>
      </c>
      <c r="K416" s="4">
        <f t="shared" si="65"/>
        <v>44628</v>
      </c>
      <c r="L416" s="5">
        <f t="shared" si="66"/>
        <v>3</v>
      </c>
      <c r="M416" s="5">
        <f t="shared" si="67"/>
        <v>2022</v>
      </c>
      <c r="N416" s="6">
        <v>2109</v>
      </c>
      <c r="O416" s="6">
        <f t="shared" si="71"/>
        <v>-2109</v>
      </c>
      <c r="P416" s="6">
        <f t="shared" si="70"/>
        <v>0</v>
      </c>
      <c r="Q416" s="7">
        <f t="shared" si="68"/>
        <v>659224.35</v>
      </c>
      <c r="R416" s="44" t="str">
        <f>VLOOKUP(F416,'Set up'!$A$2:$E$70,5,FALSE)</f>
        <v>Trsf</v>
      </c>
      <c r="S416" s="1" t="s">
        <v>631</v>
      </c>
    </row>
    <row r="417" spans="1:19" ht="28.8" x14ac:dyDescent="0.3">
      <c r="A417" s="4">
        <v>44509</v>
      </c>
      <c r="B417" s="5">
        <f t="shared" si="63"/>
        <v>11</v>
      </c>
      <c r="C417" s="5">
        <f t="shared" si="64"/>
        <v>2021</v>
      </c>
      <c r="D417" s="5" t="s">
        <v>470</v>
      </c>
      <c r="E417" s="5" t="e">
        <f>VLOOKUP(F417,'Set up'!$A$2:$C$70,2,FALSE)</f>
        <v>#N/A</v>
      </c>
      <c r="F417" s="1" t="s">
        <v>469</v>
      </c>
      <c r="G417" s="74" t="s">
        <v>471</v>
      </c>
      <c r="H417" s="5">
        <v>1</v>
      </c>
      <c r="I417" s="5" t="e">
        <f>VLOOKUP(F417,'Set up'!$A$2:$C$70,3,FALSE)</f>
        <v>#N/A</v>
      </c>
      <c r="J417" s="5" t="e">
        <f>VLOOKUP(F417,'Set up'!$A$2:$D$70,4,FALSE)</f>
        <v>#N/A</v>
      </c>
      <c r="K417" s="4" t="e">
        <f t="shared" si="65"/>
        <v>#N/A</v>
      </c>
      <c r="L417" s="5" t="e">
        <f t="shared" si="66"/>
        <v>#N/A</v>
      </c>
      <c r="M417" s="5" t="e">
        <f t="shared" si="67"/>
        <v>#N/A</v>
      </c>
      <c r="N417" s="6">
        <v>240</v>
      </c>
      <c r="O417" s="6">
        <f t="shared" si="71"/>
        <v>-240</v>
      </c>
      <c r="P417" s="6">
        <f t="shared" si="70"/>
        <v>0</v>
      </c>
      <c r="Q417" s="7">
        <f t="shared" si="68"/>
        <v>659464.35</v>
      </c>
      <c r="R417" s="44" t="e">
        <f>VLOOKUP(F417,'Set up'!$A$2:$E$70,5,FALSE)</f>
        <v>#N/A</v>
      </c>
      <c r="S417" s="1" t="s">
        <v>499</v>
      </c>
    </row>
    <row r="418" spans="1:19" ht="28.8" x14ac:dyDescent="0.3">
      <c r="A418" s="4">
        <v>44510</v>
      </c>
      <c r="B418" s="5">
        <f t="shared" si="63"/>
        <v>11</v>
      </c>
      <c r="C418" s="5">
        <f t="shared" si="64"/>
        <v>2021</v>
      </c>
      <c r="D418" s="5" t="s">
        <v>472</v>
      </c>
      <c r="E418" s="5" t="str">
        <f>VLOOKUP(F418,'Set up'!$A$2:$C$70,2,FALSE)</f>
        <v>C00000021</v>
      </c>
      <c r="F418" s="11" t="s">
        <v>491</v>
      </c>
      <c r="G418" s="74" t="s">
        <v>67</v>
      </c>
      <c r="H418" s="5">
        <v>1</v>
      </c>
      <c r="I418" s="5" t="str">
        <f>VLOOKUP(F418,'Set up'!$A$2:$C$70,3,FALSE)</f>
        <v>Cash</v>
      </c>
      <c r="J418" s="5">
        <f>VLOOKUP(F418,'Set up'!$A$2:$D$70,4,FALSE)</f>
        <v>0</v>
      </c>
      <c r="K418" s="4">
        <f t="shared" si="65"/>
        <v>44510</v>
      </c>
      <c r="L418" s="5">
        <f t="shared" si="66"/>
        <v>11</v>
      </c>
      <c r="M418" s="5">
        <f t="shared" si="67"/>
        <v>2021</v>
      </c>
      <c r="N418" s="6">
        <v>2024</v>
      </c>
      <c r="O418" s="6">
        <f t="shared" si="71"/>
        <v>-2024</v>
      </c>
      <c r="P418" s="6">
        <f t="shared" si="70"/>
        <v>0</v>
      </c>
      <c r="Q418" s="7">
        <f t="shared" si="68"/>
        <v>661488.35</v>
      </c>
      <c r="R418" s="44" t="str">
        <f>VLOOKUP(F418,'Set up'!$A$2:$E$70,5,FALSE)</f>
        <v>PD Chq</v>
      </c>
      <c r="S418" s="1" t="s">
        <v>492</v>
      </c>
    </row>
    <row r="419" spans="1:19" x14ac:dyDescent="0.3">
      <c r="A419" s="4">
        <v>44511</v>
      </c>
      <c r="B419" s="5">
        <f t="shared" si="63"/>
        <v>11</v>
      </c>
      <c r="C419" s="5">
        <f t="shared" si="64"/>
        <v>2021</v>
      </c>
      <c r="D419" s="5" t="s">
        <v>473</v>
      </c>
      <c r="E419" s="5" t="str">
        <f>VLOOKUP(F419,'Set up'!$A$2:$C$70,2,FALSE)</f>
        <v>C00000020</v>
      </c>
      <c r="F419" s="1" t="s">
        <v>409</v>
      </c>
      <c r="G419" s="56" t="s">
        <v>303</v>
      </c>
      <c r="H419" s="5">
        <v>10</v>
      </c>
      <c r="I419" s="5" t="str">
        <f>VLOOKUP(F419,'Set up'!$A$2:$C$70,3,FALSE)</f>
        <v>Cash</v>
      </c>
      <c r="J419" s="5">
        <f>VLOOKUP(F419,'Set up'!$A$2:$D$70,4,FALSE)</f>
        <v>0</v>
      </c>
      <c r="K419" s="4">
        <f t="shared" si="65"/>
        <v>44511</v>
      </c>
      <c r="L419" s="5">
        <f t="shared" si="66"/>
        <v>11</v>
      </c>
      <c r="M419" s="5">
        <f t="shared" si="67"/>
        <v>2021</v>
      </c>
      <c r="N419" s="6">
        <v>20680</v>
      </c>
      <c r="O419" s="6">
        <f t="shared" si="71"/>
        <v>-20680</v>
      </c>
      <c r="P419" s="6">
        <f t="shared" si="70"/>
        <v>0</v>
      </c>
      <c r="Q419" s="7">
        <f t="shared" si="68"/>
        <v>682168.35</v>
      </c>
      <c r="R419" s="44" t="str">
        <f>VLOOKUP(F419,'Set up'!$A$2:$E$70,5,FALSE)</f>
        <v>Trsf</v>
      </c>
      <c r="S419" s="1" t="s">
        <v>572</v>
      </c>
    </row>
    <row r="420" spans="1:19" x14ac:dyDescent="0.3">
      <c r="A420" s="4">
        <v>44511</v>
      </c>
      <c r="B420" s="5">
        <f t="shared" si="63"/>
        <v>11</v>
      </c>
      <c r="C420" s="5">
        <f t="shared" si="64"/>
        <v>2021</v>
      </c>
      <c r="D420" s="5" t="s">
        <v>473</v>
      </c>
      <c r="E420" s="5" t="str">
        <f>VLOOKUP(F420,'Set up'!$A$2:$C$70,2,FALSE)</f>
        <v>C00000020</v>
      </c>
      <c r="F420" s="1" t="s">
        <v>409</v>
      </c>
      <c r="G420" s="56" t="s">
        <v>448</v>
      </c>
      <c r="H420" s="5">
        <v>15</v>
      </c>
      <c r="I420" s="5" t="str">
        <f>VLOOKUP(F420,'Set up'!$A$2:$C$70,3,FALSE)</f>
        <v>Cash</v>
      </c>
      <c r="J420" s="5">
        <f>VLOOKUP(F420,'Set up'!$A$2:$D$70,4,FALSE)</f>
        <v>0</v>
      </c>
      <c r="K420" s="4">
        <f t="shared" si="65"/>
        <v>44511</v>
      </c>
      <c r="L420" s="5">
        <f t="shared" si="66"/>
        <v>11</v>
      </c>
      <c r="M420" s="5">
        <f t="shared" si="67"/>
        <v>2021</v>
      </c>
      <c r="N420" s="6">
        <v>5328</v>
      </c>
      <c r="O420" s="6">
        <f t="shared" si="71"/>
        <v>-5328</v>
      </c>
      <c r="P420" s="6">
        <f t="shared" si="70"/>
        <v>0</v>
      </c>
      <c r="Q420" s="7">
        <f t="shared" si="68"/>
        <v>687496.35</v>
      </c>
      <c r="R420" s="44" t="str">
        <f>VLOOKUP(F420,'Set up'!$A$2:$E$70,5,FALSE)</f>
        <v>Trsf</v>
      </c>
      <c r="S420" s="1" t="s">
        <v>572</v>
      </c>
    </row>
    <row r="421" spans="1:19" ht="43.2" x14ac:dyDescent="0.3">
      <c r="A421" s="4">
        <v>44511</v>
      </c>
      <c r="B421" s="5">
        <f t="shared" si="63"/>
        <v>11</v>
      </c>
      <c r="C421" s="5">
        <f t="shared" si="64"/>
        <v>2021</v>
      </c>
      <c r="D421" s="5" t="s">
        <v>473</v>
      </c>
      <c r="E421" s="5" t="str">
        <f>VLOOKUP(F421,'Set up'!$A$2:$C$70,2,FALSE)</f>
        <v>C00000020</v>
      </c>
      <c r="F421" s="1" t="s">
        <v>409</v>
      </c>
      <c r="G421" s="74" t="s">
        <v>414</v>
      </c>
      <c r="H421" s="5">
        <v>14</v>
      </c>
      <c r="I421" s="5" t="str">
        <f>VLOOKUP(F421,'Set up'!$A$2:$C$70,3,FALSE)</f>
        <v>Cash</v>
      </c>
      <c r="J421" s="5">
        <f>VLOOKUP(F421,'Set up'!$A$2:$D$70,4,FALSE)</f>
        <v>0</v>
      </c>
      <c r="K421" s="4">
        <f t="shared" si="65"/>
        <v>44511</v>
      </c>
      <c r="L421" s="5">
        <f t="shared" si="66"/>
        <v>11</v>
      </c>
      <c r="M421" s="5">
        <f t="shared" si="67"/>
        <v>2021</v>
      </c>
      <c r="N421" s="6">
        <v>4914</v>
      </c>
      <c r="O421" s="6">
        <f>-2808.8-2105.2</f>
        <v>-4914</v>
      </c>
      <c r="P421" s="6">
        <f t="shared" si="70"/>
        <v>0</v>
      </c>
      <c r="Q421" s="7">
        <f t="shared" si="68"/>
        <v>692410.35</v>
      </c>
      <c r="R421" s="44" t="str">
        <f>VLOOKUP(F421,'Set up'!$A$2:$E$70,5,FALSE)</f>
        <v>Trsf</v>
      </c>
      <c r="S421" s="1" t="s">
        <v>573</v>
      </c>
    </row>
    <row r="422" spans="1:19" ht="28.8" x14ac:dyDescent="0.3">
      <c r="A422" s="4">
        <v>44511</v>
      </c>
      <c r="B422" s="5">
        <f t="shared" si="63"/>
        <v>11</v>
      </c>
      <c r="C422" s="5">
        <f t="shared" si="64"/>
        <v>2021</v>
      </c>
      <c r="D422" s="5" t="s">
        <v>473</v>
      </c>
      <c r="E422" s="5" t="str">
        <f>VLOOKUP(F422,'Set up'!$A$2:$C$70,2,FALSE)</f>
        <v>C00000020</v>
      </c>
      <c r="F422" s="1" t="s">
        <v>409</v>
      </c>
      <c r="G422" s="74" t="s">
        <v>64</v>
      </c>
      <c r="H422" s="5">
        <v>4</v>
      </c>
      <c r="I422" s="5" t="str">
        <f>VLOOKUP(F422,'Set up'!$A$2:$C$70,3,FALSE)</f>
        <v>Cash</v>
      </c>
      <c r="J422" s="5">
        <f>VLOOKUP(F422,'Set up'!$A$2:$D$70,4,FALSE)</f>
        <v>0</v>
      </c>
      <c r="K422" s="4">
        <f t="shared" si="65"/>
        <v>44511</v>
      </c>
      <c r="L422" s="5">
        <f t="shared" si="66"/>
        <v>11</v>
      </c>
      <c r="M422" s="5">
        <f t="shared" si="67"/>
        <v>2021</v>
      </c>
      <c r="N422" s="6">
        <v>250</v>
      </c>
      <c r="O422" s="6">
        <f t="shared" ref="O422:O456" si="72">-N422</f>
        <v>-250</v>
      </c>
      <c r="P422" s="6">
        <f t="shared" si="70"/>
        <v>0</v>
      </c>
      <c r="Q422" s="7">
        <f t="shared" si="68"/>
        <v>692660.35</v>
      </c>
      <c r="R422" s="44" t="str">
        <f>VLOOKUP(F422,'Set up'!$A$2:$E$70,5,FALSE)</f>
        <v>Trsf</v>
      </c>
      <c r="S422" s="1" t="s">
        <v>574</v>
      </c>
    </row>
    <row r="423" spans="1:19" ht="28.8" x14ac:dyDescent="0.3">
      <c r="A423" s="4">
        <v>44511</v>
      </c>
      <c r="B423" s="5">
        <f t="shared" si="63"/>
        <v>11</v>
      </c>
      <c r="C423" s="5">
        <f t="shared" si="64"/>
        <v>2021</v>
      </c>
      <c r="D423" s="5" t="s">
        <v>473</v>
      </c>
      <c r="E423" s="5" t="str">
        <f>VLOOKUP(F423,'Set up'!$A$2:$C$70,2,FALSE)</f>
        <v>C00000020</v>
      </c>
      <c r="F423" s="1" t="s">
        <v>409</v>
      </c>
      <c r="G423" s="74" t="s">
        <v>429</v>
      </c>
      <c r="H423" s="5">
        <v>2</v>
      </c>
      <c r="I423" s="5" t="str">
        <f>VLOOKUP(F423,'Set up'!$A$2:$C$70,3,FALSE)</f>
        <v>Cash</v>
      </c>
      <c r="J423" s="5">
        <f>VLOOKUP(F423,'Set up'!$A$2:$D$70,4,FALSE)</f>
        <v>0</v>
      </c>
      <c r="K423" s="4">
        <f t="shared" si="65"/>
        <v>44511</v>
      </c>
      <c r="L423" s="5">
        <f t="shared" si="66"/>
        <v>11</v>
      </c>
      <c r="M423" s="5">
        <f t="shared" si="67"/>
        <v>2021</v>
      </c>
      <c r="N423" s="6">
        <v>2000</v>
      </c>
      <c r="O423" s="6">
        <f t="shared" si="72"/>
        <v>-2000</v>
      </c>
      <c r="P423" s="6">
        <f t="shared" si="70"/>
        <v>0</v>
      </c>
      <c r="Q423" s="7">
        <f t="shared" si="68"/>
        <v>694660.35</v>
      </c>
      <c r="R423" s="44" t="str">
        <f>VLOOKUP(F423,'Set up'!$A$2:$E$70,5,FALSE)</f>
        <v>Trsf</v>
      </c>
      <c r="S423" s="1" t="s">
        <v>574</v>
      </c>
    </row>
    <row r="424" spans="1:19" ht="28.8" x14ac:dyDescent="0.3">
      <c r="A424" s="4">
        <v>44511</v>
      </c>
      <c r="B424" s="5">
        <f t="shared" si="63"/>
        <v>11</v>
      </c>
      <c r="C424" s="5">
        <f t="shared" si="64"/>
        <v>2021</v>
      </c>
      <c r="D424" s="5" t="s">
        <v>475</v>
      </c>
      <c r="E424" s="5" t="str">
        <f>VLOOKUP(F424,'Set up'!$A$2:$C$70,2,FALSE)</f>
        <v>C00000020</v>
      </c>
      <c r="F424" s="1" t="s">
        <v>409</v>
      </c>
      <c r="G424" s="74" t="s">
        <v>64</v>
      </c>
      <c r="H424" s="5">
        <v>5</v>
      </c>
      <c r="I424" s="5" t="str">
        <f>VLOOKUP(F424,'Set up'!$A$2:$C$70,3,FALSE)</f>
        <v>Cash</v>
      </c>
      <c r="J424" s="5">
        <f>VLOOKUP(F424,'Set up'!$A$2:$D$70,4,FALSE)</f>
        <v>0</v>
      </c>
      <c r="K424" s="4">
        <f t="shared" si="65"/>
        <v>44511</v>
      </c>
      <c r="L424" s="5">
        <f t="shared" si="66"/>
        <v>11</v>
      </c>
      <c r="M424" s="5">
        <f t="shared" si="67"/>
        <v>2021</v>
      </c>
      <c r="N424" s="6">
        <v>312.5</v>
      </c>
      <c r="O424" s="6">
        <f t="shared" si="72"/>
        <v>-312.5</v>
      </c>
      <c r="P424" s="6">
        <f t="shared" si="70"/>
        <v>0</v>
      </c>
      <c r="Q424" s="7">
        <f t="shared" si="68"/>
        <v>694972.85</v>
      </c>
      <c r="R424" s="44" t="str">
        <f>VLOOKUP(F424,'Set up'!$A$2:$E$70,5,FALSE)</f>
        <v>Trsf</v>
      </c>
      <c r="S424" s="1" t="s">
        <v>574</v>
      </c>
    </row>
    <row r="425" spans="1:19" ht="28.8" x14ac:dyDescent="0.3">
      <c r="A425" s="4">
        <v>44513</v>
      </c>
      <c r="B425" s="5">
        <f t="shared" si="63"/>
        <v>11</v>
      </c>
      <c r="C425" s="5">
        <f t="shared" si="64"/>
        <v>2021</v>
      </c>
      <c r="D425" s="5" t="s">
        <v>476</v>
      </c>
      <c r="E425" s="5" t="e">
        <f>VLOOKUP(F425,'Set up'!$A$2:$C$70,2,FALSE)</f>
        <v>#N/A</v>
      </c>
      <c r="F425" s="1" t="s">
        <v>228</v>
      </c>
      <c r="G425" s="74" t="s">
        <v>67</v>
      </c>
      <c r="H425" s="5">
        <v>1</v>
      </c>
      <c r="I425" s="5" t="e">
        <f>VLOOKUP(F425,'Set up'!$A$2:$C$70,3,FALSE)</f>
        <v>#N/A</v>
      </c>
      <c r="J425" s="5" t="e">
        <f>VLOOKUP(F425,'Set up'!$A$2:$D$70,4,FALSE)</f>
        <v>#N/A</v>
      </c>
      <c r="K425" s="4" t="e">
        <f t="shared" si="65"/>
        <v>#N/A</v>
      </c>
      <c r="L425" s="5" t="e">
        <f t="shared" si="66"/>
        <v>#N/A</v>
      </c>
      <c r="M425" s="5" t="e">
        <f t="shared" si="67"/>
        <v>#N/A</v>
      </c>
      <c r="N425" s="6">
        <v>2090</v>
      </c>
      <c r="O425" s="6">
        <f t="shared" si="72"/>
        <v>-2090</v>
      </c>
      <c r="P425" s="6">
        <f t="shared" si="70"/>
        <v>0</v>
      </c>
      <c r="Q425" s="7">
        <f t="shared" si="68"/>
        <v>697062.85</v>
      </c>
      <c r="R425" s="44" t="e">
        <f>VLOOKUP(F425,'Set up'!$A$2:$E$70,5,FALSE)</f>
        <v>#N/A</v>
      </c>
      <c r="S425" s="1" t="s">
        <v>497</v>
      </c>
    </row>
    <row r="426" spans="1:19" ht="28.8" x14ac:dyDescent="0.3">
      <c r="A426" s="4">
        <v>44513</v>
      </c>
      <c r="B426" s="5">
        <f t="shared" si="63"/>
        <v>11</v>
      </c>
      <c r="C426" s="5">
        <f t="shared" si="64"/>
        <v>2021</v>
      </c>
      <c r="D426" s="5" t="s">
        <v>476</v>
      </c>
      <c r="E426" s="5" t="e">
        <f>VLOOKUP(F426,'Set up'!$A$2:$C$70,2,FALSE)</f>
        <v>#N/A</v>
      </c>
      <c r="F426" s="1" t="s">
        <v>228</v>
      </c>
      <c r="G426" s="74" t="s">
        <v>417</v>
      </c>
      <c r="H426" s="5">
        <v>2</v>
      </c>
      <c r="I426" s="5" t="e">
        <f>VLOOKUP(F426,'Set up'!$A$2:$C$70,3,FALSE)</f>
        <v>#N/A</v>
      </c>
      <c r="J426" s="5" t="e">
        <f>VLOOKUP(F426,'Set up'!$A$2:$D$70,4,FALSE)</f>
        <v>#N/A</v>
      </c>
      <c r="K426" s="4" t="e">
        <f t="shared" si="65"/>
        <v>#N/A</v>
      </c>
      <c r="L426" s="5" t="e">
        <f t="shared" si="66"/>
        <v>#N/A</v>
      </c>
      <c r="M426" s="5" t="e">
        <f t="shared" si="67"/>
        <v>#N/A</v>
      </c>
      <c r="N426" s="6">
        <v>120</v>
      </c>
      <c r="O426" s="6">
        <f t="shared" si="72"/>
        <v>-120</v>
      </c>
      <c r="P426" s="6">
        <f t="shared" si="70"/>
        <v>0</v>
      </c>
      <c r="Q426" s="7">
        <f t="shared" si="68"/>
        <v>697182.85</v>
      </c>
      <c r="R426" s="44" t="e">
        <f>VLOOKUP(F426,'Set up'!$A$2:$E$70,5,FALSE)</f>
        <v>#N/A</v>
      </c>
      <c r="S426" s="1" t="s">
        <v>496</v>
      </c>
    </row>
    <row r="427" spans="1:19" x14ac:dyDescent="0.3">
      <c r="A427" s="4">
        <v>44513</v>
      </c>
      <c r="B427" s="5">
        <f t="shared" si="63"/>
        <v>11</v>
      </c>
      <c r="C427" s="5">
        <f t="shared" si="64"/>
        <v>2021</v>
      </c>
      <c r="D427" s="5" t="s">
        <v>476</v>
      </c>
      <c r="E427" s="5" t="e">
        <f>VLOOKUP(F427,'Set up'!$A$2:$C$70,2,FALSE)</f>
        <v>#N/A</v>
      </c>
      <c r="F427" s="1" t="s">
        <v>228</v>
      </c>
      <c r="G427" s="11" t="s">
        <v>24</v>
      </c>
      <c r="H427" s="5">
        <v>2</v>
      </c>
      <c r="I427" s="5" t="e">
        <f>VLOOKUP(F427,'Set up'!$A$2:$C$70,3,FALSE)</f>
        <v>#N/A</v>
      </c>
      <c r="J427" s="5" t="e">
        <f>VLOOKUP(F427,'Set up'!$A$2:$D$70,4,FALSE)</f>
        <v>#N/A</v>
      </c>
      <c r="K427" s="4" t="e">
        <f t="shared" si="65"/>
        <v>#N/A</v>
      </c>
      <c r="L427" s="5" t="e">
        <f t="shared" si="66"/>
        <v>#N/A</v>
      </c>
      <c r="M427" s="5" t="e">
        <f t="shared" si="67"/>
        <v>#N/A</v>
      </c>
      <c r="N427" s="6">
        <v>540</v>
      </c>
      <c r="O427" s="6">
        <f t="shared" si="72"/>
        <v>-540</v>
      </c>
      <c r="P427" s="6">
        <f t="shared" si="70"/>
        <v>0</v>
      </c>
      <c r="Q427" s="7">
        <f t="shared" si="68"/>
        <v>697722.85</v>
      </c>
      <c r="R427" s="44" t="e">
        <f>VLOOKUP(F427,'Set up'!$A$2:$E$70,5,FALSE)</f>
        <v>#N/A</v>
      </c>
      <c r="S427" s="1" t="s">
        <v>496</v>
      </c>
    </row>
    <row r="428" spans="1:19" ht="43.2" x14ac:dyDescent="0.3">
      <c r="A428" s="4">
        <v>44513</v>
      </c>
      <c r="B428" s="5">
        <f t="shared" si="63"/>
        <v>11</v>
      </c>
      <c r="C428" s="5">
        <f t="shared" si="64"/>
        <v>2021</v>
      </c>
      <c r="D428" s="5" t="s">
        <v>476</v>
      </c>
      <c r="E428" s="5" t="e">
        <f>VLOOKUP(F428,'Set up'!$A$2:$C$70,2,FALSE)</f>
        <v>#N/A</v>
      </c>
      <c r="F428" s="1" t="s">
        <v>228</v>
      </c>
      <c r="G428" s="84" t="s">
        <v>234</v>
      </c>
      <c r="H428" s="5">
        <v>2</v>
      </c>
      <c r="I428" s="5" t="e">
        <f>VLOOKUP(F428,'Set up'!$A$2:$C$70,3,FALSE)</f>
        <v>#N/A</v>
      </c>
      <c r="J428" s="5" t="e">
        <f>VLOOKUP(F428,'Set up'!$A$2:$D$70,4,FALSE)</f>
        <v>#N/A</v>
      </c>
      <c r="K428" s="4" t="e">
        <f t="shared" si="65"/>
        <v>#N/A</v>
      </c>
      <c r="L428" s="5" t="e">
        <f t="shared" si="66"/>
        <v>#N/A</v>
      </c>
      <c r="M428" s="5" t="e">
        <f t="shared" si="67"/>
        <v>#N/A</v>
      </c>
      <c r="N428" s="6">
        <v>320</v>
      </c>
      <c r="O428" s="6">
        <f t="shared" si="72"/>
        <v>-320</v>
      </c>
      <c r="P428" s="6">
        <f t="shared" si="70"/>
        <v>0</v>
      </c>
      <c r="Q428" s="7">
        <f t="shared" si="68"/>
        <v>698042.85</v>
      </c>
      <c r="R428" s="44" t="e">
        <f>VLOOKUP(F428,'Set up'!$A$2:$E$70,5,FALSE)</f>
        <v>#N/A</v>
      </c>
      <c r="S428" s="1" t="s">
        <v>496</v>
      </c>
    </row>
    <row r="429" spans="1:19" x14ac:dyDescent="0.3">
      <c r="A429" s="4">
        <v>44513</v>
      </c>
      <c r="B429" s="5">
        <f t="shared" si="63"/>
        <v>11</v>
      </c>
      <c r="C429" s="5">
        <f t="shared" si="64"/>
        <v>2021</v>
      </c>
      <c r="D429" s="5" t="s">
        <v>477</v>
      </c>
      <c r="E429" s="5" t="str">
        <f>VLOOKUP(F429,'Set up'!$A$2:$C$70,2,FALSE)</f>
        <v>C00000019</v>
      </c>
      <c r="F429" s="1" t="s">
        <v>400</v>
      </c>
      <c r="G429" s="56" t="s">
        <v>303</v>
      </c>
      <c r="H429" s="5">
        <v>2</v>
      </c>
      <c r="I429" s="5" t="str">
        <f>VLOOKUP(F429,'Set up'!$A$2:$C$70,3,FALSE)</f>
        <v>Cash</v>
      </c>
      <c r="J429" s="5">
        <f>VLOOKUP(F429,'Set up'!$A$2:$D$70,4,FALSE)</f>
        <v>0</v>
      </c>
      <c r="K429" s="4">
        <f t="shared" si="65"/>
        <v>44513</v>
      </c>
      <c r="L429" s="5">
        <f t="shared" si="66"/>
        <v>11</v>
      </c>
      <c r="M429" s="5">
        <f t="shared" si="67"/>
        <v>2021</v>
      </c>
      <c r="N429" s="6">
        <v>4048</v>
      </c>
      <c r="O429" s="6">
        <f t="shared" si="72"/>
        <v>-4048</v>
      </c>
      <c r="P429" s="6">
        <f t="shared" si="70"/>
        <v>0</v>
      </c>
      <c r="Q429" s="7">
        <f t="shared" si="68"/>
        <v>702090.85</v>
      </c>
      <c r="R429" s="44" t="str">
        <f>VLOOKUP(F429,'Set up'!$A$2:$E$70,5,FALSE)</f>
        <v>Trsf</v>
      </c>
      <c r="S429" s="1" t="s">
        <v>495</v>
      </c>
    </row>
    <row r="430" spans="1:19" x14ac:dyDescent="0.3">
      <c r="A430" s="4">
        <v>44513</v>
      </c>
      <c r="B430" s="5">
        <f t="shared" si="63"/>
        <v>11</v>
      </c>
      <c r="C430" s="5">
        <f t="shared" si="64"/>
        <v>2021</v>
      </c>
      <c r="D430" s="5" t="s">
        <v>477</v>
      </c>
      <c r="E430" s="5" t="str">
        <f>VLOOKUP(F430,'Set up'!$A$2:$C$70,2,FALSE)</f>
        <v>C00000019</v>
      </c>
      <c r="F430" s="1" t="s">
        <v>400</v>
      </c>
      <c r="G430" s="85" t="s">
        <v>478</v>
      </c>
      <c r="H430" s="5">
        <v>2</v>
      </c>
      <c r="I430" s="5" t="str">
        <f>VLOOKUP(F430,'Set up'!$A$2:$C$70,3,FALSE)</f>
        <v>Cash</v>
      </c>
      <c r="J430" s="5">
        <f>VLOOKUP(F430,'Set up'!$A$2:$D$70,4,FALSE)</f>
        <v>0</v>
      </c>
      <c r="K430" s="4">
        <f t="shared" si="65"/>
        <v>44513</v>
      </c>
      <c r="L430" s="5">
        <f t="shared" si="66"/>
        <v>11</v>
      </c>
      <c r="M430" s="5">
        <f t="shared" si="67"/>
        <v>2021</v>
      </c>
      <c r="N430" s="6">
        <v>993.6</v>
      </c>
      <c r="O430" s="6">
        <f t="shared" si="72"/>
        <v>-993.6</v>
      </c>
      <c r="P430" s="6">
        <f t="shared" si="70"/>
        <v>0</v>
      </c>
      <c r="Q430" s="7">
        <f t="shared" si="68"/>
        <v>703084.45</v>
      </c>
      <c r="R430" s="44" t="str">
        <f>VLOOKUP(F430,'Set up'!$A$2:$E$70,5,FALSE)</f>
        <v>Trsf</v>
      </c>
      <c r="S430" s="1" t="s">
        <v>495</v>
      </c>
    </row>
    <row r="431" spans="1:19" ht="28.8" x14ac:dyDescent="0.3">
      <c r="A431" s="4">
        <v>44513</v>
      </c>
      <c r="B431" s="5">
        <f t="shared" si="63"/>
        <v>11</v>
      </c>
      <c r="C431" s="5">
        <f t="shared" si="64"/>
        <v>2021</v>
      </c>
      <c r="D431" s="5" t="s">
        <v>477</v>
      </c>
      <c r="E431" s="5" t="str">
        <f>VLOOKUP(F431,'Set up'!$A$2:$C$70,2,FALSE)</f>
        <v>C00000019</v>
      </c>
      <c r="F431" s="1" t="s">
        <v>400</v>
      </c>
      <c r="G431" s="74" t="s">
        <v>64</v>
      </c>
      <c r="H431" s="5">
        <v>2</v>
      </c>
      <c r="I431" s="5" t="str">
        <f>VLOOKUP(F431,'Set up'!$A$2:$C$70,3,FALSE)</f>
        <v>Cash</v>
      </c>
      <c r="J431" s="5">
        <f>VLOOKUP(F431,'Set up'!$A$2:$D$70,4,FALSE)</f>
        <v>0</v>
      </c>
      <c r="K431" s="4">
        <f t="shared" si="65"/>
        <v>44513</v>
      </c>
      <c r="L431" s="5">
        <f t="shared" si="66"/>
        <v>11</v>
      </c>
      <c r="M431" s="5">
        <f t="shared" si="67"/>
        <v>2021</v>
      </c>
      <c r="N431" s="6">
        <v>125</v>
      </c>
      <c r="O431" s="6">
        <f t="shared" si="72"/>
        <v>-125</v>
      </c>
      <c r="P431" s="6">
        <f t="shared" si="70"/>
        <v>0</v>
      </c>
      <c r="Q431" s="7">
        <f t="shared" si="68"/>
        <v>703209.45</v>
      </c>
      <c r="R431" s="44" t="str">
        <f>VLOOKUP(F431,'Set up'!$A$2:$E$70,5,FALSE)</f>
        <v>Trsf</v>
      </c>
      <c r="S431" s="1" t="s">
        <v>495</v>
      </c>
    </row>
    <row r="432" spans="1:19" x14ac:dyDescent="0.3">
      <c r="A432" s="4">
        <v>44513</v>
      </c>
      <c r="B432" s="5">
        <f t="shared" si="63"/>
        <v>11</v>
      </c>
      <c r="C432" s="5">
        <f t="shared" si="64"/>
        <v>2021</v>
      </c>
      <c r="D432" s="5" t="s">
        <v>477</v>
      </c>
      <c r="E432" s="5" t="str">
        <f>VLOOKUP(F432,'Set up'!$A$2:$C$70,2,FALSE)</f>
        <v>C00000019</v>
      </c>
      <c r="F432" s="1" t="s">
        <v>400</v>
      </c>
      <c r="G432" s="56" t="s">
        <v>46</v>
      </c>
      <c r="H432" s="5">
        <v>2</v>
      </c>
      <c r="I432" s="5" t="str">
        <f>VLOOKUP(F432,'Set up'!$A$2:$C$70,3,FALSE)</f>
        <v>Cash</v>
      </c>
      <c r="J432" s="5">
        <f>VLOOKUP(F432,'Set up'!$A$2:$D$70,4,FALSE)</f>
        <v>0</v>
      </c>
      <c r="K432" s="4">
        <f t="shared" si="65"/>
        <v>44513</v>
      </c>
      <c r="L432" s="5">
        <f t="shared" si="66"/>
        <v>11</v>
      </c>
      <c r="M432" s="5">
        <f t="shared" si="67"/>
        <v>2021</v>
      </c>
      <c r="N432" s="6">
        <v>200</v>
      </c>
      <c r="O432" s="6">
        <f t="shared" si="72"/>
        <v>-200</v>
      </c>
      <c r="P432" s="6">
        <f t="shared" si="70"/>
        <v>0</v>
      </c>
      <c r="Q432" s="7">
        <f t="shared" si="68"/>
        <v>703409.45</v>
      </c>
      <c r="R432" s="44" t="str">
        <f>VLOOKUP(F432,'Set up'!$A$2:$E$70,5,FALSE)</f>
        <v>Trsf</v>
      </c>
      <c r="S432" s="1" t="s">
        <v>495</v>
      </c>
    </row>
    <row r="433" spans="1:19" ht="31.2" x14ac:dyDescent="0.3">
      <c r="A433" s="4">
        <v>44523</v>
      </c>
      <c r="B433" s="5">
        <f t="shared" si="63"/>
        <v>11</v>
      </c>
      <c r="C433" s="5">
        <f t="shared" si="64"/>
        <v>2021</v>
      </c>
      <c r="D433" s="5" t="s">
        <v>480</v>
      </c>
      <c r="E433" s="5" t="str">
        <f>VLOOKUP(F433,'Set up'!$A$2:$C$70,2,FALSE)</f>
        <v>C00000003</v>
      </c>
      <c r="F433" s="1" t="s">
        <v>20</v>
      </c>
      <c r="G433" s="74" t="s">
        <v>67</v>
      </c>
      <c r="H433" s="5">
        <v>1</v>
      </c>
      <c r="I433" s="5">
        <f>VLOOKUP(F433,'Set up'!$A$2:$C$70,3,FALSE)</f>
        <v>45</v>
      </c>
      <c r="J433" s="5">
        <f>VLOOKUP(F433,'Set up'!$A$2:$D$70,4,FALSE)</f>
        <v>45</v>
      </c>
      <c r="K433" s="4">
        <f t="shared" si="65"/>
        <v>44568</v>
      </c>
      <c r="L433" s="5">
        <f t="shared" si="66"/>
        <v>1</v>
      </c>
      <c r="M433" s="5">
        <f t="shared" si="67"/>
        <v>2022</v>
      </c>
      <c r="N433" s="6">
        <v>2024</v>
      </c>
      <c r="O433" s="6">
        <f t="shared" si="72"/>
        <v>-2024</v>
      </c>
      <c r="P433" s="6">
        <f t="shared" si="70"/>
        <v>0</v>
      </c>
      <c r="Q433" s="7">
        <f t="shared" si="68"/>
        <v>705433.45</v>
      </c>
      <c r="R433" s="44" t="str">
        <f>VLOOKUP(F433,'Set up'!$A$2:$E$70,5,FALSE)</f>
        <v>PD Chq</v>
      </c>
      <c r="S433" s="40" t="s">
        <v>622</v>
      </c>
    </row>
    <row r="434" spans="1:19" ht="31.2" x14ac:dyDescent="0.3">
      <c r="A434" s="4">
        <v>44523</v>
      </c>
      <c r="B434" s="5">
        <f t="shared" si="63"/>
        <v>11</v>
      </c>
      <c r="C434" s="5">
        <f t="shared" si="64"/>
        <v>2021</v>
      </c>
      <c r="D434" s="5" t="s">
        <v>480</v>
      </c>
      <c r="E434" s="5" t="str">
        <f>VLOOKUP(F434,'Set up'!$A$2:$C$70,2,FALSE)</f>
        <v>C00000003</v>
      </c>
      <c r="F434" s="1" t="s">
        <v>20</v>
      </c>
      <c r="G434" s="55" t="s">
        <v>381</v>
      </c>
      <c r="H434" s="5">
        <v>2</v>
      </c>
      <c r="I434" s="5">
        <f>VLOOKUP(F434,'Set up'!$A$2:$C$70,3,FALSE)</f>
        <v>45</v>
      </c>
      <c r="J434" s="5">
        <f>VLOOKUP(F434,'Set up'!$A$2:$D$70,4,FALSE)</f>
        <v>45</v>
      </c>
      <c r="K434" s="4">
        <f t="shared" si="65"/>
        <v>44568</v>
      </c>
      <c r="L434" s="5">
        <f t="shared" si="66"/>
        <v>1</v>
      </c>
      <c r="M434" s="5">
        <f t="shared" si="67"/>
        <v>2022</v>
      </c>
      <c r="N434" s="6">
        <v>170</v>
      </c>
      <c r="O434" s="6">
        <f t="shared" si="72"/>
        <v>-170</v>
      </c>
      <c r="P434" s="6">
        <f t="shared" si="70"/>
        <v>0</v>
      </c>
      <c r="Q434" s="7">
        <f t="shared" si="68"/>
        <v>705603.45</v>
      </c>
      <c r="R434" s="44" t="str">
        <f>VLOOKUP(F434,'Set up'!$A$2:$E$70,5,FALSE)</f>
        <v>PD Chq</v>
      </c>
      <c r="S434" s="40" t="s">
        <v>623</v>
      </c>
    </row>
    <row r="435" spans="1:19" ht="31.2" x14ac:dyDescent="0.3">
      <c r="A435" s="4">
        <v>44523</v>
      </c>
      <c r="B435" s="5">
        <f t="shared" si="63"/>
        <v>11</v>
      </c>
      <c r="C435" s="5">
        <f t="shared" si="64"/>
        <v>2021</v>
      </c>
      <c r="D435" s="5" t="s">
        <v>480</v>
      </c>
      <c r="E435" s="5" t="str">
        <f>VLOOKUP(F435,'Set up'!$A$2:$C$70,2,FALSE)</f>
        <v>C00000003</v>
      </c>
      <c r="F435" s="1" t="s">
        <v>20</v>
      </c>
      <c r="G435" s="74" t="s">
        <v>64</v>
      </c>
      <c r="H435" s="5">
        <v>3</v>
      </c>
      <c r="I435" s="5">
        <f>VLOOKUP(F435,'Set up'!$A$2:$C$70,3,FALSE)</f>
        <v>45</v>
      </c>
      <c r="J435" s="5">
        <f>VLOOKUP(F435,'Set up'!$A$2:$D$70,4,FALSE)</f>
        <v>45</v>
      </c>
      <c r="K435" s="4">
        <f t="shared" si="65"/>
        <v>44568</v>
      </c>
      <c r="L435" s="5">
        <f t="shared" si="66"/>
        <v>1</v>
      </c>
      <c r="M435" s="5">
        <f t="shared" si="67"/>
        <v>2022</v>
      </c>
      <c r="N435" s="6">
        <v>172.5</v>
      </c>
      <c r="O435" s="6">
        <f t="shared" si="72"/>
        <v>-172.5</v>
      </c>
      <c r="P435" s="6">
        <f t="shared" si="70"/>
        <v>0</v>
      </c>
      <c r="Q435" s="7">
        <f t="shared" si="68"/>
        <v>705775.95</v>
      </c>
      <c r="R435" s="44" t="str">
        <f>VLOOKUP(F435,'Set up'!$A$2:$E$70,5,FALSE)</f>
        <v>PD Chq</v>
      </c>
      <c r="S435" s="40" t="s">
        <v>624</v>
      </c>
    </row>
    <row r="436" spans="1:19" x14ac:dyDescent="0.3">
      <c r="A436" s="4">
        <v>44526</v>
      </c>
      <c r="B436" s="5">
        <f t="shared" si="63"/>
        <v>11</v>
      </c>
      <c r="C436" s="5">
        <f t="shared" si="64"/>
        <v>2021</v>
      </c>
      <c r="D436" s="5" t="s">
        <v>481</v>
      </c>
      <c r="E436" s="5" t="str">
        <f>VLOOKUP(F436,'Set up'!$A$2:$C$70,2,FALSE)</f>
        <v>C00000019</v>
      </c>
      <c r="F436" s="1" t="s">
        <v>400</v>
      </c>
      <c r="G436" s="56" t="s">
        <v>303</v>
      </c>
      <c r="H436" s="5">
        <v>1</v>
      </c>
      <c r="I436" s="5" t="str">
        <f>VLOOKUP(F436,'Set up'!$A$2:$C$70,3,FALSE)</f>
        <v>Cash</v>
      </c>
      <c r="J436" s="5">
        <f>VLOOKUP(F436,'Set up'!$A$2:$D$70,4,FALSE)</f>
        <v>0</v>
      </c>
      <c r="K436" s="4">
        <f t="shared" si="65"/>
        <v>44526</v>
      </c>
      <c r="L436" s="5">
        <f t="shared" si="66"/>
        <v>11</v>
      </c>
      <c r="M436" s="5">
        <f t="shared" si="67"/>
        <v>2021</v>
      </c>
      <c r="N436" s="71">
        <v>2024</v>
      </c>
      <c r="O436" s="6">
        <f t="shared" si="72"/>
        <v>-2024</v>
      </c>
      <c r="P436" s="6">
        <f t="shared" si="70"/>
        <v>0</v>
      </c>
      <c r="Q436" s="7">
        <f t="shared" si="68"/>
        <v>707799.95</v>
      </c>
      <c r="R436" s="44" t="str">
        <f>VLOOKUP(F436,'Set up'!$A$2:$E$70,5,FALSE)</f>
        <v>Trsf</v>
      </c>
      <c r="S436" s="1" t="s">
        <v>516</v>
      </c>
    </row>
    <row r="437" spans="1:19" ht="28.8" x14ac:dyDescent="0.3">
      <c r="A437" s="4">
        <v>44526</v>
      </c>
      <c r="B437" s="5">
        <f t="shared" si="63"/>
        <v>11</v>
      </c>
      <c r="C437" s="5">
        <f t="shared" si="64"/>
        <v>2021</v>
      </c>
      <c r="D437" s="5" t="s">
        <v>481</v>
      </c>
      <c r="E437" s="5" t="str">
        <f>VLOOKUP(F437,'Set up'!$A$2:$C$70,2,FALSE)</f>
        <v>C00000019</v>
      </c>
      <c r="F437" s="1" t="s">
        <v>400</v>
      </c>
      <c r="G437" s="74" t="s">
        <v>64</v>
      </c>
      <c r="H437" s="5">
        <v>4</v>
      </c>
      <c r="I437" s="5" t="str">
        <f>VLOOKUP(F437,'Set up'!$A$2:$C$70,3,FALSE)</f>
        <v>Cash</v>
      </c>
      <c r="J437" s="5">
        <f>VLOOKUP(F437,'Set up'!$A$2:$D$70,4,FALSE)</f>
        <v>0</v>
      </c>
      <c r="K437" s="4">
        <f t="shared" si="65"/>
        <v>44526</v>
      </c>
      <c r="L437" s="5">
        <f t="shared" si="66"/>
        <v>11</v>
      </c>
      <c r="M437" s="5">
        <f t="shared" si="67"/>
        <v>2021</v>
      </c>
      <c r="N437" s="6">
        <v>250</v>
      </c>
      <c r="O437" s="6">
        <f t="shared" si="72"/>
        <v>-250</v>
      </c>
      <c r="P437" s="6">
        <f t="shared" si="70"/>
        <v>0</v>
      </c>
      <c r="Q437" s="7">
        <f t="shared" si="68"/>
        <v>708049.95</v>
      </c>
      <c r="R437" s="44" t="str">
        <f>VLOOKUP(F437,'Set up'!$A$2:$E$70,5,FALSE)</f>
        <v>Trsf</v>
      </c>
      <c r="S437" s="1" t="s">
        <v>516</v>
      </c>
    </row>
    <row r="438" spans="1:19" x14ac:dyDescent="0.3">
      <c r="A438" s="4">
        <v>44526</v>
      </c>
      <c r="B438" s="5">
        <f t="shared" si="63"/>
        <v>11</v>
      </c>
      <c r="C438" s="5">
        <f t="shared" si="64"/>
        <v>2021</v>
      </c>
      <c r="D438" s="5" t="s">
        <v>481</v>
      </c>
      <c r="E438" s="5" t="str">
        <f>VLOOKUP(F438,'Set up'!$A$2:$C$70,2,FALSE)</f>
        <v>C00000019</v>
      </c>
      <c r="F438" s="1" t="s">
        <v>400</v>
      </c>
      <c r="G438" s="56" t="s">
        <v>46</v>
      </c>
      <c r="H438" s="5">
        <v>1</v>
      </c>
      <c r="I438" s="5" t="str">
        <f>VLOOKUP(F438,'Set up'!$A$2:$C$70,3,FALSE)</f>
        <v>Cash</v>
      </c>
      <c r="J438" s="5">
        <f>VLOOKUP(F438,'Set up'!$A$2:$D$70,4,FALSE)</f>
        <v>0</v>
      </c>
      <c r="K438" s="4">
        <f t="shared" si="65"/>
        <v>44526</v>
      </c>
      <c r="L438" s="5">
        <f t="shared" si="66"/>
        <v>11</v>
      </c>
      <c r="M438" s="5">
        <f t="shared" si="67"/>
        <v>2021</v>
      </c>
      <c r="N438" s="6">
        <v>100</v>
      </c>
      <c r="O438" s="6">
        <f t="shared" si="72"/>
        <v>-100</v>
      </c>
      <c r="P438" s="6">
        <f t="shared" si="70"/>
        <v>0</v>
      </c>
      <c r="Q438" s="7">
        <f t="shared" si="68"/>
        <v>708149.95</v>
      </c>
      <c r="R438" s="44" t="str">
        <f>VLOOKUP(F438,'Set up'!$A$2:$E$70,5,FALSE)</f>
        <v>Trsf</v>
      </c>
      <c r="S438" s="1" t="s">
        <v>516</v>
      </c>
    </row>
    <row r="439" spans="1:19" x14ac:dyDescent="0.3">
      <c r="A439" s="4">
        <v>44526</v>
      </c>
      <c r="B439" s="5">
        <f t="shared" si="63"/>
        <v>11</v>
      </c>
      <c r="C439" s="5">
        <f t="shared" si="64"/>
        <v>2021</v>
      </c>
      <c r="D439" s="5" t="s">
        <v>482</v>
      </c>
      <c r="E439" s="5" t="str">
        <f>VLOOKUP(F439,'Set up'!$A$2:$C$70,2,FALSE)</f>
        <v>C00000019</v>
      </c>
      <c r="F439" s="1" t="s">
        <v>400</v>
      </c>
      <c r="G439" s="56" t="s">
        <v>303</v>
      </c>
      <c r="H439" s="5">
        <v>1</v>
      </c>
      <c r="I439" s="5" t="str">
        <f>VLOOKUP(F439,'Set up'!$A$2:$C$70,3,FALSE)</f>
        <v>Cash</v>
      </c>
      <c r="J439" s="5">
        <f>VLOOKUP(F439,'Set up'!$A$2:$D$70,4,FALSE)</f>
        <v>0</v>
      </c>
      <c r="K439" s="4">
        <f t="shared" si="65"/>
        <v>44526</v>
      </c>
      <c r="L439" s="5">
        <f t="shared" si="66"/>
        <v>11</v>
      </c>
      <c r="M439" s="5">
        <f t="shared" si="67"/>
        <v>2021</v>
      </c>
      <c r="N439" s="6">
        <v>2024</v>
      </c>
      <c r="O439" s="6">
        <f t="shared" si="72"/>
        <v>-2024</v>
      </c>
      <c r="P439" s="6">
        <f t="shared" si="70"/>
        <v>0</v>
      </c>
      <c r="Q439" s="7">
        <f t="shared" si="68"/>
        <v>710173.95</v>
      </c>
      <c r="R439" s="44" t="str">
        <f>VLOOKUP(F439,'Set up'!$A$2:$E$70,5,FALSE)</f>
        <v>Trsf</v>
      </c>
      <c r="S439" s="1" t="s">
        <v>516</v>
      </c>
    </row>
    <row r="440" spans="1:19" ht="28.8" x14ac:dyDescent="0.3">
      <c r="A440" s="4">
        <v>44529</v>
      </c>
      <c r="B440" s="5">
        <f t="shared" si="63"/>
        <v>11</v>
      </c>
      <c r="C440" s="5">
        <f t="shared" si="64"/>
        <v>2021</v>
      </c>
      <c r="D440" s="5" t="s">
        <v>484</v>
      </c>
      <c r="E440" s="5" t="str">
        <f>VLOOKUP(F440,'Set up'!$A$2:$C$70,2,FALSE)</f>
        <v>C00000008</v>
      </c>
      <c r="F440" s="1" t="s">
        <v>52</v>
      </c>
      <c r="G440" s="74" t="s">
        <v>67</v>
      </c>
      <c r="H440" s="5">
        <v>1</v>
      </c>
      <c r="I440" s="5" t="str">
        <f>VLOOKUP(F440,'Set up'!$A$2:$C$70,3,FALSE)</f>
        <v>Cash</v>
      </c>
      <c r="J440" s="5">
        <f>VLOOKUP(F440,'Set up'!$A$2:$D$70,4,FALSE)</f>
        <v>0</v>
      </c>
      <c r="K440" s="4">
        <f t="shared" si="65"/>
        <v>44529</v>
      </c>
      <c r="L440" s="5">
        <f t="shared" si="66"/>
        <v>11</v>
      </c>
      <c r="M440" s="5">
        <f t="shared" si="67"/>
        <v>2021</v>
      </c>
      <c r="N440" s="6">
        <v>2090</v>
      </c>
      <c r="O440" s="6">
        <f t="shared" si="72"/>
        <v>-2090</v>
      </c>
      <c r="P440" s="6">
        <f t="shared" si="70"/>
        <v>0</v>
      </c>
      <c r="Q440" s="7">
        <f t="shared" si="68"/>
        <v>712263.95</v>
      </c>
      <c r="R440" s="44" t="str">
        <f>VLOOKUP(F440,'Set up'!$A$2:$E$70,5,FALSE)</f>
        <v>Trsf</v>
      </c>
      <c r="S440" s="1" t="s">
        <v>581</v>
      </c>
    </row>
    <row r="441" spans="1:19" ht="46.8" x14ac:dyDescent="0.3">
      <c r="A441" s="4">
        <v>44529</v>
      </c>
      <c r="B441" s="5">
        <f t="shared" si="63"/>
        <v>11</v>
      </c>
      <c r="C441" s="5">
        <f t="shared" si="64"/>
        <v>2021</v>
      </c>
      <c r="D441" s="5" t="s">
        <v>484</v>
      </c>
      <c r="E441" s="5" t="str">
        <f>VLOOKUP(F441,'Set up'!$A$2:$C$70,2,FALSE)</f>
        <v>C00000008</v>
      </c>
      <c r="F441" s="1" t="s">
        <v>52</v>
      </c>
      <c r="G441" s="79" t="s">
        <v>219</v>
      </c>
      <c r="H441" s="5">
        <v>4</v>
      </c>
      <c r="I441" s="5" t="str">
        <f>VLOOKUP(F441,'Set up'!$A$2:$C$70,3,FALSE)</f>
        <v>Cash</v>
      </c>
      <c r="J441" s="5">
        <f>VLOOKUP(F441,'Set up'!$A$2:$D$70,4,FALSE)</f>
        <v>0</v>
      </c>
      <c r="K441" s="4">
        <f t="shared" si="65"/>
        <v>44529</v>
      </c>
      <c r="L441" s="5">
        <f t="shared" si="66"/>
        <v>11</v>
      </c>
      <c r="M441" s="5">
        <f t="shared" si="67"/>
        <v>2021</v>
      </c>
      <c r="N441" s="6">
        <v>1406</v>
      </c>
      <c r="O441" s="6">
        <f t="shared" si="72"/>
        <v>-1406</v>
      </c>
      <c r="P441" s="6">
        <f t="shared" si="70"/>
        <v>0</v>
      </c>
      <c r="Q441" s="7">
        <f t="shared" si="68"/>
        <v>713669.95</v>
      </c>
      <c r="R441" s="44" t="str">
        <f>VLOOKUP(F441,'Set up'!$A$2:$E$70,5,FALSE)</f>
        <v>Trsf</v>
      </c>
      <c r="S441" s="1" t="s">
        <v>581</v>
      </c>
    </row>
    <row r="442" spans="1:19" ht="28.8" x14ac:dyDescent="0.3">
      <c r="A442" s="4">
        <v>44537</v>
      </c>
      <c r="B442" s="5">
        <f t="shared" si="63"/>
        <v>12</v>
      </c>
      <c r="C442" s="5">
        <f t="shared" si="64"/>
        <v>2021</v>
      </c>
      <c r="D442" s="5" t="s">
        <v>501</v>
      </c>
      <c r="E442" s="5" t="str">
        <f>VLOOKUP(F442,'Set up'!$A$2:$C$70,2,FALSE)</f>
        <v>C00000020</v>
      </c>
      <c r="F442" s="1" t="s">
        <v>409</v>
      </c>
      <c r="G442" s="74" t="s">
        <v>67</v>
      </c>
      <c r="H442" s="5">
        <v>3</v>
      </c>
      <c r="I442" s="5" t="str">
        <f>VLOOKUP(F442,'Set up'!$A$2:$C$70,3,FALSE)</f>
        <v>Cash</v>
      </c>
      <c r="J442" s="5">
        <f>VLOOKUP(F442,'Set up'!$A$2:$D$70,4,FALSE)</f>
        <v>0</v>
      </c>
      <c r="K442" s="4">
        <f t="shared" si="65"/>
        <v>44537</v>
      </c>
      <c r="L442" s="5">
        <f t="shared" si="66"/>
        <v>12</v>
      </c>
      <c r="M442" s="5">
        <f t="shared" si="67"/>
        <v>2021</v>
      </c>
      <c r="N442" s="6">
        <v>6138</v>
      </c>
      <c r="O442" s="6">
        <f t="shared" si="72"/>
        <v>-6138</v>
      </c>
      <c r="P442" s="6">
        <f t="shared" si="70"/>
        <v>0</v>
      </c>
      <c r="Q442" s="7">
        <f t="shared" si="68"/>
        <v>719807.95</v>
      </c>
      <c r="R442" s="44" t="str">
        <f>VLOOKUP(F442,'Set up'!$A$2:$E$70,5,FALSE)</f>
        <v>Trsf</v>
      </c>
      <c r="S442" s="1" t="s">
        <v>517</v>
      </c>
    </row>
    <row r="443" spans="1:19" ht="46.8" x14ac:dyDescent="0.3">
      <c r="A443" s="4">
        <v>44537</v>
      </c>
      <c r="B443" s="5">
        <f t="shared" si="63"/>
        <v>12</v>
      </c>
      <c r="C443" s="5">
        <f t="shared" si="64"/>
        <v>2021</v>
      </c>
      <c r="D443" s="5" t="s">
        <v>501</v>
      </c>
      <c r="E443" s="5" t="str">
        <f>VLOOKUP(F443,'Set up'!$A$2:$C$70,2,FALSE)</f>
        <v>C00000020</v>
      </c>
      <c r="F443" s="1" t="s">
        <v>409</v>
      </c>
      <c r="G443" s="79" t="s">
        <v>448</v>
      </c>
      <c r="H443" s="5">
        <v>9</v>
      </c>
      <c r="I443" s="5" t="str">
        <f>VLOOKUP(F443,'Set up'!$A$2:$C$70,3,FALSE)</f>
        <v>Cash</v>
      </c>
      <c r="J443" s="5">
        <f>VLOOKUP(F443,'Set up'!$A$2:$D$70,4,FALSE)</f>
        <v>0</v>
      </c>
      <c r="K443" s="4">
        <f t="shared" si="65"/>
        <v>44537</v>
      </c>
      <c r="L443" s="5">
        <f t="shared" si="66"/>
        <v>12</v>
      </c>
      <c r="M443" s="5">
        <f t="shared" si="67"/>
        <v>2021</v>
      </c>
      <c r="N443" s="6">
        <v>3263.4</v>
      </c>
      <c r="O443" s="6">
        <f t="shared" si="72"/>
        <v>-3263.4</v>
      </c>
      <c r="P443" s="6">
        <f t="shared" si="70"/>
        <v>0</v>
      </c>
      <c r="Q443" s="7">
        <f t="shared" si="68"/>
        <v>723071.35</v>
      </c>
      <c r="R443" s="44" t="str">
        <f>VLOOKUP(F443,'Set up'!$A$2:$E$70,5,FALSE)</f>
        <v>Trsf</v>
      </c>
      <c r="S443" s="1" t="s">
        <v>517</v>
      </c>
    </row>
    <row r="444" spans="1:19" ht="43.2" x14ac:dyDescent="0.3">
      <c r="A444" s="4">
        <v>44537</v>
      </c>
      <c r="B444" s="5">
        <f t="shared" si="63"/>
        <v>12</v>
      </c>
      <c r="C444" s="5">
        <f t="shared" si="64"/>
        <v>2021</v>
      </c>
      <c r="D444" s="5" t="s">
        <v>501</v>
      </c>
      <c r="E444" s="5" t="str">
        <f>VLOOKUP(F444,'Set up'!$A$2:$C$70,2,FALSE)</f>
        <v>C00000020</v>
      </c>
      <c r="F444" s="1" t="s">
        <v>409</v>
      </c>
      <c r="G444" s="74" t="s">
        <v>414</v>
      </c>
      <c r="H444" s="5">
        <v>6</v>
      </c>
      <c r="I444" s="5" t="str">
        <f>VLOOKUP(F444,'Set up'!$A$2:$C$70,3,FALSE)</f>
        <v>Cash</v>
      </c>
      <c r="J444" s="5">
        <f>VLOOKUP(F444,'Set up'!$A$2:$D$70,4,FALSE)</f>
        <v>0</v>
      </c>
      <c r="K444" s="4">
        <f t="shared" si="65"/>
        <v>44537</v>
      </c>
      <c r="L444" s="5">
        <f t="shared" si="66"/>
        <v>12</v>
      </c>
      <c r="M444" s="5">
        <f t="shared" si="67"/>
        <v>2021</v>
      </c>
      <c r="N444" s="6">
        <v>2430</v>
      </c>
      <c r="O444" s="6">
        <f t="shared" si="72"/>
        <v>-2430</v>
      </c>
      <c r="P444" s="6">
        <f t="shared" si="70"/>
        <v>0</v>
      </c>
      <c r="Q444" s="7">
        <f t="shared" si="68"/>
        <v>725501.35</v>
      </c>
      <c r="R444" s="44" t="str">
        <f>VLOOKUP(F444,'Set up'!$A$2:$E$70,5,FALSE)</f>
        <v>Trsf</v>
      </c>
      <c r="S444" s="1" t="s">
        <v>517</v>
      </c>
    </row>
    <row r="445" spans="1:19" ht="28.8" x14ac:dyDescent="0.3">
      <c r="A445" s="4">
        <v>44537</v>
      </c>
      <c r="B445" s="5">
        <f t="shared" si="63"/>
        <v>12</v>
      </c>
      <c r="C445" s="5">
        <f t="shared" si="64"/>
        <v>2021</v>
      </c>
      <c r="D445" s="5" t="s">
        <v>501</v>
      </c>
      <c r="E445" s="5" t="str">
        <f>VLOOKUP(F445,'Set up'!$A$2:$C$70,2,FALSE)</f>
        <v>C00000020</v>
      </c>
      <c r="F445" s="1" t="s">
        <v>409</v>
      </c>
      <c r="G445" s="74" t="s">
        <v>64</v>
      </c>
      <c r="H445" s="5">
        <v>3</v>
      </c>
      <c r="I445" s="5" t="str">
        <f>VLOOKUP(F445,'Set up'!$A$2:$C$70,3,FALSE)</f>
        <v>Cash</v>
      </c>
      <c r="J445" s="5">
        <f>VLOOKUP(F445,'Set up'!$A$2:$D$70,4,FALSE)</f>
        <v>0</v>
      </c>
      <c r="K445" s="4">
        <f t="shared" si="65"/>
        <v>44537</v>
      </c>
      <c r="L445" s="5">
        <f t="shared" si="66"/>
        <v>12</v>
      </c>
      <c r="M445" s="5">
        <f t="shared" si="67"/>
        <v>2021</v>
      </c>
      <c r="N445" s="6">
        <v>187.5</v>
      </c>
      <c r="O445" s="6">
        <f t="shared" si="72"/>
        <v>-187.5</v>
      </c>
      <c r="P445" s="6">
        <f t="shared" si="70"/>
        <v>0</v>
      </c>
      <c r="Q445" s="7">
        <f t="shared" si="68"/>
        <v>725688.85</v>
      </c>
      <c r="R445" s="44" t="str">
        <f>VLOOKUP(F445,'Set up'!$A$2:$E$70,5,FALSE)</f>
        <v>Trsf</v>
      </c>
      <c r="S445" s="1" t="s">
        <v>517</v>
      </c>
    </row>
    <row r="446" spans="1:19" ht="28.8" x14ac:dyDescent="0.3">
      <c r="A446" s="4">
        <v>44537</v>
      </c>
      <c r="B446" s="5">
        <f t="shared" si="63"/>
        <v>12</v>
      </c>
      <c r="C446" s="5">
        <f t="shared" si="64"/>
        <v>2021</v>
      </c>
      <c r="D446" s="5" t="s">
        <v>501</v>
      </c>
      <c r="E446" s="5" t="str">
        <f>VLOOKUP(F446,'Set up'!$A$2:$C$70,2,FALSE)</f>
        <v>C00000020</v>
      </c>
      <c r="F446" s="1" t="s">
        <v>409</v>
      </c>
      <c r="G446" s="74" t="s">
        <v>381</v>
      </c>
      <c r="H446" s="5">
        <v>2</v>
      </c>
      <c r="I446" s="5" t="str">
        <f>VLOOKUP(F446,'Set up'!$A$2:$C$70,3,FALSE)</f>
        <v>Cash</v>
      </c>
      <c r="J446" s="5">
        <f>VLOOKUP(F446,'Set up'!$A$2:$D$70,4,FALSE)</f>
        <v>0</v>
      </c>
      <c r="K446" s="4">
        <f t="shared" si="65"/>
        <v>44537</v>
      </c>
      <c r="L446" s="5">
        <f t="shared" si="66"/>
        <v>12</v>
      </c>
      <c r="M446" s="5">
        <f t="shared" si="67"/>
        <v>2021</v>
      </c>
      <c r="N446" s="6">
        <v>170</v>
      </c>
      <c r="O446" s="6">
        <f t="shared" si="72"/>
        <v>-170</v>
      </c>
      <c r="P446" s="6">
        <f t="shared" si="70"/>
        <v>0</v>
      </c>
      <c r="Q446" s="7">
        <f t="shared" si="68"/>
        <v>725858.85</v>
      </c>
      <c r="R446" s="44" t="str">
        <f>VLOOKUP(F446,'Set up'!$A$2:$E$70,5,FALSE)</f>
        <v>Trsf</v>
      </c>
      <c r="S446" s="1" t="s">
        <v>517</v>
      </c>
    </row>
    <row r="447" spans="1:19" ht="28.8" x14ac:dyDescent="0.3">
      <c r="A447" s="4">
        <v>44540</v>
      </c>
      <c r="B447" s="5">
        <f t="shared" si="63"/>
        <v>12</v>
      </c>
      <c r="C447" s="5">
        <f t="shared" si="64"/>
        <v>2021</v>
      </c>
      <c r="D447" s="5" t="s">
        <v>502</v>
      </c>
      <c r="E447" s="5" t="str">
        <f>VLOOKUP(F447,'Set up'!$A$2:$C$70,2,FALSE)</f>
        <v>C00000013a</v>
      </c>
      <c r="F447" s="1" t="s">
        <v>1453</v>
      </c>
      <c r="G447" s="74" t="s">
        <v>67</v>
      </c>
      <c r="H447" s="5">
        <v>1</v>
      </c>
      <c r="I447" s="5" t="str">
        <f>VLOOKUP(F447,'Set up'!$A$2:$C$70,3,FALSE)</f>
        <v>Cash</v>
      </c>
      <c r="J447" s="5">
        <f>VLOOKUP(F447,'Set up'!$A$2:$D$70,4,FALSE)</f>
        <v>0</v>
      </c>
      <c r="K447" s="4">
        <f t="shared" si="65"/>
        <v>44540</v>
      </c>
      <c r="L447" s="5">
        <f t="shared" si="66"/>
        <v>12</v>
      </c>
      <c r="M447" s="5">
        <f t="shared" si="67"/>
        <v>2021</v>
      </c>
      <c r="N447" s="6">
        <v>2112</v>
      </c>
      <c r="O447" s="6">
        <f t="shared" si="72"/>
        <v>-2112</v>
      </c>
      <c r="P447" s="6">
        <f t="shared" si="70"/>
        <v>0</v>
      </c>
      <c r="Q447" s="7">
        <f t="shared" si="68"/>
        <v>727970.85</v>
      </c>
      <c r="R447" s="44" t="str">
        <f>VLOOKUP(F447,'Set up'!$A$2:$E$70,5,FALSE)</f>
        <v>Chq</v>
      </c>
      <c r="S447" s="1" t="s">
        <v>526</v>
      </c>
    </row>
    <row r="448" spans="1:19" ht="31.2" x14ac:dyDescent="0.3">
      <c r="A448" s="4">
        <v>44540</v>
      </c>
      <c r="B448" s="5">
        <f t="shared" si="63"/>
        <v>12</v>
      </c>
      <c r="C448" s="5">
        <f t="shared" si="64"/>
        <v>2021</v>
      </c>
      <c r="D448" s="5" t="s">
        <v>502</v>
      </c>
      <c r="E448" s="5" t="str">
        <f>VLOOKUP(F448,'Set up'!$A$2:$C$70,2,FALSE)</f>
        <v>C00000013a</v>
      </c>
      <c r="F448" s="1" t="s">
        <v>1453</v>
      </c>
      <c r="G448" s="79" t="s">
        <v>417</v>
      </c>
      <c r="H448" s="5">
        <v>1</v>
      </c>
      <c r="I448" s="5" t="str">
        <f>VLOOKUP(F448,'Set up'!$A$2:$C$70,3,FALSE)</f>
        <v>Cash</v>
      </c>
      <c r="J448" s="5">
        <f>VLOOKUP(F448,'Set up'!$A$2:$D$70,4,FALSE)</f>
        <v>0</v>
      </c>
      <c r="K448" s="4">
        <f t="shared" si="65"/>
        <v>44540</v>
      </c>
      <c r="L448" s="5">
        <f t="shared" si="66"/>
        <v>12</v>
      </c>
      <c r="M448" s="5">
        <f t="shared" si="67"/>
        <v>2021</v>
      </c>
      <c r="N448" s="6">
        <v>60</v>
      </c>
      <c r="O448" s="6">
        <f t="shared" si="72"/>
        <v>-60</v>
      </c>
      <c r="P448" s="6">
        <f t="shared" si="70"/>
        <v>0</v>
      </c>
      <c r="Q448" s="7">
        <f t="shared" si="68"/>
        <v>728030.85</v>
      </c>
      <c r="R448" s="44" t="str">
        <f>VLOOKUP(F448,'Set up'!$A$2:$E$70,5,FALSE)</f>
        <v>Chq</v>
      </c>
      <c r="S448" s="1" t="s">
        <v>526</v>
      </c>
    </row>
    <row r="449" spans="1:19" ht="31.2" x14ac:dyDescent="0.3">
      <c r="A449" s="4">
        <v>44540</v>
      </c>
      <c r="B449" s="5">
        <f t="shared" si="63"/>
        <v>12</v>
      </c>
      <c r="C449" s="5">
        <f t="shared" si="64"/>
        <v>2021</v>
      </c>
      <c r="D449" s="5" t="s">
        <v>502</v>
      </c>
      <c r="E449" s="5" t="str">
        <f>VLOOKUP(F449,'Set up'!$A$2:$C$70,2,FALSE)</f>
        <v>C00000013a</v>
      </c>
      <c r="F449" s="1" t="s">
        <v>1453</v>
      </c>
      <c r="G449" s="75" t="s">
        <v>24</v>
      </c>
      <c r="H449" s="5">
        <v>1</v>
      </c>
      <c r="I449" s="5" t="str">
        <f>VLOOKUP(F449,'Set up'!$A$2:$C$70,3,FALSE)</f>
        <v>Cash</v>
      </c>
      <c r="J449" s="5">
        <f>VLOOKUP(F449,'Set up'!$A$2:$D$70,4,FALSE)</f>
        <v>0</v>
      </c>
      <c r="K449" s="4">
        <f t="shared" si="65"/>
        <v>44540</v>
      </c>
      <c r="L449" s="5">
        <f t="shared" si="66"/>
        <v>12</v>
      </c>
      <c r="M449" s="5">
        <f t="shared" si="67"/>
        <v>2021</v>
      </c>
      <c r="N449" s="6">
        <v>270</v>
      </c>
      <c r="O449" s="6">
        <f t="shared" si="72"/>
        <v>-270</v>
      </c>
      <c r="P449" s="6">
        <f t="shared" si="70"/>
        <v>0</v>
      </c>
      <c r="Q449" s="7">
        <f t="shared" si="68"/>
        <v>728300.85</v>
      </c>
      <c r="R449" s="44" t="str">
        <f>VLOOKUP(F449,'Set up'!$A$2:$E$70,5,FALSE)</f>
        <v>Chq</v>
      </c>
      <c r="S449" s="1" t="s">
        <v>526</v>
      </c>
    </row>
    <row r="450" spans="1:19" ht="43.2" x14ac:dyDescent="0.3">
      <c r="A450" s="4">
        <v>44540</v>
      </c>
      <c r="B450" s="5">
        <f t="shared" si="63"/>
        <v>12</v>
      </c>
      <c r="C450" s="5">
        <f t="shared" si="64"/>
        <v>2021</v>
      </c>
      <c r="D450" s="5" t="s">
        <v>502</v>
      </c>
      <c r="E450" s="5" t="str">
        <f>VLOOKUP(F450,'Set up'!$A$2:$C$70,2,FALSE)</f>
        <v>C00000013a</v>
      </c>
      <c r="F450" s="1" t="s">
        <v>1453</v>
      </c>
      <c r="G450" s="84" t="s">
        <v>234</v>
      </c>
      <c r="H450" s="5">
        <v>2</v>
      </c>
      <c r="I450" s="5" t="str">
        <f>VLOOKUP(F450,'Set up'!$A$2:$C$70,3,FALSE)</f>
        <v>Cash</v>
      </c>
      <c r="J450" s="5">
        <f>VLOOKUP(F450,'Set up'!$A$2:$D$70,4,FALSE)</f>
        <v>0</v>
      </c>
      <c r="K450" s="4">
        <f t="shared" si="65"/>
        <v>44540</v>
      </c>
      <c r="L450" s="5">
        <f t="shared" si="66"/>
        <v>12</v>
      </c>
      <c r="M450" s="5">
        <f t="shared" si="67"/>
        <v>2021</v>
      </c>
      <c r="N450" s="6">
        <v>320</v>
      </c>
      <c r="O450" s="6">
        <f t="shared" si="72"/>
        <v>-320</v>
      </c>
      <c r="P450" s="6">
        <f t="shared" si="70"/>
        <v>0</v>
      </c>
      <c r="Q450" s="7">
        <f t="shared" si="68"/>
        <v>728620.85</v>
      </c>
      <c r="R450" s="44" t="str">
        <f>VLOOKUP(F450,'Set up'!$A$2:$E$70,5,FALSE)</f>
        <v>Chq</v>
      </c>
      <c r="S450" s="1" t="s">
        <v>526</v>
      </c>
    </row>
    <row r="451" spans="1:19" ht="46.8" x14ac:dyDescent="0.3">
      <c r="A451" s="4">
        <v>44540</v>
      </c>
      <c r="B451" s="5">
        <f t="shared" ref="B451:B514" si="73">MONTH(A451)</f>
        <v>12</v>
      </c>
      <c r="C451" s="5">
        <f t="shared" ref="C451:C514" si="74">YEAR(A451)</f>
        <v>2021</v>
      </c>
      <c r="D451" s="5" t="s">
        <v>502</v>
      </c>
      <c r="E451" s="5" t="str">
        <f>VLOOKUP(F451,'Set up'!$A$2:$C$70,2,FALSE)</f>
        <v>C00000013a</v>
      </c>
      <c r="F451" s="1" t="s">
        <v>1453</v>
      </c>
      <c r="G451" s="79" t="s">
        <v>292</v>
      </c>
      <c r="H451" s="5">
        <v>1</v>
      </c>
      <c r="I451" s="5" t="str">
        <f>VLOOKUP(F451,'Set up'!$A$2:$C$70,3,FALSE)</f>
        <v>Cash</v>
      </c>
      <c r="J451" s="5">
        <f>VLOOKUP(F451,'Set up'!$A$2:$D$70,4,FALSE)</f>
        <v>0</v>
      </c>
      <c r="K451" s="4">
        <f t="shared" ref="K451:K514" si="75">A451+J451</f>
        <v>44540</v>
      </c>
      <c r="L451" s="5">
        <f t="shared" ref="L451:L514" si="76">MONTH(K451)</f>
        <v>12</v>
      </c>
      <c r="M451" s="5">
        <f t="shared" ref="M451:M514" si="77">YEAR(K451)</f>
        <v>2021</v>
      </c>
      <c r="N451" s="6">
        <v>390</v>
      </c>
      <c r="O451" s="6">
        <f t="shared" si="72"/>
        <v>-390</v>
      </c>
      <c r="P451" s="6">
        <f t="shared" si="70"/>
        <v>0</v>
      </c>
      <c r="Q451" s="7">
        <f t="shared" ref="Q451:Q514" si="78">SUM(Q450+N451)</f>
        <v>729010.85</v>
      </c>
      <c r="R451" s="44" t="str">
        <f>VLOOKUP(F451,'Set up'!$A$2:$E$70,5,FALSE)</f>
        <v>Chq</v>
      </c>
      <c r="S451" s="1" t="s">
        <v>526</v>
      </c>
    </row>
    <row r="452" spans="1:19" ht="28.8" x14ac:dyDescent="0.3">
      <c r="A452" s="4">
        <v>44540</v>
      </c>
      <c r="B452" s="5">
        <f t="shared" si="73"/>
        <v>12</v>
      </c>
      <c r="C452" s="5">
        <f t="shared" si="74"/>
        <v>2021</v>
      </c>
      <c r="D452" s="5" t="s">
        <v>502</v>
      </c>
      <c r="E452" s="5" t="str">
        <f>VLOOKUP(F452,'Set up'!$A$2:$C$70,2,FALSE)</f>
        <v>C00000013a</v>
      </c>
      <c r="F452" s="1" t="s">
        <v>1453</v>
      </c>
      <c r="G452" s="74" t="s">
        <v>381</v>
      </c>
      <c r="H452" s="5">
        <v>2</v>
      </c>
      <c r="I452" s="5" t="str">
        <f>VLOOKUP(F452,'Set up'!$A$2:$C$70,3,FALSE)</f>
        <v>Cash</v>
      </c>
      <c r="J452" s="5">
        <f>VLOOKUP(F452,'Set up'!$A$2:$D$70,4,FALSE)</f>
        <v>0</v>
      </c>
      <c r="K452" s="4">
        <f t="shared" si="75"/>
        <v>44540</v>
      </c>
      <c r="L452" s="5">
        <f t="shared" si="76"/>
        <v>12</v>
      </c>
      <c r="M452" s="5">
        <f t="shared" si="77"/>
        <v>2021</v>
      </c>
      <c r="N452" s="6">
        <v>170</v>
      </c>
      <c r="O452" s="6">
        <f t="shared" si="72"/>
        <v>-170</v>
      </c>
      <c r="P452" s="6">
        <f t="shared" si="70"/>
        <v>0</v>
      </c>
      <c r="Q452" s="7">
        <f t="shared" si="78"/>
        <v>729180.85</v>
      </c>
      <c r="R452" s="44" t="str">
        <f>VLOOKUP(F452,'Set up'!$A$2:$E$70,5,FALSE)</f>
        <v>Chq</v>
      </c>
      <c r="S452" s="1" t="s">
        <v>526</v>
      </c>
    </row>
    <row r="453" spans="1:19" ht="62.4" x14ac:dyDescent="0.3">
      <c r="A453" s="4">
        <v>44540</v>
      </c>
      <c r="B453" s="5">
        <f t="shared" si="73"/>
        <v>12</v>
      </c>
      <c r="C453" s="5">
        <f t="shared" si="74"/>
        <v>2021</v>
      </c>
      <c r="D453" s="5" t="s">
        <v>502</v>
      </c>
      <c r="E453" s="5" t="str">
        <f>VLOOKUP(F453,'Set up'!$A$2:$C$70,2,FALSE)</f>
        <v>C00000013a</v>
      </c>
      <c r="F453" s="1" t="s">
        <v>1453</v>
      </c>
      <c r="G453" s="79" t="s">
        <v>528</v>
      </c>
      <c r="H453" s="5">
        <v>1</v>
      </c>
      <c r="I453" s="5" t="str">
        <f>VLOOKUP(F453,'Set up'!$A$2:$C$70,3,FALSE)</f>
        <v>Cash</v>
      </c>
      <c r="J453" s="5">
        <f>VLOOKUP(F453,'Set up'!$A$2:$D$70,4,FALSE)</f>
        <v>0</v>
      </c>
      <c r="K453" s="4">
        <f t="shared" si="75"/>
        <v>44540</v>
      </c>
      <c r="L453" s="5">
        <f t="shared" si="76"/>
        <v>12</v>
      </c>
      <c r="M453" s="5">
        <f t="shared" si="77"/>
        <v>2021</v>
      </c>
      <c r="N453" s="6">
        <v>45</v>
      </c>
      <c r="O453" s="6">
        <f t="shared" si="72"/>
        <v>-45</v>
      </c>
      <c r="P453" s="6">
        <f t="shared" si="70"/>
        <v>0</v>
      </c>
      <c r="Q453" s="7">
        <f t="shared" si="78"/>
        <v>729225.85</v>
      </c>
      <c r="R453" s="44" t="str">
        <f>VLOOKUP(F453,'Set up'!$A$2:$E$70,5,FALSE)</f>
        <v>Chq</v>
      </c>
      <c r="S453" s="1" t="s">
        <v>526</v>
      </c>
    </row>
    <row r="454" spans="1:19" ht="57.6" x14ac:dyDescent="0.3">
      <c r="A454" s="4">
        <v>44540</v>
      </c>
      <c r="B454" s="5">
        <f t="shared" si="73"/>
        <v>12</v>
      </c>
      <c r="C454" s="5">
        <f t="shared" si="74"/>
        <v>2021</v>
      </c>
      <c r="D454" s="5" t="s">
        <v>502</v>
      </c>
      <c r="E454" s="5" t="str">
        <f>VLOOKUP(F454,'Set up'!$A$2:$C$70,2,FALSE)</f>
        <v>C00000013a</v>
      </c>
      <c r="F454" s="1" t="s">
        <v>1453</v>
      </c>
      <c r="G454" s="74" t="s">
        <v>96</v>
      </c>
      <c r="H454" s="5">
        <v>1</v>
      </c>
      <c r="I454" s="5" t="str">
        <f>VLOOKUP(F454,'Set up'!$A$2:$C$70,3,FALSE)</f>
        <v>Cash</v>
      </c>
      <c r="J454" s="5">
        <f>VLOOKUP(F454,'Set up'!$A$2:$D$70,4,FALSE)</f>
        <v>0</v>
      </c>
      <c r="K454" s="4">
        <f t="shared" si="75"/>
        <v>44540</v>
      </c>
      <c r="L454" s="5">
        <f t="shared" si="76"/>
        <v>12</v>
      </c>
      <c r="M454" s="5">
        <f t="shared" si="77"/>
        <v>2021</v>
      </c>
      <c r="N454" s="6">
        <v>529.20000000000005</v>
      </c>
      <c r="O454" s="6">
        <f t="shared" si="72"/>
        <v>-529.20000000000005</v>
      </c>
      <c r="P454" s="6">
        <f t="shared" si="70"/>
        <v>0</v>
      </c>
      <c r="Q454" s="7">
        <f t="shared" si="78"/>
        <v>729755.04999999993</v>
      </c>
      <c r="R454" s="44" t="str">
        <f>VLOOKUP(F454,'Set up'!$A$2:$E$70,5,FALSE)</f>
        <v>Chq</v>
      </c>
      <c r="S454" s="1" t="s">
        <v>526</v>
      </c>
    </row>
    <row r="455" spans="1:19" ht="57.6" x14ac:dyDescent="0.3">
      <c r="A455" s="4">
        <v>44540</v>
      </c>
      <c r="B455" s="5">
        <f t="shared" si="73"/>
        <v>12</v>
      </c>
      <c r="C455" s="5">
        <f t="shared" si="74"/>
        <v>2021</v>
      </c>
      <c r="D455" s="5" t="s">
        <v>502</v>
      </c>
      <c r="E455" s="5" t="str">
        <f>VLOOKUP(F455,'Set up'!$A$2:$C$70,2,FALSE)</f>
        <v>C00000013a</v>
      </c>
      <c r="F455" s="1" t="s">
        <v>1453</v>
      </c>
      <c r="G455" s="74" t="s">
        <v>97</v>
      </c>
      <c r="H455" s="5">
        <v>1</v>
      </c>
      <c r="I455" s="5" t="str">
        <f>VLOOKUP(F455,'Set up'!$A$2:$C$70,3,FALSE)</f>
        <v>Cash</v>
      </c>
      <c r="J455" s="5">
        <f>VLOOKUP(F455,'Set up'!$A$2:$D$70,4,FALSE)</f>
        <v>0</v>
      </c>
      <c r="K455" s="4">
        <f t="shared" si="75"/>
        <v>44540</v>
      </c>
      <c r="L455" s="5">
        <f t="shared" si="76"/>
        <v>12</v>
      </c>
      <c r="M455" s="5">
        <f t="shared" si="77"/>
        <v>2021</v>
      </c>
      <c r="N455" s="6">
        <v>529.20000000000005</v>
      </c>
      <c r="O455" s="6">
        <f t="shared" si="72"/>
        <v>-529.20000000000005</v>
      </c>
      <c r="P455" s="6">
        <f t="shared" si="70"/>
        <v>0</v>
      </c>
      <c r="Q455" s="7">
        <f t="shared" si="78"/>
        <v>730284.24999999988</v>
      </c>
      <c r="R455" s="44" t="str">
        <f>VLOOKUP(F455,'Set up'!$A$2:$E$70,5,FALSE)</f>
        <v>Chq</v>
      </c>
      <c r="S455" s="1" t="s">
        <v>526</v>
      </c>
    </row>
    <row r="456" spans="1:19" ht="78" x14ac:dyDescent="0.3">
      <c r="A456" s="4">
        <v>44540</v>
      </c>
      <c r="B456" s="5">
        <f t="shared" si="73"/>
        <v>12</v>
      </c>
      <c r="C456" s="5">
        <f t="shared" si="74"/>
        <v>2021</v>
      </c>
      <c r="D456" s="5" t="s">
        <v>502</v>
      </c>
      <c r="E456" s="5" t="str">
        <f>VLOOKUP(F456,'Set up'!$A$2:$C$70,2,FALSE)</f>
        <v>C00000013a</v>
      </c>
      <c r="F456" s="1" t="s">
        <v>1453</v>
      </c>
      <c r="G456" s="79" t="s">
        <v>503</v>
      </c>
      <c r="H456" s="5">
        <v>1</v>
      </c>
      <c r="I456" s="5" t="str">
        <f>VLOOKUP(F456,'Set up'!$A$2:$C$70,3,FALSE)</f>
        <v>Cash</v>
      </c>
      <c r="J456" s="5">
        <f>VLOOKUP(F456,'Set up'!$A$2:$D$70,4,FALSE)</f>
        <v>0</v>
      </c>
      <c r="K456" s="4">
        <f t="shared" si="75"/>
        <v>44540</v>
      </c>
      <c r="L456" s="5">
        <f t="shared" si="76"/>
        <v>12</v>
      </c>
      <c r="M456" s="5">
        <f t="shared" si="77"/>
        <v>2021</v>
      </c>
      <c r="N456" s="6">
        <v>750</v>
      </c>
      <c r="O456" s="6">
        <f t="shared" si="72"/>
        <v>-750</v>
      </c>
      <c r="P456" s="6">
        <f t="shared" si="70"/>
        <v>0</v>
      </c>
      <c r="Q456" s="7">
        <f t="shared" si="78"/>
        <v>731034.24999999988</v>
      </c>
      <c r="R456" s="44" t="str">
        <f>VLOOKUP(F456,'Set up'!$A$2:$E$70,5,FALSE)</f>
        <v>Chq</v>
      </c>
      <c r="S456" s="1" t="s">
        <v>526</v>
      </c>
    </row>
    <row r="457" spans="1:19" ht="46.8" x14ac:dyDescent="0.3">
      <c r="A457" s="4">
        <v>44540</v>
      </c>
      <c r="B457" s="5">
        <f t="shared" si="73"/>
        <v>12</v>
      </c>
      <c r="C457" s="5">
        <f t="shared" si="74"/>
        <v>2021</v>
      </c>
      <c r="D457" s="5" t="s">
        <v>504</v>
      </c>
      <c r="E457" s="5" t="str">
        <f>VLOOKUP(F457,'Set up'!$A$2:$C$70,2,FALSE)</f>
        <v>C00000020</v>
      </c>
      <c r="F457" s="1" t="s">
        <v>409</v>
      </c>
      <c r="G457" s="79" t="s">
        <v>505</v>
      </c>
      <c r="H457" s="5">
        <v>5</v>
      </c>
      <c r="I457" s="5" t="str">
        <f>VLOOKUP(F457,'Set up'!$A$2:$C$70,3,FALSE)</f>
        <v>Cash</v>
      </c>
      <c r="J457" s="5">
        <f>VLOOKUP(F457,'Set up'!$A$2:$D$70,4,FALSE)</f>
        <v>0</v>
      </c>
      <c r="K457" s="4">
        <f t="shared" si="75"/>
        <v>44540</v>
      </c>
      <c r="L457" s="5">
        <f t="shared" si="76"/>
        <v>12</v>
      </c>
      <c r="M457" s="5">
        <f t="shared" si="77"/>
        <v>2021</v>
      </c>
      <c r="N457" s="6">
        <v>10462.5</v>
      </c>
      <c r="O457" s="6">
        <f>-332.3-5000-5000-130.2</f>
        <v>-10462.5</v>
      </c>
      <c r="P457" s="6">
        <f t="shared" si="70"/>
        <v>0</v>
      </c>
      <c r="Q457" s="7">
        <f t="shared" si="78"/>
        <v>741496.74999999988</v>
      </c>
      <c r="R457" s="44" t="str">
        <f>VLOOKUP(F457,'Set up'!$A$2:$E$70,5,FALSE)</f>
        <v>Trsf</v>
      </c>
      <c r="S457" s="1" t="s">
        <v>630</v>
      </c>
    </row>
    <row r="458" spans="1:19" ht="62.4" x14ac:dyDescent="0.3">
      <c r="A458" s="4">
        <v>44540</v>
      </c>
      <c r="B458" s="5">
        <f t="shared" si="73"/>
        <v>12</v>
      </c>
      <c r="C458" s="5">
        <f t="shared" si="74"/>
        <v>2021</v>
      </c>
      <c r="D458" s="5" t="s">
        <v>504</v>
      </c>
      <c r="E458" s="5" t="str">
        <f>VLOOKUP(F458,'Set up'!$A$2:$C$70,2,FALSE)</f>
        <v>C00000020</v>
      </c>
      <c r="F458" s="1" t="s">
        <v>409</v>
      </c>
      <c r="G458" s="79" t="s">
        <v>360</v>
      </c>
      <c r="H458" s="5">
        <v>6</v>
      </c>
      <c r="I458" s="5" t="str">
        <f>VLOOKUP(F458,'Set up'!$A$2:$C$70,3,FALSE)</f>
        <v>Cash</v>
      </c>
      <c r="J458" s="5">
        <f>VLOOKUP(F458,'Set up'!$A$2:$D$70,4,FALSE)</f>
        <v>0</v>
      </c>
      <c r="K458" s="4">
        <f t="shared" si="75"/>
        <v>44540</v>
      </c>
      <c r="L458" s="5">
        <f t="shared" si="76"/>
        <v>12</v>
      </c>
      <c r="M458" s="5">
        <f t="shared" si="77"/>
        <v>2021</v>
      </c>
      <c r="N458" s="6">
        <v>3420</v>
      </c>
      <c r="O458" s="6">
        <f>-2769.8-650.2</f>
        <v>-3420</v>
      </c>
      <c r="P458" s="6">
        <f t="shared" si="70"/>
        <v>0</v>
      </c>
      <c r="Q458" s="7">
        <f t="shared" si="78"/>
        <v>744916.74999999988</v>
      </c>
      <c r="R458" s="44" t="str">
        <f>VLOOKUP(F458,'Set up'!$A$2:$E$70,5,FALSE)</f>
        <v>Trsf</v>
      </c>
      <c r="S458" s="1" t="s">
        <v>675</v>
      </c>
    </row>
    <row r="459" spans="1:19" ht="43.2" x14ac:dyDescent="0.3">
      <c r="A459" s="4">
        <v>44540</v>
      </c>
      <c r="B459" s="5">
        <f t="shared" si="73"/>
        <v>12</v>
      </c>
      <c r="C459" s="5">
        <f t="shared" si="74"/>
        <v>2021</v>
      </c>
      <c r="D459" s="5" t="s">
        <v>504</v>
      </c>
      <c r="E459" s="5" t="str">
        <f>VLOOKUP(F459,'Set up'!$A$2:$C$70,2,FALSE)</f>
        <v>C00000020</v>
      </c>
      <c r="F459" s="1" t="s">
        <v>409</v>
      </c>
      <c r="G459" s="74" t="s">
        <v>414</v>
      </c>
      <c r="H459" s="5">
        <v>7</v>
      </c>
      <c r="I459" s="5" t="str">
        <f>VLOOKUP(F459,'Set up'!$A$2:$C$70,3,FALSE)</f>
        <v>Cash</v>
      </c>
      <c r="J459" s="5">
        <f>VLOOKUP(F459,'Set up'!$A$2:$D$70,4,FALSE)</f>
        <v>0</v>
      </c>
      <c r="K459" s="4">
        <f t="shared" si="75"/>
        <v>44540</v>
      </c>
      <c r="L459" s="5">
        <f t="shared" si="76"/>
        <v>12</v>
      </c>
      <c r="M459" s="5">
        <f t="shared" si="77"/>
        <v>2021</v>
      </c>
      <c r="N459" s="6">
        <v>2835</v>
      </c>
      <c r="O459" s="6">
        <f t="shared" ref="O459:O473" si="79">-N459</f>
        <v>-2835</v>
      </c>
      <c r="P459" s="6">
        <f t="shared" si="70"/>
        <v>0</v>
      </c>
      <c r="Q459" s="7">
        <f t="shared" si="78"/>
        <v>747751.74999999988</v>
      </c>
      <c r="R459" s="44" t="str">
        <f>VLOOKUP(F459,'Set up'!$A$2:$E$70,5,FALSE)</f>
        <v>Trsf</v>
      </c>
      <c r="S459" s="1" t="s">
        <v>674</v>
      </c>
    </row>
    <row r="460" spans="1:19" ht="28.8" x14ac:dyDescent="0.3">
      <c r="A460" s="4">
        <v>44540</v>
      </c>
      <c r="B460" s="5">
        <f t="shared" si="73"/>
        <v>12</v>
      </c>
      <c r="C460" s="5">
        <f t="shared" si="74"/>
        <v>2021</v>
      </c>
      <c r="D460" s="5" t="s">
        <v>504</v>
      </c>
      <c r="E460" s="5" t="str">
        <f>VLOOKUP(F460,'Set up'!$A$2:$C$70,2,FALSE)</f>
        <v>C00000020</v>
      </c>
      <c r="F460" s="1" t="s">
        <v>409</v>
      </c>
      <c r="G460" s="74" t="s">
        <v>64</v>
      </c>
      <c r="H460" s="5">
        <v>5</v>
      </c>
      <c r="I460" s="5" t="str">
        <f>VLOOKUP(F460,'Set up'!$A$2:$C$70,3,FALSE)</f>
        <v>Cash</v>
      </c>
      <c r="J460" s="5">
        <f>VLOOKUP(F460,'Set up'!$A$2:$D$70,4,FALSE)</f>
        <v>0</v>
      </c>
      <c r="K460" s="4">
        <f t="shared" si="75"/>
        <v>44540</v>
      </c>
      <c r="L460" s="5">
        <f t="shared" si="76"/>
        <v>12</v>
      </c>
      <c r="M460" s="5">
        <f t="shared" si="77"/>
        <v>2021</v>
      </c>
      <c r="N460" s="6">
        <v>312.5</v>
      </c>
      <c r="O460" s="6">
        <f t="shared" si="79"/>
        <v>-312.5</v>
      </c>
      <c r="P460" s="6">
        <f t="shared" si="70"/>
        <v>0</v>
      </c>
      <c r="Q460" s="7">
        <f t="shared" si="78"/>
        <v>748064.24999999988</v>
      </c>
      <c r="R460" s="44" t="str">
        <f>VLOOKUP(F460,'Set up'!$A$2:$E$70,5,FALSE)</f>
        <v>Trsf</v>
      </c>
      <c r="S460" s="1" t="s">
        <v>674</v>
      </c>
    </row>
    <row r="461" spans="1:19" ht="31.2" x14ac:dyDescent="0.3">
      <c r="A461" s="4">
        <v>44540</v>
      </c>
      <c r="B461" s="5">
        <f t="shared" si="73"/>
        <v>12</v>
      </c>
      <c r="C461" s="5">
        <f t="shared" si="74"/>
        <v>2021</v>
      </c>
      <c r="D461" s="5" t="s">
        <v>504</v>
      </c>
      <c r="E461" s="5" t="str">
        <f>VLOOKUP(F461,'Set up'!$A$2:$C$70,2,FALSE)</f>
        <v>C00000020</v>
      </c>
      <c r="F461" s="1" t="s">
        <v>409</v>
      </c>
      <c r="G461" s="79" t="s">
        <v>429</v>
      </c>
      <c r="H461" s="5">
        <v>1</v>
      </c>
      <c r="I461" s="5" t="str">
        <f>VLOOKUP(F461,'Set up'!$A$2:$C$70,3,FALSE)</f>
        <v>Cash</v>
      </c>
      <c r="J461" s="5">
        <f>VLOOKUP(F461,'Set up'!$A$2:$D$70,4,FALSE)</f>
        <v>0</v>
      </c>
      <c r="K461" s="4">
        <f t="shared" si="75"/>
        <v>44540</v>
      </c>
      <c r="L461" s="5">
        <f t="shared" si="76"/>
        <v>12</v>
      </c>
      <c r="M461" s="5">
        <f t="shared" si="77"/>
        <v>2021</v>
      </c>
      <c r="N461" s="6">
        <v>1000</v>
      </c>
      <c r="O461" s="6">
        <f t="shared" si="79"/>
        <v>-1000</v>
      </c>
      <c r="P461" s="6">
        <f t="shared" si="70"/>
        <v>0</v>
      </c>
      <c r="Q461" s="7">
        <f t="shared" si="78"/>
        <v>749064.24999999988</v>
      </c>
      <c r="R461" s="44" t="str">
        <f>VLOOKUP(F461,'Set up'!$A$2:$E$70,5,FALSE)</f>
        <v>Trsf</v>
      </c>
      <c r="S461" s="1" t="s">
        <v>674</v>
      </c>
    </row>
    <row r="462" spans="1:19" ht="28.8" x14ac:dyDescent="0.3">
      <c r="A462" s="4">
        <v>44540</v>
      </c>
      <c r="B462" s="5">
        <f t="shared" si="73"/>
        <v>12</v>
      </c>
      <c r="C462" s="5">
        <f t="shared" si="74"/>
        <v>2021</v>
      </c>
      <c r="D462" s="5" t="s">
        <v>504</v>
      </c>
      <c r="E462" s="5" t="str">
        <f>VLOOKUP(F462,'Set up'!$A$2:$C$70,2,FALSE)</f>
        <v>C00000020</v>
      </c>
      <c r="F462" s="1" t="s">
        <v>409</v>
      </c>
      <c r="G462" s="74" t="s">
        <v>381</v>
      </c>
      <c r="H462" s="5">
        <v>2</v>
      </c>
      <c r="I462" s="5" t="str">
        <f>VLOOKUP(F462,'Set up'!$A$2:$C$70,3,FALSE)</f>
        <v>Cash</v>
      </c>
      <c r="J462" s="5">
        <f>VLOOKUP(F462,'Set up'!$A$2:$D$70,4,FALSE)</f>
        <v>0</v>
      </c>
      <c r="K462" s="4">
        <f t="shared" si="75"/>
        <v>44540</v>
      </c>
      <c r="L462" s="5">
        <f t="shared" si="76"/>
        <v>12</v>
      </c>
      <c r="M462" s="5">
        <f t="shared" si="77"/>
        <v>2021</v>
      </c>
      <c r="N462" s="6">
        <v>170</v>
      </c>
      <c r="O462" s="6">
        <f t="shared" si="79"/>
        <v>-170</v>
      </c>
      <c r="P462" s="6">
        <f t="shared" si="70"/>
        <v>0</v>
      </c>
      <c r="Q462" s="7">
        <f t="shared" si="78"/>
        <v>749234.24999999988</v>
      </c>
      <c r="R462" s="44" t="str">
        <f>VLOOKUP(F462,'Set up'!$A$2:$E$70,5,FALSE)</f>
        <v>Trsf</v>
      </c>
      <c r="S462" s="1" t="s">
        <v>674</v>
      </c>
    </row>
    <row r="463" spans="1:19" ht="57.6" x14ac:dyDescent="0.3">
      <c r="A463" s="4">
        <v>44540</v>
      </c>
      <c r="B463" s="5">
        <f t="shared" si="73"/>
        <v>12</v>
      </c>
      <c r="C463" s="5">
        <f t="shared" si="74"/>
        <v>2021</v>
      </c>
      <c r="D463" s="5" t="s">
        <v>504</v>
      </c>
      <c r="E463" s="5" t="str">
        <f>VLOOKUP(F463,'Set up'!$A$2:$C$70,2,FALSE)</f>
        <v>C00000020</v>
      </c>
      <c r="F463" s="1" t="s">
        <v>409</v>
      </c>
      <c r="G463" s="74" t="s">
        <v>506</v>
      </c>
      <c r="H463" s="5">
        <v>1</v>
      </c>
      <c r="I463" s="5" t="str">
        <f>VLOOKUP(F463,'Set up'!$A$2:$C$70,3,FALSE)</f>
        <v>Cash</v>
      </c>
      <c r="J463" s="5">
        <f>VLOOKUP(F463,'Set up'!$A$2:$D$70,4,FALSE)</f>
        <v>0</v>
      </c>
      <c r="K463" s="4">
        <f t="shared" si="75"/>
        <v>44540</v>
      </c>
      <c r="L463" s="5">
        <f t="shared" si="76"/>
        <v>12</v>
      </c>
      <c r="M463" s="5">
        <f t="shared" si="77"/>
        <v>2021</v>
      </c>
      <c r="N463" s="6">
        <v>484.5</v>
      </c>
      <c r="O463" s="6">
        <f t="shared" si="79"/>
        <v>-484.5</v>
      </c>
      <c r="P463" s="6">
        <f t="shared" si="70"/>
        <v>0</v>
      </c>
      <c r="Q463" s="7">
        <f t="shared" si="78"/>
        <v>749718.74999999988</v>
      </c>
      <c r="R463" s="44" t="str">
        <f>VLOOKUP(F463,'Set up'!$A$2:$E$70,5,FALSE)</f>
        <v>Trsf</v>
      </c>
      <c r="S463" s="1" t="s">
        <v>674</v>
      </c>
    </row>
    <row r="464" spans="1:19" x14ac:dyDescent="0.3">
      <c r="A464" s="4">
        <v>44545</v>
      </c>
      <c r="B464" s="5">
        <f t="shared" si="73"/>
        <v>12</v>
      </c>
      <c r="C464" s="5">
        <f t="shared" si="74"/>
        <v>2021</v>
      </c>
      <c r="D464" s="5" t="s">
        <v>507</v>
      </c>
      <c r="E464" s="5" t="str">
        <f>VLOOKUP(F464,'Set up'!$A$2:$C$70,2,FALSE)</f>
        <v>C00000010</v>
      </c>
      <c r="F464" s="1" t="s">
        <v>62</v>
      </c>
      <c r="G464" s="56" t="s">
        <v>303</v>
      </c>
      <c r="H464" s="5">
        <v>6</v>
      </c>
      <c r="I464" s="5">
        <f>VLOOKUP(F464,'Set up'!$A$2:$C$70,3,FALSE)</f>
        <v>120</v>
      </c>
      <c r="J464" s="5">
        <f>VLOOKUP(F464,'Set up'!$A$2:$D$70,4,FALSE)</f>
        <v>120</v>
      </c>
      <c r="K464" s="4">
        <f t="shared" si="75"/>
        <v>44665</v>
      </c>
      <c r="L464" s="5">
        <f t="shared" si="76"/>
        <v>4</v>
      </c>
      <c r="M464" s="5">
        <f t="shared" si="77"/>
        <v>2022</v>
      </c>
      <c r="N464" s="6">
        <v>12144</v>
      </c>
      <c r="O464" s="6">
        <f t="shared" si="79"/>
        <v>-12144</v>
      </c>
      <c r="P464" s="6">
        <f t="shared" si="70"/>
        <v>0</v>
      </c>
      <c r="Q464" s="7">
        <f t="shared" si="78"/>
        <v>761862.74999999988</v>
      </c>
      <c r="R464" s="44" t="str">
        <f>VLOOKUP(F464,'Set up'!$A$2:$E$70,5,FALSE)</f>
        <v>Trsf</v>
      </c>
      <c r="S464" s="1" t="s">
        <v>667</v>
      </c>
    </row>
    <row r="465" spans="1:19" x14ac:dyDescent="0.3">
      <c r="A465" s="4">
        <v>44545</v>
      </c>
      <c r="B465" s="5">
        <f t="shared" si="73"/>
        <v>12</v>
      </c>
      <c r="C465" s="5">
        <f t="shared" si="74"/>
        <v>2021</v>
      </c>
      <c r="D465" s="5" t="s">
        <v>508</v>
      </c>
      <c r="E465" s="5" t="str">
        <f>VLOOKUP(F465,'Set up'!$A$2:$C$70,2,FALSE)</f>
        <v>C00000004</v>
      </c>
      <c r="F465" s="1" t="s">
        <v>23</v>
      </c>
      <c r="G465" s="56" t="s">
        <v>303</v>
      </c>
      <c r="H465" s="5">
        <v>5</v>
      </c>
      <c r="I465" s="5">
        <f>VLOOKUP(F465,'Set up'!$A$2:$C$70,3,FALSE)</f>
        <v>120</v>
      </c>
      <c r="J465" s="5">
        <f>VLOOKUP(F465,'Set up'!$A$2:$D$70,4,FALSE)</f>
        <v>120</v>
      </c>
      <c r="K465" s="4">
        <f t="shared" si="75"/>
        <v>44665</v>
      </c>
      <c r="L465" s="5">
        <f t="shared" si="76"/>
        <v>4</v>
      </c>
      <c r="M465" s="5">
        <f t="shared" si="77"/>
        <v>2022</v>
      </c>
      <c r="N465" s="6">
        <v>10120</v>
      </c>
      <c r="O465" s="6">
        <f t="shared" si="79"/>
        <v>-10120</v>
      </c>
      <c r="P465" s="6">
        <f t="shared" si="70"/>
        <v>0</v>
      </c>
      <c r="Q465" s="7">
        <f t="shared" si="78"/>
        <v>771982.74999999988</v>
      </c>
      <c r="R465" s="44" t="str">
        <f>VLOOKUP(F465,'Set up'!$A$2:$E$70,5,FALSE)</f>
        <v>Chq</v>
      </c>
      <c r="S465" s="1" t="s">
        <v>749</v>
      </c>
    </row>
    <row r="466" spans="1:19" ht="46.8" x14ac:dyDescent="0.3">
      <c r="A466" s="4">
        <v>44545</v>
      </c>
      <c r="B466" s="5">
        <f t="shared" si="73"/>
        <v>12</v>
      </c>
      <c r="C466" s="5">
        <f t="shared" si="74"/>
        <v>2021</v>
      </c>
      <c r="D466" s="5" t="s">
        <v>508</v>
      </c>
      <c r="E466" s="5" t="str">
        <f>VLOOKUP(F466,'Set up'!$A$2:$C$70,2,FALSE)</f>
        <v>C00000004</v>
      </c>
      <c r="F466" s="1" t="s">
        <v>23</v>
      </c>
      <c r="G466" s="79" t="s">
        <v>509</v>
      </c>
      <c r="H466" s="5">
        <v>1</v>
      </c>
      <c r="I466" s="5">
        <f>VLOOKUP(F466,'Set up'!$A$2:$C$70,3,FALSE)</f>
        <v>120</v>
      </c>
      <c r="J466" s="5">
        <f>VLOOKUP(F466,'Set up'!$A$2:$D$70,4,FALSE)</f>
        <v>120</v>
      </c>
      <c r="K466" s="4">
        <f t="shared" si="75"/>
        <v>44665</v>
      </c>
      <c r="L466" s="5">
        <f t="shared" si="76"/>
        <v>4</v>
      </c>
      <c r="M466" s="5">
        <f t="shared" si="77"/>
        <v>2022</v>
      </c>
      <c r="N466" s="6">
        <v>2024</v>
      </c>
      <c r="O466" s="6">
        <f t="shared" si="79"/>
        <v>-2024</v>
      </c>
      <c r="P466" s="6">
        <f t="shared" si="70"/>
        <v>0</v>
      </c>
      <c r="Q466" s="7">
        <f t="shared" si="78"/>
        <v>774006.74999999988</v>
      </c>
      <c r="R466" s="44" t="str">
        <f>VLOOKUP(F466,'Set up'!$A$2:$E$70,5,FALSE)</f>
        <v>Chq</v>
      </c>
      <c r="S466" s="1" t="s">
        <v>749</v>
      </c>
    </row>
    <row r="467" spans="1:19" ht="28.8" x14ac:dyDescent="0.3">
      <c r="A467" s="4">
        <v>44545</v>
      </c>
      <c r="B467" s="5">
        <f t="shared" si="73"/>
        <v>12</v>
      </c>
      <c r="C467" s="5">
        <f t="shared" si="74"/>
        <v>2021</v>
      </c>
      <c r="D467" s="5" t="s">
        <v>508</v>
      </c>
      <c r="E467" s="5" t="str">
        <f>VLOOKUP(F467,'Set up'!$A$2:$C$70,2,FALSE)</f>
        <v>C00000004</v>
      </c>
      <c r="F467" s="1" t="s">
        <v>23</v>
      </c>
      <c r="G467" s="74" t="s">
        <v>381</v>
      </c>
      <c r="H467" s="5">
        <v>4</v>
      </c>
      <c r="I467" s="5">
        <f>VLOOKUP(F467,'Set up'!$A$2:$C$70,3,FALSE)</f>
        <v>120</v>
      </c>
      <c r="J467" s="5">
        <f>VLOOKUP(F467,'Set up'!$A$2:$D$70,4,FALSE)</f>
        <v>120</v>
      </c>
      <c r="K467" s="4">
        <f t="shared" si="75"/>
        <v>44665</v>
      </c>
      <c r="L467" s="5">
        <f t="shared" si="76"/>
        <v>4</v>
      </c>
      <c r="M467" s="5">
        <f t="shared" si="77"/>
        <v>2022</v>
      </c>
      <c r="N467" s="6">
        <v>340</v>
      </c>
      <c r="O467" s="6">
        <f t="shared" si="79"/>
        <v>-340</v>
      </c>
      <c r="P467" s="6">
        <f t="shared" si="70"/>
        <v>0</v>
      </c>
      <c r="Q467" s="7">
        <f t="shared" si="78"/>
        <v>774346.74999999988</v>
      </c>
      <c r="R467" s="44" t="str">
        <f>VLOOKUP(F467,'Set up'!$A$2:$E$70,5,FALSE)</f>
        <v>Chq</v>
      </c>
      <c r="S467" s="1" t="s">
        <v>749</v>
      </c>
    </row>
    <row r="468" spans="1:19" x14ac:dyDescent="0.3">
      <c r="A468" s="4">
        <v>44546</v>
      </c>
      <c r="B468" s="5">
        <f t="shared" si="73"/>
        <v>12</v>
      </c>
      <c r="C468" s="5">
        <f t="shared" si="74"/>
        <v>2021</v>
      </c>
      <c r="D468" s="5" t="s">
        <v>510</v>
      </c>
      <c r="E468" s="5" t="str">
        <f>VLOOKUP(F468,'Set up'!$A$2:$C$70,2,FALSE)</f>
        <v>C00000004</v>
      </c>
      <c r="F468" s="1" t="s">
        <v>23</v>
      </c>
      <c r="G468" s="11" t="s">
        <v>98</v>
      </c>
      <c r="H468" s="5">
        <v>1</v>
      </c>
      <c r="I468" s="5">
        <f>VLOOKUP(F468,'Set up'!$A$2:$C$70,3,FALSE)</f>
        <v>120</v>
      </c>
      <c r="J468" s="5">
        <f>VLOOKUP(F468,'Set up'!$A$2:$D$70,4,FALSE)</f>
        <v>120</v>
      </c>
      <c r="K468" s="4">
        <f t="shared" si="75"/>
        <v>44666</v>
      </c>
      <c r="L468" s="5">
        <f t="shared" si="76"/>
        <v>4</v>
      </c>
      <c r="M468" s="5">
        <f t="shared" si="77"/>
        <v>2022</v>
      </c>
      <c r="N468" s="6">
        <v>390</v>
      </c>
      <c r="O468" s="6">
        <f t="shared" si="79"/>
        <v>-390</v>
      </c>
      <c r="P468" s="6">
        <f t="shared" si="70"/>
        <v>0</v>
      </c>
      <c r="Q468" s="7">
        <f t="shared" si="78"/>
        <v>774736.74999999988</v>
      </c>
      <c r="R468" s="44" t="str">
        <f>VLOOKUP(F468,'Set up'!$A$2:$E$70,5,FALSE)</f>
        <v>Chq</v>
      </c>
      <c r="S468" s="1" t="s">
        <v>749</v>
      </c>
    </row>
    <row r="469" spans="1:19" ht="28.8" x14ac:dyDescent="0.3">
      <c r="A469" s="4">
        <v>44550</v>
      </c>
      <c r="B469" s="5">
        <f t="shared" si="73"/>
        <v>12</v>
      </c>
      <c r="C469" s="5">
        <f t="shared" si="74"/>
        <v>2021</v>
      </c>
      <c r="D469" s="5" t="s">
        <v>511</v>
      </c>
      <c r="E469" s="5" t="str">
        <f>VLOOKUP(F469,'Set up'!$A$2:$C$70,2,FALSE)</f>
        <v>C00000020</v>
      </c>
      <c r="F469" s="1" t="s">
        <v>409</v>
      </c>
      <c r="G469" s="74" t="s">
        <v>67</v>
      </c>
      <c r="H469" s="5">
        <v>3</v>
      </c>
      <c r="I469" s="5" t="str">
        <f>VLOOKUP(F469,'Set up'!$A$2:$C$70,3,FALSE)</f>
        <v>Cash</v>
      </c>
      <c r="J469" s="5">
        <f>VLOOKUP(F469,'Set up'!$A$2:$D$70,4,FALSE)</f>
        <v>0</v>
      </c>
      <c r="K469" s="4">
        <f t="shared" si="75"/>
        <v>44550</v>
      </c>
      <c r="L469" s="5">
        <f t="shared" si="76"/>
        <v>12</v>
      </c>
      <c r="M469" s="5">
        <f t="shared" si="77"/>
        <v>2021</v>
      </c>
      <c r="N469" s="6">
        <v>6270</v>
      </c>
      <c r="O469" s="6">
        <f t="shared" si="79"/>
        <v>-6270</v>
      </c>
      <c r="P469" s="6">
        <f t="shared" ref="P469:P532" si="80">SUM(N469+O469)</f>
        <v>0</v>
      </c>
      <c r="Q469" s="7">
        <f t="shared" si="78"/>
        <v>781006.74999999988</v>
      </c>
      <c r="R469" s="44" t="str">
        <f>VLOOKUP(F469,'Set up'!$A$2:$E$70,5,FALSE)</f>
        <v>Trsf</v>
      </c>
      <c r="S469" s="1" t="s">
        <v>674</v>
      </c>
    </row>
    <row r="470" spans="1:19" ht="28.8" x14ac:dyDescent="0.3">
      <c r="A470" s="4">
        <v>44550</v>
      </c>
      <c r="B470" s="5">
        <f t="shared" si="73"/>
        <v>12</v>
      </c>
      <c r="C470" s="5">
        <f t="shared" si="74"/>
        <v>2021</v>
      </c>
      <c r="D470" s="5" t="s">
        <v>511</v>
      </c>
      <c r="E470" s="5" t="str">
        <f>VLOOKUP(F470,'Set up'!$A$2:$C$70,2,FALSE)</f>
        <v>C00000020</v>
      </c>
      <c r="F470" s="1" t="s">
        <v>409</v>
      </c>
      <c r="G470" s="74" t="s">
        <v>429</v>
      </c>
      <c r="H470" s="5">
        <v>1</v>
      </c>
      <c r="I470" s="5" t="str">
        <f>VLOOKUP(F470,'Set up'!$A$2:$C$70,3,FALSE)</f>
        <v>Cash</v>
      </c>
      <c r="J470" s="5">
        <f>VLOOKUP(F470,'Set up'!$A$2:$D$70,4,FALSE)</f>
        <v>0</v>
      </c>
      <c r="K470" s="4">
        <f t="shared" si="75"/>
        <v>44550</v>
      </c>
      <c r="L470" s="5">
        <f t="shared" si="76"/>
        <v>12</v>
      </c>
      <c r="M470" s="5">
        <f t="shared" si="77"/>
        <v>2021</v>
      </c>
      <c r="N470" s="6">
        <v>1000</v>
      </c>
      <c r="O470" s="6">
        <f t="shared" si="79"/>
        <v>-1000</v>
      </c>
      <c r="P470" s="6">
        <f t="shared" si="80"/>
        <v>0</v>
      </c>
      <c r="Q470" s="7">
        <f t="shared" si="78"/>
        <v>782006.74999999988</v>
      </c>
      <c r="R470" s="44" t="str">
        <f>VLOOKUP(F470,'Set up'!$A$2:$E$70,5,FALSE)</f>
        <v>Trsf</v>
      </c>
      <c r="S470" s="1" t="s">
        <v>674</v>
      </c>
    </row>
    <row r="471" spans="1:19" ht="28.8" x14ac:dyDescent="0.3">
      <c r="A471" s="4">
        <v>44550</v>
      </c>
      <c r="B471" s="5">
        <f t="shared" si="73"/>
        <v>12</v>
      </c>
      <c r="C471" s="5">
        <f t="shared" si="74"/>
        <v>2021</v>
      </c>
      <c r="D471" s="5" t="s">
        <v>511</v>
      </c>
      <c r="E471" s="5" t="str">
        <f>VLOOKUP(F471,'Set up'!$A$2:$C$70,2,FALSE)</f>
        <v>C00000020</v>
      </c>
      <c r="F471" s="1" t="s">
        <v>409</v>
      </c>
      <c r="G471" s="74" t="s">
        <v>64</v>
      </c>
      <c r="H471" s="5">
        <v>3</v>
      </c>
      <c r="I471" s="5" t="str">
        <f>VLOOKUP(F471,'Set up'!$A$2:$C$70,3,FALSE)</f>
        <v>Cash</v>
      </c>
      <c r="J471" s="5">
        <f>VLOOKUP(F471,'Set up'!$A$2:$D$70,4,FALSE)</f>
        <v>0</v>
      </c>
      <c r="K471" s="4">
        <f t="shared" si="75"/>
        <v>44550</v>
      </c>
      <c r="L471" s="5">
        <f t="shared" si="76"/>
        <v>12</v>
      </c>
      <c r="M471" s="5">
        <f t="shared" si="77"/>
        <v>2021</v>
      </c>
      <c r="N471" s="6">
        <v>187.5</v>
      </c>
      <c r="O471" s="6">
        <f t="shared" si="79"/>
        <v>-187.5</v>
      </c>
      <c r="P471" s="6">
        <f t="shared" si="80"/>
        <v>0</v>
      </c>
      <c r="Q471" s="7">
        <f t="shared" si="78"/>
        <v>782194.24999999988</v>
      </c>
      <c r="R471" s="44" t="str">
        <f>VLOOKUP(F471,'Set up'!$A$2:$E$70,5,FALSE)</f>
        <v>Trsf</v>
      </c>
      <c r="S471" s="1" t="s">
        <v>674</v>
      </c>
    </row>
    <row r="472" spans="1:19" x14ac:dyDescent="0.3">
      <c r="A472" s="4">
        <v>44551</v>
      </c>
      <c r="B472" s="5">
        <f t="shared" si="73"/>
        <v>12</v>
      </c>
      <c r="C472" s="5">
        <f t="shared" si="74"/>
        <v>2021</v>
      </c>
      <c r="D472" s="5" t="s">
        <v>512</v>
      </c>
      <c r="E472" s="5" t="str">
        <f>VLOOKUP(F472,'Set up'!$A$2:$C$70,2,FALSE)</f>
        <v>C00000004</v>
      </c>
      <c r="F472" s="1" t="s">
        <v>23</v>
      </c>
      <c r="G472" s="92" t="s">
        <v>513</v>
      </c>
      <c r="H472" s="5">
        <v>1</v>
      </c>
      <c r="I472" s="5">
        <f>VLOOKUP(F472,'Set up'!$A$2:$C$70,3,FALSE)</f>
        <v>120</v>
      </c>
      <c r="J472" s="5">
        <f>VLOOKUP(F472,'Set up'!$A$2:$D$70,4,FALSE)</f>
        <v>120</v>
      </c>
      <c r="K472" s="4">
        <f t="shared" si="75"/>
        <v>44671</v>
      </c>
      <c r="L472" s="5">
        <f t="shared" si="76"/>
        <v>4</v>
      </c>
      <c r="M472" s="5">
        <f t="shared" si="77"/>
        <v>2022</v>
      </c>
      <c r="N472" s="6">
        <v>513</v>
      </c>
      <c r="O472" s="6">
        <f t="shared" si="79"/>
        <v>-513</v>
      </c>
      <c r="P472" s="6">
        <f t="shared" si="80"/>
        <v>0</v>
      </c>
      <c r="Q472" s="7">
        <f t="shared" si="78"/>
        <v>782707.24999999988</v>
      </c>
      <c r="R472" s="44" t="str">
        <f>VLOOKUP(F472,'Set up'!$A$2:$E$70,5,FALSE)</f>
        <v>Chq</v>
      </c>
      <c r="S472" s="1" t="s">
        <v>749</v>
      </c>
    </row>
    <row r="473" spans="1:19" x14ac:dyDescent="0.3">
      <c r="A473" s="4">
        <v>44551</v>
      </c>
      <c r="B473" s="5">
        <f t="shared" si="73"/>
        <v>12</v>
      </c>
      <c r="C473" s="5">
        <f t="shared" si="74"/>
        <v>2021</v>
      </c>
      <c r="D473" s="5" t="s">
        <v>512</v>
      </c>
      <c r="E473" s="5" t="str">
        <f>VLOOKUP(F473,'Set up'!$A$2:$C$70,2,FALSE)</f>
        <v>C00000004</v>
      </c>
      <c r="F473" s="1" t="s">
        <v>23</v>
      </c>
      <c r="G473" s="55" t="s">
        <v>514</v>
      </c>
      <c r="H473" s="5">
        <v>4</v>
      </c>
      <c r="I473" s="5">
        <f>VLOOKUP(F473,'Set up'!$A$2:$C$70,3,FALSE)</f>
        <v>120</v>
      </c>
      <c r="J473" s="5">
        <f>VLOOKUP(F473,'Set up'!$A$2:$D$70,4,FALSE)</f>
        <v>120</v>
      </c>
      <c r="K473" s="4">
        <f t="shared" si="75"/>
        <v>44671</v>
      </c>
      <c r="L473" s="5">
        <f t="shared" si="76"/>
        <v>4</v>
      </c>
      <c r="M473" s="5">
        <f t="shared" si="77"/>
        <v>2022</v>
      </c>
      <c r="N473" s="6">
        <v>2508.8000000000002</v>
      </c>
      <c r="O473" s="6">
        <f t="shared" si="79"/>
        <v>-2508.8000000000002</v>
      </c>
      <c r="P473" s="6">
        <f t="shared" si="80"/>
        <v>0</v>
      </c>
      <c r="Q473" s="7">
        <f t="shared" si="78"/>
        <v>785216.04999999993</v>
      </c>
      <c r="R473" s="44" t="str">
        <f>VLOOKUP(F473,'Set up'!$A$2:$E$70,5,FALSE)</f>
        <v>Chq</v>
      </c>
      <c r="S473" s="1" t="s">
        <v>749</v>
      </c>
    </row>
    <row r="474" spans="1:19" ht="28.8" x14ac:dyDescent="0.3">
      <c r="A474" s="4">
        <v>44552</v>
      </c>
      <c r="B474" s="5">
        <f t="shared" si="73"/>
        <v>12</v>
      </c>
      <c r="C474" s="5">
        <f t="shared" si="74"/>
        <v>2021</v>
      </c>
      <c r="D474" s="5" t="s">
        <v>522</v>
      </c>
      <c r="E474" s="5" t="str">
        <f>VLOOKUP(F474,'Set up'!$A$2:$C$70,2,FALSE)</f>
        <v>C00000020</v>
      </c>
      <c r="F474" s="1" t="s">
        <v>409</v>
      </c>
      <c r="G474" s="74" t="s">
        <v>67</v>
      </c>
      <c r="H474" s="5">
        <v>3</v>
      </c>
      <c r="I474" s="5" t="str">
        <f>VLOOKUP(F474,'Set up'!$A$2:$C$70,3,FALSE)</f>
        <v>Cash</v>
      </c>
      <c r="J474" s="5">
        <f>VLOOKUP(F474,'Set up'!$A$2:$D$70,4,FALSE)</f>
        <v>0</v>
      </c>
      <c r="K474" s="4">
        <f t="shared" si="75"/>
        <v>44552</v>
      </c>
      <c r="L474" s="5">
        <f t="shared" si="76"/>
        <v>12</v>
      </c>
      <c r="M474" s="5">
        <f t="shared" si="77"/>
        <v>2021</v>
      </c>
      <c r="N474" s="6">
        <v>6270</v>
      </c>
      <c r="O474" s="6">
        <f>-3090.3-3179.7</f>
        <v>-6270</v>
      </c>
      <c r="P474" s="6">
        <f t="shared" si="80"/>
        <v>0</v>
      </c>
      <c r="Q474" s="7">
        <f t="shared" si="78"/>
        <v>791486.04999999993</v>
      </c>
      <c r="R474" s="44" t="str">
        <f>VLOOKUP(F474,'Set up'!$A$2:$E$70,5,FALSE)</f>
        <v>Trsf</v>
      </c>
      <c r="S474" s="1" t="s">
        <v>677</v>
      </c>
    </row>
    <row r="475" spans="1:19" ht="28.8" x14ac:dyDescent="0.3">
      <c r="A475" s="4">
        <v>44552</v>
      </c>
      <c r="B475" s="5">
        <f t="shared" si="73"/>
        <v>12</v>
      </c>
      <c r="C475" s="5">
        <f t="shared" si="74"/>
        <v>2021</v>
      </c>
      <c r="D475" s="5" t="s">
        <v>522</v>
      </c>
      <c r="E475" s="5" t="str">
        <f>VLOOKUP(F475,'Set up'!$A$2:$C$70,2,FALSE)</f>
        <v>C00000020</v>
      </c>
      <c r="F475" s="1" t="s">
        <v>409</v>
      </c>
      <c r="G475" s="74" t="s">
        <v>429</v>
      </c>
      <c r="H475" s="5">
        <v>1</v>
      </c>
      <c r="I475" s="5" t="str">
        <f>VLOOKUP(F475,'Set up'!$A$2:$C$70,3,FALSE)</f>
        <v>Cash</v>
      </c>
      <c r="J475" s="5">
        <f>VLOOKUP(F475,'Set up'!$A$2:$D$70,4,FALSE)</f>
        <v>0</v>
      </c>
      <c r="K475" s="4">
        <f t="shared" si="75"/>
        <v>44552</v>
      </c>
      <c r="L475" s="5">
        <f t="shared" si="76"/>
        <v>12</v>
      </c>
      <c r="M475" s="5">
        <f t="shared" si="77"/>
        <v>2021</v>
      </c>
      <c r="N475" s="6">
        <v>1000</v>
      </c>
      <c r="O475" s="6">
        <f>-N475</f>
        <v>-1000</v>
      </c>
      <c r="P475" s="6">
        <f t="shared" si="80"/>
        <v>0</v>
      </c>
      <c r="Q475" s="7">
        <f t="shared" si="78"/>
        <v>792486.04999999993</v>
      </c>
      <c r="R475" s="44" t="str">
        <f>VLOOKUP(F475,'Set up'!$A$2:$E$70,5,FALSE)</f>
        <v>Trsf</v>
      </c>
      <c r="S475" s="1" t="s">
        <v>676</v>
      </c>
    </row>
    <row r="476" spans="1:19" ht="28.8" x14ac:dyDescent="0.3">
      <c r="A476" s="4">
        <v>44552</v>
      </c>
      <c r="B476" s="5">
        <f t="shared" si="73"/>
        <v>12</v>
      </c>
      <c r="C476" s="5">
        <f t="shared" si="74"/>
        <v>2021</v>
      </c>
      <c r="D476" s="5" t="s">
        <v>522</v>
      </c>
      <c r="E476" s="5" t="str">
        <f>VLOOKUP(F476,'Set up'!$A$2:$C$70,2,FALSE)</f>
        <v>C00000020</v>
      </c>
      <c r="F476" s="1" t="s">
        <v>409</v>
      </c>
      <c r="G476" s="74" t="s">
        <v>64</v>
      </c>
      <c r="H476" s="5">
        <v>3</v>
      </c>
      <c r="I476" s="5" t="str">
        <f>VLOOKUP(F476,'Set up'!$A$2:$C$70,3,FALSE)</f>
        <v>Cash</v>
      </c>
      <c r="J476" s="5">
        <f>VLOOKUP(F476,'Set up'!$A$2:$D$70,4,FALSE)</f>
        <v>0</v>
      </c>
      <c r="K476" s="4">
        <f t="shared" si="75"/>
        <v>44552</v>
      </c>
      <c r="L476" s="5">
        <f t="shared" si="76"/>
        <v>12</v>
      </c>
      <c r="M476" s="5">
        <f t="shared" si="77"/>
        <v>2021</v>
      </c>
      <c r="N476" s="6">
        <v>187.5</v>
      </c>
      <c r="O476" s="6">
        <f>-N476</f>
        <v>-187.5</v>
      </c>
      <c r="P476" s="6">
        <f t="shared" si="80"/>
        <v>0</v>
      </c>
      <c r="Q476" s="7">
        <f t="shared" si="78"/>
        <v>792673.54999999993</v>
      </c>
      <c r="R476" s="44" t="str">
        <f>VLOOKUP(F476,'Set up'!$A$2:$E$70,5,FALSE)</f>
        <v>Trsf</v>
      </c>
      <c r="S476" s="1" t="s">
        <v>676</v>
      </c>
    </row>
    <row r="477" spans="1:19" x14ac:dyDescent="0.3">
      <c r="A477" s="4">
        <v>44552</v>
      </c>
      <c r="B477" s="5">
        <f t="shared" si="73"/>
        <v>12</v>
      </c>
      <c r="C477" s="5">
        <f t="shared" si="74"/>
        <v>2021</v>
      </c>
      <c r="D477" s="5" t="s">
        <v>522</v>
      </c>
      <c r="E477" s="5" t="str">
        <f>VLOOKUP(F477,'Set up'!$A$2:$C$70,2,FALSE)</f>
        <v>C00000020</v>
      </c>
      <c r="F477" s="1" t="s">
        <v>409</v>
      </c>
      <c r="G477" s="55" t="s">
        <v>515</v>
      </c>
      <c r="H477" s="5">
        <v>8</v>
      </c>
      <c r="I477" s="5" t="str">
        <f>VLOOKUP(F477,'Set up'!$A$2:$C$70,3,FALSE)</f>
        <v>Cash</v>
      </c>
      <c r="J477" s="5">
        <f>VLOOKUP(F477,'Set up'!$A$2:$D$70,4,FALSE)</f>
        <v>0</v>
      </c>
      <c r="K477" s="4">
        <f t="shared" si="75"/>
        <v>44552</v>
      </c>
      <c r="L477" s="5">
        <f t="shared" si="76"/>
        <v>12</v>
      </c>
      <c r="M477" s="5">
        <f t="shared" si="77"/>
        <v>2021</v>
      </c>
      <c r="N477" s="6">
        <v>3108</v>
      </c>
      <c r="O477" s="6">
        <f>-432.8-2675.2</f>
        <v>-3108</v>
      </c>
      <c r="P477" s="6">
        <f t="shared" si="80"/>
        <v>0</v>
      </c>
      <c r="Q477" s="7">
        <f t="shared" si="78"/>
        <v>795781.54999999993</v>
      </c>
      <c r="R477" s="44" t="str">
        <f>VLOOKUP(F477,'Set up'!$A$2:$E$70,5,FALSE)</f>
        <v>Trsf</v>
      </c>
      <c r="S477" s="1" t="s">
        <v>678</v>
      </c>
    </row>
    <row r="478" spans="1:19" x14ac:dyDescent="0.3">
      <c r="A478" s="4">
        <v>44554</v>
      </c>
      <c r="B478" s="5">
        <f t="shared" si="73"/>
        <v>12</v>
      </c>
      <c r="C478" s="5">
        <f t="shared" si="74"/>
        <v>2021</v>
      </c>
      <c r="D478" s="5" t="s">
        <v>529</v>
      </c>
      <c r="E478" s="5" t="str">
        <f>VLOOKUP(F478,'Set up'!$A$2:$C$70,2,FALSE)</f>
        <v>C00000020</v>
      </c>
      <c r="F478" s="1" t="s">
        <v>409</v>
      </c>
      <c r="G478" s="55" t="s">
        <v>515</v>
      </c>
      <c r="H478" s="5">
        <v>2</v>
      </c>
      <c r="I478" s="5" t="str">
        <f>VLOOKUP(F478,'Set up'!$A$2:$C$70,3,FALSE)</f>
        <v>Cash</v>
      </c>
      <c r="J478" s="5">
        <f>VLOOKUP(F478,'Set up'!$A$2:$D$70,4,FALSE)</f>
        <v>0</v>
      </c>
      <c r="K478" s="4">
        <f t="shared" si="75"/>
        <v>44554</v>
      </c>
      <c r="L478" s="5">
        <f t="shared" si="76"/>
        <v>12</v>
      </c>
      <c r="M478" s="5">
        <f t="shared" si="77"/>
        <v>2021</v>
      </c>
      <c r="N478" s="6">
        <v>777</v>
      </c>
      <c r="O478" s="6">
        <f>-N478</f>
        <v>-777</v>
      </c>
      <c r="P478" s="6">
        <f t="shared" si="80"/>
        <v>0</v>
      </c>
      <c r="Q478" s="7">
        <f t="shared" si="78"/>
        <v>796558.54999999993</v>
      </c>
      <c r="R478" s="44" t="str">
        <f>VLOOKUP(F478,'Set up'!$A$2:$E$70,5,FALSE)</f>
        <v>Trsf</v>
      </c>
      <c r="S478" s="1" t="s">
        <v>738</v>
      </c>
    </row>
    <row r="479" spans="1:19" x14ac:dyDescent="0.3">
      <c r="A479" s="4">
        <v>44557</v>
      </c>
      <c r="B479" s="5">
        <f t="shared" si="73"/>
        <v>12</v>
      </c>
      <c r="C479" s="5">
        <f t="shared" si="74"/>
        <v>2021</v>
      </c>
      <c r="D479" s="5" t="s">
        <v>530</v>
      </c>
      <c r="E479" s="5" t="str">
        <f>VLOOKUP(F479,'Set up'!$A$2:$C$70,2,FALSE)</f>
        <v>C00000020</v>
      </c>
      <c r="F479" s="1" t="s">
        <v>409</v>
      </c>
      <c r="G479" s="55" t="s">
        <v>515</v>
      </c>
      <c r="H479" s="5">
        <v>2</v>
      </c>
      <c r="I479" s="5" t="str">
        <f>VLOOKUP(F479,'Set up'!$A$2:$C$70,3,FALSE)</f>
        <v>Cash</v>
      </c>
      <c r="J479" s="5">
        <f>VLOOKUP(F479,'Set up'!$A$2:$D$70,4,FALSE)</f>
        <v>0</v>
      </c>
      <c r="K479" s="4">
        <f t="shared" si="75"/>
        <v>44557</v>
      </c>
      <c r="L479" s="5">
        <f t="shared" si="76"/>
        <v>12</v>
      </c>
      <c r="M479" s="5">
        <f t="shared" si="77"/>
        <v>2021</v>
      </c>
      <c r="N479" s="6">
        <v>777</v>
      </c>
      <c r="O479" s="6">
        <f>-N479</f>
        <v>-777</v>
      </c>
      <c r="P479" s="6">
        <f t="shared" si="80"/>
        <v>0</v>
      </c>
      <c r="Q479" s="7">
        <f t="shared" si="78"/>
        <v>797335.54999999993</v>
      </c>
      <c r="R479" s="44" t="str">
        <f>VLOOKUP(F479,'Set up'!$A$2:$E$70,5,FALSE)</f>
        <v>Trsf</v>
      </c>
      <c r="S479" s="1" t="s">
        <v>738</v>
      </c>
    </row>
    <row r="480" spans="1:19" x14ac:dyDescent="0.3">
      <c r="A480" s="4">
        <v>44557</v>
      </c>
      <c r="B480" s="5">
        <f t="shared" si="73"/>
        <v>12</v>
      </c>
      <c r="C480" s="5">
        <f t="shared" si="74"/>
        <v>2021</v>
      </c>
      <c r="D480" s="5" t="s">
        <v>530</v>
      </c>
      <c r="E480" s="5" t="str">
        <f>VLOOKUP(F480,'Set up'!$A$2:$C$70,2,FALSE)</f>
        <v>C00000020</v>
      </c>
      <c r="F480" s="1" t="s">
        <v>409</v>
      </c>
      <c r="G480" s="56" t="s">
        <v>258</v>
      </c>
      <c r="H480" s="5">
        <v>1</v>
      </c>
      <c r="I480" s="5" t="str">
        <f>VLOOKUP(F480,'Set up'!$A$2:$C$70,3,FALSE)</f>
        <v>Cash</v>
      </c>
      <c r="J480" s="5">
        <f>VLOOKUP(F480,'Set up'!$A$2:$D$70,4,FALSE)</f>
        <v>0</v>
      </c>
      <c r="K480" s="4">
        <f t="shared" si="75"/>
        <v>44557</v>
      </c>
      <c r="L480" s="5">
        <f t="shared" si="76"/>
        <v>12</v>
      </c>
      <c r="M480" s="5">
        <f t="shared" si="77"/>
        <v>2021</v>
      </c>
      <c r="N480" s="6">
        <v>300</v>
      </c>
      <c r="O480" s="6">
        <f>-N480</f>
        <v>-300</v>
      </c>
      <c r="P480" s="6">
        <f t="shared" si="80"/>
        <v>0</v>
      </c>
      <c r="Q480" s="7">
        <f t="shared" si="78"/>
        <v>797635.54999999993</v>
      </c>
      <c r="R480" s="44" t="str">
        <f>VLOOKUP(F480,'Set up'!$A$2:$E$70,5,FALSE)</f>
        <v>Trsf</v>
      </c>
      <c r="S480" s="1" t="s">
        <v>738</v>
      </c>
    </row>
    <row r="481" spans="1:19" ht="28.8" x14ac:dyDescent="0.3">
      <c r="A481" s="4">
        <v>44558</v>
      </c>
      <c r="B481" s="5">
        <f t="shared" si="73"/>
        <v>12</v>
      </c>
      <c r="C481" s="5">
        <f t="shared" si="74"/>
        <v>2021</v>
      </c>
      <c r="D481" s="5" t="s">
        <v>531</v>
      </c>
      <c r="E481" s="5" t="str">
        <f>VLOOKUP(F481,'Set up'!$A$2:$C$70,2,FALSE)</f>
        <v>C00000001</v>
      </c>
      <c r="F481" s="1" t="s">
        <v>7</v>
      </c>
      <c r="G481" s="74" t="s">
        <v>67</v>
      </c>
      <c r="H481" s="5">
        <v>2</v>
      </c>
      <c r="I481" s="5" t="str">
        <f>VLOOKUP(F481,'Set up'!$A$2:$C$70,3,FALSE)</f>
        <v>Cash</v>
      </c>
      <c r="J481" s="5">
        <f>VLOOKUP(F481,'Set up'!$A$2:$D$70,4,FALSE)</f>
        <v>0</v>
      </c>
      <c r="K481" s="4">
        <f t="shared" si="75"/>
        <v>44558</v>
      </c>
      <c r="L481" s="5">
        <f t="shared" si="76"/>
        <v>12</v>
      </c>
      <c r="M481" s="5">
        <f t="shared" si="77"/>
        <v>2021</v>
      </c>
      <c r="N481" s="6">
        <v>4136</v>
      </c>
      <c r="O481" s="6">
        <f>-N481</f>
        <v>-4136</v>
      </c>
      <c r="P481" s="6">
        <f t="shared" si="80"/>
        <v>0</v>
      </c>
      <c r="Q481" s="7">
        <f t="shared" si="78"/>
        <v>801771.54999999993</v>
      </c>
      <c r="R481" s="44" t="str">
        <f>VLOOKUP(F481,'Set up'!$A$2:$E$70,5,FALSE)</f>
        <v>Trsf</v>
      </c>
      <c r="S481" s="1" t="s">
        <v>544</v>
      </c>
    </row>
    <row r="482" spans="1:19" ht="46.8" x14ac:dyDescent="0.3">
      <c r="A482" s="4">
        <v>44558</v>
      </c>
      <c r="B482" s="5">
        <f t="shared" si="73"/>
        <v>12</v>
      </c>
      <c r="C482" s="5">
        <f t="shared" si="74"/>
        <v>2021</v>
      </c>
      <c r="D482" s="5" t="s">
        <v>531</v>
      </c>
      <c r="E482" s="5" t="str">
        <f>VLOOKUP(F482,'Set up'!$A$2:$C$70,2,FALSE)</f>
        <v>C00000001</v>
      </c>
      <c r="F482" s="1" t="s">
        <v>7</v>
      </c>
      <c r="G482" s="79" t="s">
        <v>533</v>
      </c>
      <c r="H482" s="5">
        <v>5</v>
      </c>
      <c r="I482" s="5" t="str">
        <f>VLOOKUP(F482,'Set up'!$A$2:$C$70,3,FALSE)</f>
        <v>Cash</v>
      </c>
      <c r="J482" s="5">
        <f>VLOOKUP(F482,'Set up'!$A$2:$D$70,4,FALSE)</f>
        <v>0</v>
      </c>
      <c r="K482" s="4">
        <f t="shared" si="75"/>
        <v>44558</v>
      </c>
      <c r="L482" s="5">
        <f t="shared" si="76"/>
        <v>12</v>
      </c>
      <c r="M482" s="5">
        <f t="shared" si="77"/>
        <v>2021</v>
      </c>
      <c r="N482" s="6">
        <v>1455</v>
      </c>
      <c r="O482" s="6">
        <f>-N482</f>
        <v>-1455</v>
      </c>
      <c r="P482" s="6">
        <f t="shared" si="80"/>
        <v>0</v>
      </c>
      <c r="Q482" s="7">
        <f t="shared" si="78"/>
        <v>803226.54999999993</v>
      </c>
      <c r="R482" s="44" t="str">
        <f>VLOOKUP(F482,'Set up'!$A$2:$E$70,5,FALSE)</f>
        <v>Trsf</v>
      </c>
      <c r="S482" s="1" t="s">
        <v>544</v>
      </c>
    </row>
    <row r="483" spans="1:19" ht="28.8" x14ac:dyDescent="0.3">
      <c r="A483" s="4">
        <v>44560</v>
      </c>
      <c r="B483" s="5">
        <f t="shared" si="73"/>
        <v>12</v>
      </c>
      <c r="C483" s="5">
        <f t="shared" si="74"/>
        <v>2021</v>
      </c>
      <c r="D483" s="5" t="s">
        <v>532</v>
      </c>
      <c r="E483" s="5" t="str">
        <f>VLOOKUP(F483,'Set up'!$A$2:$C$70,2,FALSE)</f>
        <v>C00000020</v>
      </c>
      <c r="F483" s="1" t="s">
        <v>409</v>
      </c>
      <c r="G483" s="74" t="s">
        <v>67</v>
      </c>
      <c r="H483" s="5">
        <v>5</v>
      </c>
      <c r="I483" s="5" t="str">
        <f>VLOOKUP(F483,'Set up'!$A$2:$C$70,3,FALSE)</f>
        <v>Cash</v>
      </c>
      <c r="J483" s="5">
        <f>VLOOKUP(F483,'Set up'!$A$2:$D$70,4,FALSE)</f>
        <v>0</v>
      </c>
      <c r="K483" s="4">
        <f t="shared" si="75"/>
        <v>44560</v>
      </c>
      <c r="L483" s="5">
        <f t="shared" si="76"/>
        <v>12</v>
      </c>
      <c r="M483" s="5">
        <f t="shared" si="77"/>
        <v>2021</v>
      </c>
      <c r="N483" s="6">
        <v>10450</v>
      </c>
      <c r="O483" s="6">
        <f>-1470.8-6200-2779.2</f>
        <v>-10450</v>
      </c>
      <c r="P483" s="6">
        <f t="shared" si="80"/>
        <v>0</v>
      </c>
      <c r="Q483" s="7">
        <f t="shared" si="78"/>
        <v>813676.54999999993</v>
      </c>
      <c r="R483" s="44" t="str">
        <f>VLOOKUP(F483,'Set up'!$A$2:$E$70,5,FALSE)</f>
        <v>Trsf</v>
      </c>
      <c r="S483" s="1" t="s">
        <v>739</v>
      </c>
    </row>
    <row r="484" spans="1:19" x14ac:dyDescent="0.3">
      <c r="A484" s="4">
        <v>44560</v>
      </c>
      <c r="B484" s="5">
        <f t="shared" si="73"/>
        <v>12</v>
      </c>
      <c r="C484" s="5">
        <f t="shared" si="74"/>
        <v>2021</v>
      </c>
      <c r="D484" s="5" t="s">
        <v>532</v>
      </c>
      <c r="E484" s="5" t="str">
        <f>VLOOKUP(F484,'Set up'!$A$2:$C$70,2,FALSE)</f>
        <v>C00000020</v>
      </c>
      <c r="F484" s="1" t="s">
        <v>409</v>
      </c>
      <c r="G484" s="56" t="s">
        <v>533</v>
      </c>
      <c r="H484" s="5">
        <v>15</v>
      </c>
      <c r="I484" s="5" t="str">
        <f>VLOOKUP(F484,'Set up'!$A$2:$C$70,3,FALSE)</f>
        <v>Cash</v>
      </c>
      <c r="J484" s="5">
        <f>VLOOKUP(F484,'Set up'!$A$2:$D$70,4,FALSE)</f>
        <v>0</v>
      </c>
      <c r="K484" s="4">
        <f t="shared" si="75"/>
        <v>44560</v>
      </c>
      <c r="L484" s="5">
        <f t="shared" si="76"/>
        <v>12</v>
      </c>
      <c r="M484" s="5">
        <f t="shared" si="77"/>
        <v>2021</v>
      </c>
      <c r="N484" s="6">
        <v>4410</v>
      </c>
      <c r="O484" s="6">
        <f>-4220.8-189.2</f>
        <v>-4410</v>
      </c>
      <c r="P484" s="6">
        <f t="shared" si="80"/>
        <v>0</v>
      </c>
      <c r="Q484" s="7">
        <f t="shared" si="78"/>
        <v>818086.54999999993</v>
      </c>
      <c r="R484" s="44" t="str">
        <f>VLOOKUP(F484,'Set up'!$A$2:$E$70,5,FALSE)</f>
        <v>Trsf</v>
      </c>
      <c r="S484" s="11" t="s">
        <v>730</v>
      </c>
    </row>
    <row r="485" spans="1:19" ht="62.4" x14ac:dyDescent="0.3">
      <c r="A485" s="4">
        <v>44560</v>
      </c>
      <c r="B485" s="5">
        <f t="shared" si="73"/>
        <v>12</v>
      </c>
      <c r="C485" s="5">
        <f t="shared" si="74"/>
        <v>2021</v>
      </c>
      <c r="D485" s="5" t="s">
        <v>532</v>
      </c>
      <c r="E485" s="5" t="str">
        <f>VLOOKUP(F485,'Set up'!$A$2:$C$70,2,FALSE)</f>
        <v>C00000020</v>
      </c>
      <c r="F485" s="1" t="s">
        <v>409</v>
      </c>
      <c r="G485" s="79" t="s">
        <v>534</v>
      </c>
      <c r="H485" s="5">
        <v>8</v>
      </c>
      <c r="I485" s="5" t="str">
        <f>VLOOKUP(F485,'Set up'!$A$2:$C$70,3,FALSE)</f>
        <v>Cash</v>
      </c>
      <c r="J485" s="5">
        <f>VLOOKUP(F485,'Set up'!$A$2:$D$70,4,FALSE)</f>
        <v>0</v>
      </c>
      <c r="K485" s="4">
        <f t="shared" si="75"/>
        <v>44560</v>
      </c>
      <c r="L485" s="5">
        <f t="shared" si="76"/>
        <v>12</v>
      </c>
      <c r="M485" s="5">
        <f t="shared" si="77"/>
        <v>2021</v>
      </c>
      <c r="N485" s="6">
        <v>2808</v>
      </c>
      <c r="O485" s="6">
        <f>-N485</f>
        <v>-2808</v>
      </c>
      <c r="P485" s="6">
        <f t="shared" si="80"/>
        <v>0</v>
      </c>
      <c r="Q485" s="7">
        <f t="shared" si="78"/>
        <v>820894.54999999993</v>
      </c>
      <c r="R485" s="44" t="str">
        <f>VLOOKUP(F485,'Set up'!$A$2:$E$70,5,FALSE)</f>
        <v>Trsf</v>
      </c>
      <c r="S485" s="1" t="s">
        <v>731</v>
      </c>
    </row>
    <row r="486" spans="1:19" ht="28.8" x14ac:dyDescent="0.3">
      <c r="A486" s="4">
        <v>44560</v>
      </c>
      <c r="B486" s="5">
        <f t="shared" si="73"/>
        <v>12</v>
      </c>
      <c r="C486" s="5">
        <f t="shared" si="74"/>
        <v>2021</v>
      </c>
      <c r="D486" s="5" t="s">
        <v>532</v>
      </c>
      <c r="E486" s="5" t="str">
        <f>VLOOKUP(F486,'Set up'!$A$2:$C$70,2,FALSE)</f>
        <v>C00000020</v>
      </c>
      <c r="F486" s="1" t="s">
        <v>409</v>
      </c>
      <c r="G486" s="74" t="s">
        <v>64</v>
      </c>
      <c r="H486" s="5">
        <v>5</v>
      </c>
      <c r="I486" s="5" t="str">
        <f>VLOOKUP(F486,'Set up'!$A$2:$C$70,3,FALSE)</f>
        <v>Cash</v>
      </c>
      <c r="J486" s="5">
        <f>VLOOKUP(F486,'Set up'!$A$2:$D$70,4,FALSE)</f>
        <v>0</v>
      </c>
      <c r="K486" s="4">
        <f t="shared" si="75"/>
        <v>44560</v>
      </c>
      <c r="L486" s="5">
        <f t="shared" si="76"/>
        <v>12</v>
      </c>
      <c r="M486" s="5">
        <f t="shared" si="77"/>
        <v>2021</v>
      </c>
      <c r="N486" s="6">
        <v>312.5</v>
      </c>
      <c r="O486" s="6">
        <f>-2.8-309.7</f>
        <v>-312.5</v>
      </c>
      <c r="P486" s="6">
        <f t="shared" si="80"/>
        <v>0</v>
      </c>
      <c r="Q486" s="7">
        <f t="shared" si="78"/>
        <v>821207.04999999993</v>
      </c>
      <c r="R486" s="44" t="str">
        <f>VLOOKUP(F486,'Set up'!$A$2:$E$70,5,FALSE)</f>
        <v>Trsf</v>
      </c>
      <c r="S486" s="1" t="s">
        <v>732</v>
      </c>
    </row>
    <row r="487" spans="1:19" ht="28.8" x14ac:dyDescent="0.3">
      <c r="A487" s="4">
        <v>44560</v>
      </c>
      <c r="B487" s="5">
        <f t="shared" si="73"/>
        <v>12</v>
      </c>
      <c r="C487" s="5">
        <f t="shared" si="74"/>
        <v>2021</v>
      </c>
      <c r="D487" s="5" t="s">
        <v>532</v>
      </c>
      <c r="E487" s="5" t="str">
        <f>VLOOKUP(F487,'Set up'!$A$2:$C$70,2,FALSE)</f>
        <v>C00000020</v>
      </c>
      <c r="F487" s="1" t="s">
        <v>409</v>
      </c>
      <c r="G487" s="74" t="s">
        <v>429</v>
      </c>
      <c r="H487" s="5">
        <v>1</v>
      </c>
      <c r="I487" s="5" t="str">
        <f>VLOOKUP(F487,'Set up'!$A$2:$C$70,3,FALSE)</f>
        <v>Cash</v>
      </c>
      <c r="J487" s="5">
        <f>VLOOKUP(F487,'Set up'!$A$2:$D$70,4,FALSE)</f>
        <v>0</v>
      </c>
      <c r="K487" s="4">
        <f t="shared" si="75"/>
        <v>44560</v>
      </c>
      <c r="L487" s="5">
        <f t="shared" si="76"/>
        <v>12</v>
      </c>
      <c r="M487" s="5">
        <f t="shared" si="77"/>
        <v>2021</v>
      </c>
      <c r="N487" s="6">
        <v>1000</v>
      </c>
      <c r="O487" s="6">
        <f t="shared" ref="O487:O494" si="81">-N487</f>
        <v>-1000</v>
      </c>
      <c r="P487" s="6">
        <f t="shared" si="80"/>
        <v>0</v>
      </c>
      <c r="Q487" s="7">
        <f t="shared" si="78"/>
        <v>822207.04999999993</v>
      </c>
      <c r="R487" s="44" t="str">
        <f>VLOOKUP(F487,'Set up'!$A$2:$E$70,5,FALSE)</f>
        <v>Trsf</v>
      </c>
      <c r="S487" s="1" t="s">
        <v>733</v>
      </c>
    </row>
    <row r="488" spans="1:19" ht="28.8" x14ac:dyDescent="0.3">
      <c r="A488" s="4">
        <v>44560</v>
      </c>
      <c r="B488" s="5">
        <f t="shared" si="73"/>
        <v>12</v>
      </c>
      <c r="C488" s="5">
        <f t="shared" si="74"/>
        <v>2021</v>
      </c>
      <c r="D488" s="5" t="s">
        <v>532</v>
      </c>
      <c r="E488" s="5" t="str">
        <f>VLOOKUP(F488,'Set up'!$A$2:$C$70,2,FALSE)</f>
        <v>C00000020</v>
      </c>
      <c r="F488" s="1" t="s">
        <v>409</v>
      </c>
      <c r="G488" s="74" t="s">
        <v>381</v>
      </c>
      <c r="H488" s="5">
        <v>4</v>
      </c>
      <c r="I488" s="5" t="str">
        <f>VLOOKUP(F488,'Set up'!$A$2:$C$70,3,FALSE)</f>
        <v>Cash</v>
      </c>
      <c r="J488" s="5">
        <f>VLOOKUP(F488,'Set up'!$A$2:$D$70,4,FALSE)</f>
        <v>0</v>
      </c>
      <c r="K488" s="4">
        <f t="shared" si="75"/>
        <v>44560</v>
      </c>
      <c r="L488" s="5">
        <f t="shared" si="76"/>
        <v>12</v>
      </c>
      <c r="M488" s="5">
        <f t="shared" si="77"/>
        <v>2021</v>
      </c>
      <c r="N488" s="6">
        <v>340</v>
      </c>
      <c r="O488" s="6">
        <f t="shared" si="81"/>
        <v>-340</v>
      </c>
      <c r="P488" s="6">
        <f t="shared" si="80"/>
        <v>0</v>
      </c>
      <c r="Q488" s="7">
        <f t="shared" si="78"/>
        <v>822547.04999999993</v>
      </c>
      <c r="R488" s="44" t="str">
        <f>VLOOKUP(F488,'Set up'!$A$2:$E$70,5,FALSE)</f>
        <v>Trsf</v>
      </c>
      <c r="S488" s="1" t="s">
        <v>733</v>
      </c>
    </row>
    <row r="489" spans="1:19" ht="46.8" x14ac:dyDescent="0.3">
      <c r="A489" s="4">
        <v>44561</v>
      </c>
      <c r="B489" s="5">
        <f t="shared" si="73"/>
        <v>12</v>
      </c>
      <c r="C489" s="5">
        <f t="shared" si="74"/>
        <v>2021</v>
      </c>
      <c r="D489" s="5" t="s">
        <v>535</v>
      </c>
      <c r="E489" s="5" t="str">
        <f>VLOOKUP(F489,'Set up'!$A$2:$C$70,2,FALSE)</f>
        <v>C00000010</v>
      </c>
      <c r="F489" s="1" t="s">
        <v>62</v>
      </c>
      <c r="G489" s="79" t="s">
        <v>303</v>
      </c>
      <c r="H489" s="5">
        <v>4</v>
      </c>
      <c r="I489" s="5">
        <f>VLOOKUP(F489,'Set up'!$A$2:$C$70,3,FALSE)</f>
        <v>120</v>
      </c>
      <c r="J489" s="5">
        <f>VLOOKUP(F489,'Set up'!$A$2:$D$70,4,FALSE)</f>
        <v>120</v>
      </c>
      <c r="K489" s="4">
        <f t="shared" si="75"/>
        <v>44681</v>
      </c>
      <c r="L489" s="5">
        <f t="shared" si="76"/>
        <v>4</v>
      </c>
      <c r="M489" s="5">
        <f t="shared" si="77"/>
        <v>2022</v>
      </c>
      <c r="N489" s="6">
        <v>8096</v>
      </c>
      <c r="O489" s="6">
        <f t="shared" si="81"/>
        <v>-8096</v>
      </c>
      <c r="P489" s="6">
        <f t="shared" si="80"/>
        <v>0</v>
      </c>
      <c r="Q489" s="7">
        <f t="shared" si="78"/>
        <v>830643.04999999993</v>
      </c>
      <c r="R489" s="44" t="str">
        <f>VLOOKUP(F489,'Set up'!$A$2:$E$70,5,FALSE)</f>
        <v>Trsf</v>
      </c>
      <c r="S489" s="1" t="s">
        <v>667</v>
      </c>
    </row>
    <row r="490" spans="1:19" ht="28.8" x14ac:dyDescent="0.3">
      <c r="A490" s="4">
        <v>44561</v>
      </c>
      <c r="B490" s="5">
        <f t="shared" si="73"/>
        <v>12</v>
      </c>
      <c r="C490" s="5">
        <f t="shared" si="74"/>
        <v>2021</v>
      </c>
      <c r="D490" s="5" t="s">
        <v>535</v>
      </c>
      <c r="E490" s="5" t="str">
        <f>VLOOKUP(F490,'Set up'!$A$2:$C$70,2,FALSE)</f>
        <v>C00000010</v>
      </c>
      <c r="F490" s="1" t="s">
        <v>62</v>
      </c>
      <c r="G490" s="74" t="s">
        <v>67</v>
      </c>
      <c r="H490" s="5">
        <v>1</v>
      </c>
      <c r="I490" s="5">
        <f>VLOOKUP(F490,'Set up'!$A$2:$C$70,3,FALSE)</f>
        <v>120</v>
      </c>
      <c r="J490" s="5">
        <f>VLOOKUP(F490,'Set up'!$A$2:$D$70,4,FALSE)</f>
        <v>120</v>
      </c>
      <c r="K490" s="4">
        <f t="shared" si="75"/>
        <v>44681</v>
      </c>
      <c r="L490" s="5">
        <f t="shared" si="76"/>
        <v>4</v>
      </c>
      <c r="M490" s="5">
        <f t="shared" si="77"/>
        <v>2022</v>
      </c>
      <c r="N490" s="6">
        <v>2024</v>
      </c>
      <c r="O490" s="6">
        <f t="shared" si="81"/>
        <v>-2024</v>
      </c>
      <c r="P490" s="6">
        <f t="shared" si="80"/>
        <v>0</v>
      </c>
      <c r="Q490" s="7">
        <f t="shared" si="78"/>
        <v>832667.04999999993</v>
      </c>
      <c r="R490" s="44" t="str">
        <f>VLOOKUP(F490,'Set up'!$A$2:$E$70,5,FALSE)</f>
        <v>Trsf</v>
      </c>
      <c r="S490" s="1" t="s">
        <v>667</v>
      </c>
    </row>
    <row r="491" spans="1:19" ht="46.8" x14ac:dyDescent="0.3">
      <c r="A491" s="4">
        <v>44561</v>
      </c>
      <c r="B491" s="5">
        <f t="shared" si="73"/>
        <v>12</v>
      </c>
      <c r="C491" s="5">
        <f t="shared" si="74"/>
        <v>2021</v>
      </c>
      <c r="D491" s="5" t="s">
        <v>536</v>
      </c>
      <c r="E491" s="5" t="str">
        <f>VLOOKUP(F491,'Set up'!$A$2:$C$70,2,FALSE)</f>
        <v>C00000019</v>
      </c>
      <c r="F491" s="1" t="s">
        <v>400</v>
      </c>
      <c r="G491" s="79" t="s">
        <v>303</v>
      </c>
      <c r="H491" s="5">
        <v>2</v>
      </c>
      <c r="I491" s="5" t="str">
        <f>VLOOKUP(F491,'Set up'!$A$2:$C$70,3,FALSE)</f>
        <v>Cash</v>
      </c>
      <c r="J491" s="5">
        <f>VLOOKUP(F491,'Set up'!$A$2:$D$70,4,FALSE)</f>
        <v>0</v>
      </c>
      <c r="K491" s="4">
        <f t="shared" si="75"/>
        <v>44561</v>
      </c>
      <c r="L491" s="5">
        <f t="shared" si="76"/>
        <v>12</v>
      </c>
      <c r="M491" s="5">
        <f t="shared" si="77"/>
        <v>2021</v>
      </c>
      <c r="N491" s="6">
        <v>4136</v>
      </c>
      <c r="O491" s="6">
        <f t="shared" si="81"/>
        <v>-4136</v>
      </c>
      <c r="P491" s="6">
        <f t="shared" si="80"/>
        <v>0</v>
      </c>
      <c r="Q491" s="7">
        <f t="shared" si="78"/>
        <v>836803.04999999993</v>
      </c>
      <c r="R491" s="44" t="str">
        <f>VLOOKUP(F491,'Set up'!$A$2:$E$70,5,FALSE)</f>
        <v>Trsf</v>
      </c>
      <c r="S491" s="1" t="s">
        <v>579</v>
      </c>
    </row>
    <row r="492" spans="1:19" ht="31.2" x14ac:dyDescent="0.3">
      <c r="A492" s="4">
        <v>44561</v>
      </c>
      <c r="B492" s="5">
        <f t="shared" si="73"/>
        <v>12</v>
      </c>
      <c r="C492" s="5">
        <f t="shared" si="74"/>
        <v>2021</v>
      </c>
      <c r="D492" s="5" t="s">
        <v>536</v>
      </c>
      <c r="E492" s="5" t="str">
        <f>VLOOKUP(F492,'Set up'!$A$2:$C$70,2,FALSE)</f>
        <v>C00000019</v>
      </c>
      <c r="F492" s="1" t="s">
        <v>400</v>
      </c>
      <c r="G492" s="79" t="s">
        <v>64</v>
      </c>
      <c r="H492" s="5">
        <v>4</v>
      </c>
      <c r="I492" s="5" t="str">
        <f>VLOOKUP(F492,'Set up'!$A$2:$C$70,3,FALSE)</f>
        <v>Cash</v>
      </c>
      <c r="J492" s="5">
        <f>VLOOKUP(F492,'Set up'!$A$2:$D$70,4,FALSE)</f>
        <v>0</v>
      </c>
      <c r="K492" s="4">
        <f t="shared" si="75"/>
        <v>44561</v>
      </c>
      <c r="L492" s="5">
        <f t="shared" si="76"/>
        <v>12</v>
      </c>
      <c r="M492" s="5">
        <f t="shared" si="77"/>
        <v>2021</v>
      </c>
      <c r="N492" s="6">
        <v>250</v>
      </c>
      <c r="O492" s="6">
        <f t="shared" si="81"/>
        <v>-250</v>
      </c>
      <c r="P492" s="6">
        <f t="shared" si="80"/>
        <v>0</v>
      </c>
      <c r="Q492" s="7">
        <f t="shared" si="78"/>
        <v>837053.04999999993</v>
      </c>
      <c r="R492" s="44" t="str">
        <f>VLOOKUP(F492,'Set up'!$A$2:$E$70,5,FALSE)</f>
        <v>Trsf</v>
      </c>
      <c r="S492" s="1" t="s">
        <v>579</v>
      </c>
    </row>
    <row r="493" spans="1:19" x14ac:dyDescent="0.3">
      <c r="A493" s="4">
        <v>44561</v>
      </c>
      <c r="B493" s="5">
        <f t="shared" si="73"/>
        <v>12</v>
      </c>
      <c r="C493" s="5">
        <f t="shared" si="74"/>
        <v>2021</v>
      </c>
      <c r="D493" s="5" t="s">
        <v>536</v>
      </c>
      <c r="E493" s="5" t="str">
        <f>VLOOKUP(F493,'Set up'!$A$2:$C$70,2,FALSE)</f>
        <v>C00000019</v>
      </c>
      <c r="F493" s="1" t="s">
        <v>400</v>
      </c>
      <c r="G493" s="11" t="s">
        <v>46</v>
      </c>
      <c r="H493" s="5">
        <v>1</v>
      </c>
      <c r="I493" s="5" t="str">
        <f>VLOOKUP(F493,'Set up'!$A$2:$C$70,3,FALSE)</f>
        <v>Cash</v>
      </c>
      <c r="J493" s="5">
        <f>VLOOKUP(F493,'Set up'!$A$2:$D$70,4,FALSE)</f>
        <v>0</v>
      </c>
      <c r="K493" s="4">
        <f t="shared" si="75"/>
        <v>44561</v>
      </c>
      <c r="L493" s="5">
        <f t="shared" si="76"/>
        <v>12</v>
      </c>
      <c r="M493" s="5">
        <f t="shared" si="77"/>
        <v>2021</v>
      </c>
      <c r="N493" s="6">
        <v>105</v>
      </c>
      <c r="O493" s="6">
        <f t="shared" si="81"/>
        <v>-105</v>
      </c>
      <c r="P493" s="6">
        <f t="shared" si="80"/>
        <v>0</v>
      </c>
      <c r="Q493" s="7">
        <f t="shared" si="78"/>
        <v>837158.04999999993</v>
      </c>
      <c r="R493" s="44" t="str">
        <f>VLOOKUP(F493,'Set up'!$A$2:$E$70,5,FALSE)</f>
        <v>Trsf</v>
      </c>
      <c r="S493" s="1" t="s">
        <v>579</v>
      </c>
    </row>
    <row r="494" spans="1:19" x14ac:dyDescent="0.3">
      <c r="A494" s="4">
        <v>44561</v>
      </c>
      <c r="B494" s="5">
        <f t="shared" si="73"/>
        <v>12</v>
      </c>
      <c r="C494" s="5">
        <f t="shared" si="74"/>
        <v>2021</v>
      </c>
      <c r="D494" s="5" t="s">
        <v>536</v>
      </c>
      <c r="E494" s="5" t="str">
        <f>VLOOKUP(F494,'Set up'!$A$2:$C$70,2,FALSE)</f>
        <v>C00000019</v>
      </c>
      <c r="F494" s="1" t="s">
        <v>400</v>
      </c>
      <c r="G494" s="11" t="s">
        <v>478</v>
      </c>
      <c r="H494" s="5">
        <v>1</v>
      </c>
      <c r="I494" s="5" t="str">
        <f>VLOOKUP(F494,'Set up'!$A$2:$C$70,3,FALSE)</f>
        <v>Cash</v>
      </c>
      <c r="J494" s="5">
        <f>VLOOKUP(F494,'Set up'!$A$2:$D$70,4,FALSE)</f>
        <v>0</v>
      </c>
      <c r="K494" s="4">
        <f t="shared" si="75"/>
        <v>44561</v>
      </c>
      <c r="L494" s="5">
        <f t="shared" si="76"/>
        <v>12</v>
      </c>
      <c r="M494" s="5">
        <f t="shared" si="77"/>
        <v>2021</v>
      </c>
      <c r="N494" s="6">
        <v>523.79999999999995</v>
      </c>
      <c r="O494" s="6">
        <f t="shared" si="81"/>
        <v>-523.79999999999995</v>
      </c>
      <c r="P494" s="6">
        <f t="shared" si="80"/>
        <v>0</v>
      </c>
      <c r="Q494" s="7">
        <f t="shared" si="78"/>
        <v>837681.85</v>
      </c>
      <c r="R494" s="44" t="str">
        <f>VLOOKUP(F494,'Set up'!$A$2:$E$70,5,FALSE)</f>
        <v>Trsf</v>
      </c>
      <c r="S494" s="1" t="s">
        <v>579</v>
      </c>
    </row>
    <row r="495" spans="1:19" ht="15" customHeight="1" x14ac:dyDescent="0.3">
      <c r="A495" s="4">
        <v>44564</v>
      </c>
      <c r="B495" s="5">
        <f t="shared" si="73"/>
        <v>1</v>
      </c>
      <c r="C495" s="5">
        <f t="shared" si="74"/>
        <v>2022</v>
      </c>
      <c r="D495" s="5" t="s">
        <v>546</v>
      </c>
      <c r="E495" s="5" t="str">
        <f>VLOOKUP(F495,'Set up'!$A$2:$C$70,2,FALSE)</f>
        <v>C00000020</v>
      </c>
      <c r="F495" s="1" t="s">
        <v>409</v>
      </c>
      <c r="G495" s="11" t="s">
        <v>545</v>
      </c>
      <c r="H495" s="5">
        <v>3</v>
      </c>
      <c r="I495" s="5" t="str">
        <f>VLOOKUP(F495,'Set up'!$A$2:$C$70,3,FALSE)</f>
        <v>Cash</v>
      </c>
      <c r="J495" s="5">
        <f>VLOOKUP(F495,'Set up'!$A$2:$D$70,4,FALSE)</f>
        <v>0</v>
      </c>
      <c r="K495" s="4">
        <f t="shared" si="75"/>
        <v>44564</v>
      </c>
      <c r="L495" s="5">
        <f t="shared" si="76"/>
        <v>1</v>
      </c>
      <c r="M495" s="5">
        <f t="shared" si="77"/>
        <v>2022</v>
      </c>
      <c r="N495" s="6">
        <v>6270</v>
      </c>
      <c r="O495" s="6">
        <f>-3350.3-2919.7</f>
        <v>-6270</v>
      </c>
      <c r="P495" s="6">
        <f t="shared" si="80"/>
        <v>0</v>
      </c>
      <c r="Q495" s="7">
        <f t="shared" si="78"/>
        <v>843951.85</v>
      </c>
      <c r="R495" s="44" t="str">
        <f>VLOOKUP(F495,'Set up'!$A$2:$E$70,5,FALSE)</f>
        <v>Trsf</v>
      </c>
      <c r="S495" s="1" t="s">
        <v>734</v>
      </c>
    </row>
    <row r="496" spans="1:19" x14ac:dyDescent="0.3">
      <c r="A496" s="4">
        <v>44564</v>
      </c>
      <c r="B496" s="5">
        <f t="shared" si="73"/>
        <v>1</v>
      </c>
      <c r="C496" s="5">
        <f t="shared" si="74"/>
        <v>2022</v>
      </c>
      <c r="D496" s="5" t="s">
        <v>546</v>
      </c>
      <c r="E496" s="5" t="str">
        <f>VLOOKUP(F496,'Set up'!$A$2:$C$70,2,FALSE)</f>
        <v>C00000020</v>
      </c>
      <c r="F496" s="1" t="s">
        <v>409</v>
      </c>
      <c r="G496" s="11" t="s">
        <v>533</v>
      </c>
      <c r="H496" s="5">
        <v>4</v>
      </c>
      <c r="I496" s="5" t="str">
        <f>VLOOKUP(F496,'Set up'!$A$2:$C$70,3,FALSE)</f>
        <v>Cash</v>
      </c>
      <c r="J496" s="5">
        <f>VLOOKUP(F496,'Set up'!$A$2:$D$70,4,FALSE)</f>
        <v>0</v>
      </c>
      <c r="K496" s="4">
        <f t="shared" si="75"/>
        <v>44564</v>
      </c>
      <c r="L496" s="5">
        <f t="shared" si="76"/>
        <v>1</v>
      </c>
      <c r="M496" s="5">
        <f t="shared" si="77"/>
        <v>2022</v>
      </c>
      <c r="N496" s="6">
        <v>1176</v>
      </c>
      <c r="O496" s="6">
        <f t="shared" ref="O496:O503" si="82">-N496</f>
        <v>-1176</v>
      </c>
      <c r="P496" s="6">
        <f t="shared" si="80"/>
        <v>0</v>
      </c>
      <c r="Q496" s="7">
        <f t="shared" si="78"/>
        <v>845127.85</v>
      </c>
      <c r="R496" s="44" t="str">
        <f>VLOOKUP(F496,'Set up'!$A$2:$E$70,5,FALSE)</f>
        <v>Trsf</v>
      </c>
      <c r="S496" s="1" t="s">
        <v>735</v>
      </c>
    </row>
    <row r="497" spans="1:19" x14ac:dyDescent="0.3">
      <c r="A497" s="4">
        <v>44564</v>
      </c>
      <c r="B497" s="5">
        <f t="shared" si="73"/>
        <v>1</v>
      </c>
      <c r="C497" s="5">
        <f t="shared" si="74"/>
        <v>2022</v>
      </c>
      <c r="D497" s="5" t="s">
        <v>546</v>
      </c>
      <c r="E497" s="5" t="str">
        <f>VLOOKUP(F497,'Set up'!$A$2:$C$70,2,FALSE)</f>
        <v>C00000020</v>
      </c>
      <c r="F497" s="1" t="s">
        <v>409</v>
      </c>
      <c r="G497" s="11" t="s">
        <v>534</v>
      </c>
      <c r="H497" s="5">
        <v>2</v>
      </c>
      <c r="I497" s="5" t="str">
        <f>VLOOKUP(F497,'Set up'!$A$2:$C$70,3,FALSE)</f>
        <v>Cash</v>
      </c>
      <c r="J497" s="5">
        <f>VLOOKUP(F497,'Set up'!$A$2:$D$70,4,FALSE)</f>
        <v>0</v>
      </c>
      <c r="K497" s="4">
        <f t="shared" si="75"/>
        <v>44564</v>
      </c>
      <c r="L497" s="5">
        <f t="shared" si="76"/>
        <v>1</v>
      </c>
      <c r="M497" s="5">
        <f t="shared" si="77"/>
        <v>2022</v>
      </c>
      <c r="N497" s="6">
        <v>702</v>
      </c>
      <c r="O497" s="6">
        <f t="shared" si="82"/>
        <v>-702</v>
      </c>
      <c r="P497" s="6">
        <f t="shared" si="80"/>
        <v>0</v>
      </c>
      <c r="Q497" s="7">
        <f t="shared" si="78"/>
        <v>845829.85</v>
      </c>
      <c r="R497" s="44" t="str">
        <f>VLOOKUP(F497,'Set up'!$A$2:$E$70,5,FALSE)</f>
        <v>Trsf</v>
      </c>
      <c r="S497" s="1" t="s">
        <v>735</v>
      </c>
    </row>
    <row r="498" spans="1:19" x14ac:dyDescent="0.3">
      <c r="A498" s="4">
        <v>44564</v>
      </c>
      <c r="B498" s="5">
        <f t="shared" si="73"/>
        <v>1</v>
      </c>
      <c r="C498" s="5">
        <f t="shared" si="74"/>
        <v>2022</v>
      </c>
      <c r="D498" s="5" t="s">
        <v>546</v>
      </c>
      <c r="E498" s="5" t="str">
        <f>VLOOKUP(F498,'Set up'!$A$2:$C$70,2,FALSE)</f>
        <v>C00000020</v>
      </c>
      <c r="F498" s="1" t="s">
        <v>409</v>
      </c>
      <c r="G498" s="11" t="s">
        <v>64</v>
      </c>
      <c r="H498" s="5">
        <v>2</v>
      </c>
      <c r="I498" s="5" t="str">
        <f>VLOOKUP(F498,'Set up'!$A$2:$C$70,3,FALSE)</f>
        <v>Cash</v>
      </c>
      <c r="J498" s="5">
        <f>VLOOKUP(F498,'Set up'!$A$2:$D$70,4,FALSE)</f>
        <v>0</v>
      </c>
      <c r="K498" s="4">
        <f t="shared" si="75"/>
        <v>44564</v>
      </c>
      <c r="L498" s="5">
        <f t="shared" si="76"/>
        <v>1</v>
      </c>
      <c r="M498" s="5">
        <f t="shared" si="77"/>
        <v>2022</v>
      </c>
      <c r="N498" s="6">
        <v>125</v>
      </c>
      <c r="O498" s="6">
        <f t="shared" si="82"/>
        <v>-125</v>
      </c>
      <c r="P498" s="6">
        <f t="shared" si="80"/>
        <v>0</v>
      </c>
      <c r="Q498" s="7">
        <f t="shared" si="78"/>
        <v>845954.85</v>
      </c>
      <c r="R498" s="44" t="str">
        <f>VLOOKUP(F498,'Set up'!$A$2:$E$70,5,FALSE)</f>
        <v>Trsf</v>
      </c>
      <c r="S498" s="1" t="s">
        <v>735</v>
      </c>
    </row>
    <row r="499" spans="1:19" x14ac:dyDescent="0.3">
      <c r="A499" s="4">
        <v>44567</v>
      </c>
      <c r="B499" s="5">
        <f t="shared" si="73"/>
        <v>1</v>
      </c>
      <c r="C499" s="5">
        <f t="shared" si="74"/>
        <v>2022</v>
      </c>
      <c r="D499" s="5" t="s">
        <v>547</v>
      </c>
      <c r="E499" s="5" t="str">
        <f>VLOOKUP(F499,'Set up'!$A$2:$C$70,2,FALSE)</f>
        <v>C00000019</v>
      </c>
      <c r="F499" s="1" t="s">
        <v>400</v>
      </c>
      <c r="G499" s="11" t="s">
        <v>615</v>
      </c>
      <c r="H499" s="5">
        <v>6</v>
      </c>
      <c r="I499" s="5" t="str">
        <f>VLOOKUP(F499,'Set up'!$A$2:$C$70,3,FALSE)</f>
        <v>Cash</v>
      </c>
      <c r="J499" s="5">
        <f>VLOOKUP(F499,'Set up'!$A$2:$D$70,4,FALSE)</f>
        <v>0</v>
      </c>
      <c r="K499" s="4">
        <f t="shared" si="75"/>
        <v>44567</v>
      </c>
      <c r="L499" s="5">
        <f t="shared" si="76"/>
        <v>1</v>
      </c>
      <c r="M499" s="5">
        <f t="shared" si="77"/>
        <v>2022</v>
      </c>
      <c r="N499" s="6">
        <v>360</v>
      </c>
      <c r="O499" s="6">
        <f t="shared" si="82"/>
        <v>-360</v>
      </c>
      <c r="P499" s="6">
        <f t="shared" si="80"/>
        <v>0</v>
      </c>
      <c r="Q499" s="7">
        <f t="shared" si="78"/>
        <v>846314.85</v>
      </c>
      <c r="R499" s="44" t="str">
        <f>VLOOKUP(F499,'Set up'!$A$2:$E$70,5,FALSE)</f>
        <v>Trsf</v>
      </c>
      <c r="S499" s="1" t="s">
        <v>580</v>
      </c>
    </row>
    <row r="500" spans="1:19" x14ac:dyDescent="0.3">
      <c r="A500" s="4">
        <v>44567</v>
      </c>
      <c r="B500" s="5">
        <f t="shared" si="73"/>
        <v>1</v>
      </c>
      <c r="C500" s="5">
        <f t="shared" si="74"/>
        <v>2022</v>
      </c>
      <c r="D500" s="5" t="s">
        <v>547</v>
      </c>
      <c r="E500" s="5" t="str">
        <f>VLOOKUP(F500,'Set up'!$A$2:$C$70,2,FALSE)</f>
        <v>C00000019</v>
      </c>
      <c r="F500" s="1" t="s">
        <v>400</v>
      </c>
      <c r="G500" s="11" t="s">
        <v>292</v>
      </c>
      <c r="H500" s="5">
        <v>2</v>
      </c>
      <c r="I500" s="5" t="str">
        <f>VLOOKUP(F500,'Set up'!$A$2:$C$70,3,FALSE)</f>
        <v>Cash</v>
      </c>
      <c r="J500" s="5">
        <f>VLOOKUP(F500,'Set up'!$A$2:$D$70,4,FALSE)</f>
        <v>0</v>
      </c>
      <c r="K500" s="4">
        <f t="shared" si="75"/>
        <v>44567</v>
      </c>
      <c r="L500" s="5">
        <f t="shared" si="76"/>
        <v>1</v>
      </c>
      <c r="M500" s="5">
        <f t="shared" si="77"/>
        <v>2022</v>
      </c>
      <c r="N500" s="6">
        <v>720</v>
      </c>
      <c r="O500" s="6">
        <f t="shared" si="82"/>
        <v>-720</v>
      </c>
      <c r="P500" s="6">
        <f t="shared" si="80"/>
        <v>0</v>
      </c>
      <c r="Q500" s="7">
        <f t="shared" si="78"/>
        <v>847034.85</v>
      </c>
      <c r="R500" s="44" t="str">
        <f>VLOOKUP(F500,'Set up'!$A$2:$E$70,5,FALSE)</f>
        <v>Trsf</v>
      </c>
      <c r="S500" s="1" t="s">
        <v>580</v>
      </c>
    </row>
    <row r="501" spans="1:19" x14ac:dyDescent="0.3">
      <c r="A501" s="4">
        <v>44568</v>
      </c>
      <c r="B501" s="5">
        <f t="shared" si="73"/>
        <v>1</v>
      </c>
      <c r="C501" s="5">
        <f t="shared" si="74"/>
        <v>2022</v>
      </c>
      <c r="D501" s="5" t="s">
        <v>548</v>
      </c>
      <c r="E501" s="5" t="str">
        <f>VLOOKUP(F501,'Set up'!$A$2:$C$70,2,FALSE)</f>
        <v>C00000020</v>
      </c>
      <c r="F501" s="1" t="s">
        <v>409</v>
      </c>
      <c r="G501" s="11" t="s">
        <v>533</v>
      </c>
      <c r="H501" s="5">
        <v>3</v>
      </c>
      <c r="I501" s="5" t="str">
        <f>VLOOKUP(F501,'Set up'!$A$2:$C$70,3,FALSE)</f>
        <v>Cash</v>
      </c>
      <c r="J501" s="5">
        <f>VLOOKUP(F501,'Set up'!$A$2:$D$70,4,FALSE)</f>
        <v>0</v>
      </c>
      <c r="K501" s="4">
        <f t="shared" si="75"/>
        <v>44568</v>
      </c>
      <c r="L501" s="5">
        <f t="shared" si="76"/>
        <v>1</v>
      </c>
      <c r="M501" s="5">
        <f t="shared" si="77"/>
        <v>2022</v>
      </c>
      <c r="N501" s="6">
        <v>882</v>
      </c>
      <c r="O501" s="6">
        <f t="shared" si="82"/>
        <v>-882</v>
      </c>
      <c r="P501" s="6">
        <f t="shared" si="80"/>
        <v>0</v>
      </c>
      <c r="Q501" s="7">
        <f t="shared" si="78"/>
        <v>847916.85</v>
      </c>
      <c r="R501" s="44" t="str">
        <f>VLOOKUP(F501,'Set up'!$A$2:$E$70,5,FALSE)</f>
        <v>Trsf</v>
      </c>
      <c r="S501" s="10" t="s">
        <v>576</v>
      </c>
    </row>
    <row r="502" spans="1:19" x14ac:dyDescent="0.3">
      <c r="A502" s="4">
        <v>44568</v>
      </c>
      <c r="B502" s="5">
        <f t="shared" si="73"/>
        <v>1</v>
      </c>
      <c r="C502" s="5">
        <f t="shared" si="74"/>
        <v>2022</v>
      </c>
      <c r="D502" s="5" t="s">
        <v>548</v>
      </c>
      <c r="E502" s="5" t="str">
        <f>VLOOKUP(F502,'Set up'!$A$2:$C$70,2,FALSE)</f>
        <v>C00000020</v>
      </c>
      <c r="F502" s="1" t="s">
        <v>409</v>
      </c>
      <c r="G502" s="11" t="s">
        <v>534</v>
      </c>
      <c r="H502" s="5">
        <v>1</v>
      </c>
      <c r="I502" s="5" t="str">
        <f>VLOOKUP(F502,'Set up'!$A$2:$C$70,3,FALSE)</f>
        <v>Cash</v>
      </c>
      <c r="J502" s="5">
        <f>VLOOKUP(F502,'Set up'!$A$2:$D$70,4,FALSE)</f>
        <v>0</v>
      </c>
      <c r="K502" s="4">
        <f t="shared" si="75"/>
        <v>44568</v>
      </c>
      <c r="L502" s="5">
        <f t="shared" si="76"/>
        <v>1</v>
      </c>
      <c r="M502" s="5">
        <f t="shared" si="77"/>
        <v>2022</v>
      </c>
      <c r="N502" s="6">
        <v>351</v>
      </c>
      <c r="O502" s="6">
        <f t="shared" si="82"/>
        <v>-351</v>
      </c>
      <c r="P502" s="6">
        <f t="shared" si="80"/>
        <v>0</v>
      </c>
      <c r="Q502" s="7">
        <f t="shared" si="78"/>
        <v>848267.85</v>
      </c>
      <c r="R502" s="44" t="str">
        <f>VLOOKUP(F502,'Set up'!$A$2:$E$70,5,FALSE)</f>
        <v>Trsf</v>
      </c>
      <c r="S502" s="10" t="s">
        <v>576</v>
      </c>
    </row>
    <row r="503" spans="1:19" x14ac:dyDescent="0.3">
      <c r="A503" s="4">
        <v>44569</v>
      </c>
      <c r="B503" s="5">
        <f t="shared" si="73"/>
        <v>1</v>
      </c>
      <c r="C503" s="5">
        <f t="shared" si="74"/>
        <v>2022</v>
      </c>
      <c r="D503" s="5" t="s">
        <v>549</v>
      </c>
      <c r="E503" s="5" t="str">
        <f>VLOOKUP(F503,'Set up'!$A$2:$C$70,2,FALSE)</f>
        <v>C00000020</v>
      </c>
      <c r="F503" s="1" t="s">
        <v>409</v>
      </c>
      <c r="G503" s="11" t="s">
        <v>545</v>
      </c>
      <c r="H503" s="5">
        <v>2</v>
      </c>
      <c r="I503" s="5" t="str">
        <f>VLOOKUP(F503,'Set up'!$A$2:$C$70,3,FALSE)</f>
        <v>Cash</v>
      </c>
      <c r="J503" s="5">
        <f>VLOOKUP(F503,'Set up'!$A$2:$D$70,4,FALSE)</f>
        <v>0</v>
      </c>
      <c r="K503" s="4">
        <f t="shared" si="75"/>
        <v>44569</v>
      </c>
      <c r="L503" s="5">
        <f t="shared" si="76"/>
        <v>1</v>
      </c>
      <c r="M503" s="5">
        <f t="shared" si="77"/>
        <v>2022</v>
      </c>
      <c r="N503" s="6">
        <v>4180</v>
      </c>
      <c r="O503" s="6">
        <f t="shared" si="82"/>
        <v>-4180</v>
      </c>
      <c r="P503" s="6">
        <f t="shared" si="80"/>
        <v>0</v>
      </c>
      <c r="Q503" s="7">
        <f t="shared" si="78"/>
        <v>852447.85</v>
      </c>
      <c r="R503" s="44" t="str">
        <f>VLOOKUP(F503,'Set up'!$A$2:$E$70,5,FALSE)</f>
        <v>Trsf</v>
      </c>
      <c r="S503" s="1" t="s">
        <v>735</v>
      </c>
    </row>
    <row r="504" spans="1:19" x14ac:dyDescent="0.3">
      <c r="A504" s="4">
        <v>44569</v>
      </c>
      <c r="B504" s="5">
        <f t="shared" si="73"/>
        <v>1</v>
      </c>
      <c r="C504" s="5">
        <f t="shared" si="74"/>
        <v>2022</v>
      </c>
      <c r="D504" s="5" t="s">
        <v>549</v>
      </c>
      <c r="E504" s="5" t="str">
        <f>VLOOKUP(F504,'Set up'!$A$2:$C$70,2,FALSE)</f>
        <v>C00000020</v>
      </c>
      <c r="F504" s="1" t="s">
        <v>409</v>
      </c>
      <c r="G504" s="11" t="s">
        <v>533</v>
      </c>
      <c r="H504" s="5">
        <v>7</v>
      </c>
      <c r="I504" s="5" t="str">
        <f>VLOOKUP(F504,'Set up'!$A$2:$C$70,3,FALSE)</f>
        <v>Cash</v>
      </c>
      <c r="J504" s="5">
        <f>VLOOKUP(F504,'Set up'!$A$2:$D$70,4,FALSE)</f>
        <v>0</v>
      </c>
      <c r="K504" s="4">
        <f t="shared" si="75"/>
        <v>44569</v>
      </c>
      <c r="L504" s="5">
        <f t="shared" si="76"/>
        <v>1</v>
      </c>
      <c r="M504" s="5">
        <f t="shared" si="77"/>
        <v>2022</v>
      </c>
      <c r="N504" s="6">
        <v>2058</v>
      </c>
      <c r="O504" s="6">
        <f>-897.3-1160.7</f>
        <v>-2058</v>
      </c>
      <c r="P504" s="6">
        <f t="shared" si="80"/>
        <v>0</v>
      </c>
      <c r="Q504" s="7">
        <f t="shared" si="78"/>
        <v>854505.85</v>
      </c>
      <c r="R504" s="44" t="str">
        <f>VLOOKUP(F504,'Set up'!$A$2:$E$70,5,FALSE)</f>
        <v>Trsf</v>
      </c>
      <c r="S504" s="1" t="s">
        <v>736</v>
      </c>
    </row>
    <row r="505" spans="1:19" x14ac:dyDescent="0.3">
      <c r="A505" s="4">
        <v>44569</v>
      </c>
      <c r="B505" s="5">
        <f t="shared" si="73"/>
        <v>1</v>
      </c>
      <c r="C505" s="5">
        <f t="shared" si="74"/>
        <v>2022</v>
      </c>
      <c r="D505" s="5" t="s">
        <v>549</v>
      </c>
      <c r="E505" s="5" t="str">
        <f>VLOOKUP(F505,'Set up'!$A$2:$C$70,2,FALSE)</f>
        <v>C00000020</v>
      </c>
      <c r="F505" s="1" t="s">
        <v>409</v>
      </c>
      <c r="G505" s="11" t="s">
        <v>258</v>
      </c>
      <c r="H505" s="5">
        <v>1</v>
      </c>
      <c r="I505" s="5" t="str">
        <f>VLOOKUP(F505,'Set up'!$A$2:$C$70,3,FALSE)</f>
        <v>Cash</v>
      </c>
      <c r="J505" s="5">
        <f>VLOOKUP(F505,'Set up'!$A$2:$D$70,4,FALSE)</f>
        <v>0</v>
      </c>
      <c r="K505" s="4">
        <f t="shared" si="75"/>
        <v>44569</v>
      </c>
      <c r="L505" s="5">
        <f t="shared" si="76"/>
        <v>1</v>
      </c>
      <c r="M505" s="5">
        <f t="shared" si="77"/>
        <v>2022</v>
      </c>
      <c r="N505" s="6">
        <v>312</v>
      </c>
      <c r="O505" s="6">
        <f>-N505</f>
        <v>-312</v>
      </c>
      <c r="P505" s="6">
        <f t="shared" si="80"/>
        <v>0</v>
      </c>
      <c r="Q505" s="7">
        <f t="shared" si="78"/>
        <v>854817.85</v>
      </c>
      <c r="R505" s="44" t="str">
        <f>VLOOKUP(F505,'Set up'!$A$2:$E$70,5,FALSE)</f>
        <v>Trsf</v>
      </c>
      <c r="S505" s="1" t="s">
        <v>737</v>
      </c>
    </row>
    <row r="506" spans="1:19" x14ac:dyDescent="0.3">
      <c r="A506" s="4">
        <v>44569</v>
      </c>
      <c r="B506" s="5">
        <f t="shared" si="73"/>
        <v>1</v>
      </c>
      <c r="C506" s="5">
        <f t="shared" si="74"/>
        <v>2022</v>
      </c>
      <c r="D506" s="5" t="s">
        <v>549</v>
      </c>
      <c r="E506" s="5" t="str">
        <f>VLOOKUP(F506,'Set up'!$A$2:$C$70,2,FALSE)</f>
        <v>C00000020</v>
      </c>
      <c r="F506" s="1" t="s">
        <v>409</v>
      </c>
      <c r="G506" s="11" t="s">
        <v>534</v>
      </c>
      <c r="H506" s="5">
        <v>2</v>
      </c>
      <c r="I506" s="5" t="str">
        <f>VLOOKUP(F506,'Set up'!$A$2:$C$70,3,FALSE)</f>
        <v>Cash</v>
      </c>
      <c r="J506" s="5">
        <f>VLOOKUP(F506,'Set up'!$A$2:$D$70,4,FALSE)</f>
        <v>0</v>
      </c>
      <c r="K506" s="4">
        <f t="shared" si="75"/>
        <v>44569</v>
      </c>
      <c r="L506" s="5">
        <f t="shared" si="76"/>
        <v>1</v>
      </c>
      <c r="M506" s="5">
        <f t="shared" si="77"/>
        <v>2022</v>
      </c>
      <c r="N506" s="6">
        <v>702</v>
      </c>
      <c r="O506" s="6">
        <f>-N506</f>
        <v>-702</v>
      </c>
      <c r="P506" s="6">
        <f t="shared" si="80"/>
        <v>0</v>
      </c>
      <c r="Q506" s="7">
        <f t="shared" si="78"/>
        <v>855519.85</v>
      </c>
      <c r="R506" s="44" t="str">
        <f>VLOOKUP(F506,'Set up'!$A$2:$E$70,5,FALSE)</f>
        <v>Trsf</v>
      </c>
      <c r="S506" s="1" t="s">
        <v>737</v>
      </c>
    </row>
    <row r="507" spans="1:19" x14ac:dyDescent="0.3">
      <c r="A507" s="4">
        <v>44569</v>
      </c>
      <c r="B507" s="5">
        <f t="shared" si="73"/>
        <v>1</v>
      </c>
      <c r="C507" s="5">
        <f t="shared" si="74"/>
        <v>2022</v>
      </c>
      <c r="D507" s="5" t="s">
        <v>549</v>
      </c>
      <c r="E507" s="5" t="str">
        <f>VLOOKUP(F507,'Set up'!$A$2:$C$70,2,FALSE)</f>
        <v>C00000020</v>
      </c>
      <c r="F507" s="1" t="s">
        <v>409</v>
      </c>
      <c r="G507" s="11" t="s">
        <v>64</v>
      </c>
      <c r="H507" s="5">
        <v>2</v>
      </c>
      <c r="I507" s="5" t="str">
        <f>VLOOKUP(F507,'Set up'!$A$2:$C$70,3,FALSE)</f>
        <v>Cash</v>
      </c>
      <c r="J507" s="5">
        <f>VLOOKUP(F507,'Set up'!$A$2:$D$70,4,FALSE)</f>
        <v>0</v>
      </c>
      <c r="K507" s="4">
        <f t="shared" si="75"/>
        <v>44569</v>
      </c>
      <c r="L507" s="5">
        <f t="shared" si="76"/>
        <v>1</v>
      </c>
      <c r="M507" s="5">
        <f t="shared" si="77"/>
        <v>2022</v>
      </c>
      <c r="N507" s="6">
        <v>125</v>
      </c>
      <c r="O507" s="6">
        <f>-N507</f>
        <v>-125</v>
      </c>
      <c r="P507" s="6">
        <f t="shared" si="80"/>
        <v>0</v>
      </c>
      <c r="Q507" s="7">
        <f t="shared" si="78"/>
        <v>855644.85</v>
      </c>
      <c r="R507" s="44" t="str">
        <f>VLOOKUP(F507,'Set up'!$A$2:$E$70,5,FALSE)</f>
        <v>Trsf</v>
      </c>
      <c r="S507" s="1" t="s">
        <v>737</v>
      </c>
    </row>
    <row r="508" spans="1:19" ht="124.8" x14ac:dyDescent="0.3">
      <c r="A508" s="4">
        <v>44571</v>
      </c>
      <c r="B508" s="5">
        <f t="shared" si="73"/>
        <v>1</v>
      </c>
      <c r="C508" s="5">
        <f t="shared" si="74"/>
        <v>2022</v>
      </c>
      <c r="D508" s="5" t="s">
        <v>550</v>
      </c>
      <c r="E508" s="5" t="str">
        <f>VLOOKUP(F508,'Set up'!$A$2:$C$70,2,FALSE)</f>
        <v>C00000003</v>
      </c>
      <c r="F508" s="1" t="s">
        <v>20</v>
      </c>
      <c r="G508" s="11" t="s">
        <v>545</v>
      </c>
      <c r="H508" s="5">
        <v>3</v>
      </c>
      <c r="I508" s="5">
        <f>VLOOKUP(F508,'Set up'!$A$2:$C$70,3,FALSE)</f>
        <v>45</v>
      </c>
      <c r="J508" s="5">
        <f>VLOOKUP(F508,'Set up'!$A$2:$D$70,4,FALSE)</f>
        <v>45</v>
      </c>
      <c r="K508" s="4">
        <f t="shared" si="75"/>
        <v>44616</v>
      </c>
      <c r="L508" s="5">
        <f t="shared" si="76"/>
        <v>2</v>
      </c>
      <c r="M508" s="5">
        <f t="shared" si="77"/>
        <v>2022</v>
      </c>
      <c r="N508" s="6">
        <v>6336</v>
      </c>
      <c r="O508" s="6">
        <f>-1800-1800-1935-801</f>
        <v>-6336</v>
      </c>
      <c r="P508" s="6">
        <f t="shared" si="80"/>
        <v>0</v>
      </c>
      <c r="Q508" s="7">
        <f t="shared" si="78"/>
        <v>861980.85</v>
      </c>
      <c r="R508" s="44" t="str">
        <f>VLOOKUP(F508,'Set up'!$A$2:$E$70,5,FALSE)</f>
        <v>PD Chq</v>
      </c>
      <c r="S508" s="40" t="s">
        <v>626</v>
      </c>
    </row>
    <row r="509" spans="1:19" x14ac:dyDescent="0.3">
      <c r="A509" s="4">
        <v>44571</v>
      </c>
      <c r="B509" s="5">
        <f t="shared" si="73"/>
        <v>1</v>
      </c>
      <c r="C509" s="5">
        <f t="shared" si="74"/>
        <v>2022</v>
      </c>
      <c r="D509" s="5" t="s">
        <v>550</v>
      </c>
      <c r="E509" s="5" t="str">
        <f>VLOOKUP(F509,'Set up'!$A$2:$C$70,2,FALSE)</f>
        <v>C00000003</v>
      </c>
      <c r="F509" s="1" t="s">
        <v>20</v>
      </c>
      <c r="G509" s="11" t="s">
        <v>551</v>
      </c>
      <c r="H509" s="5">
        <v>1</v>
      </c>
      <c r="I509" s="5">
        <f>VLOOKUP(F509,'Set up'!$A$2:$C$70,3,FALSE)</f>
        <v>45</v>
      </c>
      <c r="J509" s="5">
        <f>VLOOKUP(F509,'Set up'!$A$2:$D$70,4,FALSE)</f>
        <v>45</v>
      </c>
      <c r="K509" s="4">
        <f t="shared" si="75"/>
        <v>44616</v>
      </c>
      <c r="L509" s="5">
        <f t="shared" si="76"/>
        <v>2</v>
      </c>
      <c r="M509" s="5">
        <f t="shared" si="77"/>
        <v>2022</v>
      </c>
      <c r="N509" s="6">
        <v>309</v>
      </c>
      <c r="O509" s="6">
        <f t="shared" ref="O509:O519" si="83">-N509</f>
        <v>-309</v>
      </c>
      <c r="P509" s="6">
        <f t="shared" si="80"/>
        <v>0</v>
      </c>
      <c r="Q509" s="7">
        <f t="shared" si="78"/>
        <v>862289.85</v>
      </c>
      <c r="R509" s="44" t="str">
        <f>VLOOKUP(F509,'Set up'!$A$2:$E$70,5,FALSE)</f>
        <v>PD Chq</v>
      </c>
      <c r="S509" s="1" t="s">
        <v>627</v>
      </c>
    </row>
    <row r="510" spans="1:19" x14ac:dyDescent="0.3">
      <c r="A510" s="4">
        <v>44571</v>
      </c>
      <c r="B510" s="5">
        <f t="shared" si="73"/>
        <v>1</v>
      </c>
      <c r="C510" s="5">
        <f t="shared" si="74"/>
        <v>2022</v>
      </c>
      <c r="D510" s="5" t="s">
        <v>550</v>
      </c>
      <c r="E510" s="5" t="str">
        <f>VLOOKUP(F510,'Set up'!$A$2:$C$70,2,FALSE)</f>
        <v>C00000003</v>
      </c>
      <c r="F510" s="1" t="s">
        <v>20</v>
      </c>
      <c r="G510" s="11" t="s">
        <v>17</v>
      </c>
      <c r="H510" s="5">
        <v>6</v>
      </c>
      <c r="I510" s="5">
        <f>VLOOKUP(F510,'Set up'!$A$2:$C$70,3,FALSE)</f>
        <v>45</v>
      </c>
      <c r="J510" s="5">
        <f>VLOOKUP(F510,'Set up'!$A$2:$D$70,4,FALSE)</f>
        <v>45</v>
      </c>
      <c r="K510" s="4">
        <f t="shared" si="75"/>
        <v>44616</v>
      </c>
      <c r="L510" s="5">
        <f t="shared" si="76"/>
        <v>2</v>
      </c>
      <c r="M510" s="5">
        <f t="shared" si="77"/>
        <v>2022</v>
      </c>
      <c r="N510" s="6">
        <v>600</v>
      </c>
      <c r="O510" s="6">
        <f t="shared" si="83"/>
        <v>-600</v>
      </c>
      <c r="P510" s="6">
        <f t="shared" si="80"/>
        <v>0</v>
      </c>
      <c r="Q510" s="7">
        <f t="shared" si="78"/>
        <v>862889.85</v>
      </c>
      <c r="R510" s="44" t="str">
        <f>VLOOKUP(F510,'Set up'!$A$2:$E$70,5,FALSE)</f>
        <v>PD Chq</v>
      </c>
      <c r="S510" s="1" t="s">
        <v>628</v>
      </c>
    </row>
    <row r="511" spans="1:19" x14ac:dyDescent="0.3">
      <c r="A511" s="4">
        <v>44571</v>
      </c>
      <c r="B511" s="5">
        <f t="shared" si="73"/>
        <v>1</v>
      </c>
      <c r="C511" s="5">
        <f t="shared" si="74"/>
        <v>2022</v>
      </c>
      <c r="D511" s="5" t="s">
        <v>550</v>
      </c>
      <c r="E511" s="5" t="str">
        <f>VLOOKUP(F511,'Set up'!$A$2:$C$70,2,FALSE)</f>
        <v>C00000003</v>
      </c>
      <c r="F511" s="1" t="s">
        <v>20</v>
      </c>
      <c r="G511" s="11" t="s">
        <v>178</v>
      </c>
      <c r="H511" s="5">
        <v>2</v>
      </c>
      <c r="I511" s="5">
        <f>VLOOKUP(F511,'Set up'!$A$2:$C$70,3,FALSE)</f>
        <v>45</v>
      </c>
      <c r="J511" s="5">
        <f>VLOOKUP(F511,'Set up'!$A$2:$D$70,4,FALSE)</f>
        <v>45</v>
      </c>
      <c r="K511" s="4">
        <f t="shared" si="75"/>
        <v>44616</v>
      </c>
      <c r="L511" s="5">
        <f t="shared" si="76"/>
        <v>2</v>
      </c>
      <c r="M511" s="5">
        <f t="shared" si="77"/>
        <v>2022</v>
      </c>
      <c r="N511" s="6">
        <v>90</v>
      </c>
      <c r="O511" s="6">
        <f t="shared" si="83"/>
        <v>-90</v>
      </c>
      <c r="P511" s="6">
        <f t="shared" si="80"/>
        <v>0</v>
      </c>
      <c r="Q511" s="7">
        <f t="shared" si="78"/>
        <v>862979.85</v>
      </c>
      <c r="R511" s="44" t="str">
        <f>VLOOKUP(F511,'Set up'!$A$2:$E$70,5,FALSE)</f>
        <v>PD Chq</v>
      </c>
      <c r="S511" s="1" t="s">
        <v>629</v>
      </c>
    </row>
    <row r="512" spans="1:19" x14ac:dyDescent="0.3">
      <c r="A512" s="4">
        <v>44572</v>
      </c>
      <c r="B512" s="5">
        <f t="shared" si="73"/>
        <v>1</v>
      </c>
      <c r="C512" s="5">
        <f t="shared" si="74"/>
        <v>2022</v>
      </c>
      <c r="D512" s="5" t="s">
        <v>552</v>
      </c>
      <c r="E512" s="5" t="str">
        <f>VLOOKUP(F512,'Set up'!$A$2:$C$70,2,FALSE)</f>
        <v>C00000010</v>
      </c>
      <c r="F512" s="1" t="s">
        <v>62</v>
      </c>
      <c r="G512" s="11" t="s">
        <v>553</v>
      </c>
      <c r="H512" s="5">
        <v>4</v>
      </c>
      <c r="I512" s="5">
        <f>VLOOKUP(F512,'Set up'!$A$2:$C$70,3,FALSE)</f>
        <v>120</v>
      </c>
      <c r="J512" s="5">
        <f>VLOOKUP(F512,'Set up'!$A$2:$D$70,4,FALSE)</f>
        <v>120</v>
      </c>
      <c r="K512" s="4">
        <f t="shared" si="75"/>
        <v>44692</v>
      </c>
      <c r="L512" s="5">
        <f t="shared" si="76"/>
        <v>5</v>
      </c>
      <c r="M512" s="5">
        <f t="shared" si="77"/>
        <v>2022</v>
      </c>
      <c r="N512" s="6">
        <v>8096</v>
      </c>
      <c r="O512" s="6">
        <f t="shared" si="83"/>
        <v>-8096</v>
      </c>
      <c r="P512" s="6">
        <f t="shared" si="80"/>
        <v>0</v>
      </c>
      <c r="Q512" s="7">
        <f t="shared" si="78"/>
        <v>871075.85</v>
      </c>
      <c r="R512" s="44" t="str">
        <f>VLOOKUP(F512,'Set up'!$A$2:$E$70,5,FALSE)</f>
        <v>Trsf</v>
      </c>
      <c r="S512" s="1" t="s">
        <v>750</v>
      </c>
    </row>
    <row r="513" spans="1:19" x14ac:dyDescent="0.3">
      <c r="A513" s="4">
        <v>44572</v>
      </c>
      <c r="B513" s="5">
        <f t="shared" si="73"/>
        <v>1</v>
      </c>
      <c r="C513" s="5">
        <f t="shared" si="74"/>
        <v>2022</v>
      </c>
      <c r="D513" s="5" t="s">
        <v>552</v>
      </c>
      <c r="E513" s="5" t="str">
        <f>VLOOKUP(F513,'Set up'!$A$2:$C$70,2,FALSE)</f>
        <v>C00000010</v>
      </c>
      <c r="F513" s="1" t="s">
        <v>62</v>
      </c>
      <c r="G513" s="11" t="s">
        <v>554</v>
      </c>
      <c r="H513" s="5">
        <v>20</v>
      </c>
      <c r="I513" s="5">
        <f>VLOOKUP(F513,'Set up'!$A$2:$C$70,3,FALSE)</f>
        <v>120</v>
      </c>
      <c r="J513" s="5">
        <f>VLOOKUP(F513,'Set up'!$A$2:$D$70,4,FALSE)</f>
        <v>120</v>
      </c>
      <c r="K513" s="4">
        <f t="shared" si="75"/>
        <v>44692</v>
      </c>
      <c r="L513" s="5">
        <f t="shared" si="76"/>
        <v>5</v>
      </c>
      <c r="M513" s="5">
        <f t="shared" si="77"/>
        <v>2022</v>
      </c>
      <c r="N513" s="6">
        <v>5700</v>
      </c>
      <c r="O513" s="6">
        <f t="shared" si="83"/>
        <v>-5700</v>
      </c>
      <c r="P513" s="6">
        <f t="shared" si="80"/>
        <v>0</v>
      </c>
      <c r="Q513" s="7">
        <f t="shared" si="78"/>
        <v>876775.85</v>
      </c>
      <c r="R513" s="44" t="str">
        <f>VLOOKUP(F513,'Set up'!$A$2:$E$70,5,FALSE)</f>
        <v>Trsf</v>
      </c>
      <c r="S513" s="1" t="s">
        <v>750</v>
      </c>
    </row>
    <row r="514" spans="1:19" x14ac:dyDescent="0.3">
      <c r="A514" s="4">
        <v>44572</v>
      </c>
      <c r="B514" s="5">
        <f t="shared" si="73"/>
        <v>1</v>
      </c>
      <c r="C514" s="5">
        <f t="shared" si="74"/>
        <v>2022</v>
      </c>
      <c r="D514" s="5" t="s">
        <v>552</v>
      </c>
      <c r="E514" s="5" t="str">
        <f>VLOOKUP(F514,'Set up'!$A$2:$C$70,2,FALSE)</f>
        <v>C00000010</v>
      </c>
      <c r="F514" s="1" t="s">
        <v>62</v>
      </c>
      <c r="G514" s="11" t="s">
        <v>64</v>
      </c>
      <c r="H514" s="5">
        <v>10</v>
      </c>
      <c r="I514" s="5">
        <f>VLOOKUP(F514,'Set up'!$A$2:$C$70,3,FALSE)</f>
        <v>120</v>
      </c>
      <c r="J514" s="5">
        <f>VLOOKUP(F514,'Set up'!$A$2:$D$70,4,FALSE)</f>
        <v>120</v>
      </c>
      <c r="K514" s="4">
        <f t="shared" si="75"/>
        <v>44692</v>
      </c>
      <c r="L514" s="5">
        <f t="shared" si="76"/>
        <v>5</v>
      </c>
      <c r="M514" s="5">
        <f t="shared" si="77"/>
        <v>2022</v>
      </c>
      <c r="N514" s="6">
        <v>550</v>
      </c>
      <c r="O514" s="6">
        <f t="shared" si="83"/>
        <v>-550</v>
      </c>
      <c r="P514" s="6">
        <f t="shared" si="80"/>
        <v>0</v>
      </c>
      <c r="Q514" s="7">
        <f t="shared" si="78"/>
        <v>877325.85</v>
      </c>
      <c r="R514" s="44" t="str">
        <f>VLOOKUP(F514,'Set up'!$A$2:$E$70,5,FALSE)</f>
        <v>Trsf</v>
      </c>
      <c r="S514" s="1" t="s">
        <v>750</v>
      </c>
    </row>
    <row r="515" spans="1:19" x14ac:dyDescent="0.3">
      <c r="A515" s="4">
        <v>44572</v>
      </c>
      <c r="B515" s="5">
        <f t="shared" ref="B515:B578" si="84">MONTH(A515)</f>
        <v>1</v>
      </c>
      <c r="C515" s="5">
        <f t="shared" ref="C515:C578" si="85">YEAR(A515)</f>
        <v>2022</v>
      </c>
      <c r="D515" s="5" t="s">
        <v>552</v>
      </c>
      <c r="E515" s="5" t="str">
        <f>VLOOKUP(F515,'Set up'!$A$2:$C$70,2,FALSE)</f>
        <v>C00000010</v>
      </c>
      <c r="F515" s="1" t="s">
        <v>62</v>
      </c>
      <c r="G515" s="11" t="s">
        <v>381</v>
      </c>
      <c r="H515" s="5">
        <v>4</v>
      </c>
      <c r="I515" s="5">
        <f>VLOOKUP(F515,'Set up'!$A$2:$C$70,3,FALSE)</f>
        <v>120</v>
      </c>
      <c r="J515" s="5">
        <f>VLOOKUP(F515,'Set up'!$A$2:$D$70,4,FALSE)</f>
        <v>120</v>
      </c>
      <c r="K515" s="4">
        <f t="shared" ref="K515:K578" si="86">A515+J515</f>
        <v>44692</v>
      </c>
      <c r="L515" s="5">
        <f t="shared" ref="L515:L578" si="87">MONTH(K515)</f>
        <v>5</v>
      </c>
      <c r="M515" s="5">
        <f t="shared" ref="M515:M578" si="88">YEAR(K515)</f>
        <v>2022</v>
      </c>
      <c r="N515" s="6">
        <v>340</v>
      </c>
      <c r="O515" s="6">
        <f t="shared" si="83"/>
        <v>-340</v>
      </c>
      <c r="P515" s="6">
        <f t="shared" si="80"/>
        <v>0</v>
      </c>
      <c r="Q515" s="7">
        <f t="shared" ref="Q515:Q578" si="89">SUM(Q514+N515)</f>
        <v>877665.85</v>
      </c>
      <c r="R515" s="44" t="str">
        <f>VLOOKUP(F515,'Set up'!$A$2:$E$70,5,FALSE)</f>
        <v>Trsf</v>
      </c>
      <c r="S515" s="1" t="s">
        <v>750</v>
      </c>
    </row>
    <row r="516" spans="1:19" x14ac:dyDescent="0.3">
      <c r="A516" s="4">
        <v>44572</v>
      </c>
      <c r="B516" s="5">
        <f t="shared" si="84"/>
        <v>1</v>
      </c>
      <c r="C516" s="5">
        <f t="shared" si="85"/>
        <v>2022</v>
      </c>
      <c r="D516" s="5" t="s">
        <v>552</v>
      </c>
      <c r="E516" s="5" t="str">
        <f>VLOOKUP(F516,'Set up'!$A$2:$C$70,2,FALSE)</f>
        <v>C00000010</v>
      </c>
      <c r="F516" s="1" t="s">
        <v>62</v>
      </c>
      <c r="G516" s="11" t="s">
        <v>238</v>
      </c>
      <c r="H516" s="5">
        <v>1</v>
      </c>
      <c r="I516" s="5">
        <f>VLOOKUP(F516,'Set up'!$A$2:$C$70,3,FALSE)</f>
        <v>120</v>
      </c>
      <c r="J516" s="5">
        <f>VLOOKUP(F516,'Set up'!$A$2:$D$70,4,FALSE)</f>
        <v>120</v>
      </c>
      <c r="K516" s="4">
        <f t="shared" si="86"/>
        <v>44692</v>
      </c>
      <c r="L516" s="5">
        <f t="shared" si="87"/>
        <v>5</v>
      </c>
      <c r="M516" s="5">
        <f t="shared" si="88"/>
        <v>2022</v>
      </c>
      <c r="N516" s="6">
        <v>440</v>
      </c>
      <c r="O516" s="6">
        <f t="shared" si="83"/>
        <v>-440</v>
      </c>
      <c r="P516" s="6">
        <f t="shared" si="80"/>
        <v>0</v>
      </c>
      <c r="Q516" s="7">
        <f t="shared" si="89"/>
        <v>878105.85</v>
      </c>
      <c r="R516" s="44" t="str">
        <f>VLOOKUP(F516,'Set up'!$A$2:$E$70,5,FALSE)</f>
        <v>Trsf</v>
      </c>
      <c r="S516" s="1" t="s">
        <v>750</v>
      </c>
    </row>
    <row r="517" spans="1:19" x14ac:dyDescent="0.3">
      <c r="A517" s="4">
        <v>44572</v>
      </c>
      <c r="B517" s="5">
        <f t="shared" si="84"/>
        <v>1</v>
      </c>
      <c r="C517" s="5">
        <f t="shared" si="85"/>
        <v>2022</v>
      </c>
      <c r="D517" s="5" t="s">
        <v>552</v>
      </c>
      <c r="E517" s="5" t="str">
        <f>VLOOKUP(F517,'Set up'!$A$2:$C$70,2,FALSE)</f>
        <v>C00000010</v>
      </c>
      <c r="F517" s="1" t="s">
        <v>62</v>
      </c>
      <c r="G517" s="11" t="s">
        <v>296</v>
      </c>
      <c r="H517" s="5">
        <v>4</v>
      </c>
      <c r="I517" s="5">
        <f>VLOOKUP(F517,'Set up'!$A$2:$C$70,3,FALSE)</f>
        <v>120</v>
      </c>
      <c r="J517" s="5">
        <f>VLOOKUP(F517,'Set up'!$A$2:$D$70,4,FALSE)</f>
        <v>120</v>
      </c>
      <c r="K517" s="4">
        <f t="shared" si="86"/>
        <v>44692</v>
      </c>
      <c r="L517" s="5">
        <f t="shared" si="87"/>
        <v>5</v>
      </c>
      <c r="M517" s="5">
        <f t="shared" si="88"/>
        <v>2022</v>
      </c>
      <c r="N517" s="6">
        <v>220</v>
      </c>
      <c r="O517" s="6">
        <f t="shared" si="83"/>
        <v>-220</v>
      </c>
      <c r="P517" s="6">
        <f t="shared" si="80"/>
        <v>0</v>
      </c>
      <c r="Q517" s="7">
        <f t="shared" si="89"/>
        <v>878325.85</v>
      </c>
      <c r="R517" s="44" t="str">
        <f>VLOOKUP(F517,'Set up'!$A$2:$E$70,5,FALSE)</f>
        <v>Trsf</v>
      </c>
      <c r="S517" s="1" t="s">
        <v>750</v>
      </c>
    </row>
    <row r="518" spans="1:19" x14ac:dyDescent="0.3">
      <c r="A518" s="4">
        <v>44574</v>
      </c>
      <c r="B518" s="5">
        <f t="shared" si="84"/>
        <v>1</v>
      </c>
      <c r="C518" s="5">
        <f t="shared" si="85"/>
        <v>2022</v>
      </c>
      <c r="D518" s="5" t="s">
        <v>557</v>
      </c>
      <c r="E518" s="5" t="str">
        <f>VLOOKUP(F518,'Set up'!$A$2:$C$70,2,FALSE)</f>
        <v>C00000019</v>
      </c>
      <c r="F518" s="1" t="s">
        <v>400</v>
      </c>
      <c r="G518" s="11" t="s">
        <v>303</v>
      </c>
      <c r="H518" s="5">
        <v>2</v>
      </c>
      <c r="I518" s="5" t="str">
        <f>VLOOKUP(F518,'Set up'!$A$2:$C$70,3,FALSE)</f>
        <v>Cash</v>
      </c>
      <c r="J518" s="5">
        <f>VLOOKUP(F518,'Set up'!$A$2:$D$70,4,FALSE)</f>
        <v>0</v>
      </c>
      <c r="K518" s="4">
        <f t="shared" si="86"/>
        <v>44574</v>
      </c>
      <c r="L518" s="5">
        <f t="shared" si="87"/>
        <v>1</v>
      </c>
      <c r="M518" s="5">
        <f t="shared" si="88"/>
        <v>2022</v>
      </c>
      <c r="N518" s="6">
        <v>4136</v>
      </c>
      <c r="O518" s="6">
        <f t="shared" si="83"/>
        <v>-4136</v>
      </c>
      <c r="P518" s="6">
        <f t="shared" si="80"/>
        <v>0</v>
      </c>
      <c r="Q518" s="7">
        <f t="shared" si="89"/>
        <v>882461.85</v>
      </c>
      <c r="R518" s="44" t="str">
        <f>VLOOKUP(F518,'Set up'!$A$2:$E$70,5,FALSE)</f>
        <v>Trsf</v>
      </c>
      <c r="S518" s="1" t="s">
        <v>578</v>
      </c>
    </row>
    <row r="519" spans="1:19" x14ac:dyDescent="0.3">
      <c r="A519" s="4">
        <v>44574</v>
      </c>
      <c r="B519" s="5">
        <f t="shared" si="84"/>
        <v>1</v>
      </c>
      <c r="C519" s="5">
        <f t="shared" si="85"/>
        <v>2022</v>
      </c>
      <c r="D519" s="5" t="s">
        <v>557</v>
      </c>
      <c r="E519" s="5" t="str">
        <f>VLOOKUP(F519,'Set up'!$A$2:$C$70,2,FALSE)</f>
        <v>C00000019</v>
      </c>
      <c r="F519" s="1" t="s">
        <v>400</v>
      </c>
      <c r="G519" s="11" t="s">
        <v>478</v>
      </c>
      <c r="H519" s="5">
        <v>2</v>
      </c>
      <c r="I519" s="5" t="str">
        <f>VLOOKUP(F519,'Set up'!$A$2:$C$70,3,FALSE)</f>
        <v>Cash</v>
      </c>
      <c r="J519" s="5">
        <f>VLOOKUP(F519,'Set up'!$A$2:$D$70,4,FALSE)</f>
        <v>0</v>
      </c>
      <c r="K519" s="4">
        <f t="shared" si="86"/>
        <v>44574</v>
      </c>
      <c r="L519" s="5">
        <f t="shared" si="87"/>
        <v>1</v>
      </c>
      <c r="M519" s="5">
        <f t="shared" si="88"/>
        <v>2022</v>
      </c>
      <c r="N519" s="6">
        <v>1047.5999999999999</v>
      </c>
      <c r="O519" s="6">
        <f t="shared" si="83"/>
        <v>-1047.5999999999999</v>
      </c>
      <c r="P519" s="6">
        <f t="shared" si="80"/>
        <v>0</v>
      </c>
      <c r="Q519" s="7">
        <f t="shared" si="89"/>
        <v>883509.45</v>
      </c>
      <c r="R519" s="44" t="str">
        <f>VLOOKUP(F519,'Set up'!$A$2:$E$70,5,FALSE)</f>
        <v>Trsf</v>
      </c>
      <c r="S519" s="1" t="s">
        <v>578</v>
      </c>
    </row>
    <row r="520" spans="1:19" x14ac:dyDescent="0.3">
      <c r="A520" s="4">
        <v>44574</v>
      </c>
      <c r="B520" s="5">
        <f t="shared" si="84"/>
        <v>1</v>
      </c>
      <c r="C520" s="5">
        <f t="shared" si="85"/>
        <v>2022</v>
      </c>
      <c r="D520" s="5" t="s">
        <v>558</v>
      </c>
      <c r="E520" s="5" t="str">
        <f>VLOOKUP(F520,'Set up'!$A$2:$C$70,2,FALSE)</f>
        <v>C00000020</v>
      </c>
      <c r="F520" s="1" t="s">
        <v>409</v>
      </c>
      <c r="G520" s="11" t="s">
        <v>545</v>
      </c>
      <c r="H520" s="5">
        <v>8</v>
      </c>
      <c r="I520" s="5" t="str">
        <f>VLOOKUP(F520,'Set up'!$A$2:$C$70,3,FALSE)</f>
        <v>Cash</v>
      </c>
      <c r="J520" s="5">
        <f>VLOOKUP(F520,'Set up'!$A$2:$D$70,4,FALSE)</f>
        <v>0</v>
      </c>
      <c r="K520" s="4">
        <f t="shared" si="86"/>
        <v>44574</v>
      </c>
      <c r="L520" s="5">
        <f t="shared" si="87"/>
        <v>1</v>
      </c>
      <c r="M520" s="5">
        <f t="shared" si="88"/>
        <v>2022</v>
      </c>
      <c r="N520" s="6">
        <v>16720</v>
      </c>
      <c r="O520" s="6">
        <f>-1200.3-8000-7519.7</f>
        <v>-16720</v>
      </c>
      <c r="P520" s="6">
        <f t="shared" si="80"/>
        <v>0</v>
      </c>
      <c r="Q520" s="7">
        <f t="shared" si="89"/>
        <v>900229.45</v>
      </c>
      <c r="R520" s="44" t="str">
        <f>VLOOKUP(F520,'Set up'!$A$2:$E$70,5,FALSE)</f>
        <v>Trsf</v>
      </c>
      <c r="S520" s="1" t="s">
        <v>740</v>
      </c>
    </row>
    <row r="521" spans="1:19" x14ac:dyDescent="0.3">
      <c r="A521" s="4">
        <v>44574</v>
      </c>
      <c r="B521" s="5">
        <f t="shared" si="84"/>
        <v>1</v>
      </c>
      <c r="C521" s="5">
        <f t="shared" si="85"/>
        <v>2022</v>
      </c>
      <c r="D521" s="5" t="s">
        <v>558</v>
      </c>
      <c r="E521" s="5" t="str">
        <f>VLOOKUP(F521,'Set up'!$A$2:$C$70,2,FALSE)</f>
        <v>C00000020</v>
      </c>
      <c r="F521" s="1" t="s">
        <v>409</v>
      </c>
      <c r="G521" s="11" t="s">
        <v>555</v>
      </c>
      <c r="H521" s="5">
        <v>11</v>
      </c>
      <c r="I521" s="5" t="str">
        <f>VLOOKUP(F521,'Set up'!$A$2:$C$70,3,FALSE)</f>
        <v>Cash</v>
      </c>
      <c r="J521" s="5">
        <f>VLOOKUP(F521,'Set up'!$A$2:$D$70,4,FALSE)</f>
        <v>0</v>
      </c>
      <c r="K521" s="4">
        <f t="shared" si="86"/>
        <v>44574</v>
      </c>
      <c r="L521" s="5">
        <f t="shared" si="87"/>
        <v>1</v>
      </c>
      <c r="M521" s="5">
        <f t="shared" si="88"/>
        <v>2022</v>
      </c>
      <c r="N521" s="6">
        <v>6468</v>
      </c>
      <c r="O521" s="6">
        <f>-480.3-5987.7</f>
        <v>-6468</v>
      </c>
      <c r="P521" s="6">
        <f t="shared" si="80"/>
        <v>0</v>
      </c>
      <c r="Q521" s="7">
        <f t="shared" si="89"/>
        <v>906697.45</v>
      </c>
      <c r="R521" s="44" t="str">
        <f>VLOOKUP(F521,'Set up'!$A$2:$E$70,5,FALSE)</f>
        <v>Trsf</v>
      </c>
      <c r="S521" s="1" t="s">
        <v>741</v>
      </c>
    </row>
    <row r="522" spans="1:19" x14ac:dyDescent="0.3">
      <c r="A522" s="4">
        <v>44574</v>
      </c>
      <c r="B522" s="5">
        <f t="shared" si="84"/>
        <v>1</v>
      </c>
      <c r="C522" s="5">
        <f t="shared" si="85"/>
        <v>2022</v>
      </c>
      <c r="D522" s="5" t="s">
        <v>558</v>
      </c>
      <c r="E522" s="5" t="str">
        <f>VLOOKUP(F522,'Set up'!$A$2:$C$70,2,FALSE)</f>
        <v>C00000020</v>
      </c>
      <c r="F522" s="1" t="s">
        <v>409</v>
      </c>
      <c r="G522" s="11" t="s">
        <v>556</v>
      </c>
      <c r="H522" s="5">
        <v>11</v>
      </c>
      <c r="I522" s="5" t="str">
        <f>VLOOKUP(F522,'Set up'!$A$2:$C$70,3,FALSE)</f>
        <v>Cash</v>
      </c>
      <c r="J522" s="5">
        <f>VLOOKUP(F522,'Set up'!$A$2:$D$70,4,FALSE)</f>
        <v>0</v>
      </c>
      <c r="K522" s="4">
        <f t="shared" si="86"/>
        <v>44574</v>
      </c>
      <c r="L522" s="5">
        <f t="shared" si="87"/>
        <v>1</v>
      </c>
      <c r="M522" s="5">
        <f t="shared" si="88"/>
        <v>2022</v>
      </c>
      <c r="N522" s="6">
        <v>3861</v>
      </c>
      <c r="O522" s="6">
        <f>-2012.3-1848.7</f>
        <v>-3861</v>
      </c>
      <c r="P522" s="6">
        <f t="shared" si="80"/>
        <v>0</v>
      </c>
      <c r="Q522" s="7">
        <f t="shared" si="89"/>
        <v>910558.45</v>
      </c>
      <c r="R522" s="44" t="str">
        <f>VLOOKUP(F522,'Set up'!$A$2:$E$70,5,FALSE)</f>
        <v>Trsf</v>
      </c>
      <c r="S522" s="1" t="s">
        <v>819</v>
      </c>
    </row>
    <row r="523" spans="1:19" x14ac:dyDescent="0.3">
      <c r="A523" s="4">
        <v>44574</v>
      </c>
      <c r="B523" s="5">
        <f t="shared" si="84"/>
        <v>1</v>
      </c>
      <c r="C523" s="5">
        <f t="shared" si="85"/>
        <v>2022</v>
      </c>
      <c r="D523" s="5" t="s">
        <v>558</v>
      </c>
      <c r="E523" s="5" t="str">
        <f>VLOOKUP(F523,'Set up'!$A$2:$C$70,2,FALSE)</f>
        <v>C00000020</v>
      </c>
      <c r="F523" s="1" t="s">
        <v>409</v>
      </c>
      <c r="G523" s="11" t="s">
        <v>429</v>
      </c>
      <c r="H523" s="5">
        <v>1</v>
      </c>
      <c r="I523" s="5" t="str">
        <f>VLOOKUP(F523,'Set up'!$A$2:$C$70,3,FALSE)</f>
        <v>Cash</v>
      </c>
      <c r="J523" s="5">
        <f>VLOOKUP(F523,'Set up'!$A$2:$D$70,4,FALSE)</f>
        <v>0</v>
      </c>
      <c r="K523" s="4">
        <f t="shared" si="86"/>
        <v>44574</v>
      </c>
      <c r="L523" s="5">
        <f t="shared" si="87"/>
        <v>1</v>
      </c>
      <c r="M523" s="5">
        <f t="shared" si="88"/>
        <v>2022</v>
      </c>
      <c r="N523" s="6">
        <v>1000</v>
      </c>
      <c r="O523" s="6">
        <f t="shared" ref="O523:O547" si="90">-N523</f>
        <v>-1000</v>
      </c>
      <c r="P523" s="6">
        <f t="shared" si="80"/>
        <v>0</v>
      </c>
      <c r="Q523" s="7">
        <f t="shared" si="89"/>
        <v>911558.45</v>
      </c>
      <c r="R523" s="44" t="str">
        <f>VLOOKUP(F523,'Set up'!$A$2:$E$70,5,FALSE)</f>
        <v>Trsf</v>
      </c>
      <c r="S523" s="1" t="s">
        <v>818</v>
      </c>
    </row>
    <row r="524" spans="1:19" x14ac:dyDescent="0.3">
      <c r="A524" s="4">
        <v>44574</v>
      </c>
      <c r="B524" s="5">
        <f t="shared" si="84"/>
        <v>1</v>
      </c>
      <c r="C524" s="5">
        <f t="shared" si="85"/>
        <v>2022</v>
      </c>
      <c r="D524" s="5" t="s">
        <v>558</v>
      </c>
      <c r="E524" s="5" t="str">
        <f>VLOOKUP(F524,'Set up'!$A$2:$C$70,2,FALSE)</f>
        <v>C00000020</v>
      </c>
      <c r="F524" s="1" t="s">
        <v>409</v>
      </c>
      <c r="G524" s="11" t="s">
        <v>64</v>
      </c>
      <c r="H524" s="5">
        <v>8</v>
      </c>
      <c r="I524" s="5" t="str">
        <f>VLOOKUP(F524,'Set up'!$A$2:$C$70,3,FALSE)</f>
        <v>Cash</v>
      </c>
      <c r="J524" s="5">
        <f>VLOOKUP(F524,'Set up'!$A$2:$D$70,4,FALSE)</f>
        <v>0</v>
      </c>
      <c r="K524" s="4">
        <f t="shared" si="86"/>
        <v>44574</v>
      </c>
      <c r="L524" s="5">
        <f t="shared" si="87"/>
        <v>1</v>
      </c>
      <c r="M524" s="5">
        <f t="shared" si="88"/>
        <v>2022</v>
      </c>
      <c r="N524" s="6">
        <v>500</v>
      </c>
      <c r="O524" s="6">
        <f t="shared" si="90"/>
        <v>-500</v>
      </c>
      <c r="P524" s="6">
        <f t="shared" si="80"/>
        <v>0</v>
      </c>
      <c r="Q524" s="7">
        <f t="shared" si="89"/>
        <v>912058.45</v>
      </c>
      <c r="R524" s="44" t="str">
        <f>VLOOKUP(F524,'Set up'!$A$2:$E$70,5,FALSE)</f>
        <v>Trsf</v>
      </c>
      <c r="S524" s="1" t="s">
        <v>818</v>
      </c>
    </row>
    <row r="525" spans="1:19" x14ac:dyDescent="0.3">
      <c r="A525" s="4">
        <v>44575</v>
      </c>
      <c r="B525" s="5">
        <f t="shared" si="84"/>
        <v>1</v>
      </c>
      <c r="C525" s="5">
        <f t="shared" si="85"/>
        <v>2022</v>
      </c>
      <c r="D525" s="5" t="s">
        <v>559</v>
      </c>
      <c r="E525" s="5" t="str">
        <f>VLOOKUP(F525,'Set up'!$A$2:$C$70,2,FALSE)</f>
        <v>C00000004</v>
      </c>
      <c r="F525" s="1" t="s">
        <v>23</v>
      </c>
      <c r="G525" s="11" t="s">
        <v>560</v>
      </c>
      <c r="H525" s="5">
        <v>2</v>
      </c>
      <c r="I525" s="5">
        <f>VLOOKUP(F525,'Set up'!$A$2:$C$70,3,FALSE)</f>
        <v>120</v>
      </c>
      <c r="J525" s="5">
        <f>VLOOKUP(F525,'Set up'!$A$2:$D$70,4,FALSE)</f>
        <v>120</v>
      </c>
      <c r="K525" s="4">
        <f t="shared" si="86"/>
        <v>44695</v>
      </c>
      <c r="L525" s="5">
        <f t="shared" si="87"/>
        <v>5</v>
      </c>
      <c r="M525" s="5">
        <f t="shared" si="88"/>
        <v>2022</v>
      </c>
      <c r="N525" s="6">
        <v>4048</v>
      </c>
      <c r="O525" s="6">
        <f t="shared" si="90"/>
        <v>-4048</v>
      </c>
      <c r="P525" s="6">
        <f t="shared" si="80"/>
        <v>0</v>
      </c>
      <c r="Q525" s="7">
        <f t="shared" si="89"/>
        <v>916106.45</v>
      </c>
      <c r="R525" s="44" t="str">
        <f>VLOOKUP(F525,'Set up'!$A$2:$E$70,5,FALSE)</f>
        <v>Chq</v>
      </c>
      <c r="S525" s="1" t="s">
        <v>817</v>
      </c>
    </row>
    <row r="526" spans="1:19" x14ac:dyDescent="0.3">
      <c r="A526" s="4">
        <v>44575</v>
      </c>
      <c r="B526" s="5">
        <f t="shared" si="84"/>
        <v>1</v>
      </c>
      <c r="C526" s="5">
        <f t="shared" si="85"/>
        <v>2022</v>
      </c>
      <c r="D526" s="5" t="s">
        <v>559</v>
      </c>
      <c r="E526" s="5" t="str">
        <f>VLOOKUP(F526,'Set up'!$A$2:$C$70,2,FALSE)</f>
        <v>C00000004</v>
      </c>
      <c r="F526" s="1" t="s">
        <v>23</v>
      </c>
      <c r="G526" s="11" t="s">
        <v>555</v>
      </c>
      <c r="H526" s="5">
        <v>2</v>
      </c>
      <c r="I526" s="5">
        <f>VLOOKUP(F526,'Set up'!$A$2:$C$70,3,FALSE)</f>
        <v>120</v>
      </c>
      <c r="J526" s="5">
        <f>VLOOKUP(F526,'Set up'!$A$2:$D$70,4,FALSE)</f>
        <v>120</v>
      </c>
      <c r="K526" s="4">
        <f t="shared" si="86"/>
        <v>44695</v>
      </c>
      <c r="L526" s="5">
        <f t="shared" si="87"/>
        <v>5</v>
      </c>
      <c r="M526" s="5">
        <f t="shared" si="88"/>
        <v>2022</v>
      </c>
      <c r="N526" s="6">
        <v>1140</v>
      </c>
      <c r="O526" s="6">
        <f t="shared" si="90"/>
        <v>-1140</v>
      </c>
      <c r="P526" s="6">
        <f t="shared" si="80"/>
        <v>0</v>
      </c>
      <c r="Q526" s="7">
        <f t="shared" si="89"/>
        <v>917246.45</v>
      </c>
      <c r="R526" s="44" t="str">
        <f>VLOOKUP(F526,'Set up'!$A$2:$E$70,5,FALSE)</f>
        <v>Chq</v>
      </c>
      <c r="S526" s="1" t="s">
        <v>817</v>
      </c>
    </row>
    <row r="527" spans="1:19" x14ac:dyDescent="0.3">
      <c r="A527" s="4">
        <v>44575</v>
      </c>
      <c r="B527" s="5">
        <f t="shared" si="84"/>
        <v>1</v>
      </c>
      <c r="C527" s="5">
        <f t="shared" si="85"/>
        <v>2022</v>
      </c>
      <c r="D527" s="5" t="s">
        <v>559</v>
      </c>
      <c r="E527" s="5" t="str">
        <f>VLOOKUP(F527,'Set up'!$A$2:$C$70,2,FALSE)</f>
        <v>C00000004</v>
      </c>
      <c r="F527" s="1" t="s">
        <v>23</v>
      </c>
      <c r="G527" s="11" t="s">
        <v>238</v>
      </c>
      <c r="H527" s="5">
        <v>1</v>
      </c>
      <c r="I527" s="5">
        <f>VLOOKUP(F527,'Set up'!$A$2:$C$70,3,FALSE)</f>
        <v>120</v>
      </c>
      <c r="J527" s="5">
        <f>VLOOKUP(F527,'Set up'!$A$2:$D$70,4,FALSE)</f>
        <v>120</v>
      </c>
      <c r="K527" s="4">
        <f t="shared" si="86"/>
        <v>44695</v>
      </c>
      <c r="L527" s="5">
        <f t="shared" si="87"/>
        <v>5</v>
      </c>
      <c r="M527" s="5">
        <f t="shared" si="88"/>
        <v>2022</v>
      </c>
      <c r="N527" s="6">
        <v>450</v>
      </c>
      <c r="O527" s="6">
        <f t="shared" si="90"/>
        <v>-450</v>
      </c>
      <c r="P527" s="6">
        <f t="shared" si="80"/>
        <v>0</v>
      </c>
      <c r="Q527" s="7">
        <f t="shared" si="89"/>
        <v>917696.45</v>
      </c>
      <c r="R527" s="44" t="str">
        <f>VLOOKUP(F527,'Set up'!$A$2:$E$70,5,FALSE)</f>
        <v>Chq</v>
      </c>
      <c r="S527" s="1" t="s">
        <v>817</v>
      </c>
    </row>
    <row r="528" spans="1:19" x14ac:dyDescent="0.3">
      <c r="A528" s="4">
        <v>44575</v>
      </c>
      <c r="B528" s="5">
        <f t="shared" si="84"/>
        <v>1</v>
      </c>
      <c r="C528" s="5">
        <f t="shared" si="85"/>
        <v>2022</v>
      </c>
      <c r="D528" s="5" t="s">
        <v>559</v>
      </c>
      <c r="E528" s="5" t="str">
        <f>VLOOKUP(F528,'Set up'!$A$2:$C$70,2,FALSE)</f>
        <v>C00000004</v>
      </c>
      <c r="F528" s="1" t="s">
        <v>23</v>
      </c>
      <c r="G528" s="11" t="s">
        <v>381</v>
      </c>
      <c r="H528" s="5">
        <v>4</v>
      </c>
      <c r="I528" s="5">
        <f>VLOOKUP(F528,'Set up'!$A$2:$C$70,3,FALSE)</f>
        <v>120</v>
      </c>
      <c r="J528" s="5">
        <f>VLOOKUP(F528,'Set up'!$A$2:$D$70,4,FALSE)</f>
        <v>120</v>
      </c>
      <c r="K528" s="4">
        <f t="shared" si="86"/>
        <v>44695</v>
      </c>
      <c r="L528" s="5">
        <f t="shared" si="87"/>
        <v>5</v>
      </c>
      <c r="M528" s="5">
        <f t="shared" si="88"/>
        <v>2022</v>
      </c>
      <c r="N528" s="6">
        <v>340</v>
      </c>
      <c r="O528" s="6">
        <f t="shared" si="90"/>
        <v>-340</v>
      </c>
      <c r="P528" s="6">
        <f t="shared" si="80"/>
        <v>0</v>
      </c>
      <c r="Q528" s="7">
        <f t="shared" si="89"/>
        <v>918036.45</v>
      </c>
      <c r="R528" s="44" t="str">
        <f>VLOOKUP(F528,'Set up'!$A$2:$E$70,5,FALSE)</f>
        <v>Chq</v>
      </c>
      <c r="S528" s="1" t="s">
        <v>817</v>
      </c>
    </row>
    <row r="529" spans="1:19" x14ac:dyDescent="0.3">
      <c r="A529" s="4">
        <v>44575</v>
      </c>
      <c r="B529" s="5">
        <f t="shared" si="84"/>
        <v>1</v>
      </c>
      <c r="C529" s="5">
        <f t="shared" si="85"/>
        <v>2022</v>
      </c>
      <c r="D529" s="5" t="s">
        <v>559</v>
      </c>
      <c r="E529" s="5" t="str">
        <f>VLOOKUP(F529,'Set up'!$A$2:$C$70,2,FALSE)</f>
        <v>C00000004</v>
      </c>
      <c r="F529" s="1" t="s">
        <v>23</v>
      </c>
      <c r="G529" s="11" t="s">
        <v>44</v>
      </c>
      <c r="H529" s="5">
        <v>2</v>
      </c>
      <c r="I529" s="5">
        <f>VLOOKUP(F529,'Set up'!$A$2:$C$70,3,FALSE)</f>
        <v>120</v>
      </c>
      <c r="J529" s="5">
        <f>VLOOKUP(F529,'Set up'!$A$2:$D$70,4,FALSE)</f>
        <v>120</v>
      </c>
      <c r="K529" s="4">
        <f t="shared" si="86"/>
        <v>44695</v>
      </c>
      <c r="L529" s="5">
        <f t="shared" si="87"/>
        <v>5</v>
      </c>
      <c r="M529" s="5">
        <f t="shared" si="88"/>
        <v>2022</v>
      </c>
      <c r="N529" s="6">
        <v>540</v>
      </c>
      <c r="O529" s="6">
        <f t="shared" si="90"/>
        <v>-540</v>
      </c>
      <c r="P529" s="6">
        <f t="shared" si="80"/>
        <v>0</v>
      </c>
      <c r="Q529" s="7">
        <f t="shared" si="89"/>
        <v>918576.45</v>
      </c>
      <c r="R529" s="44" t="str">
        <f>VLOOKUP(F529,'Set up'!$A$2:$E$70,5,FALSE)</f>
        <v>Chq</v>
      </c>
      <c r="S529" s="1" t="s">
        <v>817</v>
      </c>
    </row>
    <row r="530" spans="1:19" x14ac:dyDescent="0.3">
      <c r="A530" s="4">
        <v>44575</v>
      </c>
      <c r="B530" s="5">
        <f t="shared" si="84"/>
        <v>1</v>
      </c>
      <c r="C530" s="5">
        <f t="shared" si="85"/>
        <v>2022</v>
      </c>
      <c r="D530" s="5" t="s">
        <v>559</v>
      </c>
      <c r="E530" s="5" t="str">
        <f>VLOOKUP(F530,'Set up'!$A$2:$C$70,2,FALSE)</f>
        <v>C00000004</v>
      </c>
      <c r="F530" s="1" t="s">
        <v>23</v>
      </c>
      <c r="G530" s="11" t="s">
        <v>551</v>
      </c>
      <c r="H530" s="5">
        <v>1</v>
      </c>
      <c r="I530" s="5">
        <f>VLOOKUP(F530,'Set up'!$A$2:$C$70,3,FALSE)</f>
        <v>120</v>
      </c>
      <c r="J530" s="5">
        <f>VLOOKUP(F530,'Set up'!$A$2:$D$70,4,FALSE)</f>
        <v>120</v>
      </c>
      <c r="K530" s="4">
        <f t="shared" si="86"/>
        <v>44695</v>
      </c>
      <c r="L530" s="5">
        <f t="shared" si="87"/>
        <v>5</v>
      </c>
      <c r="M530" s="5">
        <f t="shared" si="88"/>
        <v>2022</v>
      </c>
      <c r="N530" s="6">
        <v>285</v>
      </c>
      <c r="O530" s="6">
        <f t="shared" si="90"/>
        <v>-285</v>
      </c>
      <c r="P530" s="6">
        <f t="shared" si="80"/>
        <v>0</v>
      </c>
      <c r="Q530" s="7">
        <f t="shared" si="89"/>
        <v>918861.45</v>
      </c>
      <c r="R530" s="44" t="str">
        <f>VLOOKUP(F530,'Set up'!$A$2:$E$70,5,FALSE)</f>
        <v>Chq</v>
      </c>
      <c r="S530" s="1" t="s">
        <v>817</v>
      </c>
    </row>
    <row r="531" spans="1:19" x14ac:dyDescent="0.3">
      <c r="A531" s="4">
        <v>44575</v>
      </c>
      <c r="B531" s="5">
        <f t="shared" si="84"/>
        <v>1</v>
      </c>
      <c r="C531" s="5">
        <f t="shared" si="85"/>
        <v>2022</v>
      </c>
      <c r="D531" s="5" t="s">
        <v>561</v>
      </c>
      <c r="E531" s="5" t="str">
        <f>VLOOKUP(F531,'Set up'!$A$2:$C$70,2,FALSE)</f>
        <v>C00000004</v>
      </c>
      <c r="F531" s="1" t="s">
        <v>23</v>
      </c>
      <c r="G531" s="11" t="s">
        <v>551</v>
      </c>
      <c r="H531" s="5">
        <v>4</v>
      </c>
      <c r="I531" s="5">
        <f>VLOOKUP(F531,'Set up'!$A$2:$C$70,3,FALSE)</f>
        <v>120</v>
      </c>
      <c r="J531" s="5">
        <f>VLOOKUP(F531,'Set up'!$A$2:$D$70,4,FALSE)</f>
        <v>120</v>
      </c>
      <c r="K531" s="4">
        <f t="shared" si="86"/>
        <v>44695</v>
      </c>
      <c r="L531" s="5">
        <f t="shared" si="87"/>
        <v>5</v>
      </c>
      <c r="M531" s="5">
        <f t="shared" si="88"/>
        <v>2022</v>
      </c>
      <c r="N531" s="6">
        <v>1140</v>
      </c>
      <c r="O531" s="6">
        <f t="shared" si="90"/>
        <v>-1140</v>
      </c>
      <c r="P531" s="6">
        <f t="shared" si="80"/>
        <v>0</v>
      </c>
      <c r="Q531" s="7">
        <f t="shared" si="89"/>
        <v>920001.45</v>
      </c>
      <c r="R531" s="44" t="str">
        <f>VLOOKUP(F531,'Set up'!$A$2:$E$70,5,FALSE)</f>
        <v>Chq</v>
      </c>
      <c r="S531" s="1" t="s">
        <v>817</v>
      </c>
    </row>
    <row r="532" spans="1:19" x14ac:dyDescent="0.3">
      <c r="A532" s="4">
        <v>44575</v>
      </c>
      <c r="B532" s="5">
        <f t="shared" si="84"/>
        <v>1</v>
      </c>
      <c r="C532" s="5">
        <f t="shared" si="85"/>
        <v>2022</v>
      </c>
      <c r="D532" s="5" t="s">
        <v>561</v>
      </c>
      <c r="E532" s="5" t="str">
        <f>VLOOKUP(F532,'Set up'!$A$2:$C$70,2,FALSE)</f>
        <v>C00000004</v>
      </c>
      <c r="F532" s="1" t="s">
        <v>23</v>
      </c>
      <c r="G532" s="11" t="s">
        <v>64</v>
      </c>
      <c r="H532" s="5">
        <v>1</v>
      </c>
      <c r="I532" s="5">
        <f>VLOOKUP(F532,'Set up'!$A$2:$C$70,3,FALSE)</f>
        <v>120</v>
      </c>
      <c r="J532" s="5">
        <f>VLOOKUP(F532,'Set up'!$A$2:$D$70,4,FALSE)</f>
        <v>120</v>
      </c>
      <c r="K532" s="4">
        <f t="shared" si="86"/>
        <v>44695</v>
      </c>
      <c r="L532" s="5">
        <f t="shared" si="87"/>
        <v>5</v>
      </c>
      <c r="M532" s="5">
        <f t="shared" si="88"/>
        <v>2022</v>
      </c>
      <c r="N532" s="6">
        <v>62.5</v>
      </c>
      <c r="O532" s="6">
        <f t="shared" si="90"/>
        <v>-62.5</v>
      </c>
      <c r="P532" s="6">
        <f t="shared" si="80"/>
        <v>0</v>
      </c>
      <c r="Q532" s="7">
        <f t="shared" si="89"/>
        <v>920063.95</v>
      </c>
      <c r="R532" s="44" t="str">
        <f>VLOOKUP(F532,'Set up'!$A$2:$E$70,5,FALSE)</f>
        <v>Chq</v>
      </c>
      <c r="S532" s="1" t="s">
        <v>817</v>
      </c>
    </row>
    <row r="533" spans="1:19" x14ac:dyDescent="0.3">
      <c r="A533" s="4">
        <v>44578</v>
      </c>
      <c r="B533" s="5">
        <f t="shared" si="84"/>
        <v>1</v>
      </c>
      <c r="C533" s="5">
        <f t="shared" si="85"/>
        <v>2022</v>
      </c>
      <c r="D533" s="5" t="s">
        <v>562</v>
      </c>
      <c r="E533" s="5" t="str">
        <f>VLOOKUP(F533,'Set up'!$A$2:$C$70,2,FALSE)</f>
        <v>C00000004</v>
      </c>
      <c r="F533" s="1" t="s">
        <v>23</v>
      </c>
      <c r="G533" s="11" t="s">
        <v>95</v>
      </c>
      <c r="H533" s="5">
        <v>3</v>
      </c>
      <c r="I533" s="5">
        <f>VLOOKUP(F533,'Set up'!$A$2:$C$70,3,FALSE)</f>
        <v>120</v>
      </c>
      <c r="J533" s="5">
        <f>VLOOKUP(F533,'Set up'!$A$2:$D$70,4,FALSE)</f>
        <v>120</v>
      </c>
      <c r="K533" s="4">
        <f t="shared" si="86"/>
        <v>44698</v>
      </c>
      <c r="L533" s="5">
        <f t="shared" si="87"/>
        <v>5</v>
      </c>
      <c r="M533" s="5">
        <f t="shared" si="88"/>
        <v>2022</v>
      </c>
      <c r="N533" s="6">
        <v>6072</v>
      </c>
      <c r="O533" s="6">
        <f t="shared" si="90"/>
        <v>-6072</v>
      </c>
      <c r="P533" s="6">
        <f t="shared" ref="P533:P596" si="91">SUM(N533+O533)</f>
        <v>0</v>
      </c>
      <c r="Q533" s="7">
        <f t="shared" si="89"/>
        <v>926135.95</v>
      </c>
      <c r="R533" s="44" t="str">
        <f>VLOOKUP(F533,'Set up'!$A$2:$E$70,5,FALSE)</f>
        <v>Chq</v>
      </c>
      <c r="S533" s="1" t="s">
        <v>817</v>
      </c>
    </row>
    <row r="534" spans="1:19" x14ac:dyDescent="0.3">
      <c r="A534" s="4">
        <v>44578</v>
      </c>
      <c r="B534" s="5">
        <f t="shared" si="84"/>
        <v>1</v>
      </c>
      <c r="C534" s="5">
        <f t="shared" si="85"/>
        <v>2022</v>
      </c>
      <c r="D534" s="5" t="s">
        <v>562</v>
      </c>
      <c r="E534" s="5" t="str">
        <f>VLOOKUP(F534,'Set up'!$A$2:$C$70,2,FALSE)</f>
        <v>C00000004</v>
      </c>
      <c r="F534" s="1" t="s">
        <v>23</v>
      </c>
      <c r="G534" s="11" t="s">
        <v>335</v>
      </c>
      <c r="H534" s="5">
        <v>1</v>
      </c>
      <c r="I534" s="5">
        <f>VLOOKUP(F534,'Set up'!$A$2:$C$70,3,FALSE)</f>
        <v>120</v>
      </c>
      <c r="J534" s="5">
        <f>VLOOKUP(F534,'Set up'!$A$2:$D$70,4,FALSE)</f>
        <v>120</v>
      </c>
      <c r="K534" s="4">
        <f t="shared" si="86"/>
        <v>44698</v>
      </c>
      <c r="L534" s="5">
        <f t="shared" si="87"/>
        <v>5</v>
      </c>
      <c r="M534" s="5">
        <f t="shared" si="88"/>
        <v>2022</v>
      </c>
      <c r="N534" s="6">
        <v>2024</v>
      </c>
      <c r="O534" s="6">
        <f t="shared" si="90"/>
        <v>-2024</v>
      </c>
      <c r="P534" s="6">
        <f t="shared" si="91"/>
        <v>0</v>
      </c>
      <c r="Q534" s="7">
        <f t="shared" si="89"/>
        <v>928159.95</v>
      </c>
      <c r="R534" s="44" t="str">
        <f>VLOOKUP(F534,'Set up'!$A$2:$E$70,5,FALSE)</f>
        <v>Chq</v>
      </c>
      <c r="S534" s="1" t="s">
        <v>817</v>
      </c>
    </row>
    <row r="535" spans="1:19" x14ac:dyDescent="0.3">
      <c r="A535" s="4">
        <v>44578</v>
      </c>
      <c r="B535" s="5">
        <f t="shared" si="84"/>
        <v>1</v>
      </c>
      <c r="C535" s="5">
        <f t="shared" si="85"/>
        <v>2022</v>
      </c>
      <c r="D535" s="5" t="s">
        <v>562</v>
      </c>
      <c r="E535" s="5" t="str">
        <f>VLOOKUP(F535,'Set up'!$A$2:$C$70,2,FALSE)</f>
        <v>C00000004</v>
      </c>
      <c r="F535" s="1" t="s">
        <v>23</v>
      </c>
      <c r="G535" s="11" t="s">
        <v>563</v>
      </c>
      <c r="H535" s="5">
        <v>1</v>
      </c>
      <c r="I535" s="5">
        <f>VLOOKUP(F535,'Set up'!$A$2:$C$70,3,FALSE)</f>
        <v>120</v>
      </c>
      <c r="J535" s="5">
        <f>VLOOKUP(F535,'Set up'!$A$2:$D$70,4,FALSE)</f>
        <v>120</v>
      </c>
      <c r="K535" s="4">
        <f t="shared" si="86"/>
        <v>44698</v>
      </c>
      <c r="L535" s="5">
        <f t="shared" si="87"/>
        <v>5</v>
      </c>
      <c r="M535" s="5">
        <f t="shared" si="88"/>
        <v>2022</v>
      </c>
      <c r="N535" s="6">
        <v>390</v>
      </c>
      <c r="O535" s="6">
        <f t="shared" si="90"/>
        <v>-390</v>
      </c>
      <c r="P535" s="6">
        <f t="shared" si="91"/>
        <v>0</v>
      </c>
      <c r="Q535" s="7">
        <f t="shared" si="89"/>
        <v>928549.95</v>
      </c>
      <c r="R535" s="44" t="str">
        <f>VLOOKUP(F535,'Set up'!$A$2:$E$70,5,FALSE)</f>
        <v>Chq</v>
      </c>
      <c r="S535" s="1" t="s">
        <v>817</v>
      </c>
    </row>
    <row r="536" spans="1:19" x14ac:dyDescent="0.3">
      <c r="A536" s="4">
        <v>44579</v>
      </c>
      <c r="B536" s="5">
        <f t="shared" si="84"/>
        <v>1</v>
      </c>
      <c r="C536" s="5">
        <f t="shared" si="85"/>
        <v>2022</v>
      </c>
      <c r="D536" s="5" t="s">
        <v>564</v>
      </c>
      <c r="E536" s="5" t="str">
        <f>VLOOKUP(F536,'Set up'!$A$2:$C$70,2,FALSE)</f>
        <v>C00000020</v>
      </c>
      <c r="F536" s="1" t="s">
        <v>409</v>
      </c>
      <c r="G536" s="11" t="s">
        <v>545</v>
      </c>
      <c r="H536" s="5">
        <v>3</v>
      </c>
      <c r="I536" s="5" t="str">
        <f>VLOOKUP(F536,'Set up'!$A$2:$C$70,3,FALSE)</f>
        <v>Cash</v>
      </c>
      <c r="J536" s="5">
        <f>VLOOKUP(F536,'Set up'!$A$2:$D$70,4,FALSE)</f>
        <v>0</v>
      </c>
      <c r="K536" s="4">
        <f t="shared" si="86"/>
        <v>44579</v>
      </c>
      <c r="L536" s="5">
        <f t="shared" si="87"/>
        <v>1</v>
      </c>
      <c r="M536" s="5">
        <f t="shared" si="88"/>
        <v>2022</v>
      </c>
      <c r="N536" s="6">
        <v>6270</v>
      </c>
      <c r="O536" s="6">
        <f t="shared" si="90"/>
        <v>-6270</v>
      </c>
      <c r="P536" s="6">
        <f t="shared" si="91"/>
        <v>0</v>
      </c>
      <c r="Q536" s="7">
        <f t="shared" si="89"/>
        <v>934819.95</v>
      </c>
      <c r="R536" s="44" t="str">
        <f>VLOOKUP(F536,'Set up'!$A$2:$E$70,5,FALSE)</f>
        <v>Trsf</v>
      </c>
      <c r="S536" s="1" t="s">
        <v>818</v>
      </c>
    </row>
    <row r="537" spans="1:19" x14ac:dyDescent="0.3">
      <c r="A537" s="4">
        <v>44579</v>
      </c>
      <c r="B537" s="5">
        <f t="shared" si="84"/>
        <v>1</v>
      </c>
      <c r="C537" s="5">
        <f t="shared" si="85"/>
        <v>2022</v>
      </c>
      <c r="D537" s="5" t="s">
        <v>564</v>
      </c>
      <c r="E537" s="5" t="str">
        <f>VLOOKUP(F537,'Set up'!$A$2:$C$70,2,FALSE)</f>
        <v>C00000020</v>
      </c>
      <c r="F537" s="1" t="s">
        <v>409</v>
      </c>
      <c r="G537" s="11" t="s">
        <v>555</v>
      </c>
      <c r="H537" s="5">
        <v>4</v>
      </c>
      <c r="I537" s="5" t="str">
        <f>VLOOKUP(F537,'Set up'!$A$2:$C$70,3,FALSE)</f>
        <v>Cash</v>
      </c>
      <c r="J537" s="5">
        <f>VLOOKUP(F537,'Set up'!$A$2:$D$70,4,FALSE)</f>
        <v>0</v>
      </c>
      <c r="K537" s="4">
        <f t="shared" si="86"/>
        <v>44579</v>
      </c>
      <c r="L537" s="5">
        <f t="shared" si="87"/>
        <v>1</v>
      </c>
      <c r="M537" s="5">
        <f t="shared" si="88"/>
        <v>2022</v>
      </c>
      <c r="N537" s="6">
        <v>2352</v>
      </c>
      <c r="O537" s="6">
        <f t="shared" si="90"/>
        <v>-2352</v>
      </c>
      <c r="P537" s="6">
        <f t="shared" si="91"/>
        <v>0</v>
      </c>
      <c r="Q537" s="7">
        <f t="shared" si="89"/>
        <v>937171.95</v>
      </c>
      <c r="R537" s="44" t="str">
        <f>VLOOKUP(F537,'Set up'!$A$2:$E$70,5,FALSE)</f>
        <v>Trsf</v>
      </c>
      <c r="S537" s="1" t="s">
        <v>818</v>
      </c>
    </row>
    <row r="538" spans="1:19" x14ac:dyDescent="0.3">
      <c r="A538" s="4">
        <v>44579</v>
      </c>
      <c r="B538" s="5">
        <f t="shared" si="84"/>
        <v>1</v>
      </c>
      <c r="C538" s="5">
        <f t="shared" si="85"/>
        <v>2022</v>
      </c>
      <c r="D538" s="5" t="s">
        <v>564</v>
      </c>
      <c r="E538" s="5" t="str">
        <f>VLOOKUP(F538,'Set up'!$A$2:$C$70,2,FALSE)</f>
        <v>C00000020</v>
      </c>
      <c r="F538" s="1" t="s">
        <v>409</v>
      </c>
      <c r="G538" s="11" t="s">
        <v>556</v>
      </c>
      <c r="H538" s="5">
        <v>5</v>
      </c>
      <c r="I538" s="5" t="str">
        <f>VLOOKUP(F538,'Set up'!$A$2:$C$70,3,FALSE)</f>
        <v>Cash</v>
      </c>
      <c r="J538" s="5">
        <f>VLOOKUP(F538,'Set up'!$A$2:$D$70,4,FALSE)</f>
        <v>0</v>
      </c>
      <c r="K538" s="4">
        <f t="shared" si="86"/>
        <v>44579</v>
      </c>
      <c r="L538" s="5">
        <f t="shared" si="87"/>
        <v>1</v>
      </c>
      <c r="M538" s="5">
        <f t="shared" si="88"/>
        <v>2022</v>
      </c>
      <c r="N538" s="6">
        <v>1755</v>
      </c>
      <c r="O538" s="6">
        <f t="shared" si="90"/>
        <v>-1755</v>
      </c>
      <c r="P538" s="6">
        <f t="shared" si="91"/>
        <v>0</v>
      </c>
      <c r="Q538" s="7">
        <f t="shared" si="89"/>
        <v>938926.95</v>
      </c>
      <c r="R538" s="44" t="str">
        <f>VLOOKUP(F538,'Set up'!$A$2:$E$70,5,FALSE)</f>
        <v>Trsf</v>
      </c>
      <c r="S538" s="1" t="s">
        <v>818</v>
      </c>
    </row>
    <row r="539" spans="1:19" x14ac:dyDescent="0.3">
      <c r="A539" s="4">
        <v>44579</v>
      </c>
      <c r="B539" s="5">
        <f t="shared" si="84"/>
        <v>1</v>
      </c>
      <c r="C539" s="5">
        <f t="shared" si="85"/>
        <v>2022</v>
      </c>
      <c r="D539" s="5" t="s">
        <v>564</v>
      </c>
      <c r="E539" s="5" t="str">
        <f>VLOOKUP(F539,'Set up'!$A$2:$C$70,2,FALSE)</f>
        <v>C00000020</v>
      </c>
      <c r="F539" s="1" t="s">
        <v>409</v>
      </c>
      <c r="G539" s="11" t="s">
        <v>429</v>
      </c>
      <c r="H539" s="5">
        <v>1</v>
      </c>
      <c r="I539" s="5" t="str">
        <f>VLOOKUP(F539,'Set up'!$A$2:$C$70,3,FALSE)</f>
        <v>Cash</v>
      </c>
      <c r="J539" s="5">
        <f>VLOOKUP(F539,'Set up'!$A$2:$D$70,4,FALSE)</f>
        <v>0</v>
      </c>
      <c r="K539" s="4">
        <f t="shared" si="86"/>
        <v>44579</v>
      </c>
      <c r="L539" s="5">
        <f t="shared" si="87"/>
        <v>1</v>
      </c>
      <c r="M539" s="5">
        <f t="shared" si="88"/>
        <v>2022</v>
      </c>
      <c r="N539" s="6">
        <v>1000</v>
      </c>
      <c r="O539" s="6">
        <f t="shared" si="90"/>
        <v>-1000</v>
      </c>
      <c r="P539" s="6">
        <f t="shared" si="91"/>
        <v>0</v>
      </c>
      <c r="Q539" s="7">
        <f t="shared" si="89"/>
        <v>939926.95</v>
      </c>
      <c r="R539" s="44" t="str">
        <f>VLOOKUP(F539,'Set up'!$A$2:$E$70,5,FALSE)</f>
        <v>Trsf</v>
      </c>
      <c r="S539" s="1" t="s">
        <v>818</v>
      </c>
    </row>
    <row r="540" spans="1:19" x14ac:dyDescent="0.3">
      <c r="A540" s="4">
        <v>44579</v>
      </c>
      <c r="B540" s="5">
        <f t="shared" si="84"/>
        <v>1</v>
      </c>
      <c r="C540" s="5">
        <f t="shared" si="85"/>
        <v>2022</v>
      </c>
      <c r="D540" s="5" t="s">
        <v>564</v>
      </c>
      <c r="E540" s="5" t="str">
        <f>VLOOKUP(F540,'Set up'!$A$2:$C$70,2,FALSE)</f>
        <v>C00000020</v>
      </c>
      <c r="F540" s="1" t="s">
        <v>409</v>
      </c>
      <c r="G540" s="11" t="s">
        <v>64</v>
      </c>
      <c r="H540" s="5">
        <v>2</v>
      </c>
      <c r="I540" s="5" t="str">
        <f>VLOOKUP(F540,'Set up'!$A$2:$C$70,3,FALSE)</f>
        <v>Cash</v>
      </c>
      <c r="J540" s="5">
        <f>VLOOKUP(F540,'Set up'!$A$2:$D$70,4,FALSE)</f>
        <v>0</v>
      </c>
      <c r="K540" s="4">
        <f t="shared" si="86"/>
        <v>44579</v>
      </c>
      <c r="L540" s="5">
        <f t="shared" si="87"/>
        <v>1</v>
      </c>
      <c r="M540" s="5">
        <f t="shared" si="88"/>
        <v>2022</v>
      </c>
      <c r="N540" s="6">
        <v>125</v>
      </c>
      <c r="O540" s="6">
        <f t="shared" si="90"/>
        <v>-125</v>
      </c>
      <c r="P540" s="6">
        <f t="shared" si="91"/>
        <v>0</v>
      </c>
      <c r="Q540" s="7">
        <f t="shared" si="89"/>
        <v>940051.95</v>
      </c>
      <c r="R540" s="44" t="str">
        <f>VLOOKUP(F540,'Set up'!$A$2:$E$70,5,FALSE)</f>
        <v>Trsf</v>
      </c>
      <c r="S540" s="1" t="s">
        <v>818</v>
      </c>
    </row>
    <row r="541" spans="1:19" x14ac:dyDescent="0.3">
      <c r="A541" s="4">
        <v>44583</v>
      </c>
      <c r="B541" s="5">
        <f t="shared" si="84"/>
        <v>1</v>
      </c>
      <c r="C541" s="5">
        <f t="shared" si="85"/>
        <v>2022</v>
      </c>
      <c r="D541" s="5" t="s">
        <v>565</v>
      </c>
      <c r="E541" s="5" t="str">
        <f>VLOOKUP(F541,'Set up'!$A$2:$C$70,2,FALSE)</f>
        <v>C00000019</v>
      </c>
      <c r="F541" s="1" t="s">
        <v>400</v>
      </c>
      <c r="G541" s="11" t="s">
        <v>560</v>
      </c>
      <c r="H541" s="5">
        <v>1</v>
      </c>
      <c r="I541" s="5" t="str">
        <f>VLOOKUP(F541,'Set up'!$A$2:$C$70,3,FALSE)</f>
        <v>Cash</v>
      </c>
      <c r="J541" s="5">
        <f>VLOOKUP(F541,'Set up'!$A$2:$D$70,4,FALSE)</f>
        <v>0</v>
      </c>
      <c r="K541" s="4">
        <f t="shared" si="86"/>
        <v>44583</v>
      </c>
      <c r="L541" s="5">
        <f t="shared" si="87"/>
        <v>1</v>
      </c>
      <c r="M541" s="5">
        <f t="shared" si="88"/>
        <v>2022</v>
      </c>
      <c r="N541" s="6">
        <v>2068</v>
      </c>
      <c r="O541" s="6">
        <f t="shared" si="90"/>
        <v>-2068</v>
      </c>
      <c r="P541" s="6">
        <f t="shared" si="91"/>
        <v>0</v>
      </c>
      <c r="Q541" s="7">
        <f t="shared" si="89"/>
        <v>942119.95</v>
      </c>
      <c r="R541" s="44" t="str">
        <f>VLOOKUP(F541,'Set up'!$A$2:$E$70,5,FALSE)</f>
        <v>Trsf</v>
      </c>
      <c r="S541" s="1" t="s">
        <v>582</v>
      </c>
    </row>
    <row r="542" spans="1:19" x14ac:dyDescent="0.3">
      <c r="A542" s="4">
        <v>44583</v>
      </c>
      <c r="B542" s="5">
        <f t="shared" si="84"/>
        <v>1</v>
      </c>
      <c r="C542" s="5">
        <f t="shared" si="85"/>
        <v>2022</v>
      </c>
      <c r="D542" s="5" t="s">
        <v>565</v>
      </c>
      <c r="E542" s="5" t="str">
        <f>VLOOKUP(F542,'Set up'!$A$2:$C$70,2,FALSE)</f>
        <v>C00000019</v>
      </c>
      <c r="F542" s="1" t="s">
        <v>400</v>
      </c>
      <c r="G542" s="11" t="s">
        <v>478</v>
      </c>
      <c r="H542" s="5">
        <v>1</v>
      </c>
      <c r="I542" s="5" t="str">
        <f>VLOOKUP(F542,'Set up'!$A$2:$C$70,3,FALSE)</f>
        <v>Cash</v>
      </c>
      <c r="J542" s="5">
        <f>VLOOKUP(F542,'Set up'!$A$2:$D$70,4,FALSE)</f>
        <v>0</v>
      </c>
      <c r="K542" s="4">
        <f t="shared" si="86"/>
        <v>44583</v>
      </c>
      <c r="L542" s="5">
        <f t="shared" si="87"/>
        <v>1</v>
      </c>
      <c r="M542" s="5">
        <f t="shared" si="88"/>
        <v>2022</v>
      </c>
      <c r="N542" s="6">
        <v>523.79999999999995</v>
      </c>
      <c r="O542" s="6">
        <f t="shared" si="90"/>
        <v>-523.79999999999995</v>
      </c>
      <c r="P542" s="6">
        <f t="shared" si="91"/>
        <v>0</v>
      </c>
      <c r="Q542" s="7">
        <f t="shared" si="89"/>
        <v>942643.75</v>
      </c>
      <c r="R542" s="44" t="str">
        <f>VLOOKUP(F542,'Set up'!$A$2:$E$70,5,FALSE)</f>
        <v>Trsf</v>
      </c>
      <c r="S542" s="1" t="s">
        <v>582</v>
      </c>
    </row>
    <row r="543" spans="1:19" x14ac:dyDescent="0.3">
      <c r="A543" s="4">
        <v>44583</v>
      </c>
      <c r="B543" s="5">
        <f t="shared" si="84"/>
        <v>1</v>
      </c>
      <c r="C543" s="5">
        <f t="shared" si="85"/>
        <v>2022</v>
      </c>
      <c r="D543" s="5" t="s">
        <v>565</v>
      </c>
      <c r="E543" s="5" t="str">
        <f>VLOOKUP(F543,'Set up'!$A$2:$C$70,2,FALSE)</f>
        <v>C00000019</v>
      </c>
      <c r="F543" s="1" t="s">
        <v>400</v>
      </c>
      <c r="G543" s="11" t="s">
        <v>566</v>
      </c>
      <c r="H543" s="5">
        <v>1</v>
      </c>
      <c r="I543" s="5" t="str">
        <f>VLOOKUP(F543,'Set up'!$A$2:$C$70,3,FALSE)</f>
        <v>Cash</v>
      </c>
      <c r="J543" s="5">
        <f>VLOOKUP(F543,'Set up'!$A$2:$D$70,4,FALSE)</f>
        <v>0</v>
      </c>
      <c r="K543" s="4">
        <f t="shared" si="86"/>
        <v>44583</v>
      </c>
      <c r="L543" s="5">
        <f t="shared" si="87"/>
        <v>1</v>
      </c>
      <c r="M543" s="5">
        <f t="shared" si="88"/>
        <v>2022</v>
      </c>
      <c r="N543" s="6">
        <v>105</v>
      </c>
      <c r="O543" s="6">
        <f t="shared" si="90"/>
        <v>-105</v>
      </c>
      <c r="P543" s="6">
        <f t="shared" si="91"/>
        <v>0</v>
      </c>
      <c r="Q543" s="7">
        <f t="shared" si="89"/>
        <v>942748.75</v>
      </c>
      <c r="R543" s="44" t="str">
        <f>VLOOKUP(F543,'Set up'!$A$2:$E$70,5,FALSE)</f>
        <v>Trsf</v>
      </c>
      <c r="S543" s="1" t="s">
        <v>582</v>
      </c>
    </row>
    <row r="544" spans="1:19" x14ac:dyDescent="0.3">
      <c r="A544" s="4">
        <v>44585</v>
      </c>
      <c r="B544" s="5">
        <f t="shared" si="84"/>
        <v>1</v>
      </c>
      <c r="C544" s="5">
        <f t="shared" si="85"/>
        <v>2022</v>
      </c>
      <c r="D544" s="5" t="s">
        <v>567</v>
      </c>
      <c r="E544" s="5" t="str">
        <f>VLOOKUP(F544,'Set up'!$A$2:$C$70,2,FALSE)</f>
        <v>C00000010</v>
      </c>
      <c r="F544" s="1" t="s">
        <v>62</v>
      </c>
      <c r="G544" s="11" t="s">
        <v>303</v>
      </c>
      <c r="H544" s="5">
        <v>6</v>
      </c>
      <c r="I544" s="5">
        <f>VLOOKUP(F544,'Set up'!$A$2:$C$70,3,FALSE)</f>
        <v>120</v>
      </c>
      <c r="J544" s="5">
        <f>VLOOKUP(F544,'Set up'!$A$2:$D$70,4,FALSE)</f>
        <v>120</v>
      </c>
      <c r="K544" s="4">
        <f t="shared" si="86"/>
        <v>44705</v>
      </c>
      <c r="L544" s="5">
        <f t="shared" si="87"/>
        <v>5</v>
      </c>
      <c r="M544" s="5">
        <f t="shared" si="88"/>
        <v>2022</v>
      </c>
      <c r="N544" s="6">
        <v>12144</v>
      </c>
      <c r="O544" s="6">
        <f t="shared" si="90"/>
        <v>-12144</v>
      </c>
      <c r="P544" s="6">
        <f t="shared" si="91"/>
        <v>0</v>
      </c>
      <c r="Q544" s="7">
        <f t="shared" si="89"/>
        <v>954892.75</v>
      </c>
      <c r="R544" s="44" t="str">
        <f>VLOOKUP(F544,'Set up'!$A$2:$E$70,5,FALSE)</f>
        <v>Trsf</v>
      </c>
      <c r="S544" s="1" t="s">
        <v>750</v>
      </c>
    </row>
    <row r="545" spans="1:19" x14ac:dyDescent="0.3">
      <c r="A545" s="4">
        <v>44585</v>
      </c>
      <c r="B545" s="5">
        <f t="shared" si="84"/>
        <v>1</v>
      </c>
      <c r="C545" s="5">
        <f t="shared" si="85"/>
        <v>2022</v>
      </c>
      <c r="D545" s="5" t="s">
        <v>567</v>
      </c>
      <c r="E545" s="5" t="str">
        <f>VLOOKUP(F545,'Set up'!$A$2:$C$70,2,FALSE)</f>
        <v>C00000010</v>
      </c>
      <c r="F545" s="1" t="s">
        <v>62</v>
      </c>
      <c r="G545" s="11" t="s">
        <v>64</v>
      </c>
      <c r="H545" s="5">
        <v>10</v>
      </c>
      <c r="I545" s="5">
        <f>VLOOKUP(F545,'Set up'!$A$2:$C$70,3,FALSE)</f>
        <v>120</v>
      </c>
      <c r="J545" s="5">
        <f>VLOOKUP(F545,'Set up'!$A$2:$D$70,4,FALSE)</f>
        <v>120</v>
      </c>
      <c r="K545" s="4">
        <f t="shared" si="86"/>
        <v>44705</v>
      </c>
      <c r="L545" s="5">
        <f t="shared" si="87"/>
        <v>5</v>
      </c>
      <c r="M545" s="5">
        <f t="shared" si="88"/>
        <v>2022</v>
      </c>
      <c r="N545" s="6">
        <v>550</v>
      </c>
      <c r="O545" s="6">
        <f t="shared" si="90"/>
        <v>-550</v>
      </c>
      <c r="P545" s="6">
        <f t="shared" si="91"/>
        <v>0</v>
      </c>
      <c r="Q545" s="7">
        <f t="shared" si="89"/>
        <v>955442.75</v>
      </c>
      <c r="R545" s="44" t="str">
        <f>VLOOKUP(F545,'Set up'!$A$2:$E$70,5,FALSE)</f>
        <v>Trsf</v>
      </c>
      <c r="S545" s="1" t="s">
        <v>750</v>
      </c>
    </row>
    <row r="546" spans="1:19" x14ac:dyDescent="0.3">
      <c r="A546" s="4">
        <v>44585</v>
      </c>
      <c r="B546" s="5">
        <f t="shared" si="84"/>
        <v>1</v>
      </c>
      <c r="C546" s="5">
        <f t="shared" si="85"/>
        <v>2022</v>
      </c>
      <c r="D546" s="5" t="s">
        <v>567</v>
      </c>
      <c r="E546" s="5" t="str">
        <f>VLOOKUP(F546,'Set up'!$A$2:$C$70,2,FALSE)</f>
        <v>C00000010</v>
      </c>
      <c r="F546" s="1" t="s">
        <v>62</v>
      </c>
      <c r="G546" s="11" t="s">
        <v>381</v>
      </c>
      <c r="H546" s="5">
        <v>4</v>
      </c>
      <c r="I546" s="5">
        <f>VLOOKUP(F546,'Set up'!$A$2:$C$70,3,FALSE)</f>
        <v>120</v>
      </c>
      <c r="J546" s="5">
        <f>VLOOKUP(F546,'Set up'!$A$2:$D$70,4,FALSE)</f>
        <v>120</v>
      </c>
      <c r="K546" s="4">
        <f t="shared" si="86"/>
        <v>44705</v>
      </c>
      <c r="L546" s="5">
        <f t="shared" si="87"/>
        <v>5</v>
      </c>
      <c r="M546" s="5">
        <f t="shared" si="88"/>
        <v>2022</v>
      </c>
      <c r="N546" s="6">
        <v>340</v>
      </c>
      <c r="O546" s="6">
        <f t="shared" si="90"/>
        <v>-340</v>
      </c>
      <c r="P546" s="6">
        <f t="shared" si="91"/>
        <v>0</v>
      </c>
      <c r="Q546" s="7">
        <f t="shared" si="89"/>
        <v>955782.75</v>
      </c>
      <c r="R546" s="44" t="str">
        <f>VLOOKUP(F546,'Set up'!$A$2:$E$70,5,FALSE)</f>
        <v>Trsf</v>
      </c>
      <c r="S546" s="1" t="s">
        <v>750</v>
      </c>
    </row>
    <row r="547" spans="1:19" x14ac:dyDescent="0.3">
      <c r="A547" s="4">
        <v>44585</v>
      </c>
      <c r="B547" s="5">
        <f t="shared" si="84"/>
        <v>1</v>
      </c>
      <c r="C547" s="5">
        <f t="shared" si="85"/>
        <v>2022</v>
      </c>
      <c r="D547" s="5" t="s">
        <v>567</v>
      </c>
      <c r="E547" s="5" t="str">
        <f>VLOOKUP(F547,'Set up'!$A$2:$C$70,2,FALSE)</f>
        <v>C00000010</v>
      </c>
      <c r="F547" s="1" t="s">
        <v>62</v>
      </c>
      <c r="G547" s="11" t="s">
        <v>238</v>
      </c>
      <c r="H547" s="5">
        <v>1</v>
      </c>
      <c r="I547" s="5">
        <f>VLOOKUP(F547,'Set up'!$A$2:$C$70,3,FALSE)</f>
        <v>120</v>
      </c>
      <c r="J547" s="5">
        <f>VLOOKUP(F547,'Set up'!$A$2:$D$70,4,FALSE)</f>
        <v>120</v>
      </c>
      <c r="K547" s="4">
        <f t="shared" si="86"/>
        <v>44705</v>
      </c>
      <c r="L547" s="5">
        <f t="shared" si="87"/>
        <v>5</v>
      </c>
      <c r="M547" s="5">
        <f t="shared" si="88"/>
        <v>2022</v>
      </c>
      <c r="N547" s="6">
        <v>440</v>
      </c>
      <c r="O547" s="6">
        <f t="shared" si="90"/>
        <v>-440</v>
      </c>
      <c r="P547" s="6">
        <f t="shared" si="91"/>
        <v>0</v>
      </c>
      <c r="Q547" s="7">
        <f t="shared" si="89"/>
        <v>956222.75</v>
      </c>
      <c r="R547" s="44" t="str">
        <f>VLOOKUP(F547,'Set up'!$A$2:$E$70,5,FALSE)</f>
        <v>Trsf</v>
      </c>
      <c r="S547" s="1" t="s">
        <v>750</v>
      </c>
    </row>
    <row r="548" spans="1:19" x14ac:dyDescent="0.3">
      <c r="A548" s="4">
        <v>44586</v>
      </c>
      <c r="B548" s="5">
        <f t="shared" si="84"/>
        <v>1</v>
      </c>
      <c r="C548" s="5">
        <f t="shared" si="85"/>
        <v>2022</v>
      </c>
      <c r="D548" s="5" t="s">
        <v>568</v>
      </c>
      <c r="E548" s="5" t="str">
        <f>VLOOKUP(F548,'Set up'!$A$2:$C$70,2,FALSE)</f>
        <v>C00000006</v>
      </c>
      <c r="F548" s="1" t="s">
        <v>43</v>
      </c>
      <c r="G548" s="11" t="s">
        <v>560</v>
      </c>
      <c r="H548" s="5">
        <v>1</v>
      </c>
      <c r="I548" s="5" t="str">
        <f>VLOOKUP(F548,'Set up'!$A$2:$C$70,3,FALSE)</f>
        <v>Cash</v>
      </c>
      <c r="J548" s="5">
        <f>VLOOKUP(F548,'Set up'!$A$2:$D$70,4,FALSE)</f>
        <v>0</v>
      </c>
      <c r="K548" s="4">
        <f t="shared" si="86"/>
        <v>44586</v>
      </c>
      <c r="L548" s="5">
        <f t="shared" si="87"/>
        <v>1</v>
      </c>
      <c r="M548" s="5">
        <f t="shared" si="88"/>
        <v>2022</v>
      </c>
      <c r="N548" s="6">
        <v>2024</v>
      </c>
      <c r="O548" s="6">
        <f>SUM(-N548)</f>
        <v>-2024</v>
      </c>
      <c r="P548" s="6">
        <f t="shared" si="91"/>
        <v>0</v>
      </c>
      <c r="Q548" s="7">
        <f t="shared" si="89"/>
        <v>958246.75</v>
      </c>
      <c r="R548" s="44" t="str">
        <f>VLOOKUP(F548,'Set up'!$A$2:$E$70,5,FALSE)</f>
        <v>Chq</v>
      </c>
      <c r="S548" s="1" t="s">
        <v>618</v>
      </c>
    </row>
    <row r="549" spans="1:19" x14ac:dyDescent="0.3">
      <c r="A549" s="4">
        <v>44586</v>
      </c>
      <c r="B549" s="5">
        <f t="shared" si="84"/>
        <v>1</v>
      </c>
      <c r="C549" s="5">
        <f t="shared" si="85"/>
        <v>2022</v>
      </c>
      <c r="D549" s="5" t="s">
        <v>568</v>
      </c>
      <c r="E549" s="5" t="str">
        <f>VLOOKUP(F549,'Set up'!$A$2:$C$70,2,FALSE)</f>
        <v>C00000006</v>
      </c>
      <c r="F549" s="1" t="s">
        <v>43</v>
      </c>
      <c r="G549" s="11" t="s">
        <v>551</v>
      </c>
      <c r="H549" s="5">
        <v>1</v>
      </c>
      <c r="I549" s="5" t="str">
        <f>VLOOKUP(F549,'Set up'!$A$2:$C$70,3,FALSE)</f>
        <v>Cash</v>
      </c>
      <c r="J549" s="5">
        <f>VLOOKUP(F549,'Set up'!$A$2:$D$70,4,FALSE)</f>
        <v>0</v>
      </c>
      <c r="K549" s="4">
        <f t="shared" si="86"/>
        <v>44586</v>
      </c>
      <c r="L549" s="5">
        <f t="shared" si="87"/>
        <v>1</v>
      </c>
      <c r="M549" s="5">
        <f t="shared" si="88"/>
        <v>2022</v>
      </c>
      <c r="N549" s="6">
        <v>285</v>
      </c>
      <c r="O549" s="6">
        <f>SUM(-N549)</f>
        <v>-285</v>
      </c>
      <c r="P549" s="6">
        <f t="shared" si="91"/>
        <v>0</v>
      </c>
      <c r="Q549" s="7">
        <f t="shared" si="89"/>
        <v>958531.75</v>
      </c>
      <c r="R549" s="44" t="str">
        <f>VLOOKUP(F549,'Set up'!$A$2:$E$70,5,FALSE)</f>
        <v>Chq</v>
      </c>
      <c r="S549" s="1" t="s">
        <v>618</v>
      </c>
    </row>
    <row r="550" spans="1:19" x14ac:dyDescent="0.3">
      <c r="A550" s="4">
        <v>44587</v>
      </c>
      <c r="B550" s="5">
        <f t="shared" si="84"/>
        <v>1</v>
      </c>
      <c r="C550" s="5">
        <f t="shared" si="85"/>
        <v>2022</v>
      </c>
      <c r="D550" s="5" t="s">
        <v>569</v>
      </c>
      <c r="E550" s="5" t="str">
        <f>VLOOKUP(F550,'Set up'!$A$2:$C$70,2,FALSE)</f>
        <v>C00000004</v>
      </c>
      <c r="F550" s="1" t="s">
        <v>23</v>
      </c>
      <c r="G550" s="11" t="s">
        <v>560</v>
      </c>
      <c r="H550" s="5">
        <v>5</v>
      </c>
      <c r="I550" s="5">
        <f>VLOOKUP(F550,'Set up'!$A$2:$C$70,3,FALSE)</f>
        <v>120</v>
      </c>
      <c r="J550" s="5">
        <f>VLOOKUP(F550,'Set up'!$A$2:$D$70,4,FALSE)</f>
        <v>120</v>
      </c>
      <c r="K550" s="4">
        <f t="shared" si="86"/>
        <v>44707</v>
      </c>
      <c r="L550" s="5">
        <f t="shared" si="87"/>
        <v>5</v>
      </c>
      <c r="M550" s="5">
        <f t="shared" si="88"/>
        <v>2022</v>
      </c>
      <c r="N550" s="6">
        <v>10120</v>
      </c>
      <c r="O550" s="6">
        <f t="shared" ref="O550:O566" si="92">-N550</f>
        <v>-10120</v>
      </c>
      <c r="P550" s="6">
        <f t="shared" si="91"/>
        <v>0</v>
      </c>
      <c r="Q550" s="7">
        <f t="shared" si="89"/>
        <v>968651.75</v>
      </c>
      <c r="R550" s="44" t="str">
        <f>VLOOKUP(F550,'Set up'!$A$2:$E$70,5,FALSE)</f>
        <v>Chq</v>
      </c>
      <c r="S550" s="1" t="s">
        <v>817</v>
      </c>
    </row>
    <row r="551" spans="1:19" x14ac:dyDescent="0.3">
      <c r="A551" s="4">
        <v>44587</v>
      </c>
      <c r="B551" s="5">
        <f t="shared" si="84"/>
        <v>1</v>
      </c>
      <c r="C551" s="5">
        <f t="shared" si="85"/>
        <v>2022</v>
      </c>
      <c r="D551" s="5" t="s">
        <v>569</v>
      </c>
      <c r="E551" s="5" t="str">
        <f>VLOOKUP(F551,'Set up'!$A$2:$C$70,2,FALSE)</f>
        <v>C00000004</v>
      </c>
      <c r="F551" s="1" t="s">
        <v>23</v>
      </c>
      <c r="G551" s="11" t="s">
        <v>570</v>
      </c>
      <c r="H551" s="5">
        <v>1</v>
      </c>
      <c r="I551" s="5">
        <f>VLOOKUP(F551,'Set up'!$A$2:$C$70,3,FALSE)</f>
        <v>120</v>
      </c>
      <c r="J551" s="5">
        <f>VLOOKUP(F551,'Set up'!$A$2:$D$70,4,FALSE)</f>
        <v>120</v>
      </c>
      <c r="K551" s="4">
        <f t="shared" si="86"/>
        <v>44707</v>
      </c>
      <c r="L551" s="5">
        <f t="shared" si="87"/>
        <v>5</v>
      </c>
      <c r="M551" s="5">
        <f t="shared" si="88"/>
        <v>2022</v>
      </c>
      <c r="N551" s="6">
        <v>2024</v>
      </c>
      <c r="O551" s="6">
        <f t="shared" si="92"/>
        <v>-2024</v>
      </c>
      <c r="P551" s="6">
        <f t="shared" si="91"/>
        <v>0</v>
      </c>
      <c r="Q551" s="7">
        <f t="shared" si="89"/>
        <v>970675.75</v>
      </c>
      <c r="R551" s="44" t="str">
        <f>VLOOKUP(F551,'Set up'!$A$2:$E$70,5,FALSE)</f>
        <v>Chq</v>
      </c>
      <c r="S551" s="1" t="s">
        <v>817</v>
      </c>
    </row>
    <row r="552" spans="1:19" x14ac:dyDescent="0.3">
      <c r="A552" s="4">
        <v>44587</v>
      </c>
      <c r="B552" s="5">
        <f t="shared" si="84"/>
        <v>1</v>
      </c>
      <c r="C552" s="5">
        <f t="shared" si="85"/>
        <v>2022</v>
      </c>
      <c r="D552" s="5" t="s">
        <v>569</v>
      </c>
      <c r="E552" s="5" t="str">
        <f>VLOOKUP(F552,'Set up'!$A$2:$C$70,2,FALSE)</f>
        <v>C00000004</v>
      </c>
      <c r="F552" s="1" t="s">
        <v>23</v>
      </c>
      <c r="G552" s="11" t="s">
        <v>551</v>
      </c>
      <c r="H552" s="5">
        <v>5</v>
      </c>
      <c r="I552" s="5">
        <f>VLOOKUP(F552,'Set up'!$A$2:$C$70,3,FALSE)</f>
        <v>120</v>
      </c>
      <c r="J552" s="5">
        <f>VLOOKUP(F552,'Set up'!$A$2:$D$70,4,FALSE)</f>
        <v>120</v>
      </c>
      <c r="K552" s="4">
        <f t="shared" si="86"/>
        <v>44707</v>
      </c>
      <c r="L552" s="5">
        <f t="shared" si="87"/>
        <v>5</v>
      </c>
      <c r="M552" s="5">
        <f t="shared" si="88"/>
        <v>2022</v>
      </c>
      <c r="N552" s="6">
        <v>1425</v>
      </c>
      <c r="O552" s="6">
        <f t="shared" si="92"/>
        <v>-1425</v>
      </c>
      <c r="P552" s="6">
        <f t="shared" si="91"/>
        <v>0</v>
      </c>
      <c r="Q552" s="7">
        <f t="shared" si="89"/>
        <v>972100.75</v>
      </c>
      <c r="R552" s="44" t="str">
        <f>VLOOKUP(F552,'Set up'!$A$2:$E$70,5,FALSE)</f>
        <v>Chq</v>
      </c>
      <c r="S552" s="1" t="s">
        <v>817</v>
      </c>
    </row>
    <row r="553" spans="1:19" x14ac:dyDescent="0.3">
      <c r="A553" s="4">
        <v>44587</v>
      </c>
      <c r="B553" s="5">
        <f t="shared" si="84"/>
        <v>1</v>
      </c>
      <c r="C553" s="5">
        <f t="shared" si="85"/>
        <v>2022</v>
      </c>
      <c r="D553" s="5" t="s">
        <v>569</v>
      </c>
      <c r="E553" s="5" t="str">
        <f>VLOOKUP(F553,'Set up'!$A$2:$C$70,2,FALSE)</f>
        <v>C00000004</v>
      </c>
      <c r="F553" s="1" t="s">
        <v>23</v>
      </c>
      <c r="G553" s="11" t="s">
        <v>478</v>
      </c>
      <c r="H553" s="5">
        <v>3</v>
      </c>
      <c r="I553" s="5">
        <f>VLOOKUP(F553,'Set up'!$A$2:$C$70,3,FALSE)</f>
        <v>120</v>
      </c>
      <c r="J553" s="5">
        <f>VLOOKUP(F553,'Set up'!$A$2:$D$70,4,FALSE)</f>
        <v>120</v>
      </c>
      <c r="K553" s="4">
        <f t="shared" si="86"/>
        <v>44707</v>
      </c>
      <c r="L553" s="5">
        <f t="shared" si="87"/>
        <v>5</v>
      </c>
      <c r="M553" s="5">
        <f t="shared" si="88"/>
        <v>2022</v>
      </c>
      <c r="N553" s="6">
        <v>1539</v>
      </c>
      <c r="O553" s="6">
        <f t="shared" si="92"/>
        <v>-1539</v>
      </c>
      <c r="P553" s="6">
        <f t="shared" si="91"/>
        <v>0</v>
      </c>
      <c r="Q553" s="7">
        <f t="shared" si="89"/>
        <v>973639.75</v>
      </c>
      <c r="R553" s="44" t="str">
        <f>VLOOKUP(F553,'Set up'!$A$2:$E$70,5,FALSE)</f>
        <v>Chq</v>
      </c>
      <c r="S553" s="1" t="s">
        <v>817</v>
      </c>
    </row>
    <row r="554" spans="1:19" x14ac:dyDescent="0.3">
      <c r="A554" s="4">
        <v>44602</v>
      </c>
      <c r="B554" s="5">
        <f t="shared" si="84"/>
        <v>2</v>
      </c>
      <c r="C554" s="5">
        <f t="shared" si="85"/>
        <v>2022</v>
      </c>
      <c r="D554" s="5" t="s">
        <v>601</v>
      </c>
      <c r="E554" s="5" t="str">
        <f>VLOOKUP(F554,'Set up'!$A$2:$C$70,2,FALSE)</f>
        <v>C00000019</v>
      </c>
      <c r="F554" s="1" t="s">
        <v>400</v>
      </c>
      <c r="G554" s="11" t="s">
        <v>560</v>
      </c>
      <c r="H554" s="5">
        <v>2</v>
      </c>
      <c r="I554" s="5" t="str">
        <f>VLOOKUP(F554,'Set up'!$A$2:$C$70,3,FALSE)</f>
        <v>Cash</v>
      </c>
      <c r="J554" s="5">
        <f>VLOOKUP(F554,'Set up'!$A$2:$D$70,4,FALSE)</f>
        <v>0</v>
      </c>
      <c r="K554" s="4">
        <f t="shared" si="86"/>
        <v>44602</v>
      </c>
      <c r="L554" s="5">
        <f t="shared" si="87"/>
        <v>2</v>
      </c>
      <c r="M554" s="5">
        <f t="shared" si="88"/>
        <v>2022</v>
      </c>
      <c r="N554" s="6">
        <v>4136</v>
      </c>
      <c r="O554" s="6">
        <f t="shared" si="92"/>
        <v>-4136</v>
      </c>
      <c r="P554" s="6">
        <f t="shared" si="91"/>
        <v>0</v>
      </c>
      <c r="Q554" s="7">
        <f t="shared" si="89"/>
        <v>977775.75</v>
      </c>
      <c r="R554" s="44" t="str">
        <f>VLOOKUP(F554,'Set up'!$A$2:$E$70,5,FALSE)</f>
        <v>Trsf</v>
      </c>
      <c r="S554" s="1" t="s">
        <v>619</v>
      </c>
    </row>
    <row r="555" spans="1:19" x14ac:dyDescent="0.3">
      <c r="A555" s="4">
        <v>44602</v>
      </c>
      <c r="B555" s="5">
        <f t="shared" si="84"/>
        <v>2</v>
      </c>
      <c r="C555" s="5">
        <f t="shared" si="85"/>
        <v>2022</v>
      </c>
      <c r="D555" s="5" t="s">
        <v>601</v>
      </c>
      <c r="E555" s="5" t="str">
        <f>VLOOKUP(F555,'Set up'!$A$2:$C$70,2,FALSE)</f>
        <v>C00000019</v>
      </c>
      <c r="F555" s="1" t="s">
        <v>400</v>
      </c>
      <c r="G555" s="11" t="s">
        <v>478</v>
      </c>
      <c r="H555" s="5">
        <v>3</v>
      </c>
      <c r="I555" s="5" t="str">
        <f>VLOOKUP(F555,'Set up'!$A$2:$C$70,3,FALSE)</f>
        <v>Cash</v>
      </c>
      <c r="J555" s="5">
        <f>VLOOKUP(F555,'Set up'!$A$2:$D$70,4,FALSE)</f>
        <v>0</v>
      </c>
      <c r="K555" s="4">
        <f t="shared" si="86"/>
        <v>44602</v>
      </c>
      <c r="L555" s="5">
        <f t="shared" si="87"/>
        <v>2</v>
      </c>
      <c r="M555" s="5">
        <f t="shared" si="88"/>
        <v>2022</v>
      </c>
      <c r="N555" s="6">
        <v>1571.4</v>
      </c>
      <c r="O555" s="6">
        <f t="shared" si="92"/>
        <v>-1571.4</v>
      </c>
      <c r="P555" s="6">
        <f t="shared" si="91"/>
        <v>0</v>
      </c>
      <c r="Q555" s="7">
        <f t="shared" si="89"/>
        <v>979347.15</v>
      </c>
      <c r="R555" s="44" t="str">
        <f>VLOOKUP(F555,'Set up'!$A$2:$E$70,5,FALSE)</f>
        <v>Trsf</v>
      </c>
      <c r="S555" s="1" t="s">
        <v>619</v>
      </c>
    </row>
    <row r="556" spans="1:19" x14ac:dyDescent="0.3">
      <c r="A556" s="4">
        <v>44602</v>
      </c>
      <c r="B556" s="5">
        <f t="shared" si="84"/>
        <v>2</v>
      </c>
      <c r="C556" s="5">
        <f t="shared" si="85"/>
        <v>2022</v>
      </c>
      <c r="D556" s="5" t="s">
        <v>601</v>
      </c>
      <c r="E556" s="5" t="str">
        <f>VLOOKUP(F556,'Set up'!$A$2:$C$70,2,FALSE)</f>
        <v>C00000019</v>
      </c>
      <c r="F556" s="1" t="s">
        <v>400</v>
      </c>
      <c r="G556" s="11" t="s">
        <v>17</v>
      </c>
      <c r="H556" s="5">
        <v>1</v>
      </c>
      <c r="I556" s="5" t="str">
        <f>VLOOKUP(F556,'Set up'!$A$2:$C$70,3,FALSE)</f>
        <v>Cash</v>
      </c>
      <c r="J556" s="5">
        <f>VLOOKUP(F556,'Set up'!$A$2:$D$70,4,FALSE)</f>
        <v>0</v>
      </c>
      <c r="K556" s="4">
        <f t="shared" si="86"/>
        <v>44602</v>
      </c>
      <c r="L556" s="5">
        <f t="shared" si="87"/>
        <v>2</v>
      </c>
      <c r="M556" s="5">
        <f t="shared" si="88"/>
        <v>2022</v>
      </c>
      <c r="N556" s="6">
        <v>105</v>
      </c>
      <c r="O556" s="6">
        <f t="shared" si="92"/>
        <v>-105</v>
      </c>
      <c r="P556" s="6">
        <f t="shared" si="91"/>
        <v>0</v>
      </c>
      <c r="Q556" s="7">
        <f t="shared" si="89"/>
        <v>979452.15</v>
      </c>
      <c r="R556" s="44" t="str">
        <f>VLOOKUP(F556,'Set up'!$A$2:$E$70,5,FALSE)</f>
        <v>Trsf</v>
      </c>
      <c r="S556" s="1" t="s">
        <v>619</v>
      </c>
    </row>
    <row r="557" spans="1:19" x14ac:dyDescent="0.3">
      <c r="A557" s="4">
        <v>44602</v>
      </c>
      <c r="B557" s="5">
        <f t="shared" si="84"/>
        <v>2</v>
      </c>
      <c r="C557" s="5">
        <f t="shared" si="85"/>
        <v>2022</v>
      </c>
      <c r="D557" s="5" t="s">
        <v>601</v>
      </c>
      <c r="E557" s="5" t="str">
        <f>VLOOKUP(F557,'Set up'!$A$2:$C$70,2,FALSE)</f>
        <v>C00000019</v>
      </c>
      <c r="F557" s="1" t="s">
        <v>400</v>
      </c>
      <c r="G557" s="11" t="s">
        <v>292</v>
      </c>
      <c r="H557" s="5">
        <v>2</v>
      </c>
      <c r="I557" s="5" t="str">
        <f>VLOOKUP(F557,'Set up'!$A$2:$C$70,3,FALSE)</f>
        <v>Cash</v>
      </c>
      <c r="J557" s="5">
        <f>VLOOKUP(F557,'Set up'!$A$2:$D$70,4,FALSE)</f>
        <v>0</v>
      </c>
      <c r="K557" s="4">
        <f t="shared" si="86"/>
        <v>44602</v>
      </c>
      <c r="L557" s="5">
        <f t="shared" si="87"/>
        <v>2</v>
      </c>
      <c r="M557" s="5">
        <f t="shared" si="88"/>
        <v>2022</v>
      </c>
      <c r="N557" s="6">
        <v>720</v>
      </c>
      <c r="O557" s="6">
        <f t="shared" si="92"/>
        <v>-720</v>
      </c>
      <c r="P557" s="6">
        <f t="shared" si="91"/>
        <v>0</v>
      </c>
      <c r="Q557" s="7">
        <f t="shared" si="89"/>
        <v>980172.15</v>
      </c>
      <c r="R557" s="44" t="str">
        <f>VLOOKUP(F557,'Set up'!$A$2:$E$70,5,FALSE)</f>
        <v>Trsf</v>
      </c>
      <c r="S557" s="1" t="s">
        <v>619</v>
      </c>
    </row>
    <row r="558" spans="1:19" x14ac:dyDescent="0.3">
      <c r="A558" s="4">
        <v>44607</v>
      </c>
      <c r="B558" s="5">
        <f t="shared" si="84"/>
        <v>2</v>
      </c>
      <c r="C558" s="5">
        <f t="shared" si="85"/>
        <v>2022</v>
      </c>
      <c r="D558" s="5" t="s">
        <v>602</v>
      </c>
      <c r="E558" s="5" t="str">
        <f>VLOOKUP(F558,'Set up'!$A$2:$C$70,2,FALSE)</f>
        <v>C00000004</v>
      </c>
      <c r="F558" s="1" t="s">
        <v>23</v>
      </c>
      <c r="G558" s="11" t="s">
        <v>381</v>
      </c>
      <c r="H558" s="5">
        <v>4</v>
      </c>
      <c r="I558" s="5">
        <f>VLOOKUP(F558,'Set up'!$A$2:$C$70,3,FALSE)</f>
        <v>120</v>
      </c>
      <c r="J558" s="5">
        <f>VLOOKUP(F558,'Set up'!$A$2:$D$70,4,FALSE)</f>
        <v>120</v>
      </c>
      <c r="K558" s="4">
        <f t="shared" si="86"/>
        <v>44727</v>
      </c>
      <c r="L558" s="5">
        <f t="shared" si="87"/>
        <v>6</v>
      </c>
      <c r="M558" s="5">
        <f t="shared" si="88"/>
        <v>2022</v>
      </c>
      <c r="N558" s="6">
        <v>340</v>
      </c>
      <c r="O558" s="6">
        <f t="shared" si="92"/>
        <v>-340</v>
      </c>
      <c r="P558" s="6">
        <f t="shared" si="91"/>
        <v>0</v>
      </c>
      <c r="Q558" s="7">
        <f t="shared" si="89"/>
        <v>980512.15</v>
      </c>
      <c r="R558" s="44" t="str">
        <f>VLOOKUP(F558,'Set up'!$A$2:$E$70,5,FALSE)</f>
        <v>Chq</v>
      </c>
      <c r="S558" s="1" t="s">
        <v>852</v>
      </c>
    </row>
    <row r="559" spans="1:19" x14ac:dyDescent="0.3">
      <c r="A559" s="4">
        <v>44607</v>
      </c>
      <c r="B559" s="5">
        <f t="shared" si="84"/>
        <v>2</v>
      </c>
      <c r="C559" s="5">
        <f t="shared" si="85"/>
        <v>2022</v>
      </c>
      <c r="D559" s="5" t="s">
        <v>602</v>
      </c>
      <c r="E559" s="5" t="str">
        <f>VLOOKUP(F559,'Set up'!$A$2:$C$70,2,FALSE)</f>
        <v>C00000004</v>
      </c>
      <c r="F559" s="1" t="s">
        <v>23</v>
      </c>
      <c r="G559" s="11" t="s">
        <v>551</v>
      </c>
      <c r="H559" s="5">
        <v>4</v>
      </c>
      <c r="I559" s="5">
        <f>VLOOKUP(F559,'Set up'!$A$2:$C$70,3,FALSE)</f>
        <v>120</v>
      </c>
      <c r="J559" s="5">
        <f>VLOOKUP(F559,'Set up'!$A$2:$D$70,4,FALSE)</f>
        <v>120</v>
      </c>
      <c r="K559" s="4">
        <f t="shared" si="86"/>
        <v>44727</v>
      </c>
      <c r="L559" s="5">
        <f t="shared" si="87"/>
        <v>6</v>
      </c>
      <c r="M559" s="5">
        <f t="shared" si="88"/>
        <v>2022</v>
      </c>
      <c r="N559" s="6">
        <v>1140</v>
      </c>
      <c r="O559" s="6">
        <f t="shared" si="92"/>
        <v>-1140</v>
      </c>
      <c r="P559" s="6">
        <f t="shared" si="91"/>
        <v>0</v>
      </c>
      <c r="Q559" s="7">
        <f t="shared" si="89"/>
        <v>981652.15</v>
      </c>
      <c r="R559" s="44" t="str">
        <f>VLOOKUP(F559,'Set up'!$A$2:$E$70,5,FALSE)</f>
        <v>Chq</v>
      </c>
      <c r="S559" s="1" t="s">
        <v>852</v>
      </c>
    </row>
    <row r="560" spans="1:19" x14ac:dyDescent="0.3">
      <c r="A560" s="4">
        <v>44609</v>
      </c>
      <c r="B560" s="5">
        <f t="shared" si="84"/>
        <v>2</v>
      </c>
      <c r="C560" s="5">
        <f t="shared" si="85"/>
        <v>2022</v>
      </c>
      <c r="D560" s="5" t="s">
        <v>603</v>
      </c>
      <c r="E560" s="5" t="str">
        <f>VLOOKUP(F560,'Set up'!$A$2:$C$70,2,FALSE)</f>
        <v>C00000010</v>
      </c>
      <c r="F560" s="1" t="s">
        <v>62</v>
      </c>
      <c r="G560" s="11" t="s">
        <v>553</v>
      </c>
      <c r="H560" s="5">
        <v>6</v>
      </c>
      <c r="I560" s="5">
        <f>VLOOKUP(F560,'Set up'!$A$2:$C$70,3,FALSE)</f>
        <v>120</v>
      </c>
      <c r="J560" s="5">
        <f>VLOOKUP(F560,'Set up'!$A$2:$D$70,4,FALSE)</f>
        <v>120</v>
      </c>
      <c r="K560" s="4">
        <f t="shared" si="86"/>
        <v>44729</v>
      </c>
      <c r="L560" s="5">
        <f t="shared" si="87"/>
        <v>6</v>
      </c>
      <c r="M560" s="5">
        <f t="shared" si="88"/>
        <v>2022</v>
      </c>
      <c r="N560" s="6">
        <v>11880</v>
      </c>
      <c r="O560" s="6">
        <f t="shared" si="92"/>
        <v>-11880</v>
      </c>
      <c r="P560" s="6">
        <f t="shared" si="91"/>
        <v>0</v>
      </c>
      <c r="Q560" s="7">
        <f t="shared" si="89"/>
        <v>993532.15</v>
      </c>
      <c r="R560" s="44" t="str">
        <f>VLOOKUP(F560,'Set up'!$A$2:$E$70,5,FALSE)</f>
        <v>Trsf</v>
      </c>
      <c r="S560" s="1" t="s">
        <v>813</v>
      </c>
    </row>
    <row r="561" spans="1:19" x14ac:dyDescent="0.3">
      <c r="A561" s="4">
        <v>44609</v>
      </c>
      <c r="B561" s="5">
        <f t="shared" si="84"/>
        <v>2</v>
      </c>
      <c r="C561" s="5">
        <f t="shared" si="85"/>
        <v>2022</v>
      </c>
      <c r="D561" s="5" t="s">
        <v>603</v>
      </c>
      <c r="E561" s="5" t="str">
        <f>VLOOKUP(F561,'Set up'!$A$2:$C$70,2,FALSE)</f>
        <v>C00000010</v>
      </c>
      <c r="F561" s="1" t="s">
        <v>62</v>
      </c>
      <c r="G561" s="11" t="s">
        <v>613</v>
      </c>
      <c r="H561" s="5">
        <v>5</v>
      </c>
      <c r="I561" s="5">
        <f>VLOOKUP(F561,'Set up'!$A$2:$C$70,3,FALSE)</f>
        <v>120</v>
      </c>
      <c r="J561" s="5">
        <f>VLOOKUP(F561,'Set up'!$A$2:$D$70,4,FALSE)</f>
        <v>120</v>
      </c>
      <c r="K561" s="4">
        <f t="shared" si="86"/>
        <v>44729</v>
      </c>
      <c r="L561" s="5">
        <f t="shared" si="87"/>
        <v>6</v>
      </c>
      <c r="M561" s="5">
        <f t="shared" si="88"/>
        <v>2022</v>
      </c>
      <c r="N561" s="6">
        <v>1425</v>
      </c>
      <c r="O561" s="6">
        <f t="shared" si="92"/>
        <v>-1425</v>
      </c>
      <c r="P561" s="6">
        <f t="shared" si="91"/>
        <v>0</v>
      </c>
      <c r="Q561" s="7">
        <f t="shared" si="89"/>
        <v>994957.15</v>
      </c>
      <c r="R561" s="44" t="str">
        <f>VLOOKUP(F561,'Set up'!$A$2:$E$70,5,FALSE)</f>
        <v>Trsf</v>
      </c>
      <c r="S561" s="1" t="s">
        <v>813</v>
      </c>
    </row>
    <row r="562" spans="1:19" x14ac:dyDescent="0.3">
      <c r="A562" s="4">
        <v>44609</v>
      </c>
      <c r="B562" s="5">
        <f t="shared" si="84"/>
        <v>2</v>
      </c>
      <c r="C562" s="5">
        <f t="shared" si="85"/>
        <v>2022</v>
      </c>
      <c r="D562" s="5" t="s">
        <v>603</v>
      </c>
      <c r="E562" s="5" t="str">
        <f>VLOOKUP(F562,'Set up'!$A$2:$C$70,2,FALSE)</f>
        <v>C00000010</v>
      </c>
      <c r="F562" s="1" t="s">
        <v>62</v>
      </c>
      <c r="G562" s="11" t="s">
        <v>64</v>
      </c>
      <c r="H562" s="5">
        <v>5</v>
      </c>
      <c r="I562" s="5">
        <f>VLOOKUP(F562,'Set up'!$A$2:$C$70,3,FALSE)</f>
        <v>120</v>
      </c>
      <c r="J562" s="5">
        <f>VLOOKUP(F562,'Set up'!$A$2:$D$70,4,FALSE)</f>
        <v>120</v>
      </c>
      <c r="K562" s="4">
        <f t="shared" si="86"/>
        <v>44729</v>
      </c>
      <c r="L562" s="5">
        <f t="shared" si="87"/>
        <v>6</v>
      </c>
      <c r="M562" s="5">
        <f t="shared" si="88"/>
        <v>2022</v>
      </c>
      <c r="N562" s="6">
        <v>275</v>
      </c>
      <c r="O562" s="6">
        <f t="shared" si="92"/>
        <v>-275</v>
      </c>
      <c r="P562" s="6">
        <f t="shared" si="91"/>
        <v>0</v>
      </c>
      <c r="Q562" s="7">
        <f t="shared" si="89"/>
        <v>995232.15</v>
      </c>
      <c r="R562" s="44" t="str">
        <f>VLOOKUP(F562,'Set up'!$A$2:$E$70,5,FALSE)</f>
        <v>Trsf</v>
      </c>
      <c r="S562" s="1" t="s">
        <v>813</v>
      </c>
    </row>
    <row r="563" spans="1:19" x14ac:dyDescent="0.3">
      <c r="A563" s="4">
        <v>44609</v>
      </c>
      <c r="B563" s="5">
        <f t="shared" si="84"/>
        <v>2</v>
      </c>
      <c r="C563" s="5">
        <f t="shared" si="85"/>
        <v>2022</v>
      </c>
      <c r="D563" s="5" t="s">
        <v>603</v>
      </c>
      <c r="E563" s="5" t="str">
        <f>VLOOKUP(F563,'Set up'!$A$2:$C$70,2,FALSE)</f>
        <v>C00000010</v>
      </c>
      <c r="F563" s="1" t="s">
        <v>62</v>
      </c>
      <c r="G563" s="11" t="s">
        <v>614</v>
      </c>
      <c r="H563" s="5">
        <v>1</v>
      </c>
      <c r="I563" s="5">
        <f>VLOOKUP(F563,'Set up'!$A$2:$C$70,3,FALSE)</f>
        <v>120</v>
      </c>
      <c r="J563" s="5">
        <f>VLOOKUP(F563,'Set up'!$A$2:$D$70,4,FALSE)</f>
        <v>120</v>
      </c>
      <c r="K563" s="4">
        <f t="shared" si="86"/>
        <v>44729</v>
      </c>
      <c r="L563" s="5">
        <f t="shared" si="87"/>
        <v>6</v>
      </c>
      <c r="M563" s="5">
        <f t="shared" si="88"/>
        <v>2022</v>
      </c>
      <c r="N563" s="6">
        <v>375</v>
      </c>
      <c r="O563" s="6">
        <f t="shared" si="92"/>
        <v>-375</v>
      </c>
      <c r="P563" s="6">
        <f t="shared" si="91"/>
        <v>0</v>
      </c>
      <c r="Q563" s="7">
        <f t="shared" si="89"/>
        <v>995607.15</v>
      </c>
      <c r="R563" s="44" t="str">
        <f>VLOOKUP(F563,'Set up'!$A$2:$E$70,5,FALSE)</f>
        <v>Trsf</v>
      </c>
      <c r="S563" s="1" t="s">
        <v>813</v>
      </c>
    </row>
    <row r="564" spans="1:19" x14ac:dyDescent="0.3">
      <c r="A564" s="4">
        <v>44609</v>
      </c>
      <c r="B564" s="5">
        <f t="shared" si="84"/>
        <v>2</v>
      </c>
      <c r="C564" s="5">
        <f t="shared" si="85"/>
        <v>2022</v>
      </c>
      <c r="D564" s="5" t="s">
        <v>603</v>
      </c>
      <c r="E564" s="5" t="str">
        <f>VLOOKUP(F564,'Set up'!$A$2:$C$70,2,FALSE)</f>
        <v>C00000010</v>
      </c>
      <c r="F564" s="1" t="s">
        <v>62</v>
      </c>
      <c r="G564" s="11" t="s">
        <v>238</v>
      </c>
      <c r="H564" s="5">
        <v>1</v>
      </c>
      <c r="I564" s="5">
        <f>VLOOKUP(F564,'Set up'!$A$2:$C$70,3,FALSE)</f>
        <v>120</v>
      </c>
      <c r="J564" s="5">
        <f>VLOOKUP(F564,'Set up'!$A$2:$D$70,4,FALSE)</f>
        <v>120</v>
      </c>
      <c r="K564" s="4">
        <f t="shared" si="86"/>
        <v>44729</v>
      </c>
      <c r="L564" s="5">
        <f t="shared" si="87"/>
        <v>6</v>
      </c>
      <c r="M564" s="5">
        <f t="shared" si="88"/>
        <v>2022</v>
      </c>
      <c r="N564" s="6">
        <v>440</v>
      </c>
      <c r="O564" s="6">
        <f t="shared" si="92"/>
        <v>-440</v>
      </c>
      <c r="P564" s="6">
        <f t="shared" si="91"/>
        <v>0</v>
      </c>
      <c r="Q564" s="7">
        <f t="shared" si="89"/>
        <v>996047.15</v>
      </c>
      <c r="R564" s="44" t="str">
        <f>VLOOKUP(F564,'Set up'!$A$2:$E$70,5,FALSE)</f>
        <v>Trsf</v>
      </c>
      <c r="S564" s="1" t="s">
        <v>813</v>
      </c>
    </row>
    <row r="565" spans="1:19" x14ac:dyDescent="0.3">
      <c r="A565" s="4">
        <v>44610</v>
      </c>
      <c r="B565" s="5">
        <f t="shared" si="84"/>
        <v>2</v>
      </c>
      <c r="C565" s="5">
        <f t="shared" si="85"/>
        <v>2022</v>
      </c>
      <c r="D565" s="5" t="s">
        <v>604</v>
      </c>
      <c r="E565" s="5" t="str">
        <f>VLOOKUP(F565,'Set up'!$A$2:$C$70,2,FALSE)</f>
        <v>C00000009</v>
      </c>
      <c r="F565" s="1" t="s">
        <v>58</v>
      </c>
      <c r="G565" s="11" t="s">
        <v>560</v>
      </c>
      <c r="H565" s="5">
        <v>2</v>
      </c>
      <c r="I565" s="5">
        <f>VLOOKUP(F565,'Set up'!$A$2:$C$70,3,FALSE)</f>
        <v>60</v>
      </c>
      <c r="J565" s="5">
        <f>VLOOKUP(F565,'Set up'!$A$2:$D$70,4,FALSE)</f>
        <v>60</v>
      </c>
      <c r="K565" s="4">
        <f t="shared" si="86"/>
        <v>44670</v>
      </c>
      <c r="L565" s="5">
        <f t="shared" si="87"/>
        <v>4</v>
      </c>
      <c r="M565" s="5">
        <f t="shared" si="88"/>
        <v>2022</v>
      </c>
      <c r="N565" s="6">
        <v>3960</v>
      </c>
      <c r="O565" s="6">
        <f t="shared" si="92"/>
        <v>-3960</v>
      </c>
      <c r="P565" s="6">
        <f t="shared" si="91"/>
        <v>0</v>
      </c>
      <c r="Q565" s="7">
        <f t="shared" si="89"/>
        <v>1000007.15</v>
      </c>
      <c r="R565" s="44" t="str">
        <f>VLOOKUP(F565,'Set up'!$A$2:$E$70,5,FALSE)</f>
        <v>Chq</v>
      </c>
      <c r="S565" s="1" t="s">
        <v>815</v>
      </c>
    </row>
    <row r="566" spans="1:19" x14ac:dyDescent="0.3">
      <c r="A566" s="4">
        <v>44610</v>
      </c>
      <c r="B566" s="5">
        <f t="shared" si="84"/>
        <v>2</v>
      </c>
      <c r="C566" s="5">
        <f t="shared" si="85"/>
        <v>2022</v>
      </c>
      <c r="D566" s="5" t="s">
        <v>604</v>
      </c>
      <c r="E566" s="5" t="str">
        <f>VLOOKUP(F566,'Set up'!$A$2:$C$70,2,FALSE)</f>
        <v>C00000009</v>
      </c>
      <c r="F566" s="1" t="s">
        <v>58</v>
      </c>
      <c r="G566" s="11" t="s">
        <v>616</v>
      </c>
      <c r="H566" s="5">
        <v>1</v>
      </c>
      <c r="I566" s="5">
        <f>VLOOKUP(F566,'Set up'!$A$2:$C$70,3,FALSE)</f>
        <v>60</v>
      </c>
      <c r="J566" s="5">
        <f>VLOOKUP(F566,'Set up'!$A$2:$D$70,4,FALSE)</f>
        <v>60</v>
      </c>
      <c r="K566" s="4">
        <f t="shared" si="86"/>
        <v>44670</v>
      </c>
      <c r="L566" s="5">
        <f t="shared" si="87"/>
        <v>4</v>
      </c>
      <c r="M566" s="5">
        <f t="shared" si="88"/>
        <v>2022</v>
      </c>
      <c r="N566" s="6">
        <v>1980</v>
      </c>
      <c r="O566" s="6">
        <f t="shared" si="92"/>
        <v>-1980</v>
      </c>
      <c r="P566" s="6">
        <f t="shared" si="91"/>
        <v>0</v>
      </c>
      <c r="Q566" s="7">
        <f t="shared" si="89"/>
        <v>1001987.15</v>
      </c>
      <c r="R566" s="44" t="str">
        <f>VLOOKUP(F566,'Set up'!$A$2:$E$70,5,FALSE)</f>
        <v>Chq</v>
      </c>
      <c r="S566" s="1" t="s">
        <v>815</v>
      </c>
    </row>
    <row r="567" spans="1:19" ht="124.8" x14ac:dyDescent="0.3">
      <c r="A567" s="4">
        <v>44611</v>
      </c>
      <c r="B567" s="5">
        <f t="shared" si="84"/>
        <v>2</v>
      </c>
      <c r="C567" s="5">
        <f t="shared" si="85"/>
        <v>2022</v>
      </c>
      <c r="D567" s="5" t="s">
        <v>605</v>
      </c>
      <c r="E567" s="5" t="str">
        <f>VLOOKUP(F567,'Set up'!$A$2:$C$70,2,FALSE)</f>
        <v>C00000003</v>
      </c>
      <c r="F567" s="1" t="s">
        <v>20</v>
      </c>
      <c r="G567" s="11" t="s">
        <v>545</v>
      </c>
      <c r="H567" s="5">
        <v>3</v>
      </c>
      <c r="I567" s="5">
        <f>VLOOKUP(F567,'Set up'!$A$2:$C$70,3,FALSE)</f>
        <v>45</v>
      </c>
      <c r="J567" s="5">
        <f>VLOOKUP(F567,'Set up'!$A$2:$D$70,4,FALSE)</f>
        <v>45</v>
      </c>
      <c r="K567" s="4">
        <f t="shared" si="86"/>
        <v>44656</v>
      </c>
      <c r="L567" s="5">
        <f t="shared" si="87"/>
        <v>4</v>
      </c>
      <c r="M567" s="5">
        <f t="shared" si="88"/>
        <v>2022</v>
      </c>
      <c r="N567" s="6">
        <v>6336</v>
      </c>
      <c r="O567" s="6">
        <f>-2000-2000-2000-336</f>
        <v>-6336</v>
      </c>
      <c r="P567" s="6">
        <f t="shared" si="91"/>
        <v>0</v>
      </c>
      <c r="Q567" s="7">
        <f t="shared" si="89"/>
        <v>1008323.15</v>
      </c>
      <c r="R567" s="44" t="str">
        <f>VLOOKUP(F567,'Set up'!$A$2:$E$70,5,FALSE)</f>
        <v>PD Chq</v>
      </c>
      <c r="S567" s="40" t="s">
        <v>742</v>
      </c>
    </row>
    <row r="568" spans="1:19" x14ac:dyDescent="0.3">
      <c r="A568" s="4">
        <v>44611</v>
      </c>
      <c r="B568" s="5">
        <f t="shared" si="84"/>
        <v>2</v>
      </c>
      <c r="C568" s="5">
        <f t="shared" si="85"/>
        <v>2022</v>
      </c>
      <c r="D568" s="5" t="s">
        <v>605</v>
      </c>
      <c r="E568" s="5" t="str">
        <f>VLOOKUP(F568,'Set up'!$A$2:$C$70,2,FALSE)</f>
        <v>C00000003</v>
      </c>
      <c r="F568" s="1" t="s">
        <v>20</v>
      </c>
      <c r="G568" s="11" t="s">
        <v>64</v>
      </c>
      <c r="H568" s="5">
        <v>4</v>
      </c>
      <c r="I568" s="5">
        <f>VLOOKUP(F568,'Set up'!$A$2:$C$70,3,FALSE)</f>
        <v>45</v>
      </c>
      <c r="J568" s="5">
        <f>VLOOKUP(F568,'Set up'!$A$2:$D$70,4,FALSE)</f>
        <v>45</v>
      </c>
      <c r="K568" s="4">
        <f t="shared" si="86"/>
        <v>44656</v>
      </c>
      <c r="L568" s="5">
        <f t="shared" si="87"/>
        <v>4</v>
      </c>
      <c r="M568" s="5">
        <f t="shared" si="88"/>
        <v>2022</v>
      </c>
      <c r="N568" s="6">
        <v>260</v>
      </c>
      <c r="O568" s="6">
        <f t="shared" ref="O568:O573" si="93">-N568</f>
        <v>-260</v>
      </c>
      <c r="P568" s="6">
        <f t="shared" si="91"/>
        <v>0</v>
      </c>
      <c r="Q568" s="7">
        <f t="shared" si="89"/>
        <v>1008583.15</v>
      </c>
      <c r="R568" s="44" t="str">
        <f>VLOOKUP(F568,'Set up'!$A$2:$E$70,5,FALSE)</f>
        <v>PD Chq</v>
      </c>
      <c r="S568" s="1" t="s">
        <v>743</v>
      </c>
    </row>
    <row r="569" spans="1:19" x14ac:dyDescent="0.3">
      <c r="A569" s="4">
        <v>44611</v>
      </c>
      <c r="B569" s="5">
        <f t="shared" si="84"/>
        <v>2</v>
      </c>
      <c r="C569" s="5">
        <f t="shared" si="85"/>
        <v>2022</v>
      </c>
      <c r="D569" s="5" t="s">
        <v>605</v>
      </c>
      <c r="E569" s="5" t="str">
        <f>VLOOKUP(F569,'Set up'!$A$2:$C$70,2,FALSE)</f>
        <v>C00000003</v>
      </c>
      <c r="F569" s="1" t="s">
        <v>20</v>
      </c>
      <c r="G569" s="11" t="s">
        <v>17</v>
      </c>
      <c r="H569" s="5">
        <v>6</v>
      </c>
      <c r="I569" s="5">
        <f>VLOOKUP(F569,'Set up'!$A$2:$C$70,3,FALSE)</f>
        <v>45</v>
      </c>
      <c r="J569" s="5">
        <f>VLOOKUP(F569,'Set up'!$A$2:$D$70,4,FALSE)</f>
        <v>45</v>
      </c>
      <c r="K569" s="4">
        <f t="shared" si="86"/>
        <v>44656</v>
      </c>
      <c r="L569" s="5">
        <f t="shared" si="87"/>
        <v>4</v>
      </c>
      <c r="M569" s="5">
        <f t="shared" si="88"/>
        <v>2022</v>
      </c>
      <c r="N569" s="6">
        <v>630</v>
      </c>
      <c r="O569" s="6">
        <f t="shared" si="93"/>
        <v>-630</v>
      </c>
      <c r="P569" s="6">
        <f t="shared" si="91"/>
        <v>0</v>
      </c>
      <c r="Q569" s="7">
        <f t="shared" si="89"/>
        <v>1009213.15</v>
      </c>
      <c r="R569" s="44" t="str">
        <f>VLOOKUP(F569,'Set up'!$A$2:$E$70,5,FALSE)</f>
        <v>PD Chq</v>
      </c>
      <c r="S569" s="1" t="s">
        <v>743</v>
      </c>
    </row>
    <row r="570" spans="1:19" x14ac:dyDescent="0.3">
      <c r="A570" s="4">
        <v>44611</v>
      </c>
      <c r="B570" s="5">
        <f t="shared" si="84"/>
        <v>2</v>
      </c>
      <c r="C570" s="5">
        <f t="shared" si="85"/>
        <v>2022</v>
      </c>
      <c r="D570" s="5" t="s">
        <v>605</v>
      </c>
      <c r="E570" s="5" t="str">
        <f>VLOOKUP(F570,'Set up'!$A$2:$C$70,2,FALSE)</f>
        <v>C00000003</v>
      </c>
      <c r="F570" s="1" t="s">
        <v>20</v>
      </c>
      <c r="G570" s="11" t="s">
        <v>178</v>
      </c>
      <c r="H570" s="5">
        <v>1</v>
      </c>
      <c r="I570" s="5">
        <f>VLOOKUP(F570,'Set up'!$A$2:$C$70,3,FALSE)</f>
        <v>45</v>
      </c>
      <c r="J570" s="5">
        <f>VLOOKUP(F570,'Set up'!$A$2:$D$70,4,FALSE)</f>
        <v>45</v>
      </c>
      <c r="K570" s="4">
        <f t="shared" si="86"/>
        <v>44656</v>
      </c>
      <c r="L570" s="5">
        <f t="shared" si="87"/>
        <v>4</v>
      </c>
      <c r="M570" s="5">
        <f t="shared" si="88"/>
        <v>2022</v>
      </c>
      <c r="N570" s="6">
        <v>45</v>
      </c>
      <c r="O570" s="6">
        <f t="shared" si="93"/>
        <v>-45</v>
      </c>
      <c r="P570" s="6">
        <f t="shared" si="91"/>
        <v>0</v>
      </c>
      <c r="Q570" s="7">
        <f t="shared" si="89"/>
        <v>1009258.15</v>
      </c>
      <c r="R570" s="44" t="str">
        <f>VLOOKUP(F570,'Set up'!$A$2:$E$70,5,FALSE)</f>
        <v>PD Chq</v>
      </c>
      <c r="S570" s="1" t="s">
        <v>743</v>
      </c>
    </row>
    <row r="571" spans="1:19" x14ac:dyDescent="0.3">
      <c r="A571" s="4">
        <v>44613</v>
      </c>
      <c r="B571" s="5">
        <f t="shared" si="84"/>
        <v>2</v>
      </c>
      <c r="C571" s="5">
        <f t="shared" si="85"/>
        <v>2022</v>
      </c>
      <c r="D571" s="5" t="s">
        <v>606</v>
      </c>
      <c r="E571" s="5" t="str">
        <f>VLOOKUP(F571,'Set up'!$A$2:$C$70,2,FALSE)</f>
        <v>C00000021</v>
      </c>
      <c r="F571" s="1" t="s">
        <v>491</v>
      </c>
      <c r="G571" s="11" t="s">
        <v>545</v>
      </c>
      <c r="H571" s="5">
        <v>2</v>
      </c>
      <c r="I571" s="5" t="str">
        <f>VLOOKUP(F571,'Set up'!$A$2:$C$70,3,FALSE)</f>
        <v>Cash</v>
      </c>
      <c r="J571" s="5">
        <f>VLOOKUP(F571,'Set up'!$A$2:$D$70,4,FALSE)</f>
        <v>0</v>
      </c>
      <c r="K571" s="4">
        <f t="shared" si="86"/>
        <v>44613</v>
      </c>
      <c r="L571" s="5">
        <f t="shared" si="87"/>
        <v>2</v>
      </c>
      <c r="M571" s="5">
        <f t="shared" si="88"/>
        <v>2022</v>
      </c>
      <c r="N571" s="6">
        <v>3960</v>
      </c>
      <c r="O571" s="6">
        <f t="shared" si="93"/>
        <v>-3960</v>
      </c>
      <c r="P571" s="6">
        <f t="shared" si="91"/>
        <v>0</v>
      </c>
      <c r="Q571" s="7">
        <f t="shared" si="89"/>
        <v>1013218.15</v>
      </c>
      <c r="R571" s="44" t="str">
        <f>VLOOKUP(F571,'Set up'!$A$2:$E$70,5,FALSE)</f>
        <v>PD Chq</v>
      </c>
      <c r="S571" s="1" t="s">
        <v>669</v>
      </c>
    </row>
    <row r="572" spans="1:19" x14ac:dyDescent="0.3">
      <c r="A572" s="4">
        <v>44613</v>
      </c>
      <c r="B572" s="5">
        <f t="shared" si="84"/>
        <v>2</v>
      </c>
      <c r="C572" s="5">
        <f t="shared" si="85"/>
        <v>2022</v>
      </c>
      <c r="D572" s="5" t="s">
        <v>606</v>
      </c>
      <c r="E572" s="5" t="str">
        <f>VLOOKUP(F572,'Set up'!$A$2:$C$70,2,FALSE)</f>
        <v>C00000021</v>
      </c>
      <c r="F572" s="1" t="s">
        <v>491</v>
      </c>
      <c r="G572" s="11" t="s">
        <v>613</v>
      </c>
      <c r="H572" s="5">
        <v>6</v>
      </c>
      <c r="I572" s="5" t="str">
        <f>VLOOKUP(F572,'Set up'!$A$2:$C$70,3,FALSE)</f>
        <v>Cash</v>
      </c>
      <c r="J572" s="5">
        <f>VLOOKUP(F572,'Set up'!$A$2:$D$70,4,FALSE)</f>
        <v>0</v>
      </c>
      <c r="K572" s="4">
        <f t="shared" si="86"/>
        <v>44613</v>
      </c>
      <c r="L572" s="5">
        <f t="shared" si="87"/>
        <v>2</v>
      </c>
      <c r="M572" s="5">
        <f t="shared" si="88"/>
        <v>2022</v>
      </c>
      <c r="N572" s="6">
        <v>1692</v>
      </c>
      <c r="O572" s="6">
        <f t="shared" si="93"/>
        <v>-1692</v>
      </c>
      <c r="P572" s="6">
        <f t="shared" si="91"/>
        <v>0</v>
      </c>
      <c r="Q572" s="7">
        <f t="shared" si="89"/>
        <v>1014910.15</v>
      </c>
      <c r="R572" s="44" t="str">
        <f>VLOOKUP(F572,'Set up'!$A$2:$E$70,5,FALSE)</f>
        <v>PD Chq</v>
      </c>
      <c r="S572" s="1" t="s">
        <v>670</v>
      </c>
    </row>
    <row r="573" spans="1:19" x14ac:dyDescent="0.3">
      <c r="A573" s="4">
        <v>44613</v>
      </c>
      <c r="B573" s="5">
        <f t="shared" si="84"/>
        <v>2</v>
      </c>
      <c r="C573" s="5">
        <f t="shared" si="85"/>
        <v>2022</v>
      </c>
      <c r="D573" s="5" t="s">
        <v>606</v>
      </c>
      <c r="E573" s="5" t="str">
        <f>VLOOKUP(F573,'Set up'!$A$2:$C$70,2,FALSE)</f>
        <v>C00000021</v>
      </c>
      <c r="F573" s="1" t="s">
        <v>491</v>
      </c>
      <c r="G573" s="11" t="s">
        <v>381</v>
      </c>
      <c r="H573" s="5">
        <v>2</v>
      </c>
      <c r="I573" s="5" t="str">
        <f>VLOOKUP(F573,'Set up'!$A$2:$C$70,3,FALSE)</f>
        <v>Cash</v>
      </c>
      <c r="J573" s="5">
        <f>VLOOKUP(F573,'Set up'!$A$2:$D$70,4,FALSE)</f>
        <v>0</v>
      </c>
      <c r="K573" s="4">
        <f t="shared" si="86"/>
        <v>44613</v>
      </c>
      <c r="L573" s="5">
        <f t="shared" si="87"/>
        <v>2</v>
      </c>
      <c r="M573" s="5">
        <f t="shared" si="88"/>
        <v>2022</v>
      </c>
      <c r="N573" s="6">
        <v>170</v>
      </c>
      <c r="O573" s="6">
        <f t="shared" si="93"/>
        <v>-170</v>
      </c>
      <c r="P573" s="6">
        <f t="shared" si="91"/>
        <v>0</v>
      </c>
      <c r="Q573" s="7">
        <f t="shared" si="89"/>
        <v>1015080.15</v>
      </c>
      <c r="R573" s="44" t="str">
        <f>VLOOKUP(F573,'Set up'!$A$2:$E$70,5,FALSE)</f>
        <v>PD Chq</v>
      </c>
      <c r="S573" s="1" t="s">
        <v>671</v>
      </c>
    </row>
    <row r="574" spans="1:19" x14ac:dyDescent="0.3">
      <c r="A574" s="4">
        <v>44613</v>
      </c>
      <c r="B574" s="5">
        <f t="shared" si="84"/>
        <v>2</v>
      </c>
      <c r="C574" s="5">
        <f t="shared" si="85"/>
        <v>2022</v>
      </c>
      <c r="D574" s="5" t="s">
        <v>607</v>
      </c>
      <c r="E574" s="5" t="str">
        <f>VLOOKUP(F574,'Set up'!$A$2:$C$70,2,FALSE)</f>
        <v>C00000006</v>
      </c>
      <c r="F574" s="1" t="s">
        <v>43</v>
      </c>
      <c r="G574" s="11" t="s">
        <v>617</v>
      </c>
      <c r="H574" s="5">
        <v>1</v>
      </c>
      <c r="I574" s="5" t="str">
        <f>VLOOKUP(F574,'Set up'!$A$2:$C$70,3,FALSE)</f>
        <v>Cash</v>
      </c>
      <c r="J574" s="5">
        <f>VLOOKUP(F574,'Set up'!$A$2:$D$70,4,FALSE)</f>
        <v>0</v>
      </c>
      <c r="K574" s="4">
        <f t="shared" si="86"/>
        <v>44613</v>
      </c>
      <c r="L574" s="5">
        <f t="shared" si="87"/>
        <v>2</v>
      </c>
      <c r="M574" s="5">
        <f t="shared" si="88"/>
        <v>2022</v>
      </c>
      <c r="N574" s="6">
        <v>175</v>
      </c>
      <c r="O574" s="6">
        <f>SUM(-N574)</f>
        <v>-175</v>
      </c>
      <c r="P574" s="6">
        <f t="shared" si="91"/>
        <v>0</v>
      </c>
      <c r="Q574" s="7">
        <f t="shared" si="89"/>
        <v>1015255.15</v>
      </c>
      <c r="R574" s="44" t="str">
        <f>VLOOKUP(F574,'Set up'!$A$2:$E$70,5,FALSE)</f>
        <v>Chq</v>
      </c>
      <c r="S574" s="1" t="s">
        <v>746</v>
      </c>
    </row>
    <row r="575" spans="1:19" x14ac:dyDescent="0.3">
      <c r="A575" s="4">
        <v>44614</v>
      </c>
      <c r="B575" s="5">
        <f t="shared" si="84"/>
        <v>2</v>
      </c>
      <c r="C575" s="5">
        <f t="shared" si="85"/>
        <v>2022</v>
      </c>
      <c r="D575" s="5" t="s">
        <v>608</v>
      </c>
      <c r="E575" s="5" t="str">
        <f>VLOOKUP(F575,'Set up'!$A$2:$C$70,2,FALSE)</f>
        <v>C00000019</v>
      </c>
      <c r="F575" s="1" t="s">
        <v>400</v>
      </c>
      <c r="G575" s="89" t="s">
        <v>560</v>
      </c>
      <c r="H575" s="88">
        <v>2</v>
      </c>
      <c r="I575" s="5" t="str">
        <f>VLOOKUP(F575,'Set up'!$A$2:$C$70,3,FALSE)</f>
        <v>Cash</v>
      </c>
      <c r="J575" s="5">
        <f>VLOOKUP(F575,'Set up'!$A$2:$D$70,4,FALSE)</f>
        <v>0</v>
      </c>
      <c r="K575" s="4">
        <f t="shared" si="86"/>
        <v>44614</v>
      </c>
      <c r="L575" s="5">
        <f t="shared" si="87"/>
        <v>2</v>
      </c>
      <c r="M575" s="5">
        <f t="shared" si="88"/>
        <v>2022</v>
      </c>
      <c r="N575" s="6">
        <v>4136</v>
      </c>
      <c r="O575" s="6">
        <f t="shared" ref="O575:O580" si="94">-N575</f>
        <v>-4136</v>
      </c>
      <c r="P575" s="6">
        <f t="shared" si="91"/>
        <v>0</v>
      </c>
      <c r="Q575" s="7">
        <f t="shared" si="89"/>
        <v>1019391.15</v>
      </c>
      <c r="R575" s="44" t="str">
        <f>VLOOKUP(F575,'Set up'!$A$2:$E$70,5,FALSE)</f>
        <v>Trsf</v>
      </c>
      <c r="S575" s="1" t="s">
        <v>620</v>
      </c>
    </row>
    <row r="576" spans="1:19" x14ac:dyDescent="0.3">
      <c r="A576" s="4">
        <v>44614</v>
      </c>
      <c r="B576" s="5">
        <f t="shared" si="84"/>
        <v>2</v>
      </c>
      <c r="C576" s="5">
        <f t="shared" si="85"/>
        <v>2022</v>
      </c>
      <c r="D576" s="5" t="s">
        <v>608</v>
      </c>
      <c r="E576" s="5" t="str">
        <f>VLOOKUP(F576,'Set up'!$A$2:$C$70,2,FALSE)</f>
        <v>C00000019</v>
      </c>
      <c r="F576" s="1" t="s">
        <v>400</v>
      </c>
      <c r="G576" s="90" t="s">
        <v>478</v>
      </c>
      <c r="H576" s="88">
        <v>1</v>
      </c>
      <c r="I576" s="5" t="str">
        <f>VLOOKUP(F576,'Set up'!$A$2:$C$70,3,FALSE)</f>
        <v>Cash</v>
      </c>
      <c r="J576" s="5">
        <f>VLOOKUP(F576,'Set up'!$A$2:$D$70,4,FALSE)</f>
        <v>0</v>
      </c>
      <c r="K576" s="4">
        <f t="shared" si="86"/>
        <v>44614</v>
      </c>
      <c r="L576" s="5">
        <f t="shared" si="87"/>
        <v>2</v>
      </c>
      <c r="M576" s="5">
        <f t="shared" si="88"/>
        <v>2022</v>
      </c>
      <c r="N576" s="6">
        <v>523.79999999999995</v>
      </c>
      <c r="O576" s="6">
        <f t="shared" si="94"/>
        <v>-523.79999999999995</v>
      </c>
      <c r="P576" s="6">
        <f t="shared" si="91"/>
        <v>0</v>
      </c>
      <c r="Q576" s="7">
        <f t="shared" si="89"/>
        <v>1019914.9500000001</v>
      </c>
      <c r="R576" s="44" t="str">
        <f>VLOOKUP(F576,'Set up'!$A$2:$E$70,5,FALSE)</f>
        <v>Trsf</v>
      </c>
      <c r="S576" s="1" t="s">
        <v>620</v>
      </c>
    </row>
    <row r="577" spans="1:19" x14ac:dyDescent="0.3">
      <c r="A577" s="4">
        <v>44614</v>
      </c>
      <c r="B577" s="5">
        <f t="shared" si="84"/>
        <v>2</v>
      </c>
      <c r="C577" s="5">
        <f t="shared" si="85"/>
        <v>2022</v>
      </c>
      <c r="D577" s="5" t="s">
        <v>608</v>
      </c>
      <c r="E577" s="5" t="str">
        <f>VLOOKUP(F577,'Set up'!$A$2:$C$70,2,FALSE)</f>
        <v>C00000019</v>
      </c>
      <c r="F577" s="1" t="s">
        <v>400</v>
      </c>
      <c r="G577" s="90" t="s">
        <v>566</v>
      </c>
      <c r="H577" s="88">
        <v>1</v>
      </c>
      <c r="I577" s="5" t="str">
        <f>VLOOKUP(F577,'Set up'!$A$2:$C$70,3,FALSE)</f>
        <v>Cash</v>
      </c>
      <c r="J577" s="5">
        <f>VLOOKUP(F577,'Set up'!$A$2:$D$70,4,FALSE)</f>
        <v>0</v>
      </c>
      <c r="K577" s="4">
        <f t="shared" si="86"/>
        <v>44614</v>
      </c>
      <c r="L577" s="5">
        <f t="shared" si="87"/>
        <v>2</v>
      </c>
      <c r="M577" s="5">
        <f t="shared" si="88"/>
        <v>2022</v>
      </c>
      <c r="N577" s="6">
        <v>105</v>
      </c>
      <c r="O577" s="6">
        <f t="shared" si="94"/>
        <v>-105</v>
      </c>
      <c r="P577" s="6">
        <f t="shared" si="91"/>
        <v>0</v>
      </c>
      <c r="Q577" s="7">
        <f t="shared" si="89"/>
        <v>1020019.9500000001</v>
      </c>
      <c r="R577" s="44" t="str">
        <f>VLOOKUP(F577,'Set up'!$A$2:$E$70,5,FALSE)</f>
        <v>Trsf</v>
      </c>
      <c r="S577" s="1" t="s">
        <v>620</v>
      </c>
    </row>
    <row r="578" spans="1:19" x14ac:dyDescent="0.3">
      <c r="A578" s="4">
        <v>44614</v>
      </c>
      <c r="B578" s="5">
        <f t="shared" si="84"/>
        <v>2</v>
      </c>
      <c r="C578" s="5">
        <f t="shared" si="85"/>
        <v>2022</v>
      </c>
      <c r="D578" s="5" t="s">
        <v>608</v>
      </c>
      <c r="E578" s="5" t="str">
        <f>VLOOKUP(F578,'Set up'!$A$2:$C$70,2,FALSE)</f>
        <v>C00000019</v>
      </c>
      <c r="F578" s="1" t="s">
        <v>400</v>
      </c>
      <c r="G578" s="90" t="s">
        <v>292</v>
      </c>
      <c r="H578" s="88">
        <v>1</v>
      </c>
      <c r="I578" s="5" t="str">
        <f>VLOOKUP(F578,'Set up'!$A$2:$C$70,3,FALSE)</f>
        <v>Cash</v>
      </c>
      <c r="J578" s="5">
        <f>VLOOKUP(F578,'Set up'!$A$2:$D$70,4,FALSE)</f>
        <v>0</v>
      </c>
      <c r="K578" s="4">
        <f t="shared" si="86"/>
        <v>44614</v>
      </c>
      <c r="L578" s="5">
        <f t="shared" si="87"/>
        <v>2</v>
      </c>
      <c r="M578" s="5">
        <f t="shared" si="88"/>
        <v>2022</v>
      </c>
      <c r="N578" s="6">
        <v>360</v>
      </c>
      <c r="O578" s="6">
        <f t="shared" si="94"/>
        <v>-360</v>
      </c>
      <c r="P578" s="6">
        <f t="shared" si="91"/>
        <v>0</v>
      </c>
      <c r="Q578" s="7">
        <f t="shared" si="89"/>
        <v>1020379.9500000001</v>
      </c>
      <c r="R578" s="44" t="str">
        <f>VLOOKUP(F578,'Set up'!$A$2:$E$70,5,FALSE)</f>
        <v>Trsf</v>
      </c>
      <c r="S578" s="1" t="s">
        <v>620</v>
      </c>
    </row>
    <row r="579" spans="1:19" x14ac:dyDescent="0.3">
      <c r="A579" s="4">
        <v>44614</v>
      </c>
      <c r="B579" s="5">
        <f t="shared" ref="B579:B642" si="95">MONTH(A579)</f>
        <v>2</v>
      </c>
      <c r="C579" s="5">
        <f t="shared" ref="C579:C642" si="96">YEAR(A579)</f>
        <v>2022</v>
      </c>
      <c r="D579" s="5" t="s">
        <v>608</v>
      </c>
      <c r="E579" s="5" t="str">
        <f>VLOOKUP(F579,'Set up'!$A$2:$C$70,2,FALSE)</f>
        <v>C00000019</v>
      </c>
      <c r="F579" s="1" t="s">
        <v>400</v>
      </c>
      <c r="G579" s="90" t="s">
        <v>64</v>
      </c>
      <c r="H579" s="88">
        <v>5</v>
      </c>
      <c r="I579" s="5" t="str">
        <f>VLOOKUP(F579,'Set up'!$A$2:$C$70,3,FALSE)</f>
        <v>Cash</v>
      </c>
      <c r="J579" s="5">
        <f>VLOOKUP(F579,'Set up'!$A$2:$D$70,4,FALSE)</f>
        <v>0</v>
      </c>
      <c r="K579" s="4">
        <f t="shared" ref="K579:K642" si="97">A579+J579</f>
        <v>44614</v>
      </c>
      <c r="L579" s="5">
        <f t="shared" ref="L579:L642" si="98">MONTH(K579)</f>
        <v>2</v>
      </c>
      <c r="M579" s="5">
        <f t="shared" ref="M579:M642" si="99">YEAR(K579)</f>
        <v>2022</v>
      </c>
      <c r="N579" s="6">
        <v>312.5</v>
      </c>
      <c r="O579" s="6">
        <f t="shared" si="94"/>
        <v>-312.5</v>
      </c>
      <c r="P579" s="6">
        <f t="shared" si="91"/>
        <v>0</v>
      </c>
      <c r="Q579" s="7">
        <f t="shared" ref="Q579:Q642" si="100">SUM(Q578+N579)</f>
        <v>1020692.4500000001</v>
      </c>
      <c r="R579" s="44" t="str">
        <f>VLOOKUP(F579,'Set up'!$A$2:$E$70,5,FALSE)</f>
        <v>Trsf</v>
      </c>
      <c r="S579" s="1" t="s">
        <v>620</v>
      </c>
    </row>
    <row r="580" spans="1:19" x14ac:dyDescent="0.3">
      <c r="A580" s="4">
        <v>44614</v>
      </c>
      <c r="B580" s="5">
        <f t="shared" si="95"/>
        <v>2</v>
      </c>
      <c r="C580" s="5">
        <f t="shared" si="96"/>
        <v>2022</v>
      </c>
      <c r="D580" s="5" t="s">
        <v>608</v>
      </c>
      <c r="E580" s="5" t="str">
        <f>VLOOKUP(F580,'Set up'!$A$2:$C$70,2,FALSE)</f>
        <v>C00000019</v>
      </c>
      <c r="F580" s="1" t="s">
        <v>400</v>
      </c>
      <c r="G580" s="90" t="s">
        <v>238</v>
      </c>
      <c r="H580" s="88">
        <v>1</v>
      </c>
      <c r="I580" s="5" t="str">
        <f>VLOOKUP(F580,'Set up'!$A$2:$C$70,3,FALSE)</f>
        <v>Cash</v>
      </c>
      <c r="J580" s="5">
        <f>VLOOKUP(F580,'Set up'!$A$2:$D$70,4,FALSE)</f>
        <v>0</v>
      </c>
      <c r="K580" s="4">
        <f t="shared" si="97"/>
        <v>44614</v>
      </c>
      <c r="L580" s="5">
        <f t="shared" si="98"/>
        <v>2</v>
      </c>
      <c r="M580" s="5">
        <f t="shared" si="99"/>
        <v>2022</v>
      </c>
      <c r="N580" s="6">
        <v>440</v>
      </c>
      <c r="O580" s="6">
        <f t="shared" si="94"/>
        <v>-440</v>
      </c>
      <c r="P580" s="6">
        <f t="shared" si="91"/>
        <v>0</v>
      </c>
      <c r="Q580" s="7">
        <f t="shared" si="100"/>
        <v>1021132.4500000001</v>
      </c>
      <c r="R580" s="44" t="str">
        <f>VLOOKUP(F580,'Set up'!$A$2:$E$70,5,FALSE)</f>
        <v>Trsf</v>
      </c>
      <c r="S580" s="1" t="s">
        <v>620</v>
      </c>
    </row>
    <row r="581" spans="1:19" x14ac:dyDescent="0.3">
      <c r="A581" s="4">
        <v>44616</v>
      </c>
      <c r="B581" s="5">
        <f t="shared" si="95"/>
        <v>2</v>
      </c>
      <c r="C581" s="5">
        <f t="shared" si="96"/>
        <v>2022</v>
      </c>
      <c r="D581" s="5" t="s">
        <v>609</v>
      </c>
      <c r="E581" s="5" t="str">
        <f>VLOOKUP(F581,'Set up'!$A$2:$C$70,2,FALSE)</f>
        <v>C00000020</v>
      </c>
      <c r="F581" s="1" t="s">
        <v>409</v>
      </c>
      <c r="G581" s="11" t="s">
        <v>545</v>
      </c>
      <c r="H581" s="5">
        <v>2</v>
      </c>
      <c r="I581" s="5" t="str">
        <f>VLOOKUP(F581,'Set up'!$A$2:$C$70,3,FALSE)</f>
        <v>Cash</v>
      </c>
      <c r="J581" s="5">
        <f>VLOOKUP(F581,'Set up'!$A$2:$D$70,4,FALSE)</f>
        <v>0</v>
      </c>
      <c r="K581" s="4">
        <f t="shared" si="97"/>
        <v>44616</v>
      </c>
      <c r="L581" s="5">
        <f t="shared" si="98"/>
        <v>2</v>
      </c>
      <c r="M581" s="5">
        <f t="shared" si="99"/>
        <v>2022</v>
      </c>
      <c r="N581" s="6">
        <v>4180</v>
      </c>
      <c r="O581" s="6">
        <f>-1149.3-3030.7</f>
        <v>-4180</v>
      </c>
      <c r="P581" s="6">
        <f t="shared" si="91"/>
        <v>0</v>
      </c>
      <c r="Q581" s="7">
        <f t="shared" si="100"/>
        <v>1025312.4500000001</v>
      </c>
      <c r="R581" s="44" t="str">
        <f>VLOOKUP(F581,'Set up'!$A$2:$E$70,5,FALSE)</f>
        <v>Trsf</v>
      </c>
      <c r="S581" s="1" t="s">
        <v>821</v>
      </c>
    </row>
    <row r="582" spans="1:19" x14ac:dyDescent="0.3">
      <c r="A582" s="4">
        <v>44616</v>
      </c>
      <c r="B582" s="5">
        <f t="shared" si="95"/>
        <v>2</v>
      </c>
      <c r="C582" s="5">
        <f t="shared" si="96"/>
        <v>2022</v>
      </c>
      <c r="D582" s="5" t="s">
        <v>609</v>
      </c>
      <c r="E582" s="5" t="str">
        <f>VLOOKUP(F582,'Set up'!$A$2:$C$70,2,FALSE)</f>
        <v>C00000020</v>
      </c>
      <c r="F582" s="1" t="s">
        <v>409</v>
      </c>
      <c r="G582" s="11" t="s">
        <v>560</v>
      </c>
      <c r="H582" s="5">
        <v>1</v>
      </c>
      <c r="I582" s="5" t="str">
        <f>VLOOKUP(F582,'Set up'!$A$2:$C$70,3,FALSE)</f>
        <v>Cash</v>
      </c>
      <c r="J582" s="5">
        <f>VLOOKUP(F582,'Set up'!$A$2:$D$70,4,FALSE)</f>
        <v>0</v>
      </c>
      <c r="K582" s="4">
        <f t="shared" si="97"/>
        <v>44616</v>
      </c>
      <c r="L582" s="5">
        <f t="shared" si="98"/>
        <v>2</v>
      </c>
      <c r="M582" s="5">
        <f t="shared" si="99"/>
        <v>2022</v>
      </c>
      <c r="N582" s="6">
        <v>2090</v>
      </c>
      <c r="O582" s="6">
        <f t="shared" ref="O582:O608" si="101">-N582</f>
        <v>-2090</v>
      </c>
      <c r="P582" s="6">
        <f t="shared" si="91"/>
        <v>0</v>
      </c>
      <c r="Q582" s="7">
        <f t="shared" si="100"/>
        <v>1027402.4500000001</v>
      </c>
      <c r="R582" s="44" t="str">
        <f>VLOOKUP(F582,'Set up'!$A$2:$E$70,5,FALSE)</f>
        <v>Trsf</v>
      </c>
      <c r="S582" s="1" t="s">
        <v>820</v>
      </c>
    </row>
    <row r="583" spans="1:19" x14ac:dyDescent="0.3">
      <c r="A583" s="4">
        <v>44616</v>
      </c>
      <c r="B583" s="5">
        <f t="shared" si="95"/>
        <v>2</v>
      </c>
      <c r="C583" s="5">
        <f t="shared" si="96"/>
        <v>2022</v>
      </c>
      <c r="D583" s="5" t="s">
        <v>609</v>
      </c>
      <c r="E583" s="5" t="str">
        <f>VLOOKUP(F583,'Set up'!$A$2:$C$70,2,FALSE)</f>
        <v>C00000020</v>
      </c>
      <c r="F583" s="1" t="s">
        <v>409</v>
      </c>
      <c r="G583" s="11" t="s">
        <v>556</v>
      </c>
      <c r="H583" s="5">
        <v>1</v>
      </c>
      <c r="I583" s="5" t="str">
        <f>VLOOKUP(F583,'Set up'!$A$2:$C$70,3,FALSE)</f>
        <v>Cash</v>
      </c>
      <c r="J583" s="5">
        <f>VLOOKUP(F583,'Set up'!$A$2:$D$70,4,FALSE)</f>
        <v>0</v>
      </c>
      <c r="K583" s="4">
        <f t="shared" si="97"/>
        <v>44616</v>
      </c>
      <c r="L583" s="5">
        <f t="shared" si="98"/>
        <v>2</v>
      </c>
      <c r="M583" s="5">
        <f t="shared" si="99"/>
        <v>2022</v>
      </c>
      <c r="N583" s="6">
        <v>351</v>
      </c>
      <c r="O583" s="6">
        <f t="shared" si="101"/>
        <v>-351</v>
      </c>
      <c r="P583" s="6">
        <f t="shared" si="91"/>
        <v>0</v>
      </c>
      <c r="Q583" s="7">
        <f t="shared" si="100"/>
        <v>1027753.4500000001</v>
      </c>
      <c r="R583" s="44" t="str">
        <f>VLOOKUP(F583,'Set up'!$A$2:$E$70,5,FALSE)</f>
        <v>Trsf</v>
      </c>
      <c r="S583" s="1" t="s">
        <v>820</v>
      </c>
    </row>
    <row r="584" spans="1:19" x14ac:dyDescent="0.3">
      <c r="A584" s="4">
        <v>44616</v>
      </c>
      <c r="B584" s="5">
        <f t="shared" si="95"/>
        <v>2</v>
      </c>
      <c r="C584" s="5">
        <f t="shared" si="96"/>
        <v>2022</v>
      </c>
      <c r="D584" s="5" t="s">
        <v>609</v>
      </c>
      <c r="E584" s="5" t="str">
        <f>VLOOKUP(F584,'Set up'!$A$2:$C$70,2,FALSE)</f>
        <v>C00000020</v>
      </c>
      <c r="F584" s="1" t="s">
        <v>409</v>
      </c>
      <c r="G584" s="11" t="s">
        <v>429</v>
      </c>
      <c r="H584" s="5">
        <v>1</v>
      </c>
      <c r="I584" s="5" t="str">
        <f>VLOOKUP(F584,'Set up'!$A$2:$C$70,3,FALSE)</f>
        <v>Cash</v>
      </c>
      <c r="J584" s="5">
        <f>VLOOKUP(F584,'Set up'!$A$2:$D$70,4,FALSE)</f>
        <v>0</v>
      </c>
      <c r="K584" s="4">
        <f t="shared" si="97"/>
        <v>44616</v>
      </c>
      <c r="L584" s="5">
        <f t="shared" si="98"/>
        <v>2</v>
      </c>
      <c r="M584" s="5">
        <f t="shared" si="99"/>
        <v>2022</v>
      </c>
      <c r="N584" s="6">
        <v>1000</v>
      </c>
      <c r="O584" s="6">
        <f t="shared" si="101"/>
        <v>-1000</v>
      </c>
      <c r="P584" s="6">
        <f t="shared" si="91"/>
        <v>0</v>
      </c>
      <c r="Q584" s="7">
        <f t="shared" si="100"/>
        <v>1028753.4500000001</v>
      </c>
      <c r="R584" s="44" t="str">
        <f>VLOOKUP(F584,'Set up'!$A$2:$E$70,5,FALSE)</f>
        <v>Trsf</v>
      </c>
      <c r="S584" s="1" t="s">
        <v>820</v>
      </c>
    </row>
    <row r="585" spans="1:19" x14ac:dyDescent="0.3">
      <c r="A585" s="4">
        <v>44616</v>
      </c>
      <c r="B585" s="5">
        <f t="shared" si="95"/>
        <v>2</v>
      </c>
      <c r="C585" s="5">
        <f t="shared" si="96"/>
        <v>2022</v>
      </c>
      <c r="D585" s="5" t="s">
        <v>609</v>
      </c>
      <c r="E585" s="5" t="str">
        <f>VLOOKUP(F585,'Set up'!$A$2:$C$70,2,FALSE)</f>
        <v>C00000020</v>
      </c>
      <c r="F585" s="1" t="s">
        <v>409</v>
      </c>
      <c r="G585" s="11" t="s">
        <v>381</v>
      </c>
      <c r="H585" s="5">
        <v>4</v>
      </c>
      <c r="I585" s="5" t="str">
        <f>VLOOKUP(F585,'Set up'!$A$2:$C$70,3,FALSE)</f>
        <v>Cash</v>
      </c>
      <c r="J585" s="5">
        <f>VLOOKUP(F585,'Set up'!$A$2:$D$70,4,FALSE)</f>
        <v>0</v>
      </c>
      <c r="K585" s="4">
        <f t="shared" si="97"/>
        <v>44616</v>
      </c>
      <c r="L585" s="5">
        <f t="shared" si="98"/>
        <v>2</v>
      </c>
      <c r="M585" s="5">
        <f t="shared" si="99"/>
        <v>2022</v>
      </c>
      <c r="N585" s="6">
        <v>340</v>
      </c>
      <c r="O585" s="6">
        <f t="shared" si="101"/>
        <v>-340</v>
      </c>
      <c r="P585" s="6">
        <f t="shared" si="91"/>
        <v>0</v>
      </c>
      <c r="Q585" s="7">
        <f t="shared" si="100"/>
        <v>1029093.4500000001</v>
      </c>
      <c r="R585" s="44" t="str">
        <f>VLOOKUP(F585,'Set up'!$A$2:$E$70,5,FALSE)</f>
        <v>Trsf</v>
      </c>
      <c r="S585" s="1" t="s">
        <v>820</v>
      </c>
    </row>
    <row r="586" spans="1:19" x14ac:dyDescent="0.3">
      <c r="A586" s="4">
        <v>44618</v>
      </c>
      <c r="B586" s="5">
        <f t="shared" si="95"/>
        <v>2</v>
      </c>
      <c r="C586" s="5">
        <f t="shared" si="96"/>
        <v>2022</v>
      </c>
      <c r="D586" s="5" t="s">
        <v>610</v>
      </c>
      <c r="E586" s="5" t="str">
        <f>VLOOKUP(F586,'Set up'!$A$2:$C$70,2,FALSE)</f>
        <v>C00000020</v>
      </c>
      <c r="F586" s="1" t="s">
        <v>409</v>
      </c>
      <c r="G586" s="11" t="s">
        <v>545</v>
      </c>
      <c r="H586" s="5">
        <v>1</v>
      </c>
      <c r="I586" s="5" t="str">
        <f>VLOOKUP(F586,'Set up'!$A$2:$C$70,3,FALSE)</f>
        <v>Cash</v>
      </c>
      <c r="J586" s="5">
        <f>VLOOKUP(F586,'Set up'!$A$2:$D$70,4,FALSE)</f>
        <v>0</v>
      </c>
      <c r="K586" s="4">
        <f t="shared" si="97"/>
        <v>44618</v>
      </c>
      <c r="L586" s="5">
        <f t="shared" si="98"/>
        <v>2</v>
      </c>
      <c r="M586" s="5">
        <f t="shared" si="99"/>
        <v>2022</v>
      </c>
      <c r="N586" s="6">
        <v>2090</v>
      </c>
      <c r="O586" s="6">
        <f t="shared" si="101"/>
        <v>-2090</v>
      </c>
      <c r="P586" s="6">
        <f t="shared" si="91"/>
        <v>0</v>
      </c>
      <c r="Q586" s="7">
        <f t="shared" si="100"/>
        <v>1031183.4500000001</v>
      </c>
      <c r="R586" s="44" t="str">
        <f>VLOOKUP(F586,'Set up'!$A$2:$E$70,5,FALSE)</f>
        <v>Trsf</v>
      </c>
      <c r="S586" s="1" t="s">
        <v>820</v>
      </c>
    </row>
    <row r="587" spans="1:19" x14ac:dyDescent="0.3">
      <c r="A587" s="4">
        <v>44618</v>
      </c>
      <c r="B587" s="5">
        <f t="shared" si="95"/>
        <v>2</v>
      </c>
      <c r="C587" s="5">
        <f t="shared" si="96"/>
        <v>2022</v>
      </c>
      <c r="D587" s="5" t="s">
        <v>610</v>
      </c>
      <c r="E587" s="5" t="str">
        <f>VLOOKUP(F587,'Set up'!$A$2:$C$70,2,FALSE)</f>
        <v>C00000020</v>
      </c>
      <c r="F587" s="1" t="s">
        <v>409</v>
      </c>
      <c r="G587" s="11" t="s">
        <v>555</v>
      </c>
      <c r="H587" s="5">
        <v>1</v>
      </c>
      <c r="I587" s="5" t="str">
        <f>VLOOKUP(F587,'Set up'!$A$2:$C$70,3,FALSE)</f>
        <v>Cash</v>
      </c>
      <c r="J587" s="5">
        <f>VLOOKUP(F587,'Set up'!$A$2:$D$70,4,FALSE)</f>
        <v>0</v>
      </c>
      <c r="K587" s="4">
        <f t="shared" si="97"/>
        <v>44618</v>
      </c>
      <c r="L587" s="5">
        <f t="shared" si="98"/>
        <v>2</v>
      </c>
      <c r="M587" s="5">
        <f t="shared" si="99"/>
        <v>2022</v>
      </c>
      <c r="N587" s="6">
        <v>588</v>
      </c>
      <c r="O587" s="6">
        <f t="shared" si="101"/>
        <v>-588</v>
      </c>
      <c r="P587" s="6">
        <f t="shared" si="91"/>
        <v>0</v>
      </c>
      <c r="Q587" s="7">
        <f t="shared" si="100"/>
        <v>1031771.4500000001</v>
      </c>
      <c r="R587" s="44" t="str">
        <f>VLOOKUP(F587,'Set up'!$A$2:$E$70,5,FALSE)</f>
        <v>Trsf</v>
      </c>
      <c r="S587" s="1" t="s">
        <v>820</v>
      </c>
    </row>
    <row r="588" spans="1:19" x14ac:dyDescent="0.3">
      <c r="A588" s="4">
        <v>44618</v>
      </c>
      <c r="B588" s="5">
        <f t="shared" si="95"/>
        <v>2</v>
      </c>
      <c r="C588" s="5">
        <f t="shared" si="96"/>
        <v>2022</v>
      </c>
      <c r="D588" s="5" t="s">
        <v>611</v>
      </c>
      <c r="E588" s="5" t="str">
        <f>VLOOKUP(F588,'Set up'!$A$2:$C$70,2,FALSE)</f>
        <v>C00000003</v>
      </c>
      <c r="F588" s="1" t="s">
        <v>20</v>
      </c>
      <c r="G588" s="11" t="s">
        <v>551</v>
      </c>
      <c r="H588" s="5">
        <v>1</v>
      </c>
      <c r="I588" s="5">
        <f>VLOOKUP(F588,'Set up'!$A$2:$C$70,3,FALSE)</f>
        <v>45</v>
      </c>
      <c r="J588" s="5">
        <f>VLOOKUP(F588,'Set up'!$A$2:$D$70,4,FALSE)</f>
        <v>45</v>
      </c>
      <c r="K588" s="4">
        <f t="shared" si="97"/>
        <v>44663</v>
      </c>
      <c r="L588" s="5">
        <f t="shared" si="98"/>
        <v>4</v>
      </c>
      <c r="M588" s="5">
        <f t="shared" si="99"/>
        <v>2022</v>
      </c>
      <c r="N588" s="6">
        <v>315</v>
      </c>
      <c r="O588" s="6">
        <f t="shared" si="101"/>
        <v>-315</v>
      </c>
      <c r="P588" s="6">
        <f t="shared" si="91"/>
        <v>0</v>
      </c>
      <c r="Q588" s="7">
        <f t="shared" si="100"/>
        <v>1032086.4500000001</v>
      </c>
      <c r="R588" s="44" t="str">
        <f>VLOOKUP(F588,'Set up'!$A$2:$E$70,5,FALSE)</f>
        <v>PD Chq</v>
      </c>
      <c r="S588" s="1" t="s">
        <v>743</v>
      </c>
    </row>
    <row r="589" spans="1:19" x14ac:dyDescent="0.3">
      <c r="A589" s="4">
        <v>44625</v>
      </c>
      <c r="B589" s="5">
        <f t="shared" si="95"/>
        <v>3</v>
      </c>
      <c r="C589" s="5">
        <f t="shared" si="96"/>
        <v>2022</v>
      </c>
      <c r="D589" s="5" t="s">
        <v>633</v>
      </c>
      <c r="E589" s="5" t="str">
        <f>VLOOKUP(F589,'Set up'!$A$2:$C$70,2,FALSE)</f>
        <v>C00000021</v>
      </c>
      <c r="F589" s="1" t="s">
        <v>491</v>
      </c>
      <c r="G589" s="11" t="s">
        <v>545</v>
      </c>
      <c r="H589" s="5">
        <v>2</v>
      </c>
      <c r="I589" s="5" t="str">
        <f>VLOOKUP(F589,'Set up'!$A$2:$C$70,3,FALSE)</f>
        <v>Cash</v>
      </c>
      <c r="J589" s="5">
        <f>VLOOKUP(F589,'Set up'!$A$2:$D$70,4,FALSE)</f>
        <v>0</v>
      </c>
      <c r="K589" s="4">
        <f t="shared" si="97"/>
        <v>44625</v>
      </c>
      <c r="L589" s="5">
        <f t="shared" si="98"/>
        <v>3</v>
      </c>
      <c r="M589" s="5">
        <f t="shared" si="99"/>
        <v>2022</v>
      </c>
      <c r="N589" s="6">
        <v>3960</v>
      </c>
      <c r="O589" s="6">
        <f t="shared" si="101"/>
        <v>-3960</v>
      </c>
      <c r="P589" s="6">
        <f t="shared" si="91"/>
        <v>0</v>
      </c>
      <c r="Q589" s="7">
        <f t="shared" si="100"/>
        <v>1036046.4500000001</v>
      </c>
      <c r="R589" s="44" t="str">
        <f>VLOOKUP(F589,'Set up'!$A$2:$E$70,5,FALSE)</f>
        <v>PD Chq</v>
      </c>
      <c r="S589" s="1" t="s">
        <v>744</v>
      </c>
    </row>
    <row r="590" spans="1:19" x14ac:dyDescent="0.3">
      <c r="A590" s="4">
        <v>44625</v>
      </c>
      <c r="B590" s="5">
        <f t="shared" si="95"/>
        <v>3</v>
      </c>
      <c r="C590" s="5">
        <f t="shared" si="96"/>
        <v>2022</v>
      </c>
      <c r="D590" s="5" t="s">
        <v>633</v>
      </c>
      <c r="E590" s="5" t="str">
        <f>VLOOKUP(F590,'Set up'!$A$2:$C$70,2,FALSE)</f>
        <v>C00000021</v>
      </c>
      <c r="F590" s="1" t="s">
        <v>491</v>
      </c>
      <c r="G590" s="11" t="s">
        <v>613</v>
      </c>
      <c r="H590" s="5">
        <v>8</v>
      </c>
      <c r="I590" s="5" t="str">
        <f>VLOOKUP(F590,'Set up'!$A$2:$C$70,3,FALSE)</f>
        <v>Cash</v>
      </c>
      <c r="J590" s="5">
        <f>VLOOKUP(F590,'Set up'!$A$2:$D$70,4,FALSE)</f>
        <v>0</v>
      </c>
      <c r="K590" s="4">
        <f t="shared" si="97"/>
        <v>44625</v>
      </c>
      <c r="L590" s="5">
        <f t="shared" si="98"/>
        <v>3</v>
      </c>
      <c r="M590" s="5">
        <f t="shared" si="99"/>
        <v>2022</v>
      </c>
      <c r="N590" s="6">
        <v>2256</v>
      </c>
      <c r="O590" s="6">
        <f t="shared" si="101"/>
        <v>-2256</v>
      </c>
      <c r="P590" s="6">
        <f t="shared" si="91"/>
        <v>0</v>
      </c>
      <c r="Q590" s="7">
        <f t="shared" si="100"/>
        <v>1038302.4500000001</v>
      </c>
      <c r="R590" s="44" t="str">
        <f>VLOOKUP(F590,'Set up'!$A$2:$E$70,5,FALSE)</f>
        <v>PD Chq</v>
      </c>
      <c r="S590" s="1" t="s">
        <v>744</v>
      </c>
    </row>
    <row r="591" spans="1:19" x14ac:dyDescent="0.3">
      <c r="A591" s="4">
        <v>44625</v>
      </c>
      <c r="B591" s="5">
        <f t="shared" si="95"/>
        <v>3</v>
      </c>
      <c r="C591" s="5">
        <f t="shared" si="96"/>
        <v>2022</v>
      </c>
      <c r="D591" s="5" t="s">
        <v>633</v>
      </c>
      <c r="E591" s="5" t="str">
        <f>VLOOKUP(F591,'Set up'!$A$2:$C$70,2,FALSE)</f>
        <v>C00000021</v>
      </c>
      <c r="F591" s="1" t="s">
        <v>491</v>
      </c>
      <c r="G591" s="11" t="s">
        <v>381</v>
      </c>
      <c r="H591" s="5">
        <v>1</v>
      </c>
      <c r="I591" s="5" t="str">
        <f>VLOOKUP(F591,'Set up'!$A$2:$C$70,3,FALSE)</f>
        <v>Cash</v>
      </c>
      <c r="J591" s="5">
        <f>VLOOKUP(F591,'Set up'!$A$2:$D$70,4,FALSE)</f>
        <v>0</v>
      </c>
      <c r="K591" s="4">
        <f t="shared" si="97"/>
        <v>44625</v>
      </c>
      <c r="L591" s="5">
        <f t="shared" si="98"/>
        <v>3</v>
      </c>
      <c r="M591" s="5">
        <f t="shared" si="99"/>
        <v>2022</v>
      </c>
      <c r="N591" s="6">
        <v>85</v>
      </c>
      <c r="O591" s="6">
        <f t="shared" si="101"/>
        <v>-85</v>
      </c>
      <c r="P591" s="6">
        <f t="shared" si="91"/>
        <v>0</v>
      </c>
      <c r="Q591" s="7">
        <f t="shared" si="100"/>
        <v>1038387.4500000001</v>
      </c>
      <c r="R591" s="44" t="str">
        <f>VLOOKUP(F591,'Set up'!$A$2:$E$70,5,FALSE)</f>
        <v>PD Chq</v>
      </c>
      <c r="S591" s="1" t="s">
        <v>744</v>
      </c>
    </row>
    <row r="592" spans="1:19" x14ac:dyDescent="0.3">
      <c r="A592" s="4">
        <v>44628</v>
      </c>
      <c r="B592" s="5">
        <f t="shared" si="95"/>
        <v>3</v>
      </c>
      <c r="C592" s="5">
        <f t="shared" si="96"/>
        <v>2022</v>
      </c>
      <c r="D592" s="5" t="s">
        <v>634</v>
      </c>
      <c r="E592" s="5" t="str">
        <f>VLOOKUP(F592,'Set up'!$A$2:$C$70,2,FALSE)</f>
        <v>C00000022</v>
      </c>
      <c r="F592" s="1" t="s">
        <v>637</v>
      </c>
      <c r="G592" s="11" t="s">
        <v>616</v>
      </c>
      <c r="H592" s="5">
        <v>1</v>
      </c>
      <c r="I592" s="5" t="str">
        <f>VLOOKUP(F592,'Set up'!$A$2:$C$70,3,FALSE)</f>
        <v>Cash</v>
      </c>
      <c r="J592" s="5">
        <f>VLOOKUP(F592,'Set up'!$A$2:$D$70,4,FALSE)</f>
        <v>0</v>
      </c>
      <c r="K592" s="4">
        <f t="shared" si="97"/>
        <v>44628</v>
      </c>
      <c r="L592" s="5">
        <f t="shared" si="98"/>
        <v>3</v>
      </c>
      <c r="M592" s="5">
        <f t="shared" si="99"/>
        <v>2022</v>
      </c>
      <c r="N592" s="6">
        <v>2112</v>
      </c>
      <c r="O592" s="6">
        <f t="shared" si="101"/>
        <v>-2112</v>
      </c>
      <c r="P592" s="6">
        <f t="shared" si="91"/>
        <v>0</v>
      </c>
      <c r="Q592" s="7">
        <f t="shared" si="100"/>
        <v>1040499.4500000001</v>
      </c>
      <c r="R592" s="44" t="str">
        <f>VLOOKUP(F592,'Set up'!$A$2:$E$70,5,FALSE)</f>
        <v>Trsf</v>
      </c>
      <c r="S592" s="1" t="s">
        <v>668</v>
      </c>
    </row>
    <row r="593" spans="1:19" x14ac:dyDescent="0.3">
      <c r="A593" s="4">
        <v>44628</v>
      </c>
      <c r="B593" s="5">
        <f t="shared" si="95"/>
        <v>3</v>
      </c>
      <c r="C593" s="5">
        <f t="shared" si="96"/>
        <v>2022</v>
      </c>
      <c r="D593" s="5" t="s">
        <v>634</v>
      </c>
      <c r="E593" s="5" t="str">
        <f>VLOOKUP(F593,'Set up'!$A$2:$C$70,2,FALSE)</f>
        <v>C00000022</v>
      </c>
      <c r="F593" s="1" t="s">
        <v>637</v>
      </c>
      <c r="G593" s="11" t="s">
        <v>638</v>
      </c>
      <c r="H593" s="5">
        <v>1</v>
      </c>
      <c r="I593" s="5" t="str">
        <f>VLOOKUP(F593,'Set up'!$A$2:$C$70,3,FALSE)</f>
        <v>Cash</v>
      </c>
      <c r="J593" s="5">
        <f>VLOOKUP(F593,'Set up'!$A$2:$D$70,4,FALSE)</f>
        <v>0</v>
      </c>
      <c r="K593" s="4">
        <f t="shared" si="97"/>
        <v>44628</v>
      </c>
      <c r="L593" s="5">
        <f t="shared" si="98"/>
        <v>3</v>
      </c>
      <c r="M593" s="5">
        <f t="shared" si="99"/>
        <v>2022</v>
      </c>
      <c r="N593" s="6">
        <v>320</v>
      </c>
      <c r="O593" s="6">
        <f t="shared" si="101"/>
        <v>-320</v>
      </c>
      <c r="P593" s="6">
        <f t="shared" si="91"/>
        <v>0</v>
      </c>
      <c r="Q593" s="7">
        <f t="shared" si="100"/>
        <v>1040819.4500000001</v>
      </c>
      <c r="R593" s="44" t="str">
        <f>VLOOKUP(F593,'Set up'!$A$2:$E$70,5,FALSE)</f>
        <v>Trsf</v>
      </c>
      <c r="S593" s="1" t="s">
        <v>668</v>
      </c>
    </row>
    <row r="594" spans="1:19" x14ac:dyDescent="0.3">
      <c r="A594" s="4">
        <v>44628</v>
      </c>
      <c r="B594" s="5">
        <f t="shared" si="95"/>
        <v>3</v>
      </c>
      <c r="C594" s="5">
        <f t="shared" si="96"/>
        <v>2022</v>
      </c>
      <c r="D594" s="5" t="s">
        <v>634</v>
      </c>
      <c r="E594" s="5" t="str">
        <f>VLOOKUP(F594,'Set up'!$A$2:$C$70,2,FALSE)</f>
        <v>C00000022</v>
      </c>
      <c r="F594" s="1" t="s">
        <v>637</v>
      </c>
      <c r="G594" s="11" t="s">
        <v>639</v>
      </c>
      <c r="H594" s="5">
        <v>1</v>
      </c>
      <c r="I594" s="5" t="str">
        <f>VLOOKUP(F594,'Set up'!$A$2:$C$70,3,FALSE)</f>
        <v>Cash</v>
      </c>
      <c r="J594" s="5">
        <f>VLOOKUP(F594,'Set up'!$A$2:$D$70,4,FALSE)</f>
        <v>0</v>
      </c>
      <c r="K594" s="4">
        <f t="shared" si="97"/>
        <v>44628</v>
      </c>
      <c r="L594" s="5">
        <f t="shared" si="98"/>
        <v>3</v>
      </c>
      <c r="M594" s="5">
        <f t="shared" si="99"/>
        <v>2022</v>
      </c>
      <c r="N594" s="6">
        <v>337.5</v>
      </c>
      <c r="O594" s="6">
        <f t="shared" si="101"/>
        <v>-337.5</v>
      </c>
      <c r="P594" s="6">
        <f t="shared" si="91"/>
        <v>0</v>
      </c>
      <c r="Q594" s="7">
        <f t="shared" si="100"/>
        <v>1041156.9500000001</v>
      </c>
      <c r="R594" s="44" t="str">
        <f>VLOOKUP(F594,'Set up'!$A$2:$E$70,5,FALSE)</f>
        <v>Trsf</v>
      </c>
      <c r="S594" s="1" t="s">
        <v>668</v>
      </c>
    </row>
    <row r="595" spans="1:19" x14ac:dyDescent="0.3">
      <c r="A595" s="4">
        <v>44628</v>
      </c>
      <c r="B595" s="5">
        <f t="shared" si="95"/>
        <v>3</v>
      </c>
      <c r="C595" s="5">
        <f t="shared" si="96"/>
        <v>2022</v>
      </c>
      <c r="D595" s="5" t="s">
        <v>634</v>
      </c>
      <c r="E595" s="5" t="str">
        <f>VLOOKUP(F595,'Set up'!$A$2:$C$70,2,FALSE)</f>
        <v>C00000022</v>
      </c>
      <c r="F595" s="1" t="s">
        <v>637</v>
      </c>
      <c r="G595" s="11" t="s">
        <v>640</v>
      </c>
      <c r="H595" s="5">
        <v>2</v>
      </c>
      <c r="I595" s="5" t="str">
        <f>VLOOKUP(F595,'Set up'!$A$2:$C$70,3,FALSE)</f>
        <v>Cash</v>
      </c>
      <c r="J595" s="5">
        <f>VLOOKUP(F595,'Set up'!$A$2:$D$70,4,FALSE)</f>
        <v>0</v>
      </c>
      <c r="K595" s="4">
        <f t="shared" si="97"/>
        <v>44628</v>
      </c>
      <c r="L595" s="5">
        <f t="shared" si="98"/>
        <v>3</v>
      </c>
      <c r="M595" s="5">
        <f t="shared" si="99"/>
        <v>2022</v>
      </c>
      <c r="N595" s="6">
        <v>480</v>
      </c>
      <c r="O595" s="6">
        <f t="shared" si="101"/>
        <v>-480</v>
      </c>
      <c r="P595" s="6">
        <f t="shared" si="91"/>
        <v>0</v>
      </c>
      <c r="Q595" s="7">
        <f t="shared" si="100"/>
        <v>1041636.9500000001</v>
      </c>
      <c r="R595" s="44" t="str">
        <f>VLOOKUP(F595,'Set up'!$A$2:$E$70,5,FALSE)</f>
        <v>Trsf</v>
      </c>
      <c r="S595" s="1" t="s">
        <v>668</v>
      </c>
    </row>
    <row r="596" spans="1:19" x14ac:dyDescent="0.3">
      <c r="A596" s="4">
        <v>44628</v>
      </c>
      <c r="B596" s="5">
        <f t="shared" si="95"/>
        <v>3</v>
      </c>
      <c r="C596" s="5">
        <f t="shared" si="96"/>
        <v>2022</v>
      </c>
      <c r="D596" s="5" t="s">
        <v>634</v>
      </c>
      <c r="E596" s="5" t="str">
        <f>VLOOKUP(F596,'Set up'!$A$2:$C$70,2,FALSE)</f>
        <v>C00000022</v>
      </c>
      <c r="F596" s="1" t="s">
        <v>637</v>
      </c>
      <c r="G596" s="11" t="s">
        <v>555</v>
      </c>
      <c r="H596" s="5">
        <v>1</v>
      </c>
      <c r="I596" s="5" t="str">
        <f>VLOOKUP(F596,'Set up'!$A$2:$C$70,3,FALSE)</f>
        <v>Cash</v>
      </c>
      <c r="J596" s="5">
        <f>VLOOKUP(F596,'Set up'!$A$2:$D$70,4,FALSE)</f>
        <v>0</v>
      </c>
      <c r="K596" s="4">
        <f t="shared" si="97"/>
        <v>44628</v>
      </c>
      <c r="L596" s="5">
        <f t="shared" si="98"/>
        <v>3</v>
      </c>
      <c r="M596" s="5">
        <f t="shared" si="99"/>
        <v>2022</v>
      </c>
      <c r="N596" s="6">
        <v>588</v>
      </c>
      <c r="O596" s="6">
        <f t="shared" si="101"/>
        <v>-588</v>
      </c>
      <c r="P596" s="6">
        <f t="shared" si="91"/>
        <v>0</v>
      </c>
      <c r="Q596" s="7">
        <f t="shared" si="100"/>
        <v>1042224.9500000001</v>
      </c>
      <c r="R596" s="44" t="str">
        <f>VLOOKUP(F596,'Set up'!$A$2:$E$70,5,FALSE)</f>
        <v>Trsf</v>
      </c>
      <c r="S596" s="1" t="s">
        <v>668</v>
      </c>
    </row>
    <row r="597" spans="1:19" x14ac:dyDescent="0.3">
      <c r="A597" s="4">
        <v>44628</v>
      </c>
      <c r="B597" s="5">
        <f t="shared" si="95"/>
        <v>3</v>
      </c>
      <c r="C597" s="5">
        <f t="shared" si="96"/>
        <v>2022</v>
      </c>
      <c r="D597" s="5" t="s">
        <v>634</v>
      </c>
      <c r="E597" s="5" t="str">
        <f>VLOOKUP(F597,'Set up'!$A$2:$C$70,2,FALSE)</f>
        <v>C00000022</v>
      </c>
      <c r="F597" s="1" t="s">
        <v>637</v>
      </c>
      <c r="G597" s="11" t="s">
        <v>551</v>
      </c>
      <c r="H597" s="5">
        <v>2</v>
      </c>
      <c r="I597" s="5" t="str">
        <f>VLOOKUP(F597,'Set up'!$A$2:$C$70,3,FALSE)</f>
        <v>Cash</v>
      </c>
      <c r="J597" s="5">
        <f>VLOOKUP(F597,'Set up'!$A$2:$D$70,4,FALSE)</f>
        <v>0</v>
      </c>
      <c r="K597" s="4">
        <f t="shared" si="97"/>
        <v>44628</v>
      </c>
      <c r="L597" s="5">
        <f t="shared" si="98"/>
        <v>3</v>
      </c>
      <c r="M597" s="5">
        <f t="shared" si="99"/>
        <v>2022</v>
      </c>
      <c r="N597" s="6">
        <v>588</v>
      </c>
      <c r="O597" s="6">
        <f t="shared" si="101"/>
        <v>-588</v>
      </c>
      <c r="P597" s="6">
        <f t="shared" ref="P597:P660" si="102">SUM(N597+O597)</f>
        <v>0</v>
      </c>
      <c r="Q597" s="7">
        <f t="shared" si="100"/>
        <v>1042812.9500000001</v>
      </c>
      <c r="R597" s="44" t="str">
        <f>VLOOKUP(F597,'Set up'!$A$2:$E$70,5,FALSE)</f>
        <v>Trsf</v>
      </c>
      <c r="S597" s="1" t="s">
        <v>668</v>
      </c>
    </row>
    <row r="598" spans="1:19" x14ac:dyDescent="0.3">
      <c r="A598" s="4">
        <v>44628</v>
      </c>
      <c r="B598" s="5">
        <f t="shared" si="95"/>
        <v>3</v>
      </c>
      <c r="C598" s="5">
        <f t="shared" si="96"/>
        <v>2022</v>
      </c>
      <c r="D598" s="5" t="s">
        <v>634</v>
      </c>
      <c r="E598" s="5" t="str">
        <f>VLOOKUP(F598,'Set up'!$A$2:$C$70,2,FALSE)</f>
        <v>C00000022</v>
      </c>
      <c r="F598" s="1" t="s">
        <v>637</v>
      </c>
      <c r="G598" s="11" t="s">
        <v>556</v>
      </c>
      <c r="H598" s="5">
        <v>1</v>
      </c>
      <c r="I598" s="5" t="str">
        <f>VLOOKUP(F598,'Set up'!$A$2:$C$70,3,FALSE)</f>
        <v>Cash</v>
      </c>
      <c r="J598" s="5">
        <f>VLOOKUP(F598,'Set up'!$A$2:$D$70,4,FALSE)</f>
        <v>0</v>
      </c>
      <c r="K598" s="4">
        <f t="shared" si="97"/>
        <v>44628</v>
      </c>
      <c r="L598" s="5">
        <f t="shared" si="98"/>
        <v>3</v>
      </c>
      <c r="M598" s="5">
        <f t="shared" si="99"/>
        <v>2022</v>
      </c>
      <c r="N598" s="6">
        <v>337.5</v>
      </c>
      <c r="O598" s="6">
        <f t="shared" si="101"/>
        <v>-337.5</v>
      </c>
      <c r="P598" s="6">
        <f t="shared" si="102"/>
        <v>0</v>
      </c>
      <c r="Q598" s="7">
        <f t="shared" si="100"/>
        <v>1043150.4500000001</v>
      </c>
      <c r="R598" s="44" t="str">
        <f>VLOOKUP(F598,'Set up'!$A$2:$E$70,5,FALSE)</f>
        <v>Trsf</v>
      </c>
      <c r="S598" s="1" t="s">
        <v>668</v>
      </c>
    </row>
    <row r="599" spans="1:19" x14ac:dyDescent="0.3">
      <c r="A599" s="4">
        <v>44628</v>
      </c>
      <c r="B599" s="5">
        <f t="shared" si="95"/>
        <v>3</v>
      </c>
      <c r="C599" s="5">
        <f t="shared" si="96"/>
        <v>2022</v>
      </c>
      <c r="D599" s="5" t="s">
        <v>634</v>
      </c>
      <c r="E599" s="5" t="str">
        <f>VLOOKUP(F599,'Set up'!$A$2:$C$70,2,FALSE)</f>
        <v>C00000022</v>
      </c>
      <c r="F599" s="1" t="s">
        <v>637</v>
      </c>
      <c r="G599" s="11" t="s">
        <v>46</v>
      </c>
      <c r="H599" s="5">
        <v>1</v>
      </c>
      <c r="I599" s="5" t="str">
        <f>VLOOKUP(F599,'Set up'!$A$2:$C$70,3,FALSE)</f>
        <v>Cash</v>
      </c>
      <c r="J599" s="5">
        <f>VLOOKUP(F599,'Set up'!$A$2:$D$70,4,FALSE)</f>
        <v>0</v>
      </c>
      <c r="K599" s="4">
        <f t="shared" si="97"/>
        <v>44628</v>
      </c>
      <c r="L599" s="5">
        <f t="shared" si="98"/>
        <v>3</v>
      </c>
      <c r="M599" s="5">
        <f t="shared" si="99"/>
        <v>2022</v>
      </c>
      <c r="N599" s="6">
        <v>110</v>
      </c>
      <c r="O599" s="6">
        <f t="shared" si="101"/>
        <v>-110</v>
      </c>
      <c r="P599" s="6">
        <f t="shared" si="102"/>
        <v>0</v>
      </c>
      <c r="Q599" s="7">
        <f t="shared" si="100"/>
        <v>1043260.4500000001</v>
      </c>
      <c r="R599" s="44" t="str">
        <f>VLOOKUP(F599,'Set up'!$A$2:$E$70,5,FALSE)</f>
        <v>Trsf</v>
      </c>
      <c r="S599" s="1" t="s">
        <v>668</v>
      </c>
    </row>
    <row r="600" spans="1:19" x14ac:dyDescent="0.3">
      <c r="A600" s="4">
        <v>44628</v>
      </c>
      <c r="B600" s="5">
        <f t="shared" si="95"/>
        <v>3</v>
      </c>
      <c r="C600" s="5">
        <f t="shared" si="96"/>
        <v>2022</v>
      </c>
      <c r="D600" s="5" t="s">
        <v>635</v>
      </c>
      <c r="E600" s="5" t="str">
        <f>VLOOKUP(F600,'Set up'!$A$2:$C$70,2,FALSE)</f>
        <v>C00000010</v>
      </c>
      <c r="F600" s="1" t="s">
        <v>62</v>
      </c>
      <c r="G600" s="11" t="s">
        <v>553</v>
      </c>
      <c r="H600" s="5">
        <v>6</v>
      </c>
      <c r="I600" s="5">
        <f>VLOOKUP(F600,'Set up'!$A$2:$C$70,3,FALSE)</f>
        <v>120</v>
      </c>
      <c r="J600" s="5">
        <f>VLOOKUP(F600,'Set up'!$A$2:$D$70,4,FALSE)</f>
        <v>120</v>
      </c>
      <c r="K600" s="4">
        <f t="shared" si="97"/>
        <v>44748</v>
      </c>
      <c r="L600" s="5">
        <f t="shared" si="98"/>
        <v>7</v>
      </c>
      <c r="M600" s="5">
        <f t="shared" si="99"/>
        <v>2022</v>
      </c>
      <c r="N600" s="6">
        <v>11880</v>
      </c>
      <c r="O600" s="6">
        <f t="shared" si="101"/>
        <v>-11880</v>
      </c>
      <c r="P600" s="6">
        <f t="shared" si="102"/>
        <v>0</v>
      </c>
      <c r="Q600" s="7">
        <f t="shared" si="100"/>
        <v>1055140.4500000002</v>
      </c>
      <c r="R600" s="44" t="str">
        <f>VLOOKUP(F600,'Set up'!$A$2:$E$70,5,FALSE)</f>
        <v>Trsf</v>
      </c>
      <c r="S600" s="1" t="s">
        <v>853</v>
      </c>
    </row>
    <row r="601" spans="1:19" x14ac:dyDescent="0.3">
      <c r="A601" s="4">
        <v>44628</v>
      </c>
      <c r="B601" s="5">
        <f t="shared" si="95"/>
        <v>3</v>
      </c>
      <c r="C601" s="5">
        <f t="shared" si="96"/>
        <v>2022</v>
      </c>
      <c r="D601" s="5" t="s">
        <v>635</v>
      </c>
      <c r="E601" s="5" t="str">
        <f>VLOOKUP(F601,'Set up'!$A$2:$C$70,2,FALSE)</f>
        <v>C00000010</v>
      </c>
      <c r="F601" s="1" t="s">
        <v>62</v>
      </c>
      <c r="G601" s="11" t="s">
        <v>613</v>
      </c>
      <c r="H601" s="5">
        <v>10</v>
      </c>
      <c r="I601" s="5">
        <f>VLOOKUP(F601,'Set up'!$A$2:$C$70,3,FALSE)</f>
        <v>120</v>
      </c>
      <c r="J601" s="5">
        <f>VLOOKUP(F601,'Set up'!$A$2:$D$70,4,FALSE)</f>
        <v>120</v>
      </c>
      <c r="K601" s="4">
        <f t="shared" si="97"/>
        <v>44748</v>
      </c>
      <c r="L601" s="5">
        <f t="shared" si="98"/>
        <v>7</v>
      </c>
      <c r="M601" s="5">
        <f t="shared" si="99"/>
        <v>2022</v>
      </c>
      <c r="N601" s="6">
        <v>2850</v>
      </c>
      <c r="O601" s="6">
        <f t="shared" si="101"/>
        <v>-2850</v>
      </c>
      <c r="P601" s="6">
        <f t="shared" si="102"/>
        <v>0</v>
      </c>
      <c r="Q601" s="7">
        <f t="shared" si="100"/>
        <v>1057990.4500000002</v>
      </c>
      <c r="R601" s="44" t="str">
        <f>VLOOKUP(F601,'Set up'!$A$2:$E$70,5,FALSE)</f>
        <v>Trsf</v>
      </c>
      <c r="S601" s="1" t="s">
        <v>853</v>
      </c>
    </row>
    <row r="602" spans="1:19" x14ac:dyDescent="0.3">
      <c r="A602" s="4">
        <v>44628</v>
      </c>
      <c r="B602" s="5">
        <f t="shared" si="95"/>
        <v>3</v>
      </c>
      <c r="C602" s="5">
        <f t="shared" si="96"/>
        <v>2022</v>
      </c>
      <c r="D602" s="5" t="s">
        <v>635</v>
      </c>
      <c r="E602" s="5" t="str">
        <f>VLOOKUP(F602,'Set up'!$A$2:$C$70,2,FALSE)</f>
        <v>C00000010</v>
      </c>
      <c r="F602" s="1" t="s">
        <v>62</v>
      </c>
      <c r="G602" s="11" t="s">
        <v>64</v>
      </c>
      <c r="H602" s="5">
        <v>10</v>
      </c>
      <c r="I602" s="5">
        <f>VLOOKUP(F602,'Set up'!$A$2:$C$70,3,FALSE)</f>
        <v>120</v>
      </c>
      <c r="J602" s="5">
        <f>VLOOKUP(F602,'Set up'!$A$2:$D$70,4,FALSE)</f>
        <v>120</v>
      </c>
      <c r="K602" s="4">
        <f t="shared" si="97"/>
        <v>44748</v>
      </c>
      <c r="L602" s="5">
        <f t="shared" si="98"/>
        <v>7</v>
      </c>
      <c r="M602" s="5">
        <f t="shared" si="99"/>
        <v>2022</v>
      </c>
      <c r="N602" s="6">
        <v>550</v>
      </c>
      <c r="O602" s="6">
        <f t="shared" si="101"/>
        <v>-550</v>
      </c>
      <c r="P602" s="6">
        <f t="shared" si="102"/>
        <v>0</v>
      </c>
      <c r="Q602" s="7">
        <f t="shared" si="100"/>
        <v>1058540.4500000002</v>
      </c>
      <c r="R602" s="44" t="str">
        <f>VLOOKUP(F602,'Set up'!$A$2:$E$70,5,FALSE)</f>
        <v>Trsf</v>
      </c>
      <c r="S602" s="1" t="s">
        <v>853</v>
      </c>
    </row>
    <row r="603" spans="1:19" x14ac:dyDescent="0.3">
      <c r="A603" s="4">
        <v>44629</v>
      </c>
      <c r="B603" s="5">
        <f t="shared" si="95"/>
        <v>3</v>
      </c>
      <c r="C603" s="5">
        <f t="shared" si="96"/>
        <v>2022</v>
      </c>
      <c r="D603" s="5" t="s">
        <v>642</v>
      </c>
      <c r="E603" s="5" t="str">
        <f>VLOOKUP(F603,'Set up'!$A$2:$C$70,2,FALSE)</f>
        <v>C00000022</v>
      </c>
      <c r="F603" s="1" t="s">
        <v>637</v>
      </c>
      <c r="G603" s="11" t="s">
        <v>64</v>
      </c>
      <c r="H603" s="5">
        <v>1</v>
      </c>
      <c r="I603" s="5" t="str">
        <f>VLOOKUP(F603,'Set up'!$A$2:$C$70,3,FALSE)</f>
        <v>Cash</v>
      </c>
      <c r="J603" s="5">
        <f>VLOOKUP(F603,'Set up'!$A$2:$D$70,4,FALSE)</f>
        <v>0</v>
      </c>
      <c r="K603" s="4">
        <f t="shared" si="97"/>
        <v>44629</v>
      </c>
      <c r="L603" s="5">
        <f t="shared" si="98"/>
        <v>3</v>
      </c>
      <c r="M603" s="5">
        <f t="shared" si="99"/>
        <v>2022</v>
      </c>
      <c r="N603" s="6">
        <v>65</v>
      </c>
      <c r="O603" s="6">
        <f t="shared" si="101"/>
        <v>-65</v>
      </c>
      <c r="P603" s="6">
        <f t="shared" si="102"/>
        <v>0</v>
      </c>
      <c r="Q603" s="7">
        <f t="shared" si="100"/>
        <v>1058605.4500000002</v>
      </c>
      <c r="R603" s="44" t="str">
        <f>VLOOKUP(F603,'Set up'!$A$2:$E$70,5,FALSE)</f>
        <v>Trsf</v>
      </c>
      <c r="S603" s="1" t="s">
        <v>668</v>
      </c>
    </row>
    <row r="604" spans="1:19" x14ac:dyDescent="0.3">
      <c r="A604" s="4">
        <v>44631</v>
      </c>
      <c r="B604" s="5">
        <f t="shared" si="95"/>
        <v>3</v>
      </c>
      <c r="C604" s="5">
        <f t="shared" si="96"/>
        <v>2022</v>
      </c>
      <c r="D604" s="5" t="s">
        <v>643</v>
      </c>
      <c r="E604" s="5" t="str">
        <f>VLOOKUP(F604,'Set up'!$A$2:$C$70,2,FALSE)</f>
        <v>C00000019</v>
      </c>
      <c r="F604" s="1" t="s">
        <v>400</v>
      </c>
      <c r="G604" s="11" t="s">
        <v>560</v>
      </c>
      <c r="H604" s="5">
        <v>2</v>
      </c>
      <c r="I604" s="5" t="str">
        <f>VLOOKUP(F604,'Set up'!$A$2:$C$70,3,FALSE)</f>
        <v>Cash</v>
      </c>
      <c r="J604" s="5">
        <f>VLOOKUP(F604,'Set up'!$A$2:$D$70,4,FALSE)</f>
        <v>0</v>
      </c>
      <c r="K604" s="4">
        <f t="shared" si="97"/>
        <v>44631</v>
      </c>
      <c r="L604" s="5">
        <f t="shared" si="98"/>
        <v>3</v>
      </c>
      <c r="M604" s="5">
        <f t="shared" si="99"/>
        <v>2022</v>
      </c>
      <c r="N604" s="6">
        <v>4136</v>
      </c>
      <c r="O604" s="6">
        <f t="shared" si="101"/>
        <v>-4136</v>
      </c>
      <c r="P604" s="6">
        <f t="shared" si="102"/>
        <v>0</v>
      </c>
      <c r="Q604" s="7">
        <f t="shared" si="100"/>
        <v>1062741.4500000002</v>
      </c>
      <c r="R604" s="44" t="str">
        <f>VLOOKUP(F604,'Set up'!$A$2:$E$70,5,FALSE)</f>
        <v>Trsf</v>
      </c>
      <c r="S604" s="1" t="s">
        <v>802</v>
      </c>
    </row>
    <row r="605" spans="1:19" x14ac:dyDescent="0.3">
      <c r="A605" s="4">
        <v>44631</v>
      </c>
      <c r="B605" s="5">
        <f t="shared" si="95"/>
        <v>3</v>
      </c>
      <c r="C605" s="5">
        <f t="shared" si="96"/>
        <v>2022</v>
      </c>
      <c r="D605" s="5" t="s">
        <v>643</v>
      </c>
      <c r="E605" s="5" t="str">
        <f>VLOOKUP(F605,'Set up'!$A$2:$C$70,2,FALSE)</f>
        <v>C00000019</v>
      </c>
      <c r="F605" s="1" t="s">
        <v>400</v>
      </c>
      <c r="G605" s="11" t="s">
        <v>478</v>
      </c>
      <c r="H605" s="5">
        <v>3</v>
      </c>
      <c r="I605" s="5" t="str">
        <f>VLOOKUP(F605,'Set up'!$A$2:$C$70,3,FALSE)</f>
        <v>Cash</v>
      </c>
      <c r="J605" s="5">
        <f>VLOOKUP(F605,'Set up'!$A$2:$D$70,4,FALSE)</f>
        <v>0</v>
      </c>
      <c r="K605" s="4">
        <f t="shared" si="97"/>
        <v>44631</v>
      </c>
      <c r="L605" s="5">
        <f t="shared" si="98"/>
        <v>3</v>
      </c>
      <c r="M605" s="5">
        <f t="shared" si="99"/>
        <v>2022</v>
      </c>
      <c r="N605" s="6">
        <v>1571.3999999999999</v>
      </c>
      <c r="O605" s="6">
        <f t="shared" si="101"/>
        <v>-1571.3999999999999</v>
      </c>
      <c r="P605" s="6">
        <f t="shared" si="102"/>
        <v>0</v>
      </c>
      <c r="Q605" s="7">
        <f t="shared" si="100"/>
        <v>1064312.8500000001</v>
      </c>
      <c r="R605" s="44" t="str">
        <f>VLOOKUP(F605,'Set up'!$A$2:$E$70,5,FALSE)</f>
        <v>Trsf</v>
      </c>
      <c r="S605" s="1" t="s">
        <v>802</v>
      </c>
    </row>
    <row r="606" spans="1:19" x14ac:dyDescent="0.3">
      <c r="A606" s="4">
        <v>44631</v>
      </c>
      <c r="B606" s="5">
        <f t="shared" si="95"/>
        <v>3</v>
      </c>
      <c r="C606" s="5">
        <f t="shared" si="96"/>
        <v>2022</v>
      </c>
      <c r="D606" s="5" t="s">
        <v>643</v>
      </c>
      <c r="E606" s="5" t="str">
        <f>VLOOKUP(F606,'Set up'!$A$2:$C$70,2,FALSE)</f>
        <v>C00000019</v>
      </c>
      <c r="F606" s="1" t="s">
        <v>400</v>
      </c>
      <c r="G606" s="11" t="s">
        <v>64</v>
      </c>
      <c r="H606" s="5">
        <v>5</v>
      </c>
      <c r="I606" s="5" t="str">
        <f>VLOOKUP(F606,'Set up'!$A$2:$C$70,3,FALSE)</f>
        <v>Cash</v>
      </c>
      <c r="J606" s="5">
        <f>VLOOKUP(F606,'Set up'!$A$2:$D$70,4,FALSE)</f>
        <v>0</v>
      </c>
      <c r="K606" s="4">
        <f t="shared" si="97"/>
        <v>44631</v>
      </c>
      <c r="L606" s="5">
        <f t="shared" si="98"/>
        <v>3</v>
      </c>
      <c r="M606" s="5">
        <f t="shared" si="99"/>
        <v>2022</v>
      </c>
      <c r="N606" s="6">
        <v>312.5</v>
      </c>
      <c r="O606" s="6">
        <f t="shared" si="101"/>
        <v>-312.5</v>
      </c>
      <c r="P606" s="6">
        <f t="shared" si="102"/>
        <v>0</v>
      </c>
      <c r="Q606" s="7">
        <f t="shared" si="100"/>
        <v>1064625.3500000001</v>
      </c>
      <c r="R606" s="44" t="str">
        <f>VLOOKUP(F606,'Set up'!$A$2:$E$70,5,FALSE)</f>
        <v>Trsf</v>
      </c>
      <c r="S606" s="1" t="s">
        <v>802</v>
      </c>
    </row>
    <row r="607" spans="1:19" x14ac:dyDescent="0.3">
      <c r="A607" s="4">
        <v>44631</v>
      </c>
      <c r="B607" s="5">
        <f t="shared" si="95"/>
        <v>3</v>
      </c>
      <c r="C607" s="5">
        <f t="shared" si="96"/>
        <v>2022</v>
      </c>
      <c r="D607" s="5" t="s">
        <v>643</v>
      </c>
      <c r="E607" s="5" t="str">
        <f>VLOOKUP(F607,'Set up'!$A$2:$C$70,2,FALSE)</f>
        <v>C00000019</v>
      </c>
      <c r="F607" s="1" t="s">
        <v>400</v>
      </c>
      <c r="G607" s="11" t="s">
        <v>292</v>
      </c>
      <c r="H607" s="5">
        <v>1</v>
      </c>
      <c r="I607" s="5" t="str">
        <f>VLOOKUP(F607,'Set up'!$A$2:$C$70,3,FALSE)</f>
        <v>Cash</v>
      </c>
      <c r="J607" s="5">
        <f>VLOOKUP(F607,'Set up'!$A$2:$D$70,4,FALSE)</f>
        <v>0</v>
      </c>
      <c r="K607" s="4">
        <f t="shared" si="97"/>
        <v>44631</v>
      </c>
      <c r="L607" s="5">
        <f t="shared" si="98"/>
        <v>3</v>
      </c>
      <c r="M607" s="5">
        <f t="shared" si="99"/>
        <v>2022</v>
      </c>
      <c r="N607" s="6">
        <v>360</v>
      </c>
      <c r="O607" s="6">
        <f t="shared" si="101"/>
        <v>-360</v>
      </c>
      <c r="P607" s="6">
        <f t="shared" si="102"/>
        <v>0</v>
      </c>
      <c r="Q607" s="7">
        <f t="shared" si="100"/>
        <v>1064985.3500000001</v>
      </c>
      <c r="R607" s="44" t="str">
        <f>VLOOKUP(F607,'Set up'!$A$2:$E$70,5,FALSE)</f>
        <v>Trsf</v>
      </c>
      <c r="S607" s="1" t="s">
        <v>802</v>
      </c>
    </row>
    <row r="608" spans="1:19" x14ac:dyDescent="0.3">
      <c r="A608" s="4">
        <v>44632</v>
      </c>
      <c r="B608" s="5">
        <f t="shared" si="95"/>
        <v>3</v>
      </c>
      <c r="C608" s="5">
        <f t="shared" si="96"/>
        <v>2022</v>
      </c>
      <c r="D608" s="5" t="s">
        <v>644</v>
      </c>
      <c r="E608" s="5" t="str">
        <f>VLOOKUP(F608,'Set up'!$A$2:$C$70,2,FALSE)</f>
        <v>C00000022</v>
      </c>
      <c r="F608" s="1" t="s">
        <v>637</v>
      </c>
      <c r="G608" s="11" t="s">
        <v>292</v>
      </c>
      <c r="H608" s="5">
        <v>1</v>
      </c>
      <c r="I608" s="5" t="str">
        <f>VLOOKUP(F608,'Set up'!$A$2:$C$70,3,FALSE)</f>
        <v>Cash</v>
      </c>
      <c r="J608" s="5">
        <f>VLOOKUP(F608,'Set up'!$A$2:$D$70,4,FALSE)</f>
        <v>0</v>
      </c>
      <c r="K608" s="4">
        <f t="shared" si="97"/>
        <v>44632</v>
      </c>
      <c r="L608" s="5">
        <f t="shared" si="98"/>
        <v>3</v>
      </c>
      <c r="M608" s="5">
        <f t="shared" si="99"/>
        <v>2022</v>
      </c>
      <c r="N608" s="6">
        <v>390</v>
      </c>
      <c r="O608" s="6">
        <f t="shared" si="101"/>
        <v>-390</v>
      </c>
      <c r="P608" s="6">
        <f t="shared" si="102"/>
        <v>0</v>
      </c>
      <c r="Q608" s="7">
        <f t="shared" si="100"/>
        <v>1065375.3500000001</v>
      </c>
      <c r="R608" s="44" t="str">
        <f>VLOOKUP(F608,'Set up'!$A$2:$E$70,5,FALSE)</f>
        <v>Trsf</v>
      </c>
      <c r="S608" s="1" t="s">
        <v>668</v>
      </c>
    </row>
    <row r="609" spans="1:19" x14ac:dyDescent="0.3">
      <c r="A609" s="4">
        <v>44632</v>
      </c>
      <c r="B609" s="5">
        <f t="shared" si="95"/>
        <v>3</v>
      </c>
      <c r="C609" s="5">
        <f t="shared" si="96"/>
        <v>2022</v>
      </c>
      <c r="D609" s="5" t="s">
        <v>645</v>
      </c>
      <c r="E609" s="5" t="str">
        <f>VLOOKUP(F609,'Set up'!$A$2:$C$70,2,FALSE)</f>
        <v>C00000006</v>
      </c>
      <c r="F609" s="1" t="s">
        <v>43</v>
      </c>
      <c r="G609" s="11" t="s">
        <v>553</v>
      </c>
      <c r="H609" s="5">
        <v>1</v>
      </c>
      <c r="I609" s="5" t="str">
        <f>VLOOKUP(F609,'Set up'!$A$2:$C$70,3,FALSE)</f>
        <v>Cash</v>
      </c>
      <c r="J609" s="5">
        <f>VLOOKUP(F609,'Set up'!$A$2:$D$70,4,FALSE)</f>
        <v>0</v>
      </c>
      <c r="K609" s="4">
        <f t="shared" si="97"/>
        <v>44632</v>
      </c>
      <c r="L609" s="5">
        <f t="shared" si="98"/>
        <v>3</v>
      </c>
      <c r="M609" s="5">
        <f t="shared" si="99"/>
        <v>2022</v>
      </c>
      <c r="N609" s="6">
        <v>2068</v>
      </c>
      <c r="O609" s="6">
        <f>SUM(-N609)</f>
        <v>-2068</v>
      </c>
      <c r="P609" s="6">
        <f t="shared" si="102"/>
        <v>0</v>
      </c>
      <c r="Q609" s="7">
        <f t="shared" si="100"/>
        <v>1067443.3500000001</v>
      </c>
      <c r="R609" s="44" t="str">
        <f>VLOOKUP(F609,'Set up'!$A$2:$E$70,5,FALSE)</f>
        <v>Chq</v>
      </c>
      <c r="S609" s="1" t="s">
        <v>746</v>
      </c>
    </row>
    <row r="610" spans="1:19" x14ac:dyDescent="0.3">
      <c r="A610" s="4">
        <v>44634</v>
      </c>
      <c r="B610" s="5">
        <f t="shared" si="95"/>
        <v>3</v>
      </c>
      <c r="C610" s="5">
        <f t="shared" si="96"/>
        <v>2022</v>
      </c>
      <c r="D610" s="5" t="s">
        <v>646</v>
      </c>
      <c r="E610" s="5" t="str">
        <f>VLOOKUP(F610,'Set up'!$A$2:$C$70,2,FALSE)</f>
        <v>C00000020</v>
      </c>
      <c r="F610" s="1" t="s">
        <v>409</v>
      </c>
      <c r="G610" s="11" t="s">
        <v>545</v>
      </c>
      <c r="H610" s="5">
        <v>1</v>
      </c>
      <c r="I610" s="5" t="str">
        <f>VLOOKUP(F610,'Set up'!$A$2:$C$70,3,FALSE)</f>
        <v>Cash</v>
      </c>
      <c r="J610" s="5">
        <f>VLOOKUP(F610,'Set up'!$A$2:$D$70,4,FALSE)</f>
        <v>0</v>
      </c>
      <c r="K610" s="4">
        <f t="shared" si="97"/>
        <v>44634</v>
      </c>
      <c r="L610" s="5">
        <f t="shared" si="98"/>
        <v>3</v>
      </c>
      <c r="M610" s="5">
        <f t="shared" si="99"/>
        <v>2022</v>
      </c>
      <c r="N610" s="6">
        <v>2090</v>
      </c>
      <c r="O610" s="6">
        <f>-510.3-1579.7</f>
        <v>-2090</v>
      </c>
      <c r="P610" s="6">
        <f t="shared" si="102"/>
        <v>0</v>
      </c>
      <c r="Q610" s="7">
        <f t="shared" si="100"/>
        <v>1069533.3500000001</v>
      </c>
      <c r="R610" s="44" t="str">
        <f>VLOOKUP(F610,'Set up'!$A$2:$E$70,5,FALSE)</f>
        <v>Trsf</v>
      </c>
      <c r="S610" s="1" t="s">
        <v>823</v>
      </c>
    </row>
    <row r="611" spans="1:19" x14ac:dyDescent="0.3">
      <c r="A611" s="4">
        <v>44634</v>
      </c>
      <c r="B611" s="5">
        <f t="shared" si="95"/>
        <v>3</v>
      </c>
      <c r="C611" s="5">
        <f t="shared" si="96"/>
        <v>2022</v>
      </c>
      <c r="D611" s="5" t="s">
        <v>646</v>
      </c>
      <c r="E611" s="5" t="str">
        <f>VLOOKUP(F611,'Set up'!$A$2:$C$70,2,FALSE)</f>
        <v>C00000020</v>
      </c>
      <c r="F611" s="1" t="s">
        <v>409</v>
      </c>
      <c r="G611" s="11" t="s">
        <v>555</v>
      </c>
      <c r="H611" s="5">
        <v>1</v>
      </c>
      <c r="I611" s="5" t="str">
        <f>VLOOKUP(F611,'Set up'!$A$2:$C$70,3,FALSE)</f>
        <v>Cash</v>
      </c>
      <c r="J611" s="5">
        <f>VLOOKUP(F611,'Set up'!$A$2:$D$70,4,FALSE)</f>
        <v>0</v>
      </c>
      <c r="K611" s="4">
        <f t="shared" si="97"/>
        <v>44634</v>
      </c>
      <c r="L611" s="5">
        <f t="shared" si="98"/>
        <v>3</v>
      </c>
      <c r="M611" s="5">
        <f t="shared" si="99"/>
        <v>2022</v>
      </c>
      <c r="N611" s="6">
        <v>588</v>
      </c>
      <c r="O611" s="6">
        <f t="shared" ref="O611:O616" si="103">-N611</f>
        <v>-588</v>
      </c>
      <c r="P611" s="6">
        <f t="shared" si="102"/>
        <v>0</v>
      </c>
      <c r="Q611" s="7">
        <f t="shared" si="100"/>
        <v>1070121.3500000001</v>
      </c>
      <c r="R611" s="44" t="str">
        <f>VLOOKUP(F611,'Set up'!$A$2:$E$70,5,FALSE)</f>
        <v>Trsf</v>
      </c>
      <c r="S611" s="1" t="s">
        <v>822</v>
      </c>
    </row>
    <row r="612" spans="1:19" x14ac:dyDescent="0.3">
      <c r="A612" s="4">
        <v>44634</v>
      </c>
      <c r="B612" s="5">
        <f t="shared" si="95"/>
        <v>3</v>
      </c>
      <c r="C612" s="5">
        <f t="shared" si="96"/>
        <v>2022</v>
      </c>
      <c r="D612" s="5" t="s">
        <v>646</v>
      </c>
      <c r="E612" s="5" t="str">
        <f>VLOOKUP(F612,'Set up'!$A$2:$C$70,2,FALSE)</f>
        <v>C00000020</v>
      </c>
      <c r="F612" s="1" t="s">
        <v>409</v>
      </c>
      <c r="G612" s="11" t="s">
        <v>556</v>
      </c>
      <c r="H612" s="5">
        <v>1</v>
      </c>
      <c r="I612" s="5" t="str">
        <f>VLOOKUP(F612,'Set up'!$A$2:$C$70,3,FALSE)</f>
        <v>Cash</v>
      </c>
      <c r="J612" s="5">
        <f>VLOOKUP(F612,'Set up'!$A$2:$D$70,4,FALSE)</f>
        <v>0</v>
      </c>
      <c r="K612" s="4">
        <f t="shared" si="97"/>
        <v>44634</v>
      </c>
      <c r="L612" s="5">
        <f t="shared" si="98"/>
        <v>3</v>
      </c>
      <c r="M612" s="5">
        <f t="shared" si="99"/>
        <v>2022</v>
      </c>
      <c r="N612" s="6">
        <v>351</v>
      </c>
      <c r="O612" s="6">
        <f t="shared" si="103"/>
        <v>-351</v>
      </c>
      <c r="P612" s="6">
        <f t="shared" si="102"/>
        <v>0</v>
      </c>
      <c r="Q612" s="7">
        <f t="shared" si="100"/>
        <v>1070472.3500000001</v>
      </c>
      <c r="R612" s="44" t="str">
        <f>VLOOKUP(F612,'Set up'!$A$2:$E$70,5,FALSE)</f>
        <v>Trsf</v>
      </c>
      <c r="S612" s="1" t="s">
        <v>822</v>
      </c>
    </row>
    <row r="613" spans="1:19" x14ac:dyDescent="0.3">
      <c r="A613" s="4">
        <v>44635</v>
      </c>
      <c r="B613" s="5">
        <f t="shared" si="95"/>
        <v>3</v>
      </c>
      <c r="C613" s="5">
        <f t="shared" si="96"/>
        <v>2022</v>
      </c>
      <c r="D613" s="5" t="s">
        <v>647</v>
      </c>
      <c r="E613" s="5" t="str">
        <f>VLOOKUP(F613,'Set up'!$A$2:$C$70,2,FALSE)</f>
        <v>C00000010</v>
      </c>
      <c r="F613" s="1" t="s">
        <v>62</v>
      </c>
      <c r="G613" s="11" t="s">
        <v>553</v>
      </c>
      <c r="H613" s="5">
        <v>6</v>
      </c>
      <c r="I613" s="5">
        <f>VLOOKUP(F613,'Set up'!$A$2:$C$70,3,FALSE)</f>
        <v>120</v>
      </c>
      <c r="J613" s="5">
        <f>VLOOKUP(F613,'Set up'!$A$2:$D$70,4,FALSE)</f>
        <v>120</v>
      </c>
      <c r="K613" s="4">
        <f t="shared" si="97"/>
        <v>44755</v>
      </c>
      <c r="L613" s="5">
        <f t="shared" si="98"/>
        <v>7</v>
      </c>
      <c r="M613" s="5">
        <f t="shared" si="99"/>
        <v>2022</v>
      </c>
      <c r="N613" s="6">
        <v>11880</v>
      </c>
      <c r="O613" s="6">
        <f t="shared" si="103"/>
        <v>-11880</v>
      </c>
      <c r="P613" s="6">
        <f t="shared" si="102"/>
        <v>0</v>
      </c>
      <c r="Q613" s="7">
        <f t="shared" si="100"/>
        <v>1082352.3500000001</v>
      </c>
      <c r="R613" s="44" t="str">
        <f>VLOOKUP(F613,'Set up'!$A$2:$E$70,5,FALSE)</f>
        <v>Trsf</v>
      </c>
      <c r="S613" s="1" t="s">
        <v>853</v>
      </c>
    </row>
    <row r="614" spans="1:19" x14ac:dyDescent="0.3">
      <c r="A614" s="4">
        <v>44635</v>
      </c>
      <c r="B614" s="5">
        <f t="shared" si="95"/>
        <v>3</v>
      </c>
      <c r="C614" s="5">
        <f t="shared" si="96"/>
        <v>2022</v>
      </c>
      <c r="D614" s="5" t="s">
        <v>647</v>
      </c>
      <c r="E614" s="5" t="str">
        <f>VLOOKUP(F614,'Set up'!$A$2:$C$70,2,FALSE)</f>
        <v>C00000010</v>
      </c>
      <c r="F614" s="1" t="s">
        <v>62</v>
      </c>
      <c r="G614" s="11" t="s">
        <v>613</v>
      </c>
      <c r="H614" s="5">
        <v>5</v>
      </c>
      <c r="I614" s="5">
        <f>VLOOKUP(F614,'Set up'!$A$2:$C$70,3,FALSE)</f>
        <v>120</v>
      </c>
      <c r="J614" s="5">
        <f>VLOOKUP(F614,'Set up'!$A$2:$D$70,4,FALSE)</f>
        <v>120</v>
      </c>
      <c r="K614" s="4">
        <f t="shared" si="97"/>
        <v>44755</v>
      </c>
      <c r="L614" s="5">
        <f t="shared" si="98"/>
        <v>7</v>
      </c>
      <c r="M614" s="5">
        <f t="shared" si="99"/>
        <v>2022</v>
      </c>
      <c r="N614" s="6">
        <v>1425</v>
      </c>
      <c r="O614" s="6">
        <f t="shared" si="103"/>
        <v>-1425</v>
      </c>
      <c r="P614" s="6">
        <f t="shared" si="102"/>
        <v>0</v>
      </c>
      <c r="Q614" s="7">
        <f t="shared" si="100"/>
        <v>1083777.3500000001</v>
      </c>
      <c r="R614" s="44" t="str">
        <f>VLOOKUP(F614,'Set up'!$A$2:$E$70,5,FALSE)</f>
        <v>Trsf</v>
      </c>
      <c r="S614" s="1" t="s">
        <v>853</v>
      </c>
    </row>
    <row r="615" spans="1:19" x14ac:dyDescent="0.3">
      <c r="A615" s="4">
        <v>44635</v>
      </c>
      <c r="B615" s="5">
        <f t="shared" si="95"/>
        <v>3</v>
      </c>
      <c r="C615" s="5">
        <f t="shared" si="96"/>
        <v>2022</v>
      </c>
      <c r="D615" s="5" t="s">
        <v>647</v>
      </c>
      <c r="E615" s="5" t="str">
        <f>VLOOKUP(F615,'Set up'!$A$2:$C$70,2,FALSE)</f>
        <v>C00000010</v>
      </c>
      <c r="F615" s="1" t="s">
        <v>62</v>
      </c>
      <c r="G615" s="11" t="s">
        <v>238</v>
      </c>
      <c r="H615" s="5">
        <v>2</v>
      </c>
      <c r="I615" s="5">
        <f>VLOOKUP(F615,'Set up'!$A$2:$C$70,3,FALSE)</f>
        <v>120</v>
      </c>
      <c r="J615" s="5">
        <f>VLOOKUP(F615,'Set up'!$A$2:$D$70,4,FALSE)</f>
        <v>120</v>
      </c>
      <c r="K615" s="4">
        <f t="shared" si="97"/>
        <v>44755</v>
      </c>
      <c r="L615" s="5">
        <f t="shared" si="98"/>
        <v>7</v>
      </c>
      <c r="M615" s="5">
        <f t="shared" si="99"/>
        <v>2022</v>
      </c>
      <c r="N615" s="6">
        <v>880</v>
      </c>
      <c r="O615" s="6">
        <f t="shared" si="103"/>
        <v>-880</v>
      </c>
      <c r="P615" s="6">
        <f t="shared" si="102"/>
        <v>0</v>
      </c>
      <c r="Q615" s="7">
        <f t="shared" si="100"/>
        <v>1084657.3500000001</v>
      </c>
      <c r="R615" s="44" t="str">
        <f>VLOOKUP(F615,'Set up'!$A$2:$E$70,5,FALSE)</f>
        <v>Trsf</v>
      </c>
      <c r="S615" s="1" t="s">
        <v>853</v>
      </c>
    </row>
    <row r="616" spans="1:19" x14ac:dyDescent="0.3">
      <c r="A616" s="4">
        <v>44635</v>
      </c>
      <c r="B616" s="5">
        <f t="shared" si="95"/>
        <v>3</v>
      </c>
      <c r="C616" s="5">
        <f t="shared" si="96"/>
        <v>2022</v>
      </c>
      <c r="D616" s="5" t="s">
        <v>648</v>
      </c>
      <c r="E616" s="5" t="str">
        <f>VLOOKUP(F616,'Set up'!$A$2:$C$70,2,FALSE)</f>
        <v>C00000020</v>
      </c>
      <c r="F616" s="1" t="s">
        <v>409</v>
      </c>
      <c r="G616" s="11" t="s">
        <v>545</v>
      </c>
      <c r="H616" s="5">
        <v>3</v>
      </c>
      <c r="I616" s="5" t="str">
        <f>VLOOKUP(F616,'Set up'!$A$2:$C$70,3,FALSE)</f>
        <v>Cash</v>
      </c>
      <c r="J616" s="5">
        <f>VLOOKUP(F616,'Set up'!$A$2:$D$70,4,FALSE)</f>
        <v>0</v>
      </c>
      <c r="K616" s="4">
        <f t="shared" si="97"/>
        <v>44635</v>
      </c>
      <c r="L616" s="5">
        <f t="shared" si="98"/>
        <v>3</v>
      </c>
      <c r="M616" s="5">
        <f t="shared" si="99"/>
        <v>2022</v>
      </c>
      <c r="N616" s="6">
        <v>6270</v>
      </c>
      <c r="O616" s="6">
        <f t="shared" si="103"/>
        <v>-6270</v>
      </c>
      <c r="P616" s="6">
        <f t="shared" si="102"/>
        <v>0</v>
      </c>
      <c r="Q616" s="7">
        <f t="shared" si="100"/>
        <v>1090927.3500000001</v>
      </c>
      <c r="R616" s="44" t="str">
        <f>VLOOKUP(F616,'Set up'!$A$2:$E$70,5,FALSE)</f>
        <v>Trsf</v>
      </c>
      <c r="S616" s="1" t="s">
        <v>822</v>
      </c>
    </row>
    <row r="617" spans="1:19" x14ac:dyDescent="0.3">
      <c r="A617" s="4">
        <v>44635</v>
      </c>
      <c r="B617" s="5">
        <f t="shared" si="95"/>
        <v>3</v>
      </c>
      <c r="C617" s="5">
        <f t="shared" si="96"/>
        <v>2022</v>
      </c>
      <c r="D617" s="5" t="s">
        <v>648</v>
      </c>
      <c r="E617" s="5" t="str">
        <f>VLOOKUP(F617,'Set up'!$A$2:$C$70,2,FALSE)</f>
        <v>C00000020</v>
      </c>
      <c r="F617" s="1" t="s">
        <v>409</v>
      </c>
      <c r="G617" s="11" t="s">
        <v>555</v>
      </c>
      <c r="H617" s="5">
        <v>6</v>
      </c>
      <c r="I617" s="5" t="str">
        <f>VLOOKUP(F617,'Set up'!$A$2:$C$70,3,FALSE)</f>
        <v>Cash</v>
      </c>
      <c r="J617" s="5">
        <f>VLOOKUP(F617,'Set up'!$A$2:$D$70,4,FALSE)</f>
        <v>0</v>
      </c>
      <c r="K617" s="4">
        <f t="shared" si="97"/>
        <v>44635</v>
      </c>
      <c r="L617" s="5">
        <f t="shared" si="98"/>
        <v>3</v>
      </c>
      <c r="M617" s="5">
        <f t="shared" si="99"/>
        <v>2022</v>
      </c>
      <c r="N617" s="6">
        <v>3528</v>
      </c>
      <c r="O617" s="6">
        <f>-1211.3-2316.7</f>
        <v>-3528</v>
      </c>
      <c r="P617" s="6">
        <f t="shared" si="102"/>
        <v>0</v>
      </c>
      <c r="Q617" s="7">
        <f t="shared" si="100"/>
        <v>1094455.3500000001</v>
      </c>
      <c r="R617" s="44" t="str">
        <f>VLOOKUP(F617,'Set up'!$A$2:$E$70,5,FALSE)</f>
        <v>Trsf</v>
      </c>
      <c r="S617" s="1" t="s">
        <v>825</v>
      </c>
    </row>
    <row r="618" spans="1:19" x14ac:dyDescent="0.3">
      <c r="A618" s="4">
        <v>44635</v>
      </c>
      <c r="B618" s="5">
        <f t="shared" si="95"/>
        <v>3</v>
      </c>
      <c r="C618" s="5">
        <f t="shared" si="96"/>
        <v>2022</v>
      </c>
      <c r="D618" s="5" t="s">
        <v>648</v>
      </c>
      <c r="E618" s="5" t="str">
        <f>VLOOKUP(F618,'Set up'!$A$2:$C$70,2,FALSE)</f>
        <v>C00000020</v>
      </c>
      <c r="F618" s="1" t="s">
        <v>409</v>
      </c>
      <c r="G618" s="11" t="s">
        <v>556</v>
      </c>
      <c r="H618" s="5">
        <v>1</v>
      </c>
      <c r="I618" s="5" t="str">
        <f>VLOOKUP(F618,'Set up'!$A$2:$C$70,3,FALSE)</f>
        <v>Cash</v>
      </c>
      <c r="J618" s="5">
        <f>VLOOKUP(F618,'Set up'!$A$2:$D$70,4,FALSE)</f>
        <v>0</v>
      </c>
      <c r="K618" s="4">
        <f t="shared" si="97"/>
        <v>44635</v>
      </c>
      <c r="L618" s="5">
        <f t="shared" si="98"/>
        <v>3</v>
      </c>
      <c r="M618" s="5">
        <f t="shared" si="99"/>
        <v>2022</v>
      </c>
      <c r="N618" s="6">
        <v>351</v>
      </c>
      <c r="O618" s="6">
        <f>-N618</f>
        <v>-351</v>
      </c>
      <c r="P618" s="6">
        <f t="shared" si="102"/>
        <v>0</v>
      </c>
      <c r="Q618" s="7">
        <f t="shared" si="100"/>
        <v>1094806.3500000001</v>
      </c>
      <c r="R618" s="44" t="str">
        <f>VLOOKUP(F618,'Set up'!$A$2:$E$70,5,FALSE)</f>
        <v>Trsf</v>
      </c>
      <c r="S618" s="1" t="s">
        <v>824</v>
      </c>
    </row>
    <row r="619" spans="1:19" x14ac:dyDescent="0.3">
      <c r="A619" s="4">
        <v>44635</v>
      </c>
      <c r="B619" s="5">
        <f t="shared" si="95"/>
        <v>3</v>
      </c>
      <c r="C619" s="5">
        <f t="shared" si="96"/>
        <v>2022</v>
      </c>
      <c r="D619" s="5" t="s">
        <v>648</v>
      </c>
      <c r="E619" s="5" t="str">
        <f>VLOOKUP(F619,'Set up'!$A$2:$C$70,2,FALSE)</f>
        <v>C00000020</v>
      </c>
      <c r="F619" s="1" t="s">
        <v>409</v>
      </c>
      <c r="G619" s="11" t="s">
        <v>258</v>
      </c>
      <c r="H619" s="5">
        <v>3</v>
      </c>
      <c r="I619" s="5" t="str">
        <f>VLOOKUP(F619,'Set up'!$A$2:$C$70,3,FALSE)</f>
        <v>Cash</v>
      </c>
      <c r="J619" s="5">
        <f>VLOOKUP(F619,'Set up'!$A$2:$D$70,4,FALSE)</f>
        <v>0</v>
      </c>
      <c r="K619" s="4">
        <f t="shared" si="97"/>
        <v>44635</v>
      </c>
      <c r="L619" s="5">
        <f t="shared" si="98"/>
        <v>3</v>
      </c>
      <c r="M619" s="5">
        <f t="shared" si="99"/>
        <v>2022</v>
      </c>
      <c r="N619" s="6">
        <v>936</v>
      </c>
      <c r="O619" s="6">
        <f>-N619</f>
        <v>-936</v>
      </c>
      <c r="P619" s="6">
        <f t="shared" si="102"/>
        <v>0</v>
      </c>
      <c r="Q619" s="7">
        <f t="shared" si="100"/>
        <v>1095742.3500000001</v>
      </c>
      <c r="R619" s="44" t="str">
        <f>VLOOKUP(F619,'Set up'!$A$2:$E$70,5,FALSE)</f>
        <v>Trsf</v>
      </c>
      <c r="S619" s="1" t="s">
        <v>824</v>
      </c>
    </row>
    <row r="620" spans="1:19" x14ac:dyDescent="0.3">
      <c r="A620" s="4">
        <v>44635</v>
      </c>
      <c r="B620" s="5">
        <f t="shared" si="95"/>
        <v>3</v>
      </c>
      <c r="C620" s="5">
        <f t="shared" si="96"/>
        <v>2022</v>
      </c>
      <c r="D620" s="5" t="s">
        <v>648</v>
      </c>
      <c r="E620" s="5" t="str">
        <f>VLOOKUP(F620,'Set up'!$A$2:$C$70,2,FALSE)</f>
        <v>C00000020</v>
      </c>
      <c r="F620" s="1" t="s">
        <v>409</v>
      </c>
      <c r="G620" s="11" t="s">
        <v>381</v>
      </c>
      <c r="H620" s="5">
        <v>4</v>
      </c>
      <c r="I620" s="5" t="str">
        <f>VLOOKUP(F620,'Set up'!$A$2:$C$70,3,FALSE)</f>
        <v>Cash</v>
      </c>
      <c r="J620" s="5">
        <f>VLOOKUP(F620,'Set up'!$A$2:$D$70,4,FALSE)</f>
        <v>0</v>
      </c>
      <c r="K620" s="4">
        <f t="shared" si="97"/>
        <v>44635</v>
      </c>
      <c r="L620" s="5">
        <f t="shared" si="98"/>
        <v>3</v>
      </c>
      <c r="M620" s="5">
        <f t="shared" si="99"/>
        <v>2022</v>
      </c>
      <c r="N620" s="6">
        <v>340</v>
      </c>
      <c r="O620" s="6">
        <f>-N620</f>
        <v>-340</v>
      </c>
      <c r="P620" s="6">
        <f t="shared" si="102"/>
        <v>0</v>
      </c>
      <c r="Q620" s="7">
        <f t="shared" si="100"/>
        <v>1096082.3500000001</v>
      </c>
      <c r="R620" s="44" t="str">
        <f>VLOOKUP(F620,'Set up'!$A$2:$E$70,5,FALSE)</f>
        <v>Trsf</v>
      </c>
      <c r="S620" s="1" t="s">
        <v>824</v>
      </c>
    </row>
    <row r="621" spans="1:19" x14ac:dyDescent="0.3">
      <c r="A621" s="4">
        <v>44637</v>
      </c>
      <c r="B621" s="5">
        <f t="shared" si="95"/>
        <v>3</v>
      </c>
      <c r="C621" s="5">
        <f t="shared" si="96"/>
        <v>2022</v>
      </c>
      <c r="D621" s="5" t="s">
        <v>649</v>
      </c>
      <c r="E621" s="5" t="str">
        <f>VLOOKUP(F621,'Set up'!$A$2:$C$70,2,FALSE)</f>
        <v>C00000019</v>
      </c>
      <c r="F621" s="1" t="s">
        <v>400</v>
      </c>
      <c r="G621" s="11" t="s">
        <v>566</v>
      </c>
      <c r="H621" s="5">
        <v>3</v>
      </c>
      <c r="I621" s="5" t="str">
        <f>VLOOKUP(F621,'Set up'!$A$2:$C$70,3,FALSE)</f>
        <v>Cash</v>
      </c>
      <c r="J621" s="5">
        <f>VLOOKUP(F621,'Set up'!$A$2:$D$70,4,FALSE)</f>
        <v>0</v>
      </c>
      <c r="K621" s="4">
        <f t="shared" si="97"/>
        <v>44637</v>
      </c>
      <c r="L621" s="5">
        <f t="shared" si="98"/>
        <v>3</v>
      </c>
      <c r="M621" s="5">
        <f t="shared" si="99"/>
        <v>2022</v>
      </c>
      <c r="N621" s="6">
        <v>315</v>
      </c>
      <c r="O621" s="6">
        <f>-N621</f>
        <v>-315</v>
      </c>
      <c r="P621" s="6">
        <f t="shared" si="102"/>
        <v>0</v>
      </c>
      <c r="Q621" s="7">
        <f t="shared" si="100"/>
        <v>1096397.3500000001</v>
      </c>
      <c r="R621" s="44" t="str">
        <f>VLOOKUP(F621,'Set up'!$A$2:$E$70,5,FALSE)</f>
        <v>Trsf</v>
      </c>
      <c r="S621" s="1" t="s">
        <v>803</v>
      </c>
    </row>
    <row r="622" spans="1:19" x14ac:dyDescent="0.3">
      <c r="A622" s="4">
        <v>44638</v>
      </c>
      <c r="B622" s="5">
        <f t="shared" si="95"/>
        <v>3</v>
      </c>
      <c r="C622" s="5">
        <f t="shared" si="96"/>
        <v>2022</v>
      </c>
      <c r="D622" s="5" t="s">
        <v>650</v>
      </c>
      <c r="E622" s="5" t="str">
        <f>VLOOKUP(F622,'Set up'!$A$2:$C$70,2,FALSE)</f>
        <v>C00000020</v>
      </c>
      <c r="F622" s="1" t="s">
        <v>409</v>
      </c>
      <c r="G622" s="11" t="s">
        <v>67</v>
      </c>
      <c r="H622" s="5">
        <v>3</v>
      </c>
      <c r="I622" s="5" t="str">
        <f>VLOOKUP(F622,'Set up'!$A$2:$C$70,3,FALSE)</f>
        <v>Cash</v>
      </c>
      <c r="J622" s="5">
        <f>VLOOKUP(F622,'Set up'!$A$2:$D$70,4,FALSE)</f>
        <v>0</v>
      </c>
      <c r="K622" s="4">
        <f t="shared" si="97"/>
        <v>44638</v>
      </c>
      <c r="L622" s="5">
        <f t="shared" si="98"/>
        <v>3</v>
      </c>
      <c r="M622" s="5">
        <f t="shared" si="99"/>
        <v>2022</v>
      </c>
      <c r="N622" s="6">
        <v>6270</v>
      </c>
      <c r="O622" s="6">
        <f>-5056.3-1213.7</f>
        <v>-6270</v>
      </c>
      <c r="P622" s="6">
        <f t="shared" si="102"/>
        <v>0</v>
      </c>
      <c r="Q622" s="7">
        <f t="shared" si="100"/>
        <v>1102667.3500000001</v>
      </c>
      <c r="R622" s="44" t="str">
        <f>VLOOKUP(F622,'Set up'!$A$2:$E$70,5,FALSE)</f>
        <v>Trsf</v>
      </c>
      <c r="S622" s="1" t="s">
        <v>839</v>
      </c>
    </row>
    <row r="623" spans="1:19" x14ac:dyDescent="0.3">
      <c r="A623" s="4">
        <v>44638</v>
      </c>
      <c r="B623" s="5">
        <f t="shared" si="95"/>
        <v>3</v>
      </c>
      <c r="C623" s="5">
        <f t="shared" si="96"/>
        <v>2022</v>
      </c>
      <c r="D623" s="5" t="s">
        <v>650</v>
      </c>
      <c r="E623" s="5" t="str">
        <f>VLOOKUP(F623,'Set up'!$A$2:$C$70,2,FALSE)</f>
        <v>C00000020</v>
      </c>
      <c r="F623" s="1" t="s">
        <v>409</v>
      </c>
      <c r="G623" s="11" t="s">
        <v>654</v>
      </c>
      <c r="H623" s="5">
        <v>7</v>
      </c>
      <c r="I623" s="5" t="str">
        <f>VLOOKUP(F623,'Set up'!$A$2:$C$70,3,FALSE)</f>
        <v>Cash</v>
      </c>
      <c r="J623" s="5">
        <f>VLOOKUP(F623,'Set up'!$A$2:$D$70,4,FALSE)</f>
        <v>0</v>
      </c>
      <c r="K623" s="4">
        <f t="shared" si="97"/>
        <v>44638</v>
      </c>
      <c r="L623" s="5">
        <f t="shared" si="98"/>
        <v>3</v>
      </c>
      <c r="M623" s="5">
        <f t="shared" si="99"/>
        <v>2022</v>
      </c>
      <c r="N623" s="6">
        <v>2058</v>
      </c>
      <c r="O623" s="6">
        <f t="shared" ref="O623:O631" si="104">-N623</f>
        <v>-2058</v>
      </c>
      <c r="P623" s="6">
        <f t="shared" si="102"/>
        <v>0</v>
      </c>
      <c r="Q623" s="7">
        <f t="shared" si="100"/>
        <v>1104725.3500000001</v>
      </c>
      <c r="R623" s="44" t="str">
        <f>VLOOKUP(F623,'Set up'!$A$2:$E$70,5,FALSE)</f>
        <v>Trsf</v>
      </c>
      <c r="S623" s="1" t="s">
        <v>838</v>
      </c>
    </row>
    <row r="624" spans="1:19" x14ac:dyDescent="0.3">
      <c r="A624" s="4">
        <v>44638</v>
      </c>
      <c r="B624" s="5">
        <f t="shared" si="95"/>
        <v>3</v>
      </c>
      <c r="C624" s="5">
        <f t="shared" si="96"/>
        <v>2022</v>
      </c>
      <c r="D624" s="5" t="s">
        <v>650</v>
      </c>
      <c r="E624" s="5" t="str">
        <f>VLOOKUP(F624,'Set up'!$A$2:$C$70,2,FALSE)</f>
        <v>C00000020</v>
      </c>
      <c r="F624" s="1" t="s">
        <v>409</v>
      </c>
      <c r="G624" s="11" t="s">
        <v>655</v>
      </c>
      <c r="H624" s="5">
        <v>5</v>
      </c>
      <c r="I624" s="5" t="str">
        <f>VLOOKUP(F624,'Set up'!$A$2:$C$70,3,FALSE)</f>
        <v>Cash</v>
      </c>
      <c r="J624" s="5">
        <f>VLOOKUP(F624,'Set up'!$A$2:$D$70,4,FALSE)</f>
        <v>0</v>
      </c>
      <c r="K624" s="4">
        <f t="shared" si="97"/>
        <v>44638</v>
      </c>
      <c r="L624" s="5">
        <f t="shared" si="98"/>
        <v>3</v>
      </c>
      <c r="M624" s="5">
        <f t="shared" si="99"/>
        <v>2022</v>
      </c>
      <c r="N624" s="6">
        <v>1560</v>
      </c>
      <c r="O624" s="6">
        <f t="shared" si="104"/>
        <v>-1560</v>
      </c>
      <c r="P624" s="6">
        <f t="shared" si="102"/>
        <v>0</v>
      </c>
      <c r="Q624" s="7">
        <f t="shared" si="100"/>
        <v>1106285.3500000001</v>
      </c>
      <c r="R624" s="44" t="str">
        <f>VLOOKUP(F624,'Set up'!$A$2:$E$70,5,FALSE)</f>
        <v>Trsf</v>
      </c>
      <c r="S624" s="1" t="s">
        <v>838</v>
      </c>
    </row>
    <row r="625" spans="1:19" x14ac:dyDescent="0.3">
      <c r="A625" s="4">
        <v>44639</v>
      </c>
      <c r="B625" s="5">
        <f t="shared" si="95"/>
        <v>3</v>
      </c>
      <c r="C625" s="5">
        <f t="shared" si="96"/>
        <v>2022</v>
      </c>
      <c r="D625" s="5" t="s">
        <v>651</v>
      </c>
      <c r="E625" s="5" t="str">
        <f>VLOOKUP(F625,'Set up'!$A$2:$C$70,2,FALSE)</f>
        <v>C00000021</v>
      </c>
      <c r="F625" s="1" t="s">
        <v>491</v>
      </c>
      <c r="G625" s="11" t="s">
        <v>67</v>
      </c>
      <c r="H625" s="5">
        <v>2</v>
      </c>
      <c r="I625" s="5" t="str">
        <f>VLOOKUP(F625,'Set up'!$A$2:$C$70,3,FALSE)</f>
        <v>Cash</v>
      </c>
      <c r="J625" s="5">
        <f>VLOOKUP(F625,'Set up'!$A$2:$D$70,4,FALSE)</f>
        <v>0</v>
      </c>
      <c r="K625" s="4">
        <f t="shared" si="97"/>
        <v>44639</v>
      </c>
      <c r="L625" s="5">
        <f t="shared" si="98"/>
        <v>3</v>
      </c>
      <c r="M625" s="5">
        <f t="shared" si="99"/>
        <v>2022</v>
      </c>
      <c r="N625" s="6">
        <v>4048</v>
      </c>
      <c r="O625" s="6">
        <f t="shared" si="104"/>
        <v>-4048</v>
      </c>
      <c r="P625" s="6">
        <f t="shared" si="102"/>
        <v>0</v>
      </c>
      <c r="Q625" s="7">
        <f t="shared" si="100"/>
        <v>1110333.3500000001</v>
      </c>
      <c r="R625" s="44" t="str">
        <f>VLOOKUP(F625,'Set up'!$A$2:$E$70,5,FALSE)</f>
        <v>PD Chq</v>
      </c>
      <c r="S625" s="1" t="s">
        <v>816</v>
      </c>
    </row>
    <row r="626" spans="1:19" x14ac:dyDescent="0.3">
      <c r="A626" s="4">
        <v>44639</v>
      </c>
      <c r="B626" s="5">
        <f t="shared" si="95"/>
        <v>3</v>
      </c>
      <c r="C626" s="5">
        <f t="shared" si="96"/>
        <v>2022</v>
      </c>
      <c r="D626" s="5" t="s">
        <v>651</v>
      </c>
      <c r="E626" s="5" t="str">
        <f>VLOOKUP(F626,'Set up'!$A$2:$C$70,2,FALSE)</f>
        <v>C00000021</v>
      </c>
      <c r="F626" s="1" t="s">
        <v>491</v>
      </c>
      <c r="G626" s="11" t="s">
        <v>654</v>
      </c>
      <c r="H626" s="5">
        <v>6</v>
      </c>
      <c r="I626" s="5" t="str">
        <f>VLOOKUP(F626,'Set up'!$A$2:$C$70,3,FALSE)</f>
        <v>Cash</v>
      </c>
      <c r="J626" s="5">
        <f>VLOOKUP(F626,'Set up'!$A$2:$D$70,4,FALSE)</f>
        <v>0</v>
      </c>
      <c r="K626" s="4">
        <f t="shared" si="97"/>
        <v>44639</v>
      </c>
      <c r="L626" s="5">
        <f t="shared" si="98"/>
        <v>3</v>
      </c>
      <c r="M626" s="5">
        <f t="shared" si="99"/>
        <v>2022</v>
      </c>
      <c r="N626" s="6">
        <v>1710</v>
      </c>
      <c r="O626" s="6">
        <f t="shared" si="104"/>
        <v>-1710</v>
      </c>
      <c r="P626" s="6">
        <f t="shared" si="102"/>
        <v>0</v>
      </c>
      <c r="Q626" s="7">
        <f t="shared" si="100"/>
        <v>1112043.3500000001</v>
      </c>
      <c r="R626" s="44" t="str">
        <f>VLOOKUP(F626,'Set up'!$A$2:$E$70,5,FALSE)</f>
        <v>PD Chq</v>
      </c>
      <c r="S626" s="1" t="s">
        <v>816</v>
      </c>
    </row>
    <row r="627" spans="1:19" x14ac:dyDescent="0.3">
      <c r="A627" s="4">
        <v>44639</v>
      </c>
      <c r="B627" s="5">
        <f t="shared" si="95"/>
        <v>3</v>
      </c>
      <c r="C627" s="5">
        <f t="shared" si="96"/>
        <v>2022</v>
      </c>
      <c r="D627" s="5" t="s">
        <v>651</v>
      </c>
      <c r="E627" s="5" t="str">
        <f>VLOOKUP(F627,'Set up'!$A$2:$C$70,2,FALSE)</f>
        <v>C00000021</v>
      </c>
      <c r="F627" s="1" t="s">
        <v>491</v>
      </c>
      <c r="G627" s="11" t="s">
        <v>381</v>
      </c>
      <c r="H627" s="5">
        <v>2</v>
      </c>
      <c r="I627" s="5" t="str">
        <f>VLOOKUP(F627,'Set up'!$A$2:$C$70,3,FALSE)</f>
        <v>Cash</v>
      </c>
      <c r="J627" s="5">
        <f>VLOOKUP(F627,'Set up'!$A$2:$D$70,4,FALSE)</f>
        <v>0</v>
      </c>
      <c r="K627" s="4">
        <f t="shared" si="97"/>
        <v>44639</v>
      </c>
      <c r="L627" s="5">
        <f t="shared" si="98"/>
        <v>3</v>
      </c>
      <c r="M627" s="5">
        <f t="shared" si="99"/>
        <v>2022</v>
      </c>
      <c r="N627" s="6">
        <v>170</v>
      </c>
      <c r="O627" s="6">
        <f t="shared" si="104"/>
        <v>-170</v>
      </c>
      <c r="P627" s="6">
        <f t="shared" si="102"/>
        <v>0</v>
      </c>
      <c r="Q627" s="7">
        <f t="shared" si="100"/>
        <v>1112213.3500000001</v>
      </c>
      <c r="R627" s="44" t="str">
        <f>VLOOKUP(F627,'Set up'!$A$2:$E$70,5,FALSE)</f>
        <v>PD Chq</v>
      </c>
      <c r="S627" s="1" t="s">
        <v>816</v>
      </c>
    </row>
    <row r="628" spans="1:19" x14ac:dyDescent="0.3">
      <c r="A628" s="4">
        <v>44639</v>
      </c>
      <c r="B628" s="5">
        <f t="shared" si="95"/>
        <v>3</v>
      </c>
      <c r="C628" s="5">
        <f t="shared" si="96"/>
        <v>2022</v>
      </c>
      <c r="D628" s="5" t="s">
        <v>651</v>
      </c>
      <c r="E628" s="5" t="str">
        <f>VLOOKUP(F628,'Set up'!$A$2:$C$70,2,FALSE)</f>
        <v>C00000021</v>
      </c>
      <c r="F628" s="1" t="s">
        <v>491</v>
      </c>
      <c r="G628" s="11" t="s">
        <v>656</v>
      </c>
      <c r="H628" s="5">
        <v>1</v>
      </c>
      <c r="I628" s="5" t="str">
        <f>VLOOKUP(F628,'Set up'!$A$2:$C$70,3,FALSE)</f>
        <v>Cash</v>
      </c>
      <c r="J628" s="5">
        <f>VLOOKUP(F628,'Set up'!$A$2:$D$70,4,FALSE)</f>
        <v>0</v>
      </c>
      <c r="K628" s="4">
        <f t="shared" si="97"/>
        <v>44639</v>
      </c>
      <c r="L628" s="5">
        <f t="shared" si="98"/>
        <v>3</v>
      </c>
      <c r="M628" s="5">
        <f t="shared" si="99"/>
        <v>2022</v>
      </c>
      <c r="N628" s="6">
        <v>175</v>
      </c>
      <c r="O628" s="6">
        <f t="shared" si="104"/>
        <v>-175</v>
      </c>
      <c r="P628" s="6">
        <f t="shared" si="102"/>
        <v>0</v>
      </c>
      <c r="Q628" s="7">
        <f t="shared" si="100"/>
        <v>1112388.3500000001</v>
      </c>
      <c r="R628" s="44" t="str">
        <f>VLOOKUP(F628,'Set up'!$A$2:$E$70,5,FALSE)</f>
        <v>PD Chq</v>
      </c>
      <c r="S628" s="1" t="s">
        <v>816</v>
      </c>
    </row>
    <row r="629" spans="1:19" x14ac:dyDescent="0.3">
      <c r="A629" s="4">
        <v>44639</v>
      </c>
      <c r="B629" s="5">
        <f t="shared" si="95"/>
        <v>3</v>
      </c>
      <c r="C629" s="5">
        <f t="shared" si="96"/>
        <v>2022</v>
      </c>
      <c r="D629" s="5" t="s">
        <v>651</v>
      </c>
      <c r="E629" s="5" t="str">
        <f>VLOOKUP(F629,'Set up'!$A$2:$C$70,2,FALSE)</f>
        <v>C00000021</v>
      </c>
      <c r="F629" s="1" t="s">
        <v>491</v>
      </c>
      <c r="G629" s="11" t="s">
        <v>657</v>
      </c>
      <c r="H629" s="5">
        <v>1</v>
      </c>
      <c r="I629" s="5" t="str">
        <f>VLOOKUP(F629,'Set up'!$A$2:$C$70,3,FALSE)</f>
        <v>Cash</v>
      </c>
      <c r="J629" s="5">
        <f>VLOOKUP(F629,'Set up'!$A$2:$D$70,4,FALSE)</f>
        <v>0</v>
      </c>
      <c r="K629" s="4">
        <f t="shared" si="97"/>
        <v>44639</v>
      </c>
      <c r="L629" s="5">
        <f t="shared" si="98"/>
        <v>3</v>
      </c>
      <c r="M629" s="5">
        <f t="shared" si="99"/>
        <v>2022</v>
      </c>
      <c r="N629" s="6">
        <v>390</v>
      </c>
      <c r="O629" s="6">
        <f t="shared" si="104"/>
        <v>-390</v>
      </c>
      <c r="P629" s="6">
        <f t="shared" si="102"/>
        <v>0</v>
      </c>
      <c r="Q629" s="7">
        <f t="shared" si="100"/>
        <v>1112778.3500000001</v>
      </c>
      <c r="R629" s="44" t="str">
        <f>VLOOKUP(F629,'Set up'!$A$2:$E$70,5,FALSE)</f>
        <v>PD Chq</v>
      </c>
      <c r="S629" s="1" t="s">
        <v>816</v>
      </c>
    </row>
    <row r="630" spans="1:19" x14ac:dyDescent="0.3">
      <c r="A630" s="4">
        <v>44639</v>
      </c>
      <c r="B630" s="5">
        <f t="shared" si="95"/>
        <v>3</v>
      </c>
      <c r="C630" s="5">
        <f t="shared" si="96"/>
        <v>2022</v>
      </c>
      <c r="D630" s="5" t="s">
        <v>651</v>
      </c>
      <c r="E630" s="5" t="str">
        <f>VLOOKUP(F630,'Set up'!$A$2:$C$70,2,FALSE)</f>
        <v>C00000021</v>
      </c>
      <c r="F630" s="1" t="s">
        <v>491</v>
      </c>
      <c r="G630" s="11" t="s">
        <v>64</v>
      </c>
      <c r="H630" s="5">
        <v>10</v>
      </c>
      <c r="I630" s="5" t="str">
        <f>VLOOKUP(F630,'Set up'!$A$2:$C$70,3,FALSE)</f>
        <v>Cash</v>
      </c>
      <c r="J630" s="5">
        <f>VLOOKUP(F630,'Set up'!$A$2:$D$70,4,FALSE)</f>
        <v>0</v>
      </c>
      <c r="K630" s="4">
        <f t="shared" si="97"/>
        <v>44639</v>
      </c>
      <c r="L630" s="5">
        <f t="shared" si="98"/>
        <v>3</v>
      </c>
      <c r="M630" s="5">
        <f t="shared" si="99"/>
        <v>2022</v>
      </c>
      <c r="N630" s="6">
        <v>575</v>
      </c>
      <c r="O630" s="6">
        <f t="shared" si="104"/>
        <v>-575</v>
      </c>
      <c r="P630" s="6">
        <f t="shared" si="102"/>
        <v>0</v>
      </c>
      <c r="Q630" s="7">
        <f t="shared" si="100"/>
        <v>1113353.3500000001</v>
      </c>
      <c r="R630" s="44" t="str">
        <f>VLOOKUP(F630,'Set up'!$A$2:$E$70,5,FALSE)</f>
        <v>PD Chq</v>
      </c>
      <c r="S630" s="1" t="s">
        <v>816</v>
      </c>
    </row>
    <row r="631" spans="1:19" x14ac:dyDescent="0.3">
      <c r="A631" s="4">
        <v>44639</v>
      </c>
      <c r="B631" s="5">
        <f t="shared" si="95"/>
        <v>3</v>
      </c>
      <c r="C631" s="5">
        <f t="shared" si="96"/>
        <v>2022</v>
      </c>
      <c r="D631" s="5" t="s">
        <v>651</v>
      </c>
      <c r="E631" s="5" t="str">
        <f>VLOOKUP(F631,'Set up'!$A$2:$C$70,2,FALSE)</f>
        <v>C00000021</v>
      </c>
      <c r="F631" s="1" t="s">
        <v>491</v>
      </c>
      <c r="G631" s="11" t="s">
        <v>658</v>
      </c>
      <c r="H631" s="5">
        <v>1</v>
      </c>
      <c r="I631" s="5" t="str">
        <f>VLOOKUP(F631,'Set up'!$A$2:$C$70,3,FALSE)</f>
        <v>Cash</v>
      </c>
      <c r="J631" s="5">
        <f>VLOOKUP(F631,'Set up'!$A$2:$D$70,4,FALSE)</f>
        <v>0</v>
      </c>
      <c r="K631" s="4">
        <f t="shared" si="97"/>
        <v>44639</v>
      </c>
      <c r="L631" s="5">
        <f t="shared" si="98"/>
        <v>3</v>
      </c>
      <c r="M631" s="5">
        <f t="shared" si="99"/>
        <v>2022</v>
      </c>
      <c r="N631" s="6">
        <v>1059.5</v>
      </c>
      <c r="O631" s="6">
        <f t="shared" si="104"/>
        <v>-1059.5</v>
      </c>
      <c r="P631" s="6">
        <f t="shared" si="102"/>
        <v>0</v>
      </c>
      <c r="Q631" s="7">
        <f t="shared" si="100"/>
        <v>1114412.8500000001</v>
      </c>
      <c r="R631" s="44" t="str">
        <f>VLOOKUP(F631,'Set up'!$A$2:$E$70,5,FALSE)</f>
        <v>PD Chq</v>
      </c>
      <c r="S631" s="1" t="s">
        <v>816</v>
      </c>
    </row>
    <row r="632" spans="1:19" x14ac:dyDescent="0.3">
      <c r="A632" s="4">
        <v>44641</v>
      </c>
      <c r="B632" s="5">
        <f t="shared" si="95"/>
        <v>3</v>
      </c>
      <c r="C632" s="5">
        <f t="shared" si="96"/>
        <v>2022</v>
      </c>
      <c r="D632" s="5" t="s">
        <v>652</v>
      </c>
      <c r="E632" s="5" t="str">
        <f>VLOOKUP(F632,'Set up'!$A$2:$C$70,2,FALSE)</f>
        <v>C00000006</v>
      </c>
      <c r="F632" s="1" t="s">
        <v>43</v>
      </c>
      <c r="G632" s="11" t="s">
        <v>639</v>
      </c>
      <c r="H632" s="5">
        <v>1</v>
      </c>
      <c r="I632" s="5" t="str">
        <f>VLOOKUP(F632,'Set up'!$A$2:$C$70,3,FALSE)</f>
        <v>Cash</v>
      </c>
      <c r="J632" s="5">
        <f>VLOOKUP(F632,'Set up'!$A$2:$D$70,4,FALSE)</f>
        <v>0</v>
      </c>
      <c r="K632" s="4">
        <f t="shared" si="97"/>
        <v>44641</v>
      </c>
      <c r="L632" s="5">
        <f t="shared" si="98"/>
        <v>3</v>
      </c>
      <c r="M632" s="5">
        <f t="shared" si="99"/>
        <v>2022</v>
      </c>
      <c r="N632" s="6">
        <v>337.5</v>
      </c>
      <c r="O632" s="6">
        <f>SUM(-N632)</f>
        <v>-337.5</v>
      </c>
      <c r="P632" s="6">
        <f t="shared" si="102"/>
        <v>0</v>
      </c>
      <c r="Q632" s="7">
        <f t="shared" si="100"/>
        <v>1114750.3500000001</v>
      </c>
      <c r="R632" s="44" t="str">
        <f>VLOOKUP(F632,'Set up'!$A$2:$E$70,5,FALSE)</f>
        <v>Chq</v>
      </c>
      <c r="S632" s="1" t="s">
        <v>746</v>
      </c>
    </row>
    <row r="633" spans="1:19" x14ac:dyDescent="0.3">
      <c r="A633" s="4">
        <v>44643</v>
      </c>
      <c r="B633" s="5">
        <f t="shared" si="95"/>
        <v>3</v>
      </c>
      <c r="C633" s="5">
        <f t="shared" si="96"/>
        <v>2022</v>
      </c>
      <c r="D633" s="5" t="s">
        <v>653</v>
      </c>
      <c r="E633" s="5" t="str">
        <f>VLOOKUP(F633,'Set up'!$A$2:$C$70,2,FALSE)</f>
        <v>C00000020</v>
      </c>
      <c r="F633" s="1" t="s">
        <v>409</v>
      </c>
      <c r="G633" s="11" t="s">
        <v>67</v>
      </c>
      <c r="H633" s="5">
        <v>3</v>
      </c>
      <c r="I633" s="5" t="str">
        <f>VLOOKUP(F633,'Set up'!$A$2:$C$70,3,FALSE)</f>
        <v>Cash</v>
      </c>
      <c r="J633" s="5">
        <f>VLOOKUP(F633,'Set up'!$A$2:$D$70,4,FALSE)</f>
        <v>0</v>
      </c>
      <c r="K633" s="4">
        <f t="shared" si="97"/>
        <v>44643</v>
      </c>
      <c r="L633" s="5">
        <f t="shared" si="98"/>
        <v>3</v>
      </c>
      <c r="M633" s="5">
        <f t="shared" si="99"/>
        <v>2022</v>
      </c>
      <c r="N633" s="6">
        <v>6270</v>
      </c>
      <c r="O633" s="6">
        <f t="shared" ref="O633:O639" si="105">-N633</f>
        <v>-6270</v>
      </c>
      <c r="P633" s="6">
        <f t="shared" si="102"/>
        <v>0</v>
      </c>
      <c r="Q633" s="7">
        <f t="shared" si="100"/>
        <v>1121020.3500000001</v>
      </c>
      <c r="R633" s="44" t="str">
        <f>VLOOKUP(F633,'Set up'!$A$2:$E$70,5,FALSE)</f>
        <v>Trsf</v>
      </c>
      <c r="S633" s="1" t="s">
        <v>838</v>
      </c>
    </row>
    <row r="634" spans="1:19" x14ac:dyDescent="0.3">
      <c r="A634" s="4">
        <v>44643</v>
      </c>
      <c r="B634" s="5">
        <f t="shared" si="95"/>
        <v>3</v>
      </c>
      <c r="C634" s="5">
        <f t="shared" si="96"/>
        <v>2022</v>
      </c>
      <c r="D634" s="5" t="s">
        <v>653</v>
      </c>
      <c r="E634" s="5" t="str">
        <f>VLOOKUP(F634,'Set up'!$A$2:$C$70,2,FALSE)</f>
        <v>C00000020</v>
      </c>
      <c r="F634" s="1" t="s">
        <v>409</v>
      </c>
      <c r="G634" s="11" t="s">
        <v>654</v>
      </c>
      <c r="H634" s="5">
        <v>4</v>
      </c>
      <c r="I634" s="5" t="str">
        <f>VLOOKUP(F634,'Set up'!$A$2:$C$70,3,FALSE)</f>
        <v>Cash</v>
      </c>
      <c r="J634" s="5">
        <f>VLOOKUP(F634,'Set up'!$A$2:$D$70,4,FALSE)</f>
        <v>0</v>
      </c>
      <c r="K634" s="4">
        <f t="shared" si="97"/>
        <v>44643</v>
      </c>
      <c r="L634" s="5">
        <f t="shared" si="98"/>
        <v>3</v>
      </c>
      <c r="M634" s="5">
        <f t="shared" si="99"/>
        <v>2022</v>
      </c>
      <c r="N634" s="6">
        <v>1176</v>
      </c>
      <c r="O634" s="6">
        <f t="shared" si="105"/>
        <v>-1176</v>
      </c>
      <c r="P634" s="6">
        <f t="shared" si="102"/>
        <v>0</v>
      </c>
      <c r="Q634" s="7">
        <f t="shared" si="100"/>
        <v>1122196.3500000001</v>
      </c>
      <c r="R634" s="44" t="str">
        <f>VLOOKUP(F634,'Set up'!$A$2:$E$70,5,FALSE)</f>
        <v>Trsf</v>
      </c>
      <c r="S634" s="1" t="s">
        <v>838</v>
      </c>
    </row>
    <row r="635" spans="1:19" ht="15" customHeight="1" x14ac:dyDescent="0.3">
      <c r="A635" s="4">
        <v>44643</v>
      </c>
      <c r="B635" s="5">
        <f t="shared" si="95"/>
        <v>3</v>
      </c>
      <c r="C635" s="5">
        <f t="shared" si="96"/>
        <v>2022</v>
      </c>
      <c r="D635" s="5" t="s">
        <v>653</v>
      </c>
      <c r="E635" s="5" t="str">
        <f>VLOOKUP(F635,'Set up'!$A$2:$C$70,2,FALSE)</f>
        <v>C00000020</v>
      </c>
      <c r="F635" s="1" t="s">
        <v>409</v>
      </c>
      <c r="G635" s="11" t="s">
        <v>655</v>
      </c>
      <c r="H635" s="5">
        <v>4</v>
      </c>
      <c r="I635" s="5" t="str">
        <f>VLOOKUP(F635,'Set up'!$A$2:$C$70,3,FALSE)</f>
        <v>Cash</v>
      </c>
      <c r="J635" s="5">
        <f>VLOOKUP(F635,'Set up'!$A$2:$D$70,4,FALSE)</f>
        <v>0</v>
      </c>
      <c r="K635" s="4">
        <f t="shared" si="97"/>
        <v>44643</v>
      </c>
      <c r="L635" s="5">
        <f t="shared" si="98"/>
        <v>3</v>
      </c>
      <c r="M635" s="5">
        <f t="shared" si="99"/>
        <v>2022</v>
      </c>
      <c r="N635" s="6">
        <v>1248</v>
      </c>
      <c r="O635" s="6">
        <f t="shared" si="105"/>
        <v>-1248</v>
      </c>
      <c r="P635" s="6">
        <f t="shared" si="102"/>
        <v>0</v>
      </c>
      <c r="Q635" s="7">
        <f t="shared" si="100"/>
        <v>1123444.3500000001</v>
      </c>
      <c r="R635" s="44" t="str">
        <f>VLOOKUP(F635,'Set up'!$A$2:$E$70,5,FALSE)</f>
        <v>Trsf</v>
      </c>
      <c r="S635" s="1" t="s">
        <v>838</v>
      </c>
    </row>
    <row r="636" spans="1:19" x14ac:dyDescent="0.3">
      <c r="A636" s="4">
        <v>44643</v>
      </c>
      <c r="B636" s="5">
        <f t="shared" si="95"/>
        <v>3</v>
      </c>
      <c r="C636" s="5">
        <f t="shared" si="96"/>
        <v>2022</v>
      </c>
      <c r="D636" s="5" t="s">
        <v>653</v>
      </c>
      <c r="E636" s="5" t="str">
        <f>VLOOKUP(F636,'Set up'!$A$2:$C$70,2,FALSE)</f>
        <v>C00000020</v>
      </c>
      <c r="F636" s="1" t="s">
        <v>409</v>
      </c>
      <c r="G636" s="11" t="s">
        <v>64</v>
      </c>
      <c r="H636" s="5">
        <v>2</v>
      </c>
      <c r="I636" s="5" t="str">
        <f>VLOOKUP(F636,'Set up'!$A$2:$C$70,3,FALSE)</f>
        <v>Cash</v>
      </c>
      <c r="J636" s="5">
        <f>VLOOKUP(F636,'Set up'!$A$2:$D$70,4,FALSE)</f>
        <v>0</v>
      </c>
      <c r="K636" s="4">
        <f t="shared" si="97"/>
        <v>44643</v>
      </c>
      <c r="L636" s="5">
        <f t="shared" si="98"/>
        <v>3</v>
      </c>
      <c r="M636" s="5">
        <f t="shared" si="99"/>
        <v>2022</v>
      </c>
      <c r="N636" s="6">
        <v>125</v>
      </c>
      <c r="O636" s="6">
        <f t="shared" si="105"/>
        <v>-125</v>
      </c>
      <c r="P636" s="6">
        <f t="shared" si="102"/>
        <v>0</v>
      </c>
      <c r="Q636" s="7">
        <f t="shared" si="100"/>
        <v>1123569.3500000001</v>
      </c>
      <c r="R636" s="44" t="str">
        <f>VLOOKUP(F636,'Set up'!$A$2:$E$70,5,FALSE)</f>
        <v>Trsf</v>
      </c>
      <c r="S636" s="1" t="s">
        <v>838</v>
      </c>
    </row>
    <row r="637" spans="1:19" x14ac:dyDescent="0.3">
      <c r="A637" s="4">
        <v>44645</v>
      </c>
      <c r="B637" s="5">
        <f t="shared" si="95"/>
        <v>3</v>
      </c>
      <c r="C637" s="5">
        <f t="shared" si="96"/>
        <v>2022</v>
      </c>
      <c r="D637" s="5" t="s">
        <v>660</v>
      </c>
      <c r="E637" s="5" t="str">
        <f>VLOOKUP(F637,'Set up'!$A$2:$C$70,2,FALSE)</f>
        <v>C00000020</v>
      </c>
      <c r="F637" s="1" t="s">
        <v>409</v>
      </c>
      <c r="G637" s="11" t="s">
        <v>95</v>
      </c>
      <c r="H637" s="5">
        <v>4</v>
      </c>
      <c r="I637" s="5" t="str">
        <f>VLOOKUP(F637,'Set up'!$A$2:$C$70,3,FALSE)</f>
        <v>Cash</v>
      </c>
      <c r="J637" s="5">
        <f>VLOOKUP(F637,'Set up'!$A$2:$D$70,4,FALSE)</f>
        <v>0</v>
      </c>
      <c r="K637" s="4">
        <f t="shared" si="97"/>
        <v>44645</v>
      </c>
      <c r="L637" s="5">
        <f t="shared" si="98"/>
        <v>3</v>
      </c>
      <c r="M637" s="5">
        <f t="shared" si="99"/>
        <v>2022</v>
      </c>
      <c r="N637" s="6">
        <v>8360</v>
      </c>
      <c r="O637" s="6">
        <f t="shared" si="105"/>
        <v>-8360</v>
      </c>
      <c r="P637" s="6">
        <f t="shared" si="102"/>
        <v>0</v>
      </c>
      <c r="Q637" s="7">
        <f t="shared" si="100"/>
        <v>1131929.3500000001</v>
      </c>
      <c r="R637" s="44" t="str">
        <f>VLOOKUP(F637,'Set up'!$A$2:$E$70,5,FALSE)</f>
        <v>Trsf</v>
      </c>
      <c r="S637" s="1" t="s">
        <v>838</v>
      </c>
    </row>
    <row r="638" spans="1:19" x14ac:dyDescent="0.3">
      <c r="A638" s="4">
        <v>44645</v>
      </c>
      <c r="B638" s="5">
        <f t="shared" si="95"/>
        <v>3</v>
      </c>
      <c r="C638" s="5">
        <f t="shared" si="96"/>
        <v>2022</v>
      </c>
      <c r="D638" s="5" t="s">
        <v>660</v>
      </c>
      <c r="E638" s="5" t="str">
        <f>VLOOKUP(F638,'Set up'!$A$2:$C$70,2,FALSE)</f>
        <v>C00000020</v>
      </c>
      <c r="F638" s="1" t="s">
        <v>409</v>
      </c>
      <c r="G638" s="11" t="s">
        <v>654</v>
      </c>
      <c r="H638" s="5">
        <v>10</v>
      </c>
      <c r="I638" s="5" t="str">
        <f>VLOOKUP(F638,'Set up'!$A$2:$C$70,3,FALSE)</f>
        <v>Cash</v>
      </c>
      <c r="J638" s="5">
        <f>VLOOKUP(F638,'Set up'!$A$2:$D$70,4,FALSE)</f>
        <v>0</v>
      </c>
      <c r="K638" s="4">
        <f t="shared" si="97"/>
        <v>44645</v>
      </c>
      <c r="L638" s="5">
        <f t="shared" si="98"/>
        <v>3</v>
      </c>
      <c r="M638" s="5">
        <f t="shared" si="99"/>
        <v>2022</v>
      </c>
      <c r="N638" s="6">
        <v>2940</v>
      </c>
      <c r="O638" s="6">
        <f t="shared" si="105"/>
        <v>-2940</v>
      </c>
      <c r="P638" s="6">
        <f t="shared" si="102"/>
        <v>0</v>
      </c>
      <c r="Q638" s="7">
        <f t="shared" si="100"/>
        <v>1134869.3500000001</v>
      </c>
      <c r="R638" s="44" t="str">
        <f>VLOOKUP(F638,'Set up'!$A$2:$E$70,5,FALSE)</f>
        <v>Trsf</v>
      </c>
      <c r="S638" s="1" t="s">
        <v>838</v>
      </c>
    </row>
    <row r="639" spans="1:19" x14ac:dyDescent="0.3">
      <c r="A639" s="4">
        <v>44645</v>
      </c>
      <c r="B639" s="5">
        <f t="shared" si="95"/>
        <v>3</v>
      </c>
      <c r="C639" s="5">
        <f t="shared" si="96"/>
        <v>2022</v>
      </c>
      <c r="D639" s="5" t="s">
        <v>660</v>
      </c>
      <c r="E639" s="5" t="str">
        <f>VLOOKUP(F639,'Set up'!$A$2:$C$70,2,FALSE)</f>
        <v>C00000020</v>
      </c>
      <c r="F639" s="1" t="s">
        <v>409</v>
      </c>
      <c r="G639" s="11" t="s">
        <v>655</v>
      </c>
      <c r="H639" s="5">
        <v>6</v>
      </c>
      <c r="I639" s="5" t="str">
        <f>VLOOKUP(F639,'Set up'!$A$2:$C$70,3,FALSE)</f>
        <v>Cash</v>
      </c>
      <c r="J639" s="5">
        <f>VLOOKUP(F639,'Set up'!$A$2:$D$70,4,FALSE)</f>
        <v>0</v>
      </c>
      <c r="K639" s="4">
        <f t="shared" si="97"/>
        <v>44645</v>
      </c>
      <c r="L639" s="5">
        <f t="shared" si="98"/>
        <v>3</v>
      </c>
      <c r="M639" s="5">
        <f t="shared" si="99"/>
        <v>2022</v>
      </c>
      <c r="N639" s="6">
        <v>1872</v>
      </c>
      <c r="O639" s="6">
        <f t="shared" si="105"/>
        <v>-1872</v>
      </c>
      <c r="P639" s="6">
        <f t="shared" si="102"/>
        <v>0</v>
      </c>
      <c r="Q639" s="7">
        <f t="shared" si="100"/>
        <v>1136741.3500000001</v>
      </c>
      <c r="R639" s="44" t="str">
        <f>VLOOKUP(F639,'Set up'!$A$2:$E$70,5,FALSE)</f>
        <v>Trsf</v>
      </c>
      <c r="S639" s="1" t="s">
        <v>838</v>
      </c>
    </row>
    <row r="640" spans="1:19" x14ac:dyDescent="0.3">
      <c r="A640" s="4">
        <v>44645</v>
      </c>
      <c r="B640" s="5">
        <f t="shared" si="95"/>
        <v>3</v>
      </c>
      <c r="C640" s="5">
        <f t="shared" si="96"/>
        <v>2022</v>
      </c>
      <c r="D640" s="5" t="s">
        <v>660</v>
      </c>
      <c r="E640" s="5" t="str">
        <f>VLOOKUP(F640,'Set up'!$A$2:$C$70,2,FALSE)</f>
        <v>C00000020</v>
      </c>
      <c r="F640" s="1" t="s">
        <v>409</v>
      </c>
      <c r="G640" s="11" t="s">
        <v>64</v>
      </c>
      <c r="H640" s="5">
        <v>4</v>
      </c>
      <c r="I640" s="5" t="str">
        <f>VLOOKUP(F640,'Set up'!$A$2:$C$70,3,FALSE)</f>
        <v>Cash</v>
      </c>
      <c r="J640" s="5">
        <f>VLOOKUP(F640,'Set up'!$A$2:$D$70,4,FALSE)</f>
        <v>0</v>
      </c>
      <c r="K640" s="4">
        <f t="shared" si="97"/>
        <v>44645</v>
      </c>
      <c r="L640" s="5">
        <f t="shared" si="98"/>
        <v>3</v>
      </c>
      <c r="M640" s="5">
        <f t="shared" si="99"/>
        <v>2022</v>
      </c>
      <c r="N640" s="6">
        <v>250</v>
      </c>
      <c r="O640" s="6">
        <f>-177.3-72.7</f>
        <v>-250</v>
      </c>
      <c r="P640" s="6">
        <f t="shared" si="102"/>
        <v>0</v>
      </c>
      <c r="Q640" s="7">
        <f t="shared" si="100"/>
        <v>1136991.3500000001</v>
      </c>
      <c r="R640" s="44" t="str">
        <f>VLOOKUP(F640,'Set up'!$A$2:$E$70,5,FALSE)</f>
        <v>Trsf</v>
      </c>
      <c r="S640" s="1" t="s">
        <v>848</v>
      </c>
    </row>
    <row r="641" spans="1:19" x14ac:dyDescent="0.3">
      <c r="A641" s="4">
        <v>44645</v>
      </c>
      <c r="B641" s="5">
        <f t="shared" si="95"/>
        <v>3</v>
      </c>
      <c r="C641" s="5">
        <f t="shared" si="96"/>
        <v>2022</v>
      </c>
      <c r="D641" s="5" t="s">
        <v>660</v>
      </c>
      <c r="E641" s="5" t="str">
        <f>VLOOKUP(F641,'Set up'!$A$2:$C$70,2,FALSE)</f>
        <v>C00000020</v>
      </c>
      <c r="F641" s="1" t="s">
        <v>409</v>
      </c>
      <c r="G641" s="11" t="s">
        <v>659</v>
      </c>
      <c r="H641" s="5">
        <v>1</v>
      </c>
      <c r="I641" s="5" t="str">
        <f>VLOOKUP(F641,'Set up'!$A$2:$C$70,3,FALSE)</f>
        <v>Cash</v>
      </c>
      <c r="J641" s="5">
        <f>VLOOKUP(F641,'Set up'!$A$2:$D$70,4,FALSE)</f>
        <v>0</v>
      </c>
      <c r="K641" s="4">
        <f t="shared" si="97"/>
        <v>44645</v>
      </c>
      <c r="L641" s="5">
        <f t="shared" si="98"/>
        <v>3</v>
      </c>
      <c r="M641" s="5">
        <f t="shared" si="99"/>
        <v>2022</v>
      </c>
      <c r="N641" s="6">
        <v>1000</v>
      </c>
      <c r="O641" s="6">
        <f>-N641</f>
        <v>-1000</v>
      </c>
      <c r="P641" s="6">
        <f t="shared" si="102"/>
        <v>0</v>
      </c>
      <c r="Q641" s="7">
        <f t="shared" si="100"/>
        <v>1137991.3500000001</v>
      </c>
      <c r="R641" s="44" t="str">
        <f>VLOOKUP(F641,'Set up'!$A$2:$E$70,5,FALSE)</f>
        <v>Trsf</v>
      </c>
      <c r="S641" s="1" t="s">
        <v>881</v>
      </c>
    </row>
    <row r="642" spans="1:19" x14ac:dyDescent="0.3">
      <c r="A642" s="4">
        <v>44649</v>
      </c>
      <c r="B642" s="5">
        <f t="shared" si="95"/>
        <v>3</v>
      </c>
      <c r="C642" s="5">
        <f t="shared" si="96"/>
        <v>2022</v>
      </c>
      <c r="D642" s="5" t="s">
        <v>661</v>
      </c>
      <c r="E642" s="5" t="str">
        <f>VLOOKUP(F642,'Set up'!$A$2:$C$70,2,FALSE)</f>
        <v>C00000001</v>
      </c>
      <c r="F642" s="1" t="s">
        <v>7</v>
      </c>
      <c r="G642" s="11" t="s">
        <v>67</v>
      </c>
      <c r="H642" s="5">
        <v>1</v>
      </c>
      <c r="I642" s="5" t="str">
        <f>VLOOKUP(F642,'Set up'!$A$2:$C$70,3,FALSE)</f>
        <v>Cash</v>
      </c>
      <c r="J642" s="5">
        <f>VLOOKUP(F642,'Set up'!$A$2:$D$70,4,FALSE)</f>
        <v>0</v>
      </c>
      <c r="K642" s="4">
        <f t="shared" si="97"/>
        <v>44649</v>
      </c>
      <c r="L642" s="5">
        <f t="shared" si="98"/>
        <v>3</v>
      </c>
      <c r="M642" s="5">
        <f t="shared" si="99"/>
        <v>2022</v>
      </c>
      <c r="N642" s="6">
        <v>2068</v>
      </c>
      <c r="O642" s="6">
        <f>-N642</f>
        <v>-2068</v>
      </c>
      <c r="P642" s="6">
        <f t="shared" si="102"/>
        <v>0</v>
      </c>
      <c r="Q642" s="7">
        <f t="shared" si="100"/>
        <v>1140059.3500000001</v>
      </c>
      <c r="R642" s="44" t="str">
        <f>VLOOKUP(F642,'Set up'!$A$2:$E$70,5,FALSE)</f>
        <v>Trsf</v>
      </c>
      <c r="S642" s="1" t="s">
        <v>672</v>
      </c>
    </row>
    <row r="643" spans="1:19" x14ac:dyDescent="0.3">
      <c r="A643" s="4">
        <v>44649</v>
      </c>
      <c r="B643" s="5">
        <f t="shared" ref="B643:B706" si="106">MONTH(A643)</f>
        <v>3</v>
      </c>
      <c r="C643" s="5">
        <f t="shared" ref="C643:C706" si="107">YEAR(A643)</f>
        <v>2022</v>
      </c>
      <c r="D643" s="5" t="s">
        <v>661</v>
      </c>
      <c r="E643" s="5" t="str">
        <f>VLOOKUP(F643,'Set up'!$A$2:$C$70,2,FALSE)</f>
        <v>C00000001</v>
      </c>
      <c r="F643" s="1" t="s">
        <v>7</v>
      </c>
      <c r="G643" s="11" t="s">
        <v>654</v>
      </c>
      <c r="H643" s="5">
        <v>4</v>
      </c>
      <c r="I643" s="5" t="str">
        <f>VLOOKUP(F643,'Set up'!$A$2:$C$70,3,FALSE)</f>
        <v>Cash</v>
      </c>
      <c r="J643" s="5">
        <f>VLOOKUP(F643,'Set up'!$A$2:$D$70,4,FALSE)</f>
        <v>0</v>
      </c>
      <c r="K643" s="4">
        <f t="shared" ref="K643:K706" si="108">A643+J643</f>
        <v>44649</v>
      </c>
      <c r="L643" s="5">
        <f t="shared" ref="L643:L706" si="109">MONTH(K643)</f>
        <v>3</v>
      </c>
      <c r="M643" s="5">
        <f t="shared" ref="M643:M706" si="110">YEAR(K643)</f>
        <v>2022</v>
      </c>
      <c r="N643" s="6">
        <v>1164</v>
      </c>
      <c r="O643" s="6">
        <f>-N643</f>
        <v>-1164</v>
      </c>
      <c r="P643" s="6">
        <f t="shared" si="102"/>
        <v>0</v>
      </c>
      <c r="Q643" s="7">
        <f t="shared" ref="Q643:Q706" si="111">SUM(Q642+N643)</f>
        <v>1141223.3500000001</v>
      </c>
      <c r="R643" s="44" t="str">
        <f>VLOOKUP(F643,'Set up'!$A$2:$E$70,5,FALSE)</f>
        <v>Trsf</v>
      </c>
      <c r="S643" s="1" t="s">
        <v>672</v>
      </c>
    </row>
    <row r="644" spans="1:19" x14ac:dyDescent="0.3">
      <c r="A644" s="4">
        <v>44649</v>
      </c>
      <c r="B644" s="5">
        <f t="shared" si="106"/>
        <v>3</v>
      </c>
      <c r="C644" s="5">
        <f t="shared" si="107"/>
        <v>2022</v>
      </c>
      <c r="D644" s="5" t="s">
        <v>662</v>
      </c>
      <c r="E644" s="5" t="str">
        <f>VLOOKUP(F644,'Set up'!$A$2:$C$70,2,FALSE)</f>
        <v>C00000020</v>
      </c>
      <c r="F644" s="1" t="s">
        <v>409</v>
      </c>
      <c r="G644" s="11" t="s">
        <v>95</v>
      </c>
      <c r="H644" s="5">
        <v>2</v>
      </c>
      <c r="I644" s="5" t="str">
        <f>VLOOKUP(F644,'Set up'!$A$2:$C$70,3,FALSE)</f>
        <v>Cash</v>
      </c>
      <c r="J644" s="5">
        <f>VLOOKUP(F644,'Set up'!$A$2:$D$70,4,FALSE)</f>
        <v>0</v>
      </c>
      <c r="K644" s="4">
        <f t="shared" si="108"/>
        <v>44649</v>
      </c>
      <c r="L644" s="5">
        <f t="shared" si="109"/>
        <v>3</v>
      </c>
      <c r="M644" s="5">
        <f t="shared" si="110"/>
        <v>2022</v>
      </c>
      <c r="N644" s="6">
        <v>4180</v>
      </c>
      <c r="O644" s="6">
        <f>-N644</f>
        <v>-4180</v>
      </c>
      <c r="P644" s="6">
        <f t="shared" si="102"/>
        <v>0</v>
      </c>
      <c r="Q644" s="7">
        <f t="shared" si="111"/>
        <v>1145403.3500000001</v>
      </c>
      <c r="R644" s="44" t="str">
        <f>VLOOKUP(F644,'Set up'!$A$2:$E$70,5,FALSE)</f>
        <v>Trsf</v>
      </c>
      <c r="S644" s="1" t="s">
        <v>881</v>
      </c>
    </row>
    <row r="645" spans="1:19" x14ac:dyDescent="0.3">
      <c r="A645" s="4">
        <v>44649</v>
      </c>
      <c r="B645" s="5">
        <f t="shared" si="106"/>
        <v>3</v>
      </c>
      <c r="C645" s="5">
        <f t="shared" si="107"/>
        <v>2022</v>
      </c>
      <c r="D645" s="5" t="s">
        <v>662</v>
      </c>
      <c r="E645" s="5" t="str">
        <f>VLOOKUP(F645,'Set up'!$A$2:$C$70,2,FALSE)</f>
        <v>C00000020</v>
      </c>
      <c r="F645" s="1" t="s">
        <v>409</v>
      </c>
      <c r="G645" s="11" t="s">
        <v>654</v>
      </c>
      <c r="H645" s="5">
        <v>8</v>
      </c>
      <c r="I645" s="5" t="str">
        <f>VLOOKUP(F645,'Set up'!$A$2:$C$70,3,FALSE)</f>
        <v>Cash</v>
      </c>
      <c r="J645" s="5">
        <f>VLOOKUP(F645,'Set up'!$A$2:$D$70,4,FALSE)</f>
        <v>0</v>
      </c>
      <c r="K645" s="4">
        <f t="shared" si="108"/>
        <v>44649</v>
      </c>
      <c r="L645" s="5">
        <f t="shared" si="109"/>
        <v>3</v>
      </c>
      <c r="M645" s="5">
        <f t="shared" si="110"/>
        <v>2022</v>
      </c>
      <c r="N645" s="6">
        <v>2352</v>
      </c>
      <c r="O645" s="6">
        <f>-1747.3-604.7</f>
        <v>-2352</v>
      </c>
      <c r="P645" s="6">
        <f t="shared" si="102"/>
        <v>0</v>
      </c>
      <c r="Q645" s="7">
        <f t="shared" si="111"/>
        <v>1147755.3500000001</v>
      </c>
      <c r="R645" s="44" t="str">
        <f>VLOOKUP(F645,'Set up'!$A$2:$E$70,5,FALSE)</f>
        <v>Trsf</v>
      </c>
      <c r="S645" s="1" t="s">
        <v>882</v>
      </c>
    </row>
    <row r="646" spans="1:19" x14ac:dyDescent="0.3">
      <c r="A646" s="4">
        <v>44649</v>
      </c>
      <c r="B646" s="5">
        <f t="shared" si="106"/>
        <v>3</v>
      </c>
      <c r="C646" s="5">
        <f t="shared" si="107"/>
        <v>2022</v>
      </c>
      <c r="D646" s="5" t="s">
        <v>662</v>
      </c>
      <c r="E646" s="5" t="str">
        <f>VLOOKUP(F646,'Set up'!$A$2:$C$70,2,FALSE)</f>
        <v>C00000020</v>
      </c>
      <c r="F646" s="1" t="s">
        <v>409</v>
      </c>
      <c r="G646" s="11" t="s">
        <v>655</v>
      </c>
      <c r="H646" s="5">
        <v>3</v>
      </c>
      <c r="I646" s="5" t="str">
        <f>VLOOKUP(F646,'Set up'!$A$2:$C$70,3,FALSE)</f>
        <v>Cash</v>
      </c>
      <c r="J646" s="5">
        <f>VLOOKUP(F646,'Set up'!$A$2:$D$70,4,FALSE)</f>
        <v>0</v>
      </c>
      <c r="K646" s="4">
        <f t="shared" si="108"/>
        <v>44649</v>
      </c>
      <c r="L646" s="5">
        <f t="shared" si="109"/>
        <v>3</v>
      </c>
      <c r="M646" s="5">
        <f t="shared" si="110"/>
        <v>2022</v>
      </c>
      <c r="N646" s="6">
        <v>936</v>
      </c>
      <c r="O646" s="6">
        <f>-N646</f>
        <v>-936</v>
      </c>
      <c r="P646" s="6">
        <f t="shared" si="102"/>
        <v>0</v>
      </c>
      <c r="Q646" s="7">
        <f t="shared" si="111"/>
        <v>1148691.3500000001</v>
      </c>
      <c r="R646" s="44" t="str">
        <f>VLOOKUP(F646,'Set up'!$A$2:$E$70,5,FALSE)</f>
        <v>Trsf</v>
      </c>
      <c r="S646" s="1" t="s">
        <v>883</v>
      </c>
    </row>
    <row r="647" spans="1:19" x14ac:dyDescent="0.3">
      <c r="A647" s="4">
        <v>44649</v>
      </c>
      <c r="B647" s="5">
        <f t="shared" si="106"/>
        <v>3</v>
      </c>
      <c r="C647" s="5">
        <f t="shared" si="107"/>
        <v>2022</v>
      </c>
      <c r="D647" s="5" t="s">
        <v>662</v>
      </c>
      <c r="E647" s="5" t="str">
        <f>VLOOKUP(F647,'Set up'!$A$2:$C$70,2,FALSE)</f>
        <v>C00000020</v>
      </c>
      <c r="F647" s="1" t="s">
        <v>409</v>
      </c>
      <c r="G647" s="11" t="s">
        <v>64</v>
      </c>
      <c r="H647" s="5">
        <v>2</v>
      </c>
      <c r="I647" s="5" t="str">
        <f>VLOOKUP(F647,'Set up'!$A$2:$C$70,3,FALSE)</f>
        <v>Cash</v>
      </c>
      <c r="J647" s="5">
        <f>VLOOKUP(F647,'Set up'!$A$2:$D$70,4,FALSE)</f>
        <v>0</v>
      </c>
      <c r="K647" s="4">
        <f t="shared" si="108"/>
        <v>44649</v>
      </c>
      <c r="L647" s="5">
        <f t="shared" si="109"/>
        <v>3</v>
      </c>
      <c r="M647" s="5">
        <f t="shared" si="110"/>
        <v>2022</v>
      </c>
      <c r="N647" s="6">
        <v>125</v>
      </c>
      <c r="O647" s="6">
        <f>-N647</f>
        <v>-125</v>
      </c>
      <c r="P647" s="6">
        <f t="shared" si="102"/>
        <v>0</v>
      </c>
      <c r="Q647" s="7">
        <f t="shared" si="111"/>
        <v>1148816.3500000001</v>
      </c>
      <c r="R647" s="44" t="str">
        <f>VLOOKUP(F647,'Set up'!$A$2:$E$70,5,FALSE)</f>
        <v>Trsf</v>
      </c>
      <c r="S647" s="1" t="s">
        <v>884</v>
      </c>
    </row>
    <row r="648" spans="1:19" x14ac:dyDescent="0.3">
      <c r="A648" s="4">
        <v>44651</v>
      </c>
      <c r="B648" s="5">
        <f t="shared" si="106"/>
        <v>3</v>
      </c>
      <c r="C648" s="5">
        <f t="shared" si="107"/>
        <v>2022</v>
      </c>
      <c r="D648" s="5" t="s">
        <v>663</v>
      </c>
      <c r="E648" s="5" t="str">
        <f>VLOOKUP(F648,'Set up'!$A$2:$C$70,2,FALSE)</f>
        <v>C00000023</v>
      </c>
      <c r="F648" s="1" t="s">
        <v>665</v>
      </c>
      <c r="G648" s="11" t="s">
        <v>95</v>
      </c>
      <c r="H648" s="5">
        <v>1</v>
      </c>
      <c r="I648" s="5" t="str">
        <f>VLOOKUP(F648,'Set up'!$A$2:$C$70,3,FALSE)</f>
        <v>Cash</v>
      </c>
      <c r="J648" s="5">
        <f>VLOOKUP(F648,'Set up'!$A$2:$D$70,4,FALSE)</f>
        <v>0</v>
      </c>
      <c r="K648" s="4">
        <f t="shared" si="108"/>
        <v>44651</v>
      </c>
      <c r="L648" s="5">
        <f t="shared" si="109"/>
        <v>3</v>
      </c>
      <c r="M648" s="5">
        <f t="shared" si="110"/>
        <v>2022</v>
      </c>
      <c r="N648" s="6">
        <v>2090</v>
      </c>
      <c r="O648" s="6">
        <f t="shared" ref="O648:O656" si="112">-N648</f>
        <v>-2090</v>
      </c>
      <c r="P648" s="6">
        <f t="shared" si="102"/>
        <v>0</v>
      </c>
      <c r="Q648" s="7">
        <f t="shared" si="111"/>
        <v>1150906.3500000001</v>
      </c>
      <c r="R648" s="44" t="str">
        <f>VLOOKUP(F648,'Set up'!$A$2:$E$70,5,FALSE)</f>
        <v>Trsf</v>
      </c>
      <c r="S648" s="1" t="s">
        <v>673</v>
      </c>
    </row>
    <row r="649" spans="1:19" x14ac:dyDescent="0.3">
      <c r="A649" s="4">
        <v>44651</v>
      </c>
      <c r="B649" s="5">
        <f t="shared" si="106"/>
        <v>3</v>
      </c>
      <c r="C649" s="5">
        <f t="shared" si="107"/>
        <v>2022</v>
      </c>
      <c r="D649" s="5" t="s">
        <v>663</v>
      </c>
      <c r="E649" s="5" t="str">
        <f>VLOOKUP(F649,'Set up'!$A$2:$C$70,2,FALSE)</f>
        <v>C00000023</v>
      </c>
      <c r="F649" s="1" t="s">
        <v>665</v>
      </c>
      <c r="G649" s="11" t="s">
        <v>666</v>
      </c>
      <c r="H649" s="5">
        <v>4</v>
      </c>
      <c r="I649" s="5" t="str">
        <f>VLOOKUP(F649,'Set up'!$A$2:$C$70,3,FALSE)</f>
        <v>Cash</v>
      </c>
      <c r="J649" s="5">
        <f>VLOOKUP(F649,'Set up'!$A$2:$D$70,4,FALSE)</f>
        <v>0</v>
      </c>
      <c r="K649" s="4">
        <f t="shared" si="108"/>
        <v>44651</v>
      </c>
      <c r="L649" s="5">
        <f t="shared" si="109"/>
        <v>3</v>
      </c>
      <c r="M649" s="5">
        <f t="shared" si="110"/>
        <v>2022</v>
      </c>
      <c r="N649" s="6">
        <v>340</v>
      </c>
      <c r="O649" s="6">
        <f t="shared" si="112"/>
        <v>-340</v>
      </c>
      <c r="P649" s="6">
        <f t="shared" si="102"/>
        <v>0</v>
      </c>
      <c r="Q649" s="7">
        <f t="shared" si="111"/>
        <v>1151246.3500000001</v>
      </c>
      <c r="R649" s="44" t="str">
        <f>VLOOKUP(F649,'Set up'!$A$2:$E$70,5,FALSE)</f>
        <v>Trsf</v>
      </c>
      <c r="S649" s="1" t="s">
        <v>673</v>
      </c>
    </row>
    <row r="650" spans="1:19" x14ac:dyDescent="0.3">
      <c r="A650" s="4">
        <v>44651</v>
      </c>
      <c r="B650" s="5">
        <f t="shared" si="106"/>
        <v>3</v>
      </c>
      <c r="C650" s="5">
        <f t="shared" si="107"/>
        <v>2022</v>
      </c>
      <c r="D650" s="5" t="s">
        <v>663</v>
      </c>
      <c r="E650" s="5" t="str">
        <f>VLOOKUP(F650,'Set up'!$A$2:$C$70,2,FALSE)</f>
        <v>C00000023</v>
      </c>
      <c r="F650" s="1" t="s">
        <v>665</v>
      </c>
      <c r="G650" s="11" t="s">
        <v>659</v>
      </c>
      <c r="H650" s="5">
        <v>1</v>
      </c>
      <c r="I650" s="5" t="str">
        <f>VLOOKUP(F650,'Set up'!$A$2:$C$70,3,FALSE)</f>
        <v>Cash</v>
      </c>
      <c r="J650" s="5">
        <f>VLOOKUP(F650,'Set up'!$A$2:$D$70,4,FALSE)</f>
        <v>0</v>
      </c>
      <c r="K650" s="4">
        <f t="shared" si="108"/>
        <v>44651</v>
      </c>
      <c r="L650" s="5">
        <f t="shared" si="109"/>
        <v>3</v>
      </c>
      <c r="M650" s="5">
        <f t="shared" si="110"/>
        <v>2022</v>
      </c>
      <c r="N650" s="6">
        <v>1000</v>
      </c>
      <c r="O650" s="6">
        <f t="shared" si="112"/>
        <v>-1000</v>
      </c>
      <c r="P650" s="6">
        <f t="shared" si="102"/>
        <v>0</v>
      </c>
      <c r="Q650" s="7">
        <f t="shared" si="111"/>
        <v>1152246.3500000001</v>
      </c>
      <c r="R650" s="44" t="str">
        <f>VLOOKUP(F650,'Set up'!$A$2:$E$70,5,FALSE)</f>
        <v>Trsf</v>
      </c>
      <c r="S650" s="1" t="s">
        <v>673</v>
      </c>
    </row>
    <row r="651" spans="1:19" x14ac:dyDescent="0.3">
      <c r="A651" s="4">
        <v>44651</v>
      </c>
      <c r="B651" s="5">
        <f t="shared" si="106"/>
        <v>3</v>
      </c>
      <c r="C651" s="5">
        <f t="shared" si="107"/>
        <v>2022</v>
      </c>
      <c r="D651" s="5" t="s">
        <v>663</v>
      </c>
      <c r="E651" s="5" t="str">
        <f>VLOOKUP(F651,'Set up'!$A$2:$C$70,2,FALSE)</f>
        <v>C00000023</v>
      </c>
      <c r="F651" s="1" t="s">
        <v>665</v>
      </c>
      <c r="G651" s="11" t="s">
        <v>64</v>
      </c>
      <c r="H651" s="5">
        <v>2</v>
      </c>
      <c r="I651" s="5" t="str">
        <f>VLOOKUP(F651,'Set up'!$A$2:$C$70,3,FALSE)</f>
        <v>Cash</v>
      </c>
      <c r="J651" s="5">
        <f>VLOOKUP(F651,'Set up'!$A$2:$D$70,4,FALSE)</f>
        <v>0</v>
      </c>
      <c r="K651" s="4">
        <f t="shared" si="108"/>
        <v>44651</v>
      </c>
      <c r="L651" s="5">
        <f t="shared" si="109"/>
        <v>3</v>
      </c>
      <c r="M651" s="5">
        <f t="shared" si="110"/>
        <v>2022</v>
      </c>
      <c r="N651" s="6">
        <v>125</v>
      </c>
      <c r="O651" s="6">
        <f t="shared" si="112"/>
        <v>-125</v>
      </c>
      <c r="P651" s="6">
        <f t="shared" si="102"/>
        <v>0</v>
      </c>
      <c r="Q651" s="7">
        <f t="shared" si="111"/>
        <v>1152371.3500000001</v>
      </c>
      <c r="R651" s="44" t="str">
        <f>VLOOKUP(F651,'Set up'!$A$2:$E$70,5,FALSE)</f>
        <v>Trsf</v>
      </c>
      <c r="S651" s="1" t="s">
        <v>673</v>
      </c>
    </row>
    <row r="652" spans="1:19" x14ac:dyDescent="0.3">
      <c r="A652" s="4">
        <v>44652</v>
      </c>
      <c r="B652" s="5">
        <f t="shared" si="106"/>
        <v>4</v>
      </c>
      <c r="C652" s="5">
        <f t="shared" si="107"/>
        <v>2022</v>
      </c>
      <c r="D652" s="5" t="s">
        <v>680</v>
      </c>
      <c r="E652" s="5" t="str">
        <f>VLOOKUP(F652,'Set up'!$A$2:$C$70,2,FALSE)</f>
        <v>C00000021</v>
      </c>
      <c r="F652" s="1" t="s">
        <v>491</v>
      </c>
      <c r="G652" s="11" t="s">
        <v>67</v>
      </c>
      <c r="H652" s="5">
        <v>2</v>
      </c>
      <c r="I652" s="5" t="str">
        <f>VLOOKUP(F652,'Set up'!$A$2:$C$70,3,FALSE)</f>
        <v>Cash</v>
      </c>
      <c r="J652" s="5">
        <f>VLOOKUP(F652,'Set up'!$A$2:$D$70,4,FALSE)</f>
        <v>0</v>
      </c>
      <c r="K652" s="4">
        <f t="shared" si="108"/>
        <v>44652</v>
      </c>
      <c r="L652" s="5">
        <f t="shared" si="109"/>
        <v>4</v>
      </c>
      <c r="M652" s="5">
        <f t="shared" si="110"/>
        <v>2022</v>
      </c>
      <c r="N652" s="6">
        <v>4136</v>
      </c>
      <c r="O652" s="6">
        <f t="shared" si="112"/>
        <v>-4136</v>
      </c>
      <c r="P652" s="6">
        <f t="shared" si="102"/>
        <v>0</v>
      </c>
      <c r="Q652" s="7">
        <f t="shared" si="111"/>
        <v>1156507.3500000001</v>
      </c>
      <c r="R652" s="44" t="str">
        <f>VLOOKUP(F652,'Set up'!$A$2:$E$70,5,FALSE)</f>
        <v>PD Chq</v>
      </c>
      <c r="S652" s="1" t="s">
        <v>752</v>
      </c>
    </row>
    <row r="653" spans="1:19" x14ac:dyDescent="0.3">
      <c r="A653" s="4">
        <v>44652</v>
      </c>
      <c r="B653" s="5">
        <f t="shared" si="106"/>
        <v>4</v>
      </c>
      <c r="C653" s="5">
        <f t="shared" si="107"/>
        <v>2022</v>
      </c>
      <c r="D653" s="5" t="s">
        <v>680</v>
      </c>
      <c r="E653" s="5" t="str">
        <f>VLOOKUP(F653,'Set up'!$A$2:$C$70,2,FALSE)</f>
        <v>C00000021</v>
      </c>
      <c r="F653" s="1" t="s">
        <v>491</v>
      </c>
      <c r="G653" s="11" t="s">
        <v>654</v>
      </c>
      <c r="H653" s="5">
        <v>3</v>
      </c>
      <c r="I653" s="5" t="str">
        <f>VLOOKUP(F653,'Set up'!$A$2:$C$70,3,FALSE)</f>
        <v>Cash</v>
      </c>
      <c r="J653" s="5">
        <f>VLOOKUP(F653,'Set up'!$A$2:$D$70,4,FALSE)</f>
        <v>0</v>
      </c>
      <c r="K653" s="4">
        <f t="shared" si="108"/>
        <v>44652</v>
      </c>
      <c r="L653" s="5">
        <f t="shared" si="109"/>
        <v>4</v>
      </c>
      <c r="M653" s="5">
        <f t="shared" si="110"/>
        <v>2022</v>
      </c>
      <c r="N653" s="6">
        <v>855</v>
      </c>
      <c r="O653" s="6">
        <f t="shared" si="112"/>
        <v>-855</v>
      </c>
      <c r="P653" s="6">
        <f t="shared" si="102"/>
        <v>0</v>
      </c>
      <c r="Q653" s="7">
        <f t="shared" si="111"/>
        <v>1157362.3500000001</v>
      </c>
      <c r="R653" s="44" t="str">
        <f>VLOOKUP(F653,'Set up'!$A$2:$E$70,5,FALSE)</f>
        <v>PD Chq</v>
      </c>
      <c r="S653" s="1" t="s">
        <v>752</v>
      </c>
    </row>
    <row r="654" spans="1:19" x14ac:dyDescent="0.3">
      <c r="A654" s="4">
        <v>44652</v>
      </c>
      <c r="B654" s="5">
        <f t="shared" si="106"/>
        <v>4</v>
      </c>
      <c r="C654" s="5">
        <f t="shared" si="107"/>
        <v>2022</v>
      </c>
      <c r="D654" s="5" t="s">
        <v>680</v>
      </c>
      <c r="E654" s="5" t="str">
        <f>VLOOKUP(F654,'Set up'!$A$2:$C$70,2,FALSE)</f>
        <v>C00000021</v>
      </c>
      <c r="F654" s="1" t="s">
        <v>491</v>
      </c>
      <c r="G654" s="11" t="s">
        <v>666</v>
      </c>
      <c r="H654" s="5">
        <v>2</v>
      </c>
      <c r="I654" s="5" t="str">
        <f>VLOOKUP(F654,'Set up'!$A$2:$C$70,3,FALSE)</f>
        <v>Cash</v>
      </c>
      <c r="J654" s="5">
        <f>VLOOKUP(F654,'Set up'!$A$2:$D$70,4,FALSE)</f>
        <v>0</v>
      </c>
      <c r="K654" s="4">
        <f t="shared" si="108"/>
        <v>44652</v>
      </c>
      <c r="L654" s="5">
        <f t="shared" si="109"/>
        <v>4</v>
      </c>
      <c r="M654" s="5">
        <f t="shared" si="110"/>
        <v>2022</v>
      </c>
      <c r="N654" s="6">
        <v>170</v>
      </c>
      <c r="O654" s="6">
        <f t="shared" si="112"/>
        <v>-170</v>
      </c>
      <c r="P654" s="6">
        <f t="shared" si="102"/>
        <v>0</v>
      </c>
      <c r="Q654" s="7">
        <f t="shared" si="111"/>
        <v>1157532.3500000001</v>
      </c>
      <c r="R654" s="44" t="str">
        <f>VLOOKUP(F654,'Set up'!$A$2:$E$70,5,FALSE)</f>
        <v>PD Chq</v>
      </c>
      <c r="S654" s="1" t="s">
        <v>752</v>
      </c>
    </row>
    <row r="655" spans="1:19" x14ac:dyDescent="0.3">
      <c r="A655" s="4">
        <v>44652</v>
      </c>
      <c r="B655" s="5">
        <f t="shared" si="106"/>
        <v>4</v>
      </c>
      <c r="C655" s="5">
        <f t="shared" si="107"/>
        <v>2022</v>
      </c>
      <c r="D655" s="5" t="s">
        <v>680</v>
      </c>
      <c r="E655" s="5" t="str">
        <f>VLOOKUP(F655,'Set up'!$A$2:$C$70,2,FALSE)</f>
        <v>C00000021</v>
      </c>
      <c r="F655" s="1" t="s">
        <v>491</v>
      </c>
      <c r="G655" s="11" t="s">
        <v>64</v>
      </c>
      <c r="H655" s="5">
        <v>10</v>
      </c>
      <c r="I655" s="5" t="str">
        <f>VLOOKUP(F655,'Set up'!$A$2:$C$70,3,FALSE)</f>
        <v>Cash</v>
      </c>
      <c r="J655" s="5">
        <f>VLOOKUP(F655,'Set up'!$A$2:$D$70,4,FALSE)</f>
        <v>0</v>
      </c>
      <c r="K655" s="4">
        <f t="shared" si="108"/>
        <v>44652</v>
      </c>
      <c r="L655" s="5">
        <f t="shared" si="109"/>
        <v>4</v>
      </c>
      <c r="M655" s="5">
        <f t="shared" si="110"/>
        <v>2022</v>
      </c>
      <c r="N655" s="6">
        <v>575</v>
      </c>
      <c r="O655" s="6">
        <f t="shared" si="112"/>
        <v>-575</v>
      </c>
      <c r="P655" s="6">
        <f t="shared" si="102"/>
        <v>0</v>
      </c>
      <c r="Q655" s="7">
        <f t="shared" si="111"/>
        <v>1158107.3500000001</v>
      </c>
      <c r="R655" s="44" t="str">
        <f>VLOOKUP(F655,'Set up'!$A$2:$E$70,5,FALSE)</f>
        <v>PD Chq</v>
      </c>
      <c r="S655" s="1" t="s">
        <v>752</v>
      </c>
    </row>
    <row r="656" spans="1:19" x14ac:dyDescent="0.3">
      <c r="A656" s="4">
        <v>44652</v>
      </c>
      <c r="B656" s="5">
        <f t="shared" si="106"/>
        <v>4</v>
      </c>
      <c r="C656" s="5">
        <f t="shared" si="107"/>
        <v>2022</v>
      </c>
      <c r="D656" s="5" t="s">
        <v>680</v>
      </c>
      <c r="E656" s="5" t="str">
        <f>VLOOKUP(F656,'Set up'!$A$2:$C$70,2,FALSE)</f>
        <v>C00000021</v>
      </c>
      <c r="F656" s="1" t="s">
        <v>491</v>
      </c>
      <c r="G656" s="11" t="s">
        <v>681</v>
      </c>
      <c r="H656" s="5">
        <v>1</v>
      </c>
      <c r="I656" s="5" t="str">
        <f>VLOOKUP(F656,'Set up'!$A$2:$C$70,3,FALSE)</f>
        <v>Cash</v>
      </c>
      <c r="J656" s="5">
        <f>VLOOKUP(F656,'Set up'!$A$2:$D$70,4,FALSE)</f>
        <v>0</v>
      </c>
      <c r="K656" s="4">
        <f t="shared" si="108"/>
        <v>44652</v>
      </c>
      <c r="L656" s="5">
        <f t="shared" si="109"/>
        <v>4</v>
      </c>
      <c r="M656" s="5">
        <f t="shared" si="110"/>
        <v>2022</v>
      </c>
      <c r="N656" s="6">
        <v>347.5</v>
      </c>
      <c r="O656" s="6">
        <f t="shared" si="112"/>
        <v>-347.5</v>
      </c>
      <c r="P656" s="6">
        <f t="shared" si="102"/>
        <v>0</v>
      </c>
      <c r="Q656" s="7">
        <f t="shared" si="111"/>
        <v>1158454.8500000001</v>
      </c>
      <c r="R656" s="44" t="str">
        <f>VLOOKUP(F656,'Set up'!$A$2:$E$70,5,FALSE)</f>
        <v>PD Chq</v>
      </c>
      <c r="S656" s="1" t="s">
        <v>752</v>
      </c>
    </row>
    <row r="657" spans="1:19" x14ac:dyDescent="0.3">
      <c r="A657" s="4">
        <v>44652</v>
      </c>
      <c r="B657" s="5">
        <f t="shared" si="106"/>
        <v>4</v>
      </c>
      <c r="C657" s="5">
        <f t="shared" si="107"/>
        <v>2022</v>
      </c>
      <c r="D657" s="5" t="s">
        <v>683</v>
      </c>
      <c r="E657" s="5" t="str">
        <f>VLOOKUP(F657,'Set up'!$A$2:$C$70,2,FALSE)</f>
        <v>C00000020</v>
      </c>
      <c r="F657" s="1" t="s">
        <v>409</v>
      </c>
      <c r="G657" s="11" t="s">
        <v>67</v>
      </c>
      <c r="H657" s="5">
        <v>1</v>
      </c>
      <c r="I657" s="5" t="str">
        <f>VLOOKUP(F657,'Set up'!$A$2:$C$70,3,FALSE)</f>
        <v>Cash</v>
      </c>
      <c r="J657" s="5">
        <f>VLOOKUP(F657,'Set up'!$A$2:$D$70,4,FALSE)</f>
        <v>0</v>
      </c>
      <c r="K657" s="4">
        <f t="shared" si="108"/>
        <v>44652</v>
      </c>
      <c r="L657" s="5">
        <f t="shared" si="109"/>
        <v>4</v>
      </c>
      <c r="M657" s="5">
        <f t="shared" si="110"/>
        <v>2022</v>
      </c>
      <c r="N657" s="6">
        <v>2090</v>
      </c>
      <c r="O657" s="6">
        <f>-N657</f>
        <v>-2090</v>
      </c>
      <c r="P657" s="6">
        <f t="shared" si="102"/>
        <v>0</v>
      </c>
      <c r="Q657" s="7">
        <f t="shared" si="111"/>
        <v>1160544.8500000001</v>
      </c>
      <c r="R657" s="44" t="str">
        <f>VLOOKUP(F657,'Set up'!$A$2:$E$70,5,FALSE)</f>
        <v>Trsf</v>
      </c>
      <c r="S657" s="1" t="s">
        <v>885</v>
      </c>
    </row>
    <row r="658" spans="1:19" x14ac:dyDescent="0.3">
      <c r="A658" s="4">
        <v>44652</v>
      </c>
      <c r="B658" s="5">
        <f t="shared" si="106"/>
        <v>4</v>
      </c>
      <c r="C658" s="5">
        <f t="shared" si="107"/>
        <v>2022</v>
      </c>
      <c r="D658" s="5" t="s">
        <v>683</v>
      </c>
      <c r="E658" s="5" t="str">
        <f>VLOOKUP(F658,'Set up'!$A$2:$C$70,2,FALSE)</f>
        <v>C00000020</v>
      </c>
      <c r="F658" s="1" t="s">
        <v>409</v>
      </c>
      <c r="G658" s="11" t="s">
        <v>95</v>
      </c>
      <c r="H658" s="5">
        <v>2</v>
      </c>
      <c r="I658" s="5" t="str">
        <f>VLOOKUP(F658,'Set up'!$A$2:$C$70,3,FALSE)</f>
        <v>Cash</v>
      </c>
      <c r="J658" s="5">
        <f>VLOOKUP(F658,'Set up'!$A$2:$D$70,4,FALSE)</f>
        <v>0</v>
      </c>
      <c r="K658" s="4">
        <f t="shared" si="108"/>
        <v>44652</v>
      </c>
      <c r="L658" s="5">
        <f t="shared" si="109"/>
        <v>4</v>
      </c>
      <c r="M658" s="5">
        <f t="shared" si="110"/>
        <v>2022</v>
      </c>
      <c r="N658" s="6">
        <v>4180</v>
      </c>
      <c r="O658" s="6">
        <f>-N658</f>
        <v>-4180</v>
      </c>
      <c r="P658" s="6">
        <f t="shared" si="102"/>
        <v>0</v>
      </c>
      <c r="Q658" s="7">
        <f t="shared" si="111"/>
        <v>1164724.8500000001</v>
      </c>
      <c r="R658" s="44" t="str">
        <f>VLOOKUP(F658,'Set up'!$A$2:$E$70,5,FALSE)</f>
        <v>Trsf</v>
      </c>
      <c r="S658" s="1" t="s">
        <v>886</v>
      </c>
    </row>
    <row r="659" spans="1:19" x14ac:dyDescent="0.3">
      <c r="A659" s="4">
        <v>44652</v>
      </c>
      <c r="B659" s="5">
        <f t="shared" si="106"/>
        <v>4</v>
      </c>
      <c r="C659" s="5">
        <f t="shared" si="107"/>
        <v>2022</v>
      </c>
      <c r="D659" s="5" t="s">
        <v>683</v>
      </c>
      <c r="E659" s="5" t="str">
        <f>VLOOKUP(F659,'Set up'!$A$2:$C$70,2,FALSE)</f>
        <v>C00000020</v>
      </c>
      <c r="F659" s="1" t="s">
        <v>409</v>
      </c>
      <c r="G659" s="11" t="s">
        <v>682</v>
      </c>
      <c r="H659" s="5">
        <v>3</v>
      </c>
      <c r="I659" s="5" t="str">
        <f>VLOOKUP(F659,'Set up'!$A$2:$C$70,3,FALSE)</f>
        <v>Cash</v>
      </c>
      <c r="J659" s="5">
        <f>VLOOKUP(F659,'Set up'!$A$2:$D$70,4,FALSE)</f>
        <v>0</v>
      </c>
      <c r="K659" s="4">
        <f t="shared" si="108"/>
        <v>44652</v>
      </c>
      <c r="L659" s="5">
        <f t="shared" si="109"/>
        <v>4</v>
      </c>
      <c r="M659" s="5">
        <f t="shared" si="110"/>
        <v>2022</v>
      </c>
      <c r="N659" s="6">
        <v>1764</v>
      </c>
      <c r="O659" s="6">
        <f>-N659</f>
        <v>-1764</v>
      </c>
      <c r="P659" s="6">
        <f t="shared" si="102"/>
        <v>0</v>
      </c>
      <c r="Q659" s="7">
        <f t="shared" si="111"/>
        <v>1166488.8500000001</v>
      </c>
      <c r="R659" s="44" t="str">
        <f>VLOOKUP(F659,'Set up'!$A$2:$E$70,5,FALSE)</f>
        <v>Trsf</v>
      </c>
      <c r="S659" s="1" t="s">
        <v>887</v>
      </c>
    </row>
    <row r="660" spans="1:19" x14ac:dyDescent="0.3">
      <c r="A660" s="4">
        <v>44652</v>
      </c>
      <c r="B660" s="5">
        <f t="shared" si="106"/>
        <v>4</v>
      </c>
      <c r="C660" s="5">
        <f t="shared" si="107"/>
        <v>2022</v>
      </c>
      <c r="D660" s="5" t="s">
        <v>683</v>
      </c>
      <c r="E660" s="5" t="str">
        <f>VLOOKUP(F660,'Set up'!$A$2:$C$70,2,FALSE)</f>
        <v>C00000020</v>
      </c>
      <c r="F660" s="1" t="s">
        <v>409</v>
      </c>
      <c r="G660" s="11" t="s">
        <v>655</v>
      </c>
      <c r="H660" s="5">
        <v>3</v>
      </c>
      <c r="I660" s="5" t="str">
        <f>VLOOKUP(F660,'Set up'!$A$2:$C$70,3,FALSE)</f>
        <v>Cash</v>
      </c>
      <c r="J660" s="5">
        <f>VLOOKUP(F660,'Set up'!$A$2:$D$70,4,FALSE)</f>
        <v>0</v>
      </c>
      <c r="K660" s="4">
        <f t="shared" si="108"/>
        <v>44652</v>
      </c>
      <c r="L660" s="5">
        <f t="shared" si="109"/>
        <v>4</v>
      </c>
      <c r="M660" s="5">
        <f t="shared" si="110"/>
        <v>2022</v>
      </c>
      <c r="N660" s="6">
        <v>936</v>
      </c>
      <c r="O660" s="6">
        <f>-N660</f>
        <v>-936</v>
      </c>
      <c r="P660" s="6">
        <f t="shared" si="102"/>
        <v>0</v>
      </c>
      <c r="Q660" s="7">
        <f t="shared" si="111"/>
        <v>1167424.8500000001</v>
      </c>
      <c r="R660" s="44" t="str">
        <f>VLOOKUP(F660,'Set up'!$A$2:$E$70,5,FALSE)</f>
        <v>Trsf</v>
      </c>
      <c r="S660" s="1" t="s">
        <v>883</v>
      </c>
    </row>
    <row r="661" spans="1:19" x14ac:dyDescent="0.3">
      <c r="A661" s="4">
        <v>44652</v>
      </c>
      <c r="B661" s="5">
        <f t="shared" si="106"/>
        <v>4</v>
      </c>
      <c r="C661" s="5">
        <f t="shared" si="107"/>
        <v>2022</v>
      </c>
      <c r="D661" s="5" t="s">
        <v>683</v>
      </c>
      <c r="E661" s="5" t="str">
        <f>VLOOKUP(F661,'Set up'!$A$2:$C$70,2,FALSE)</f>
        <v>C00000020</v>
      </c>
      <c r="F661" s="1" t="s">
        <v>409</v>
      </c>
      <c r="G661" s="11" t="s">
        <v>64</v>
      </c>
      <c r="H661" s="5">
        <v>3</v>
      </c>
      <c r="I661" s="5" t="str">
        <f>VLOOKUP(F661,'Set up'!$A$2:$C$70,3,FALSE)</f>
        <v>Cash</v>
      </c>
      <c r="J661" s="5">
        <f>VLOOKUP(F661,'Set up'!$A$2:$D$70,4,FALSE)</f>
        <v>0</v>
      </c>
      <c r="K661" s="4">
        <f t="shared" si="108"/>
        <v>44652</v>
      </c>
      <c r="L661" s="5">
        <f t="shared" si="109"/>
        <v>4</v>
      </c>
      <c r="M661" s="5">
        <f t="shared" si="110"/>
        <v>2022</v>
      </c>
      <c r="N661" s="6">
        <v>187.5</v>
      </c>
      <c r="O661" s="6">
        <f>-64.3-123.2</f>
        <v>-187.5</v>
      </c>
      <c r="P661" s="6">
        <f t="shared" ref="P661:P724" si="113">SUM(N661+O661)</f>
        <v>0</v>
      </c>
      <c r="Q661" s="7">
        <f t="shared" si="111"/>
        <v>1167612.3500000001</v>
      </c>
      <c r="R661" s="44" t="str">
        <f>VLOOKUP(F661,'Set up'!$A$2:$E$70,5,FALSE)</f>
        <v>Trsf</v>
      </c>
      <c r="S661" s="1" t="s">
        <v>921</v>
      </c>
    </row>
    <row r="662" spans="1:19" x14ac:dyDescent="0.3">
      <c r="A662" s="4">
        <v>44652</v>
      </c>
      <c r="B662" s="5">
        <f t="shared" si="106"/>
        <v>4</v>
      </c>
      <c r="C662" s="5">
        <f t="shared" si="107"/>
        <v>2022</v>
      </c>
      <c r="D662" s="5" t="s">
        <v>684</v>
      </c>
      <c r="E662" s="5" t="str">
        <f>VLOOKUP(F662,'Set up'!$A$2:$C$70,2,FALSE)</f>
        <v>C00000022</v>
      </c>
      <c r="F662" s="1" t="s">
        <v>637</v>
      </c>
      <c r="G662" s="11" t="s">
        <v>95</v>
      </c>
      <c r="H662" s="5">
        <v>1</v>
      </c>
      <c r="I662" s="5" t="str">
        <f>VLOOKUP(F662,'Set up'!$A$2:$C$70,3,FALSE)</f>
        <v>Cash</v>
      </c>
      <c r="J662" s="5">
        <f>VLOOKUP(F662,'Set up'!$A$2:$D$70,4,FALSE)</f>
        <v>0</v>
      </c>
      <c r="K662" s="4">
        <f t="shared" si="108"/>
        <v>44652</v>
      </c>
      <c r="L662" s="5">
        <f t="shared" si="109"/>
        <v>4</v>
      </c>
      <c r="M662" s="5">
        <f t="shared" si="110"/>
        <v>2022</v>
      </c>
      <c r="N662" s="6">
        <v>2112</v>
      </c>
      <c r="O662" s="6">
        <f>-N662</f>
        <v>-2112</v>
      </c>
      <c r="P662" s="6">
        <f t="shared" si="113"/>
        <v>0</v>
      </c>
      <c r="Q662" s="7">
        <f t="shared" si="111"/>
        <v>1169724.3500000001</v>
      </c>
      <c r="R662" s="44" t="str">
        <f>VLOOKUP(F662,'Set up'!$A$2:$E$70,5,FALSE)</f>
        <v>Trsf</v>
      </c>
      <c r="S662" s="1" t="s">
        <v>807</v>
      </c>
    </row>
    <row r="663" spans="1:19" x14ac:dyDescent="0.3">
      <c r="A663" s="4">
        <v>44652</v>
      </c>
      <c r="B663" s="5">
        <f t="shared" si="106"/>
        <v>4</v>
      </c>
      <c r="C663" s="5">
        <f t="shared" si="107"/>
        <v>2022</v>
      </c>
      <c r="D663" s="5" t="s">
        <v>684</v>
      </c>
      <c r="E663" s="5" t="str">
        <f>VLOOKUP(F663,'Set up'!$A$2:$C$70,2,FALSE)</f>
        <v>C00000022</v>
      </c>
      <c r="F663" s="1" t="s">
        <v>637</v>
      </c>
      <c r="G663" s="11" t="s">
        <v>551</v>
      </c>
      <c r="H663" s="5">
        <v>2</v>
      </c>
      <c r="I663" s="5" t="str">
        <f>VLOOKUP(F663,'Set up'!$A$2:$C$70,3,FALSE)</f>
        <v>Cash</v>
      </c>
      <c r="J663" s="5">
        <f>VLOOKUP(F663,'Set up'!$A$2:$D$70,4,FALSE)</f>
        <v>0</v>
      </c>
      <c r="K663" s="4">
        <f t="shared" si="108"/>
        <v>44652</v>
      </c>
      <c r="L663" s="5">
        <f t="shared" si="109"/>
        <v>4</v>
      </c>
      <c r="M663" s="5">
        <f t="shared" si="110"/>
        <v>2022</v>
      </c>
      <c r="N663" s="6">
        <v>588</v>
      </c>
      <c r="O663" s="6">
        <f>-N663</f>
        <v>-588</v>
      </c>
      <c r="P663" s="6">
        <f t="shared" si="113"/>
        <v>0</v>
      </c>
      <c r="Q663" s="7">
        <f t="shared" si="111"/>
        <v>1170312.3500000001</v>
      </c>
      <c r="R663" s="44" t="str">
        <f>VLOOKUP(F663,'Set up'!$A$2:$E$70,5,FALSE)</f>
        <v>Trsf</v>
      </c>
      <c r="S663" s="1" t="s">
        <v>807</v>
      </c>
    </row>
    <row r="664" spans="1:19" x14ac:dyDescent="0.3">
      <c r="A664" s="4">
        <v>44652</v>
      </c>
      <c r="B664" s="5">
        <f t="shared" si="106"/>
        <v>4</v>
      </c>
      <c r="C664" s="5">
        <f t="shared" si="107"/>
        <v>2022</v>
      </c>
      <c r="D664" s="5" t="s">
        <v>684</v>
      </c>
      <c r="E664" s="5" t="str">
        <f>VLOOKUP(F664,'Set up'!$A$2:$C$70,2,FALSE)</f>
        <v>C00000022</v>
      </c>
      <c r="F664" s="1" t="s">
        <v>637</v>
      </c>
      <c r="G664" s="11" t="s">
        <v>655</v>
      </c>
      <c r="H664" s="5">
        <v>1</v>
      </c>
      <c r="I664" s="5" t="str">
        <f>VLOOKUP(F664,'Set up'!$A$2:$C$70,3,FALSE)</f>
        <v>Cash</v>
      </c>
      <c r="J664" s="5">
        <f>VLOOKUP(F664,'Set up'!$A$2:$D$70,4,FALSE)</f>
        <v>0</v>
      </c>
      <c r="K664" s="4">
        <f t="shared" si="108"/>
        <v>44652</v>
      </c>
      <c r="L664" s="5">
        <f t="shared" si="109"/>
        <v>4</v>
      </c>
      <c r="M664" s="5">
        <f t="shared" si="110"/>
        <v>2022</v>
      </c>
      <c r="N664" s="6">
        <v>300</v>
      </c>
      <c r="O664" s="6">
        <f>-N664</f>
        <v>-300</v>
      </c>
      <c r="P664" s="6">
        <f t="shared" si="113"/>
        <v>0</v>
      </c>
      <c r="Q664" s="7">
        <f t="shared" si="111"/>
        <v>1170612.3500000001</v>
      </c>
      <c r="R664" s="44" t="str">
        <f>VLOOKUP(F664,'Set up'!$A$2:$E$70,5,FALSE)</f>
        <v>Trsf</v>
      </c>
      <c r="S664" s="1" t="s">
        <v>807</v>
      </c>
    </row>
    <row r="665" spans="1:19" x14ac:dyDescent="0.3">
      <c r="A665" s="4">
        <v>44652</v>
      </c>
      <c r="B665" s="5">
        <f t="shared" si="106"/>
        <v>4</v>
      </c>
      <c r="C665" s="5">
        <f t="shared" si="107"/>
        <v>2022</v>
      </c>
      <c r="D665" s="5" t="s">
        <v>684</v>
      </c>
      <c r="E665" s="5" t="str">
        <f>VLOOKUP(F665,'Set up'!$A$2:$C$70,2,FALSE)</f>
        <v>C00000022</v>
      </c>
      <c r="F665" s="1" t="s">
        <v>637</v>
      </c>
      <c r="G665" s="11" t="s">
        <v>640</v>
      </c>
      <c r="H665" s="5">
        <v>2</v>
      </c>
      <c r="I665" s="5" t="str">
        <f>VLOOKUP(F665,'Set up'!$A$2:$C$70,3,FALSE)</f>
        <v>Cash</v>
      </c>
      <c r="J665" s="5">
        <f>VLOOKUP(F665,'Set up'!$A$2:$D$70,4,FALSE)</f>
        <v>0</v>
      </c>
      <c r="K665" s="4">
        <f t="shared" si="108"/>
        <v>44652</v>
      </c>
      <c r="L665" s="5">
        <f t="shared" si="109"/>
        <v>4</v>
      </c>
      <c r="M665" s="5">
        <f t="shared" si="110"/>
        <v>2022</v>
      </c>
      <c r="N665" s="6">
        <v>480</v>
      </c>
      <c r="O665" s="6">
        <f>-N665</f>
        <v>-480</v>
      </c>
      <c r="P665" s="6">
        <f t="shared" si="113"/>
        <v>0</v>
      </c>
      <c r="Q665" s="7">
        <f t="shared" si="111"/>
        <v>1171092.3500000001</v>
      </c>
      <c r="R665" s="44" t="str">
        <f>VLOOKUP(F665,'Set up'!$A$2:$E$70,5,FALSE)</f>
        <v>Trsf</v>
      </c>
      <c r="S665" s="1" t="s">
        <v>807</v>
      </c>
    </row>
    <row r="666" spans="1:19" x14ac:dyDescent="0.3">
      <c r="A666" s="4">
        <v>44656</v>
      </c>
      <c r="B666" s="5">
        <f t="shared" si="106"/>
        <v>4</v>
      </c>
      <c r="C666" s="5">
        <f t="shared" si="107"/>
        <v>2022</v>
      </c>
      <c r="D666" s="5" t="s">
        <v>685</v>
      </c>
      <c r="E666" s="5" t="str">
        <f>VLOOKUP(F666,'Set up'!$A$2:$C$70,2,FALSE)</f>
        <v>C00000020</v>
      </c>
      <c r="F666" s="1" t="s">
        <v>409</v>
      </c>
      <c r="G666" s="11" t="s">
        <v>95</v>
      </c>
      <c r="H666" s="5">
        <v>3</v>
      </c>
      <c r="I666" s="5" t="str">
        <f>VLOOKUP(F666,'Set up'!$A$2:$C$70,3,FALSE)</f>
        <v>Cash</v>
      </c>
      <c r="J666" s="5">
        <f>VLOOKUP(F666,'Set up'!$A$2:$D$70,4,FALSE)</f>
        <v>0</v>
      </c>
      <c r="K666" s="4">
        <f t="shared" si="108"/>
        <v>44656</v>
      </c>
      <c r="L666" s="5">
        <f t="shared" si="109"/>
        <v>4</v>
      </c>
      <c r="M666" s="5">
        <f t="shared" si="110"/>
        <v>2022</v>
      </c>
      <c r="N666" s="6">
        <v>6270</v>
      </c>
      <c r="O666" s="6">
        <f>-2876.8-3393.2</f>
        <v>-6270</v>
      </c>
      <c r="P666" s="6">
        <f t="shared" si="113"/>
        <v>0</v>
      </c>
      <c r="Q666" s="7">
        <f t="shared" si="111"/>
        <v>1177362.3500000001</v>
      </c>
      <c r="R666" s="44" t="str">
        <f>VLOOKUP(F666,'Set up'!$A$2:$E$70,5,FALSE)</f>
        <v>Trsf</v>
      </c>
      <c r="S666" s="1" t="s">
        <v>959</v>
      </c>
    </row>
    <row r="667" spans="1:19" x14ac:dyDescent="0.3">
      <c r="A667" s="4">
        <v>44656</v>
      </c>
      <c r="B667" s="5">
        <f t="shared" si="106"/>
        <v>4</v>
      </c>
      <c r="C667" s="5">
        <f t="shared" si="107"/>
        <v>2022</v>
      </c>
      <c r="D667" s="5" t="s">
        <v>685</v>
      </c>
      <c r="E667" s="5" t="str">
        <f>VLOOKUP(F667,'Set up'!$A$2:$C$70,2,FALSE)</f>
        <v>C00000020</v>
      </c>
      <c r="F667" s="1" t="s">
        <v>409</v>
      </c>
      <c r="G667" s="11" t="s">
        <v>654</v>
      </c>
      <c r="H667" s="5">
        <v>6</v>
      </c>
      <c r="I667" s="5" t="str">
        <f>VLOOKUP(F667,'Set up'!$A$2:$C$70,3,FALSE)</f>
        <v>Cash</v>
      </c>
      <c r="J667" s="5">
        <f>VLOOKUP(F667,'Set up'!$A$2:$D$70,4,FALSE)</f>
        <v>0</v>
      </c>
      <c r="K667" s="4">
        <f t="shared" si="108"/>
        <v>44656</v>
      </c>
      <c r="L667" s="5">
        <f t="shared" si="109"/>
        <v>4</v>
      </c>
      <c r="M667" s="5">
        <f t="shared" si="110"/>
        <v>2022</v>
      </c>
      <c r="N667" s="6">
        <v>1764</v>
      </c>
      <c r="O667" s="6">
        <f t="shared" ref="O667:O676" si="114">-N667</f>
        <v>-1764</v>
      </c>
      <c r="P667" s="6">
        <f t="shared" si="113"/>
        <v>0</v>
      </c>
      <c r="Q667" s="7">
        <f t="shared" si="111"/>
        <v>1179126.3500000001</v>
      </c>
      <c r="R667" s="44" t="str">
        <f>VLOOKUP(F667,'Set up'!$A$2:$E$70,5,FALSE)</f>
        <v>Trsf</v>
      </c>
      <c r="S667" s="1" t="s">
        <v>960</v>
      </c>
    </row>
    <row r="668" spans="1:19" x14ac:dyDescent="0.3">
      <c r="A668" s="4">
        <v>44656</v>
      </c>
      <c r="B668" s="5">
        <f t="shared" si="106"/>
        <v>4</v>
      </c>
      <c r="C668" s="5">
        <f t="shared" si="107"/>
        <v>2022</v>
      </c>
      <c r="D668" s="5" t="s">
        <v>685</v>
      </c>
      <c r="E668" s="5" t="str">
        <f>VLOOKUP(F668,'Set up'!$A$2:$C$70,2,FALSE)</f>
        <v>C00000020</v>
      </c>
      <c r="F668" s="1" t="s">
        <v>409</v>
      </c>
      <c r="G668" s="11" t="s">
        <v>655</v>
      </c>
      <c r="H668" s="5">
        <v>3</v>
      </c>
      <c r="I668" s="5" t="str">
        <f>VLOOKUP(F668,'Set up'!$A$2:$C$70,3,FALSE)</f>
        <v>Cash</v>
      </c>
      <c r="J668" s="5">
        <f>VLOOKUP(F668,'Set up'!$A$2:$D$70,4,FALSE)</f>
        <v>0</v>
      </c>
      <c r="K668" s="4">
        <f t="shared" si="108"/>
        <v>44656</v>
      </c>
      <c r="L668" s="5">
        <f t="shared" si="109"/>
        <v>4</v>
      </c>
      <c r="M668" s="5">
        <f t="shared" si="110"/>
        <v>2022</v>
      </c>
      <c r="N668" s="6">
        <v>936</v>
      </c>
      <c r="O668" s="6">
        <f t="shared" si="114"/>
        <v>-936</v>
      </c>
      <c r="P668" s="6">
        <f t="shared" si="113"/>
        <v>0</v>
      </c>
      <c r="Q668" s="7">
        <f t="shared" si="111"/>
        <v>1180062.3500000001</v>
      </c>
      <c r="R668" s="44" t="str">
        <f>VLOOKUP(F668,'Set up'!$A$2:$E$70,5,FALSE)</f>
        <v>Trsf</v>
      </c>
      <c r="S668" s="1" t="s">
        <v>962</v>
      </c>
    </row>
    <row r="669" spans="1:19" x14ac:dyDescent="0.3">
      <c r="A669" s="4">
        <v>44656</v>
      </c>
      <c r="B669" s="5">
        <f t="shared" si="106"/>
        <v>4</v>
      </c>
      <c r="C669" s="5">
        <f t="shared" si="107"/>
        <v>2022</v>
      </c>
      <c r="D669" s="5" t="s">
        <v>685</v>
      </c>
      <c r="E669" s="5" t="str">
        <f>VLOOKUP(F669,'Set up'!$A$2:$C$70,2,FALSE)</f>
        <v>C00000020</v>
      </c>
      <c r="F669" s="1" t="s">
        <v>409</v>
      </c>
      <c r="G669" s="11" t="s">
        <v>64</v>
      </c>
      <c r="H669" s="5">
        <v>3</v>
      </c>
      <c r="I669" s="5" t="str">
        <f>VLOOKUP(F669,'Set up'!$A$2:$C$70,3,FALSE)</f>
        <v>Cash</v>
      </c>
      <c r="J669" s="5">
        <f>VLOOKUP(F669,'Set up'!$A$2:$D$70,4,FALSE)</f>
        <v>0</v>
      </c>
      <c r="K669" s="4">
        <f t="shared" si="108"/>
        <v>44656</v>
      </c>
      <c r="L669" s="5">
        <f t="shared" si="109"/>
        <v>4</v>
      </c>
      <c r="M669" s="5">
        <f t="shared" si="110"/>
        <v>2022</v>
      </c>
      <c r="N669" s="6">
        <v>187.5</v>
      </c>
      <c r="O669" s="6">
        <f t="shared" si="114"/>
        <v>-187.5</v>
      </c>
      <c r="P669" s="6">
        <f t="shared" si="113"/>
        <v>0</v>
      </c>
      <c r="Q669" s="7">
        <f t="shared" si="111"/>
        <v>1180249.8500000001</v>
      </c>
      <c r="R669" s="44" t="str">
        <f>VLOOKUP(F669,'Set up'!$A$2:$E$70,5,FALSE)</f>
        <v>Trsf</v>
      </c>
      <c r="S669" s="1" t="s">
        <v>963</v>
      </c>
    </row>
    <row r="670" spans="1:19" x14ac:dyDescent="0.3">
      <c r="A670" s="4">
        <v>44656</v>
      </c>
      <c r="B670" s="5">
        <f t="shared" si="106"/>
        <v>4</v>
      </c>
      <c r="C670" s="5">
        <f t="shared" si="107"/>
        <v>2022</v>
      </c>
      <c r="D670" s="5" t="s">
        <v>685</v>
      </c>
      <c r="E670" s="5" t="str">
        <f>VLOOKUP(F670,'Set up'!$A$2:$C$70,2,FALSE)</f>
        <v>C00000020</v>
      </c>
      <c r="F670" s="1" t="s">
        <v>409</v>
      </c>
      <c r="G670" s="11" t="s">
        <v>659</v>
      </c>
      <c r="H670" s="5">
        <v>1</v>
      </c>
      <c r="I670" s="5" t="str">
        <f>VLOOKUP(F670,'Set up'!$A$2:$C$70,3,FALSE)</f>
        <v>Cash</v>
      </c>
      <c r="J670" s="5">
        <f>VLOOKUP(F670,'Set up'!$A$2:$D$70,4,FALSE)</f>
        <v>0</v>
      </c>
      <c r="K670" s="4">
        <f t="shared" si="108"/>
        <v>44656</v>
      </c>
      <c r="L670" s="5">
        <f t="shared" si="109"/>
        <v>4</v>
      </c>
      <c r="M670" s="5">
        <f t="shared" si="110"/>
        <v>2022</v>
      </c>
      <c r="N670" s="6">
        <v>1000</v>
      </c>
      <c r="O670" s="6">
        <f t="shared" si="114"/>
        <v>-1000</v>
      </c>
      <c r="P670" s="6">
        <f t="shared" si="113"/>
        <v>0</v>
      </c>
      <c r="Q670" s="7">
        <f t="shared" si="111"/>
        <v>1181249.8500000001</v>
      </c>
      <c r="R670" s="44" t="str">
        <f>VLOOKUP(F670,'Set up'!$A$2:$E$70,5,FALSE)</f>
        <v>Trsf</v>
      </c>
      <c r="S670" s="1" t="s">
        <v>961</v>
      </c>
    </row>
    <row r="671" spans="1:19" x14ac:dyDescent="0.3">
      <c r="A671" s="4">
        <v>44656</v>
      </c>
      <c r="B671" s="5">
        <f t="shared" si="106"/>
        <v>4</v>
      </c>
      <c r="C671" s="5">
        <f t="shared" si="107"/>
        <v>2022</v>
      </c>
      <c r="D671" s="5" t="s">
        <v>685</v>
      </c>
      <c r="E671" s="5" t="str">
        <f>VLOOKUP(F671,'Set up'!$A$2:$C$70,2,FALSE)</f>
        <v>C00000020</v>
      </c>
      <c r="F671" s="1" t="s">
        <v>409</v>
      </c>
      <c r="G671" s="11" t="s">
        <v>666</v>
      </c>
      <c r="H671" s="5">
        <v>4</v>
      </c>
      <c r="I671" s="5" t="str">
        <f>VLOOKUP(F671,'Set up'!$A$2:$C$70,3,FALSE)</f>
        <v>Cash</v>
      </c>
      <c r="J671" s="5">
        <f>VLOOKUP(F671,'Set up'!$A$2:$D$70,4,FALSE)</f>
        <v>0</v>
      </c>
      <c r="K671" s="4">
        <f t="shared" si="108"/>
        <v>44656</v>
      </c>
      <c r="L671" s="5">
        <f t="shared" si="109"/>
        <v>4</v>
      </c>
      <c r="M671" s="5">
        <f t="shared" si="110"/>
        <v>2022</v>
      </c>
      <c r="N671" s="6">
        <v>340</v>
      </c>
      <c r="O671" s="6">
        <f t="shared" si="114"/>
        <v>-340</v>
      </c>
      <c r="P671" s="6">
        <f t="shared" si="113"/>
        <v>0</v>
      </c>
      <c r="Q671" s="7">
        <f t="shared" si="111"/>
        <v>1181589.8500000001</v>
      </c>
      <c r="R671" s="44" t="str">
        <f>VLOOKUP(F671,'Set up'!$A$2:$E$70,5,FALSE)</f>
        <v>Trsf</v>
      </c>
      <c r="S671" s="1" t="s">
        <v>964</v>
      </c>
    </row>
    <row r="672" spans="1:19" x14ac:dyDescent="0.3">
      <c r="A672" s="4">
        <v>44659</v>
      </c>
      <c r="B672" s="5">
        <f t="shared" si="106"/>
        <v>4</v>
      </c>
      <c r="C672" s="5">
        <f t="shared" si="107"/>
        <v>2022</v>
      </c>
      <c r="D672" s="5" t="s">
        <v>686</v>
      </c>
      <c r="E672" s="5" t="str">
        <f>VLOOKUP(F672,'Set up'!$A$2:$C$70,2,FALSE)</f>
        <v>C00000019</v>
      </c>
      <c r="F672" s="1" t="s">
        <v>400</v>
      </c>
      <c r="G672" s="11" t="s">
        <v>95</v>
      </c>
      <c r="H672" s="5">
        <v>2</v>
      </c>
      <c r="I672" s="5" t="str">
        <f>VLOOKUP(F672,'Set up'!$A$2:$C$70,3,FALSE)</f>
        <v>Cash</v>
      </c>
      <c r="J672" s="5">
        <f>VLOOKUP(F672,'Set up'!$A$2:$D$70,4,FALSE)</f>
        <v>0</v>
      </c>
      <c r="K672" s="4">
        <f t="shared" si="108"/>
        <v>44659</v>
      </c>
      <c r="L672" s="5">
        <f t="shared" si="109"/>
        <v>4</v>
      </c>
      <c r="M672" s="5">
        <f t="shared" si="110"/>
        <v>2022</v>
      </c>
      <c r="N672" s="6">
        <v>4136</v>
      </c>
      <c r="O672" s="6">
        <f t="shared" si="114"/>
        <v>-4136</v>
      </c>
      <c r="P672" s="6">
        <f t="shared" si="113"/>
        <v>0</v>
      </c>
      <c r="Q672" s="7">
        <f t="shared" si="111"/>
        <v>1185725.8500000001</v>
      </c>
      <c r="R672" s="44" t="str">
        <f>VLOOKUP(F672,'Set up'!$A$2:$E$70,5,FALSE)</f>
        <v>Trsf</v>
      </c>
      <c r="S672" s="1" t="s">
        <v>804</v>
      </c>
    </row>
    <row r="673" spans="1:19" x14ac:dyDescent="0.3">
      <c r="A673" s="4">
        <v>44659</v>
      </c>
      <c r="B673" s="5">
        <f t="shared" si="106"/>
        <v>4</v>
      </c>
      <c r="C673" s="5">
        <f t="shared" si="107"/>
        <v>2022</v>
      </c>
      <c r="D673" s="5" t="s">
        <v>686</v>
      </c>
      <c r="E673" s="5" t="str">
        <f>VLOOKUP(F673,'Set up'!$A$2:$C$70,2,FALSE)</f>
        <v>C00000019</v>
      </c>
      <c r="F673" s="1" t="s">
        <v>400</v>
      </c>
      <c r="G673" s="11" t="s">
        <v>478</v>
      </c>
      <c r="H673" s="5">
        <v>2</v>
      </c>
      <c r="I673" s="5" t="str">
        <f>VLOOKUP(F673,'Set up'!$A$2:$C$70,3,FALSE)</f>
        <v>Cash</v>
      </c>
      <c r="J673" s="5">
        <f>VLOOKUP(F673,'Set up'!$A$2:$D$70,4,FALSE)</f>
        <v>0</v>
      </c>
      <c r="K673" s="4">
        <f t="shared" si="108"/>
        <v>44659</v>
      </c>
      <c r="L673" s="5">
        <f t="shared" si="109"/>
        <v>4</v>
      </c>
      <c r="M673" s="5">
        <f t="shared" si="110"/>
        <v>2022</v>
      </c>
      <c r="N673" s="6">
        <v>1047.5999999999999</v>
      </c>
      <c r="O673" s="6">
        <f t="shared" si="114"/>
        <v>-1047.5999999999999</v>
      </c>
      <c r="P673" s="6">
        <f t="shared" si="113"/>
        <v>0</v>
      </c>
      <c r="Q673" s="7">
        <f t="shared" si="111"/>
        <v>1186773.4500000002</v>
      </c>
      <c r="R673" s="44" t="str">
        <f>VLOOKUP(F673,'Set up'!$A$2:$E$70,5,FALSE)</f>
        <v>Trsf</v>
      </c>
      <c r="S673" s="1" t="s">
        <v>804</v>
      </c>
    </row>
    <row r="674" spans="1:19" x14ac:dyDescent="0.3">
      <c r="A674" s="4">
        <v>44659</v>
      </c>
      <c r="B674" s="5">
        <f t="shared" si="106"/>
        <v>4</v>
      </c>
      <c r="C674" s="5">
        <f t="shared" si="107"/>
        <v>2022</v>
      </c>
      <c r="D674" s="5" t="s">
        <v>686</v>
      </c>
      <c r="E674" s="5" t="str">
        <f>VLOOKUP(F674,'Set up'!$A$2:$C$70,2,FALSE)</f>
        <v>C00000019</v>
      </c>
      <c r="F674" s="1" t="s">
        <v>400</v>
      </c>
      <c r="G674" s="11" t="s">
        <v>64</v>
      </c>
      <c r="H674" s="5">
        <v>3</v>
      </c>
      <c r="I674" s="5" t="str">
        <f>VLOOKUP(F674,'Set up'!$A$2:$C$70,3,FALSE)</f>
        <v>Cash</v>
      </c>
      <c r="J674" s="5">
        <f>VLOOKUP(F674,'Set up'!$A$2:$D$70,4,FALSE)</f>
        <v>0</v>
      </c>
      <c r="K674" s="4">
        <f t="shared" si="108"/>
        <v>44659</v>
      </c>
      <c r="L674" s="5">
        <f t="shared" si="109"/>
        <v>4</v>
      </c>
      <c r="M674" s="5">
        <f t="shared" si="110"/>
        <v>2022</v>
      </c>
      <c r="N674" s="6">
        <v>187.5</v>
      </c>
      <c r="O674" s="6">
        <f t="shared" si="114"/>
        <v>-187.5</v>
      </c>
      <c r="P674" s="6">
        <f t="shared" si="113"/>
        <v>0</v>
      </c>
      <c r="Q674" s="7">
        <f t="shared" si="111"/>
        <v>1186960.9500000002</v>
      </c>
      <c r="R674" s="44" t="str">
        <f>VLOOKUP(F674,'Set up'!$A$2:$E$70,5,FALSE)</f>
        <v>Trsf</v>
      </c>
      <c r="S674" s="1" t="s">
        <v>804</v>
      </c>
    </row>
    <row r="675" spans="1:19" x14ac:dyDescent="0.3">
      <c r="A675" s="4">
        <v>44659</v>
      </c>
      <c r="B675" s="5">
        <f t="shared" si="106"/>
        <v>4</v>
      </c>
      <c r="C675" s="5">
        <f t="shared" si="107"/>
        <v>2022</v>
      </c>
      <c r="D675" s="5" t="s">
        <v>686</v>
      </c>
      <c r="E675" s="5" t="str">
        <f>VLOOKUP(F675,'Set up'!$A$2:$C$70,2,FALSE)</f>
        <v>C00000019</v>
      </c>
      <c r="F675" s="1" t="s">
        <v>400</v>
      </c>
      <c r="G675" s="11" t="s">
        <v>292</v>
      </c>
      <c r="H675" s="5">
        <v>2</v>
      </c>
      <c r="I675" s="5" t="str">
        <f>VLOOKUP(F675,'Set up'!$A$2:$C$70,3,FALSE)</f>
        <v>Cash</v>
      </c>
      <c r="J675" s="5">
        <f>VLOOKUP(F675,'Set up'!$A$2:$D$70,4,FALSE)</f>
        <v>0</v>
      </c>
      <c r="K675" s="4">
        <f t="shared" si="108"/>
        <v>44659</v>
      </c>
      <c r="L675" s="5">
        <f t="shared" si="109"/>
        <v>4</v>
      </c>
      <c r="M675" s="5">
        <f t="shared" si="110"/>
        <v>2022</v>
      </c>
      <c r="N675" s="6">
        <v>780</v>
      </c>
      <c r="O675" s="6">
        <f t="shared" si="114"/>
        <v>-780</v>
      </c>
      <c r="P675" s="6">
        <f t="shared" si="113"/>
        <v>0</v>
      </c>
      <c r="Q675" s="7">
        <f t="shared" si="111"/>
        <v>1187740.9500000002</v>
      </c>
      <c r="R675" s="44" t="str">
        <f>VLOOKUP(F675,'Set up'!$A$2:$E$70,5,FALSE)</f>
        <v>Trsf</v>
      </c>
      <c r="S675" s="1" t="s">
        <v>804</v>
      </c>
    </row>
    <row r="676" spans="1:19" x14ac:dyDescent="0.3">
      <c r="A676" s="4">
        <v>44659</v>
      </c>
      <c r="B676" s="5">
        <f t="shared" si="106"/>
        <v>4</v>
      </c>
      <c r="C676" s="5">
        <f t="shared" si="107"/>
        <v>2022</v>
      </c>
      <c r="D676" s="5" t="s">
        <v>686</v>
      </c>
      <c r="E676" s="5" t="str">
        <f>VLOOKUP(F676,'Set up'!$A$2:$C$70,2,FALSE)</f>
        <v>C00000019</v>
      </c>
      <c r="F676" s="1" t="s">
        <v>400</v>
      </c>
      <c r="G676" s="11" t="s">
        <v>566</v>
      </c>
      <c r="H676" s="5">
        <v>2</v>
      </c>
      <c r="I676" s="5" t="str">
        <f>VLOOKUP(F676,'Set up'!$A$2:$C$70,3,FALSE)</f>
        <v>Cash</v>
      </c>
      <c r="J676" s="5">
        <f>VLOOKUP(F676,'Set up'!$A$2:$D$70,4,FALSE)</f>
        <v>0</v>
      </c>
      <c r="K676" s="4">
        <f t="shared" si="108"/>
        <v>44659</v>
      </c>
      <c r="L676" s="5">
        <f t="shared" si="109"/>
        <v>4</v>
      </c>
      <c r="M676" s="5">
        <f t="shared" si="110"/>
        <v>2022</v>
      </c>
      <c r="N676" s="6">
        <v>210</v>
      </c>
      <c r="O676" s="6">
        <f t="shared" si="114"/>
        <v>-210</v>
      </c>
      <c r="P676" s="6">
        <f t="shared" si="113"/>
        <v>0</v>
      </c>
      <c r="Q676" s="7">
        <f t="shared" si="111"/>
        <v>1187950.9500000002</v>
      </c>
      <c r="R676" s="44" t="str">
        <f>VLOOKUP(F676,'Set up'!$A$2:$E$70,5,FALSE)</f>
        <v>Trsf</v>
      </c>
      <c r="S676" s="1" t="s">
        <v>804</v>
      </c>
    </row>
    <row r="677" spans="1:19" ht="93.6" x14ac:dyDescent="0.3">
      <c r="A677" s="4">
        <v>44659</v>
      </c>
      <c r="B677" s="5">
        <f t="shared" si="106"/>
        <v>4</v>
      </c>
      <c r="C677" s="5">
        <f t="shared" si="107"/>
        <v>2022</v>
      </c>
      <c r="D677" s="5" t="s">
        <v>687</v>
      </c>
      <c r="E677" s="5" t="str">
        <f>VLOOKUP(F677,'Set up'!$A$2:$C$70,2,FALSE)</f>
        <v>C00000003</v>
      </c>
      <c r="F677" s="1" t="s">
        <v>20</v>
      </c>
      <c r="G677" s="11" t="s">
        <v>67</v>
      </c>
      <c r="H677" s="5">
        <v>3</v>
      </c>
      <c r="I677" s="5">
        <f>VLOOKUP(F677,'Set up'!$A$2:$C$70,3,FALSE)</f>
        <v>45</v>
      </c>
      <c r="J677" s="5">
        <f>VLOOKUP(F677,'Set up'!$A$2:$D$70,4,FALSE)</f>
        <v>45</v>
      </c>
      <c r="K677" s="4">
        <f t="shared" si="108"/>
        <v>44704</v>
      </c>
      <c r="L677" s="5">
        <f t="shared" si="109"/>
        <v>5</v>
      </c>
      <c r="M677" s="5">
        <f t="shared" si="110"/>
        <v>2022</v>
      </c>
      <c r="N677" s="6">
        <v>6336</v>
      </c>
      <c r="O677" s="6">
        <f>-1500-1500-1500-816-1020</f>
        <v>-6336</v>
      </c>
      <c r="P677" s="6">
        <f t="shared" si="113"/>
        <v>0</v>
      </c>
      <c r="Q677" s="7">
        <f t="shared" si="111"/>
        <v>1194286.9500000002</v>
      </c>
      <c r="R677" s="44" t="str">
        <f>VLOOKUP(F677,'Set up'!$A$2:$E$70,5,FALSE)</f>
        <v>PD Chq</v>
      </c>
      <c r="S677" s="40" t="s">
        <v>849</v>
      </c>
    </row>
    <row r="678" spans="1:19" x14ac:dyDescent="0.3">
      <c r="A678" s="4">
        <v>44659</v>
      </c>
      <c r="B678" s="5">
        <f t="shared" si="106"/>
        <v>4</v>
      </c>
      <c r="C678" s="5">
        <f t="shared" si="107"/>
        <v>2022</v>
      </c>
      <c r="D678" s="5" t="s">
        <v>687</v>
      </c>
      <c r="E678" s="5" t="str">
        <f>VLOOKUP(F678,'Set up'!$A$2:$C$70,2,FALSE)</f>
        <v>C00000003</v>
      </c>
      <c r="F678" s="1" t="s">
        <v>20</v>
      </c>
      <c r="G678" s="11" t="s">
        <v>64</v>
      </c>
      <c r="H678" s="5">
        <v>4</v>
      </c>
      <c r="I678" s="5">
        <f>VLOOKUP(F678,'Set up'!$A$2:$C$70,3,FALSE)</f>
        <v>45</v>
      </c>
      <c r="J678" s="5">
        <f>VLOOKUP(F678,'Set up'!$A$2:$D$70,4,FALSE)</f>
        <v>45</v>
      </c>
      <c r="K678" s="4">
        <f t="shared" si="108"/>
        <v>44704</v>
      </c>
      <c r="L678" s="5">
        <f t="shared" si="109"/>
        <v>5</v>
      </c>
      <c r="M678" s="5">
        <f t="shared" si="110"/>
        <v>2022</v>
      </c>
      <c r="N678" s="6">
        <v>260</v>
      </c>
      <c r="O678" s="6">
        <f>-N678</f>
        <v>-260</v>
      </c>
      <c r="P678" s="6">
        <f t="shared" si="113"/>
        <v>0</v>
      </c>
      <c r="Q678" s="7">
        <f t="shared" si="111"/>
        <v>1194546.9500000002</v>
      </c>
      <c r="R678" s="44" t="str">
        <f>VLOOKUP(F678,'Set up'!$A$2:$E$70,5,FALSE)</f>
        <v>PD Chq</v>
      </c>
      <c r="S678" s="1" t="s">
        <v>850</v>
      </c>
    </row>
    <row r="679" spans="1:19" x14ac:dyDescent="0.3">
      <c r="A679" s="4">
        <v>44659</v>
      </c>
      <c r="B679" s="5">
        <f t="shared" si="106"/>
        <v>4</v>
      </c>
      <c r="C679" s="5">
        <f t="shared" si="107"/>
        <v>2022</v>
      </c>
      <c r="D679" s="5" t="s">
        <v>687</v>
      </c>
      <c r="E679" s="5" t="str">
        <f>VLOOKUP(F679,'Set up'!$A$2:$C$70,2,FALSE)</f>
        <v>C00000003</v>
      </c>
      <c r="F679" s="1" t="s">
        <v>20</v>
      </c>
      <c r="G679" s="11" t="s">
        <v>17</v>
      </c>
      <c r="H679" s="5">
        <v>6</v>
      </c>
      <c r="I679" s="5">
        <f>VLOOKUP(F679,'Set up'!$A$2:$C$70,3,FALSE)</f>
        <v>45</v>
      </c>
      <c r="J679" s="5">
        <f>VLOOKUP(F679,'Set up'!$A$2:$D$70,4,FALSE)</f>
        <v>45</v>
      </c>
      <c r="K679" s="4">
        <f t="shared" si="108"/>
        <v>44704</v>
      </c>
      <c r="L679" s="5">
        <f t="shared" si="109"/>
        <v>5</v>
      </c>
      <c r="M679" s="5">
        <f t="shared" si="110"/>
        <v>2022</v>
      </c>
      <c r="N679" s="6">
        <v>630</v>
      </c>
      <c r="O679" s="6">
        <f>-N679</f>
        <v>-630</v>
      </c>
      <c r="P679" s="6">
        <f t="shared" si="113"/>
        <v>0</v>
      </c>
      <c r="Q679" s="7">
        <f t="shared" si="111"/>
        <v>1195176.9500000002</v>
      </c>
      <c r="R679" s="44" t="str">
        <f>VLOOKUP(F679,'Set up'!$A$2:$E$70,5,FALSE)</f>
        <v>PD Chq</v>
      </c>
      <c r="S679" s="1" t="s">
        <v>850</v>
      </c>
    </row>
    <row r="680" spans="1:19" x14ac:dyDescent="0.3">
      <c r="A680" s="4">
        <v>44659</v>
      </c>
      <c r="B680" s="5">
        <f t="shared" si="106"/>
        <v>4</v>
      </c>
      <c r="C680" s="5">
        <f t="shared" si="107"/>
        <v>2022</v>
      </c>
      <c r="D680" s="5" t="s">
        <v>687</v>
      </c>
      <c r="E680" s="5" t="str">
        <f>VLOOKUP(F680,'Set up'!$A$2:$C$70,2,FALSE)</f>
        <v>C00000003</v>
      </c>
      <c r="F680" s="1" t="s">
        <v>20</v>
      </c>
      <c r="G680" s="11" t="s">
        <v>178</v>
      </c>
      <c r="H680" s="5">
        <v>2</v>
      </c>
      <c r="I680" s="5">
        <f>VLOOKUP(F680,'Set up'!$A$2:$C$70,3,FALSE)</f>
        <v>45</v>
      </c>
      <c r="J680" s="5">
        <f>VLOOKUP(F680,'Set up'!$A$2:$D$70,4,FALSE)</f>
        <v>45</v>
      </c>
      <c r="K680" s="4">
        <f t="shared" si="108"/>
        <v>44704</v>
      </c>
      <c r="L680" s="5">
        <f t="shared" si="109"/>
        <v>5</v>
      </c>
      <c r="M680" s="5">
        <f t="shared" si="110"/>
        <v>2022</v>
      </c>
      <c r="N680" s="6">
        <v>90</v>
      </c>
      <c r="O680" s="6">
        <f>-N680</f>
        <v>-90</v>
      </c>
      <c r="P680" s="6">
        <f t="shared" si="113"/>
        <v>0</v>
      </c>
      <c r="Q680" s="7">
        <f t="shared" si="111"/>
        <v>1195266.9500000002</v>
      </c>
      <c r="R680" s="44" t="str">
        <f>VLOOKUP(F680,'Set up'!$A$2:$E$70,5,FALSE)</f>
        <v>PD Chq</v>
      </c>
      <c r="S680" s="1" t="s">
        <v>850</v>
      </c>
    </row>
    <row r="681" spans="1:19" x14ac:dyDescent="0.3">
      <c r="A681" s="4">
        <v>44660</v>
      </c>
      <c r="B681" s="5">
        <f t="shared" si="106"/>
        <v>4</v>
      </c>
      <c r="C681" s="5">
        <f t="shared" si="107"/>
        <v>2022</v>
      </c>
      <c r="D681" s="5" t="s">
        <v>688</v>
      </c>
      <c r="E681" s="5" t="str">
        <f>VLOOKUP(F681,'Set up'!$A$2:$C$70,2,FALSE)</f>
        <v>C00000009</v>
      </c>
      <c r="F681" s="1" t="s">
        <v>58</v>
      </c>
      <c r="G681" s="11" t="s">
        <v>95</v>
      </c>
      <c r="H681" s="5">
        <v>2</v>
      </c>
      <c r="I681" s="5">
        <f>VLOOKUP(F681,'Set up'!$A$2:$C$70,3,FALSE)</f>
        <v>60</v>
      </c>
      <c r="J681" s="5">
        <f>VLOOKUP(F681,'Set up'!$A$2:$D$70,4,FALSE)</f>
        <v>60</v>
      </c>
      <c r="K681" s="4">
        <f t="shared" si="108"/>
        <v>44720</v>
      </c>
      <c r="L681" s="5">
        <f t="shared" si="109"/>
        <v>6</v>
      </c>
      <c r="M681" s="5">
        <f t="shared" si="110"/>
        <v>2022</v>
      </c>
      <c r="N681" s="6">
        <v>3960</v>
      </c>
      <c r="O681" s="6">
        <f t="shared" ref="O681:O682" si="115">-N681</f>
        <v>-3960</v>
      </c>
      <c r="P681" s="6">
        <f t="shared" si="113"/>
        <v>0</v>
      </c>
      <c r="Q681" s="7">
        <f t="shared" si="111"/>
        <v>1199226.9500000002</v>
      </c>
      <c r="R681" s="44" t="str">
        <f>VLOOKUP(F681,'Set up'!$A$2:$E$70,5,FALSE)</f>
        <v>Chq</v>
      </c>
      <c r="S681" s="1" t="s">
        <v>923</v>
      </c>
    </row>
    <row r="682" spans="1:19" x14ac:dyDescent="0.3">
      <c r="A682" s="4">
        <v>44660</v>
      </c>
      <c r="B682" s="5">
        <f t="shared" si="106"/>
        <v>4</v>
      </c>
      <c r="C682" s="5">
        <f t="shared" si="107"/>
        <v>2022</v>
      </c>
      <c r="D682" s="5" t="s">
        <v>688</v>
      </c>
      <c r="E682" s="5" t="str">
        <f>VLOOKUP(F682,'Set up'!$A$2:$C$70,2,FALSE)</f>
        <v>C00000009</v>
      </c>
      <c r="F682" s="1" t="s">
        <v>58</v>
      </c>
      <c r="G682" s="11" t="s">
        <v>682</v>
      </c>
      <c r="H682" s="5">
        <v>1</v>
      </c>
      <c r="I682" s="5">
        <f>VLOOKUP(F682,'Set up'!$A$2:$C$70,3,FALSE)</f>
        <v>60</v>
      </c>
      <c r="J682" s="5">
        <f>VLOOKUP(F682,'Set up'!$A$2:$D$70,4,FALSE)</f>
        <v>60</v>
      </c>
      <c r="K682" s="4">
        <f t="shared" si="108"/>
        <v>44720</v>
      </c>
      <c r="L682" s="5">
        <f t="shared" si="109"/>
        <v>6</v>
      </c>
      <c r="M682" s="5">
        <f t="shared" si="110"/>
        <v>2022</v>
      </c>
      <c r="N682" s="6">
        <v>570</v>
      </c>
      <c r="O682" s="6">
        <f t="shared" si="115"/>
        <v>-570</v>
      </c>
      <c r="P682" s="6">
        <f t="shared" si="113"/>
        <v>0</v>
      </c>
      <c r="Q682" s="7">
        <f t="shared" si="111"/>
        <v>1199796.9500000002</v>
      </c>
      <c r="R682" s="44" t="str">
        <f>VLOOKUP(F682,'Set up'!$A$2:$E$70,5,FALSE)</f>
        <v>Chq</v>
      </c>
      <c r="S682" s="1" t="s">
        <v>923</v>
      </c>
    </row>
    <row r="683" spans="1:19" x14ac:dyDescent="0.3">
      <c r="A683" s="4">
        <v>44660</v>
      </c>
      <c r="B683" s="5">
        <f t="shared" si="106"/>
        <v>4</v>
      </c>
      <c r="C683" s="5">
        <f t="shared" si="107"/>
        <v>2022</v>
      </c>
      <c r="D683" s="5" t="s">
        <v>688</v>
      </c>
      <c r="E683" s="5" t="str">
        <f>VLOOKUP(F683,'Set up'!$A$2:$C$70,2,FALSE)</f>
        <v>C00000009</v>
      </c>
      <c r="F683" s="1" t="s">
        <v>58</v>
      </c>
      <c r="G683" s="11" t="s">
        <v>703</v>
      </c>
      <c r="H683" s="5">
        <v>1</v>
      </c>
      <c r="I683" s="5">
        <f>VLOOKUP(F683,'Set up'!$A$2:$C$70,3,FALSE)</f>
        <v>60</v>
      </c>
      <c r="J683" s="5">
        <f>VLOOKUP(F683,'Set up'!$A$2:$D$70,4,FALSE)</f>
        <v>60</v>
      </c>
      <c r="K683" s="4">
        <f t="shared" si="108"/>
        <v>44720</v>
      </c>
      <c r="L683" s="5">
        <f t="shared" si="109"/>
        <v>6</v>
      </c>
      <c r="M683" s="5">
        <f t="shared" si="110"/>
        <v>2022</v>
      </c>
      <c r="N683" s="6">
        <v>513</v>
      </c>
      <c r="O683" s="6">
        <f>-N683</f>
        <v>-513</v>
      </c>
      <c r="P683" s="6">
        <f t="shared" si="113"/>
        <v>0</v>
      </c>
      <c r="Q683" s="7">
        <f t="shared" si="111"/>
        <v>1200309.9500000002</v>
      </c>
      <c r="R683" s="44" t="str">
        <f>VLOOKUP(F683,'Set up'!$A$2:$E$70,5,FALSE)</f>
        <v>Chq</v>
      </c>
      <c r="S683" s="1" t="s">
        <v>923</v>
      </c>
    </row>
    <row r="684" spans="1:19" x14ac:dyDescent="0.3">
      <c r="A684" s="4">
        <v>44660</v>
      </c>
      <c r="B684" s="5">
        <f t="shared" si="106"/>
        <v>4</v>
      </c>
      <c r="C684" s="5">
        <f t="shared" si="107"/>
        <v>2022</v>
      </c>
      <c r="D684" s="5" t="s">
        <v>689</v>
      </c>
      <c r="E684" s="5" t="str">
        <f>VLOOKUP(F684,'Set up'!$A$2:$C$70,2,FALSE)</f>
        <v>C00000020</v>
      </c>
      <c r="F684" s="1" t="s">
        <v>409</v>
      </c>
      <c r="G684" s="11" t="s">
        <v>67</v>
      </c>
      <c r="H684" s="5">
        <v>3</v>
      </c>
      <c r="I684" s="5" t="str">
        <f>VLOOKUP(F684,'Set up'!$A$2:$C$70,3,FALSE)</f>
        <v>Cash</v>
      </c>
      <c r="J684" s="5">
        <f>VLOOKUP(F684,'Set up'!$A$2:$D$70,4,FALSE)</f>
        <v>0</v>
      </c>
      <c r="K684" s="4">
        <f t="shared" si="108"/>
        <v>44660</v>
      </c>
      <c r="L684" s="5">
        <f t="shared" si="109"/>
        <v>4</v>
      </c>
      <c r="M684" s="5">
        <f t="shared" si="110"/>
        <v>2022</v>
      </c>
      <c r="N684" s="6">
        <v>6270</v>
      </c>
      <c r="O684" s="6">
        <f>-2379.3-3890.7</f>
        <v>-6270</v>
      </c>
      <c r="P684" s="6">
        <f t="shared" si="113"/>
        <v>0</v>
      </c>
      <c r="Q684" s="7">
        <f t="shared" si="111"/>
        <v>1206579.9500000002</v>
      </c>
      <c r="R684" s="44" t="str">
        <f>VLOOKUP(F684,'Set up'!$A$2:$E$70,5,FALSE)</f>
        <v>Trsf</v>
      </c>
      <c r="S684" s="1" t="s">
        <v>965</v>
      </c>
    </row>
    <row r="685" spans="1:19" x14ac:dyDescent="0.3">
      <c r="A685" s="4">
        <v>44660</v>
      </c>
      <c r="B685" s="5">
        <f t="shared" si="106"/>
        <v>4</v>
      </c>
      <c r="C685" s="5">
        <f t="shared" si="107"/>
        <v>2022</v>
      </c>
      <c r="D685" s="5" t="s">
        <v>689</v>
      </c>
      <c r="E685" s="5" t="str">
        <f>VLOOKUP(F685,'Set up'!$A$2:$C$70,2,FALSE)</f>
        <v>C00000020</v>
      </c>
      <c r="F685" s="1" t="s">
        <v>409</v>
      </c>
      <c r="G685" s="11" t="s">
        <v>654</v>
      </c>
      <c r="H685" s="5">
        <v>4</v>
      </c>
      <c r="I685" s="5" t="str">
        <f>VLOOKUP(F685,'Set up'!$A$2:$C$70,3,FALSE)</f>
        <v>Cash</v>
      </c>
      <c r="J685" s="5">
        <f>VLOOKUP(F685,'Set up'!$A$2:$D$70,4,FALSE)</f>
        <v>0</v>
      </c>
      <c r="K685" s="4">
        <f t="shared" si="108"/>
        <v>44660</v>
      </c>
      <c r="L685" s="5">
        <f t="shared" si="109"/>
        <v>4</v>
      </c>
      <c r="M685" s="5">
        <f t="shared" si="110"/>
        <v>2022</v>
      </c>
      <c r="N685" s="6">
        <v>1176</v>
      </c>
      <c r="O685" s="6">
        <f>-N685</f>
        <v>-1176</v>
      </c>
      <c r="P685" s="6">
        <f t="shared" si="113"/>
        <v>0</v>
      </c>
      <c r="Q685" s="7">
        <f t="shared" si="111"/>
        <v>1207755.9500000002</v>
      </c>
      <c r="R685" s="44" t="str">
        <f>VLOOKUP(F685,'Set up'!$A$2:$E$70,5,FALSE)</f>
        <v>Trsf</v>
      </c>
      <c r="S685" s="1" t="s">
        <v>966</v>
      </c>
    </row>
    <row r="686" spans="1:19" x14ac:dyDescent="0.3">
      <c r="A686" s="4">
        <v>44660</v>
      </c>
      <c r="B686" s="5">
        <f t="shared" si="106"/>
        <v>4</v>
      </c>
      <c r="C686" s="5">
        <f t="shared" si="107"/>
        <v>2022</v>
      </c>
      <c r="D686" s="5" t="s">
        <v>689</v>
      </c>
      <c r="E686" s="5" t="str">
        <f>VLOOKUP(F686,'Set up'!$A$2:$C$70,2,FALSE)</f>
        <v>C00000020</v>
      </c>
      <c r="F686" s="1" t="s">
        <v>409</v>
      </c>
      <c r="G686" s="11" t="s">
        <v>655</v>
      </c>
      <c r="H686" s="5">
        <v>3</v>
      </c>
      <c r="I686" s="5" t="str">
        <f>VLOOKUP(F686,'Set up'!$A$2:$C$70,3,FALSE)</f>
        <v>Cash</v>
      </c>
      <c r="J686" s="5">
        <f>VLOOKUP(F686,'Set up'!$A$2:$D$70,4,FALSE)</f>
        <v>0</v>
      </c>
      <c r="K686" s="4">
        <f t="shared" si="108"/>
        <v>44660</v>
      </c>
      <c r="L686" s="5">
        <f t="shared" si="109"/>
        <v>4</v>
      </c>
      <c r="M686" s="5">
        <f t="shared" si="110"/>
        <v>2022</v>
      </c>
      <c r="N686" s="6">
        <v>936</v>
      </c>
      <c r="O686" s="6">
        <f>-N686</f>
        <v>-936</v>
      </c>
      <c r="P686" s="6">
        <f t="shared" si="113"/>
        <v>0</v>
      </c>
      <c r="Q686" s="7">
        <f t="shared" si="111"/>
        <v>1208691.9500000002</v>
      </c>
      <c r="R686" s="44" t="str">
        <f>VLOOKUP(F686,'Set up'!$A$2:$E$70,5,FALSE)</f>
        <v>Trsf</v>
      </c>
      <c r="S686" s="1" t="s">
        <v>967</v>
      </c>
    </row>
    <row r="687" spans="1:19" x14ac:dyDescent="0.3">
      <c r="A687" s="4">
        <v>44660</v>
      </c>
      <c r="B687" s="5">
        <f t="shared" si="106"/>
        <v>4</v>
      </c>
      <c r="C687" s="5">
        <f t="shared" si="107"/>
        <v>2022</v>
      </c>
      <c r="D687" s="5" t="s">
        <v>689</v>
      </c>
      <c r="E687" s="5" t="str">
        <f>VLOOKUP(F687,'Set up'!$A$2:$C$70,2,FALSE)</f>
        <v>C00000020</v>
      </c>
      <c r="F687" s="1" t="s">
        <v>409</v>
      </c>
      <c r="G687" s="11" t="s">
        <v>64</v>
      </c>
      <c r="H687" s="5">
        <v>3</v>
      </c>
      <c r="I687" s="5" t="str">
        <f>VLOOKUP(F687,'Set up'!$A$2:$C$70,3,FALSE)</f>
        <v>Cash</v>
      </c>
      <c r="J687" s="5">
        <f>VLOOKUP(F687,'Set up'!$A$2:$D$70,4,FALSE)</f>
        <v>0</v>
      </c>
      <c r="K687" s="4">
        <f t="shared" si="108"/>
        <v>44660</v>
      </c>
      <c r="L687" s="5">
        <f t="shared" si="109"/>
        <v>4</v>
      </c>
      <c r="M687" s="5">
        <f t="shared" si="110"/>
        <v>2022</v>
      </c>
      <c r="N687" s="6">
        <v>187.5</v>
      </c>
      <c r="O687" s="6">
        <f>-N687</f>
        <v>-187.5</v>
      </c>
      <c r="P687" s="6">
        <f t="shared" si="113"/>
        <v>0</v>
      </c>
      <c r="Q687" s="7">
        <f t="shared" si="111"/>
        <v>1208879.4500000002</v>
      </c>
      <c r="R687" s="44" t="str">
        <f>VLOOKUP(F687,'Set up'!$A$2:$E$70,5,FALSE)</f>
        <v>Trsf</v>
      </c>
      <c r="S687" s="1" t="s">
        <v>968</v>
      </c>
    </row>
    <row r="688" spans="1:19" x14ac:dyDescent="0.3">
      <c r="A688" s="4">
        <v>44660</v>
      </c>
      <c r="B688" s="5">
        <f t="shared" si="106"/>
        <v>4</v>
      </c>
      <c r="C688" s="5">
        <f t="shared" si="107"/>
        <v>2022</v>
      </c>
      <c r="D688" s="5" t="s">
        <v>690</v>
      </c>
      <c r="E688" s="5" t="str">
        <f>VLOOKUP(F688,'Set up'!$A$2:$C$70,2,FALSE)</f>
        <v>C00000024</v>
      </c>
      <c r="F688" s="1" t="s">
        <v>773</v>
      </c>
      <c r="G688" s="11" t="s">
        <v>67</v>
      </c>
      <c r="H688" s="5">
        <v>1</v>
      </c>
      <c r="I688" s="5" t="str">
        <f>VLOOKUP(F688,'Set up'!$A$2:$C$70,3,FALSE)</f>
        <v>Cash</v>
      </c>
      <c r="J688" s="5">
        <f>VLOOKUP(F688,'Set up'!$A$2:$D$70,4,FALSE)</f>
        <v>0</v>
      </c>
      <c r="K688" s="4">
        <f t="shared" si="108"/>
        <v>44660</v>
      </c>
      <c r="L688" s="5">
        <f t="shared" si="109"/>
        <v>4</v>
      </c>
      <c r="M688" s="5">
        <f t="shared" si="110"/>
        <v>2022</v>
      </c>
      <c r="N688" s="6">
        <v>2090</v>
      </c>
      <c r="O688" s="6">
        <f t="shared" ref="O688:O696" si="116">-N688</f>
        <v>-2090</v>
      </c>
      <c r="P688" s="6">
        <f t="shared" si="113"/>
        <v>0</v>
      </c>
      <c r="Q688" s="7">
        <f t="shared" si="111"/>
        <v>1210969.4500000002</v>
      </c>
      <c r="R688" s="44" t="str">
        <f>VLOOKUP(F688,'Set up'!$A$2:$E$70,5,FALSE)</f>
        <v>Trsf</v>
      </c>
      <c r="S688" s="1" t="s">
        <v>808</v>
      </c>
    </row>
    <row r="689" spans="1:19" x14ac:dyDescent="0.3">
      <c r="A689" s="4">
        <v>44660</v>
      </c>
      <c r="B689" s="5">
        <f t="shared" si="106"/>
        <v>4</v>
      </c>
      <c r="C689" s="5">
        <f t="shared" si="107"/>
        <v>2022</v>
      </c>
      <c r="D689" s="5" t="s">
        <v>690</v>
      </c>
      <c r="E689" s="5" t="str">
        <f>VLOOKUP(F689,'Set up'!$A$2:$C$70,2,FALSE)</f>
        <v>C00000024</v>
      </c>
      <c r="F689" s="1" t="s">
        <v>773</v>
      </c>
      <c r="G689" s="11" t="s">
        <v>705</v>
      </c>
      <c r="H689" s="5">
        <v>1</v>
      </c>
      <c r="I689" s="5" t="str">
        <f>VLOOKUP(F689,'Set up'!$A$2:$C$70,3,FALSE)</f>
        <v>Cash</v>
      </c>
      <c r="J689" s="5">
        <f>VLOOKUP(F689,'Set up'!$A$2:$D$70,4,FALSE)</f>
        <v>0</v>
      </c>
      <c r="K689" s="4">
        <f t="shared" si="108"/>
        <v>44660</v>
      </c>
      <c r="L689" s="5">
        <f t="shared" si="109"/>
        <v>4</v>
      </c>
      <c r="M689" s="5">
        <f t="shared" si="110"/>
        <v>2022</v>
      </c>
      <c r="N689" s="6">
        <v>350</v>
      </c>
      <c r="O689" s="6">
        <f t="shared" si="116"/>
        <v>-350</v>
      </c>
      <c r="P689" s="6">
        <f t="shared" si="113"/>
        <v>0</v>
      </c>
      <c r="Q689" s="7">
        <f t="shared" si="111"/>
        <v>1211319.4500000002</v>
      </c>
      <c r="R689" s="44" t="str">
        <f>VLOOKUP(F689,'Set up'!$A$2:$E$70,5,FALSE)</f>
        <v>Trsf</v>
      </c>
      <c r="S689" s="1" t="s">
        <v>808</v>
      </c>
    </row>
    <row r="690" spans="1:19" x14ac:dyDescent="0.3">
      <c r="A690" s="4">
        <v>44660</v>
      </c>
      <c r="B690" s="5">
        <f t="shared" si="106"/>
        <v>4</v>
      </c>
      <c r="C690" s="5">
        <f t="shared" si="107"/>
        <v>2022</v>
      </c>
      <c r="D690" s="5" t="s">
        <v>690</v>
      </c>
      <c r="E690" s="5" t="str">
        <f>VLOOKUP(F690,'Set up'!$A$2:$C$70,2,FALSE)</f>
        <v>C00000024</v>
      </c>
      <c r="F690" s="1" t="s">
        <v>773</v>
      </c>
      <c r="G690" s="11" t="s">
        <v>654</v>
      </c>
      <c r="H690" s="5">
        <v>1</v>
      </c>
      <c r="I690" s="5" t="str">
        <f>VLOOKUP(F690,'Set up'!$A$2:$C$70,3,FALSE)</f>
        <v>Cash</v>
      </c>
      <c r="J690" s="5">
        <f>VLOOKUP(F690,'Set up'!$A$2:$D$70,4,FALSE)</f>
        <v>0</v>
      </c>
      <c r="K690" s="4">
        <f t="shared" si="108"/>
        <v>44660</v>
      </c>
      <c r="L690" s="5">
        <f t="shared" si="109"/>
        <v>4</v>
      </c>
      <c r="M690" s="5">
        <f t="shared" si="110"/>
        <v>2022</v>
      </c>
      <c r="N690" s="6">
        <v>294</v>
      </c>
      <c r="O690" s="6">
        <f t="shared" si="116"/>
        <v>-294</v>
      </c>
      <c r="P690" s="6">
        <f t="shared" si="113"/>
        <v>0</v>
      </c>
      <c r="Q690" s="7">
        <f t="shared" si="111"/>
        <v>1211613.4500000002</v>
      </c>
      <c r="R690" s="44" t="str">
        <f>VLOOKUP(F690,'Set up'!$A$2:$E$70,5,FALSE)</f>
        <v>Trsf</v>
      </c>
      <c r="S690" s="1" t="s">
        <v>808</v>
      </c>
    </row>
    <row r="691" spans="1:19" x14ac:dyDescent="0.3">
      <c r="A691" s="4">
        <v>44660</v>
      </c>
      <c r="B691" s="5">
        <f t="shared" si="106"/>
        <v>4</v>
      </c>
      <c r="C691" s="5">
        <f t="shared" si="107"/>
        <v>2022</v>
      </c>
      <c r="D691" s="5" t="s">
        <v>690</v>
      </c>
      <c r="E691" s="5" t="str">
        <f>VLOOKUP(F691,'Set up'!$A$2:$C$70,2,FALSE)</f>
        <v>C00000024</v>
      </c>
      <c r="F691" s="1" t="s">
        <v>773</v>
      </c>
      <c r="G691" s="11" t="s">
        <v>64</v>
      </c>
      <c r="H691" s="5">
        <v>1</v>
      </c>
      <c r="I691" s="5" t="str">
        <f>VLOOKUP(F691,'Set up'!$A$2:$C$70,3,FALSE)</f>
        <v>Cash</v>
      </c>
      <c r="J691" s="5">
        <f>VLOOKUP(F691,'Set up'!$A$2:$D$70,4,FALSE)</f>
        <v>0</v>
      </c>
      <c r="K691" s="4">
        <f t="shared" si="108"/>
        <v>44660</v>
      </c>
      <c r="L691" s="5">
        <f t="shared" si="109"/>
        <v>4</v>
      </c>
      <c r="M691" s="5">
        <f t="shared" si="110"/>
        <v>2022</v>
      </c>
      <c r="N691" s="6">
        <v>62.5</v>
      </c>
      <c r="O691" s="6">
        <f t="shared" si="116"/>
        <v>-62.5</v>
      </c>
      <c r="P691" s="6">
        <f t="shared" si="113"/>
        <v>0</v>
      </c>
      <c r="Q691" s="7">
        <f t="shared" si="111"/>
        <v>1211675.9500000002</v>
      </c>
      <c r="R691" s="44" t="str">
        <f>VLOOKUP(F691,'Set up'!$A$2:$E$70,5,FALSE)</f>
        <v>Trsf</v>
      </c>
      <c r="S691" s="1" t="s">
        <v>808</v>
      </c>
    </row>
    <row r="692" spans="1:19" x14ac:dyDescent="0.3">
      <c r="A692" s="4">
        <v>44660</v>
      </c>
      <c r="B692" s="5">
        <f t="shared" si="106"/>
        <v>4</v>
      </c>
      <c r="C692" s="5">
        <f t="shared" si="107"/>
        <v>2022</v>
      </c>
      <c r="D692" s="5" t="s">
        <v>690</v>
      </c>
      <c r="E692" s="5" t="str">
        <f>VLOOKUP(F692,'Set up'!$A$2:$C$70,2,FALSE)</f>
        <v>C00000024</v>
      </c>
      <c r="F692" s="1" t="s">
        <v>773</v>
      </c>
      <c r="G692" s="11" t="s">
        <v>659</v>
      </c>
      <c r="H692" s="5">
        <v>1</v>
      </c>
      <c r="I692" s="5" t="str">
        <f>VLOOKUP(F692,'Set up'!$A$2:$C$70,3,FALSE)</f>
        <v>Cash</v>
      </c>
      <c r="J692" s="5">
        <f>VLOOKUP(F692,'Set up'!$A$2:$D$70,4,FALSE)</f>
        <v>0</v>
      </c>
      <c r="K692" s="4">
        <f t="shared" si="108"/>
        <v>44660</v>
      </c>
      <c r="L692" s="5">
        <f t="shared" si="109"/>
        <v>4</v>
      </c>
      <c r="M692" s="5">
        <f t="shared" si="110"/>
        <v>2022</v>
      </c>
      <c r="N692" s="6">
        <v>1000</v>
      </c>
      <c r="O692" s="6">
        <f t="shared" si="116"/>
        <v>-1000</v>
      </c>
      <c r="P692" s="6">
        <f t="shared" si="113"/>
        <v>0</v>
      </c>
      <c r="Q692" s="7">
        <f t="shared" si="111"/>
        <v>1212675.9500000002</v>
      </c>
      <c r="R692" s="44" t="str">
        <f>VLOOKUP(F692,'Set up'!$A$2:$E$70,5,FALSE)</f>
        <v>Trsf</v>
      </c>
      <c r="S692" s="1" t="s">
        <v>808</v>
      </c>
    </row>
    <row r="693" spans="1:19" x14ac:dyDescent="0.3">
      <c r="A693" s="4">
        <v>44660</v>
      </c>
      <c r="B693" s="5">
        <f t="shared" si="106"/>
        <v>4</v>
      </c>
      <c r="C693" s="5">
        <f t="shared" si="107"/>
        <v>2022</v>
      </c>
      <c r="D693" s="5" t="s">
        <v>690</v>
      </c>
      <c r="E693" s="5" t="str">
        <f>VLOOKUP(F693,'Set up'!$A$2:$C$70,2,FALSE)</f>
        <v>C00000024</v>
      </c>
      <c r="F693" s="1" t="s">
        <v>773</v>
      </c>
      <c r="G693" s="11" t="s">
        <v>666</v>
      </c>
      <c r="H693" s="5">
        <v>1</v>
      </c>
      <c r="I693" s="5" t="str">
        <f>VLOOKUP(F693,'Set up'!$A$2:$C$70,3,FALSE)</f>
        <v>Cash</v>
      </c>
      <c r="J693" s="5">
        <f>VLOOKUP(F693,'Set up'!$A$2:$D$70,4,FALSE)</f>
        <v>0</v>
      </c>
      <c r="K693" s="4">
        <f t="shared" si="108"/>
        <v>44660</v>
      </c>
      <c r="L693" s="5">
        <f t="shared" si="109"/>
        <v>4</v>
      </c>
      <c r="M693" s="5">
        <f t="shared" si="110"/>
        <v>2022</v>
      </c>
      <c r="N693" s="6">
        <v>85</v>
      </c>
      <c r="O693" s="6">
        <f t="shared" si="116"/>
        <v>-85</v>
      </c>
      <c r="P693" s="6">
        <f t="shared" si="113"/>
        <v>0</v>
      </c>
      <c r="Q693" s="7">
        <f t="shared" si="111"/>
        <v>1212760.9500000002</v>
      </c>
      <c r="R693" s="44" t="str">
        <f>VLOOKUP(F693,'Set up'!$A$2:$E$70,5,FALSE)</f>
        <v>Trsf</v>
      </c>
      <c r="S693" s="1" t="s">
        <v>808</v>
      </c>
    </row>
    <row r="694" spans="1:19" x14ac:dyDescent="0.3">
      <c r="A694" s="4">
        <v>44663</v>
      </c>
      <c r="B694" s="5">
        <f t="shared" si="106"/>
        <v>4</v>
      </c>
      <c r="C694" s="5">
        <f t="shared" si="107"/>
        <v>2022</v>
      </c>
      <c r="D694" s="5" t="s">
        <v>691</v>
      </c>
      <c r="E694" s="5" t="str">
        <f>VLOOKUP(F694,'Set up'!$A$2:$C$70,2,FALSE)</f>
        <v>C00000022</v>
      </c>
      <c r="F694" s="1" t="s">
        <v>637</v>
      </c>
      <c r="G694" s="11" t="s">
        <v>706</v>
      </c>
      <c r="H694" s="5">
        <v>2</v>
      </c>
      <c r="I694" s="5" t="str">
        <f>VLOOKUP(F694,'Set up'!$A$2:$C$70,3,FALSE)</f>
        <v>Cash</v>
      </c>
      <c r="J694" s="5">
        <f>VLOOKUP(F694,'Set up'!$A$2:$D$70,4,FALSE)</f>
        <v>0</v>
      </c>
      <c r="K694" s="4">
        <f t="shared" si="108"/>
        <v>44663</v>
      </c>
      <c r="L694" s="5">
        <f t="shared" si="109"/>
        <v>4</v>
      </c>
      <c r="M694" s="5">
        <f t="shared" si="110"/>
        <v>2022</v>
      </c>
      <c r="N694" s="6">
        <v>200</v>
      </c>
      <c r="O694" s="6">
        <f t="shared" si="116"/>
        <v>-200</v>
      </c>
      <c r="P694" s="6">
        <f t="shared" si="113"/>
        <v>0</v>
      </c>
      <c r="Q694" s="7">
        <f t="shared" si="111"/>
        <v>1212960.9500000002</v>
      </c>
      <c r="R694" s="44" t="str">
        <f>VLOOKUP(F694,'Set up'!$A$2:$E$70,5,FALSE)</f>
        <v>Trsf</v>
      </c>
      <c r="S694" s="1" t="s">
        <v>807</v>
      </c>
    </row>
    <row r="695" spans="1:19" x14ac:dyDescent="0.3">
      <c r="A695" s="4">
        <v>44663</v>
      </c>
      <c r="B695" s="5">
        <f t="shared" si="106"/>
        <v>4</v>
      </c>
      <c r="C695" s="5">
        <f t="shared" si="107"/>
        <v>2022</v>
      </c>
      <c r="D695" s="5" t="s">
        <v>691</v>
      </c>
      <c r="E695" s="5" t="str">
        <f>VLOOKUP(F695,'Set up'!$A$2:$C$70,2,FALSE)</f>
        <v>C00000022</v>
      </c>
      <c r="F695" s="1" t="s">
        <v>637</v>
      </c>
      <c r="G695" s="11" t="s">
        <v>292</v>
      </c>
      <c r="H695" s="5">
        <v>1</v>
      </c>
      <c r="I695" s="5" t="str">
        <f>VLOOKUP(F695,'Set up'!$A$2:$C$70,3,FALSE)</f>
        <v>Cash</v>
      </c>
      <c r="J695" s="5">
        <f>VLOOKUP(F695,'Set up'!$A$2:$D$70,4,FALSE)</f>
        <v>0</v>
      </c>
      <c r="K695" s="4">
        <f t="shared" si="108"/>
        <v>44663</v>
      </c>
      <c r="L695" s="5">
        <f t="shared" si="109"/>
        <v>4</v>
      </c>
      <c r="M695" s="5">
        <f t="shared" si="110"/>
        <v>2022</v>
      </c>
      <c r="N695" s="6">
        <v>390</v>
      </c>
      <c r="O695" s="6">
        <f t="shared" si="116"/>
        <v>-390</v>
      </c>
      <c r="P695" s="6">
        <f t="shared" si="113"/>
        <v>0</v>
      </c>
      <c r="Q695" s="7">
        <f t="shared" si="111"/>
        <v>1213350.9500000002</v>
      </c>
      <c r="R695" s="44" t="str">
        <f>VLOOKUP(F695,'Set up'!$A$2:$E$70,5,FALSE)</f>
        <v>Trsf</v>
      </c>
      <c r="S695" s="1" t="s">
        <v>807</v>
      </c>
    </row>
    <row r="696" spans="1:19" x14ac:dyDescent="0.3">
      <c r="A696" s="4">
        <v>44664</v>
      </c>
      <c r="B696" s="5">
        <f t="shared" si="106"/>
        <v>4</v>
      </c>
      <c r="C696" s="5">
        <f t="shared" si="107"/>
        <v>2022</v>
      </c>
      <c r="D696" s="5" t="s">
        <v>692</v>
      </c>
      <c r="E696" s="5" t="str">
        <f>VLOOKUP(F696,'Set up'!$A$2:$C$70,2,FALSE)</f>
        <v>C00000024</v>
      </c>
      <c r="F696" s="1" t="s">
        <v>773</v>
      </c>
      <c r="G696" s="11" t="s">
        <v>654</v>
      </c>
      <c r="H696" s="5">
        <v>2</v>
      </c>
      <c r="I696" s="5" t="str">
        <f>VLOOKUP(F696,'Set up'!$A$2:$C$70,3,FALSE)</f>
        <v>Cash</v>
      </c>
      <c r="J696" s="5">
        <f>VLOOKUP(F696,'Set up'!$A$2:$D$70,4,FALSE)</f>
        <v>0</v>
      </c>
      <c r="K696" s="4">
        <f t="shared" si="108"/>
        <v>44664</v>
      </c>
      <c r="L696" s="5">
        <f t="shared" si="109"/>
        <v>4</v>
      </c>
      <c r="M696" s="5">
        <f t="shared" si="110"/>
        <v>2022</v>
      </c>
      <c r="N696" s="6">
        <v>588</v>
      </c>
      <c r="O696" s="6">
        <f t="shared" si="116"/>
        <v>-588</v>
      </c>
      <c r="P696" s="6">
        <f t="shared" si="113"/>
        <v>0</v>
      </c>
      <c r="Q696" s="7">
        <f t="shared" si="111"/>
        <v>1213938.9500000002</v>
      </c>
      <c r="R696" s="44" t="str">
        <f>VLOOKUP(F696,'Set up'!$A$2:$E$70,5,FALSE)</f>
        <v>Trsf</v>
      </c>
      <c r="S696" s="1" t="s">
        <v>745</v>
      </c>
    </row>
    <row r="697" spans="1:19" x14ac:dyDescent="0.3">
      <c r="A697" s="4">
        <v>44664</v>
      </c>
      <c r="B697" s="5">
        <f t="shared" si="106"/>
        <v>4</v>
      </c>
      <c r="C697" s="5">
        <f t="shared" si="107"/>
        <v>2022</v>
      </c>
      <c r="D697" s="5" t="s">
        <v>693</v>
      </c>
      <c r="E697" s="5" t="str">
        <f>VLOOKUP(F697,'Set up'!$A$2:$C$70,2,FALSE)</f>
        <v>C00000020</v>
      </c>
      <c r="F697" s="1" t="s">
        <v>409</v>
      </c>
      <c r="G697" s="11" t="s">
        <v>95</v>
      </c>
      <c r="H697" s="5">
        <v>3</v>
      </c>
      <c r="I697" s="5" t="str">
        <f>VLOOKUP(F697,'Set up'!$A$2:$C$70,3,FALSE)</f>
        <v>Cash</v>
      </c>
      <c r="J697" s="5">
        <f>VLOOKUP(F697,'Set up'!$A$2:$D$70,4,FALSE)</f>
        <v>0</v>
      </c>
      <c r="K697" s="4">
        <f t="shared" si="108"/>
        <v>44664</v>
      </c>
      <c r="L697" s="5">
        <f t="shared" si="109"/>
        <v>4</v>
      </c>
      <c r="M697" s="5">
        <f t="shared" si="110"/>
        <v>2022</v>
      </c>
      <c r="N697" s="6">
        <v>6270</v>
      </c>
      <c r="O697" s="6">
        <f>-3809.8-2460.2</f>
        <v>-6270</v>
      </c>
      <c r="P697" s="6">
        <f t="shared" si="113"/>
        <v>0</v>
      </c>
      <c r="Q697" s="7">
        <f t="shared" si="111"/>
        <v>1220208.9500000002</v>
      </c>
      <c r="R697" s="44" t="str">
        <f>VLOOKUP(F697,'Set up'!$A$2:$E$70,5,FALSE)</f>
        <v>Trsf</v>
      </c>
      <c r="S697" s="1" t="s">
        <v>969</v>
      </c>
    </row>
    <row r="698" spans="1:19" x14ac:dyDescent="0.3">
      <c r="A698" s="4">
        <v>44664</v>
      </c>
      <c r="B698" s="5">
        <f t="shared" si="106"/>
        <v>4</v>
      </c>
      <c r="C698" s="5">
        <f t="shared" si="107"/>
        <v>2022</v>
      </c>
      <c r="D698" s="5" t="s">
        <v>693</v>
      </c>
      <c r="E698" s="5" t="str">
        <f>VLOOKUP(F698,'Set up'!$A$2:$C$70,2,FALSE)</f>
        <v>C00000020</v>
      </c>
      <c r="F698" s="1" t="s">
        <v>409</v>
      </c>
      <c r="G698" s="11" t="s">
        <v>707</v>
      </c>
      <c r="H698" s="5">
        <v>5</v>
      </c>
      <c r="I698" s="5" t="str">
        <f>VLOOKUP(F698,'Set up'!$A$2:$C$70,3,FALSE)</f>
        <v>Cash</v>
      </c>
      <c r="J698" s="5">
        <f>VLOOKUP(F698,'Set up'!$A$2:$D$70,4,FALSE)</f>
        <v>0</v>
      </c>
      <c r="K698" s="4">
        <f t="shared" si="108"/>
        <v>44664</v>
      </c>
      <c r="L698" s="5">
        <f t="shared" si="109"/>
        <v>4</v>
      </c>
      <c r="M698" s="5">
        <f t="shared" si="110"/>
        <v>2022</v>
      </c>
      <c r="N698" s="6">
        <v>2646</v>
      </c>
      <c r="O698" s="6">
        <f>-1539.8-1106.2</f>
        <v>-2646</v>
      </c>
      <c r="P698" s="6">
        <f t="shared" si="113"/>
        <v>0</v>
      </c>
      <c r="Q698" s="7">
        <f t="shared" si="111"/>
        <v>1222854.9500000002</v>
      </c>
      <c r="R698" s="44" t="str">
        <f>VLOOKUP(F698,'Set up'!$A$2:$E$70,5,FALSE)</f>
        <v>Trsf</v>
      </c>
      <c r="S698" s="1" t="s">
        <v>971</v>
      </c>
    </row>
    <row r="699" spans="1:19" x14ac:dyDescent="0.3">
      <c r="A699" s="4">
        <v>44664</v>
      </c>
      <c r="B699" s="5">
        <f t="shared" si="106"/>
        <v>4</v>
      </c>
      <c r="C699" s="5">
        <f t="shared" si="107"/>
        <v>2022</v>
      </c>
      <c r="D699" s="5" t="s">
        <v>693</v>
      </c>
      <c r="E699" s="5" t="str">
        <f>VLOOKUP(F699,'Set up'!$A$2:$C$70,2,FALSE)</f>
        <v>C00000020</v>
      </c>
      <c r="F699" s="1" t="s">
        <v>409</v>
      </c>
      <c r="G699" s="11" t="s">
        <v>655</v>
      </c>
      <c r="H699" s="5">
        <v>6</v>
      </c>
      <c r="I699" s="5" t="str">
        <f>VLOOKUP(F699,'Set up'!$A$2:$C$70,3,FALSE)</f>
        <v>Cash</v>
      </c>
      <c r="J699" s="5">
        <f>VLOOKUP(F699,'Set up'!$A$2:$D$70,4,FALSE)</f>
        <v>0</v>
      </c>
      <c r="K699" s="4">
        <f t="shared" si="108"/>
        <v>44664</v>
      </c>
      <c r="L699" s="5">
        <f t="shared" si="109"/>
        <v>4</v>
      </c>
      <c r="M699" s="5">
        <f t="shared" si="110"/>
        <v>2022</v>
      </c>
      <c r="N699" s="6">
        <v>1872</v>
      </c>
      <c r="O699" s="6">
        <f t="shared" ref="O699:O700" si="117">-N699</f>
        <v>-1872</v>
      </c>
      <c r="P699" s="6">
        <f t="shared" si="113"/>
        <v>0</v>
      </c>
      <c r="Q699" s="7">
        <f t="shared" si="111"/>
        <v>1224726.9500000002</v>
      </c>
      <c r="R699" s="44" t="str">
        <f>VLOOKUP(F699,'Set up'!$A$2:$E$70,5,FALSE)</f>
        <v>Trsf</v>
      </c>
      <c r="S699" s="1" t="s">
        <v>970</v>
      </c>
    </row>
    <row r="700" spans="1:19" x14ac:dyDescent="0.3">
      <c r="A700" s="4">
        <v>44664</v>
      </c>
      <c r="B700" s="5">
        <f t="shared" si="106"/>
        <v>4</v>
      </c>
      <c r="C700" s="5">
        <f t="shared" si="107"/>
        <v>2022</v>
      </c>
      <c r="D700" s="5" t="s">
        <v>693</v>
      </c>
      <c r="E700" s="5" t="str">
        <f>VLOOKUP(F700,'Set up'!$A$2:$C$70,2,FALSE)</f>
        <v>C00000020</v>
      </c>
      <c r="F700" s="1" t="s">
        <v>409</v>
      </c>
      <c r="G700" s="11" t="s">
        <v>64</v>
      </c>
      <c r="H700" s="5">
        <v>3</v>
      </c>
      <c r="I700" s="5" t="str">
        <f>VLOOKUP(F700,'Set up'!$A$2:$C$70,3,FALSE)</f>
        <v>Cash</v>
      </c>
      <c r="J700" s="5">
        <f>VLOOKUP(F700,'Set up'!$A$2:$D$70,4,FALSE)</f>
        <v>0</v>
      </c>
      <c r="K700" s="4">
        <f t="shared" si="108"/>
        <v>44664</v>
      </c>
      <c r="L700" s="5">
        <f t="shared" si="109"/>
        <v>4</v>
      </c>
      <c r="M700" s="5">
        <f t="shared" si="110"/>
        <v>2022</v>
      </c>
      <c r="N700" s="6">
        <v>187.5</v>
      </c>
      <c r="O700" s="6">
        <f t="shared" si="117"/>
        <v>-187.5</v>
      </c>
      <c r="P700" s="6">
        <f t="shared" si="113"/>
        <v>0</v>
      </c>
      <c r="Q700" s="7">
        <f t="shared" si="111"/>
        <v>1224914.4500000002</v>
      </c>
      <c r="R700" s="44" t="str">
        <f>VLOOKUP(F700,'Set up'!$A$2:$E$70,5,FALSE)</f>
        <v>Trsf</v>
      </c>
      <c r="S700" s="1" t="s">
        <v>970</v>
      </c>
    </row>
    <row r="701" spans="1:19" x14ac:dyDescent="0.3">
      <c r="A701" s="4">
        <v>44665</v>
      </c>
      <c r="B701" s="5">
        <f t="shared" si="106"/>
        <v>4</v>
      </c>
      <c r="C701" s="5">
        <f t="shared" si="107"/>
        <v>2022</v>
      </c>
      <c r="D701" s="5" t="s">
        <v>694</v>
      </c>
      <c r="E701" s="5" t="str">
        <f>VLOOKUP(F701,'Set up'!$A$2:$C$70,2,FALSE)</f>
        <v>C00000021</v>
      </c>
      <c r="F701" s="1" t="s">
        <v>491</v>
      </c>
      <c r="G701" s="11" t="s">
        <v>67</v>
      </c>
      <c r="H701" s="5">
        <v>2</v>
      </c>
      <c r="I701" s="5" t="str">
        <f>VLOOKUP(F701,'Set up'!$A$2:$C$70,3,FALSE)</f>
        <v>Cash</v>
      </c>
      <c r="J701" s="5">
        <f>VLOOKUP(F701,'Set up'!$A$2:$D$70,4,FALSE)</f>
        <v>0</v>
      </c>
      <c r="K701" s="4">
        <f t="shared" si="108"/>
        <v>44665</v>
      </c>
      <c r="L701" s="5">
        <f t="shared" si="109"/>
        <v>4</v>
      </c>
      <c r="M701" s="5">
        <f t="shared" si="110"/>
        <v>2022</v>
      </c>
      <c r="N701" s="6">
        <v>4136</v>
      </c>
      <c r="O701" s="6">
        <f>-N701</f>
        <v>-4136</v>
      </c>
      <c r="P701" s="6">
        <f t="shared" si="113"/>
        <v>0</v>
      </c>
      <c r="Q701" s="7">
        <f t="shared" si="111"/>
        <v>1229050.4500000002</v>
      </c>
      <c r="R701" s="44" t="str">
        <f>VLOOKUP(F701,'Set up'!$A$2:$E$70,5,FALSE)</f>
        <v>PD Chq</v>
      </c>
      <c r="S701" s="1" t="s">
        <v>855</v>
      </c>
    </row>
    <row r="702" spans="1:19" x14ac:dyDescent="0.3">
      <c r="A702" s="4">
        <v>44665</v>
      </c>
      <c r="B702" s="5">
        <f t="shared" si="106"/>
        <v>4</v>
      </c>
      <c r="C702" s="5">
        <f t="shared" si="107"/>
        <v>2022</v>
      </c>
      <c r="D702" s="5" t="s">
        <v>694</v>
      </c>
      <c r="E702" s="5" t="str">
        <f>VLOOKUP(F702,'Set up'!$A$2:$C$70,2,FALSE)</f>
        <v>C00000021</v>
      </c>
      <c r="F702" s="1" t="s">
        <v>491</v>
      </c>
      <c r="G702" s="11" t="s">
        <v>654</v>
      </c>
      <c r="H702" s="5">
        <v>5</v>
      </c>
      <c r="I702" s="5" t="str">
        <f>VLOOKUP(F702,'Set up'!$A$2:$C$70,3,FALSE)</f>
        <v>Cash</v>
      </c>
      <c r="J702" s="5">
        <f>VLOOKUP(F702,'Set up'!$A$2:$D$70,4,FALSE)</f>
        <v>0</v>
      </c>
      <c r="K702" s="4">
        <f t="shared" si="108"/>
        <v>44665</v>
      </c>
      <c r="L702" s="5">
        <f t="shared" si="109"/>
        <v>4</v>
      </c>
      <c r="M702" s="5">
        <f t="shared" si="110"/>
        <v>2022</v>
      </c>
      <c r="N702" s="6">
        <v>1440</v>
      </c>
      <c r="O702" s="6">
        <f>-N702</f>
        <v>-1440</v>
      </c>
      <c r="P702" s="6">
        <f t="shared" si="113"/>
        <v>0</v>
      </c>
      <c r="Q702" s="7">
        <f t="shared" si="111"/>
        <v>1230490.4500000002</v>
      </c>
      <c r="R702" s="44" t="str">
        <f>VLOOKUP(F702,'Set up'!$A$2:$E$70,5,FALSE)</f>
        <v>PD Chq</v>
      </c>
      <c r="S702" s="1" t="s">
        <v>855</v>
      </c>
    </row>
    <row r="703" spans="1:19" x14ac:dyDescent="0.3">
      <c r="A703" s="4">
        <v>44665</v>
      </c>
      <c r="B703" s="5">
        <f t="shared" si="106"/>
        <v>4</v>
      </c>
      <c r="C703" s="5">
        <f t="shared" si="107"/>
        <v>2022</v>
      </c>
      <c r="D703" s="5" t="s">
        <v>694</v>
      </c>
      <c r="E703" s="5" t="str">
        <f>VLOOKUP(F703,'Set up'!$A$2:$C$70,2,FALSE)</f>
        <v>C00000021</v>
      </c>
      <c r="F703" s="1" t="s">
        <v>491</v>
      </c>
      <c r="G703" s="11" t="s">
        <v>666</v>
      </c>
      <c r="H703" s="5">
        <v>2</v>
      </c>
      <c r="I703" s="5" t="str">
        <f>VLOOKUP(F703,'Set up'!$A$2:$C$70,3,FALSE)</f>
        <v>Cash</v>
      </c>
      <c r="J703" s="5">
        <f>VLOOKUP(F703,'Set up'!$A$2:$D$70,4,FALSE)</f>
        <v>0</v>
      </c>
      <c r="K703" s="4">
        <f t="shared" si="108"/>
        <v>44665</v>
      </c>
      <c r="L703" s="5">
        <f t="shared" si="109"/>
        <v>4</v>
      </c>
      <c r="M703" s="5">
        <f t="shared" si="110"/>
        <v>2022</v>
      </c>
      <c r="N703" s="6">
        <v>170</v>
      </c>
      <c r="O703" s="6">
        <f>-N703</f>
        <v>-170</v>
      </c>
      <c r="P703" s="6">
        <f t="shared" si="113"/>
        <v>0</v>
      </c>
      <c r="Q703" s="7">
        <f t="shared" si="111"/>
        <v>1230660.4500000002</v>
      </c>
      <c r="R703" s="44" t="str">
        <f>VLOOKUP(F703,'Set up'!$A$2:$E$70,5,FALSE)</f>
        <v>PD Chq</v>
      </c>
      <c r="S703" s="1" t="s">
        <v>855</v>
      </c>
    </row>
    <row r="704" spans="1:19" x14ac:dyDescent="0.3">
      <c r="A704" s="4">
        <v>44666</v>
      </c>
      <c r="B704" s="5">
        <f t="shared" si="106"/>
        <v>4</v>
      </c>
      <c r="C704" s="5">
        <f t="shared" si="107"/>
        <v>2022</v>
      </c>
      <c r="D704" s="5" t="s">
        <v>695</v>
      </c>
      <c r="E704" s="5" t="str">
        <f>VLOOKUP(F704,'Set up'!$A$2:$C$70,2,FALSE)</f>
        <v>C00000024</v>
      </c>
      <c r="F704" s="1" t="s">
        <v>773</v>
      </c>
      <c r="G704" s="11" t="s">
        <v>67</v>
      </c>
      <c r="H704" s="5">
        <v>1</v>
      </c>
      <c r="I704" s="5" t="str">
        <f>VLOOKUP(F704,'Set up'!$A$2:$C$70,3,FALSE)</f>
        <v>Cash</v>
      </c>
      <c r="J704" s="5">
        <f>VLOOKUP(F704,'Set up'!$A$2:$D$70,4,FALSE)</f>
        <v>0</v>
      </c>
      <c r="K704" s="4">
        <f t="shared" si="108"/>
        <v>44666</v>
      </c>
      <c r="L704" s="5">
        <f t="shared" si="109"/>
        <v>4</v>
      </c>
      <c r="M704" s="5">
        <f t="shared" si="110"/>
        <v>2022</v>
      </c>
      <c r="N704" s="6">
        <v>2090</v>
      </c>
      <c r="O704" s="6">
        <f>-N704</f>
        <v>-2090</v>
      </c>
      <c r="P704" s="6">
        <f t="shared" si="113"/>
        <v>0</v>
      </c>
      <c r="Q704" s="7">
        <f t="shared" si="111"/>
        <v>1232750.4500000002</v>
      </c>
      <c r="R704" s="44" t="str">
        <f>VLOOKUP(F704,'Set up'!$A$2:$E$70,5,FALSE)</f>
        <v>Trsf</v>
      </c>
      <c r="S704" s="1" t="s">
        <v>809</v>
      </c>
    </row>
    <row r="705" spans="1:19" x14ac:dyDescent="0.3">
      <c r="A705" s="4">
        <v>44666</v>
      </c>
      <c r="B705" s="5">
        <f t="shared" si="106"/>
        <v>4</v>
      </c>
      <c r="C705" s="5">
        <f t="shared" si="107"/>
        <v>2022</v>
      </c>
      <c r="D705" s="5" t="s">
        <v>695</v>
      </c>
      <c r="E705" s="5" t="str">
        <f>VLOOKUP(F705,'Set up'!$A$2:$C$70,2,FALSE)</f>
        <v>C00000024</v>
      </c>
      <c r="F705" s="1" t="s">
        <v>773</v>
      </c>
      <c r="G705" s="11" t="s">
        <v>666</v>
      </c>
      <c r="H705" s="5">
        <v>1</v>
      </c>
      <c r="I705" s="5" t="str">
        <f>VLOOKUP(F705,'Set up'!$A$2:$C$70,3,FALSE)</f>
        <v>Cash</v>
      </c>
      <c r="J705" s="5">
        <f>VLOOKUP(F705,'Set up'!$A$2:$D$70,4,FALSE)</f>
        <v>0</v>
      </c>
      <c r="K705" s="4">
        <f t="shared" si="108"/>
        <v>44666</v>
      </c>
      <c r="L705" s="5">
        <f t="shared" si="109"/>
        <v>4</v>
      </c>
      <c r="M705" s="5">
        <f t="shared" si="110"/>
        <v>2022</v>
      </c>
      <c r="N705" s="6">
        <v>85</v>
      </c>
      <c r="O705" s="6">
        <f>-N705</f>
        <v>-85</v>
      </c>
      <c r="P705" s="6">
        <f t="shared" si="113"/>
        <v>0</v>
      </c>
      <c r="Q705" s="7">
        <f t="shared" si="111"/>
        <v>1232835.4500000002</v>
      </c>
      <c r="R705" s="44" t="str">
        <f>VLOOKUP(F705,'Set up'!$A$2:$E$70,5,FALSE)</f>
        <v>Trsf</v>
      </c>
      <c r="S705" s="1" t="s">
        <v>809</v>
      </c>
    </row>
    <row r="706" spans="1:19" x14ac:dyDescent="0.3">
      <c r="A706" s="4">
        <v>44667</v>
      </c>
      <c r="B706" s="5">
        <f t="shared" si="106"/>
        <v>4</v>
      </c>
      <c r="C706" s="5">
        <f t="shared" si="107"/>
        <v>2022</v>
      </c>
      <c r="D706" s="5" t="s">
        <v>696</v>
      </c>
      <c r="E706" s="5" t="str">
        <f>VLOOKUP(F706,'Set up'!$A$2:$C$70,2,FALSE)</f>
        <v>C00000020</v>
      </c>
      <c r="F706" s="1" t="s">
        <v>409</v>
      </c>
      <c r="G706" s="11" t="s">
        <v>95</v>
      </c>
      <c r="H706" s="5">
        <v>3</v>
      </c>
      <c r="I706" s="5" t="str">
        <f>VLOOKUP(F706,'Set up'!$A$2:$C$70,3,FALSE)</f>
        <v>Cash</v>
      </c>
      <c r="J706" s="5">
        <f>VLOOKUP(F706,'Set up'!$A$2:$D$70,4,FALSE)</f>
        <v>0</v>
      </c>
      <c r="K706" s="4">
        <f t="shared" si="108"/>
        <v>44667</v>
      </c>
      <c r="L706" s="5">
        <f t="shared" si="109"/>
        <v>4</v>
      </c>
      <c r="M706" s="5">
        <f t="shared" si="110"/>
        <v>2022</v>
      </c>
      <c r="N706" s="6">
        <v>6270</v>
      </c>
      <c r="O706" s="6">
        <f t="shared" ref="O706:O709" si="118">-N706</f>
        <v>-6270</v>
      </c>
      <c r="P706" s="6">
        <f t="shared" si="113"/>
        <v>0</v>
      </c>
      <c r="Q706" s="7">
        <f t="shared" si="111"/>
        <v>1239105.4500000002</v>
      </c>
      <c r="R706" s="44" t="str">
        <f>VLOOKUP(F706,'Set up'!$A$2:$E$70,5,FALSE)</f>
        <v>Trsf</v>
      </c>
      <c r="S706" s="1" t="s">
        <v>970</v>
      </c>
    </row>
    <row r="707" spans="1:19" x14ac:dyDescent="0.3">
      <c r="A707" s="4">
        <v>44667</v>
      </c>
      <c r="B707" s="5">
        <f t="shared" ref="B707:B770" si="119">MONTH(A707)</f>
        <v>4</v>
      </c>
      <c r="C707" s="5">
        <f t="shared" ref="C707:C770" si="120">YEAR(A707)</f>
        <v>2022</v>
      </c>
      <c r="D707" s="5" t="s">
        <v>696</v>
      </c>
      <c r="E707" s="5" t="str">
        <f>VLOOKUP(F707,'Set up'!$A$2:$C$70,2,FALSE)</f>
        <v>C00000020</v>
      </c>
      <c r="F707" s="1" t="s">
        <v>409</v>
      </c>
      <c r="G707" s="11" t="s">
        <v>654</v>
      </c>
      <c r="H707" s="5">
        <v>7</v>
      </c>
      <c r="I707" s="5" t="str">
        <f>VLOOKUP(F707,'Set up'!$A$2:$C$70,3,FALSE)</f>
        <v>Cash</v>
      </c>
      <c r="J707" s="5">
        <f>VLOOKUP(F707,'Set up'!$A$2:$D$70,4,FALSE)</f>
        <v>0</v>
      </c>
      <c r="K707" s="4">
        <f t="shared" ref="K707:K770" si="121">A707+J707</f>
        <v>44667</v>
      </c>
      <c r="L707" s="5">
        <f t="shared" ref="L707:L770" si="122">MONTH(K707)</f>
        <v>4</v>
      </c>
      <c r="M707" s="5">
        <f t="shared" ref="M707:M770" si="123">YEAR(K707)</f>
        <v>2022</v>
      </c>
      <c r="N707" s="6">
        <v>2058</v>
      </c>
      <c r="O707" s="6">
        <f>-N707</f>
        <v>-2058</v>
      </c>
      <c r="P707" s="6">
        <f t="shared" si="113"/>
        <v>0</v>
      </c>
      <c r="Q707" s="7">
        <f t="shared" ref="Q707:Q770" si="124">SUM(Q706+N707)</f>
        <v>1241163.4500000002</v>
      </c>
      <c r="R707" s="44" t="str">
        <f>VLOOKUP(F707,'Set up'!$A$2:$E$70,5,FALSE)</f>
        <v>Trsf</v>
      </c>
      <c r="S707" s="1" t="s">
        <v>970</v>
      </c>
    </row>
    <row r="708" spans="1:19" x14ac:dyDescent="0.3">
      <c r="A708" s="4">
        <v>44667</v>
      </c>
      <c r="B708" s="5">
        <f t="shared" si="119"/>
        <v>4</v>
      </c>
      <c r="C708" s="5">
        <f t="shared" si="120"/>
        <v>2022</v>
      </c>
      <c r="D708" s="5" t="s">
        <v>696</v>
      </c>
      <c r="E708" s="5" t="str">
        <f>VLOOKUP(F708,'Set up'!$A$2:$C$70,2,FALSE)</f>
        <v>C00000020</v>
      </c>
      <c r="F708" s="1" t="s">
        <v>409</v>
      </c>
      <c r="G708" s="11" t="s">
        <v>655</v>
      </c>
      <c r="H708" s="5">
        <v>4</v>
      </c>
      <c r="I708" s="5" t="str">
        <f>VLOOKUP(F708,'Set up'!$A$2:$C$70,3,FALSE)</f>
        <v>Cash</v>
      </c>
      <c r="J708" s="5">
        <f>VLOOKUP(F708,'Set up'!$A$2:$D$70,4,FALSE)</f>
        <v>0</v>
      </c>
      <c r="K708" s="4">
        <f t="shared" si="121"/>
        <v>44667</v>
      </c>
      <c r="L708" s="5">
        <f t="shared" si="122"/>
        <v>4</v>
      </c>
      <c r="M708" s="5">
        <f t="shared" si="123"/>
        <v>2022</v>
      </c>
      <c r="N708" s="6">
        <v>1248</v>
      </c>
      <c r="O708" s="6">
        <f t="shared" si="118"/>
        <v>-1248</v>
      </c>
      <c r="P708" s="6">
        <f t="shared" si="113"/>
        <v>0</v>
      </c>
      <c r="Q708" s="7">
        <f t="shared" si="124"/>
        <v>1242411.4500000002</v>
      </c>
      <c r="R708" s="44" t="str">
        <f>VLOOKUP(F708,'Set up'!$A$2:$E$70,5,FALSE)</f>
        <v>Trsf</v>
      </c>
      <c r="S708" s="1" t="s">
        <v>970</v>
      </c>
    </row>
    <row r="709" spans="1:19" x14ac:dyDescent="0.3">
      <c r="A709" s="4">
        <v>44667</v>
      </c>
      <c r="B709" s="5">
        <f t="shared" si="119"/>
        <v>4</v>
      </c>
      <c r="C709" s="5">
        <f t="shared" si="120"/>
        <v>2022</v>
      </c>
      <c r="D709" s="5" t="s">
        <v>696</v>
      </c>
      <c r="E709" s="5" t="str">
        <f>VLOOKUP(F709,'Set up'!$A$2:$C$70,2,FALSE)</f>
        <v>C00000020</v>
      </c>
      <c r="F709" s="1" t="s">
        <v>409</v>
      </c>
      <c r="G709" s="11" t="s">
        <v>64</v>
      </c>
      <c r="H709" s="5">
        <v>3</v>
      </c>
      <c r="I709" s="5" t="str">
        <f>VLOOKUP(F709,'Set up'!$A$2:$C$70,3,FALSE)</f>
        <v>Cash</v>
      </c>
      <c r="J709" s="5">
        <f>VLOOKUP(F709,'Set up'!$A$2:$D$70,4,FALSE)</f>
        <v>0</v>
      </c>
      <c r="K709" s="4">
        <f t="shared" si="121"/>
        <v>44667</v>
      </c>
      <c r="L709" s="5">
        <f t="shared" si="122"/>
        <v>4</v>
      </c>
      <c r="M709" s="5">
        <f t="shared" si="123"/>
        <v>2022</v>
      </c>
      <c r="N709" s="6">
        <v>187.5</v>
      </c>
      <c r="O709" s="6">
        <f t="shared" si="118"/>
        <v>-187.5</v>
      </c>
      <c r="P709" s="6">
        <f t="shared" si="113"/>
        <v>0</v>
      </c>
      <c r="Q709" s="7">
        <f t="shared" si="124"/>
        <v>1242598.9500000002</v>
      </c>
      <c r="R709" s="44" t="str">
        <f>VLOOKUP(F709,'Set up'!$A$2:$E$70,5,FALSE)</f>
        <v>Trsf</v>
      </c>
      <c r="S709" s="1" t="s">
        <v>970</v>
      </c>
    </row>
    <row r="710" spans="1:19" x14ac:dyDescent="0.3">
      <c r="A710" s="4">
        <v>44667</v>
      </c>
      <c r="B710" s="5">
        <f t="shared" si="119"/>
        <v>4</v>
      </c>
      <c r="C710" s="5">
        <f t="shared" si="120"/>
        <v>2022</v>
      </c>
      <c r="D710" s="5" t="s">
        <v>696</v>
      </c>
      <c r="E710" s="5" t="str">
        <f>VLOOKUP(F710,'Set up'!$A$2:$C$70,2,FALSE)</f>
        <v>C00000020</v>
      </c>
      <c r="F710" s="1" t="s">
        <v>409</v>
      </c>
      <c r="G710" s="11" t="s">
        <v>666</v>
      </c>
      <c r="H710" s="5">
        <v>4</v>
      </c>
      <c r="I710" s="5" t="str">
        <f>VLOOKUP(F710,'Set up'!$A$2:$C$70,3,FALSE)</f>
        <v>Cash</v>
      </c>
      <c r="J710" s="5">
        <f>VLOOKUP(F710,'Set up'!$A$2:$D$70,4,FALSE)</f>
        <v>0</v>
      </c>
      <c r="K710" s="4">
        <f t="shared" si="121"/>
        <v>44667</v>
      </c>
      <c r="L710" s="5">
        <f t="shared" si="122"/>
        <v>4</v>
      </c>
      <c r="M710" s="5">
        <f t="shared" si="123"/>
        <v>2022</v>
      </c>
      <c r="N710" s="6">
        <v>340</v>
      </c>
      <c r="O710" s="6">
        <f>-70.8-269.2</f>
        <v>-340</v>
      </c>
      <c r="P710" s="6">
        <f t="shared" si="113"/>
        <v>0</v>
      </c>
      <c r="Q710" s="7">
        <f t="shared" si="124"/>
        <v>1242938.9500000002</v>
      </c>
      <c r="R710" s="44" t="str">
        <f>VLOOKUP(F710,'Set up'!$A$2:$E$70,5,FALSE)</f>
        <v>Trsf</v>
      </c>
      <c r="S710" s="1" t="s">
        <v>1037</v>
      </c>
    </row>
    <row r="711" spans="1:19" x14ac:dyDescent="0.3">
      <c r="A711" s="4">
        <v>44667</v>
      </c>
      <c r="B711" s="5">
        <f t="shared" si="119"/>
        <v>4</v>
      </c>
      <c r="C711" s="5">
        <f t="shared" si="120"/>
        <v>2022</v>
      </c>
      <c r="D711" s="5" t="s">
        <v>697</v>
      </c>
      <c r="E711" s="5" t="str">
        <f>VLOOKUP(F711,'Set up'!$A$2:$C$70,2,FALSE)</f>
        <v>C00000023</v>
      </c>
      <c r="F711" s="1" t="s">
        <v>665</v>
      </c>
      <c r="G711" s="11" t="s">
        <v>708</v>
      </c>
      <c r="H711" s="5">
        <v>5</v>
      </c>
      <c r="I711" s="5" t="str">
        <f>VLOOKUP(F711,'Set up'!$A$2:$C$70,3,FALSE)</f>
        <v>Cash</v>
      </c>
      <c r="J711" s="5">
        <f>VLOOKUP(F711,'Set up'!$A$2:$D$70,4,FALSE)</f>
        <v>0</v>
      </c>
      <c r="K711" s="4">
        <f t="shared" si="121"/>
        <v>44667</v>
      </c>
      <c r="L711" s="5">
        <f t="shared" si="122"/>
        <v>4</v>
      </c>
      <c r="M711" s="5">
        <f t="shared" si="123"/>
        <v>2022</v>
      </c>
      <c r="N711" s="6">
        <v>10450</v>
      </c>
      <c r="O711" s="6">
        <f>-N711</f>
        <v>-10450</v>
      </c>
      <c r="P711" s="6">
        <f t="shared" si="113"/>
        <v>0</v>
      </c>
      <c r="Q711" s="7">
        <f t="shared" si="124"/>
        <v>1253388.9500000002</v>
      </c>
      <c r="R711" s="44" t="str">
        <f>VLOOKUP(F711,'Set up'!$A$2:$E$70,5,FALSE)</f>
        <v>Trsf</v>
      </c>
      <c r="S711" s="1" t="s">
        <v>812</v>
      </c>
    </row>
    <row r="712" spans="1:19" x14ac:dyDescent="0.3">
      <c r="A712" s="4">
        <v>44667</v>
      </c>
      <c r="B712" s="5">
        <f t="shared" si="119"/>
        <v>4</v>
      </c>
      <c r="C712" s="5">
        <f t="shared" si="120"/>
        <v>2022</v>
      </c>
      <c r="D712" s="5" t="s">
        <v>697</v>
      </c>
      <c r="E712" s="5" t="str">
        <f>VLOOKUP(F712,'Set up'!$A$2:$C$70,2,FALSE)</f>
        <v>C00000023</v>
      </c>
      <c r="F712" s="1" t="s">
        <v>665</v>
      </c>
      <c r="G712" s="11" t="s">
        <v>654</v>
      </c>
      <c r="H712" s="5">
        <v>9</v>
      </c>
      <c r="I712" s="5" t="str">
        <f>VLOOKUP(F712,'Set up'!$A$2:$C$70,3,FALSE)</f>
        <v>Cash</v>
      </c>
      <c r="J712" s="5">
        <f>VLOOKUP(F712,'Set up'!$A$2:$D$70,4,FALSE)</f>
        <v>0</v>
      </c>
      <c r="K712" s="4">
        <f t="shared" si="121"/>
        <v>44667</v>
      </c>
      <c r="L712" s="5">
        <f t="shared" si="122"/>
        <v>4</v>
      </c>
      <c r="M712" s="5">
        <f t="shared" si="123"/>
        <v>2022</v>
      </c>
      <c r="N712" s="6">
        <v>2646</v>
      </c>
      <c r="O712" s="6">
        <f>-N712</f>
        <v>-2646</v>
      </c>
      <c r="P712" s="6">
        <f t="shared" si="113"/>
        <v>0</v>
      </c>
      <c r="Q712" s="7">
        <f t="shared" si="124"/>
        <v>1256034.9500000002</v>
      </c>
      <c r="R712" s="44" t="str">
        <f>VLOOKUP(F712,'Set up'!$A$2:$E$70,5,FALSE)</f>
        <v>Trsf</v>
      </c>
      <c r="S712" s="1" t="s">
        <v>812</v>
      </c>
    </row>
    <row r="713" spans="1:19" ht="15.45" customHeight="1" x14ac:dyDescent="0.3">
      <c r="A713" s="4">
        <v>44667</v>
      </c>
      <c r="B713" s="5">
        <f t="shared" si="119"/>
        <v>4</v>
      </c>
      <c r="C713" s="5">
        <f t="shared" si="120"/>
        <v>2022</v>
      </c>
      <c r="D713" s="5" t="s">
        <v>697</v>
      </c>
      <c r="E713" s="5" t="str">
        <f>VLOOKUP(F713,'Set up'!$A$2:$C$70,2,FALSE)</f>
        <v>C00000023</v>
      </c>
      <c r="F713" s="1" t="s">
        <v>665</v>
      </c>
      <c r="G713" s="11" t="s">
        <v>666</v>
      </c>
      <c r="H713" s="5">
        <v>8</v>
      </c>
      <c r="I713" s="5" t="str">
        <f>VLOOKUP(F713,'Set up'!$A$2:$C$70,3,FALSE)</f>
        <v>Cash</v>
      </c>
      <c r="J713" s="5">
        <f>VLOOKUP(F713,'Set up'!$A$2:$D$70,4,FALSE)</f>
        <v>0</v>
      </c>
      <c r="K713" s="4">
        <f t="shared" si="121"/>
        <v>44667</v>
      </c>
      <c r="L713" s="5">
        <f t="shared" si="122"/>
        <v>4</v>
      </c>
      <c r="M713" s="5">
        <f t="shared" si="123"/>
        <v>2022</v>
      </c>
      <c r="N713" s="6">
        <v>680</v>
      </c>
      <c r="O713" s="6">
        <f>-N713</f>
        <v>-680</v>
      </c>
      <c r="P713" s="6">
        <f t="shared" si="113"/>
        <v>0</v>
      </c>
      <c r="Q713" s="7">
        <f t="shared" si="124"/>
        <v>1256714.9500000002</v>
      </c>
      <c r="R713" s="44" t="str">
        <f>VLOOKUP(F713,'Set up'!$A$2:$E$70,5,FALSE)</f>
        <v>Trsf</v>
      </c>
      <c r="S713" s="1" t="s">
        <v>812</v>
      </c>
    </row>
    <row r="714" spans="1:19" x14ac:dyDescent="0.3">
      <c r="A714" s="4">
        <v>44667</v>
      </c>
      <c r="B714" s="5">
        <f t="shared" si="119"/>
        <v>4</v>
      </c>
      <c r="C714" s="5">
        <f t="shared" si="120"/>
        <v>2022</v>
      </c>
      <c r="D714" s="5" t="s">
        <v>697</v>
      </c>
      <c r="E714" s="5" t="str">
        <f>VLOOKUP(F714,'Set up'!$A$2:$C$70,2,FALSE)</f>
        <v>C00000023</v>
      </c>
      <c r="F714" s="1" t="s">
        <v>665</v>
      </c>
      <c r="G714" s="11" t="s">
        <v>64</v>
      </c>
      <c r="H714" s="5">
        <v>5</v>
      </c>
      <c r="I714" s="5" t="str">
        <f>VLOOKUP(F714,'Set up'!$A$2:$C$70,3,FALSE)</f>
        <v>Cash</v>
      </c>
      <c r="J714" s="5">
        <f>VLOOKUP(F714,'Set up'!$A$2:$D$70,4,FALSE)</f>
        <v>0</v>
      </c>
      <c r="K714" s="4">
        <f t="shared" si="121"/>
        <v>44667</v>
      </c>
      <c r="L714" s="5">
        <f t="shared" si="122"/>
        <v>4</v>
      </c>
      <c r="M714" s="5">
        <f t="shared" si="123"/>
        <v>2022</v>
      </c>
      <c r="N714" s="6">
        <v>312.5</v>
      </c>
      <c r="O714" s="6">
        <f>-N714</f>
        <v>-312.5</v>
      </c>
      <c r="P714" s="6">
        <f t="shared" si="113"/>
        <v>0</v>
      </c>
      <c r="Q714" s="7">
        <f t="shared" si="124"/>
        <v>1257027.4500000002</v>
      </c>
      <c r="R714" s="44" t="str">
        <f>VLOOKUP(F714,'Set up'!$A$2:$E$70,5,FALSE)</f>
        <v>Trsf</v>
      </c>
      <c r="S714" s="1" t="s">
        <v>812</v>
      </c>
    </row>
    <row r="715" spans="1:19" x14ac:dyDescent="0.3">
      <c r="A715" s="4">
        <v>44670</v>
      </c>
      <c r="B715" s="5">
        <f t="shared" si="119"/>
        <v>4</v>
      </c>
      <c r="C715" s="5">
        <f t="shared" si="120"/>
        <v>2022</v>
      </c>
      <c r="D715" s="5" t="s">
        <v>698</v>
      </c>
      <c r="E715" s="5" t="str">
        <f>VLOOKUP(F715,'Set up'!$A$2:$C$70,2,FALSE)</f>
        <v>C00000020</v>
      </c>
      <c r="F715" s="1" t="s">
        <v>409</v>
      </c>
      <c r="G715" s="11" t="s">
        <v>659</v>
      </c>
      <c r="H715" s="5">
        <v>1</v>
      </c>
      <c r="I715" s="5" t="str">
        <f>VLOOKUP(F715,'Set up'!$A$2:$C$70,3,FALSE)</f>
        <v>Cash</v>
      </c>
      <c r="J715" s="5">
        <f>VLOOKUP(F715,'Set up'!$A$2:$D$70,4,FALSE)</f>
        <v>0</v>
      </c>
      <c r="K715" s="4">
        <f t="shared" si="121"/>
        <v>44670</v>
      </c>
      <c r="L715" s="5">
        <f t="shared" si="122"/>
        <v>4</v>
      </c>
      <c r="M715" s="5">
        <f t="shared" si="123"/>
        <v>2022</v>
      </c>
      <c r="N715" s="6">
        <v>1000</v>
      </c>
      <c r="O715" s="6">
        <f t="shared" ref="O715:O717" si="125">-N715</f>
        <v>-1000</v>
      </c>
      <c r="P715" s="6">
        <f t="shared" si="113"/>
        <v>0</v>
      </c>
      <c r="Q715" s="7">
        <f t="shared" si="124"/>
        <v>1258027.4500000002</v>
      </c>
      <c r="R715" s="44" t="str">
        <f>VLOOKUP(F715,'Set up'!$A$2:$E$70,5,FALSE)</f>
        <v>Trsf</v>
      </c>
      <c r="S715" s="1" t="s">
        <v>1038</v>
      </c>
    </row>
    <row r="716" spans="1:19" x14ac:dyDescent="0.3">
      <c r="A716" s="4">
        <v>44670</v>
      </c>
      <c r="B716" s="5">
        <f t="shared" si="119"/>
        <v>4</v>
      </c>
      <c r="C716" s="5">
        <f t="shared" si="120"/>
        <v>2022</v>
      </c>
      <c r="D716" s="5" t="s">
        <v>698</v>
      </c>
      <c r="E716" s="5" t="str">
        <f>VLOOKUP(F716,'Set up'!$A$2:$C$70,2,FALSE)</f>
        <v>C00000020</v>
      </c>
      <c r="F716" s="1" t="s">
        <v>409</v>
      </c>
      <c r="G716" s="11" t="s">
        <v>654</v>
      </c>
      <c r="H716" s="5">
        <v>6</v>
      </c>
      <c r="I716" s="5" t="str">
        <f>VLOOKUP(F716,'Set up'!$A$2:$C$70,3,FALSE)</f>
        <v>Cash</v>
      </c>
      <c r="J716" s="5">
        <f>VLOOKUP(F716,'Set up'!$A$2:$D$70,4,FALSE)</f>
        <v>0</v>
      </c>
      <c r="K716" s="4">
        <f t="shared" si="121"/>
        <v>44670</v>
      </c>
      <c r="L716" s="5">
        <f t="shared" si="122"/>
        <v>4</v>
      </c>
      <c r="M716" s="5">
        <f t="shared" si="123"/>
        <v>2022</v>
      </c>
      <c r="N716" s="6">
        <v>1764</v>
      </c>
      <c r="O716" s="6">
        <f t="shared" si="125"/>
        <v>-1764</v>
      </c>
      <c r="P716" s="6">
        <f t="shared" si="113"/>
        <v>0</v>
      </c>
      <c r="Q716" s="7">
        <f t="shared" si="124"/>
        <v>1259791.4500000002</v>
      </c>
      <c r="R716" s="44" t="str">
        <f>VLOOKUP(F716,'Set up'!$A$2:$E$70,5,FALSE)</f>
        <v>Trsf</v>
      </c>
      <c r="S716" s="1" t="s">
        <v>1038</v>
      </c>
    </row>
    <row r="717" spans="1:19" x14ac:dyDescent="0.3">
      <c r="A717" s="4">
        <v>44670</v>
      </c>
      <c r="B717" s="5">
        <f t="shared" si="119"/>
        <v>4</v>
      </c>
      <c r="C717" s="5">
        <f t="shared" si="120"/>
        <v>2022</v>
      </c>
      <c r="D717" s="5" t="s">
        <v>698</v>
      </c>
      <c r="E717" s="5" t="str">
        <f>VLOOKUP(F717,'Set up'!$A$2:$C$70,2,FALSE)</f>
        <v>C00000020</v>
      </c>
      <c r="F717" s="1" t="s">
        <v>409</v>
      </c>
      <c r="G717" s="11" t="s">
        <v>258</v>
      </c>
      <c r="H717" s="5">
        <v>1</v>
      </c>
      <c r="I717" s="5" t="str">
        <f>VLOOKUP(F717,'Set up'!$A$2:$C$70,3,FALSE)</f>
        <v>Cash</v>
      </c>
      <c r="J717" s="5">
        <f>VLOOKUP(F717,'Set up'!$A$2:$D$70,4,FALSE)</f>
        <v>0</v>
      </c>
      <c r="K717" s="4">
        <f t="shared" si="121"/>
        <v>44670</v>
      </c>
      <c r="L717" s="5">
        <f t="shared" si="122"/>
        <v>4</v>
      </c>
      <c r="M717" s="5">
        <f t="shared" si="123"/>
        <v>2022</v>
      </c>
      <c r="N717" s="6">
        <v>312</v>
      </c>
      <c r="O717" s="6">
        <f t="shared" si="125"/>
        <v>-312</v>
      </c>
      <c r="P717" s="6">
        <f t="shared" si="113"/>
        <v>0</v>
      </c>
      <c r="Q717" s="7">
        <f t="shared" si="124"/>
        <v>1260103.4500000002</v>
      </c>
      <c r="R717" s="44" t="str">
        <f>VLOOKUP(F717,'Set up'!$A$2:$E$70,5,FALSE)</f>
        <v>Trsf</v>
      </c>
      <c r="S717" s="1" t="s">
        <v>1038</v>
      </c>
    </row>
    <row r="718" spans="1:19" x14ac:dyDescent="0.3">
      <c r="A718" s="4">
        <v>44671</v>
      </c>
      <c r="B718" s="5">
        <f t="shared" si="119"/>
        <v>4</v>
      </c>
      <c r="C718" s="5">
        <f t="shared" si="120"/>
        <v>2022</v>
      </c>
      <c r="D718" s="5" t="s">
        <v>699</v>
      </c>
      <c r="E718" s="5" t="str">
        <f>VLOOKUP(F718,'Set up'!$A$2:$C$70,2,FALSE)</f>
        <v>C00000025</v>
      </c>
      <c r="F718" s="1" t="s">
        <v>709</v>
      </c>
      <c r="G718" s="11" t="s">
        <v>711</v>
      </c>
      <c r="H718" s="5">
        <v>2</v>
      </c>
      <c r="I718" s="5" t="str">
        <f>VLOOKUP(F718,'Set up'!$A$2:$C$70,3,FALSE)</f>
        <v>Cash</v>
      </c>
      <c r="J718" s="5">
        <f>VLOOKUP(F718,'Set up'!$A$2:$D$70,4,FALSE)</f>
        <v>0</v>
      </c>
      <c r="K718" s="4">
        <f t="shared" si="121"/>
        <v>44671</v>
      </c>
      <c r="L718" s="5">
        <f t="shared" si="122"/>
        <v>4</v>
      </c>
      <c r="M718" s="5">
        <f t="shared" si="123"/>
        <v>2022</v>
      </c>
      <c r="N718" s="6">
        <v>700</v>
      </c>
      <c r="O718" s="6">
        <f>-N718</f>
        <v>-700</v>
      </c>
      <c r="P718" s="6">
        <f t="shared" si="113"/>
        <v>0</v>
      </c>
      <c r="Q718" s="7">
        <f t="shared" si="124"/>
        <v>1260803.4500000002</v>
      </c>
      <c r="R718" s="44" t="str">
        <f>VLOOKUP(F718,'Set up'!$A$2:$E$70,5,FALSE)</f>
        <v>Trsf</v>
      </c>
      <c r="S718" s="1" t="s">
        <v>747</v>
      </c>
    </row>
    <row r="719" spans="1:19" x14ac:dyDescent="0.3">
      <c r="A719" s="4">
        <v>44671</v>
      </c>
      <c r="B719" s="5">
        <f t="shared" si="119"/>
        <v>4</v>
      </c>
      <c r="C719" s="5">
        <f t="shared" si="120"/>
        <v>2022</v>
      </c>
      <c r="D719" s="5" t="s">
        <v>699</v>
      </c>
      <c r="E719" s="5" t="str">
        <f>VLOOKUP(F719,'Set up'!$A$2:$C$70,2,FALSE)</f>
        <v>C00000025</v>
      </c>
      <c r="F719" s="1" t="s">
        <v>709</v>
      </c>
      <c r="G719" s="11" t="s">
        <v>712</v>
      </c>
      <c r="H719" s="5">
        <v>1</v>
      </c>
      <c r="I719" s="5" t="str">
        <f>VLOOKUP(F719,'Set up'!$A$2:$C$70,3,FALSE)</f>
        <v>Cash</v>
      </c>
      <c r="J719" s="5">
        <f>VLOOKUP(F719,'Set up'!$A$2:$D$70,4,FALSE)</f>
        <v>0</v>
      </c>
      <c r="K719" s="4">
        <f t="shared" si="121"/>
        <v>44671</v>
      </c>
      <c r="L719" s="5">
        <f t="shared" si="122"/>
        <v>4</v>
      </c>
      <c r="M719" s="5">
        <f t="shared" si="123"/>
        <v>2022</v>
      </c>
      <c r="N719" s="6">
        <v>315</v>
      </c>
      <c r="O719" s="6">
        <f>-N719</f>
        <v>-315</v>
      </c>
      <c r="P719" s="6">
        <f t="shared" si="113"/>
        <v>0</v>
      </c>
      <c r="Q719" s="7">
        <f t="shared" si="124"/>
        <v>1261118.4500000002</v>
      </c>
      <c r="R719" s="44" t="str">
        <f>VLOOKUP(F719,'Set up'!$A$2:$E$70,5,FALSE)</f>
        <v>Trsf</v>
      </c>
      <c r="S719" s="1" t="s">
        <v>747</v>
      </c>
    </row>
    <row r="720" spans="1:19" x14ac:dyDescent="0.3">
      <c r="A720" s="4">
        <v>44671</v>
      </c>
      <c r="B720" s="5">
        <f t="shared" si="119"/>
        <v>4</v>
      </c>
      <c r="C720" s="5">
        <f t="shared" si="120"/>
        <v>2022</v>
      </c>
      <c r="D720" s="5" t="s">
        <v>699</v>
      </c>
      <c r="E720" s="5" t="str">
        <f>VLOOKUP(F720,'Set up'!$A$2:$C$70,2,FALSE)</f>
        <v>C00000025</v>
      </c>
      <c r="F720" s="1" t="s">
        <v>709</v>
      </c>
      <c r="G720" s="11" t="s">
        <v>713</v>
      </c>
      <c r="H720" s="5">
        <v>1</v>
      </c>
      <c r="I720" s="5" t="str">
        <f>VLOOKUP(F720,'Set up'!$A$2:$C$70,3,FALSE)</f>
        <v>Cash</v>
      </c>
      <c r="J720" s="5">
        <f>VLOOKUP(F720,'Set up'!$A$2:$D$70,4,FALSE)</f>
        <v>0</v>
      </c>
      <c r="K720" s="4">
        <f t="shared" si="121"/>
        <v>44671</v>
      </c>
      <c r="L720" s="5">
        <f t="shared" si="122"/>
        <v>4</v>
      </c>
      <c r="M720" s="5">
        <f t="shared" si="123"/>
        <v>2022</v>
      </c>
      <c r="N720" s="6">
        <v>90</v>
      </c>
      <c r="O720" s="6">
        <f>-N720</f>
        <v>-90</v>
      </c>
      <c r="P720" s="6">
        <f t="shared" si="113"/>
        <v>0</v>
      </c>
      <c r="Q720" s="7">
        <f t="shared" si="124"/>
        <v>1261208.4500000002</v>
      </c>
      <c r="R720" s="44" t="str">
        <f>VLOOKUP(F720,'Set up'!$A$2:$E$70,5,FALSE)</f>
        <v>Trsf</v>
      </c>
      <c r="S720" s="1" t="s">
        <v>747</v>
      </c>
    </row>
    <row r="721" spans="1:19" x14ac:dyDescent="0.3">
      <c r="A721" s="4">
        <v>44671</v>
      </c>
      <c r="B721" s="5">
        <f t="shared" si="119"/>
        <v>4</v>
      </c>
      <c r="C721" s="5">
        <f t="shared" si="120"/>
        <v>2022</v>
      </c>
      <c r="D721" s="5" t="s">
        <v>699</v>
      </c>
      <c r="E721" s="5" t="str">
        <f>VLOOKUP(F721,'Set up'!$A$2:$C$70,2,FALSE)</f>
        <v>C00000025</v>
      </c>
      <c r="F721" s="1" t="s">
        <v>709</v>
      </c>
      <c r="G721" s="11" t="s">
        <v>714</v>
      </c>
      <c r="H721" s="5">
        <v>1</v>
      </c>
      <c r="I721" s="5" t="str">
        <f>VLOOKUP(F721,'Set up'!$A$2:$C$70,3,FALSE)</f>
        <v>Cash</v>
      </c>
      <c r="J721" s="5">
        <f>VLOOKUP(F721,'Set up'!$A$2:$D$70,4,FALSE)</f>
        <v>0</v>
      </c>
      <c r="K721" s="4">
        <f t="shared" si="121"/>
        <v>44671</v>
      </c>
      <c r="L721" s="5">
        <f t="shared" si="122"/>
        <v>4</v>
      </c>
      <c r="M721" s="5">
        <f t="shared" si="123"/>
        <v>2022</v>
      </c>
      <c r="N721" s="6">
        <v>65</v>
      </c>
      <c r="O721" s="6">
        <f>-N721</f>
        <v>-65</v>
      </c>
      <c r="P721" s="6">
        <f t="shared" si="113"/>
        <v>0</v>
      </c>
      <c r="Q721" s="7">
        <f t="shared" si="124"/>
        <v>1261273.4500000002</v>
      </c>
      <c r="R721" s="44" t="str">
        <f>VLOOKUP(F721,'Set up'!$A$2:$E$70,5,FALSE)</f>
        <v>Trsf</v>
      </c>
      <c r="S721" s="1" t="s">
        <v>747</v>
      </c>
    </row>
    <row r="722" spans="1:19" x14ac:dyDescent="0.3">
      <c r="A722" s="4">
        <v>44672</v>
      </c>
      <c r="B722" s="5">
        <f t="shared" si="119"/>
        <v>4</v>
      </c>
      <c r="C722" s="5">
        <f t="shared" si="120"/>
        <v>2022</v>
      </c>
      <c r="D722" s="5" t="s">
        <v>700</v>
      </c>
      <c r="E722" s="5" t="str">
        <f>VLOOKUP(F722,'Set up'!$A$2:$C$70,2,FALSE)</f>
        <v>C00000004</v>
      </c>
      <c r="F722" s="1" t="s">
        <v>23</v>
      </c>
      <c r="G722" s="11" t="s">
        <v>560</v>
      </c>
      <c r="H722" s="5">
        <v>5</v>
      </c>
      <c r="I722" s="5">
        <f>VLOOKUP(F722,'Set up'!$A$2:$C$70,3,FALSE)</f>
        <v>120</v>
      </c>
      <c r="J722" s="5">
        <f>VLOOKUP(F722,'Set up'!$A$2:$D$70,4,FALSE)</f>
        <v>120</v>
      </c>
      <c r="K722" s="4">
        <f t="shared" si="121"/>
        <v>44792</v>
      </c>
      <c r="L722" s="5">
        <f t="shared" si="122"/>
        <v>8</v>
      </c>
      <c r="M722" s="5">
        <f t="shared" si="123"/>
        <v>2022</v>
      </c>
      <c r="N722" s="6">
        <v>10120</v>
      </c>
      <c r="O722" s="6">
        <f t="shared" ref="O722:O725" si="126">-N722</f>
        <v>-10120</v>
      </c>
      <c r="P722" s="6">
        <f t="shared" si="113"/>
        <v>0</v>
      </c>
      <c r="Q722" s="7">
        <f t="shared" si="124"/>
        <v>1271393.4500000002</v>
      </c>
      <c r="R722" s="44" t="str">
        <f>VLOOKUP(F722,'Set up'!$A$2:$E$70,5,FALSE)</f>
        <v>Chq</v>
      </c>
      <c r="S722" s="1" t="s">
        <v>916</v>
      </c>
    </row>
    <row r="723" spans="1:19" x14ac:dyDescent="0.3">
      <c r="A723" s="4">
        <v>44672</v>
      </c>
      <c r="B723" s="5">
        <f t="shared" si="119"/>
        <v>4</v>
      </c>
      <c r="C723" s="5">
        <f t="shared" si="120"/>
        <v>2022</v>
      </c>
      <c r="D723" s="5" t="s">
        <v>700</v>
      </c>
      <c r="E723" s="5" t="str">
        <f>VLOOKUP(F723,'Set up'!$A$2:$C$70,2,FALSE)</f>
        <v>C00000004</v>
      </c>
      <c r="F723" s="1" t="s">
        <v>23</v>
      </c>
      <c r="G723" s="11" t="s">
        <v>570</v>
      </c>
      <c r="H723" s="5">
        <v>1</v>
      </c>
      <c r="I723" s="5">
        <f>VLOOKUP(F723,'Set up'!$A$2:$C$70,3,FALSE)</f>
        <v>120</v>
      </c>
      <c r="J723" s="5">
        <f>VLOOKUP(F723,'Set up'!$A$2:$D$70,4,FALSE)</f>
        <v>120</v>
      </c>
      <c r="K723" s="4">
        <f t="shared" si="121"/>
        <v>44792</v>
      </c>
      <c r="L723" s="5">
        <f t="shared" si="122"/>
        <v>8</v>
      </c>
      <c r="M723" s="5">
        <f t="shared" si="123"/>
        <v>2022</v>
      </c>
      <c r="N723" s="6">
        <v>2024</v>
      </c>
      <c r="O723" s="6">
        <f t="shared" si="126"/>
        <v>-2024</v>
      </c>
      <c r="P723" s="6">
        <f t="shared" si="113"/>
        <v>0</v>
      </c>
      <c r="Q723" s="7">
        <f t="shared" si="124"/>
        <v>1273417.4500000002</v>
      </c>
      <c r="R723" s="44" t="str">
        <f>VLOOKUP(F723,'Set up'!$A$2:$E$70,5,FALSE)</f>
        <v>Chq</v>
      </c>
      <c r="S723" s="1" t="s">
        <v>916</v>
      </c>
    </row>
    <row r="724" spans="1:19" x14ac:dyDescent="0.3">
      <c r="A724" s="4">
        <v>44672</v>
      </c>
      <c r="B724" s="5">
        <f t="shared" si="119"/>
        <v>4</v>
      </c>
      <c r="C724" s="5">
        <f t="shared" si="120"/>
        <v>2022</v>
      </c>
      <c r="D724" s="5" t="s">
        <v>700</v>
      </c>
      <c r="E724" s="5" t="str">
        <f>VLOOKUP(F724,'Set up'!$A$2:$C$70,2,FALSE)</f>
        <v>C00000004</v>
      </c>
      <c r="F724" s="1" t="s">
        <v>23</v>
      </c>
      <c r="G724" s="11" t="s">
        <v>707</v>
      </c>
      <c r="H724" s="5">
        <v>3</v>
      </c>
      <c r="I724" s="5">
        <f>VLOOKUP(F724,'Set up'!$A$2:$C$70,3,FALSE)</f>
        <v>120</v>
      </c>
      <c r="J724" s="5">
        <f>VLOOKUP(F724,'Set up'!$A$2:$D$70,4,FALSE)</f>
        <v>120</v>
      </c>
      <c r="K724" s="4">
        <f t="shared" si="121"/>
        <v>44792</v>
      </c>
      <c r="L724" s="5">
        <f t="shared" si="122"/>
        <v>8</v>
      </c>
      <c r="M724" s="5">
        <f t="shared" si="123"/>
        <v>2022</v>
      </c>
      <c r="N724" s="6">
        <v>1539</v>
      </c>
      <c r="O724" s="6">
        <f t="shared" si="126"/>
        <v>-1539</v>
      </c>
      <c r="P724" s="6">
        <f t="shared" si="113"/>
        <v>0</v>
      </c>
      <c r="Q724" s="7">
        <f t="shared" si="124"/>
        <v>1274956.4500000002</v>
      </c>
      <c r="R724" s="44" t="str">
        <f>VLOOKUP(F724,'Set up'!$A$2:$E$70,5,FALSE)</f>
        <v>Chq</v>
      </c>
      <c r="S724" s="1" t="s">
        <v>916</v>
      </c>
    </row>
    <row r="725" spans="1:19" x14ac:dyDescent="0.3">
      <c r="A725" s="4">
        <v>44672</v>
      </c>
      <c r="B725" s="5">
        <f t="shared" si="119"/>
        <v>4</v>
      </c>
      <c r="C725" s="5">
        <f t="shared" si="120"/>
        <v>2022</v>
      </c>
      <c r="D725" s="5" t="s">
        <v>700</v>
      </c>
      <c r="E725" s="5" t="str">
        <f>VLOOKUP(F725,'Set up'!$A$2:$C$70,2,FALSE)</f>
        <v>C00000004</v>
      </c>
      <c r="F725" s="1" t="s">
        <v>23</v>
      </c>
      <c r="G725" s="11" t="s">
        <v>703</v>
      </c>
      <c r="H725" s="5">
        <v>3</v>
      </c>
      <c r="I725" s="5">
        <f>VLOOKUP(F725,'Set up'!$A$2:$C$70,3,FALSE)</f>
        <v>120</v>
      </c>
      <c r="J725" s="5">
        <f>VLOOKUP(F725,'Set up'!$A$2:$D$70,4,FALSE)</f>
        <v>120</v>
      </c>
      <c r="K725" s="4">
        <f t="shared" si="121"/>
        <v>44792</v>
      </c>
      <c r="L725" s="5">
        <f t="shared" si="122"/>
        <v>8</v>
      </c>
      <c r="M725" s="5">
        <f t="shared" si="123"/>
        <v>2022</v>
      </c>
      <c r="N725" s="6">
        <v>1539</v>
      </c>
      <c r="O725" s="6">
        <f t="shared" si="126"/>
        <v>-1539</v>
      </c>
      <c r="P725" s="6">
        <f t="shared" ref="P725:P788" si="127">SUM(N725+O725)</f>
        <v>0</v>
      </c>
      <c r="Q725" s="7">
        <f t="shared" si="124"/>
        <v>1276495.4500000002</v>
      </c>
      <c r="R725" s="44" t="str">
        <f>VLOOKUP(F725,'Set up'!$A$2:$E$70,5,FALSE)</f>
        <v>Chq</v>
      </c>
      <c r="S725" s="1" t="s">
        <v>916</v>
      </c>
    </row>
    <row r="726" spans="1:19" x14ac:dyDescent="0.3">
      <c r="A726" s="4">
        <v>44672</v>
      </c>
      <c r="B726" s="5">
        <f t="shared" si="119"/>
        <v>4</v>
      </c>
      <c r="C726" s="5">
        <f t="shared" si="120"/>
        <v>2022</v>
      </c>
      <c r="D726" s="5" t="s">
        <v>701</v>
      </c>
      <c r="E726" s="5" t="str">
        <f>VLOOKUP(F726,'Set up'!$A$2:$C$70,2,FALSE)</f>
        <v>C00000025</v>
      </c>
      <c r="F726" s="1" t="s">
        <v>709</v>
      </c>
      <c r="G726" s="11" t="s">
        <v>293</v>
      </c>
      <c r="H726" s="5">
        <v>1</v>
      </c>
      <c r="I726" s="5" t="str">
        <f>VLOOKUP(F726,'Set up'!$A$2:$C$70,3,FALSE)</f>
        <v>Cash</v>
      </c>
      <c r="J726" s="5">
        <f>VLOOKUP(F726,'Set up'!$A$2:$D$70,4,FALSE)</f>
        <v>0</v>
      </c>
      <c r="K726" s="4">
        <f t="shared" si="121"/>
        <v>44672</v>
      </c>
      <c r="L726" s="5">
        <f t="shared" si="122"/>
        <v>4</v>
      </c>
      <c r="M726" s="5">
        <f t="shared" si="123"/>
        <v>2022</v>
      </c>
      <c r="N726" s="6">
        <v>68</v>
      </c>
      <c r="O726" s="6">
        <f>-N726</f>
        <v>-68</v>
      </c>
      <c r="P726" s="6">
        <f t="shared" si="127"/>
        <v>0</v>
      </c>
      <c r="Q726" s="7">
        <f t="shared" si="124"/>
        <v>1276563.4500000002</v>
      </c>
      <c r="R726" s="44" t="str">
        <f>VLOOKUP(F726,'Set up'!$A$2:$E$70,5,FALSE)</f>
        <v>Trsf</v>
      </c>
      <c r="S726" s="1" t="s">
        <v>748</v>
      </c>
    </row>
    <row r="727" spans="1:19" x14ac:dyDescent="0.3">
      <c r="A727" s="4">
        <v>44672</v>
      </c>
      <c r="B727" s="5">
        <f t="shared" si="119"/>
        <v>4</v>
      </c>
      <c r="C727" s="5">
        <f t="shared" si="120"/>
        <v>2022</v>
      </c>
      <c r="D727" s="5" t="s">
        <v>715</v>
      </c>
      <c r="E727" s="5" t="str">
        <f>VLOOKUP(F727,'Set up'!$A$2:$C$70,2,FALSE)</f>
        <v>C00000001</v>
      </c>
      <c r="F727" s="1" t="s">
        <v>7</v>
      </c>
      <c r="G727" s="11" t="s">
        <v>716</v>
      </c>
      <c r="H727" s="5">
        <v>1</v>
      </c>
      <c r="I727" s="5" t="str">
        <f>VLOOKUP(F727,'Set up'!$A$2:$C$70,3,FALSE)</f>
        <v>Cash</v>
      </c>
      <c r="J727" s="5">
        <f>VLOOKUP(F727,'Set up'!$A$2:$D$70,4,FALSE)</f>
        <v>0</v>
      </c>
      <c r="K727" s="4">
        <f t="shared" si="121"/>
        <v>44672</v>
      </c>
      <c r="L727" s="5">
        <f t="shared" si="122"/>
        <v>4</v>
      </c>
      <c r="M727" s="5">
        <f t="shared" si="123"/>
        <v>2022</v>
      </c>
      <c r="N727" s="6">
        <v>2068</v>
      </c>
      <c r="O727" s="6">
        <f>-N727</f>
        <v>-2068</v>
      </c>
      <c r="P727" s="6">
        <f t="shared" si="127"/>
        <v>0</v>
      </c>
      <c r="Q727" s="7">
        <f t="shared" si="124"/>
        <v>1278631.4500000002</v>
      </c>
      <c r="R727" s="44" t="str">
        <f>VLOOKUP(F727,'Set up'!$A$2:$E$70,5,FALSE)</f>
        <v>Trsf</v>
      </c>
      <c r="S727" s="1" t="s">
        <v>753</v>
      </c>
    </row>
    <row r="728" spans="1:19" x14ac:dyDescent="0.3">
      <c r="A728" s="4">
        <v>44673</v>
      </c>
      <c r="B728" s="5">
        <f t="shared" si="119"/>
        <v>4</v>
      </c>
      <c r="C728" s="5">
        <f t="shared" si="120"/>
        <v>2022</v>
      </c>
      <c r="D728" s="5" t="s">
        <v>715</v>
      </c>
      <c r="E728" s="5" t="str">
        <f>VLOOKUP(F728,'Set up'!$A$2:$C$70,2,FALSE)</f>
        <v>C00000001</v>
      </c>
      <c r="F728" s="1" t="s">
        <v>7</v>
      </c>
      <c r="G728" s="11" t="s">
        <v>717</v>
      </c>
      <c r="H728" s="5">
        <v>4</v>
      </c>
      <c r="I728" s="5" t="str">
        <f>VLOOKUP(F728,'Set up'!$A$2:$C$70,3,FALSE)</f>
        <v>Cash</v>
      </c>
      <c r="J728" s="5">
        <f>VLOOKUP(F728,'Set up'!$A$2:$D$70,4,FALSE)</f>
        <v>0</v>
      </c>
      <c r="K728" s="4">
        <f t="shared" si="121"/>
        <v>44673</v>
      </c>
      <c r="L728" s="5">
        <f t="shared" si="122"/>
        <v>4</v>
      </c>
      <c r="M728" s="5">
        <f t="shared" si="123"/>
        <v>2022</v>
      </c>
      <c r="N728" s="6">
        <v>420</v>
      </c>
      <c r="O728" s="6">
        <f>-N728</f>
        <v>-420</v>
      </c>
      <c r="P728" s="6">
        <f t="shared" si="127"/>
        <v>0</v>
      </c>
      <c r="Q728" s="7">
        <f t="shared" si="124"/>
        <v>1279051.4500000002</v>
      </c>
      <c r="R728" s="44" t="str">
        <f>VLOOKUP(F728,'Set up'!$A$2:$E$70,5,FALSE)</f>
        <v>Trsf</v>
      </c>
      <c r="S728" s="1" t="s">
        <v>753</v>
      </c>
    </row>
    <row r="729" spans="1:19" x14ac:dyDescent="0.3">
      <c r="A729" s="4">
        <v>44674</v>
      </c>
      <c r="B729" s="5">
        <f t="shared" si="119"/>
        <v>4</v>
      </c>
      <c r="C729" s="5">
        <f t="shared" si="120"/>
        <v>2022</v>
      </c>
      <c r="D729" s="5" t="s">
        <v>718</v>
      </c>
      <c r="E729" s="5" t="str">
        <f>VLOOKUP(F729,'Set up'!$A$2:$C$70,2,FALSE)</f>
        <v>C00000020</v>
      </c>
      <c r="F729" s="1" t="s">
        <v>409</v>
      </c>
      <c r="G729" s="11" t="s">
        <v>719</v>
      </c>
      <c r="H729" s="5">
        <v>3</v>
      </c>
      <c r="I729" s="5" t="str">
        <f>VLOOKUP(F729,'Set up'!$A$2:$C$70,3,FALSE)</f>
        <v>Cash</v>
      </c>
      <c r="J729" s="5">
        <f>VLOOKUP(F729,'Set up'!$A$2:$D$70,4,FALSE)</f>
        <v>0</v>
      </c>
      <c r="K729" s="4">
        <f t="shared" si="121"/>
        <v>44674</v>
      </c>
      <c r="L729" s="5">
        <f t="shared" si="122"/>
        <v>4</v>
      </c>
      <c r="M729" s="5">
        <f t="shared" si="123"/>
        <v>2022</v>
      </c>
      <c r="N729" s="6">
        <v>6270</v>
      </c>
      <c r="O729" s="6">
        <f>-1654.8-4000-615.2</f>
        <v>-6270</v>
      </c>
      <c r="P729" s="6">
        <f t="shared" si="127"/>
        <v>0</v>
      </c>
      <c r="Q729" s="7">
        <f t="shared" si="124"/>
        <v>1285321.4500000002</v>
      </c>
      <c r="R729" s="44" t="str">
        <f>VLOOKUP(F729,'Set up'!$A$2:$E$70,5,FALSE)</f>
        <v>Trsf</v>
      </c>
      <c r="S729" s="1" t="s">
        <v>1041</v>
      </c>
    </row>
    <row r="730" spans="1:19" x14ac:dyDescent="0.3">
      <c r="A730" s="4">
        <v>44674</v>
      </c>
      <c r="B730" s="5">
        <f t="shared" si="119"/>
        <v>4</v>
      </c>
      <c r="C730" s="5">
        <f t="shared" si="120"/>
        <v>2022</v>
      </c>
      <c r="D730" s="5" t="s">
        <v>718</v>
      </c>
      <c r="E730" s="5" t="str">
        <f>VLOOKUP(F730,'Set up'!$A$2:$C$70,2,FALSE)</f>
        <v>C00000020</v>
      </c>
      <c r="F730" s="1" t="s">
        <v>409</v>
      </c>
      <c r="G730" s="11" t="s">
        <v>654</v>
      </c>
      <c r="H730" s="5">
        <v>8</v>
      </c>
      <c r="I730" s="5" t="str">
        <f>VLOOKUP(F730,'Set up'!$A$2:$C$70,3,FALSE)</f>
        <v>Cash</v>
      </c>
      <c r="J730" s="5">
        <f>VLOOKUP(F730,'Set up'!$A$2:$D$70,4,FALSE)</f>
        <v>0</v>
      </c>
      <c r="K730" s="4">
        <f t="shared" si="121"/>
        <v>44674</v>
      </c>
      <c r="L730" s="5">
        <f t="shared" si="122"/>
        <v>4</v>
      </c>
      <c r="M730" s="5">
        <f t="shared" si="123"/>
        <v>2022</v>
      </c>
      <c r="N730" s="6">
        <v>2352</v>
      </c>
      <c r="O730" s="6">
        <f t="shared" ref="O730" si="128">-N730</f>
        <v>-2352</v>
      </c>
      <c r="P730" s="6">
        <f t="shared" si="127"/>
        <v>0</v>
      </c>
      <c r="Q730" s="7">
        <f t="shared" si="124"/>
        <v>1287673.4500000002</v>
      </c>
      <c r="R730" s="44" t="str">
        <f>VLOOKUP(F730,'Set up'!$A$2:$E$70,5,FALSE)</f>
        <v>Trsf</v>
      </c>
      <c r="S730" s="1" t="s">
        <v>1039</v>
      </c>
    </row>
    <row r="731" spans="1:19" x14ac:dyDescent="0.3">
      <c r="A731" s="4">
        <v>44674</v>
      </c>
      <c r="B731" s="5">
        <f t="shared" si="119"/>
        <v>4</v>
      </c>
      <c r="C731" s="5">
        <f t="shared" si="120"/>
        <v>2022</v>
      </c>
      <c r="D731" s="5" t="s">
        <v>718</v>
      </c>
      <c r="E731" s="5" t="str">
        <f>VLOOKUP(F731,'Set up'!$A$2:$C$70,2,FALSE)</f>
        <v>C00000020</v>
      </c>
      <c r="F731" s="1" t="s">
        <v>409</v>
      </c>
      <c r="G731" s="11" t="s">
        <v>414</v>
      </c>
      <c r="H731" s="5">
        <v>4</v>
      </c>
      <c r="I731" s="5" t="str">
        <f>VLOOKUP(F731,'Set up'!$A$2:$C$70,3,FALSE)</f>
        <v>Cash</v>
      </c>
      <c r="J731" s="5">
        <f>VLOOKUP(F731,'Set up'!$A$2:$D$70,4,FALSE)</f>
        <v>0</v>
      </c>
      <c r="K731" s="4">
        <f t="shared" si="121"/>
        <v>44674</v>
      </c>
      <c r="L731" s="5">
        <f t="shared" si="122"/>
        <v>4</v>
      </c>
      <c r="M731" s="5">
        <f t="shared" si="123"/>
        <v>2022</v>
      </c>
      <c r="N731" s="6">
        <v>1404</v>
      </c>
      <c r="O731" s="6">
        <f>-1032.8-371.2</f>
        <v>-1404</v>
      </c>
      <c r="Q731" s="7">
        <f t="shared" si="124"/>
        <v>1289077.4500000002</v>
      </c>
      <c r="R731" s="44" t="str">
        <f>VLOOKUP(F731,'Set up'!$A$2:$E$70,5,FALSE)</f>
        <v>Trsf</v>
      </c>
      <c r="S731" s="1" t="s">
        <v>1042</v>
      </c>
    </row>
    <row r="732" spans="1:19" x14ac:dyDescent="0.3">
      <c r="A732" s="4">
        <v>44674</v>
      </c>
      <c r="B732" s="5">
        <f t="shared" si="119"/>
        <v>4</v>
      </c>
      <c r="C732" s="5">
        <f t="shared" si="120"/>
        <v>2022</v>
      </c>
      <c r="D732" s="5" t="s">
        <v>718</v>
      </c>
      <c r="E732" s="5" t="str">
        <f>VLOOKUP(F732,'Set up'!$A$2:$C$70,2,FALSE)</f>
        <v>C00000020</v>
      </c>
      <c r="F732" s="1" t="s">
        <v>409</v>
      </c>
      <c r="G732" s="11" t="s">
        <v>64</v>
      </c>
      <c r="H732" s="5">
        <v>2</v>
      </c>
      <c r="I732" s="5" t="str">
        <f>VLOOKUP(F732,'Set up'!$A$2:$C$70,3,FALSE)</f>
        <v>Cash</v>
      </c>
      <c r="J732" s="5">
        <f>VLOOKUP(F732,'Set up'!$A$2:$D$70,4,FALSE)</f>
        <v>0</v>
      </c>
      <c r="K732" s="4">
        <f t="shared" si="121"/>
        <v>44674</v>
      </c>
      <c r="L732" s="5">
        <f t="shared" si="122"/>
        <v>4</v>
      </c>
      <c r="M732" s="5">
        <f t="shared" si="123"/>
        <v>2022</v>
      </c>
      <c r="N732" s="6">
        <v>125</v>
      </c>
      <c r="O732" s="6">
        <f t="shared" ref="O732:O733" si="129">-N732</f>
        <v>-125</v>
      </c>
      <c r="P732" s="6">
        <f t="shared" si="127"/>
        <v>0</v>
      </c>
      <c r="Q732" s="7">
        <f t="shared" si="124"/>
        <v>1289202.4500000002</v>
      </c>
      <c r="R732" s="44" t="str">
        <f>VLOOKUP(F732,'Set up'!$A$2:$E$70,5,FALSE)</f>
        <v>Trsf</v>
      </c>
      <c r="S732" s="1" t="s">
        <v>1035</v>
      </c>
    </row>
    <row r="733" spans="1:19" x14ac:dyDescent="0.3">
      <c r="A733" s="4">
        <v>44674</v>
      </c>
      <c r="B733" s="5">
        <f t="shared" si="119"/>
        <v>4</v>
      </c>
      <c r="C733" s="5">
        <f t="shared" si="120"/>
        <v>2022</v>
      </c>
      <c r="D733" s="5" t="s">
        <v>718</v>
      </c>
      <c r="E733" s="5" t="str">
        <f>VLOOKUP(F733,'Set up'!$A$2:$C$70,2,FALSE)</f>
        <v>C00000020</v>
      </c>
      <c r="F733" s="1" t="s">
        <v>409</v>
      </c>
      <c r="G733" s="11" t="s">
        <v>659</v>
      </c>
      <c r="H733" s="5">
        <v>1</v>
      </c>
      <c r="I733" s="5" t="str">
        <f>VLOOKUP(F733,'Set up'!$A$2:$C$70,3,FALSE)</f>
        <v>Cash</v>
      </c>
      <c r="J733" s="5">
        <f>VLOOKUP(F733,'Set up'!$A$2:$D$70,4,FALSE)</f>
        <v>0</v>
      </c>
      <c r="K733" s="4">
        <f t="shared" si="121"/>
        <v>44674</v>
      </c>
      <c r="L733" s="5">
        <f t="shared" si="122"/>
        <v>4</v>
      </c>
      <c r="M733" s="5">
        <f t="shared" si="123"/>
        <v>2022</v>
      </c>
      <c r="N733" s="6">
        <v>1000</v>
      </c>
      <c r="O733" s="6">
        <f t="shared" si="129"/>
        <v>-1000</v>
      </c>
      <c r="P733" s="6">
        <f t="shared" si="127"/>
        <v>0</v>
      </c>
      <c r="Q733" s="7">
        <f t="shared" si="124"/>
        <v>1290202.4500000002</v>
      </c>
      <c r="R733" s="44" t="str">
        <f>VLOOKUP(F733,'Set up'!$A$2:$E$70,5,FALSE)</f>
        <v>Trsf</v>
      </c>
      <c r="S733" s="1" t="s">
        <v>1035</v>
      </c>
    </row>
    <row r="734" spans="1:19" x14ac:dyDescent="0.3">
      <c r="A734" s="4" t="s">
        <v>721</v>
      </c>
      <c r="B734" s="5">
        <f t="shared" si="119"/>
        <v>4</v>
      </c>
      <c r="C734" s="5">
        <f t="shared" si="120"/>
        <v>2022</v>
      </c>
      <c r="D734" s="5" t="s">
        <v>720</v>
      </c>
      <c r="E734" s="5" t="str">
        <f>VLOOKUP(F734,'Set up'!$A$2:$C$70,2,FALSE)</f>
        <v>C00000023</v>
      </c>
      <c r="F734" s="1" t="s">
        <v>665</v>
      </c>
      <c r="G734" s="11" t="s">
        <v>719</v>
      </c>
      <c r="H734" s="5">
        <v>1</v>
      </c>
      <c r="I734" s="5" t="str">
        <f>VLOOKUP(F734,'Set up'!$A$2:$C$70,3,FALSE)</f>
        <v>Cash</v>
      </c>
      <c r="J734" s="5">
        <f>VLOOKUP(F734,'Set up'!$A$2:$D$70,4,FALSE)</f>
        <v>0</v>
      </c>
      <c r="K734" s="4">
        <f t="shared" si="121"/>
        <v>44677</v>
      </c>
      <c r="L734" s="5">
        <f t="shared" si="122"/>
        <v>4</v>
      </c>
      <c r="M734" s="5">
        <f t="shared" si="123"/>
        <v>2022</v>
      </c>
      <c r="N734" s="6">
        <v>2090</v>
      </c>
      <c r="O734" s="6">
        <f>-N734</f>
        <v>-2090</v>
      </c>
      <c r="P734" s="6">
        <f t="shared" si="127"/>
        <v>0</v>
      </c>
      <c r="Q734" s="7">
        <f t="shared" si="124"/>
        <v>1292292.4500000002</v>
      </c>
      <c r="R734" s="44" t="str">
        <f>VLOOKUP(F734,'Set up'!$A$2:$E$70,5,FALSE)</f>
        <v>Trsf</v>
      </c>
      <c r="S734" s="1" t="s">
        <v>751</v>
      </c>
    </row>
    <row r="735" spans="1:19" x14ac:dyDescent="0.3">
      <c r="A735" s="4" t="s">
        <v>721</v>
      </c>
      <c r="B735" s="5">
        <f t="shared" si="119"/>
        <v>4</v>
      </c>
      <c r="C735" s="5">
        <f t="shared" si="120"/>
        <v>2022</v>
      </c>
      <c r="D735" s="5" t="s">
        <v>720</v>
      </c>
      <c r="E735" s="5" t="str">
        <f>VLOOKUP(F735,'Set up'!$A$2:$C$70,2,FALSE)</f>
        <v>C00000023</v>
      </c>
      <c r="F735" s="1" t="s">
        <v>665</v>
      </c>
      <c r="G735" s="11" t="s">
        <v>654</v>
      </c>
      <c r="H735" s="5">
        <v>3</v>
      </c>
      <c r="I735" s="5" t="str">
        <f>VLOOKUP(F735,'Set up'!$A$2:$C$70,3,FALSE)</f>
        <v>Cash</v>
      </c>
      <c r="J735" s="5">
        <f>VLOOKUP(F735,'Set up'!$A$2:$D$70,4,FALSE)</f>
        <v>0</v>
      </c>
      <c r="K735" s="4">
        <f t="shared" si="121"/>
        <v>44677</v>
      </c>
      <c r="L735" s="5">
        <f t="shared" si="122"/>
        <v>4</v>
      </c>
      <c r="M735" s="5">
        <f t="shared" si="123"/>
        <v>2022</v>
      </c>
      <c r="N735" s="6">
        <v>882</v>
      </c>
      <c r="O735" s="6">
        <f>-N735</f>
        <v>-882</v>
      </c>
      <c r="P735" s="6">
        <f t="shared" si="127"/>
        <v>0</v>
      </c>
      <c r="Q735" s="7">
        <f t="shared" si="124"/>
        <v>1293174.4500000002</v>
      </c>
      <c r="R735" s="44" t="str">
        <f>VLOOKUP(F735,'Set up'!$A$2:$E$70,5,FALSE)</f>
        <v>Trsf</v>
      </c>
      <c r="S735" s="1" t="s">
        <v>751</v>
      </c>
    </row>
    <row r="736" spans="1:19" x14ac:dyDescent="0.3">
      <c r="A736" s="4" t="s">
        <v>721</v>
      </c>
      <c r="B736" s="5">
        <f t="shared" si="119"/>
        <v>4</v>
      </c>
      <c r="C736" s="5">
        <f t="shared" si="120"/>
        <v>2022</v>
      </c>
      <c r="D736" s="5" t="s">
        <v>720</v>
      </c>
      <c r="E736" s="5" t="str">
        <f>VLOOKUP(F736,'Set up'!$A$2:$C$70,2,FALSE)</f>
        <v>C00000023</v>
      </c>
      <c r="F736" s="1" t="s">
        <v>665</v>
      </c>
      <c r="G736" s="11" t="s">
        <v>414</v>
      </c>
      <c r="H736" s="5">
        <v>2</v>
      </c>
      <c r="I736" s="5" t="str">
        <f>VLOOKUP(F736,'Set up'!$A$2:$C$70,3,FALSE)</f>
        <v>Cash</v>
      </c>
      <c r="J736" s="5">
        <f>VLOOKUP(F736,'Set up'!$A$2:$D$70,4,FALSE)</f>
        <v>0</v>
      </c>
      <c r="K736" s="4">
        <f t="shared" si="121"/>
        <v>44677</v>
      </c>
      <c r="L736" s="5">
        <f t="shared" si="122"/>
        <v>4</v>
      </c>
      <c r="M736" s="5">
        <f t="shared" si="123"/>
        <v>2022</v>
      </c>
      <c r="N736" s="6">
        <v>702</v>
      </c>
      <c r="O736" s="6">
        <f>-N736</f>
        <v>-702</v>
      </c>
      <c r="P736" s="6">
        <f t="shared" si="127"/>
        <v>0</v>
      </c>
      <c r="Q736" s="7">
        <f t="shared" si="124"/>
        <v>1293876.4500000002</v>
      </c>
      <c r="R736" s="44" t="str">
        <f>VLOOKUP(F736,'Set up'!$A$2:$E$70,5,FALSE)</f>
        <v>Trsf</v>
      </c>
      <c r="S736" s="1" t="s">
        <v>751</v>
      </c>
    </row>
    <row r="737" spans="1:19" x14ac:dyDescent="0.3">
      <c r="A737" s="4" t="s">
        <v>721</v>
      </c>
      <c r="B737" s="5">
        <f t="shared" si="119"/>
        <v>4</v>
      </c>
      <c r="C737" s="5">
        <f t="shared" si="120"/>
        <v>2022</v>
      </c>
      <c r="D737" s="5" t="s">
        <v>720</v>
      </c>
      <c r="E737" s="5" t="str">
        <f>VLOOKUP(F737,'Set up'!$A$2:$C$70,2,FALSE)</f>
        <v>C00000023</v>
      </c>
      <c r="F737" s="1" t="s">
        <v>665</v>
      </c>
      <c r="G737" s="11" t="s">
        <v>64</v>
      </c>
      <c r="H737" s="5">
        <v>2</v>
      </c>
      <c r="I737" s="5" t="str">
        <f>VLOOKUP(F737,'Set up'!$A$2:$C$70,3,FALSE)</f>
        <v>Cash</v>
      </c>
      <c r="J737" s="5">
        <f>VLOOKUP(F737,'Set up'!$A$2:$D$70,4,FALSE)</f>
        <v>0</v>
      </c>
      <c r="K737" s="4">
        <f t="shared" si="121"/>
        <v>44677</v>
      </c>
      <c r="L737" s="5">
        <f t="shared" si="122"/>
        <v>4</v>
      </c>
      <c r="M737" s="5">
        <f t="shared" si="123"/>
        <v>2022</v>
      </c>
      <c r="N737" s="6">
        <v>125</v>
      </c>
      <c r="O737" s="6">
        <f>-N737</f>
        <v>-125</v>
      </c>
      <c r="P737" s="6">
        <f t="shared" si="127"/>
        <v>0</v>
      </c>
      <c r="Q737" s="7">
        <f t="shared" si="124"/>
        <v>1294001.4500000002</v>
      </c>
      <c r="R737" s="44" t="str">
        <f>VLOOKUP(F737,'Set up'!$A$2:$E$70,5,FALSE)</f>
        <v>Trsf</v>
      </c>
      <c r="S737" s="1" t="s">
        <v>751</v>
      </c>
    </row>
    <row r="738" spans="1:19" x14ac:dyDescent="0.3">
      <c r="A738" s="4">
        <v>44678</v>
      </c>
      <c r="B738" s="5">
        <f t="shared" si="119"/>
        <v>4</v>
      </c>
      <c r="C738" s="5">
        <f t="shared" si="120"/>
        <v>2022</v>
      </c>
      <c r="D738" s="5" t="s">
        <v>723</v>
      </c>
      <c r="E738" s="5" t="str">
        <f>VLOOKUP(F738,'Set up'!$A$2:$C$70,2,FALSE)</f>
        <v>C00000010</v>
      </c>
      <c r="F738" s="1" t="s">
        <v>62</v>
      </c>
      <c r="G738" s="11" t="s">
        <v>722</v>
      </c>
      <c r="H738" s="5">
        <v>5</v>
      </c>
      <c r="I738" s="5">
        <f>VLOOKUP(F738,'Set up'!$A$2:$C$70,3,FALSE)</f>
        <v>120</v>
      </c>
      <c r="J738" s="5">
        <f>VLOOKUP(F738,'Set up'!$A$2:$D$70,4,FALSE)</f>
        <v>120</v>
      </c>
      <c r="K738" s="4">
        <f t="shared" si="121"/>
        <v>44798</v>
      </c>
      <c r="L738" s="5">
        <f t="shared" si="122"/>
        <v>8</v>
      </c>
      <c r="M738" s="5">
        <f t="shared" si="123"/>
        <v>2022</v>
      </c>
      <c r="N738" s="6">
        <v>9900</v>
      </c>
      <c r="O738" s="6">
        <f t="shared" ref="O738:O739" si="130">-N738</f>
        <v>-9900</v>
      </c>
      <c r="P738" s="6">
        <f t="shared" si="127"/>
        <v>0</v>
      </c>
      <c r="Q738" s="7">
        <f t="shared" si="124"/>
        <v>1303901.4500000002</v>
      </c>
      <c r="R738" s="44" t="str">
        <f>VLOOKUP(F738,'Set up'!$A$2:$E$70,5,FALSE)</f>
        <v>Trsf</v>
      </c>
      <c r="S738" s="1" t="s">
        <v>888</v>
      </c>
    </row>
    <row r="739" spans="1:19" x14ac:dyDescent="0.3">
      <c r="A739" s="4">
        <v>44678</v>
      </c>
      <c r="B739" s="5">
        <f t="shared" si="119"/>
        <v>4</v>
      </c>
      <c r="C739" s="5">
        <f t="shared" si="120"/>
        <v>2022</v>
      </c>
      <c r="D739" s="5" t="s">
        <v>723</v>
      </c>
      <c r="E739" s="5" t="str">
        <f>VLOOKUP(F739,'Set up'!$A$2:$C$70,2,FALSE)</f>
        <v>C00000010</v>
      </c>
      <c r="F739" s="1" t="s">
        <v>62</v>
      </c>
      <c r="G739" s="11" t="s">
        <v>566</v>
      </c>
      <c r="H739" s="5">
        <v>12</v>
      </c>
      <c r="I739" s="5">
        <f>VLOOKUP(F739,'Set up'!$A$2:$C$70,3,FALSE)</f>
        <v>120</v>
      </c>
      <c r="J739" s="5">
        <f>VLOOKUP(F739,'Set up'!$A$2:$D$70,4,FALSE)</f>
        <v>120</v>
      </c>
      <c r="K739" s="4">
        <f t="shared" si="121"/>
        <v>44798</v>
      </c>
      <c r="L739" s="5">
        <f t="shared" si="122"/>
        <v>8</v>
      </c>
      <c r="M739" s="5">
        <f t="shared" si="123"/>
        <v>2022</v>
      </c>
      <c r="N739" s="6">
        <v>1260</v>
      </c>
      <c r="O739" s="6">
        <f t="shared" si="130"/>
        <v>-1260</v>
      </c>
      <c r="P739" s="6">
        <f t="shared" si="127"/>
        <v>0</v>
      </c>
      <c r="Q739" s="7">
        <f t="shared" si="124"/>
        <v>1305161.4500000002</v>
      </c>
      <c r="R739" s="44" t="str">
        <f>VLOOKUP(F739,'Set up'!$A$2:$E$70,5,FALSE)</f>
        <v>Trsf</v>
      </c>
      <c r="S739" s="1" t="s">
        <v>888</v>
      </c>
    </row>
    <row r="740" spans="1:19" x14ac:dyDescent="0.3">
      <c r="A740" s="4">
        <v>44679</v>
      </c>
      <c r="B740" s="5">
        <f t="shared" si="119"/>
        <v>4</v>
      </c>
      <c r="C740" s="5">
        <f t="shared" si="120"/>
        <v>2022</v>
      </c>
      <c r="D740" s="5" t="s">
        <v>724</v>
      </c>
      <c r="E740" s="5" t="str">
        <f>VLOOKUP(F740,'Set up'!$A$2:$C$70,2,FALSE)</f>
        <v>C00000021</v>
      </c>
      <c r="F740" s="1" t="s">
        <v>491</v>
      </c>
      <c r="G740" s="11" t="s">
        <v>67</v>
      </c>
      <c r="H740" s="5">
        <v>2</v>
      </c>
      <c r="I740" s="5" t="str">
        <f>VLOOKUP(F740,'Set up'!$A$2:$C$70,3,FALSE)</f>
        <v>Cash</v>
      </c>
      <c r="J740" s="5">
        <f>VLOOKUP(F740,'Set up'!$A$2:$D$70,4,FALSE)</f>
        <v>0</v>
      </c>
      <c r="K740" s="4">
        <f t="shared" si="121"/>
        <v>44679</v>
      </c>
      <c r="L740" s="5">
        <f t="shared" si="122"/>
        <v>4</v>
      </c>
      <c r="M740" s="5">
        <f t="shared" si="123"/>
        <v>2022</v>
      </c>
      <c r="N740" s="6">
        <v>4136</v>
      </c>
      <c r="O740" s="6">
        <f>-N740</f>
        <v>-4136</v>
      </c>
      <c r="P740" s="6">
        <f t="shared" si="127"/>
        <v>0</v>
      </c>
      <c r="Q740" s="7">
        <f t="shared" si="124"/>
        <v>1309297.4500000002</v>
      </c>
      <c r="R740" s="44" t="str">
        <f>VLOOKUP(F740,'Set up'!$A$2:$E$70,5,FALSE)</f>
        <v>PD Chq</v>
      </c>
      <c r="S740" s="1" t="s">
        <v>879</v>
      </c>
    </row>
    <row r="741" spans="1:19" x14ac:dyDescent="0.3">
      <c r="A741" s="4">
        <v>44679</v>
      </c>
      <c r="B741" s="5">
        <f t="shared" si="119"/>
        <v>4</v>
      </c>
      <c r="C741" s="5">
        <f t="shared" si="120"/>
        <v>2022</v>
      </c>
      <c r="D741" s="5" t="s">
        <v>724</v>
      </c>
      <c r="E741" s="5" t="str">
        <f>VLOOKUP(F741,'Set up'!$A$2:$C$70,2,FALSE)</f>
        <v>C00000021</v>
      </c>
      <c r="F741" s="1" t="s">
        <v>491</v>
      </c>
      <c r="G741" s="11" t="s">
        <v>654</v>
      </c>
      <c r="H741" s="5">
        <v>4</v>
      </c>
      <c r="I741" s="5" t="str">
        <f>VLOOKUP(F741,'Set up'!$A$2:$C$70,3,FALSE)</f>
        <v>Cash</v>
      </c>
      <c r="J741" s="5">
        <f>VLOOKUP(F741,'Set up'!$A$2:$D$70,4,FALSE)</f>
        <v>0</v>
      </c>
      <c r="K741" s="4">
        <f t="shared" si="121"/>
        <v>44679</v>
      </c>
      <c r="L741" s="5">
        <f t="shared" si="122"/>
        <v>4</v>
      </c>
      <c r="M741" s="5">
        <f t="shared" si="123"/>
        <v>2022</v>
      </c>
      <c r="N741" s="6">
        <v>1152</v>
      </c>
      <c r="O741" s="6">
        <f>-N741</f>
        <v>-1152</v>
      </c>
      <c r="P741" s="6">
        <f t="shared" si="127"/>
        <v>0</v>
      </c>
      <c r="Q741" s="7">
        <f t="shared" si="124"/>
        <v>1310449.4500000002</v>
      </c>
      <c r="R741" s="44" t="str">
        <f>VLOOKUP(F741,'Set up'!$A$2:$E$70,5,FALSE)</f>
        <v>PD Chq</v>
      </c>
      <c r="S741" s="1" t="s">
        <v>879</v>
      </c>
    </row>
    <row r="742" spans="1:19" x14ac:dyDescent="0.3">
      <c r="A742" s="4">
        <v>44679</v>
      </c>
      <c r="B742" s="5">
        <f t="shared" si="119"/>
        <v>4</v>
      </c>
      <c r="C742" s="5">
        <f t="shared" si="120"/>
        <v>2022</v>
      </c>
      <c r="D742" s="5" t="s">
        <v>724</v>
      </c>
      <c r="E742" s="5" t="str">
        <f>VLOOKUP(F742,'Set up'!$A$2:$C$70,2,FALSE)</f>
        <v>C00000021</v>
      </c>
      <c r="F742" s="1" t="s">
        <v>491</v>
      </c>
      <c r="G742" s="11" t="s">
        <v>666</v>
      </c>
      <c r="H742" s="5">
        <v>2</v>
      </c>
      <c r="I742" s="5" t="str">
        <f>VLOOKUP(F742,'Set up'!$A$2:$C$70,3,FALSE)</f>
        <v>Cash</v>
      </c>
      <c r="J742" s="5">
        <f>VLOOKUP(F742,'Set up'!$A$2:$D$70,4,FALSE)</f>
        <v>0</v>
      </c>
      <c r="K742" s="4">
        <f t="shared" si="121"/>
        <v>44679</v>
      </c>
      <c r="L742" s="5">
        <f t="shared" si="122"/>
        <v>4</v>
      </c>
      <c r="M742" s="5">
        <f t="shared" si="123"/>
        <v>2022</v>
      </c>
      <c r="N742" s="6">
        <v>170</v>
      </c>
      <c r="O742" s="6">
        <f>-N742</f>
        <v>-170</v>
      </c>
      <c r="P742" s="6">
        <f t="shared" si="127"/>
        <v>0</v>
      </c>
      <c r="Q742" s="7">
        <f t="shared" si="124"/>
        <v>1310619.4500000002</v>
      </c>
      <c r="R742" s="44" t="str">
        <f>VLOOKUP(F742,'Set up'!$A$2:$E$70,5,FALSE)</f>
        <v>PD Chq</v>
      </c>
      <c r="S742" s="1" t="s">
        <v>879</v>
      </c>
    </row>
    <row r="743" spans="1:19" x14ac:dyDescent="0.3">
      <c r="A743" s="4">
        <v>44679</v>
      </c>
      <c r="B743" s="5">
        <f t="shared" si="119"/>
        <v>4</v>
      </c>
      <c r="C743" s="5">
        <f t="shared" si="120"/>
        <v>2022</v>
      </c>
      <c r="D743" s="5" t="s">
        <v>725</v>
      </c>
      <c r="E743" s="5" t="str">
        <f>VLOOKUP(F743,'Set up'!$A$2:$C$70,2,FALSE)</f>
        <v>C00000020</v>
      </c>
      <c r="F743" s="1" t="s">
        <v>409</v>
      </c>
      <c r="G743" s="11" t="s">
        <v>719</v>
      </c>
      <c r="H743" s="5">
        <v>3</v>
      </c>
      <c r="I743" s="5" t="str">
        <f>VLOOKUP(F743,'Set up'!$A$2:$C$70,3,FALSE)</f>
        <v>Cash</v>
      </c>
      <c r="J743" s="5">
        <f>VLOOKUP(F743,'Set up'!$A$2:$D$70,4,FALSE)</f>
        <v>0</v>
      </c>
      <c r="K743" s="4">
        <f t="shared" si="121"/>
        <v>44679</v>
      </c>
      <c r="L743" s="5">
        <f t="shared" si="122"/>
        <v>4</v>
      </c>
      <c r="M743" s="5">
        <f t="shared" si="123"/>
        <v>2022</v>
      </c>
      <c r="N743" s="6">
        <v>6270</v>
      </c>
      <c r="O743" s="6">
        <f t="shared" ref="O743:O747" si="131">-N743</f>
        <v>-6270</v>
      </c>
      <c r="P743" s="6">
        <f t="shared" si="127"/>
        <v>0</v>
      </c>
      <c r="Q743" s="7">
        <f t="shared" si="124"/>
        <v>1316889.4500000002</v>
      </c>
      <c r="R743" s="44" t="str">
        <f>VLOOKUP(F743,'Set up'!$A$2:$E$70,5,FALSE)</f>
        <v>Trsf</v>
      </c>
      <c r="S743" s="1" t="s">
        <v>1035</v>
      </c>
    </row>
    <row r="744" spans="1:19" x14ac:dyDescent="0.3">
      <c r="A744" s="4">
        <v>44679</v>
      </c>
      <c r="B744" s="5">
        <f t="shared" si="119"/>
        <v>4</v>
      </c>
      <c r="C744" s="5">
        <f t="shared" si="120"/>
        <v>2022</v>
      </c>
      <c r="D744" s="5" t="s">
        <v>725</v>
      </c>
      <c r="E744" s="5" t="str">
        <f>VLOOKUP(F744,'Set up'!$A$2:$C$70,2,FALSE)</f>
        <v>C00000020</v>
      </c>
      <c r="F744" s="1" t="s">
        <v>409</v>
      </c>
      <c r="G744" s="11" t="s">
        <v>654</v>
      </c>
      <c r="H744" s="5">
        <v>9</v>
      </c>
      <c r="I744" s="5" t="str">
        <f>VLOOKUP(F744,'Set up'!$A$2:$C$70,3,FALSE)</f>
        <v>Cash</v>
      </c>
      <c r="J744" s="5">
        <f>VLOOKUP(F744,'Set up'!$A$2:$D$70,4,FALSE)</f>
        <v>0</v>
      </c>
      <c r="K744" s="4">
        <f t="shared" si="121"/>
        <v>44679</v>
      </c>
      <c r="L744" s="5">
        <f t="shared" si="122"/>
        <v>4</v>
      </c>
      <c r="M744" s="5">
        <f t="shared" si="123"/>
        <v>2022</v>
      </c>
      <c r="N744" s="6">
        <v>2646</v>
      </c>
      <c r="O744" s="6">
        <f t="shared" si="131"/>
        <v>-2646</v>
      </c>
      <c r="P744" s="6">
        <f t="shared" si="127"/>
        <v>0</v>
      </c>
      <c r="Q744" s="7">
        <f t="shared" si="124"/>
        <v>1319535.4500000002</v>
      </c>
      <c r="R744" s="44" t="str">
        <f>VLOOKUP(F744,'Set up'!$A$2:$E$70,5,FALSE)</f>
        <v>Trsf</v>
      </c>
      <c r="S744" s="1" t="s">
        <v>1035</v>
      </c>
    </row>
    <row r="745" spans="1:19" x14ac:dyDescent="0.3">
      <c r="A745" s="4">
        <v>44679</v>
      </c>
      <c r="B745" s="5">
        <f t="shared" si="119"/>
        <v>4</v>
      </c>
      <c r="C745" s="5">
        <f t="shared" si="120"/>
        <v>2022</v>
      </c>
      <c r="D745" s="5" t="s">
        <v>725</v>
      </c>
      <c r="E745" s="5" t="str">
        <f>VLOOKUP(F745,'Set up'!$A$2:$C$70,2,FALSE)</f>
        <v>C00000020</v>
      </c>
      <c r="F745" s="1" t="s">
        <v>409</v>
      </c>
      <c r="G745" s="11" t="s">
        <v>414</v>
      </c>
      <c r="H745" s="5">
        <v>5</v>
      </c>
      <c r="I745" s="5" t="str">
        <f>VLOOKUP(F745,'Set up'!$A$2:$C$70,3,FALSE)</f>
        <v>Cash</v>
      </c>
      <c r="J745" s="5">
        <f>VLOOKUP(F745,'Set up'!$A$2:$D$70,4,FALSE)</f>
        <v>0</v>
      </c>
      <c r="K745" s="4">
        <f t="shared" si="121"/>
        <v>44679</v>
      </c>
      <c r="L745" s="5">
        <f t="shared" si="122"/>
        <v>4</v>
      </c>
      <c r="M745" s="5">
        <f t="shared" si="123"/>
        <v>2022</v>
      </c>
      <c r="N745" s="6">
        <v>1755</v>
      </c>
      <c r="O745" s="6">
        <f t="shared" si="131"/>
        <v>-1755</v>
      </c>
      <c r="P745" s="6">
        <f t="shared" si="127"/>
        <v>0</v>
      </c>
      <c r="Q745" s="7">
        <f t="shared" si="124"/>
        <v>1321290.4500000002</v>
      </c>
      <c r="R745" s="44" t="str">
        <f>VLOOKUP(F745,'Set up'!$A$2:$E$70,5,FALSE)</f>
        <v>Trsf</v>
      </c>
      <c r="S745" s="1" t="s">
        <v>1035</v>
      </c>
    </row>
    <row r="746" spans="1:19" x14ac:dyDescent="0.3">
      <c r="A746" s="4">
        <v>44679</v>
      </c>
      <c r="B746" s="5">
        <f t="shared" si="119"/>
        <v>4</v>
      </c>
      <c r="C746" s="5">
        <f t="shared" si="120"/>
        <v>2022</v>
      </c>
      <c r="D746" s="5" t="s">
        <v>725</v>
      </c>
      <c r="E746" s="5" t="str">
        <f>VLOOKUP(F746,'Set up'!$A$2:$C$70,2,FALSE)</f>
        <v>C00000020</v>
      </c>
      <c r="F746" s="1" t="s">
        <v>409</v>
      </c>
      <c r="G746" s="11" t="s">
        <v>64</v>
      </c>
      <c r="H746" s="5">
        <v>3</v>
      </c>
      <c r="I746" s="5" t="str">
        <f>VLOOKUP(F746,'Set up'!$A$2:$C$70,3,FALSE)</f>
        <v>Cash</v>
      </c>
      <c r="J746" s="5">
        <f>VLOOKUP(F746,'Set up'!$A$2:$D$70,4,FALSE)</f>
        <v>0</v>
      </c>
      <c r="K746" s="4">
        <f t="shared" si="121"/>
        <v>44679</v>
      </c>
      <c r="L746" s="5">
        <f t="shared" si="122"/>
        <v>4</v>
      </c>
      <c r="M746" s="5">
        <f t="shared" si="123"/>
        <v>2022</v>
      </c>
      <c r="N746" s="6">
        <v>187.5</v>
      </c>
      <c r="O746" s="6">
        <f t="shared" si="131"/>
        <v>-187.5</v>
      </c>
      <c r="P746" s="6">
        <f t="shared" si="127"/>
        <v>0</v>
      </c>
      <c r="Q746" s="7">
        <f t="shared" si="124"/>
        <v>1321477.9500000002</v>
      </c>
      <c r="R746" s="44" t="str">
        <f>VLOOKUP(F746,'Set up'!$A$2:$E$70,5,FALSE)</f>
        <v>Trsf</v>
      </c>
      <c r="S746" s="1" t="s">
        <v>1035</v>
      </c>
    </row>
    <row r="747" spans="1:19" x14ac:dyDescent="0.3">
      <c r="A747" s="4">
        <v>44679</v>
      </c>
      <c r="B747" s="5">
        <f t="shared" si="119"/>
        <v>4</v>
      </c>
      <c r="C747" s="5">
        <f t="shared" si="120"/>
        <v>2022</v>
      </c>
      <c r="D747" s="5" t="s">
        <v>725</v>
      </c>
      <c r="E747" s="5" t="str">
        <f>VLOOKUP(F747,'Set up'!$A$2:$C$70,2,FALSE)</f>
        <v>C00000020</v>
      </c>
      <c r="F747" s="1" t="s">
        <v>409</v>
      </c>
      <c r="G747" s="11" t="s">
        <v>659</v>
      </c>
      <c r="H747" s="5">
        <v>1</v>
      </c>
      <c r="I747" s="5" t="str">
        <f>VLOOKUP(F747,'Set up'!$A$2:$C$70,3,FALSE)</f>
        <v>Cash</v>
      </c>
      <c r="J747" s="5">
        <f>VLOOKUP(F747,'Set up'!$A$2:$D$70,4,FALSE)</f>
        <v>0</v>
      </c>
      <c r="K747" s="4">
        <f t="shared" si="121"/>
        <v>44679</v>
      </c>
      <c r="L747" s="5">
        <f t="shared" si="122"/>
        <v>4</v>
      </c>
      <c r="M747" s="5">
        <f t="shared" si="123"/>
        <v>2022</v>
      </c>
      <c r="N747" s="6">
        <v>1000</v>
      </c>
      <c r="O747" s="6">
        <f t="shared" si="131"/>
        <v>-1000</v>
      </c>
      <c r="P747" s="6">
        <f t="shared" si="127"/>
        <v>0</v>
      </c>
      <c r="Q747" s="7">
        <f t="shared" si="124"/>
        <v>1322477.9500000002</v>
      </c>
      <c r="R747" s="44" t="str">
        <f>VLOOKUP(F747,'Set up'!$A$2:$E$70,5,FALSE)</f>
        <v>Trsf</v>
      </c>
      <c r="S747" s="1" t="s">
        <v>1035</v>
      </c>
    </row>
    <row r="748" spans="1:19" x14ac:dyDescent="0.3">
      <c r="A748" s="4">
        <v>44679</v>
      </c>
      <c r="B748" s="5">
        <f t="shared" si="119"/>
        <v>4</v>
      </c>
      <c r="C748" s="5">
        <f t="shared" si="120"/>
        <v>2022</v>
      </c>
      <c r="D748" s="5" t="s">
        <v>726</v>
      </c>
      <c r="E748" s="5" t="str">
        <f>VLOOKUP(F748,'Set up'!$A$2:$C$70,2,FALSE)</f>
        <v>C00000019</v>
      </c>
      <c r="F748" s="1" t="s">
        <v>400</v>
      </c>
      <c r="G748" s="11" t="s">
        <v>95</v>
      </c>
      <c r="H748" s="5">
        <v>2</v>
      </c>
      <c r="I748" s="5" t="str">
        <f>VLOOKUP(F748,'Set up'!$A$2:$C$70,3,FALSE)</f>
        <v>Cash</v>
      </c>
      <c r="J748" s="5">
        <f>VLOOKUP(F748,'Set up'!$A$2:$D$70,4,FALSE)</f>
        <v>0</v>
      </c>
      <c r="K748" s="4">
        <f t="shared" si="121"/>
        <v>44679</v>
      </c>
      <c r="L748" s="5">
        <f t="shared" si="122"/>
        <v>4</v>
      </c>
      <c r="M748" s="5">
        <f t="shared" si="123"/>
        <v>2022</v>
      </c>
      <c r="N748" s="6">
        <v>4136</v>
      </c>
      <c r="O748" s="6">
        <f t="shared" ref="O748:O754" si="132">-N748</f>
        <v>-4136</v>
      </c>
      <c r="P748" s="6">
        <f t="shared" si="127"/>
        <v>0</v>
      </c>
      <c r="Q748" s="7">
        <f t="shared" si="124"/>
        <v>1326613.9500000002</v>
      </c>
      <c r="R748" s="44" t="str">
        <f>VLOOKUP(F748,'Set up'!$A$2:$E$70,5,FALSE)</f>
        <v>Trsf</v>
      </c>
      <c r="S748" s="1" t="s">
        <v>801</v>
      </c>
    </row>
    <row r="749" spans="1:19" x14ac:dyDescent="0.3">
      <c r="A749" s="4">
        <v>44679</v>
      </c>
      <c r="B749" s="5">
        <f t="shared" si="119"/>
        <v>4</v>
      </c>
      <c r="C749" s="5">
        <f t="shared" si="120"/>
        <v>2022</v>
      </c>
      <c r="D749" s="5" t="s">
        <v>726</v>
      </c>
      <c r="E749" s="5" t="str">
        <f>VLOOKUP(F749,'Set up'!$A$2:$C$70,2,FALSE)</f>
        <v>C00000019</v>
      </c>
      <c r="F749" s="1" t="s">
        <v>400</v>
      </c>
      <c r="G749" s="11" t="s">
        <v>478</v>
      </c>
      <c r="H749" s="5">
        <v>2</v>
      </c>
      <c r="I749" s="5" t="str">
        <f>VLOOKUP(F749,'Set up'!$A$2:$C$70,3,FALSE)</f>
        <v>Cash</v>
      </c>
      <c r="J749" s="5">
        <f>VLOOKUP(F749,'Set up'!$A$2:$D$70,4,FALSE)</f>
        <v>0</v>
      </c>
      <c r="K749" s="4">
        <f t="shared" si="121"/>
        <v>44679</v>
      </c>
      <c r="L749" s="5">
        <f t="shared" si="122"/>
        <v>4</v>
      </c>
      <c r="M749" s="5">
        <f t="shared" si="123"/>
        <v>2022</v>
      </c>
      <c r="N749" s="6">
        <v>1047.5999999999999</v>
      </c>
      <c r="O749" s="6">
        <f t="shared" si="132"/>
        <v>-1047.5999999999999</v>
      </c>
      <c r="P749" s="6">
        <f t="shared" si="127"/>
        <v>0</v>
      </c>
      <c r="Q749" s="7">
        <f t="shared" si="124"/>
        <v>1327661.5500000003</v>
      </c>
      <c r="R749" s="44" t="str">
        <f>VLOOKUP(F749,'Set up'!$A$2:$E$70,5,FALSE)</f>
        <v>Trsf</v>
      </c>
      <c r="S749" s="1" t="s">
        <v>801</v>
      </c>
    </row>
    <row r="750" spans="1:19" x14ac:dyDescent="0.3">
      <c r="A750" s="4">
        <v>44679</v>
      </c>
      <c r="B750" s="5">
        <f t="shared" si="119"/>
        <v>4</v>
      </c>
      <c r="C750" s="5">
        <f t="shared" si="120"/>
        <v>2022</v>
      </c>
      <c r="D750" s="5" t="s">
        <v>726</v>
      </c>
      <c r="E750" s="5" t="str">
        <f>VLOOKUP(F750,'Set up'!$A$2:$C$70,2,FALSE)</f>
        <v>C00000019</v>
      </c>
      <c r="F750" s="1" t="s">
        <v>400</v>
      </c>
      <c r="G750" s="11" t="s">
        <v>64</v>
      </c>
      <c r="H750" s="5">
        <v>5</v>
      </c>
      <c r="I750" s="5" t="str">
        <f>VLOOKUP(F750,'Set up'!$A$2:$C$70,3,FALSE)</f>
        <v>Cash</v>
      </c>
      <c r="J750" s="5">
        <f>VLOOKUP(F750,'Set up'!$A$2:$D$70,4,FALSE)</f>
        <v>0</v>
      </c>
      <c r="K750" s="4">
        <f t="shared" si="121"/>
        <v>44679</v>
      </c>
      <c r="L750" s="5">
        <f t="shared" si="122"/>
        <v>4</v>
      </c>
      <c r="M750" s="5">
        <f t="shared" si="123"/>
        <v>2022</v>
      </c>
      <c r="N750" s="6">
        <v>312.5</v>
      </c>
      <c r="O750" s="6">
        <f t="shared" si="132"/>
        <v>-312.5</v>
      </c>
      <c r="P750" s="6">
        <f t="shared" si="127"/>
        <v>0</v>
      </c>
      <c r="Q750" s="7">
        <f t="shared" si="124"/>
        <v>1327974.0500000003</v>
      </c>
      <c r="R750" s="44" t="str">
        <f>VLOOKUP(F750,'Set up'!$A$2:$E$70,5,FALSE)</f>
        <v>Trsf</v>
      </c>
      <c r="S750" s="1" t="s">
        <v>801</v>
      </c>
    </row>
    <row r="751" spans="1:19" x14ac:dyDescent="0.3">
      <c r="A751" s="4">
        <v>44679</v>
      </c>
      <c r="B751" s="5">
        <f t="shared" si="119"/>
        <v>4</v>
      </c>
      <c r="C751" s="5">
        <f t="shared" si="120"/>
        <v>2022</v>
      </c>
      <c r="D751" s="5" t="s">
        <v>726</v>
      </c>
      <c r="E751" s="5" t="str">
        <f>VLOOKUP(F751,'Set up'!$A$2:$C$70,2,FALSE)</f>
        <v>C00000019</v>
      </c>
      <c r="F751" s="1" t="s">
        <v>400</v>
      </c>
      <c r="G751" s="11" t="s">
        <v>292</v>
      </c>
      <c r="H751" s="5">
        <v>1</v>
      </c>
      <c r="I751" s="5" t="str">
        <f>VLOOKUP(F751,'Set up'!$A$2:$C$70,3,FALSE)</f>
        <v>Cash</v>
      </c>
      <c r="J751" s="5">
        <f>VLOOKUP(F751,'Set up'!$A$2:$D$70,4,FALSE)</f>
        <v>0</v>
      </c>
      <c r="K751" s="4">
        <f t="shared" si="121"/>
        <v>44679</v>
      </c>
      <c r="L751" s="5">
        <f t="shared" si="122"/>
        <v>4</v>
      </c>
      <c r="M751" s="5">
        <f t="shared" si="123"/>
        <v>2022</v>
      </c>
      <c r="N751" s="6">
        <v>390</v>
      </c>
      <c r="O751" s="6">
        <f t="shared" si="132"/>
        <v>-390</v>
      </c>
      <c r="P751" s="6">
        <f t="shared" si="127"/>
        <v>0</v>
      </c>
      <c r="Q751" s="7">
        <f t="shared" si="124"/>
        <v>1328364.0500000003</v>
      </c>
      <c r="R751" s="44" t="str">
        <f>VLOOKUP(F751,'Set up'!$A$2:$E$70,5,FALSE)</f>
        <v>Trsf</v>
      </c>
      <c r="S751" s="1" t="s">
        <v>801</v>
      </c>
    </row>
    <row r="752" spans="1:19" x14ac:dyDescent="0.3">
      <c r="A752" s="4">
        <v>44679</v>
      </c>
      <c r="B752" s="5">
        <f t="shared" si="119"/>
        <v>4</v>
      </c>
      <c r="C752" s="5">
        <f t="shared" si="120"/>
        <v>2022</v>
      </c>
      <c r="D752" s="5" t="s">
        <v>726</v>
      </c>
      <c r="E752" s="5" t="str">
        <f>VLOOKUP(F752,'Set up'!$A$2:$C$70,2,FALSE)</f>
        <v>C00000019</v>
      </c>
      <c r="F752" s="1" t="s">
        <v>400</v>
      </c>
      <c r="G752" s="11" t="s">
        <v>566</v>
      </c>
      <c r="H752" s="5">
        <v>2</v>
      </c>
      <c r="I752" s="5" t="str">
        <f>VLOOKUP(F752,'Set up'!$A$2:$C$70,3,FALSE)</f>
        <v>Cash</v>
      </c>
      <c r="J752" s="5">
        <f>VLOOKUP(F752,'Set up'!$A$2:$D$70,4,FALSE)</f>
        <v>0</v>
      </c>
      <c r="K752" s="4">
        <f t="shared" si="121"/>
        <v>44679</v>
      </c>
      <c r="L752" s="5">
        <f t="shared" si="122"/>
        <v>4</v>
      </c>
      <c r="M752" s="5">
        <f t="shared" si="123"/>
        <v>2022</v>
      </c>
      <c r="N752" s="6">
        <v>210</v>
      </c>
      <c r="O752" s="6">
        <f t="shared" si="132"/>
        <v>-210</v>
      </c>
      <c r="P752" s="6">
        <f t="shared" si="127"/>
        <v>0</v>
      </c>
      <c r="Q752" s="7">
        <f t="shared" si="124"/>
        <v>1328574.0500000003</v>
      </c>
      <c r="R752" s="44" t="str">
        <f>VLOOKUP(F752,'Set up'!$A$2:$E$70,5,FALSE)</f>
        <v>Trsf</v>
      </c>
      <c r="S752" s="1" t="s">
        <v>801</v>
      </c>
    </row>
    <row r="753" spans="1:19" x14ac:dyDescent="0.3">
      <c r="A753" s="4">
        <v>44680</v>
      </c>
      <c r="B753" s="5">
        <f t="shared" si="119"/>
        <v>4</v>
      </c>
      <c r="C753" s="5">
        <f t="shared" si="120"/>
        <v>2022</v>
      </c>
      <c r="D753" s="5" t="s">
        <v>728</v>
      </c>
      <c r="E753" s="5" t="str">
        <f>VLOOKUP(F753,'Set up'!$A$2:$C$70,2,FALSE)</f>
        <v>C00000023</v>
      </c>
      <c r="F753" s="1" t="s">
        <v>665</v>
      </c>
      <c r="G753" s="11" t="s">
        <v>727</v>
      </c>
      <c r="H753" s="5">
        <v>1</v>
      </c>
      <c r="I753" s="5" t="str">
        <f>VLOOKUP(F753,'Set up'!$A$2:$C$70,3,FALSE)</f>
        <v>Cash</v>
      </c>
      <c r="J753" s="5">
        <f>VLOOKUP(F753,'Set up'!$A$2:$D$70,4,FALSE)</f>
        <v>0</v>
      </c>
      <c r="K753" s="4">
        <f t="shared" si="121"/>
        <v>44680</v>
      </c>
      <c r="L753" s="5">
        <f t="shared" si="122"/>
        <v>4</v>
      </c>
      <c r="M753" s="5">
        <f t="shared" si="123"/>
        <v>2022</v>
      </c>
      <c r="N753" s="6">
        <v>1350</v>
      </c>
      <c r="O753" s="6">
        <f t="shared" si="132"/>
        <v>-1350</v>
      </c>
      <c r="P753" s="6">
        <f t="shared" si="127"/>
        <v>0</v>
      </c>
      <c r="Q753" s="7">
        <f t="shared" si="124"/>
        <v>1329924.0500000003</v>
      </c>
      <c r="R753" s="44" t="str">
        <f>VLOOKUP(F753,'Set up'!$A$2:$E$70,5,FALSE)</f>
        <v>Trsf</v>
      </c>
      <c r="S753" s="1" t="s">
        <v>806</v>
      </c>
    </row>
    <row r="754" spans="1:19" x14ac:dyDescent="0.3">
      <c r="A754" s="4">
        <v>44681</v>
      </c>
      <c r="B754" s="5">
        <f t="shared" si="119"/>
        <v>4</v>
      </c>
      <c r="C754" s="5">
        <f t="shared" si="120"/>
        <v>2022</v>
      </c>
      <c r="D754" s="5" t="s">
        <v>729</v>
      </c>
      <c r="E754" s="5" t="str">
        <f>VLOOKUP(F754,'Set up'!$A$2:$C$70,2,FALSE)</f>
        <v>C00000020</v>
      </c>
      <c r="F754" s="1" t="s">
        <v>409</v>
      </c>
      <c r="G754" s="11" t="s">
        <v>719</v>
      </c>
      <c r="H754" s="5">
        <v>4</v>
      </c>
      <c r="I754" s="5" t="str">
        <f>VLOOKUP(F754,'Set up'!$A$2:$C$70,3,FALSE)</f>
        <v>Cash</v>
      </c>
      <c r="J754" s="5">
        <f>VLOOKUP(F754,'Set up'!$A$2:$D$70,4,FALSE)</f>
        <v>0</v>
      </c>
      <c r="K754" s="4">
        <f t="shared" si="121"/>
        <v>44681</v>
      </c>
      <c r="L754" s="5">
        <f t="shared" si="122"/>
        <v>4</v>
      </c>
      <c r="M754" s="5">
        <f t="shared" si="123"/>
        <v>2022</v>
      </c>
      <c r="N754" s="6">
        <v>8360</v>
      </c>
      <c r="O754" s="6">
        <f t="shared" si="132"/>
        <v>-8360</v>
      </c>
      <c r="P754" s="6">
        <f t="shared" si="127"/>
        <v>0</v>
      </c>
      <c r="Q754" s="7">
        <f t="shared" si="124"/>
        <v>1338284.0500000003</v>
      </c>
      <c r="R754" s="44" t="str">
        <f>VLOOKUP(F754,'Set up'!$A$2:$E$70,5,FALSE)</f>
        <v>Trsf</v>
      </c>
      <c r="S754" s="1" t="s">
        <v>1035</v>
      </c>
    </row>
    <row r="755" spans="1:19" x14ac:dyDescent="0.3">
      <c r="A755" s="4">
        <v>44681</v>
      </c>
      <c r="B755" s="5">
        <f t="shared" si="119"/>
        <v>4</v>
      </c>
      <c r="C755" s="5">
        <f t="shared" si="120"/>
        <v>2022</v>
      </c>
      <c r="D755" s="5" t="s">
        <v>729</v>
      </c>
      <c r="E755" s="5" t="str">
        <f>VLOOKUP(F755,'Set up'!$A$2:$C$70,2,FALSE)</f>
        <v>C00000020</v>
      </c>
      <c r="F755" s="1" t="s">
        <v>409</v>
      </c>
      <c r="G755" s="11" t="s">
        <v>654</v>
      </c>
      <c r="H755" s="5">
        <v>12</v>
      </c>
      <c r="I755" s="5" t="str">
        <f>VLOOKUP(F755,'Set up'!$A$2:$C$70,3,FALSE)</f>
        <v>Cash</v>
      </c>
      <c r="J755" s="5">
        <f>VLOOKUP(F755,'Set up'!$A$2:$D$70,4,FALSE)</f>
        <v>0</v>
      </c>
      <c r="K755" s="4">
        <f t="shared" si="121"/>
        <v>44681</v>
      </c>
      <c r="L755" s="5">
        <f t="shared" si="122"/>
        <v>4</v>
      </c>
      <c r="M755" s="5">
        <f t="shared" si="123"/>
        <v>2022</v>
      </c>
      <c r="N755" s="6">
        <v>3528</v>
      </c>
      <c r="O755" s="6">
        <f>-3285.3-242.7</f>
        <v>-3528</v>
      </c>
      <c r="P755" s="6">
        <f t="shared" si="127"/>
        <v>0</v>
      </c>
      <c r="Q755" s="7">
        <f t="shared" si="124"/>
        <v>1341812.0500000003</v>
      </c>
      <c r="R755" s="44" t="str">
        <f>VLOOKUP(F755,'Set up'!$A$2:$E$70,5,FALSE)</f>
        <v>Trsf</v>
      </c>
      <c r="S755" s="1" t="s">
        <v>1043</v>
      </c>
    </row>
    <row r="756" spans="1:19" x14ac:dyDescent="0.3">
      <c r="A756" s="4">
        <v>44681</v>
      </c>
      <c r="B756" s="5">
        <f t="shared" si="119"/>
        <v>4</v>
      </c>
      <c r="C756" s="5">
        <f t="shared" si="120"/>
        <v>2022</v>
      </c>
      <c r="D756" s="5" t="s">
        <v>729</v>
      </c>
      <c r="E756" s="5" t="str">
        <f>VLOOKUP(F756,'Set up'!$A$2:$C$70,2,FALSE)</f>
        <v>C00000020</v>
      </c>
      <c r="F756" s="1" t="s">
        <v>409</v>
      </c>
      <c r="G756" s="11" t="s">
        <v>414</v>
      </c>
      <c r="H756" s="5">
        <v>6</v>
      </c>
      <c r="I756" s="5" t="str">
        <f>VLOOKUP(F756,'Set up'!$A$2:$C$70,3,FALSE)</f>
        <v>Cash</v>
      </c>
      <c r="J756" s="5">
        <f>VLOOKUP(F756,'Set up'!$A$2:$D$70,4,FALSE)</f>
        <v>0</v>
      </c>
      <c r="K756" s="4">
        <f t="shared" si="121"/>
        <v>44681</v>
      </c>
      <c r="L756" s="5">
        <f t="shared" si="122"/>
        <v>4</v>
      </c>
      <c r="M756" s="5">
        <f t="shared" si="123"/>
        <v>2022</v>
      </c>
      <c r="N756" s="6">
        <v>2106</v>
      </c>
      <c r="O756" s="6">
        <f t="shared" ref="O756:O763" si="133">-N756</f>
        <v>-2106</v>
      </c>
      <c r="P756" s="6">
        <f t="shared" si="127"/>
        <v>0</v>
      </c>
      <c r="Q756" s="7">
        <f t="shared" si="124"/>
        <v>1343918.0500000003</v>
      </c>
      <c r="R756" s="44" t="str">
        <f>VLOOKUP(F756,'Set up'!$A$2:$E$70,5,FALSE)</f>
        <v>Trsf</v>
      </c>
      <c r="S756" s="1" t="s">
        <v>1036</v>
      </c>
    </row>
    <row r="757" spans="1:19" x14ac:dyDescent="0.3">
      <c r="A757" s="4">
        <v>44681</v>
      </c>
      <c r="B757" s="5">
        <f t="shared" si="119"/>
        <v>4</v>
      </c>
      <c r="C757" s="5">
        <f t="shared" si="120"/>
        <v>2022</v>
      </c>
      <c r="D757" s="5" t="s">
        <v>729</v>
      </c>
      <c r="E757" s="5" t="str">
        <f>VLOOKUP(F757,'Set up'!$A$2:$C$70,2,FALSE)</f>
        <v>C00000020</v>
      </c>
      <c r="F757" s="1" t="s">
        <v>409</v>
      </c>
      <c r="G757" s="11" t="s">
        <v>64</v>
      </c>
      <c r="H757" s="5">
        <v>4</v>
      </c>
      <c r="I757" s="5" t="str">
        <f>VLOOKUP(F757,'Set up'!$A$2:$C$70,3,FALSE)</f>
        <v>Cash</v>
      </c>
      <c r="J757" s="5">
        <f>VLOOKUP(F757,'Set up'!$A$2:$D$70,4,FALSE)</f>
        <v>0</v>
      </c>
      <c r="K757" s="4">
        <f t="shared" si="121"/>
        <v>44681</v>
      </c>
      <c r="L757" s="5">
        <f t="shared" si="122"/>
        <v>4</v>
      </c>
      <c r="M757" s="5">
        <f t="shared" si="123"/>
        <v>2022</v>
      </c>
      <c r="N757" s="6">
        <v>250</v>
      </c>
      <c r="O757" s="6">
        <f t="shared" si="133"/>
        <v>-250</v>
      </c>
      <c r="P757" s="6">
        <f t="shared" si="127"/>
        <v>0</v>
      </c>
      <c r="Q757" s="7">
        <f t="shared" si="124"/>
        <v>1344168.0500000003</v>
      </c>
      <c r="R757" s="44" t="str">
        <f>VLOOKUP(F757,'Set up'!$A$2:$E$70,5,FALSE)</f>
        <v>Trsf</v>
      </c>
      <c r="S757" s="1" t="s">
        <v>1035</v>
      </c>
    </row>
    <row r="758" spans="1:19" x14ac:dyDescent="0.3">
      <c r="A758" s="4">
        <v>44681</v>
      </c>
      <c r="B758" s="5">
        <f t="shared" si="119"/>
        <v>4</v>
      </c>
      <c r="C758" s="5">
        <f t="shared" si="120"/>
        <v>2022</v>
      </c>
      <c r="D758" s="5" t="s">
        <v>729</v>
      </c>
      <c r="E758" s="5" t="str">
        <f>VLOOKUP(F758,'Set up'!$A$2:$C$70,2,FALSE)</f>
        <v>C00000020</v>
      </c>
      <c r="F758" s="1" t="s">
        <v>409</v>
      </c>
      <c r="G758" s="11" t="s">
        <v>659</v>
      </c>
      <c r="H758" s="5">
        <v>1</v>
      </c>
      <c r="I758" s="5" t="str">
        <f>VLOOKUP(F758,'Set up'!$A$2:$C$70,3,FALSE)</f>
        <v>Cash</v>
      </c>
      <c r="J758" s="5">
        <f>VLOOKUP(F758,'Set up'!$A$2:$D$70,4,FALSE)</f>
        <v>0</v>
      </c>
      <c r="K758" s="4">
        <f t="shared" si="121"/>
        <v>44681</v>
      </c>
      <c r="L758" s="5">
        <f t="shared" si="122"/>
        <v>4</v>
      </c>
      <c r="M758" s="5">
        <f t="shared" si="123"/>
        <v>2022</v>
      </c>
      <c r="N758" s="6">
        <v>1000</v>
      </c>
      <c r="O758" s="6">
        <f t="shared" si="133"/>
        <v>-1000</v>
      </c>
      <c r="P758" s="6">
        <f t="shared" si="127"/>
        <v>0</v>
      </c>
      <c r="Q758" s="7">
        <f t="shared" si="124"/>
        <v>1345168.0500000003</v>
      </c>
      <c r="R758" s="44" t="str">
        <f>VLOOKUP(F758,'Set up'!$A$2:$E$70,5,FALSE)</f>
        <v>Trsf</v>
      </c>
      <c r="S758" s="1" t="s">
        <v>1035</v>
      </c>
    </row>
    <row r="759" spans="1:19" x14ac:dyDescent="0.3">
      <c r="A759" s="4">
        <v>44687</v>
      </c>
      <c r="B759" s="5">
        <f t="shared" si="119"/>
        <v>5</v>
      </c>
      <c r="C759" s="5">
        <f t="shared" si="120"/>
        <v>2022</v>
      </c>
      <c r="D759" s="5" t="s">
        <v>762</v>
      </c>
      <c r="E759" s="5" t="str">
        <f>VLOOKUP(F759,'Set up'!$A$2:$C$70,2,FALSE)</f>
        <v>C00000020</v>
      </c>
      <c r="F759" s="1" t="s">
        <v>409</v>
      </c>
      <c r="G759" s="95" t="s">
        <v>719</v>
      </c>
      <c r="H759" s="5">
        <v>4</v>
      </c>
      <c r="I759" s="5" t="str">
        <f>VLOOKUP(F759,'Set up'!$A$2:$C$70,3,FALSE)</f>
        <v>Cash</v>
      </c>
      <c r="J759" s="5">
        <f>VLOOKUP(F759,'Set up'!$A$2:$D$70,4,FALSE)</f>
        <v>0</v>
      </c>
      <c r="K759" s="4">
        <f t="shared" si="121"/>
        <v>44687</v>
      </c>
      <c r="L759" s="5">
        <f t="shared" si="122"/>
        <v>5</v>
      </c>
      <c r="M759" s="5">
        <f t="shared" si="123"/>
        <v>2022</v>
      </c>
      <c r="N759" s="6">
        <v>8360</v>
      </c>
      <c r="O759" s="6">
        <f t="shared" si="133"/>
        <v>-8360</v>
      </c>
      <c r="P759" s="6">
        <f t="shared" si="127"/>
        <v>0</v>
      </c>
      <c r="Q759" s="7">
        <f t="shared" si="124"/>
        <v>1353528.0500000003</v>
      </c>
      <c r="R759" s="44" t="str">
        <f>VLOOKUP(F759,'Set up'!$A$2:$E$70,5,FALSE)</f>
        <v>Trsf</v>
      </c>
      <c r="S759" s="1" t="s">
        <v>1035</v>
      </c>
    </row>
    <row r="760" spans="1:19" x14ac:dyDescent="0.3">
      <c r="A760" s="4">
        <v>44687</v>
      </c>
      <c r="B760" s="5">
        <f t="shared" si="119"/>
        <v>5</v>
      </c>
      <c r="C760" s="5">
        <f t="shared" si="120"/>
        <v>2022</v>
      </c>
      <c r="D760" s="5" t="s">
        <v>762</v>
      </c>
      <c r="E760" s="5" t="str">
        <f>VLOOKUP(F760,'Set up'!$A$2:$C$70,2,FALSE)</f>
        <v>C00000020</v>
      </c>
      <c r="F760" s="1" t="s">
        <v>409</v>
      </c>
      <c r="G760" s="90" t="s">
        <v>654</v>
      </c>
      <c r="H760" s="5">
        <v>4</v>
      </c>
      <c r="I760" s="5" t="str">
        <f>VLOOKUP(F760,'Set up'!$A$2:$C$70,3,FALSE)</f>
        <v>Cash</v>
      </c>
      <c r="J760" s="5">
        <f>VLOOKUP(F760,'Set up'!$A$2:$D$70,4,FALSE)</f>
        <v>0</v>
      </c>
      <c r="K760" s="4">
        <f t="shared" si="121"/>
        <v>44687</v>
      </c>
      <c r="L760" s="5">
        <f t="shared" si="122"/>
        <v>5</v>
      </c>
      <c r="M760" s="5">
        <f t="shared" si="123"/>
        <v>2022</v>
      </c>
      <c r="N760" s="6">
        <v>1176</v>
      </c>
      <c r="O760" s="6">
        <f t="shared" si="133"/>
        <v>-1176</v>
      </c>
      <c r="P760" s="6">
        <f t="shared" si="127"/>
        <v>0</v>
      </c>
      <c r="Q760" s="7">
        <f t="shared" si="124"/>
        <v>1354704.0500000003</v>
      </c>
      <c r="R760" s="44" t="str">
        <f>VLOOKUP(F760,'Set up'!$A$2:$E$70,5,FALSE)</f>
        <v>Trsf</v>
      </c>
      <c r="S760" s="1" t="s">
        <v>1035</v>
      </c>
    </row>
    <row r="761" spans="1:19" x14ac:dyDescent="0.3">
      <c r="A761" s="4">
        <v>44687</v>
      </c>
      <c r="B761" s="5">
        <f t="shared" si="119"/>
        <v>5</v>
      </c>
      <c r="C761" s="5">
        <f t="shared" si="120"/>
        <v>2022</v>
      </c>
      <c r="D761" s="5" t="s">
        <v>762</v>
      </c>
      <c r="E761" s="5" t="str">
        <f>VLOOKUP(F761,'Set up'!$A$2:$C$70,2,FALSE)</f>
        <v>C00000020</v>
      </c>
      <c r="F761" s="1" t="s">
        <v>409</v>
      </c>
      <c r="G761" s="90" t="s">
        <v>414</v>
      </c>
      <c r="H761" s="5">
        <v>4</v>
      </c>
      <c r="I761" s="5" t="str">
        <f>VLOOKUP(F761,'Set up'!$A$2:$C$70,3,FALSE)</f>
        <v>Cash</v>
      </c>
      <c r="J761" s="5">
        <f>VLOOKUP(F761,'Set up'!$A$2:$D$70,4,FALSE)</f>
        <v>0</v>
      </c>
      <c r="K761" s="4">
        <f t="shared" si="121"/>
        <v>44687</v>
      </c>
      <c r="L761" s="5">
        <f t="shared" si="122"/>
        <v>5</v>
      </c>
      <c r="M761" s="5">
        <f t="shared" si="123"/>
        <v>2022</v>
      </c>
      <c r="N761" s="6">
        <v>1404</v>
      </c>
      <c r="O761" s="6">
        <f t="shared" si="133"/>
        <v>-1404</v>
      </c>
      <c r="P761" s="6">
        <f t="shared" si="127"/>
        <v>0</v>
      </c>
      <c r="Q761" s="7">
        <f t="shared" si="124"/>
        <v>1356108.0500000003</v>
      </c>
      <c r="R761" s="44" t="str">
        <f>VLOOKUP(F761,'Set up'!$A$2:$E$70,5,FALSE)</f>
        <v>Trsf</v>
      </c>
      <c r="S761" s="1" t="s">
        <v>1035</v>
      </c>
    </row>
    <row r="762" spans="1:19" x14ac:dyDescent="0.3">
      <c r="A762" s="4">
        <v>44687</v>
      </c>
      <c r="B762" s="5">
        <f t="shared" si="119"/>
        <v>5</v>
      </c>
      <c r="C762" s="5">
        <f t="shared" si="120"/>
        <v>2022</v>
      </c>
      <c r="D762" s="5" t="s">
        <v>762</v>
      </c>
      <c r="E762" s="5" t="str">
        <f>VLOOKUP(F762,'Set up'!$A$2:$C$70,2,FALSE)</f>
        <v>C00000020</v>
      </c>
      <c r="F762" s="1" t="s">
        <v>409</v>
      </c>
      <c r="G762" s="90" t="s">
        <v>64</v>
      </c>
      <c r="H762" s="5">
        <v>4</v>
      </c>
      <c r="I762" s="5" t="str">
        <f>VLOOKUP(F762,'Set up'!$A$2:$C$70,3,FALSE)</f>
        <v>Cash</v>
      </c>
      <c r="J762" s="5">
        <f>VLOOKUP(F762,'Set up'!$A$2:$D$70,4,FALSE)</f>
        <v>0</v>
      </c>
      <c r="K762" s="4">
        <f t="shared" si="121"/>
        <v>44687</v>
      </c>
      <c r="L762" s="5">
        <f t="shared" si="122"/>
        <v>5</v>
      </c>
      <c r="M762" s="5">
        <f t="shared" si="123"/>
        <v>2022</v>
      </c>
      <c r="N762" s="6">
        <v>250</v>
      </c>
      <c r="O762" s="6">
        <f t="shared" si="133"/>
        <v>-250</v>
      </c>
      <c r="P762" s="6">
        <f t="shared" si="127"/>
        <v>0</v>
      </c>
      <c r="Q762" s="7">
        <f t="shared" si="124"/>
        <v>1356358.0500000003</v>
      </c>
      <c r="R762" s="44" t="str">
        <f>VLOOKUP(F762,'Set up'!$A$2:$E$70,5,FALSE)</f>
        <v>Trsf</v>
      </c>
      <c r="S762" s="1" t="s">
        <v>1035</v>
      </c>
    </row>
    <row r="763" spans="1:19" x14ac:dyDescent="0.3">
      <c r="A763" s="4">
        <v>44687</v>
      </c>
      <c r="B763" s="5">
        <f t="shared" si="119"/>
        <v>5</v>
      </c>
      <c r="C763" s="5">
        <f t="shared" si="120"/>
        <v>2022</v>
      </c>
      <c r="D763" s="5" t="s">
        <v>762</v>
      </c>
      <c r="E763" s="5" t="str">
        <f>VLOOKUP(F763,'Set up'!$A$2:$C$70,2,FALSE)</f>
        <v>C00000020</v>
      </c>
      <c r="F763" s="1" t="s">
        <v>409</v>
      </c>
      <c r="G763" s="90" t="s">
        <v>666</v>
      </c>
      <c r="H763" s="5">
        <v>4</v>
      </c>
      <c r="I763" s="5" t="str">
        <f>VLOOKUP(F763,'Set up'!$A$2:$C$70,3,FALSE)</f>
        <v>Cash</v>
      </c>
      <c r="J763" s="5">
        <f>VLOOKUP(F763,'Set up'!$A$2:$D$70,4,FALSE)</f>
        <v>0</v>
      </c>
      <c r="K763" s="4">
        <f t="shared" si="121"/>
        <v>44687</v>
      </c>
      <c r="L763" s="5">
        <f t="shared" si="122"/>
        <v>5</v>
      </c>
      <c r="M763" s="5">
        <f t="shared" si="123"/>
        <v>2022</v>
      </c>
      <c r="N763" s="6">
        <v>340</v>
      </c>
      <c r="O763" s="6">
        <f t="shared" si="133"/>
        <v>-340</v>
      </c>
      <c r="P763" s="6">
        <f t="shared" si="127"/>
        <v>0</v>
      </c>
      <c r="Q763" s="7">
        <f t="shared" si="124"/>
        <v>1356698.0500000003</v>
      </c>
      <c r="R763" s="44" t="str">
        <f>VLOOKUP(F763,'Set up'!$A$2:$E$70,5,FALSE)</f>
        <v>Trsf</v>
      </c>
      <c r="S763" s="1" t="s">
        <v>1035</v>
      </c>
    </row>
    <row r="764" spans="1:19" x14ac:dyDescent="0.3">
      <c r="A764" s="4">
        <v>44687</v>
      </c>
      <c r="B764" s="5">
        <f t="shared" si="119"/>
        <v>5</v>
      </c>
      <c r="C764" s="5">
        <f t="shared" si="120"/>
        <v>2022</v>
      </c>
      <c r="D764" s="5" t="s">
        <v>763</v>
      </c>
      <c r="E764" s="5" t="str">
        <f>VLOOKUP(F764,'Set up'!$A$2:$C$70,2,FALSE)</f>
        <v>C00000023</v>
      </c>
      <c r="F764" s="1" t="s">
        <v>665</v>
      </c>
      <c r="G764" s="11" t="s">
        <v>727</v>
      </c>
      <c r="H764" s="5">
        <v>1</v>
      </c>
      <c r="I764" s="5" t="str">
        <f>VLOOKUP(F764,'Set up'!$A$2:$C$70,3,FALSE)</f>
        <v>Cash</v>
      </c>
      <c r="J764" s="5">
        <f>VLOOKUP(F764,'Set up'!$A$2:$D$70,4,FALSE)</f>
        <v>0</v>
      </c>
      <c r="K764" s="4">
        <f t="shared" si="121"/>
        <v>44687</v>
      </c>
      <c r="L764" s="5">
        <f t="shared" si="122"/>
        <v>5</v>
      </c>
      <c r="M764" s="5">
        <f t="shared" si="123"/>
        <v>2022</v>
      </c>
      <c r="N764" s="6">
        <v>1350</v>
      </c>
      <c r="O764" s="6">
        <f>-N764</f>
        <v>-1350</v>
      </c>
      <c r="P764" s="6">
        <f t="shared" si="127"/>
        <v>0</v>
      </c>
      <c r="Q764" s="7">
        <f t="shared" si="124"/>
        <v>1358048.0500000003</v>
      </c>
      <c r="R764" s="44" t="str">
        <f>VLOOKUP(F764,'Set up'!$A$2:$E$70,5,FALSE)</f>
        <v>Trsf</v>
      </c>
      <c r="S764" s="1" t="s">
        <v>811</v>
      </c>
    </row>
    <row r="765" spans="1:19" x14ac:dyDescent="0.3">
      <c r="A765" s="4">
        <v>44688</v>
      </c>
      <c r="B765" s="5">
        <f t="shared" si="119"/>
        <v>5</v>
      </c>
      <c r="C765" s="5">
        <f t="shared" si="120"/>
        <v>2022</v>
      </c>
      <c r="D765" s="5" t="s">
        <v>764</v>
      </c>
      <c r="E765" s="5" t="str">
        <f>VLOOKUP(F765,'Set up'!$A$2:$C$70,2,FALSE)</f>
        <v>C00000020</v>
      </c>
      <c r="F765" s="1" t="s">
        <v>409</v>
      </c>
      <c r="G765" s="11" t="s">
        <v>719</v>
      </c>
      <c r="H765" s="5">
        <v>4</v>
      </c>
      <c r="I765" s="5" t="str">
        <f>VLOOKUP(F765,'Set up'!$A$2:$C$70,3,FALSE)</f>
        <v>Cash</v>
      </c>
      <c r="J765" s="5">
        <f>VLOOKUP(F765,'Set up'!$A$2:$D$70,4,FALSE)</f>
        <v>0</v>
      </c>
      <c r="K765" s="4">
        <f t="shared" si="121"/>
        <v>44688</v>
      </c>
      <c r="L765" s="5">
        <f t="shared" si="122"/>
        <v>5</v>
      </c>
      <c r="M765" s="5">
        <f t="shared" si="123"/>
        <v>2022</v>
      </c>
      <c r="N765" s="6">
        <v>8360</v>
      </c>
      <c r="O765" s="6">
        <f t="shared" ref="O765" si="134">-N765</f>
        <v>-8360</v>
      </c>
      <c r="P765" s="6">
        <f t="shared" si="127"/>
        <v>0</v>
      </c>
      <c r="Q765" s="7">
        <f t="shared" si="124"/>
        <v>1366408.0500000003</v>
      </c>
      <c r="R765" s="44" t="str">
        <f>VLOOKUP(F765,'Set up'!$A$2:$E$70,5,FALSE)</f>
        <v>Trsf</v>
      </c>
      <c r="S765" s="1" t="s">
        <v>1035</v>
      </c>
    </row>
    <row r="766" spans="1:19" x14ac:dyDescent="0.3">
      <c r="A766" s="4">
        <v>44688</v>
      </c>
      <c r="B766" s="5">
        <f t="shared" si="119"/>
        <v>5</v>
      </c>
      <c r="C766" s="5">
        <f t="shared" si="120"/>
        <v>2022</v>
      </c>
      <c r="D766" s="5" t="s">
        <v>764</v>
      </c>
      <c r="E766" s="5" t="str">
        <f>VLOOKUP(F766,'Set up'!$A$2:$C$70,2,FALSE)</f>
        <v>C00000020</v>
      </c>
      <c r="F766" s="1" t="s">
        <v>409</v>
      </c>
      <c r="G766" s="11" t="s">
        <v>654</v>
      </c>
      <c r="H766" s="5">
        <v>20</v>
      </c>
      <c r="I766" s="5" t="str">
        <f>VLOOKUP(F766,'Set up'!$A$2:$C$70,3,FALSE)</f>
        <v>Cash</v>
      </c>
      <c r="J766" s="5">
        <f>VLOOKUP(F766,'Set up'!$A$2:$D$70,4,FALSE)</f>
        <v>0</v>
      </c>
      <c r="K766" s="4">
        <f t="shared" si="121"/>
        <v>44688</v>
      </c>
      <c r="L766" s="5">
        <f t="shared" si="122"/>
        <v>5</v>
      </c>
      <c r="M766" s="5">
        <f t="shared" si="123"/>
        <v>2022</v>
      </c>
      <c r="N766" s="6">
        <v>5880</v>
      </c>
      <c r="O766" s="6">
        <f>-1511.3-3000-1368.7</f>
        <v>-5880</v>
      </c>
      <c r="P766" s="6">
        <f t="shared" si="127"/>
        <v>0</v>
      </c>
      <c r="Q766" s="7">
        <f t="shared" si="124"/>
        <v>1372288.0500000003</v>
      </c>
      <c r="R766" s="44" t="str">
        <f>VLOOKUP(F766,'Set up'!$A$2:$E$70,5,FALSE)</f>
        <v>Trsf</v>
      </c>
      <c r="S766" s="1" t="s">
        <v>1079</v>
      </c>
    </row>
    <row r="767" spans="1:19" x14ac:dyDescent="0.3">
      <c r="A767" s="4">
        <v>44688</v>
      </c>
      <c r="B767" s="5">
        <f t="shared" si="119"/>
        <v>5</v>
      </c>
      <c r="C767" s="5">
        <f t="shared" si="120"/>
        <v>2022</v>
      </c>
      <c r="D767" s="5" t="s">
        <v>764</v>
      </c>
      <c r="E767" s="5" t="str">
        <f>VLOOKUP(F767,'Set up'!$A$2:$C$70,2,FALSE)</f>
        <v>C00000020</v>
      </c>
      <c r="F767" s="1" t="s">
        <v>409</v>
      </c>
      <c r="G767" s="11" t="s">
        <v>414</v>
      </c>
      <c r="H767" s="5">
        <v>5</v>
      </c>
      <c r="I767" s="5" t="str">
        <f>VLOOKUP(F767,'Set up'!$A$2:$C$70,3,FALSE)</f>
        <v>Cash</v>
      </c>
      <c r="J767" s="5">
        <f>VLOOKUP(F767,'Set up'!$A$2:$D$70,4,FALSE)</f>
        <v>0</v>
      </c>
      <c r="K767" s="4">
        <f t="shared" si="121"/>
        <v>44688</v>
      </c>
      <c r="L767" s="5">
        <f t="shared" si="122"/>
        <v>5</v>
      </c>
      <c r="M767" s="5">
        <f t="shared" si="123"/>
        <v>2022</v>
      </c>
      <c r="N767" s="6">
        <v>1755</v>
      </c>
      <c r="O767" s="6">
        <f t="shared" ref="O767:O768" si="135">-N767</f>
        <v>-1755</v>
      </c>
      <c r="P767" s="6">
        <f t="shared" si="127"/>
        <v>0</v>
      </c>
      <c r="Q767" s="7">
        <f t="shared" si="124"/>
        <v>1374043.0500000003</v>
      </c>
      <c r="R767" s="44" t="str">
        <f>VLOOKUP(F767,'Set up'!$A$2:$E$70,5,FALSE)</f>
        <v>Trsf</v>
      </c>
      <c r="S767" s="1" t="s">
        <v>1081</v>
      </c>
    </row>
    <row r="768" spans="1:19" x14ac:dyDescent="0.3">
      <c r="A768" s="4">
        <v>44688</v>
      </c>
      <c r="B768" s="5">
        <f t="shared" si="119"/>
        <v>5</v>
      </c>
      <c r="C768" s="5">
        <f t="shared" si="120"/>
        <v>2022</v>
      </c>
      <c r="D768" s="5" t="s">
        <v>764</v>
      </c>
      <c r="E768" s="5" t="str">
        <f>VLOOKUP(F768,'Set up'!$A$2:$C$70,2,FALSE)</f>
        <v>C00000020</v>
      </c>
      <c r="F768" s="1" t="s">
        <v>409</v>
      </c>
      <c r="G768" s="11" t="s">
        <v>64</v>
      </c>
      <c r="H768" s="5">
        <v>4</v>
      </c>
      <c r="I768" s="5" t="str">
        <f>VLOOKUP(F768,'Set up'!$A$2:$C$70,3,FALSE)</f>
        <v>Cash</v>
      </c>
      <c r="J768" s="5">
        <f>VLOOKUP(F768,'Set up'!$A$2:$D$70,4,FALSE)</f>
        <v>0</v>
      </c>
      <c r="K768" s="4">
        <f t="shared" si="121"/>
        <v>44688</v>
      </c>
      <c r="L768" s="5">
        <f t="shared" si="122"/>
        <v>5</v>
      </c>
      <c r="M768" s="5">
        <f t="shared" si="123"/>
        <v>2022</v>
      </c>
      <c r="N768" s="6">
        <v>250</v>
      </c>
      <c r="O768" s="6">
        <f t="shared" si="135"/>
        <v>-250</v>
      </c>
      <c r="P768" s="6">
        <f t="shared" si="127"/>
        <v>0</v>
      </c>
      <c r="Q768" s="7">
        <f t="shared" si="124"/>
        <v>1374293.0500000003</v>
      </c>
      <c r="R768" s="44" t="str">
        <f>VLOOKUP(F768,'Set up'!$A$2:$E$70,5,FALSE)</f>
        <v>Trsf</v>
      </c>
      <c r="S768" s="1" t="s">
        <v>1080</v>
      </c>
    </row>
    <row r="769" spans="1:19" x14ac:dyDescent="0.3">
      <c r="A769" s="4">
        <v>44691</v>
      </c>
      <c r="B769" s="5">
        <f t="shared" si="119"/>
        <v>5</v>
      </c>
      <c r="C769" s="5">
        <f t="shared" si="120"/>
        <v>2022</v>
      </c>
      <c r="D769" s="5" t="s">
        <v>765</v>
      </c>
      <c r="E769" s="5" t="str">
        <f>VLOOKUP(F769,'Set up'!$A$2:$C$70,2,FALSE)</f>
        <v>C00000009</v>
      </c>
      <c r="F769" s="1" t="s">
        <v>58</v>
      </c>
      <c r="G769" s="11" t="s">
        <v>719</v>
      </c>
      <c r="H769" s="5">
        <v>1</v>
      </c>
      <c r="I769" s="5">
        <f>VLOOKUP(F769,'Set up'!$A$2:$C$70,3,FALSE)</f>
        <v>60</v>
      </c>
      <c r="J769" s="5">
        <f>VLOOKUP(F769,'Set up'!$A$2:$D$70,4,FALSE)</f>
        <v>60</v>
      </c>
      <c r="K769" s="4">
        <f t="shared" si="121"/>
        <v>44751</v>
      </c>
      <c r="L769" s="5">
        <f t="shared" si="122"/>
        <v>7</v>
      </c>
      <c r="M769" s="5">
        <f t="shared" si="123"/>
        <v>2022</v>
      </c>
      <c r="N769" s="6">
        <v>1980</v>
      </c>
      <c r="O769" s="6">
        <f>-N769</f>
        <v>-1980</v>
      </c>
      <c r="P769" s="6">
        <f t="shared" si="127"/>
        <v>0</v>
      </c>
      <c r="Q769" s="7">
        <f t="shared" si="124"/>
        <v>1376273.0500000003</v>
      </c>
      <c r="R769" s="44" t="str">
        <f>VLOOKUP(F769,'Set up'!$A$2:$E$70,5,FALSE)</f>
        <v>Chq</v>
      </c>
      <c r="S769" s="1" t="s">
        <v>984</v>
      </c>
    </row>
    <row r="770" spans="1:19" x14ac:dyDescent="0.3">
      <c r="A770" s="4">
        <v>44691</v>
      </c>
      <c r="B770" s="5">
        <f t="shared" si="119"/>
        <v>5</v>
      </c>
      <c r="C770" s="5">
        <f t="shared" si="120"/>
        <v>2022</v>
      </c>
      <c r="D770" s="5" t="s">
        <v>765</v>
      </c>
      <c r="E770" s="5" t="str">
        <f>VLOOKUP(F770,'Set up'!$A$2:$C$70,2,FALSE)</f>
        <v>C00000009</v>
      </c>
      <c r="F770" s="1" t="s">
        <v>58</v>
      </c>
      <c r="G770" s="11" t="s">
        <v>616</v>
      </c>
      <c r="H770" s="5">
        <v>1</v>
      </c>
      <c r="I770" s="5">
        <f>VLOOKUP(F770,'Set up'!$A$2:$C$70,3,FALSE)</f>
        <v>60</v>
      </c>
      <c r="J770" s="5">
        <f>VLOOKUP(F770,'Set up'!$A$2:$D$70,4,FALSE)</f>
        <v>60</v>
      </c>
      <c r="K770" s="4">
        <f t="shared" si="121"/>
        <v>44751</v>
      </c>
      <c r="L770" s="5">
        <f t="shared" si="122"/>
        <v>7</v>
      </c>
      <c r="M770" s="5">
        <f t="shared" si="123"/>
        <v>2022</v>
      </c>
      <c r="N770" s="6">
        <v>1980</v>
      </c>
      <c r="O770" s="6">
        <f>-N770</f>
        <v>-1980</v>
      </c>
      <c r="P770" s="6">
        <f t="shared" si="127"/>
        <v>0</v>
      </c>
      <c r="Q770" s="7">
        <f t="shared" si="124"/>
        <v>1378253.0500000003</v>
      </c>
      <c r="R770" s="44" t="str">
        <f>VLOOKUP(F770,'Set up'!$A$2:$E$70,5,FALSE)</f>
        <v>Chq</v>
      </c>
      <c r="S770" s="1" t="s">
        <v>984</v>
      </c>
    </row>
    <row r="771" spans="1:19" x14ac:dyDescent="0.3">
      <c r="A771" s="4">
        <v>44691</v>
      </c>
      <c r="B771" s="5">
        <f t="shared" ref="B771:B834" si="136">MONTH(A771)</f>
        <v>5</v>
      </c>
      <c r="C771" s="5">
        <f t="shared" ref="C771:C834" si="137">YEAR(A771)</f>
        <v>2022</v>
      </c>
      <c r="D771" s="5" t="s">
        <v>765</v>
      </c>
      <c r="E771" s="5" t="str">
        <f>VLOOKUP(F771,'Set up'!$A$2:$C$70,2,FALSE)</f>
        <v>C00000009</v>
      </c>
      <c r="F771" s="1" t="s">
        <v>58</v>
      </c>
      <c r="G771" s="11" t="s">
        <v>682</v>
      </c>
      <c r="H771" s="5">
        <v>2</v>
      </c>
      <c r="I771" s="5">
        <f>VLOOKUP(F771,'Set up'!$A$2:$C$70,3,FALSE)</f>
        <v>60</v>
      </c>
      <c r="J771" s="5">
        <f>VLOOKUP(F771,'Set up'!$A$2:$D$70,4,FALSE)</f>
        <v>60</v>
      </c>
      <c r="K771" s="4">
        <f t="shared" ref="K771:K834" si="138">A771+J771</f>
        <v>44751</v>
      </c>
      <c r="L771" s="5">
        <f t="shared" ref="L771:L834" si="139">MONTH(K771)</f>
        <v>7</v>
      </c>
      <c r="M771" s="5">
        <f t="shared" ref="M771:M834" si="140">YEAR(K771)</f>
        <v>2022</v>
      </c>
      <c r="N771" s="6">
        <v>1140</v>
      </c>
      <c r="O771" s="6">
        <f>-N771</f>
        <v>-1140</v>
      </c>
      <c r="P771" s="6">
        <f t="shared" si="127"/>
        <v>0</v>
      </c>
      <c r="Q771" s="7">
        <f t="shared" ref="Q771:Q834" si="141">SUM(Q770+N771)</f>
        <v>1379393.0500000003</v>
      </c>
      <c r="R771" s="44" t="str">
        <f>VLOOKUP(F771,'Set up'!$A$2:$E$70,5,FALSE)</f>
        <v>Chq</v>
      </c>
      <c r="S771" s="1" t="s">
        <v>984</v>
      </c>
    </row>
    <row r="772" spans="1:19" x14ac:dyDescent="0.3">
      <c r="A772" s="4" t="s">
        <v>767</v>
      </c>
      <c r="B772" s="5">
        <f t="shared" si="136"/>
        <v>5</v>
      </c>
      <c r="C772" s="5">
        <f t="shared" si="137"/>
        <v>2022</v>
      </c>
      <c r="D772" s="5" t="s">
        <v>766</v>
      </c>
      <c r="E772" s="5" t="str">
        <f>VLOOKUP(F772,'Set up'!$A$2:$C$70,2,FALSE)</f>
        <v>C00000006</v>
      </c>
      <c r="F772" s="1" t="s">
        <v>43</v>
      </c>
      <c r="G772" s="11" t="s">
        <v>303</v>
      </c>
      <c r="H772" s="5">
        <v>1</v>
      </c>
      <c r="I772" s="5" t="str">
        <f>VLOOKUP(F772,'Set up'!$A$2:$C$70,3,FALSE)</f>
        <v>Cash</v>
      </c>
      <c r="J772" s="5">
        <f>VLOOKUP(F772,'Set up'!$A$2:$D$70,4,FALSE)</f>
        <v>0</v>
      </c>
      <c r="K772" s="4">
        <f t="shared" si="138"/>
        <v>44692</v>
      </c>
      <c r="L772" s="5">
        <f t="shared" si="139"/>
        <v>5</v>
      </c>
      <c r="M772" s="5">
        <f t="shared" si="140"/>
        <v>2022</v>
      </c>
      <c r="N772" s="6">
        <v>2068</v>
      </c>
      <c r="O772" s="6">
        <f t="shared" ref="O772:O774" si="142">SUM(-N772)</f>
        <v>-2068</v>
      </c>
      <c r="P772" s="6">
        <f t="shared" si="127"/>
        <v>0</v>
      </c>
      <c r="Q772" s="7">
        <f t="shared" si="141"/>
        <v>1381461.0500000003</v>
      </c>
      <c r="R772" s="44" t="str">
        <f>VLOOKUP(F772,'Set up'!$A$2:$E$70,5,FALSE)</f>
        <v>Chq</v>
      </c>
      <c r="S772" s="1" t="s">
        <v>880</v>
      </c>
    </row>
    <row r="773" spans="1:19" x14ac:dyDescent="0.3">
      <c r="A773" s="4" t="s">
        <v>767</v>
      </c>
      <c r="B773" s="5">
        <f t="shared" si="136"/>
        <v>5</v>
      </c>
      <c r="C773" s="5">
        <f t="shared" si="137"/>
        <v>2022</v>
      </c>
      <c r="D773" s="5" t="s">
        <v>766</v>
      </c>
      <c r="E773" s="5" t="str">
        <f>VLOOKUP(F773,'Set up'!$A$2:$C$70,2,FALSE)</f>
        <v>C00000006</v>
      </c>
      <c r="F773" s="1" t="s">
        <v>43</v>
      </c>
      <c r="G773" s="11" t="s">
        <v>551</v>
      </c>
      <c r="H773" s="5">
        <v>1</v>
      </c>
      <c r="I773" s="5" t="str">
        <f>VLOOKUP(F773,'Set up'!$A$2:$C$70,3,FALSE)</f>
        <v>Cash</v>
      </c>
      <c r="J773" s="5">
        <f>VLOOKUP(F773,'Set up'!$A$2:$D$70,4,FALSE)</f>
        <v>0</v>
      </c>
      <c r="K773" s="4">
        <f t="shared" si="138"/>
        <v>44692</v>
      </c>
      <c r="L773" s="5">
        <f t="shared" si="139"/>
        <v>5</v>
      </c>
      <c r="M773" s="5">
        <f t="shared" si="140"/>
        <v>2022</v>
      </c>
      <c r="N773" s="6">
        <v>291</v>
      </c>
      <c r="O773" s="6">
        <f t="shared" si="142"/>
        <v>-291</v>
      </c>
      <c r="P773" s="6">
        <f t="shared" si="127"/>
        <v>0</v>
      </c>
      <c r="Q773" s="7">
        <f t="shared" si="141"/>
        <v>1381752.0500000003</v>
      </c>
      <c r="R773" s="44" t="str">
        <f>VLOOKUP(F773,'Set up'!$A$2:$E$70,5,FALSE)</f>
        <v>Chq</v>
      </c>
      <c r="S773" s="1" t="s">
        <v>880</v>
      </c>
    </row>
    <row r="774" spans="1:19" x14ac:dyDescent="0.3">
      <c r="A774" s="4" t="s">
        <v>767</v>
      </c>
      <c r="B774" s="5">
        <f t="shared" si="136"/>
        <v>5</v>
      </c>
      <c r="C774" s="5">
        <f t="shared" si="137"/>
        <v>2022</v>
      </c>
      <c r="D774" s="5" t="s">
        <v>766</v>
      </c>
      <c r="E774" s="5" t="str">
        <f>VLOOKUP(F774,'Set up'!$A$2:$C$70,2,FALSE)</f>
        <v>C00000006</v>
      </c>
      <c r="F774" s="1" t="s">
        <v>43</v>
      </c>
      <c r="G774" s="11" t="s">
        <v>768</v>
      </c>
      <c r="H774" s="5">
        <v>1</v>
      </c>
      <c r="I774" s="5" t="str">
        <f>VLOOKUP(F774,'Set up'!$A$2:$C$70,3,FALSE)</f>
        <v>Cash</v>
      </c>
      <c r="J774" s="5">
        <f>VLOOKUP(F774,'Set up'!$A$2:$D$70,4,FALSE)</f>
        <v>0</v>
      </c>
      <c r="K774" s="4">
        <f t="shared" si="138"/>
        <v>44692</v>
      </c>
      <c r="L774" s="5">
        <f t="shared" si="139"/>
        <v>5</v>
      </c>
      <c r="M774" s="5">
        <f t="shared" si="140"/>
        <v>2022</v>
      </c>
      <c r="N774" s="6">
        <v>175</v>
      </c>
      <c r="O774" s="6">
        <f t="shared" si="142"/>
        <v>-175</v>
      </c>
      <c r="P774" s="6">
        <f t="shared" si="127"/>
        <v>0</v>
      </c>
      <c r="Q774" s="7">
        <f t="shared" si="141"/>
        <v>1381927.0500000003</v>
      </c>
      <c r="R774" s="44" t="str">
        <f>VLOOKUP(F774,'Set up'!$A$2:$E$70,5,FALSE)</f>
        <v>Chq</v>
      </c>
      <c r="S774" s="1" t="s">
        <v>880</v>
      </c>
    </row>
    <row r="775" spans="1:19" x14ac:dyDescent="0.3">
      <c r="A775" s="4">
        <v>44693</v>
      </c>
      <c r="B775" s="5">
        <f t="shared" si="136"/>
        <v>5</v>
      </c>
      <c r="C775" s="5">
        <f t="shared" si="137"/>
        <v>2022</v>
      </c>
      <c r="D775" s="5" t="s">
        <v>769</v>
      </c>
      <c r="E775" s="5" t="str">
        <f>VLOOKUP(F775,'Set up'!$A$2:$C$70,2,FALSE)</f>
        <v>C00000022</v>
      </c>
      <c r="F775" s="1" t="s">
        <v>637</v>
      </c>
      <c r="G775" s="11" t="s">
        <v>95</v>
      </c>
      <c r="H775" s="5">
        <v>1</v>
      </c>
      <c r="I775" s="5" t="str">
        <f>VLOOKUP(F775,'Set up'!$A$2:$C$70,3,FALSE)</f>
        <v>Cash</v>
      </c>
      <c r="J775" s="5">
        <f>VLOOKUP(F775,'Set up'!$A$2:$D$70,4,FALSE)</f>
        <v>0</v>
      </c>
      <c r="K775" s="4">
        <f t="shared" si="138"/>
        <v>44693</v>
      </c>
      <c r="L775" s="5">
        <f t="shared" si="139"/>
        <v>5</v>
      </c>
      <c r="M775" s="5">
        <f t="shared" si="140"/>
        <v>2022</v>
      </c>
      <c r="N775" s="6">
        <v>2112</v>
      </c>
      <c r="O775" s="6">
        <f t="shared" ref="O775" si="143">-N775</f>
        <v>-2112</v>
      </c>
      <c r="P775" s="6">
        <f t="shared" si="127"/>
        <v>0</v>
      </c>
      <c r="Q775" s="7">
        <f t="shared" si="141"/>
        <v>1384039.0500000003</v>
      </c>
      <c r="R775" s="44" t="str">
        <f>VLOOKUP(F775,'Set up'!$A$2:$E$70,5,FALSE)</f>
        <v>Trsf</v>
      </c>
      <c r="S775" s="1" t="s">
        <v>889</v>
      </c>
    </row>
    <row r="776" spans="1:19" x14ac:dyDescent="0.3">
      <c r="A776" s="4">
        <v>44693</v>
      </c>
      <c r="B776" s="5">
        <f t="shared" si="136"/>
        <v>5</v>
      </c>
      <c r="C776" s="5">
        <f t="shared" si="137"/>
        <v>2022</v>
      </c>
      <c r="D776" s="5" t="s">
        <v>769</v>
      </c>
      <c r="E776" s="5" t="str">
        <f>VLOOKUP(F776,'Set up'!$A$2:$C$70,2,FALSE)</f>
        <v>C00000022</v>
      </c>
      <c r="F776" s="1" t="s">
        <v>637</v>
      </c>
      <c r="G776" s="11" t="s">
        <v>703</v>
      </c>
      <c r="H776" s="5">
        <v>2</v>
      </c>
      <c r="I776" s="5" t="str">
        <f>VLOOKUP(F776,'Set up'!$A$2:$C$70,3,FALSE)</f>
        <v>Cash</v>
      </c>
      <c r="J776" s="5">
        <f>VLOOKUP(F776,'Set up'!$A$2:$D$70,4,FALSE)</f>
        <v>0</v>
      </c>
      <c r="K776" s="4">
        <f t="shared" si="138"/>
        <v>44693</v>
      </c>
      <c r="L776" s="5">
        <f t="shared" si="139"/>
        <v>5</v>
      </c>
      <c r="M776" s="5">
        <f t="shared" si="140"/>
        <v>2022</v>
      </c>
      <c r="N776" s="6">
        <v>1058.4000000000001</v>
      </c>
      <c r="O776" s="6">
        <f>-888-170.4</f>
        <v>-1058.4000000000001</v>
      </c>
      <c r="P776" s="6">
        <f t="shared" si="127"/>
        <v>0</v>
      </c>
      <c r="Q776" s="7">
        <f t="shared" si="141"/>
        <v>1385097.4500000002</v>
      </c>
      <c r="R776" s="44" t="str">
        <f>VLOOKUP(F776,'Set up'!$A$2:$E$70,5,FALSE)</f>
        <v>Trsf</v>
      </c>
      <c r="S776" s="1" t="s">
        <v>978</v>
      </c>
    </row>
    <row r="777" spans="1:19" x14ac:dyDescent="0.3">
      <c r="A777" s="4">
        <v>44693</v>
      </c>
      <c r="B777" s="5">
        <f t="shared" si="136"/>
        <v>5</v>
      </c>
      <c r="C777" s="5">
        <f t="shared" si="137"/>
        <v>2022</v>
      </c>
      <c r="D777" s="5" t="s">
        <v>769</v>
      </c>
      <c r="E777" s="5" t="str">
        <f>VLOOKUP(F777,'Set up'!$A$2:$C$70,2,FALSE)</f>
        <v>C00000022</v>
      </c>
      <c r="F777" s="1" t="s">
        <v>637</v>
      </c>
      <c r="G777" s="11" t="s">
        <v>414</v>
      </c>
      <c r="H777" s="5">
        <v>1</v>
      </c>
      <c r="I777" s="5" t="str">
        <f>VLOOKUP(F777,'Set up'!$A$2:$C$70,3,FALSE)</f>
        <v>Cash</v>
      </c>
      <c r="J777" s="5">
        <f>VLOOKUP(F777,'Set up'!$A$2:$D$70,4,FALSE)</f>
        <v>0</v>
      </c>
      <c r="K777" s="4">
        <f t="shared" si="138"/>
        <v>44693</v>
      </c>
      <c r="L777" s="5">
        <f t="shared" si="139"/>
        <v>5</v>
      </c>
      <c r="M777" s="5">
        <f t="shared" si="140"/>
        <v>2022</v>
      </c>
      <c r="N777" s="6">
        <v>337.5</v>
      </c>
      <c r="O777" s="6">
        <f t="shared" ref="O777:O780" si="144">-N777</f>
        <v>-337.5</v>
      </c>
      <c r="P777" s="6">
        <f t="shared" si="127"/>
        <v>0</v>
      </c>
      <c r="Q777" s="7">
        <f t="shared" si="141"/>
        <v>1385434.9500000002</v>
      </c>
      <c r="R777" s="44" t="str">
        <f>VLOOKUP(F777,'Set up'!$A$2:$E$70,5,FALSE)</f>
        <v>Trsf</v>
      </c>
      <c r="S777" s="1" t="s">
        <v>980</v>
      </c>
    </row>
    <row r="778" spans="1:19" x14ac:dyDescent="0.3">
      <c r="A778" s="4">
        <v>44693</v>
      </c>
      <c r="B778" s="5">
        <f t="shared" si="136"/>
        <v>5</v>
      </c>
      <c r="C778" s="5">
        <f t="shared" si="137"/>
        <v>2022</v>
      </c>
      <c r="D778" s="5" t="s">
        <v>769</v>
      </c>
      <c r="E778" s="5" t="str">
        <f>VLOOKUP(F778,'Set up'!$A$2:$C$70,2,FALSE)</f>
        <v>C00000022</v>
      </c>
      <c r="F778" s="1" t="s">
        <v>637</v>
      </c>
      <c r="G778" s="11" t="s">
        <v>770</v>
      </c>
      <c r="H778" s="5">
        <v>1</v>
      </c>
      <c r="I778" s="5" t="str">
        <f>VLOOKUP(F778,'Set up'!$A$2:$C$70,3,FALSE)</f>
        <v>Cash</v>
      </c>
      <c r="J778" s="5">
        <f>VLOOKUP(F778,'Set up'!$A$2:$D$70,4,FALSE)</f>
        <v>0</v>
      </c>
      <c r="K778" s="4">
        <f t="shared" si="138"/>
        <v>44693</v>
      </c>
      <c r="L778" s="5">
        <f t="shared" si="139"/>
        <v>5</v>
      </c>
      <c r="M778" s="5">
        <f t="shared" si="140"/>
        <v>2022</v>
      </c>
      <c r="N778" s="6">
        <v>450</v>
      </c>
      <c r="O778" s="6">
        <f t="shared" si="144"/>
        <v>-450</v>
      </c>
      <c r="P778" s="6">
        <f t="shared" si="127"/>
        <v>0</v>
      </c>
      <c r="Q778" s="7">
        <f t="shared" si="141"/>
        <v>1385884.9500000002</v>
      </c>
      <c r="R778" s="44" t="str">
        <f>VLOOKUP(F778,'Set up'!$A$2:$E$70,5,FALSE)</f>
        <v>Trsf</v>
      </c>
      <c r="S778" s="1" t="s">
        <v>979</v>
      </c>
    </row>
    <row r="779" spans="1:19" x14ac:dyDescent="0.3">
      <c r="A779" s="4">
        <v>44693</v>
      </c>
      <c r="B779" s="5">
        <f t="shared" si="136"/>
        <v>5</v>
      </c>
      <c r="C779" s="5">
        <f t="shared" si="137"/>
        <v>2022</v>
      </c>
      <c r="D779" s="5" t="s">
        <v>769</v>
      </c>
      <c r="E779" s="5" t="str">
        <f>VLOOKUP(F779,'Set up'!$A$2:$C$70,2,FALSE)</f>
        <v>C00000022</v>
      </c>
      <c r="F779" s="1" t="s">
        <v>637</v>
      </c>
      <c r="G779" s="11" t="s">
        <v>771</v>
      </c>
      <c r="H779" s="5">
        <v>1</v>
      </c>
      <c r="I779" s="5" t="str">
        <f>VLOOKUP(F779,'Set up'!$A$2:$C$70,3,FALSE)</f>
        <v>Cash</v>
      </c>
      <c r="J779" s="5">
        <f>VLOOKUP(F779,'Set up'!$A$2:$D$70,4,FALSE)</f>
        <v>0</v>
      </c>
      <c r="K779" s="4">
        <f t="shared" si="138"/>
        <v>44693</v>
      </c>
      <c r="L779" s="5">
        <f t="shared" si="139"/>
        <v>5</v>
      </c>
      <c r="M779" s="5">
        <f t="shared" si="140"/>
        <v>2022</v>
      </c>
      <c r="N779" s="6">
        <v>270</v>
      </c>
      <c r="O779" s="6">
        <f t="shared" si="144"/>
        <v>-270</v>
      </c>
      <c r="P779" s="6">
        <f t="shared" si="127"/>
        <v>0</v>
      </c>
      <c r="Q779" s="7">
        <f t="shared" si="141"/>
        <v>1386154.9500000002</v>
      </c>
      <c r="R779" s="44" t="str">
        <f>VLOOKUP(F779,'Set up'!$A$2:$E$70,5,FALSE)</f>
        <v>Trsf</v>
      </c>
      <c r="S779" s="1" t="s">
        <v>979</v>
      </c>
    </row>
    <row r="780" spans="1:19" x14ac:dyDescent="0.3">
      <c r="A780" s="4">
        <v>44693</v>
      </c>
      <c r="B780" s="5">
        <f t="shared" si="136"/>
        <v>5</v>
      </c>
      <c r="C780" s="5">
        <f t="shared" si="137"/>
        <v>2022</v>
      </c>
      <c r="D780" s="5" t="s">
        <v>769</v>
      </c>
      <c r="E780" s="5" t="str">
        <f>VLOOKUP(F780,'Set up'!$A$2:$C$70,2,FALSE)</f>
        <v>C00000022</v>
      </c>
      <c r="F780" s="1" t="s">
        <v>637</v>
      </c>
      <c r="G780" s="11" t="s">
        <v>772</v>
      </c>
      <c r="H780" s="5">
        <v>2</v>
      </c>
      <c r="I780" s="5" t="str">
        <f>VLOOKUP(F780,'Set up'!$A$2:$C$70,3,FALSE)</f>
        <v>Cash</v>
      </c>
      <c r="J780" s="5">
        <f>VLOOKUP(F780,'Set up'!$A$2:$D$70,4,FALSE)</f>
        <v>0</v>
      </c>
      <c r="K780" s="4">
        <f t="shared" si="138"/>
        <v>44693</v>
      </c>
      <c r="L780" s="5">
        <f t="shared" si="139"/>
        <v>5</v>
      </c>
      <c r="M780" s="5">
        <f t="shared" si="140"/>
        <v>2022</v>
      </c>
      <c r="N780" s="6">
        <v>90</v>
      </c>
      <c r="O780" s="6">
        <f t="shared" si="144"/>
        <v>-90</v>
      </c>
      <c r="P780" s="6">
        <f t="shared" si="127"/>
        <v>0</v>
      </c>
      <c r="Q780" s="7">
        <f t="shared" si="141"/>
        <v>1386244.9500000002</v>
      </c>
      <c r="R780" s="44" t="str">
        <f>VLOOKUP(F780,'Set up'!$A$2:$E$70,5,FALSE)</f>
        <v>Trsf</v>
      </c>
      <c r="S780" s="1" t="s">
        <v>979</v>
      </c>
    </row>
    <row r="781" spans="1:19" x14ac:dyDescent="0.3">
      <c r="A781" s="4">
        <v>44693</v>
      </c>
      <c r="B781" s="5">
        <f t="shared" si="136"/>
        <v>5</v>
      </c>
      <c r="C781" s="5">
        <f t="shared" si="137"/>
        <v>2022</v>
      </c>
      <c r="D781" s="5" t="s">
        <v>774</v>
      </c>
      <c r="E781" s="5" t="str">
        <f>VLOOKUP(F781,'Set up'!$A$2:$C$70,2,FALSE)</f>
        <v>C00000024</v>
      </c>
      <c r="F781" s="1" t="s">
        <v>773</v>
      </c>
      <c r="G781" s="11" t="s">
        <v>775</v>
      </c>
      <c r="H781" s="5">
        <v>2</v>
      </c>
      <c r="I781" s="5" t="str">
        <f>VLOOKUP(F781,'Set up'!$A$2:$C$70,3,FALSE)</f>
        <v>Cash</v>
      </c>
      <c r="J781" s="5">
        <f>VLOOKUP(F781,'Set up'!$A$2:$D$70,4,FALSE)</f>
        <v>0</v>
      </c>
      <c r="K781" s="4">
        <f t="shared" si="138"/>
        <v>44693</v>
      </c>
      <c r="L781" s="5">
        <f t="shared" si="139"/>
        <v>5</v>
      </c>
      <c r="M781" s="5">
        <f t="shared" si="140"/>
        <v>2022</v>
      </c>
      <c r="N781" s="6">
        <v>4180</v>
      </c>
      <c r="O781" s="6">
        <f t="shared" ref="O781:O786" si="145">-N781</f>
        <v>-4180</v>
      </c>
      <c r="P781" s="6">
        <f t="shared" si="127"/>
        <v>0</v>
      </c>
      <c r="Q781" s="7">
        <f t="shared" si="141"/>
        <v>1390424.9500000002</v>
      </c>
      <c r="R781" s="44" t="str">
        <f>VLOOKUP(F781,'Set up'!$A$2:$E$70,5,FALSE)</f>
        <v>Trsf</v>
      </c>
      <c r="S781" s="1" t="s">
        <v>810</v>
      </c>
    </row>
    <row r="782" spans="1:19" x14ac:dyDescent="0.3">
      <c r="A782" s="4">
        <v>44693</v>
      </c>
      <c r="B782" s="5">
        <f t="shared" si="136"/>
        <v>5</v>
      </c>
      <c r="C782" s="5">
        <f t="shared" si="137"/>
        <v>2022</v>
      </c>
      <c r="D782" s="5" t="s">
        <v>774</v>
      </c>
      <c r="E782" s="5" t="str">
        <f>VLOOKUP(F782,'Set up'!$A$2:$C$70,2,FALSE)</f>
        <v>C00000024</v>
      </c>
      <c r="F782" s="1" t="s">
        <v>773</v>
      </c>
      <c r="G782" s="11" t="s">
        <v>682</v>
      </c>
      <c r="H782" s="5">
        <v>3</v>
      </c>
      <c r="I782" s="5" t="str">
        <f>VLOOKUP(F782,'Set up'!$A$2:$C$70,3,FALSE)</f>
        <v>Cash</v>
      </c>
      <c r="J782" s="5">
        <f>VLOOKUP(F782,'Set up'!$A$2:$D$70,4,FALSE)</f>
        <v>0</v>
      </c>
      <c r="K782" s="4">
        <f t="shared" si="138"/>
        <v>44693</v>
      </c>
      <c r="L782" s="5">
        <f t="shared" si="139"/>
        <v>5</v>
      </c>
      <c r="M782" s="5">
        <f t="shared" si="140"/>
        <v>2022</v>
      </c>
      <c r="N782" s="6">
        <v>1764</v>
      </c>
      <c r="O782" s="6">
        <f t="shared" si="145"/>
        <v>-1764</v>
      </c>
      <c r="P782" s="6">
        <f t="shared" si="127"/>
        <v>0</v>
      </c>
      <c r="Q782" s="7">
        <f t="shared" si="141"/>
        <v>1392188.9500000002</v>
      </c>
      <c r="R782" s="44" t="str">
        <f>VLOOKUP(F782,'Set up'!$A$2:$E$70,5,FALSE)</f>
        <v>Trsf</v>
      </c>
      <c r="S782" s="1" t="s">
        <v>810</v>
      </c>
    </row>
    <row r="783" spans="1:19" x14ac:dyDescent="0.3">
      <c r="A783" s="4">
        <v>44693</v>
      </c>
      <c r="B783" s="5">
        <f t="shared" si="136"/>
        <v>5</v>
      </c>
      <c r="C783" s="5">
        <f t="shared" si="137"/>
        <v>2022</v>
      </c>
      <c r="D783" s="5" t="s">
        <v>774</v>
      </c>
      <c r="E783" s="5" t="str">
        <f>VLOOKUP(F783,'Set up'!$A$2:$C$70,2,FALSE)</f>
        <v>C00000024</v>
      </c>
      <c r="F783" s="1" t="s">
        <v>773</v>
      </c>
      <c r="G783" s="11" t="s">
        <v>414</v>
      </c>
      <c r="H783" s="5">
        <v>3</v>
      </c>
      <c r="I783" s="5" t="str">
        <f>VLOOKUP(F783,'Set up'!$A$2:$C$70,3,FALSE)</f>
        <v>Cash</v>
      </c>
      <c r="J783" s="5">
        <f>VLOOKUP(F783,'Set up'!$A$2:$D$70,4,FALSE)</f>
        <v>0</v>
      </c>
      <c r="K783" s="4">
        <f t="shared" si="138"/>
        <v>44693</v>
      </c>
      <c r="L783" s="5">
        <f t="shared" si="139"/>
        <v>5</v>
      </c>
      <c r="M783" s="5">
        <f t="shared" si="140"/>
        <v>2022</v>
      </c>
      <c r="N783" s="6">
        <v>1053</v>
      </c>
      <c r="O783" s="6">
        <f t="shared" si="145"/>
        <v>-1053</v>
      </c>
      <c r="P783" s="6">
        <f t="shared" si="127"/>
        <v>0</v>
      </c>
      <c r="Q783" s="7">
        <f t="shared" si="141"/>
        <v>1393241.9500000002</v>
      </c>
      <c r="R783" s="44" t="str">
        <f>VLOOKUP(F783,'Set up'!$A$2:$E$70,5,FALSE)</f>
        <v>Trsf</v>
      </c>
      <c r="S783" s="1" t="s">
        <v>810</v>
      </c>
    </row>
    <row r="784" spans="1:19" x14ac:dyDescent="0.3">
      <c r="A784" s="4">
        <v>44693</v>
      </c>
      <c r="B784" s="5">
        <f t="shared" si="136"/>
        <v>5</v>
      </c>
      <c r="C784" s="5">
        <f t="shared" si="137"/>
        <v>2022</v>
      </c>
      <c r="D784" s="5" t="s">
        <v>774</v>
      </c>
      <c r="E784" s="5" t="str">
        <f>VLOOKUP(F784,'Set up'!$A$2:$C$70,2,FALSE)</f>
        <v>C00000024</v>
      </c>
      <c r="F784" s="1" t="s">
        <v>773</v>
      </c>
      <c r="G784" s="11" t="s">
        <v>64</v>
      </c>
      <c r="H784" s="5">
        <v>3</v>
      </c>
      <c r="I784" s="5" t="str">
        <f>VLOOKUP(F784,'Set up'!$A$2:$C$70,3,FALSE)</f>
        <v>Cash</v>
      </c>
      <c r="J784" s="5">
        <f>VLOOKUP(F784,'Set up'!$A$2:$D$70,4,FALSE)</f>
        <v>0</v>
      </c>
      <c r="K784" s="4">
        <f t="shared" si="138"/>
        <v>44693</v>
      </c>
      <c r="L784" s="5">
        <f t="shared" si="139"/>
        <v>5</v>
      </c>
      <c r="M784" s="5">
        <f t="shared" si="140"/>
        <v>2022</v>
      </c>
      <c r="N784" s="6">
        <v>187.5</v>
      </c>
      <c r="O784" s="6">
        <f t="shared" si="145"/>
        <v>-187.5</v>
      </c>
      <c r="P784" s="6">
        <f t="shared" si="127"/>
        <v>0</v>
      </c>
      <c r="Q784" s="7">
        <f t="shared" si="141"/>
        <v>1393429.4500000002</v>
      </c>
      <c r="R784" s="44" t="str">
        <f>VLOOKUP(F784,'Set up'!$A$2:$E$70,5,FALSE)</f>
        <v>Trsf</v>
      </c>
      <c r="S784" s="1" t="s">
        <v>810</v>
      </c>
    </row>
    <row r="785" spans="1:21" x14ac:dyDescent="0.3">
      <c r="A785" s="4">
        <v>44693</v>
      </c>
      <c r="B785" s="5">
        <f t="shared" si="136"/>
        <v>5</v>
      </c>
      <c r="C785" s="5">
        <f t="shared" si="137"/>
        <v>2022</v>
      </c>
      <c r="D785" s="5" t="s">
        <v>774</v>
      </c>
      <c r="E785" s="5" t="str">
        <f>VLOOKUP(F785,'Set up'!$A$2:$C$70,2,FALSE)</f>
        <v>C00000024</v>
      </c>
      <c r="F785" s="1" t="s">
        <v>773</v>
      </c>
      <c r="G785" s="11" t="s">
        <v>666</v>
      </c>
      <c r="H785" s="5">
        <v>4</v>
      </c>
      <c r="I785" s="5" t="str">
        <f>VLOOKUP(F785,'Set up'!$A$2:$C$70,3,FALSE)</f>
        <v>Cash</v>
      </c>
      <c r="J785" s="5">
        <f>VLOOKUP(F785,'Set up'!$A$2:$D$70,4,FALSE)</f>
        <v>0</v>
      </c>
      <c r="K785" s="4">
        <f t="shared" si="138"/>
        <v>44693</v>
      </c>
      <c r="L785" s="5">
        <f t="shared" si="139"/>
        <v>5</v>
      </c>
      <c r="M785" s="5">
        <f t="shared" si="140"/>
        <v>2022</v>
      </c>
      <c r="N785" s="6">
        <v>340</v>
      </c>
      <c r="O785" s="6">
        <f t="shared" si="145"/>
        <v>-340</v>
      </c>
      <c r="P785" s="6">
        <f t="shared" si="127"/>
        <v>0</v>
      </c>
      <c r="Q785" s="7">
        <f t="shared" si="141"/>
        <v>1393769.4500000002</v>
      </c>
      <c r="R785" s="44" t="str">
        <f>VLOOKUP(F785,'Set up'!$A$2:$E$70,5,FALSE)</f>
        <v>Trsf</v>
      </c>
      <c r="S785" s="1" t="s">
        <v>810</v>
      </c>
    </row>
    <row r="786" spans="1:21" x14ac:dyDescent="0.3">
      <c r="A786" s="4">
        <v>44693</v>
      </c>
      <c r="B786" s="5">
        <f t="shared" si="136"/>
        <v>5</v>
      </c>
      <c r="C786" s="5">
        <f t="shared" si="137"/>
        <v>2022</v>
      </c>
      <c r="D786" s="5" t="s">
        <v>774</v>
      </c>
      <c r="E786" s="5" t="str">
        <f>VLOOKUP(F786,'Set up'!$A$2:$C$70,2,FALSE)</f>
        <v>C00000024</v>
      </c>
      <c r="F786" s="1" t="s">
        <v>773</v>
      </c>
      <c r="G786" s="11" t="s">
        <v>659</v>
      </c>
      <c r="H786" s="5">
        <v>1</v>
      </c>
      <c r="I786" s="5" t="str">
        <f>VLOOKUP(F786,'Set up'!$A$2:$C$70,3,FALSE)</f>
        <v>Cash</v>
      </c>
      <c r="J786" s="5">
        <f>VLOOKUP(F786,'Set up'!$A$2:$D$70,4,FALSE)</f>
        <v>0</v>
      </c>
      <c r="K786" s="4">
        <f t="shared" si="138"/>
        <v>44693</v>
      </c>
      <c r="L786" s="5">
        <f t="shared" si="139"/>
        <v>5</v>
      </c>
      <c r="M786" s="5">
        <f t="shared" si="140"/>
        <v>2022</v>
      </c>
      <c r="N786" s="6">
        <v>1000</v>
      </c>
      <c r="O786" s="6">
        <f t="shared" si="145"/>
        <v>-1000</v>
      </c>
      <c r="P786" s="6">
        <f t="shared" si="127"/>
        <v>0</v>
      </c>
      <c r="Q786" s="7">
        <f t="shared" si="141"/>
        <v>1394769.4500000002</v>
      </c>
      <c r="R786" s="44" t="str">
        <f>VLOOKUP(F786,'Set up'!$A$2:$E$70,5,FALSE)</f>
        <v>Trsf</v>
      </c>
      <c r="S786" s="1" t="s">
        <v>810</v>
      </c>
    </row>
    <row r="787" spans="1:21" x14ac:dyDescent="0.3">
      <c r="A787" s="4">
        <v>44695</v>
      </c>
      <c r="B787" s="5">
        <f t="shared" si="136"/>
        <v>5</v>
      </c>
      <c r="C787" s="5">
        <f t="shared" si="137"/>
        <v>2022</v>
      </c>
      <c r="D787" s="5" t="s">
        <v>776</v>
      </c>
      <c r="E787" s="5" t="str">
        <f>VLOOKUP(F787,'Set up'!$A$2:$C$70,2,FALSE)</f>
        <v>C00000006</v>
      </c>
      <c r="F787" s="1" t="s">
        <v>43</v>
      </c>
      <c r="G787" s="11" t="s">
        <v>615</v>
      </c>
      <c r="H787" s="5">
        <v>2</v>
      </c>
      <c r="I787" s="5" t="str">
        <f>VLOOKUP(F787,'Set up'!$A$2:$C$70,3,FALSE)</f>
        <v>Cash</v>
      </c>
      <c r="J787" s="5">
        <f>VLOOKUP(F787,'Set up'!$A$2:$D$70,4,FALSE)</f>
        <v>0</v>
      </c>
      <c r="K787" s="4">
        <f t="shared" si="138"/>
        <v>44695</v>
      </c>
      <c r="L787" s="5">
        <f t="shared" si="139"/>
        <v>5</v>
      </c>
      <c r="M787" s="5">
        <f t="shared" si="140"/>
        <v>2022</v>
      </c>
      <c r="N787" s="6">
        <v>100</v>
      </c>
      <c r="O787" s="6">
        <f t="shared" ref="O787" si="146">SUM(-N787)</f>
        <v>-100</v>
      </c>
      <c r="P787" s="6">
        <f t="shared" si="127"/>
        <v>0</v>
      </c>
      <c r="Q787" s="7">
        <f t="shared" si="141"/>
        <v>1394869.4500000002</v>
      </c>
      <c r="R787" s="44" t="str">
        <f>VLOOKUP(F787,'Set up'!$A$2:$E$70,5,FALSE)</f>
        <v>Chq</v>
      </c>
      <c r="S787" s="1" t="s">
        <v>880</v>
      </c>
    </row>
    <row r="788" spans="1:21" x14ac:dyDescent="0.3">
      <c r="A788" s="4">
        <v>44695</v>
      </c>
      <c r="B788" s="5">
        <f t="shared" si="136"/>
        <v>5</v>
      </c>
      <c r="C788" s="5">
        <f t="shared" si="137"/>
        <v>2022</v>
      </c>
      <c r="D788" s="5" t="s">
        <v>777</v>
      </c>
      <c r="E788" s="5" t="str">
        <f>VLOOKUP(F788,'Set up'!$A$2:$C$70,2,FALSE)</f>
        <v>C00000020</v>
      </c>
      <c r="F788" s="1" t="s">
        <v>409</v>
      </c>
      <c r="G788" s="11" t="s">
        <v>775</v>
      </c>
      <c r="H788" s="5">
        <v>3</v>
      </c>
      <c r="I788" s="5" t="str">
        <f>VLOOKUP(F788,'Set up'!$A$2:$C$70,3,FALSE)</f>
        <v>Cash</v>
      </c>
      <c r="J788" s="5">
        <f>VLOOKUP(F788,'Set up'!$A$2:$D$70,4,FALSE)</f>
        <v>0</v>
      </c>
      <c r="K788" s="4">
        <f t="shared" si="138"/>
        <v>44695</v>
      </c>
      <c r="L788" s="5">
        <f t="shared" si="139"/>
        <v>5</v>
      </c>
      <c r="M788" s="5">
        <f t="shared" si="140"/>
        <v>2022</v>
      </c>
      <c r="N788" s="6">
        <v>6270</v>
      </c>
      <c r="O788" s="6">
        <f>-2626.3-2500-1000-143.7</f>
        <v>-6270</v>
      </c>
      <c r="P788" s="6">
        <f t="shared" si="127"/>
        <v>0</v>
      </c>
      <c r="Q788" s="7">
        <f t="shared" si="141"/>
        <v>1401139.4500000002</v>
      </c>
      <c r="R788" s="44" t="str">
        <f>VLOOKUP(F788,'Set up'!$A$2:$E$70,5,FALSE)</f>
        <v>Trsf</v>
      </c>
      <c r="S788" s="1" t="s">
        <v>1152</v>
      </c>
    </row>
    <row r="789" spans="1:21" x14ac:dyDescent="0.3">
      <c r="A789" s="4">
        <v>44695</v>
      </c>
      <c r="B789" s="5">
        <f t="shared" si="136"/>
        <v>5</v>
      </c>
      <c r="C789" s="5">
        <f t="shared" si="137"/>
        <v>2022</v>
      </c>
      <c r="D789" s="5" t="s">
        <v>777</v>
      </c>
      <c r="E789" s="5" t="str">
        <f>VLOOKUP(F789,'Set up'!$A$2:$C$70,2,FALSE)</f>
        <v>C00000020</v>
      </c>
      <c r="F789" s="1" t="s">
        <v>409</v>
      </c>
      <c r="G789" s="11" t="s">
        <v>682</v>
      </c>
      <c r="H789" s="5">
        <v>4</v>
      </c>
      <c r="I789" s="5" t="str">
        <f>VLOOKUP(F789,'Set up'!$A$2:$C$70,3,FALSE)</f>
        <v>Cash</v>
      </c>
      <c r="J789" s="5">
        <f>VLOOKUP(F789,'Set up'!$A$2:$D$70,4,FALSE)</f>
        <v>0</v>
      </c>
      <c r="K789" s="4">
        <f t="shared" si="138"/>
        <v>44695</v>
      </c>
      <c r="L789" s="5">
        <f t="shared" si="139"/>
        <v>5</v>
      </c>
      <c r="M789" s="5">
        <f t="shared" si="140"/>
        <v>2022</v>
      </c>
      <c r="N789" s="6">
        <v>2352</v>
      </c>
      <c r="O789" s="6">
        <f t="shared" ref="O789:O791" si="147">-N789</f>
        <v>-2352</v>
      </c>
      <c r="P789" s="6">
        <f t="shared" ref="P789:P852" si="148">SUM(N789+O789)</f>
        <v>0</v>
      </c>
      <c r="Q789" s="7">
        <f t="shared" si="141"/>
        <v>1403491.4500000002</v>
      </c>
      <c r="R789" s="44" t="str">
        <f>VLOOKUP(F789,'Set up'!$A$2:$E$70,5,FALSE)</f>
        <v>Trsf</v>
      </c>
      <c r="S789" s="1" t="s">
        <v>1153</v>
      </c>
    </row>
    <row r="790" spans="1:21" x14ac:dyDescent="0.3">
      <c r="A790" s="4">
        <v>44695</v>
      </c>
      <c r="B790" s="5">
        <f t="shared" si="136"/>
        <v>5</v>
      </c>
      <c r="C790" s="5">
        <f t="shared" si="137"/>
        <v>2022</v>
      </c>
      <c r="D790" s="5" t="s">
        <v>777</v>
      </c>
      <c r="E790" s="5" t="str">
        <f>VLOOKUP(F790,'Set up'!$A$2:$C$70,2,FALSE)</f>
        <v>C00000020</v>
      </c>
      <c r="F790" s="1" t="s">
        <v>409</v>
      </c>
      <c r="G790" s="11" t="s">
        <v>778</v>
      </c>
      <c r="H790" s="5">
        <v>5</v>
      </c>
      <c r="I790" s="5" t="str">
        <f>VLOOKUP(F790,'Set up'!$A$2:$C$70,3,FALSE)</f>
        <v>Cash</v>
      </c>
      <c r="J790" s="5">
        <f>VLOOKUP(F790,'Set up'!$A$2:$D$70,4,FALSE)</f>
        <v>0</v>
      </c>
      <c r="K790" s="4">
        <f t="shared" si="138"/>
        <v>44695</v>
      </c>
      <c r="L790" s="5">
        <f t="shared" si="139"/>
        <v>5</v>
      </c>
      <c r="M790" s="5">
        <f t="shared" si="140"/>
        <v>2022</v>
      </c>
      <c r="N790" s="6">
        <v>1560</v>
      </c>
      <c r="O790" s="6">
        <f t="shared" si="147"/>
        <v>-1560</v>
      </c>
      <c r="P790" s="6">
        <f t="shared" si="148"/>
        <v>0</v>
      </c>
      <c r="Q790" s="7">
        <f t="shared" si="141"/>
        <v>1405051.4500000002</v>
      </c>
      <c r="R790" s="44" t="str">
        <f>VLOOKUP(F790,'Set up'!$A$2:$E$70,5,FALSE)</f>
        <v>Trsf</v>
      </c>
      <c r="S790" s="1" t="s">
        <v>1153</v>
      </c>
    </row>
    <row r="791" spans="1:21" x14ac:dyDescent="0.3">
      <c r="A791" s="4">
        <v>44695</v>
      </c>
      <c r="B791" s="5">
        <f t="shared" si="136"/>
        <v>5</v>
      </c>
      <c r="C791" s="5">
        <f t="shared" si="137"/>
        <v>2022</v>
      </c>
      <c r="D791" s="5" t="s">
        <v>777</v>
      </c>
      <c r="E791" s="5" t="str">
        <f>VLOOKUP(F791,'Set up'!$A$2:$C$70,2,FALSE)</f>
        <v>C00000020</v>
      </c>
      <c r="F791" s="1" t="s">
        <v>409</v>
      </c>
      <c r="G791" s="11" t="s">
        <v>64</v>
      </c>
      <c r="H791" s="5">
        <v>3</v>
      </c>
      <c r="I791" s="5" t="str">
        <f>VLOOKUP(F791,'Set up'!$A$2:$C$70,3,FALSE)</f>
        <v>Cash</v>
      </c>
      <c r="J791" s="5">
        <f>VLOOKUP(F791,'Set up'!$A$2:$D$70,4,FALSE)</f>
        <v>0</v>
      </c>
      <c r="K791" s="4">
        <f t="shared" si="138"/>
        <v>44695</v>
      </c>
      <c r="L791" s="5">
        <f t="shared" si="139"/>
        <v>5</v>
      </c>
      <c r="M791" s="5">
        <f t="shared" si="140"/>
        <v>2022</v>
      </c>
      <c r="N791" s="6">
        <v>187.5</v>
      </c>
      <c r="O791" s="6">
        <f t="shared" si="147"/>
        <v>-187.5</v>
      </c>
      <c r="P791" s="6">
        <f t="shared" si="148"/>
        <v>0</v>
      </c>
      <c r="Q791" s="7">
        <f t="shared" si="141"/>
        <v>1405238.9500000002</v>
      </c>
      <c r="R791" s="44" t="str">
        <f>VLOOKUP(F791,'Set up'!$A$2:$E$70,5,FALSE)</f>
        <v>Trsf</v>
      </c>
      <c r="S791" s="1" t="s">
        <v>1153</v>
      </c>
    </row>
    <row r="792" spans="1:21" ht="109.2" x14ac:dyDescent="0.3">
      <c r="A792" s="4">
        <v>44697</v>
      </c>
      <c r="B792" s="5">
        <f t="shared" si="136"/>
        <v>5</v>
      </c>
      <c r="C792" s="5">
        <f t="shared" si="137"/>
        <v>2022</v>
      </c>
      <c r="D792" s="5" t="s">
        <v>779</v>
      </c>
      <c r="E792" s="5" t="str">
        <f>VLOOKUP(F792,'Set up'!$A$2:$C$70,2,FALSE)</f>
        <v>C00000003</v>
      </c>
      <c r="F792" s="1" t="s">
        <v>20</v>
      </c>
      <c r="G792" s="11" t="s">
        <v>67</v>
      </c>
      <c r="H792" s="5">
        <v>3</v>
      </c>
      <c r="I792" s="5">
        <f>VLOOKUP(F792,'Set up'!$A$2:$C$70,3,FALSE)</f>
        <v>45</v>
      </c>
      <c r="J792" s="5">
        <f>VLOOKUP(F792,'Set up'!$A$2:$D$70,4,FALSE)</f>
        <v>45</v>
      </c>
      <c r="K792" s="4">
        <f t="shared" si="138"/>
        <v>44742</v>
      </c>
      <c r="L792" s="5">
        <f t="shared" si="139"/>
        <v>6</v>
      </c>
      <c r="M792" s="5">
        <f t="shared" si="140"/>
        <v>2022</v>
      </c>
      <c r="N792" s="6">
        <v>6336</v>
      </c>
      <c r="O792" s="6">
        <f>-2000-2000-1336-1000</f>
        <v>-6336</v>
      </c>
      <c r="P792" s="6">
        <f t="shared" si="148"/>
        <v>0</v>
      </c>
      <c r="Q792" s="7">
        <f t="shared" si="141"/>
        <v>1411574.9500000002</v>
      </c>
      <c r="R792" s="44" t="str">
        <f>VLOOKUP(F792,'Set up'!$A$2:$E$70,5,FALSE)</f>
        <v>PD Chq</v>
      </c>
      <c r="S792" s="40" t="s">
        <v>875</v>
      </c>
      <c r="U792" s="1" t="s">
        <v>3603</v>
      </c>
    </row>
    <row r="793" spans="1:21" ht="46.8" x14ac:dyDescent="0.3">
      <c r="A793" s="4">
        <v>44697</v>
      </c>
      <c r="B793" s="5">
        <f t="shared" si="136"/>
        <v>5</v>
      </c>
      <c r="C793" s="5">
        <f t="shared" si="137"/>
        <v>2022</v>
      </c>
      <c r="D793" s="5" t="s">
        <v>779</v>
      </c>
      <c r="E793" s="5" t="str">
        <f>VLOOKUP(F793,'Set up'!$A$2:$C$70,2,FALSE)</f>
        <v>C00000003</v>
      </c>
      <c r="F793" s="1" t="s">
        <v>20</v>
      </c>
      <c r="G793" s="11" t="s">
        <v>64</v>
      </c>
      <c r="H793" s="5">
        <v>5</v>
      </c>
      <c r="I793" s="5">
        <f>VLOOKUP(F793,'Set up'!$A$2:$C$70,3,FALSE)</f>
        <v>45</v>
      </c>
      <c r="J793" s="5">
        <f>VLOOKUP(F793,'Set up'!$A$2:$D$70,4,FALSE)</f>
        <v>45</v>
      </c>
      <c r="K793" s="4">
        <f t="shared" si="138"/>
        <v>44742</v>
      </c>
      <c r="L793" s="5">
        <f t="shared" si="139"/>
        <v>6</v>
      </c>
      <c r="M793" s="5">
        <f t="shared" si="140"/>
        <v>2022</v>
      </c>
      <c r="N793" s="6">
        <v>325</v>
      </c>
      <c r="O793" s="6">
        <f>-N793</f>
        <v>-325</v>
      </c>
      <c r="P793" s="6">
        <f t="shared" si="148"/>
        <v>0</v>
      </c>
      <c r="Q793" s="7">
        <f t="shared" si="141"/>
        <v>1411899.9500000002</v>
      </c>
      <c r="R793" s="44" t="str">
        <f>VLOOKUP(F793,'Set up'!$A$2:$E$70,5,FALSE)</f>
        <v>PD Chq</v>
      </c>
      <c r="S793" s="40" t="s">
        <v>876</v>
      </c>
      <c r="U793" s="1" t="s">
        <v>3603</v>
      </c>
    </row>
    <row r="794" spans="1:21" x14ac:dyDescent="0.3">
      <c r="A794" s="4">
        <v>44697</v>
      </c>
      <c r="B794" s="5">
        <f t="shared" si="136"/>
        <v>5</v>
      </c>
      <c r="C794" s="5">
        <f t="shared" si="137"/>
        <v>2022</v>
      </c>
      <c r="D794" s="5" t="s">
        <v>779</v>
      </c>
      <c r="E794" s="5" t="str">
        <f>VLOOKUP(F794,'Set up'!$A$2:$C$70,2,FALSE)</f>
        <v>C00000003</v>
      </c>
      <c r="F794" s="1" t="s">
        <v>20</v>
      </c>
      <c r="G794" s="11" t="s">
        <v>17</v>
      </c>
      <c r="H794" s="5">
        <v>6</v>
      </c>
      <c r="I794" s="5">
        <f>VLOOKUP(F794,'Set up'!$A$2:$C$70,3,FALSE)</f>
        <v>45</v>
      </c>
      <c r="J794" s="5">
        <f>VLOOKUP(F794,'Set up'!$A$2:$D$70,4,FALSE)</f>
        <v>45</v>
      </c>
      <c r="K794" s="4">
        <f t="shared" si="138"/>
        <v>44742</v>
      </c>
      <c r="L794" s="5">
        <f t="shared" si="139"/>
        <v>6</v>
      </c>
      <c r="M794" s="5">
        <f t="shared" si="140"/>
        <v>2022</v>
      </c>
      <c r="N794" s="6">
        <v>630</v>
      </c>
      <c r="O794" s="6">
        <f>-N794</f>
        <v>-630</v>
      </c>
      <c r="P794" s="6">
        <f t="shared" si="148"/>
        <v>0</v>
      </c>
      <c r="Q794" s="7">
        <f t="shared" si="141"/>
        <v>1412529.9500000002</v>
      </c>
      <c r="R794" s="44" t="str">
        <f>VLOOKUP(F794,'Set up'!$A$2:$E$70,5,FALSE)</f>
        <v>PD Chq</v>
      </c>
      <c r="S794" s="1" t="s">
        <v>877</v>
      </c>
      <c r="U794" s="1" t="s">
        <v>3603</v>
      </c>
    </row>
    <row r="795" spans="1:21" x14ac:dyDescent="0.3">
      <c r="A795" s="4">
        <v>44697</v>
      </c>
      <c r="B795" s="5">
        <f t="shared" si="136"/>
        <v>5</v>
      </c>
      <c r="C795" s="5">
        <f t="shared" si="137"/>
        <v>2022</v>
      </c>
      <c r="D795" s="5" t="s">
        <v>779</v>
      </c>
      <c r="E795" s="5" t="str">
        <f>VLOOKUP(F795,'Set up'!$A$2:$C$70,2,FALSE)</f>
        <v>C00000003</v>
      </c>
      <c r="F795" s="1" t="s">
        <v>20</v>
      </c>
      <c r="G795" s="11" t="s">
        <v>178</v>
      </c>
      <c r="H795" s="5">
        <v>1</v>
      </c>
      <c r="I795" s="5">
        <f>VLOOKUP(F795,'Set up'!$A$2:$C$70,3,FALSE)</f>
        <v>45</v>
      </c>
      <c r="J795" s="5">
        <f>VLOOKUP(F795,'Set up'!$A$2:$D$70,4,FALSE)</f>
        <v>45</v>
      </c>
      <c r="K795" s="4">
        <f t="shared" si="138"/>
        <v>44742</v>
      </c>
      <c r="L795" s="5">
        <f t="shared" si="139"/>
        <v>6</v>
      </c>
      <c r="M795" s="5">
        <f t="shared" si="140"/>
        <v>2022</v>
      </c>
      <c r="N795" s="6">
        <v>45</v>
      </c>
      <c r="O795" s="6">
        <f>-N795</f>
        <v>-45</v>
      </c>
      <c r="P795" s="6">
        <f t="shared" si="148"/>
        <v>0</v>
      </c>
      <c r="Q795" s="7">
        <f t="shared" si="141"/>
        <v>1412574.9500000002</v>
      </c>
      <c r="R795" s="44" t="str">
        <f>VLOOKUP(F795,'Set up'!$A$2:$E$70,5,FALSE)</f>
        <v>PD Chq</v>
      </c>
      <c r="S795" s="1" t="s">
        <v>877</v>
      </c>
      <c r="U795" s="1" t="s">
        <v>3603</v>
      </c>
    </row>
    <row r="796" spans="1:21" x14ac:dyDescent="0.3">
      <c r="A796" s="4">
        <v>44699</v>
      </c>
      <c r="B796" s="5">
        <f t="shared" si="136"/>
        <v>5</v>
      </c>
      <c r="C796" s="5">
        <f t="shared" si="137"/>
        <v>2022</v>
      </c>
      <c r="D796" s="5" t="s">
        <v>780</v>
      </c>
      <c r="E796" s="5" t="str">
        <f>VLOOKUP(F796,'Set up'!$A$2:$C$70,2,FALSE)</f>
        <v>C00000020</v>
      </c>
      <c r="F796" s="1" t="s">
        <v>409</v>
      </c>
      <c r="G796" s="11" t="s">
        <v>775</v>
      </c>
      <c r="H796" s="5">
        <v>2</v>
      </c>
      <c r="I796" s="5" t="str">
        <f>VLOOKUP(F796,'Set up'!$A$2:$C$70,3,FALSE)</f>
        <v>Cash</v>
      </c>
      <c r="J796" s="5">
        <f>VLOOKUP(F796,'Set up'!$A$2:$D$70,4,FALSE)</f>
        <v>0</v>
      </c>
      <c r="K796" s="4">
        <f t="shared" si="138"/>
        <v>44699</v>
      </c>
      <c r="L796" s="5">
        <f t="shared" si="139"/>
        <v>5</v>
      </c>
      <c r="M796" s="5">
        <f t="shared" si="140"/>
        <v>2022</v>
      </c>
      <c r="N796" s="6">
        <v>4180</v>
      </c>
      <c r="O796" s="6">
        <f t="shared" ref="O796:O799" si="149">-N796</f>
        <v>-4180</v>
      </c>
      <c r="P796" s="6">
        <f t="shared" si="148"/>
        <v>0</v>
      </c>
      <c r="Q796" s="7">
        <f t="shared" si="141"/>
        <v>1416754.9500000002</v>
      </c>
      <c r="R796" s="44" t="str">
        <f>VLOOKUP(F796,'Set up'!$A$2:$E$70,5,FALSE)</f>
        <v>Trsf</v>
      </c>
      <c r="S796" s="1" t="s">
        <v>1153</v>
      </c>
    </row>
    <row r="797" spans="1:21" x14ac:dyDescent="0.3">
      <c r="A797" s="4">
        <v>44699</v>
      </c>
      <c r="B797" s="5">
        <f t="shared" si="136"/>
        <v>5</v>
      </c>
      <c r="C797" s="5">
        <f t="shared" si="137"/>
        <v>2022</v>
      </c>
      <c r="D797" s="5" t="s">
        <v>780</v>
      </c>
      <c r="E797" s="5" t="str">
        <f>VLOOKUP(F797,'Set up'!$A$2:$C$70,2,FALSE)</f>
        <v>C00000020</v>
      </c>
      <c r="F797" s="1" t="s">
        <v>409</v>
      </c>
      <c r="G797" s="11" t="s">
        <v>682</v>
      </c>
      <c r="H797" s="5">
        <v>2</v>
      </c>
      <c r="I797" s="5" t="str">
        <f>VLOOKUP(F797,'Set up'!$A$2:$C$70,3,FALSE)</f>
        <v>Cash</v>
      </c>
      <c r="J797" s="5">
        <f>VLOOKUP(F797,'Set up'!$A$2:$D$70,4,FALSE)</f>
        <v>0</v>
      </c>
      <c r="K797" s="4">
        <f t="shared" si="138"/>
        <v>44699</v>
      </c>
      <c r="L797" s="5">
        <f t="shared" si="139"/>
        <v>5</v>
      </c>
      <c r="M797" s="5">
        <f t="shared" si="140"/>
        <v>2022</v>
      </c>
      <c r="N797" s="6">
        <v>1176</v>
      </c>
      <c r="O797" s="6">
        <f t="shared" si="149"/>
        <v>-1176</v>
      </c>
      <c r="P797" s="6">
        <f t="shared" si="148"/>
        <v>0</v>
      </c>
      <c r="Q797" s="7">
        <f t="shared" si="141"/>
        <v>1417930.9500000002</v>
      </c>
      <c r="R797" s="44" t="str">
        <f>VLOOKUP(F797,'Set up'!$A$2:$E$70,5,FALSE)</f>
        <v>Trsf</v>
      </c>
      <c r="S797" s="1" t="s">
        <v>1153</v>
      </c>
    </row>
    <row r="798" spans="1:21" x14ac:dyDescent="0.3">
      <c r="A798" s="4">
        <v>44699</v>
      </c>
      <c r="B798" s="5">
        <f t="shared" si="136"/>
        <v>5</v>
      </c>
      <c r="C798" s="5">
        <f t="shared" si="137"/>
        <v>2022</v>
      </c>
      <c r="D798" s="5" t="s">
        <v>780</v>
      </c>
      <c r="E798" s="5" t="str">
        <f>VLOOKUP(F798,'Set up'!$A$2:$C$70,2,FALSE)</f>
        <v>C00000020</v>
      </c>
      <c r="F798" s="1" t="s">
        <v>409</v>
      </c>
      <c r="G798" s="11" t="s">
        <v>778</v>
      </c>
      <c r="H798" s="5">
        <v>3</v>
      </c>
      <c r="I798" s="5" t="str">
        <f>VLOOKUP(F798,'Set up'!$A$2:$C$70,3,FALSE)</f>
        <v>Cash</v>
      </c>
      <c r="J798" s="5">
        <f>VLOOKUP(F798,'Set up'!$A$2:$D$70,4,FALSE)</f>
        <v>0</v>
      </c>
      <c r="K798" s="4">
        <f t="shared" si="138"/>
        <v>44699</v>
      </c>
      <c r="L798" s="5">
        <f t="shared" si="139"/>
        <v>5</v>
      </c>
      <c r="M798" s="5">
        <f t="shared" si="140"/>
        <v>2022</v>
      </c>
      <c r="N798" s="6">
        <v>936</v>
      </c>
      <c r="O798" s="6">
        <f t="shared" si="149"/>
        <v>-936</v>
      </c>
      <c r="P798" s="6">
        <f t="shared" si="148"/>
        <v>0</v>
      </c>
      <c r="Q798" s="7">
        <f t="shared" si="141"/>
        <v>1418866.9500000002</v>
      </c>
      <c r="R798" s="44" t="str">
        <f>VLOOKUP(F798,'Set up'!$A$2:$E$70,5,FALSE)</f>
        <v>Trsf</v>
      </c>
      <c r="S798" s="1" t="s">
        <v>1153</v>
      </c>
    </row>
    <row r="799" spans="1:21" x14ac:dyDescent="0.3">
      <c r="A799" s="4">
        <v>44699</v>
      </c>
      <c r="B799" s="5">
        <f t="shared" si="136"/>
        <v>5</v>
      </c>
      <c r="C799" s="5">
        <f t="shared" si="137"/>
        <v>2022</v>
      </c>
      <c r="D799" s="5" t="s">
        <v>780</v>
      </c>
      <c r="E799" s="5" t="str">
        <f>VLOOKUP(F799,'Set up'!$A$2:$C$70,2,FALSE)</f>
        <v>C00000020</v>
      </c>
      <c r="F799" s="1" t="s">
        <v>409</v>
      </c>
      <c r="G799" s="11" t="s">
        <v>64</v>
      </c>
      <c r="H799" s="5">
        <v>2</v>
      </c>
      <c r="I799" s="5" t="str">
        <f>VLOOKUP(F799,'Set up'!$A$2:$C$70,3,FALSE)</f>
        <v>Cash</v>
      </c>
      <c r="J799" s="5">
        <f>VLOOKUP(F799,'Set up'!$A$2:$D$70,4,FALSE)</f>
        <v>0</v>
      </c>
      <c r="K799" s="4">
        <f t="shared" si="138"/>
        <v>44699</v>
      </c>
      <c r="L799" s="5">
        <f t="shared" si="139"/>
        <v>5</v>
      </c>
      <c r="M799" s="5">
        <f t="shared" si="140"/>
        <v>2022</v>
      </c>
      <c r="N799" s="6">
        <v>125</v>
      </c>
      <c r="O799" s="6">
        <f t="shared" si="149"/>
        <v>-125</v>
      </c>
      <c r="P799" s="6">
        <f t="shared" si="148"/>
        <v>0</v>
      </c>
      <c r="Q799" s="7">
        <f t="shared" si="141"/>
        <v>1418991.9500000002</v>
      </c>
      <c r="R799" s="44" t="str">
        <f>VLOOKUP(F799,'Set up'!$A$2:$E$70,5,FALSE)</f>
        <v>Trsf</v>
      </c>
      <c r="S799" s="1" t="s">
        <v>1153</v>
      </c>
    </row>
    <row r="800" spans="1:21" x14ac:dyDescent="0.3">
      <c r="A800" s="4">
        <v>44699</v>
      </c>
      <c r="B800" s="5">
        <f t="shared" si="136"/>
        <v>5</v>
      </c>
      <c r="C800" s="5">
        <f t="shared" si="137"/>
        <v>2022</v>
      </c>
      <c r="D800" s="5" t="s">
        <v>780</v>
      </c>
      <c r="E800" s="5" t="str">
        <f>VLOOKUP(F800,'Set up'!$A$2:$C$70,2,FALSE)</f>
        <v>C00000020</v>
      </c>
      <c r="F800" s="1" t="s">
        <v>409</v>
      </c>
      <c r="G800" s="11" t="s">
        <v>659</v>
      </c>
      <c r="H800" s="5">
        <v>2</v>
      </c>
      <c r="I800" s="5" t="str">
        <f>VLOOKUP(F800,'Set up'!$A$2:$C$70,3,FALSE)</f>
        <v>Cash</v>
      </c>
      <c r="J800" s="5">
        <f>VLOOKUP(F800,'Set up'!$A$2:$D$70,4,FALSE)</f>
        <v>0</v>
      </c>
      <c r="K800" s="4">
        <f t="shared" si="138"/>
        <v>44699</v>
      </c>
      <c r="L800" s="5">
        <f t="shared" si="139"/>
        <v>5</v>
      </c>
      <c r="M800" s="5">
        <f t="shared" si="140"/>
        <v>2022</v>
      </c>
      <c r="N800" s="6">
        <v>2000</v>
      </c>
      <c r="O800" s="6">
        <f>-339.8-1660.2</f>
        <v>-2000</v>
      </c>
      <c r="P800" s="6">
        <f t="shared" si="148"/>
        <v>0</v>
      </c>
      <c r="Q800" s="7">
        <f t="shared" si="141"/>
        <v>1420991.9500000002</v>
      </c>
      <c r="R800" s="44" t="str">
        <f>VLOOKUP(F800,'Set up'!$A$2:$E$70,5,FALSE)</f>
        <v>Trsf</v>
      </c>
      <c r="S800" s="1" t="s">
        <v>1154</v>
      </c>
    </row>
    <row r="801" spans="1:19" x14ac:dyDescent="0.3">
      <c r="A801" s="4">
        <v>44700</v>
      </c>
      <c r="B801" s="5">
        <f t="shared" si="136"/>
        <v>5</v>
      </c>
      <c r="C801" s="5">
        <f t="shared" si="137"/>
        <v>2022</v>
      </c>
      <c r="D801" s="5" t="s">
        <v>781</v>
      </c>
      <c r="E801" s="5" t="str">
        <f>VLOOKUP(F801,'Set up'!$A$2:$C$70,2,FALSE)</f>
        <v>C00000021</v>
      </c>
      <c r="F801" s="1" t="s">
        <v>491</v>
      </c>
      <c r="G801" s="11" t="s">
        <v>716</v>
      </c>
      <c r="H801" s="5">
        <v>1</v>
      </c>
      <c r="I801" s="5" t="str">
        <f>VLOOKUP(F801,'Set up'!$A$2:$C$70,3,FALSE)</f>
        <v>Cash</v>
      </c>
      <c r="J801" s="5">
        <f>VLOOKUP(F801,'Set up'!$A$2:$D$70,4,FALSE)</f>
        <v>0</v>
      </c>
      <c r="K801" s="4">
        <f t="shared" si="138"/>
        <v>44700</v>
      </c>
      <c r="L801" s="5">
        <f t="shared" si="139"/>
        <v>5</v>
      </c>
      <c r="M801" s="5">
        <f t="shared" si="140"/>
        <v>2022</v>
      </c>
      <c r="N801" s="6">
        <v>2068</v>
      </c>
      <c r="O801" s="6">
        <f t="shared" ref="O801:O807" si="150">-N801</f>
        <v>-2068</v>
      </c>
      <c r="P801" s="6">
        <f t="shared" si="148"/>
        <v>0</v>
      </c>
      <c r="Q801" s="7">
        <f t="shared" si="141"/>
        <v>1423059.9500000002</v>
      </c>
      <c r="R801" s="44" t="str">
        <f>VLOOKUP(F801,'Set up'!$A$2:$E$70,5,FALSE)</f>
        <v>PD Chq</v>
      </c>
      <c r="S801" s="1" t="s">
        <v>919</v>
      </c>
    </row>
    <row r="802" spans="1:19" x14ac:dyDescent="0.3">
      <c r="A802" s="4">
        <v>44700</v>
      </c>
      <c r="B802" s="5">
        <f t="shared" si="136"/>
        <v>5</v>
      </c>
      <c r="C802" s="5">
        <f t="shared" si="137"/>
        <v>2022</v>
      </c>
      <c r="D802" s="5" t="s">
        <v>781</v>
      </c>
      <c r="E802" s="5" t="str">
        <f>VLOOKUP(F802,'Set up'!$A$2:$C$70,2,FALSE)</f>
        <v>C00000021</v>
      </c>
      <c r="F802" s="1" t="s">
        <v>491</v>
      </c>
      <c r="G802" s="11" t="s">
        <v>654</v>
      </c>
      <c r="H802" s="5">
        <v>3</v>
      </c>
      <c r="I802" s="5" t="str">
        <f>VLOOKUP(F802,'Set up'!$A$2:$C$70,3,FALSE)</f>
        <v>Cash</v>
      </c>
      <c r="J802" s="5">
        <f>VLOOKUP(F802,'Set up'!$A$2:$D$70,4,FALSE)</f>
        <v>0</v>
      </c>
      <c r="K802" s="4">
        <f t="shared" si="138"/>
        <v>44700</v>
      </c>
      <c r="L802" s="5">
        <f t="shared" si="139"/>
        <v>5</v>
      </c>
      <c r="M802" s="5">
        <f t="shared" si="140"/>
        <v>2022</v>
      </c>
      <c r="N802" s="6">
        <v>864</v>
      </c>
      <c r="O802" s="6">
        <f t="shared" si="150"/>
        <v>-864</v>
      </c>
      <c r="P802" s="6">
        <f t="shared" si="148"/>
        <v>0</v>
      </c>
      <c r="Q802" s="7">
        <f t="shared" si="141"/>
        <v>1423923.9500000002</v>
      </c>
      <c r="R802" s="44" t="str">
        <f>VLOOKUP(F802,'Set up'!$A$2:$E$70,5,FALSE)</f>
        <v>PD Chq</v>
      </c>
      <c r="S802" s="1" t="s">
        <v>919</v>
      </c>
    </row>
    <row r="803" spans="1:19" x14ac:dyDescent="0.3">
      <c r="A803" s="4">
        <v>44700</v>
      </c>
      <c r="B803" s="5">
        <f t="shared" si="136"/>
        <v>5</v>
      </c>
      <c r="C803" s="5">
        <f t="shared" si="137"/>
        <v>2022</v>
      </c>
      <c r="D803" s="5" t="s">
        <v>781</v>
      </c>
      <c r="E803" s="5" t="str">
        <f>VLOOKUP(F803,'Set up'!$A$2:$C$70,2,FALSE)</f>
        <v>C00000021</v>
      </c>
      <c r="F803" s="1" t="s">
        <v>491</v>
      </c>
      <c r="G803" s="11" t="s">
        <v>782</v>
      </c>
      <c r="H803" s="5">
        <v>12</v>
      </c>
      <c r="I803" s="5" t="str">
        <f>VLOOKUP(F803,'Set up'!$A$2:$C$70,3,FALSE)</f>
        <v>Cash</v>
      </c>
      <c r="J803" s="5">
        <f>VLOOKUP(F803,'Set up'!$A$2:$D$70,4,FALSE)</f>
        <v>0</v>
      </c>
      <c r="K803" s="4">
        <f t="shared" si="138"/>
        <v>44700</v>
      </c>
      <c r="L803" s="5">
        <f t="shared" si="139"/>
        <v>5</v>
      </c>
      <c r="M803" s="5">
        <f t="shared" si="140"/>
        <v>2022</v>
      </c>
      <c r="N803" s="6">
        <v>552</v>
      </c>
      <c r="O803" s="6">
        <f t="shared" si="150"/>
        <v>-552</v>
      </c>
      <c r="P803" s="6">
        <f t="shared" si="148"/>
        <v>0</v>
      </c>
      <c r="Q803" s="7">
        <f t="shared" si="141"/>
        <v>1424475.9500000002</v>
      </c>
      <c r="R803" s="44" t="str">
        <f>VLOOKUP(F803,'Set up'!$A$2:$E$70,5,FALSE)</f>
        <v>PD Chq</v>
      </c>
      <c r="S803" s="1" t="s">
        <v>919</v>
      </c>
    </row>
    <row r="804" spans="1:19" x14ac:dyDescent="0.3">
      <c r="A804" s="4">
        <v>44701</v>
      </c>
      <c r="B804" s="5">
        <f t="shared" si="136"/>
        <v>5</v>
      </c>
      <c r="C804" s="5">
        <f t="shared" si="137"/>
        <v>2022</v>
      </c>
      <c r="D804" s="5" t="s">
        <v>783</v>
      </c>
      <c r="E804" s="5" t="str">
        <f>VLOOKUP(F804,'Set up'!$A$2:$C$70,2,FALSE)</f>
        <v>C00000020</v>
      </c>
      <c r="F804" s="1" t="s">
        <v>409</v>
      </c>
      <c r="G804" s="11" t="s">
        <v>775</v>
      </c>
      <c r="H804" s="5">
        <v>4</v>
      </c>
      <c r="I804" s="5" t="str">
        <f>VLOOKUP(F804,'Set up'!$A$2:$C$70,3,FALSE)</f>
        <v>Cash</v>
      </c>
      <c r="J804" s="5">
        <f>VLOOKUP(F804,'Set up'!$A$2:$D$70,4,FALSE)</f>
        <v>0</v>
      </c>
      <c r="K804" s="4">
        <f t="shared" si="138"/>
        <v>44701</v>
      </c>
      <c r="L804" s="5">
        <f t="shared" si="139"/>
        <v>5</v>
      </c>
      <c r="M804" s="5">
        <f t="shared" si="140"/>
        <v>2022</v>
      </c>
      <c r="N804" s="6">
        <v>8360</v>
      </c>
      <c r="O804" s="6">
        <f t="shared" si="150"/>
        <v>-8360</v>
      </c>
      <c r="P804" s="6">
        <f t="shared" si="148"/>
        <v>0</v>
      </c>
      <c r="Q804" s="7">
        <f t="shared" si="141"/>
        <v>1432835.9500000002</v>
      </c>
      <c r="R804" s="44" t="str">
        <f>VLOOKUP(F804,'Set up'!$A$2:$E$70,5,FALSE)</f>
        <v>Trsf</v>
      </c>
      <c r="S804" s="1" t="s">
        <v>1155</v>
      </c>
    </row>
    <row r="805" spans="1:19" x14ac:dyDescent="0.3">
      <c r="A805" s="4">
        <v>44701</v>
      </c>
      <c r="B805" s="5">
        <f t="shared" si="136"/>
        <v>5</v>
      </c>
      <c r="C805" s="5">
        <f t="shared" si="137"/>
        <v>2022</v>
      </c>
      <c r="D805" s="5" t="s">
        <v>783</v>
      </c>
      <c r="E805" s="5" t="str">
        <f>VLOOKUP(F805,'Set up'!$A$2:$C$70,2,FALSE)</f>
        <v>C00000020</v>
      </c>
      <c r="F805" s="1" t="s">
        <v>409</v>
      </c>
      <c r="G805" s="11" t="s">
        <v>682</v>
      </c>
      <c r="H805" s="5">
        <v>5</v>
      </c>
      <c r="I805" s="5" t="str">
        <f>VLOOKUP(F805,'Set up'!$A$2:$C$70,3,FALSE)</f>
        <v>Cash</v>
      </c>
      <c r="J805" s="5">
        <f>VLOOKUP(F805,'Set up'!$A$2:$D$70,4,FALSE)</f>
        <v>0</v>
      </c>
      <c r="K805" s="4">
        <f t="shared" si="138"/>
        <v>44701</v>
      </c>
      <c r="L805" s="5">
        <f t="shared" si="139"/>
        <v>5</v>
      </c>
      <c r="M805" s="5">
        <f t="shared" si="140"/>
        <v>2022</v>
      </c>
      <c r="N805" s="6">
        <v>2940</v>
      </c>
      <c r="O805" s="6">
        <f t="shared" si="150"/>
        <v>-2940</v>
      </c>
      <c r="P805" s="6">
        <f t="shared" si="148"/>
        <v>0</v>
      </c>
      <c r="Q805" s="7">
        <f t="shared" si="141"/>
        <v>1435775.9500000002</v>
      </c>
      <c r="R805" s="44" t="str">
        <f>VLOOKUP(F805,'Set up'!$A$2:$E$70,5,FALSE)</f>
        <v>Trsf</v>
      </c>
      <c r="S805" s="1" t="s">
        <v>1155</v>
      </c>
    </row>
    <row r="806" spans="1:19" x14ac:dyDescent="0.3">
      <c r="A806" s="4">
        <v>44701</v>
      </c>
      <c r="B806" s="5">
        <f t="shared" si="136"/>
        <v>5</v>
      </c>
      <c r="C806" s="5">
        <f t="shared" si="137"/>
        <v>2022</v>
      </c>
      <c r="D806" s="5" t="s">
        <v>783</v>
      </c>
      <c r="E806" s="5" t="str">
        <f>VLOOKUP(F806,'Set up'!$A$2:$C$70,2,FALSE)</f>
        <v>C00000020</v>
      </c>
      <c r="F806" s="1" t="s">
        <v>409</v>
      </c>
      <c r="G806" s="11" t="s">
        <v>778</v>
      </c>
      <c r="H806" s="5">
        <v>5</v>
      </c>
      <c r="I806" s="5" t="str">
        <f>VLOOKUP(F806,'Set up'!$A$2:$C$70,3,FALSE)</f>
        <v>Cash</v>
      </c>
      <c r="J806" s="5">
        <f>VLOOKUP(F806,'Set up'!$A$2:$D$70,4,FALSE)</f>
        <v>0</v>
      </c>
      <c r="K806" s="4">
        <f t="shared" si="138"/>
        <v>44701</v>
      </c>
      <c r="L806" s="5">
        <f t="shared" si="139"/>
        <v>5</v>
      </c>
      <c r="M806" s="5">
        <f t="shared" si="140"/>
        <v>2022</v>
      </c>
      <c r="N806" s="6">
        <v>1560</v>
      </c>
      <c r="O806" s="6">
        <f t="shared" si="150"/>
        <v>-1560</v>
      </c>
      <c r="P806" s="6">
        <f t="shared" si="148"/>
        <v>0</v>
      </c>
      <c r="Q806" s="7">
        <f t="shared" si="141"/>
        <v>1437335.9500000002</v>
      </c>
      <c r="R806" s="44" t="str">
        <f>VLOOKUP(F806,'Set up'!$A$2:$E$70,5,FALSE)</f>
        <v>Trsf</v>
      </c>
      <c r="S806" s="1" t="s">
        <v>1155</v>
      </c>
    </row>
    <row r="807" spans="1:19" x14ac:dyDescent="0.3">
      <c r="A807" s="4">
        <v>44701</v>
      </c>
      <c r="B807" s="5">
        <f t="shared" si="136"/>
        <v>5</v>
      </c>
      <c r="C807" s="5">
        <f t="shared" si="137"/>
        <v>2022</v>
      </c>
      <c r="D807" s="5" t="s">
        <v>783</v>
      </c>
      <c r="E807" s="5" t="str">
        <f>VLOOKUP(F807,'Set up'!$A$2:$C$70,2,FALSE)</f>
        <v>C00000020</v>
      </c>
      <c r="F807" s="1" t="s">
        <v>409</v>
      </c>
      <c r="G807" s="11" t="s">
        <v>64</v>
      </c>
      <c r="H807" s="5">
        <v>4</v>
      </c>
      <c r="I807" s="5" t="str">
        <f>VLOOKUP(F807,'Set up'!$A$2:$C$70,3,FALSE)</f>
        <v>Cash</v>
      </c>
      <c r="J807" s="5">
        <f>VLOOKUP(F807,'Set up'!$A$2:$D$70,4,FALSE)</f>
        <v>0</v>
      </c>
      <c r="K807" s="4">
        <f t="shared" si="138"/>
        <v>44701</v>
      </c>
      <c r="L807" s="5">
        <f t="shared" si="139"/>
        <v>5</v>
      </c>
      <c r="M807" s="5">
        <f t="shared" si="140"/>
        <v>2022</v>
      </c>
      <c r="N807" s="6">
        <v>250</v>
      </c>
      <c r="O807" s="6">
        <f t="shared" si="150"/>
        <v>-250</v>
      </c>
      <c r="P807" s="6">
        <f t="shared" si="148"/>
        <v>0</v>
      </c>
      <c r="Q807" s="7">
        <f t="shared" si="141"/>
        <v>1437585.9500000002</v>
      </c>
      <c r="R807" s="44" t="str">
        <f>VLOOKUP(F807,'Set up'!$A$2:$E$70,5,FALSE)</f>
        <v>Trsf</v>
      </c>
      <c r="S807" s="1" t="s">
        <v>1155</v>
      </c>
    </row>
    <row r="808" spans="1:19" x14ac:dyDescent="0.3">
      <c r="A808" s="4">
        <v>44702</v>
      </c>
      <c r="B808" s="5">
        <f t="shared" si="136"/>
        <v>5</v>
      </c>
      <c r="C808" s="5">
        <f t="shared" si="137"/>
        <v>2022</v>
      </c>
      <c r="D808" s="5" t="s">
        <v>788</v>
      </c>
      <c r="E808" s="5" t="str">
        <f>VLOOKUP(F808,'Set up'!$A$2:$C$70,2,FALSE)</f>
        <v>C00000026</v>
      </c>
      <c r="F808" s="1" t="s">
        <v>784</v>
      </c>
      <c r="G808" s="11" t="s">
        <v>707</v>
      </c>
      <c r="H808" s="5">
        <v>1</v>
      </c>
      <c r="I808" s="5" t="str">
        <f>VLOOKUP(F808,'Set up'!$A$2:$C$70,3,FALSE)</f>
        <v>Cash</v>
      </c>
      <c r="J808" s="5">
        <f>VLOOKUP(F808,'Set up'!$A$2:$D$70,4,FALSE)</f>
        <v>0</v>
      </c>
      <c r="K808" s="4">
        <f t="shared" si="138"/>
        <v>44702</v>
      </c>
      <c r="L808" s="5">
        <f t="shared" si="139"/>
        <v>5</v>
      </c>
      <c r="M808" s="5">
        <f t="shared" si="140"/>
        <v>2022</v>
      </c>
      <c r="N808" s="6">
        <v>534.6</v>
      </c>
      <c r="O808" s="6">
        <f>-N808</f>
        <v>-534.6</v>
      </c>
      <c r="P808" s="6">
        <f t="shared" si="148"/>
        <v>0</v>
      </c>
      <c r="Q808" s="7">
        <f t="shared" si="141"/>
        <v>1438120.5500000003</v>
      </c>
      <c r="R808" s="44" t="str">
        <f>VLOOKUP(F808,'Set up'!$A$2:$E$70,5,FALSE)</f>
        <v>Trsf</v>
      </c>
      <c r="S808" s="1" t="s">
        <v>814</v>
      </c>
    </row>
    <row r="809" spans="1:19" x14ac:dyDescent="0.3">
      <c r="A809" s="4">
        <v>44702</v>
      </c>
      <c r="B809" s="5">
        <f t="shared" si="136"/>
        <v>5</v>
      </c>
      <c r="C809" s="5">
        <f t="shared" si="137"/>
        <v>2022</v>
      </c>
      <c r="D809" s="5" t="s">
        <v>788</v>
      </c>
      <c r="E809" s="5" t="str">
        <f>VLOOKUP(F809,'Set up'!$A$2:$C$70,2,FALSE)</f>
        <v>C00000026</v>
      </c>
      <c r="F809" s="1" t="s">
        <v>784</v>
      </c>
      <c r="G809" s="11" t="s">
        <v>786</v>
      </c>
      <c r="H809" s="5">
        <v>1</v>
      </c>
      <c r="I809" s="5" t="str">
        <f>VLOOKUP(F809,'Set up'!$A$2:$C$70,3,FALSE)</f>
        <v>Cash</v>
      </c>
      <c r="J809" s="5">
        <f>VLOOKUP(F809,'Set up'!$A$2:$D$70,4,FALSE)</f>
        <v>0</v>
      </c>
      <c r="K809" s="4">
        <f t="shared" si="138"/>
        <v>44702</v>
      </c>
      <c r="L809" s="5">
        <f t="shared" si="139"/>
        <v>5</v>
      </c>
      <c r="M809" s="5">
        <f t="shared" si="140"/>
        <v>2022</v>
      </c>
      <c r="N809" s="6">
        <v>165</v>
      </c>
      <c r="O809" s="6">
        <f>-N809</f>
        <v>-165</v>
      </c>
      <c r="P809" s="6">
        <f t="shared" si="148"/>
        <v>0</v>
      </c>
      <c r="Q809" s="7">
        <f t="shared" si="141"/>
        <v>1438285.5500000003</v>
      </c>
      <c r="R809" s="44" t="str">
        <f>VLOOKUP(F809,'Set up'!$A$2:$E$70,5,FALSE)</f>
        <v>Trsf</v>
      </c>
      <c r="S809" s="1" t="s">
        <v>814</v>
      </c>
    </row>
    <row r="810" spans="1:19" x14ac:dyDescent="0.3">
      <c r="A810" s="4">
        <v>44702</v>
      </c>
      <c r="B810" s="5">
        <f t="shared" si="136"/>
        <v>5</v>
      </c>
      <c r="C810" s="5">
        <f t="shared" si="137"/>
        <v>2022</v>
      </c>
      <c r="D810" s="5" t="s">
        <v>788</v>
      </c>
      <c r="E810" s="5" t="str">
        <f>VLOOKUP(F810,'Set up'!$A$2:$C$70,2,FALSE)</f>
        <v>C00000026</v>
      </c>
      <c r="F810" s="1" t="s">
        <v>784</v>
      </c>
      <c r="G810" s="11" t="s">
        <v>666</v>
      </c>
      <c r="H810" s="5">
        <v>1</v>
      </c>
      <c r="I810" s="5" t="str">
        <f>VLOOKUP(F810,'Set up'!$A$2:$C$70,3,FALSE)</f>
        <v>Cash</v>
      </c>
      <c r="J810" s="5">
        <f>VLOOKUP(F810,'Set up'!$A$2:$D$70,4,FALSE)</f>
        <v>0</v>
      </c>
      <c r="K810" s="4">
        <f t="shared" si="138"/>
        <v>44702</v>
      </c>
      <c r="L810" s="5">
        <f t="shared" si="139"/>
        <v>5</v>
      </c>
      <c r="M810" s="5">
        <f t="shared" si="140"/>
        <v>2022</v>
      </c>
      <c r="N810" s="6">
        <v>90</v>
      </c>
      <c r="O810" s="6">
        <f>-N810</f>
        <v>-90</v>
      </c>
      <c r="P810" s="6">
        <f t="shared" si="148"/>
        <v>0</v>
      </c>
      <c r="Q810" s="7">
        <f t="shared" si="141"/>
        <v>1438375.5500000003</v>
      </c>
      <c r="R810" s="44" t="str">
        <f>VLOOKUP(F810,'Set up'!$A$2:$E$70,5,FALSE)</f>
        <v>Trsf</v>
      </c>
      <c r="S810" s="1" t="s">
        <v>814</v>
      </c>
    </row>
    <row r="811" spans="1:19" x14ac:dyDescent="0.3">
      <c r="A811" s="4">
        <v>44702</v>
      </c>
      <c r="B811" s="5">
        <f t="shared" si="136"/>
        <v>5</v>
      </c>
      <c r="C811" s="5">
        <f t="shared" si="137"/>
        <v>2022</v>
      </c>
      <c r="D811" s="5" t="s">
        <v>788</v>
      </c>
      <c r="E811" s="5" t="str">
        <f>VLOOKUP(F811,'Set up'!$A$2:$C$70,2,FALSE)</f>
        <v>C00000026</v>
      </c>
      <c r="F811" s="1" t="s">
        <v>784</v>
      </c>
      <c r="G811" s="11" t="s">
        <v>787</v>
      </c>
      <c r="H811" s="5">
        <v>1</v>
      </c>
      <c r="I811" s="5" t="str">
        <f>VLOOKUP(F811,'Set up'!$A$2:$C$70,3,FALSE)</f>
        <v>Cash</v>
      </c>
      <c r="J811" s="5">
        <f>VLOOKUP(F811,'Set up'!$A$2:$D$70,4,FALSE)</f>
        <v>0</v>
      </c>
      <c r="K811" s="4">
        <f t="shared" si="138"/>
        <v>44702</v>
      </c>
      <c r="L811" s="5">
        <f t="shared" si="139"/>
        <v>5</v>
      </c>
      <c r="M811" s="5">
        <f t="shared" si="140"/>
        <v>2022</v>
      </c>
      <c r="N811" s="6">
        <v>450</v>
      </c>
      <c r="O811" s="6">
        <f>-N811</f>
        <v>-450</v>
      </c>
      <c r="P811" s="6">
        <f t="shared" si="148"/>
        <v>0</v>
      </c>
      <c r="Q811" s="7">
        <f t="shared" si="141"/>
        <v>1438825.5500000003</v>
      </c>
      <c r="R811" s="44" t="str">
        <f>VLOOKUP(F811,'Set up'!$A$2:$E$70,5,FALSE)</f>
        <v>Trsf</v>
      </c>
      <c r="S811" s="1" t="s">
        <v>814</v>
      </c>
    </row>
    <row r="812" spans="1:19" x14ac:dyDescent="0.3">
      <c r="A812" s="4">
        <v>44702</v>
      </c>
      <c r="B812" s="5">
        <f t="shared" si="136"/>
        <v>5</v>
      </c>
      <c r="C812" s="5">
        <f t="shared" si="137"/>
        <v>2022</v>
      </c>
      <c r="D812" s="5" t="s">
        <v>789</v>
      </c>
      <c r="E812" s="5" t="str">
        <f>VLOOKUP(F812,'Set up'!$A$2:$C$70,2,FALSE)</f>
        <v>C00000020</v>
      </c>
      <c r="F812" s="1" t="s">
        <v>409</v>
      </c>
      <c r="G812" s="11" t="s">
        <v>775</v>
      </c>
      <c r="H812" s="5">
        <v>4</v>
      </c>
      <c r="I812" s="5" t="str">
        <f>VLOOKUP(F812,'Set up'!$A$2:$C$70,3,FALSE)</f>
        <v>Cash</v>
      </c>
      <c r="J812" s="5">
        <f>VLOOKUP(F812,'Set up'!$A$2:$D$70,4,FALSE)</f>
        <v>0</v>
      </c>
      <c r="K812" s="4">
        <f t="shared" si="138"/>
        <v>44702</v>
      </c>
      <c r="L812" s="5">
        <f t="shared" si="139"/>
        <v>5</v>
      </c>
      <c r="M812" s="5">
        <f t="shared" si="140"/>
        <v>2022</v>
      </c>
      <c r="N812" s="6">
        <v>8360</v>
      </c>
      <c r="O812" s="6">
        <f t="shared" ref="O812:O815" si="151">-N812</f>
        <v>-8360</v>
      </c>
      <c r="P812" s="6">
        <f t="shared" si="148"/>
        <v>0</v>
      </c>
      <c r="Q812" s="7">
        <f t="shared" si="141"/>
        <v>1447185.5500000003</v>
      </c>
      <c r="R812" s="44" t="str">
        <f>VLOOKUP(F812,'Set up'!$A$2:$E$70,5,FALSE)</f>
        <v>Trsf</v>
      </c>
      <c r="S812" s="1" t="s">
        <v>1155</v>
      </c>
    </row>
    <row r="813" spans="1:19" x14ac:dyDescent="0.3">
      <c r="A813" s="4">
        <v>44702</v>
      </c>
      <c r="B813" s="5">
        <f t="shared" si="136"/>
        <v>5</v>
      </c>
      <c r="C813" s="5">
        <f t="shared" si="137"/>
        <v>2022</v>
      </c>
      <c r="D813" s="5" t="s">
        <v>789</v>
      </c>
      <c r="E813" s="5" t="str">
        <f>VLOOKUP(F813,'Set up'!$A$2:$C$70,2,FALSE)</f>
        <v>C00000020</v>
      </c>
      <c r="F813" s="1" t="s">
        <v>409</v>
      </c>
      <c r="G813" s="11" t="s">
        <v>654</v>
      </c>
      <c r="H813" s="5">
        <v>10</v>
      </c>
      <c r="I813" s="5" t="str">
        <f>VLOOKUP(F813,'Set up'!$A$2:$C$70,3,FALSE)</f>
        <v>Cash</v>
      </c>
      <c r="J813" s="5">
        <f>VLOOKUP(F813,'Set up'!$A$2:$D$70,4,FALSE)</f>
        <v>0</v>
      </c>
      <c r="K813" s="4">
        <f t="shared" si="138"/>
        <v>44702</v>
      </c>
      <c r="L813" s="5">
        <f t="shared" si="139"/>
        <v>5</v>
      </c>
      <c r="M813" s="5">
        <f t="shared" si="140"/>
        <v>2022</v>
      </c>
      <c r="N813" s="6">
        <v>2940</v>
      </c>
      <c r="O813" s="6">
        <f t="shared" si="151"/>
        <v>-2940</v>
      </c>
      <c r="P813" s="6">
        <f t="shared" si="148"/>
        <v>0</v>
      </c>
      <c r="Q813" s="7">
        <f t="shared" si="141"/>
        <v>1450125.5500000003</v>
      </c>
      <c r="R813" s="44" t="str">
        <f>VLOOKUP(F813,'Set up'!$A$2:$E$70,5,FALSE)</f>
        <v>Trsf</v>
      </c>
      <c r="S813" s="1" t="s">
        <v>1155</v>
      </c>
    </row>
    <row r="814" spans="1:19" x14ac:dyDescent="0.3">
      <c r="A814" s="4">
        <v>44702</v>
      </c>
      <c r="B814" s="5">
        <f t="shared" si="136"/>
        <v>5</v>
      </c>
      <c r="C814" s="5">
        <f t="shared" si="137"/>
        <v>2022</v>
      </c>
      <c r="D814" s="5" t="s">
        <v>789</v>
      </c>
      <c r="E814" s="5" t="str">
        <f>VLOOKUP(F814,'Set up'!$A$2:$C$70,2,FALSE)</f>
        <v>C00000020</v>
      </c>
      <c r="F814" s="1" t="s">
        <v>409</v>
      </c>
      <c r="G814" s="11" t="s">
        <v>778</v>
      </c>
      <c r="H814" s="5">
        <v>5</v>
      </c>
      <c r="I814" s="5" t="str">
        <f>VLOOKUP(F814,'Set up'!$A$2:$C$70,3,FALSE)</f>
        <v>Cash</v>
      </c>
      <c r="J814" s="5">
        <f>VLOOKUP(F814,'Set up'!$A$2:$D$70,4,FALSE)</f>
        <v>0</v>
      </c>
      <c r="K814" s="4">
        <f t="shared" si="138"/>
        <v>44702</v>
      </c>
      <c r="L814" s="5">
        <f t="shared" si="139"/>
        <v>5</v>
      </c>
      <c r="M814" s="5">
        <f t="shared" si="140"/>
        <v>2022</v>
      </c>
      <c r="N814" s="6">
        <v>1560</v>
      </c>
      <c r="O814" s="6">
        <f t="shared" si="151"/>
        <v>-1560</v>
      </c>
      <c r="P814" s="6">
        <f t="shared" si="148"/>
        <v>0</v>
      </c>
      <c r="Q814" s="7">
        <f t="shared" si="141"/>
        <v>1451685.5500000003</v>
      </c>
      <c r="R814" s="44" t="str">
        <f>VLOOKUP(F814,'Set up'!$A$2:$E$70,5,FALSE)</f>
        <v>Trsf</v>
      </c>
      <c r="S814" s="1" t="s">
        <v>1155</v>
      </c>
    </row>
    <row r="815" spans="1:19" x14ac:dyDescent="0.3">
      <c r="A815" s="4">
        <v>44702</v>
      </c>
      <c r="B815" s="5">
        <f t="shared" si="136"/>
        <v>5</v>
      </c>
      <c r="C815" s="5">
        <f t="shared" si="137"/>
        <v>2022</v>
      </c>
      <c r="D815" s="5" t="s">
        <v>789</v>
      </c>
      <c r="E815" s="5" t="str">
        <f>VLOOKUP(F815,'Set up'!$A$2:$C$70,2,FALSE)</f>
        <v>C00000020</v>
      </c>
      <c r="F815" s="1" t="s">
        <v>409</v>
      </c>
      <c r="G815" s="11" t="s">
        <v>64</v>
      </c>
      <c r="H815" s="5">
        <v>4</v>
      </c>
      <c r="I815" s="5" t="str">
        <f>VLOOKUP(F815,'Set up'!$A$2:$C$70,3,FALSE)</f>
        <v>Cash</v>
      </c>
      <c r="J815" s="5">
        <f>VLOOKUP(F815,'Set up'!$A$2:$D$70,4,FALSE)</f>
        <v>0</v>
      </c>
      <c r="K815" s="4">
        <f t="shared" si="138"/>
        <v>44702</v>
      </c>
      <c r="L815" s="5">
        <f t="shared" si="139"/>
        <v>5</v>
      </c>
      <c r="M815" s="5">
        <f t="shared" si="140"/>
        <v>2022</v>
      </c>
      <c r="N815" s="6">
        <v>250</v>
      </c>
      <c r="O815" s="6">
        <f t="shared" si="151"/>
        <v>-250</v>
      </c>
      <c r="P815" s="6">
        <f t="shared" si="148"/>
        <v>0</v>
      </c>
      <c r="Q815" s="7">
        <f t="shared" si="141"/>
        <v>1451935.5500000003</v>
      </c>
      <c r="R815" s="44" t="str">
        <f>VLOOKUP(F815,'Set up'!$A$2:$E$70,5,FALSE)</f>
        <v>Trsf</v>
      </c>
      <c r="S815" s="1" t="s">
        <v>1155</v>
      </c>
    </row>
    <row r="816" spans="1:19" x14ac:dyDescent="0.3">
      <c r="A816" s="4">
        <v>44704</v>
      </c>
      <c r="B816" s="5">
        <f t="shared" si="136"/>
        <v>5</v>
      </c>
      <c r="C816" s="5">
        <f t="shared" si="137"/>
        <v>2022</v>
      </c>
      <c r="D816" s="5" t="s">
        <v>790</v>
      </c>
      <c r="E816" s="5" t="str">
        <f>VLOOKUP(F816,'Set up'!$A$2:$C$70,2,FALSE)</f>
        <v>C00000010</v>
      </c>
      <c r="F816" s="1" t="s">
        <v>62</v>
      </c>
      <c r="G816" s="11" t="s">
        <v>722</v>
      </c>
      <c r="H816" s="5">
        <v>6</v>
      </c>
      <c r="I816" s="5">
        <f>VLOOKUP(F816,'Set up'!$A$2:$C$70,3,FALSE)</f>
        <v>120</v>
      </c>
      <c r="J816" s="5">
        <f>VLOOKUP(F816,'Set up'!$A$2:$D$70,4,FALSE)</f>
        <v>120</v>
      </c>
      <c r="K816" s="4">
        <f t="shared" si="138"/>
        <v>44824</v>
      </c>
      <c r="L816" s="5">
        <f t="shared" si="139"/>
        <v>9</v>
      </c>
      <c r="M816" s="5">
        <f t="shared" si="140"/>
        <v>2022</v>
      </c>
      <c r="N816" s="6">
        <v>11880</v>
      </c>
      <c r="O816" s="6">
        <f t="shared" ref="O816:O825" si="152">-N816</f>
        <v>-11880</v>
      </c>
      <c r="P816" s="6">
        <f t="shared" si="148"/>
        <v>0</v>
      </c>
      <c r="Q816" s="7">
        <f t="shared" si="141"/>
        <v>1463815.5500000003</v>
      </c>
      <c r="R816" s="44" t="str">
        <f>VLOOKUP(F816,'Set up'!$A$2:$E$70,5,FALSE)</f>
        <v>Trsf</v>
      </c>
      <c r="S816" s="1" t="s">
        <v>922</v>
      </c>
    </row>
    <row r="817" spans="1:19" x14ac:dyDescent="0.3">
      <c r="A817" s="4">
        <v>44704</v>
      </c>
      <c r="B817" s="5">
        <f t="shared" si="136"/>
        <v>5</v>
      </c>
      <c r="C817" s="5">
        <f t="shared" si="137"/>
        <v>2022</v>
      </c>
      <c r="D817" s="5" t="s">
        <v>790</v>
      </c>
      <c r="E817" s="5" t="str">
        <f>VLOOKUP(F817,'Set up'!$A$2:$C$70,2,FALSE)</f>
        <v>C00000010</v>
      </c>
      <c r="F817" s="1" t="s">
        <v>62</v>
      </c>
      <c r="G817" s="11" t="s">
        <v>654</v>
      </c>
      <c r="H817" s="5">
        <v>5</v>
      </c>
      <c r="I817" s="5">
        <f>VLOOKUP(F817,'Set up'!$A$2:$C$70,3,FALSE)</f>
        <v>120</v>
      </c>
      <c r="J817" s="5">
        <f>VLOOKUP(F817,'Set up'!$A$2:$D$70,4,FALSE)</f>
        <v>120</v>
      </c>
      <c r="K817" s="4">
        <f t="shared" si="138"/>
        <v>44824</v>
      </c>
      <c r="L817" s="5">
        <f t="shared" si="139"/>
        <v>9</v>
      </c>
      <c r="M817" s="5">
        <f t="shared" si="140"/>
        <v>2022</v>
      </c>
      <c r="N817" s="6">
        <v>1425</v>
      </c>
      <c r="O817" s="6">
        <f t="shared" si="152"/>
        <v>-1425</v>
      </c>
      <c r="P817" s="6">
        <f t="shared" si="148"/>
        <v>0</v>
      </c>
      <c r="Q817" s="7">
        <f t="shared" si="141"/>
        <v>1465240.5500000003</v>
      </c>
      <c r="R817" s="44" t="str">
        <f>VLOOKUP(F817,'Set up'!$A$2:$E$70,5,FALSE)</f>
        <v>Trsf</v>
      </c>
      <c r="S817" s="1" t="s">
        <v>922</v>
      </c>
    </row>
    <row r="818" spans="1:19" x14ac:dyDescent="0.3">
      <c r="A818" s="4">
        <v>44704</v>
      </c>
      <c r="B818" s="5">
        <f t="shared" si="136"/>
        <v>5</v>
      </c>
      <c r="C818" s="5">
        <f t="shared" si="137"/>
        <v>2022</v>
      </c>
      <c r="D818" s="5" t="s">
        <v>790</v>
      </c>
      <c r="E818" s="5" t="str">
        <f>VLOOKUP(F818,'Set up'!$A$2:$C$70,2,FALSE)</f>
        <v>C00000010</v>
      </c>
      <c r="F818" s="1" t="s">
        <v>62</v>
      </c>
      <c r="G818" s="11" t="s">
        <v>791</v>
      </c>
      <c r="H818" s="5">
        <v>10</v>
      </c>
      <c r="I818" s="5">
        <f>VLOOKUP(F818,'Set up'!$A$2:$C$70,3,FALSE)</f>
        <v>120</v>
      </c>
      <c r="J818" s="5">
        <f>VLOOKUP(F818,'Set up'!$A$2:$D$70,4,FALSE)</f>
        <v>120</v>
      </c>
      <c r="K818" s="4">
        <f t="shared" si="138"/>
        <v>44824</v>
      </c>
      <c r="L818" s="5">
        <f t="shared" si="139"/>
        <v>9</v>
      </c>
      <c r="M818" s="5">
        <f t="shared" si="140"/>
        <v>2022</v>
      </c>
      <c r="N818" s="6">
        <v>550</v>
      </c>
      <c r="O818" s="6">
        <f t="shared" si="152"/>
        <v>-550</v>
      </c>
      <c r="P818" s="6">
        <f t="shared" si="148"/>
        <v>0</v>
      </c>
      <c r="Q818" s="7">
        <f t="shared" si="141"/>
        <v>1465790.5500000003</v>
      </c>
      <c r="R818" s="44" t="str">
        <f>VLOOKUP(F818,'Set up'!$A$2:$E$70,5,FALSE)</f>
        <v>Trsf</v>
      </c>
      <c r="S818" s="1" t="s">
        <v>922</v>
      </c>
    </row>
    <row r="819" spans="1:19" x14ac:dyDescent="0.3">
      <c r="A819" s="4">
        <v>44704</v>
      </c>
      <c r="B819" s="5">
        <f t="shared" si="136"/>
        <v>5</v>
      </c>
      <c r="C819" s="5">
        <f t="shared" si="137"/>
        <v>2022</v>
      </c>
      <c r="D819" s="5" t="s">
        <v>790</v>
      </c>
      <c r="E819" s="5" t="str">
        <f>VLOOKUP(F819,'Set up'!$A$2:$C$70,2,FALSE)</f>
        <v>C00000010</v>
      </c>
      <c r="F819" s="1" t="s">
        <v>62</v>
      </c>
      <c r="G819" s="11" t="s">
        <v>566</v>
      </c>
      <c r="H819" s="5">
        <v>4</v>
      </c>
      <c r="I819" s="5">
        <f>VLOOKUP(F819,'Set up'!$A$2:$C$70,3,FALSE)</f>
        <v>120</v>
      </c>
      <c r="J819" s="5">
        <f>VLOOKUP(F819,'Set up'!$A$2:$D$70,4,FALSE)</f>
        <v>120</v>
      </c>
      <c r="K819" s="4">
        <f t="shared" si="138"/>
        <v>44824</v>
      </c>
      <c r="L819" s="5">
        <f t="shared" si="139"/>
        <v>9</v>
      </c>
      <c r="M819" s="5">
        <f t="shared" si="140"/>
        <v>2022</v>
      </c>
      <c r="N819" s="6">
        <v>420</v>
      </c>
      <c r="O819" s="6">
        <f t="shared" si="152"/>
        <v>-420</v>
      </c>
      <c r="P819" s="6">
        <f t="shared" si="148"/>
        <v>0</v>
      </c>
      <c r="Q819" s="7">
        <f t="shared" si="141"/>
        <v>1466210.5500000003</v>
      </c>
      <c r="R819" s="44" t="str">
        <f>VLOOKUP(F819,'Set up'!$A$2:$E$70,5,FALSE)</f>
        <v>Trsf</v>
      </c>
      <c r="S819" s="1" t="s">
        <v>922</v>
      </c>
    </row>
    <row r="820" spans="1:19" x14ac:dyDescent="0.3">
      <c r="A820" s="4">
        <v>44704</v>
      </c>
      <c r="B820" s="5">
        <f t="shared" si="136"/>
        <v>5</v>
      </c>
      <c r="C820" s="5">
        <f t="shared" si="137"/>
        <v>2022</v>
      </c>
      <c r="D820" s="5" t="s">
        <v>790</v>
      </c>
      <c r="E820" s="5" t="str">
        <f>VLOOKUP(F820,'Set up'!$A$2:$C$70,2,FALSE)</f>
        <v>C00000010</v>
      </c>
      <c r="F820" s="1" t="s">
        <v>62</v>
      </c>
      <c r="G820" s="11" t="s">
        <v>787</v>
      </c>
      <c r="H820" s="5">
        <v>1</v>
      </c>
      <c r="I820" s="5">
        <f>VLOOKUP(F820,'Set up'!$A$2:$C$70,3,FALSE)</f>
        <v>120</v>
      </c>
      <c r="J820" s="5">
        <f>VLOOKUP(F820,'Set up'!$A$2:$D$70,4,FALSE)</f>
        <v>120</v>
      </c>
      <c r="K820" s="4">
        <f t="shared" si="138"/>
        <v>44824</v>
      </c>
      <c r="L820" s="5">
        <f t="shared" si="139"/>
        <v>9</v>
      </c>
      <c r="M820" s="5">
        <f t="shared" si="140"/>
        <v>2022</v>
      </c>
      <c r="N820" s="6">
        <v>440</v>
      </c>
      <c r="O820" s="6">
        <f t="shared" si="152"/>
        <v>-440</v>
      </c>
      <c r="P820" s="6">
        <f t="shared" si="148"/>
        <v>0</v>
      </c>
      <c r="Q820" s="7">
        <f t="shared" si="141"/>
        <v>1466650.5500000003</v>
      </c>
      <c r="R820" s="44" t="str">
        <f>VLOOKUP(F820,'Set up'!$A$2:$E$70,5,FALSE)</f>
        <v>Trsf</v>
      </c>
      <c r="S820" s="1" t="s">
        <v>922</v>
      </c>
    </row>
    <row r="821" spans="1:19" x14ac:dyDescent="0.3">
      <c r="A821" s="4">
        <v>44704</v>
      </c>
      <c r="B821" s="5">
        <f t="shared" si="136"/>
        <v>5</v>
      </c>
      <c r="C821" s="5">
        <f t="shared" si="137"/>
        <v>2022</v>
      </c>
      <c r="D821" s="5" t="s">
        <v>793</v>
      </c>
      <c r="E821" s="5" t="str">
        <f>VLOOKUP(F821,'Set up'!$A$2:$C$70,2,FALSE)</f>
        <v>C00000020</v>
      </c>
      <c r="F821" s="1" t="s">
        <v>409</v>
      </c>
      <c r="G821" s="11" t="s">
        <v>775</v>
      </c>
      <c r="H821" s="5">
        <v>2</v>
      </c>
      <c r="I821" s="5" t="str">
        <f>VLOOKUP(F821,'Set up'!$A$2:$C$70,3,FALSE)</f>
        <v>Cash</v>
      </c>
      <c r="J821" s="5">
        <f>VLOOKUP(F821,'Set up'!$A$2:$D$70,4,FALSE)</f>
        <v>0</v>
      </c>
      <c r="K821" s="4">
        <f t="shared" si="138"/>
        <v>44704</v>
      </c>
      <c r="L821" s="5">
        <f t="shared" si="139"/>
        <v>5</v>
      </c>
      <c r="M821" s="5">
        <f t="shared" si="140"/>
        <v>2022</v>
      </c>
      <c r="N821" s="6">
        <v>4180</v>
      </c>
      <c r="O821" s="6">
        <f t="shared" si="152"/>
        <v>-4180</v>
      </c>
      <c r="P821" s="6">
        <f t="shared" si="148"/>
        <v>0</v>
      </c>
      <c r="Q821" s="7">
        <f t="shared" si="141"/>
        <v>1470830.5500000003</v>
      </c>
      <c r="R821" s="44" t="str">
        <f>VLOOKUP(F821,'Set up'!$A$2:$E$70,5,FALSE)</f>
        <v>Trsf</v>
      </c>
      <c r="S821" s="1" t="s">
        <v>1155</v>
      </c>
    </row>
    <row r="822" spans="1:19" x14ac:dyDescent="0.3">
      <c r="A822" s="4">
        <v>44704</v>
      </c>
      <c r="B822" s="5">
        <f t="shared" si="136"/>
        <v>5</v>
      </c>
      <c r="C822" s="5">
        <f t="shared" si="137"/>
        <v>2022</v>
      </c>
      <c r="D822" s="5" t="s">
        <v>793</v>
      </c>
      <c r="E822" s="5" t="str">
        <f>VLOOKUP(F822,'Set up'!$A$2:$C$70,2,FALSE)</f>
        <v>C00000020</v>
      </c>
      <c r="F822" s="1" t="s">
        <v>409</v>
      </c>
      <c r="G822" s="11" t="s">
        <v>654</v>
      </c>
      <c r="H822" s="5">
        <v>5</v>
      </c>
      <c r="I822" s="5" t="str">
        <f>VLOOKUP(F822,'Set up'!$A$2:$C$70,3,FALSE)</f>
        <v>Cash</v>
      </c>
      <c r="J822" s="5">
        <f>VLOOKUP(F822,'Set up'!$A$2:$D$70,4,FALSE)</f>
        <v>0</v>
      </c>
      <c r="K822" s="4">
        <f t="shared" si="138"/>
        <v>44704</v>
      </c>
      <c r="L822" s="5">
        <f t="shared" si="139"/>
        <v>5</v>
      </c>
      <c r="M822" s="5">
        <f t="shared" si="140"/>
        <v>2022</v>
      </c>
      <c r="N822" s="6">
        <v>1470</v>
      </c>
      <c r="O822" s="6">
        <f t="shared" si="152"/>
        <v>-1470</v>
      </c>
      <c r="P822" s="6">
        <f t="shared" si="148"/>
        <v>0</v>
      </c>
      <c r="Q822" s="7">
        <f t="shared" si="141"/>
        <v>1472300.5500000003</v>
      </c>
      <c r="R822" s="44" t="str">
        <f>VLOOKUP(F822,'Set up'!$A$2:$E$70,5,FALSE)</f>
        <v>Trsf</v>
      </c>
      <c r="S822" s="1" t="s">
        <v>1155</v>
      </c>
    </row>
    <row r="823" spans="1:19" x14ac:dyDescent="0.3">
      <c r="A823" s="4">
        <v>44704</v>
      </c>
      <c r="B823" s="5">
        <f t="shared" si="136"/>
        <v>5</v>
      </c>
      <c r="C823" s="5">
        <f t="shared" si="137"/>
        <v>2022</v>
      </c>
      <c r="D823" s="5" t="s">
        <v>793</v>
      </c>
      <c r="E823" s="5" t="str">
        <f>VLOOKUP(F823,'Set up'!$A$2:$C$70,2,FALSE)</f>
        <v>C00000020</v>
      </c>
      <c r="F823" s="1" t="s">
        <v>409</v>
      </c>
      <c r="G823" s="11" t="s">
        <v>778</v>
      </c>
      <c r="H823" s="5">
        <v>2</v>
      </c>
      <c r="I823" s="5" t="str">
        <f>VLOOKUP(F823,'Set up'!$A$2:$C$70,3,FALSE)</f>
        <v>Cash</v>
      </c>
      <c r="J823" s="5">
        <f>VLOOKUP(F823,'Set up'!$A$2:$D$70,4,FALSE)</f>
        <v>0</v>
      </c>
      <c r="K823" s="4">
        <f t="shared" si="138"/>
        <v>44704</v>
      </c>
      <c r="L823" s="5">
        <f t="shared" si="139"/>
        <v>5</v>
      </c>
      <c r="M823" s="5">
        <f t="shared" si="140"/>
        <v>2022</v>
      </c>
      <c r="N823" s="6">
        <v>624</v>
      </c>
      <c r="O823" s="6">
        <f t="shared" si="152"/>
        <v>-624</v>
      </c>
      <c r="P823" s="6">
        <f t="shared" si="148"/>
        <v>0</v>
      </c>
      <c r="Q823" s="7">
        <f t="shared" si="141"/>
        <v>1472924.5500000003</v>
      </c>
      <c r="R823" s="44" t="str">
        <f>VLOOKUP(F823,'Set up'!$A$2:$E$70,5,FALSE)</f>
        <v>Trsf</v>
      </c>
      <c r="S823" s="1" t="s">
        <v>1155</v>
      </c>
    </row>
    <row r="824" spans="1:19" x14ac:dyDescent="0.3">
      <c r="A824" s="4">
        <v>44704</v>
      </c>
      <c r="B824" s="5">
        <f t="shared" si="136"/>
        <v>5</v>
      </c>
      <c r="C824" s="5">
        <f t="shared" si="137"/>
        <v>2022</v>
      </c>
      <c r="D824" s="5" t="s">
        <v>793</v>
      </c>
      <c r="E824" s="5" t="str">
        <f>VLOOKUP(F824,'Set up'!$A$2:$C$70,2,FALSE)</f>
        <v>C00000020</v>
      </c>
      <c r="F824" s="1" t="s">
        <v>409</v>
      </c>
      <c r="G824" s="11" t="s">
        <v>792</v>
      </c>
      <c r="H824" s="5">
        <v>1</v>
      </c>
      <c r="I824" s="5" t="str">
        <f>VLOOKUP(F824,'Set up'!$A$2:$C$70,3,FALSE)</f>
        <v>Cash</v>
      </c>
      <c r="J824" s="5">
        <f>VLOOKUP(F824,'Set up'!$A$2:$D$70,4,FALSE)</f>
        <v>0</v>
      </c>
      <c r="K824" s="4">
        <f t="shared" si="138"/>
        <v>44704</v>
      </c>
      <c r="L824" s="5">
        <f t="shared" si="139"/>
        <v>5</v>
      </c>
      <c r="M824" s="5">
        <f t="shared" si="140"/>
        <v>2022</v>
      </c>
      <c r="N824" s="6">
        <v>351</v>
      </c>
      <c r="O824" s="6">
        <f t="shared" si="152"/>
        <v>-351</v>
      </c>
      <c r="P824" s="6">
        <f t="shared" si="148"/>
        <v>0</v>
      </c>
      <c r="Q824" s="7">
        <f t="shared" si="141"/>
        <v>1473275.5500000003</v>
      </c>
      <c r="R824" s="44" t="str">
        <f>VLOOKUP(F824,'Set up'!$A$2:$E$70,5,FALSE)</f>
        <v>Trsf</v>
      </c>
      <c r="S824" s="1" t="s">
        <v>1155</v>
      </c>
    </row>
    <row r="825" spans="1:19" x14ac:dyDescent="0.3">
      <c r="A825" s="4">
        <v>44704</v>
      </c>
      <c r="B825" s="5">
        <f t="shared" si="136"/>
        <v>5</v>
      </c>
      <c r="C825" s="5">
        <f t="shared" si="137"/>
        <v>2022</v>
      </c>
      <c r="D825" s="5" t="s">
        <v>793</v>
      </c>
      <c r="E825" s="5" t="str">
        <f>VLOOKUP(F825,'Set up'!$A$2:$C$70,2,FALSE)</f>
        <v>C00000020</v>
      </c>
      <c r="F825" s="1" t="s">
        <v>409</v>
      </c>
      <c r="G825" s="11" t="s">
        <v>791</v>
      </c>
      <c r="H825" s="5">
        <v>2</v>
      </c>
      <c r="I825" s="5" t="str">
        <f>VLOOKUP(F825,'Set up'!$A$2:$C$70,3,FALSE)</f>
        <v>Cash</v>
      </c>
      <c r="J825" s="5">
        <f>VLOOKUP(F825,'Set up'!$A$2:$D$70,4,FALSE)</f>
        <v>0</v>
      </c>
      <c r="K825" s="4">
        <f t="shared" si="138"/>
        <v>44704</v>
      </c>
      <c r="L825" s="5">
        <f t="shared" si="139"/>
        <v>5</v>
      </c>
      <c r="M825" s="5">
        <f t="shared" si="140"/>
        <v>2022</v>
      </c>
      <c r="N825" s="6">
        <v>125</v>
      </c>
      <c r="O825" s="6">
        <f t="shared" si="152"/>
        <v>-125</v>
      </c>
      <c r="P825" s="6">
        <f t="shared" si="148"/>
        <v>0</v>
      </c>
      <c r="Q825" s="7">
        <f t="shared" si="141"/>
        <v>1473400.5500000003</v>
      </c>
      <c r="R825" s="44" t="str">
        <f>VLOOKUP(F825,'Set up'!$A$2:$E$70,5,FALSE)</f>
        <v>Trsf</v>
      </c>
      <c r="S825" s="1" t="s">
        <v>1155</v>
      </c>
    </row>
    <row r="826" spans="1:19" x14ac:dyDescent="0.3">
      <c r="A826" s="4">
        <v>44704</v>
      </c>
      <c r="B826" s="5">
        <f t="shared" si="136"/>
        <v>5</v>
      </c>
      <c r="C826" s="5">
        <f t="shared" si="137"/>
        <v>2022</v>
      </c>
      <c r="D826" s="5" t="s">
        <v>794</v>
      </c>
      <c r="E826" s="5" t="str">
        <f>VLOOKUP(F826,'Set up'!$A$2:$C$70,2,FALSE)</f>
        <v>C00000019</v>
      </c>
      <c r="F826" s="1" t="s">
        <v>400</v>
      </c>
      <c r="G826" s="11" t="s">
        <v>719</v>
      </c>
      <c r="H826" s="5">
        <v>2</v>
      </c>
      <c r="I826" s="5" t="str">
        <f>VLOOKUP(F826,'Set up'!$A$2:$C$70,3,FALSE)</f>
        <v>Cash</v>
      </c>
      <c r="J826" s="5">
        <f>VLOOKUP(F826,'Set up'!$A$2:$D$70,4,FALSE)</f>
        <v>0</v>
      </c>
      <c r="K826" s="4">
        <f t="shared" si="138"/>
        <v>44704</v>
      </c>
      <c r="L826" s="5">
        <f t="shared" si="139"/>
        <v>5</v>
      </c>
      <c r="M826" s="5">
        <f t="shared" si="140"/>
        <v>2022</v>
      </c>
      <c r="N826" s="6">
        <v>4136</v>
      </c>
      <c r="O826" s="6">
        <f>-N826</f>
        <v>-4136</v>
      </c>
      <c r="P826" s="6">
        <f t="shared" si="148"/>
        <v>0</v>
      </c>
      <c r="Q826" s="7">
        <f t="shared" si="141"/>
        <v>1477536.5500000003</v>
      </c>
      <c r="R826" s="44" t="str">
        <f>VLOOKUP(F826,'Set up'!$A$2:$E$70,5,FALSE)</f>
        <v>Trsf</v>
      </c>
      <c r="S826" s="1" t="s">
        <v>805</v>
      </c>
    </row>
    <row r="827" spans="1:19" x14ac:dyDescent="0.3">
      <c r="A827" s="4">
        <v>44704</v>
      </c>
      <c r="B827" s="5">
        <f t="shared" si="136"/>
        <v>5</v>
      </c>
      <c r="C827" s="5">
        <f t="shared" si="137"/>
        <v>2022</v>
      </c>
      <c r="D827" s="5" t="s">
        <v>794</v>
      </c>
      <c r="E827" s="5" t="str">
        <f>VLOOKUP(F827,'Set up'!$A$2:$C$70,2,FALSE)</f>
        <v>C00000019</v>
      </c>
      <c r="F827" s="1" t="s">
        <v>400</v>
      </c>
      <c r="G827" s="11" t="s">
        <v>707</v>
      </c>
      <c r="H827" s="5">
        <v>2</v>
      </c>
      <c r="I827" s="5" t="str">
        <f>VLOOKUP(F827,'Set up'!$A$2:$C$70,3,FALSE)</f>
        <v>Cash</v>
      </c>
      <c r="J827" s="5">
        <f>VLOOKUP(F827,'Set up'!$A$2:$D$70,4,FALSE)</f>
        <v>0</v>
      </c>
      <c r="K827" s="4">
        <f t="shared" si="138"/>
        <v>44704</v>
      </c>
      <c r="L827" s="5">
        <f t="shared" si="139"/>
        <v>5</v>
      </c>
      <c r="M827" s="5">
        <f t="shared" si="140"/>
        <v>2022</v>
      </c>
      <c r="N827" s="6">
        <v>1047.5999999999999</v>
      </c>
      <c r="O827" s="6">
        <f>-N827</f>
        <v>-1047.5999999999999</v>
      </c>
      <c r="P827" s="6">
        <f t="shared" si="148"/>
        <v>0</v>
      </c>
      <c r="Q827" s="7">
        <f t="shared" si="141"/>
        <v>1478584.1500000004</v>
      </c>
      <c r="R827" s="44" t="str">
        <f>VLOOKUP(F827,'Set up'!$A$2:$E$70,5,FALSE)</f>
        <v>Trsf</v>
      </c>
      <c r="S827" s="1" t="s">
        <v>805</v>
      </c>
    </row>
    <row r="828" spans="1:19" x14ac:dyDescent="0.3">
      <c r="A828" s="4">
        <v>44704</v>
      </c>
      <c r="B828" s="5">
        <f t="shared" si="136"/>
        <v>5</v>
      </c>
      <c r="C828" s="5">
        <f t="shared" si="137"/>
        <v>2022</v>
      </c>
      <c r="D828" s="5" t="s">
        <v>794</v>
      </c>
      <c r="E828" s="5" t="str">
        <f>VLOOKUP(F828,'Set up'!$A$2:$C$70,2,FALSE)</f>
        <v>C00000019</v>
      </c>
      <c r="F828" s="1" t="s">
        <v>400</v>
      </c>
      <c r="G828" s="11" t="s">
        <v>791</v>
      </c>
      <c r="H828" s="5">
        <v>3</v>
      </c>
      <c r="I828" s="5" t="str">
        <f>VLOOKUP(F828,'Set up'!$A$2:$C$70,3,FALSE)</f>
        <v>Cash</v>
      </c>
      <c r="J828" s="5">
        <f>VLOOKUP(F828,'Set up'!$A$2:$D$70,4,FALSE)</f>
        <v>0</v>
      </c>
      <c r="K828" s="4">
        <f t="shared" si="138"/>
        <v>44704</v>
      </c>
      <c r="L828" s="5">
        <f t="shared" si="139"/>
        <v>5</v>
      </c>
      <c r="M828" s="5">
        <f t="shared" si="140"/>
        <v>2022</v>
      </c>
      <c r="N828" s="6">
        <v>187.5</v>
      </c>
      <c r="O828" s="6">
        <f>-N828</f>
        <v>-187.5</v>
      </c>
      <c r="P828" s="6">
        <f t="shared" si="148"/>
        <v>0</v>
      </c>
      <c r="Q828" s="7">
        <f t="shared" si="141"/>
        <v>1478771.6500000004</v>
      </c>
      <c r="R828" s="44" t="str">
        <f>VLOOKUP(F828,'Set up'!$A$2:$E$70,5,FALSE)</f>
        <v>Trsf</v>
      </c>
      <c r="S828" s="1" t="s">
        <v>805</v>
      </c>
    </row>
    <row r="829" spans="1:19" x14ac:dyDescent="0.3">
      <c r="A829" s="4">
        <v>44704</v>
      </c>
      <c r="B829" s="5">
        <f t="shared" si="136"/>
        <v>5</v>
      </c>
      <c r="C829" s="5">
        <f t="shared" si="137"/>
        <v>2022</v>
      </c>
      <c r="D829" s="5" t="s">
        <v>794</v>
      </c>
      <c r="E829" s="5" t="str">
        <f>VLOOKUP(F829,'Set up'!$A$2:$C$70,2,FALSE)</f>
        <v>C00000019</v>
      </c>
      <c r="F829" s="1" t="s">
        <v>400</v>
      </c>
      <c r="G829" s="11" t="s">
        <v>292</v>
      </c>
      <c r="H829" s="5">
        <v>1</v>
      </c>
      <c r="I829" s="5" t="str">
        <f>VLOOKUP(F829,'Set up'!$A$2:$C$70,3,FALSE)</f>
        <v>Cash</v>
      </c>
      <c r="J829" s="5">
        <f>VLOOKUP(F829,'Set up'!$A$2:$D$70,4,FALSE)</f>
        <v>0</v>
      </c>
      <c r="K829" s="4">
        <f t="shared" si="138"/>
        <v>44704</v>
      </c>
      <c r="L829" s="5">
        <f t="shared" si="139"/>
        <v>5</v>
      </c>
      <c r="M829" s="5">
        <f t="shared" si="140"/>
        <v>2022</v>
      </c>
      <c r="N829" s="6">
        <v>390</v>
      </c>
      <c r="O829" s="6">
        <f>-N829</f>
        <v>-390</v>
      </c>
      <c r="P829" s="6">
        <f t="shared" si="148"/>
        <v>0</v>
      </c>
      <c r="Q829" s="7">
        <f t="shared" si="141"/>
        <v>1479161.6500000004</v>
      </c>
      <c r="R829" s="44" t="str">
        <f>VLOOKUP(F829,'Set up'!$A$2:$E$70,5,FALSE)</f>
        <v>Trsf</v>
      </c>
      <c r="S829" s="1" t="s">
        <v>805</v>
      </c>
    </row>
    <row r="830" spans="1:19" x14ac:dyDescent="0.3">
      <c r="A830" s="4">
        <v>44704</v>
      </c>
      <c r="B830" s="5">
        <f t="shared" si="136"/>
        <v>5</v>
      </c>
      <c r="C830" s="5">
        <f t="shared" si="137"/>
        <v>2022</v>
      </c>
      <c r="D830" s="5" t="s">
        <v>794</v>
      </c>
      <c r="E830" s="5" t="str">
        <f>VLOOKUP(F830,'Set up'!$A$2:$C$70,2,FALSE)</f>
        <v>C00000019</v>
      </c>
      <c r="F830" s="1" t="s">
        <v>400</v>
      </c>
      <c r="G830" s="11" t="s">
        <v>787</v>
      </c>
      <c r="H830" s="5">
        <v>1</v>
      </c>
      <c r="I830" s="5" t="str">
        <f>VLOOKUP(F830,'Set up'!$A$2:$C$70,3,FALSE)</f>
        <v>Cash</v>
      </c>
      <c r="J830" s="5">
        <f>VLOOKUP(F830,'Set up'!$A$2:$D$70,4,FALSE)</f>
        <v>0</v>
      </c>
      <c r="K830" s="4">
        <f t="shared" si="138"/>
        <v>44704</v>
      </c>
      <c r="L830" s="5">
        <f t="shared" si="139"/>
        <v>5</v>
      </c>
      <c r="M830" s="5">
        <f t="shared" si="140"/>
        <v>2022</v>
      </c>
      <c r="N830" s="6">
        <v>440</v>
      </c>
      <c r="O830" s="6">
        <f>-N830</f>
        <v>-440</v>
      </c>
      <c r="P830" s="6">
        <f t="shared" si="148"/>
        <v>0</v>
      </c>
      <c r="Q830" s="7">
        <f t="shared" si="141"/>
        <v>1479601.6500000004</v>
      </c>
      <c r="R830" s="44" t="str">
        <f>VLOOKUP(F830,'Set up'!$A$2:$E$70,5,FALSE)</f>
        <v>Trsf</v>
      </c>
      <c r="S830" s="1" t="s">
        <v>805</v>
      </c>
    </row>
    <row r="831" spans="1:19" x14ac:dyDescent="0.3">
      <c r="A831" s="4">
        <v>44705</v>
      </c>
      <c r="B831" s="5">
        <f t="shared" si="136"/>
        <v>5</v>
      </c>
      <c r="C831" s="5">
        <f t="shared" si="137"/>
        <v>2022</v>
      </c>
      <c r="D831" s="5" t="s">
        <v>795</v>
      </c>
      <c r="E831" s="5" t="str">
        <f>VLOOKUP(F831,'Set up'!$A$2:$C$70,2,FALSE)</f>
        <v>C00000004</v>
      </c>
      <c r="F831" s="1" t="s">
        <v>23</v>
      </c>
      <c r="G831" s="11" t="s">
        <v>719</v>
      </c>
      <c r="H831" s="5">
        <v>5</v>
      </c>
      <c r="I831" s="5">
        <f>VLOOKUP(F831,'Set up'!$A$2:$C$70,3,FALSE)</f>
        <v>120</v>
      </c>
      <c r="J831" s="5">
        <f>VLOOKUP(F831,'Set up'!$A$2:$D$70,4,FALSE)</f>
        <v>120</v>
      </c>
      <c r="K831" s="4">
        <f t="shared" si="138"/>
        <v>44825</v>
      </c>
      <c r="L831" s="5">
        <f t="shared" si="139"/>
        <v>9</v>
      </c>
      <c r="M831" s="5">
        <f t="shared" si="140"/>
        <v>2022</v>
      </c>
      <c r="N831" s="6">
        <v>10120</v>
      </c>
      <c r="O831" s="6">
        <f t="shared" ref="O831:O836" si="153">-N831</f>
        <v>-10120</v>
      </c>
      <c r="P831" s="6">
        <f t="shared" si="148"/>
        <v>0</v>
      </c>
      <c r="Q831" s="7">
        <f t="shared" si="141"/>
        <v>1489721.6500000004</v>
      </c>
      <c r="R831" s="44" t="str">
        <f>VLOOKUP(F831,'Set up'!$A$2:$E$70,5,FALSE)</f>
        <v>Chq</v>
      </c>
      <c r="S831" s="1" t="s">
        <v>976</v>
      </c>
    </row>
    <row r="832" spans="1:19" x14ac:dyDescent="0.3">
      <c r="A832" s="4">
        <v>44706</v>
      </c>
      <c r="B832" s="5">
        <f t="shared" si="136"/>
        <v>5</v>
      </c>
      <c r="C832" s="5">
        <f t="shared" si="137"/>
        <v>2022</v>
      </c>
      <c r="D832" s="5" t="s">
        <v>796</v>
      </c>
      <c r="E832" s="5" t="str">
        <f>VLOOKUP(F832,'Set up'!$A$2:$C$70,2,FALSE)</f>
        <v>C00000020</v>
      </c>
      <c r="F832" s="1" t="s">
        <v>409</v>
      </c>
      <c r="G832" s="11" t="s">
        <v>719</v>
      </c>
      <c r="H832" s="5">
        <v>4</v>
      </c>
      <c r="I832" s="5" t="str">
        <f>VLOOKUP(F832,'Set up'!$A$2:$C$70,3,FALSE)</f>
        <v>Cash</v>
      </c>
      <c r="J832" s="5">
        <f>VLOOKUP(F832,'Set up'!$A$2:$D$70,4,FALSE)</f>
        <v>0</v>
      </c>
      <c r="K832" s="4">
        <f t="shared" si="138"/>
        <v>44706</v>
      </c>
      <c r="L832" s="5">
        <f t="shared" si="139"/>
        <v>5</v>
      </c>
      <c r="M832" s="5">
        <f t="shared" si="140"/>
        <v>2022</v>
      </c>
      <c r="N832" s="6">
        <v>8360</v>
      </c>
      <c r="O832" s="6">
        <f t="shared" si="153"/>
        <v>-8360</v>
      </c>
      <c r="P832" s="6">
        <f t="shared" si="148"/>
        <v>0</v>
      </c>
      <c r="Q832" s="7">
        <f t="shared" si="141"/>
        <v>1498081.6500000004</v>
      </c>
      <c r="R832" s="44" t="str">
        <f>VLOOKUP(F832,'Set up'!$A$2:$E$70,5,FALSE)</f>
        <v>Trsf</v>
      </c>
      <c r="S832" s="1" t="s">
        <v>1155</v>
      </c>
    </row>
    <row r="833" spans="1:19" x14ac:dyDescent="0.3">
      <c r="A833" s="4">
        <v>44706</v>
      </c>
      <c r="B833" s="5">
        <f t="shared" si="136"/>
        <v>5</v>
      </c>
      <c r="C833" s="5">
        <f t="shared" si="137"/>
        <v>2022</v>
      </c>
      <c r="D833" s="5" t="s">
        <v>796</v>
      </c>
      <c r="E833" s="5" t="str">
        <f>VLOOKUP(F833,'Set up'!$A$2:$C$70,2,FALSE)</f>
        <v>C00000020</v>
      </c>
      <c r="F833" s="1" t="s">
        <v>409</v>
      </c>
      <c r="G833" s="11" t="s">
        <v>654</v>
      </c>
      <c r="H833" s="5">
        <v>8</v>
      </c>
      <c r="I833" s="5" t="str">
        <f>VLOOKUP(F833,'Set up'!$A$2:$C$70,3,FALSE)</f>
        <v>Cash</v>
      </c>
      <c r="J833" s="5">
        <f>VLOOKUP(F833,'Set up'!$A$2:$D$70,4,FALSE)</f>
        <v>0</v>
      </c>
      <c r="K833" s="4">
        <f t="shared" si="138"/>
        <v>44706</v>
      </c>
      <c r="L833" s="5">
        <f t="shared" si="139"/>
        <v>5</v>
      </c>
      <c r="M833" s="5">
        <f t="shared" si="140"/>
        <v>2022</v>
      </c>
      <c r="N833" s="6">
        <v>2352</v>
      </c>
      <c r="O833" s="6">
        <f t="shared" si="153"/>
        <v>-2352</v>
      </c>
      <c r="P833" s="6">
        <f t="shared" si="148"/>
        <v>0</v>
      </c>
      <c r="Q833" s="7">
        <f t="shared" si="141"/>
        <v>1500433.6500000004</v>
      </c>
      <c r="R833" s="44" t="str">
        <f>VLOOKUP(F833,'Set up'!$A$2:$E$70,5,FALSE)</f>
        <v>Trsf</v>
      </c>
      <c r="S833" s="1" t="s">
        <v>1155</v>
      </c>
    </row>
    <row r="834" spans="1:19" x14ac:dyDescent="0.3">
      <c r="A834" s="4">
        <v>44706</v>
      </c>
      <c r="B834" s="5">
        <f t="shared" si="136"/>
        <v>5</v>
      </c>
      <c r="C834" s="5">
        <f t="shared" si="137"/>
        <v>2022</v>
      </c>
      <c r="D834" s="5" t="s">
        <v>796</v>
      </c>
      <c r="E834" s="5" t="str">
        <f>VLOOKUP(F834,'Set up'!$A$2:$C$70,2,FALSE)</f>
        <v>C00000020</v>
      </c>
      <c r="F834" s="1" t="s">
        <v>409</v>
      </c>
      <c r="G834" s="11" t="s">
        <v>792</v>
      </c>
      <c r="H834" s="5">
        <v>6</v>
      </c>
      <c r="I834" s="5" t="str">
        <f>VLOOKUP(F834,'Set up'!$A$2:$C$70,3,FALSE)</f>
        <v>Cash</v>
      </c>
      <c r="J834" s="5">
        <f>VLOOKUP(F834,'Set up'!$A$2:$D$70,4,FALSE)</f>
        <v>0</v>
      </c>
      <c r="K834" s="4">
        <f t="shared" si="138"/>
        <v>44706</v>
      </c>
      <c r="L834" s="5">
        <f t="shared" si="139"/>
        <v>5</v>
      </c>
      <c r="M834" s="5">
        <f t="shared" si="140"/>
        <v>2022</v>
      </c>
      <c r="N834" s="6">
        <v>2106</v>
      </c>
      <c r="O834" s="6">
        <f t="shared" si="153"/>
        <v>-2106</v>
      </c>
      <c r="P834" s="6">
        <f t="shared" si="148"/>
        <v>0</v>
      </c>
      <c r="Q834" s="7">
        <f t="shared" si="141"/>
        <v>1502539.6500000004</v>
      </c>
      <c r="R834" s="44" t="str">
        <f>VLOOKUP(F834,'Set up'!$A$2:$E$70,5,FALSE)</f>
        <v>Trsf</v>
      </c>
      <c r="S834" s="1" t="s">
        <v>1155</v>
      </c>
    </row>
    <row r="835" spans="1:19" x14ac:dyDescent="0.3">
      <c r="A835" s="4">
        <v>44706</v>
      </c>
      <c r="B835" s="5">
        <f t="shared" ref="B835:B898" si="154">MONTH(A835)</f>
        <v>5</v>
      </c>
      <c r="C835" s="5">
        <f t="shared" ref="C835:C898" si="155">YEAR(A835)</f>
        <v>2022</v>
      </c>
      <c r="D835" s="5" t="s">
        <v>796</v>
      </c>
      <c r="E835" s="5" t="str">
        <f>VLOOKUP(F835,'Set up'!$A$2:$C$70,2,FALSE)</f>
        <v>C00000020</v>
      </c>
      <c r="F835" s="1" t="s">
        <v>409</v>
      </c>
      <c r="G835" s="11" t="s">
        <v>791</v>
      </c>
      <c r="H835" s="5">
        <v>4</v>
      </c>
      <c r="I835" s="5" t="str">
        <f>VLOOKUP(F835,'Set up'!$A$2:$C$70,3,FALSE)</f>
        <v>Cash</v>
      </c>
      <c r="J835" s="5">
        <f>VLOOKUP(F835,'Set up'!$A$2:$D$70,4,FALSE)</f>
        <v>0</v>
      </c>
      <c r="K835" s="4">
        <f t="shared" ref="K835:K898" si="156">A835+J835</f>
        <v>44706</v>
      </c>
      <c r="L835" s="5">
        <f t="shared" ref="L835:L898" si="157">MONTH(K835)</f>
        <v>5</v>
      </c>
      <c r="M835" s="5">
        <f t="shared" ref="M835:M898" si="158">YEAR(K835)</f>
        <v>2022</v>
      </c>
      <c r="N835" s="6">
        <v>250</v>
      </c>
      <c r="O835" s="6">
        <f t="shared" si="153"/>
        <v>-250</v>
      </c>
      <c r="P835" s="6">
        <f t="shared" si="148"/>
        <v>0</v>
      </c>
      <c r="Q835" s="7">
        <f t="shared" ref="Q835:Q898" si="159">SUM(Q834+N835)</f>
        <v>1502789.6500000004</v>
      </c>
      <c r="R835" s="44" t="str">
        <f>VLOOKUP(F835,'Set up'!$A$2:$E$70,5,FALSE)</f>
        <v>Trsf</v>
      </c>
      <c r="S835" s="1" t="s">
        <v>1155</v>
      </c>
    </row>
    <row r="836" spans="1:19" x14ac:dyDescent="0.3">
      <c r="A836" s="4">
        <v>44706</v>
      </c>
      <c r="B836" s="5">
        <f t="shared" si="154"/>
        <v>5</v>
      </c>
      <c r="C836" s="5">
        <f t="shared" si="155"/>
        <v>2022</v>
      </c>
      <c r="D836" s="5" t="s">
        <v>796</v>
      </c>
      <c r="E836" s="5" t="str">
        <f>VLOOKUP(F836,'Set up'!$A$2:$C$70,2,FALSE)</f>
        <v>C00000020</v>
      </c>
      <c r="F836" s="1" t="s">
        <v>409</v>
      </c>
      <c r="G836" s="11" t="s">
        <v>659</v>
      </c>
      <c r="H836" s="5">
        <v>1</v>
      </c>
      <c r="I836" s="5" t="str">
        <f>VLOOKUP(F836,'Set up'!$A$2:$C$70,3,FALSE)</f>
        <v>Cash</v>
      </c>
      <c r="J836" s="5">
        <f>VLOOKUP(F836,'Set up'!$A$2:$D$70,4,FALSE)</f>
        <v>0</v>
      </c>
      <c r="K836" s="4">
        <f t="shared" si="156"/>
        <v>44706</v>
      </c>
      <c r="L836" s="5">
        <f t="shared" si="157"/>
        <v>5</v>
      </c>
      <c r="M836" s="5">
        <f t="shared" si="158"/>
        <v>2022</v>
      </c>
      <c r="N836" s="6">
        <v>1000</v>
      </c>
      <c r="O836" s="6">
        <f t="shared" si="153"/>
        <v>-1000</v>
      </c>
      <c r="P836" s="6">
        <f t="shared" si="148"/>
        <v>0</v>
      </c>
      <c r="Q836" s="7">
        <f t="shared" si="159"/>
        <v>1503789.6500000004</v>
      </c>
      <c r="R836" s="44" t="str">
        <f>VLOOKUP(F836,'Set up'!$A$2:$E$70,5,FALSE)</f>
        <v>Trsf</v>
      </c>
      <c r="S836" s="1" t="s">
        <v>1155</v>
      </c>
    </row>
    <row r="837" spans="1:19" x14ac:dyDescent="0.3">
      <c r="A837" s="4">
        <v>44709</v>
      </c>
      <c r="B837" s="5">
        <f t="shared" si="154"/>
        <v>5</v>
      </c>
      <c r="C837" s="5">
        <f t="shared" si="155"/>
        <v>2022</v>
      </c>
      <c r="D837" s="5" t="s">
        <v>797</v>
      </c>
      <c r="E837" s="5" t="str">
        <f>VLOOKUP(F837,'Set up'!$A$2:$C$70,2,FALSE)</f>
        <v>C00000021</v>
      </c>
      <c r="F837" s="1" t="s">
        <v>491</v>
      </c>
      <c r="G837" s="11" t="s">
        <v>716</v>
      </c>
      <c r="H837" s="5">
        <v>1</v>
      </c>
      <c r="I837" s="5" t="str">
        <f>VLOOKUP(F837,'Set up'!$A$2:$C$70,3,FALSE)</f>
        <v>Cash</v>
      </c>
      <c r="J837" s="5">
        <f>VLOOKUP(F837,'Set up'!$A$2:$D$70,4,FALSE)</f>
        <v>0</v>
      </c>
      <c r="K837" s="4">
        <f t="shared" si="156"/>
        <v>44709</v>
      </c>
      <c r="L837" s="5">
        <f t="shared" si="157"/>
        <v>5</v>
      </c>
      <c r="M837" s="5">
        <f t="shared" si="158"/>
        <v>2022</v>
      </c>
      <c r="N837" s="6">
        <v>2068</v>
      </c>
      <c r="O837" s="6">
        <f t="shared" ref="O837:O840" si="160">-N837</f>
        <v>-2068</v>
      </c>
      <c r="P837" s="6">
        <f t="shared" si="148"/>
        <v>0</v>
      </c>
      <c r="Q837" s="7">
        <f t="shared" si="159"/>
        <v>1505857.6500000004</v>
      </c>
      <c r="R837" s="44" t="str">
        <f>VLOOKUP(F837,'Set up'!$A$2:$E$70,5,FALSE)</f>
        <v>PD Chq</v>
      </c>
      <c r="S837" s="1" t="s">
        <v>972</v>
      </c>
    </row>
    <row r="838" spans="1:19" x14ac:dyDescent="0.3">
      <c r="A838" s="4">
        <v>44709</v>
      </c>
      <c r="B838" s="5">
        <f t="shared" si="154"/>
        <v>5</v>
      </c>
      <c r="C838" s="5">
        <f t="shared" si="155"/>
        <v>2022</v>
      </c>
      <c r="D838" s="5" t="s">
        <v>797</v>
      </c>
      <c r="E838" s="5" t="str">
        <f>VLOOKUP(F838,'Set up'!$A$2:$C$70,2,FALSE)</f>
        <v>C00000021</v>
      </c>
      <c r="F838" s="1" t="s">
        <v>491</v>
      </c>
      <c r="G838" s="11" t="s">
        <v>654</v>
      </c>
      <c r="H838" s="5">
        <v>3</v>
      </c>
      <c r="I838" s="5" t="str">
        <f>VLOOKUP(F838,'Set up'!$A$2:$C$70,3,FALSE)</f>
        <v>Cash</v>
      </c>
      <c r="J838" s="5">
        <f>VLOOKUP(F838,'Set up'!$A$2:$D$70,4,FALSE)</f>
        <v>0</v>
      </c>
      <c r="K838" s="4">
        <f t="shared" si="156"/>
        <v>44709</v>
      </c>
      <c r="L838" s="5">
        <f t="shared" si="157"/>
        <v>5</v>
      </c>
      <c r="M838" s="5">
        <f t="shared" si="158"/>
        <v>2022</v>
      </c>
      <c r="N838" s="6">
        <v>864</v>
      </c>
      <c r="O838" s="6">
        <f t="shared" si="160"/>
        <v>-864</v>
      </c>
      <c r="P838" s="6">
        <f t="shared" si="148"/>
        <v>0</v>
      </c>
      <c r="Q838" s="7">
        <f t="shared" si="159"/>
        <v>1506721.6500000004</v>
      </c>
      <c r="R838" s="44" t="str">
        <f>VLOOKUP(F838,'Set up'!$A$2:$E$70,5,FALSE)</f>
        <v>PD Chq</v>
      </c>
      <c r="S838" s="1" t="s">
        <v>972</v>
      </c>
    </row>
    <row r="839" spans="1:19" x14ac:dyDescent="0.3">
      <c r="A839" s="4">
        <v>44709</v>
      </c>
      <c r="B839" s="5">
        <f t="shared" si="154"/>
        <v>5</v>
      </c>
      <c r="C839" s="5">
        <f t="shared" si="155"/>
        <v>2022</v>
      </c>
      <c r="D839" s="5" t="s">
        <v>797</v>
      </c>
      <c r="E839" s="5" t="str">
        <f>VLOOKUP(F839,'Set up'!$A$2:$C$70,2,FALSE)</f>
        <v>C00000021</v>
      </c>
      <c r="F839" s="1" t="s">
        <v>491</v>
      </c>
      <c r="G839" s="11" t="s">
        <v>666</v>
      </c>
      <c r="H839" s="5">
        <v>1</v>
      </c>
      <c r="I839" s="5" t="str">
        <f>VLOOKUP(F839,'Set up'!$A$2:$C$70,3,FALSE)</f>
        <v>Cash</v>
      </c>
      <c r="J839" s="5">
        <f>VLOOKUP(F839,'Set up'!$A$2:$D$70,4,FALSE)</f>
        <v>0</v>
      </c>
      <c r="K839" s="4">
        <f t="shared" si="156"/>
        <v>44709</v>
      </c>
      <c r="L839" s="5">
        <f t="shared" si="157"/>
        <v>5</v>
      </c>
      <c r="M839" s="5">
        <f t="shared" si="158"/>
        <v>2022</v>
      </c>
      <c r="N839" s="6">
        <v>90</v>
      </c>
      <c r="O839" s="6">
        <f t="shared" si="160"/>
        <v>-90</v>
      </c>
      <c r="P839" s="6">
        <f t="shared" si="148"/>
        <v>0</v>
      </c>
      <c r="Q839" s="7">
        <f t="shared" si="159"/>
        <v>1506811.6500000004</v>
      </c>
      <c r="R839" s="44" t="str">
        <f>VLOOKUP(F839,'Set up'!$A$2:$E$70,5,FALSE)</f>
        <v>PD Chq</v>
      </c>
      <c r="S839" s="1" t="s">
        <v>972</v>
      </c>
    </row>
    <row r="840" spans="1:19" x14ac:dyDescent="0.3">
      <c r="A840" s="4">
        <v>44709</v>
      </c>
      <c r="B840" s="5">
        <f t="shared" si="154"/>
        <v>5</v>
      </c>
      <c r="C840" s="5">
        <f t="shared" si="155"/>
        <v>2022</v>
      </c>
      <c r="D840" s="5" t="s">
        <v>797</v>
      </c>
      <c r="E840" s="5" t="str">
        <f>VLOOKUP(F840,'Set up'!$A$2:$C$70,2,FALSE)</f>
        <v>C00000021</v>
      </c>
      <c r="F840" s="1" t="s">
        <v>491</v>
      </c>
      <c r="G840" s="11" t="s">
        <v>800</v>
      </c>
      <c r="H840" s="5">
        <v>1</v>
      </c>
      <c r="I840" s="5" t="str">
        <f>VLOOKUP(F840,'Set up'!$A$2:$C$70,3,FALSE)</f>
        <v>Cash</v>
      </c>
      <c r="J840" s="5">
        <f>VLOOKUP(F840,'Set up'!$A$2:$D$70,4,FALSE)</f>
        <v>0</v>
      </c>
      <c r="K840" s="4">
        <f t="shared" si="156"/>
        <v>44709</v>
      </c>
      <c r="L840" s="5">
        <f t="shared" si="157"/>
        <v>5</v>
      </c>
      <c r="M840" s="5">
        <f t="shared" si="158"/>
        <v>2022</v>
      </c>
      <c r="N840" s="6">
        <v>219</v>
      </c>
      <c r="O840" s="6">
        <f t="shared" si="160"/>
        <v>-219</v>
      </c>
      <c r="P840" s="6">
        <f t="shared" si="148"/>
        <v>0</v>
      </c>
      <c r="Q840" s="7">
        <f t="shared" si="159"/>
        <v>1507030.6500000004</v>
      </c>
      <c r="R840" s="44" t="str">
        <f>VLOOKUP(F840,'Set up'!$A$2:$E$70,5,FALSE)</f>
        <v>PD Chq</v>
      </c>
      <c r="S840" s="1" t="s">
        <v>972</v>
      </c>
    </row>
    <row r="841" spans="1:19" x14ac:dyDescent="0.3">
      <c r="A841" s="4">
        <v>44714</v>
      </c>
      <c r="B841" s="5">
        <f t="shared" si="154"/>
        <v>6</v>
      </c>
      <c r="C841" s="5">
        <f t="shared" si="155"/>
        <v>2022</v>
      </c>
      <c r="D841" s="5" t="s">
        <v>826</v>
      </c>
      <c r="E841" s="5" t="str">
        <f>VLOOKUP(F841,'Set up'!$A$2:$C$70,2,FALSE)</f>
        <v>C00000020</v>
      </c>
      <c r="F841" s="1" t="s">
        <v>409</v>
      </c>
      <c r="G841" s="11" t="s">
        <v>716</v>
      </c>
      <c r="H841" s="5">
        <v>4</v>
      </c>
      <c r="I841" s="5" t="str">
        <f>VLOOKUP(F841,'Set up'!$A$2:$C$70,3,FALSE)</f>
        <v>Cash</v>
      </c>
      <c r="J841" s="5">
        <f>VLOOKUP(F841,'Set up'!$A$2:$D$70,4,FALSE)</f>
        <v>0</v>
      </c>
      <c r="K841" s="4">
        <f t="shared" si="156"/>
        <v>44714</v>
      </c>
      <c r="L841" s="5">
        <f t="shared" si="157"/>
        <v>6</v>
      </c>
      <c r="M841" s="5">
        <f t="shared" si="158"/>
        <v>2022</v>
      </c>
      <c r="N841" s="6">
        <v>8360</v>
      </c>
      <c r="O841" s="6">
        <f>-1301.8-7058.2</f>
        <v>-8360</v>
      </c>
      <c r="P841" s="6">
        <f t="shared" si="148"/>
        <v>0</v>
      </c>
      <c r="Q841" s="7">
        <f t="shared" si="159"/>
        <v>1515390.6500000004</v>
      </c>
      <c r="R841" s="44" t="str">
        <f>VLOOKUP(F841,'Set up'!$A$2:$E$70,5,FALSE)</f>
        <v>Trsf</v>
      </c>
      <c r="S841" s="1" t="s">
        <v>1156</v>
      </c>
    </row>
    <row r="842" spans="1:19" x14ac:dyDescent="0.3">
      <c r="A842" s="4">
        <v>44714</v>
      </c>
      <c r="B842" s="5">
        <f t="shared" si="154"/>
        <v>6</v>
      </c>
      <c r="C842" s="5">
        <f t="shared" si="155"/>
        <v>2022</v>
      </c>
      <c r="D842" s="5" t="s">
        <v>826</v>
      </c>
      <c r="E842" s="5" t="str">
        <f>VLOOKUP(F842,'Set up'!$A$2:$C$70,2,FALSE)</f>
        <v>C00000020</v>
      </c>
      <c r="F842" s="1" t="s">
        <v>409</v>
      </c>
      <c r="G842" s="11" t="s">
        <v>654</v>
      </c>
      <c r="H842" s="5">
        <v>6</v>
      </c>
      <c r="I842" s="5" t="str">
        <f>VLOOKUP(F842,'Set up'!$A$2:$C$70,3,FALSE)</f>
        <v>Cash</v>
      </c>
      <c r="J842" s="5">
        <f>VLOOKUP(F842,'Set up'!$A$2:$D$70,4,FALSE)</f>
        <v>0</v>
      </c>
      <c r="K842" s="4">
        <f t="shared" si="156"/>
        <v>44714</v>
      </c>
      <c r="L842" s="5">
        <f t="shared" si="157"/>
        <v>6</v>
      </c>
      <c r="M842" s="5">
        <f t="shared" si="158"/>
        <v>2022</v>
      </c>
      <c r="N842" s="6">
        <v>1764</v>
      </c>
      <c r="O842" s="6">
        <f t="shared" ref="O842:O850" si="161">-N842</f>
        <v>-1764</v>
      </c>
      <c r="P842" s="6">
        <f t="shared" si="148"/>
        <v>0</v>
      </c>
      <c r="Q842" s="7">
        <f t="shared" si="159"/>
        <v>1517154.6500000004</v>
      </c>
      <c r="R842" s="44" t="str">
        <f>VLOOKUP(F842,'Set up'!$A$2:$E$70,5,FALSE)</f>
        <v>Trsf</v>
      </c>
      <c r="S842" s="1" t="s">
        <v>1157</v>
      </c>
    </row>
    <row r="843" spans="1:19" x14ac:dyDescent="0.3">
      <c r="A843" s="4">
        <v>44714</v>
      </c>
      <c r="B843" s="5">
        <f t="shared" si="154"/>
        <v>6</v>
      </c>
      <c r="C843" s="5">
        <f t="shared" si="155"/>
        <v>2022</v>
      </c>
      <c r="D843" s="5" t="s">
        <v>826</v>
      </c>
      <c r="E843" s="5" t="str">
        <f>VLOOKUP(F843,'Set up'!$A$2:$C$70,2,FALSE)</f>
        <v>C00000020</v>
      </c>
      <c r="F843" s="1" t="s">
        <v>409</v>
      </c>
      <c r="G843" s="11" t="s">
        <v>792</v>
      </c>
      <c r="H843" s="5">
        <v>3</v>
      </c>
      <c r="I843" s="5" t="str">
        <f>VLOOKUP(F843,'Set up'!$A$2:$C$70,3,FALSE)</f>
        <v>Cash</v>
      </c>
      <c r="J843" s="5">
        <f>VLOOKUP(F843,'Set up'!$A$2:$D$70,4,FALSE)</f>
        <v>0</v>
      </c>
      <c r="K843" s="4">
        <f t="shared" si="156"/>
        <v>44714</v>
      </c>
      <c r="L843" s="5">
        <f t="shared" si="157"/>
        <v>6</v>
      </c>
      <c r="M843" s="5">
        <f t="shared" si="158"/>
        <v>2022</v>
      </c>
      <c r="N843" s="6">
        <v>1053</v>
      </c>
      <c r="O843" s="6">
        <f t="shared" si="161"/>
        <v>-1053</v>
      </c>
      <c r="P843" s="6">
        <f t="shared" si="148"/>
        <v>0</v>
      </c>
      <c r="Q843" s="7">
        <f t="shared" si="159"/>
        <v>1518207.6500000004</v>
      </c>
      <c r="R843" s="44" t="str">
        <f>VLOOKUP(F843,'Set up'!$A$2:$E$70,5,FALSE)</f>
        <v>Trsf</v>
      </c>
      <c r="S843" s="1" t="s">
        <v>1157</v>
      </c>
    </row>
    <row r="844" spans="1:19" x14ac:dyDescent="0.3">
      <c r="A844" s="4">
        <v>44714</v>
      </c>
      <c r="B844" s="5">
        <f t="shared" si="154"/>
        <v>6</v>
      </c>
      <c r="C844" s="5">
        <f t="shared" si="155"/>
        <v>2022</v>
      </c>
      <c r="D844" s="5" t="s">
        <v>826</v>
      </c>
      <c r="E844" s="5" t="str">
        <f>VLOOKUP(F844,'Set up'!$A$2:$C$70,2,FALSE)</f>
        <v>C00000020</v>
      </c>
      <c r="F844" s="1" t="s">
        <v>409</v>
      </c>
      <c r="G844" s="11" t="s">
        <v>791</v>
      </c>
      <c r="H844" s="5">
        <v>4</v>
      </c>
      <c r="I844" s="5" t="str">
        <f>VLOOKUP(F844,'Set up'!$A$2:$C$70,3,FALSE)</f>
        <v>Cash</v>
      </c>
      <c r="J844" s="5">
        <f>VLOOKUP(F844,'Set up'!$A$2:$D$70,4,FALSE)</f>
        <v>0</v>
      </c>
      <c r="K844" s="4">
        <f t="shared" si="156"/>
        <v>44714</v>
      </c>
      <c r="L844" s="5">
        <f t="shared" si="157"/>
        <v>6</v>
      </c>
      <c r="M844" s="5">
        <f t="shared" si="158"/>
        <v>2022</v>
      </c>
      <c r="N844" s="6">
        <v>250</v>
      </c>
      <c r="O844" s="6">
        <f>-124.8-125.2</f>
        <v>-250</v>
      </c>
      <c r="P844" s="6">
        <f t="shared" si="148"/>
        <v>0</v>
      </c>
      <c r="Q844" s="7">
        <f t="shared" si="159"/>
        <v>1518457.6500000004</v>
      </c>
      <c r="R844" s="44" t="str">
        <f>VLOOKUP(F844,'Set up'!$A$2:$E$70,5,FALSE)</f>
        <v>Trsf</v>
      </c>
      <c r="S844" s="1" t="s">
        <v>1158</v>
      </c>
    </row>
    <row r="845" spans="1:19" x14ac:dyDescent="0.3">
      <c r="A845" s="4">
        <v>44714</v>
      </c>
      <c r="B845" s="5">
        <f t="shared" si="154"/>
        <v>6</v>
      </c>
      <c r="C845" s="5">
        <f t="shared" si="155"/>
        <v>2022</v>
      </c>
      <c r="D845" s="5" t="s">
        <v>826</v>
      </c>
      <c r="E845" s="5" t="str">
        <f>VLOOKUP(F845,'Set up'!$A$2:$C$70,2,FALSE)</f>
        <v>C00000020</v>
      </c>
      <c r="F845" s="1" t="s">
        <v>409</v>
      </c>
      <c r="G845" s="11" t="s">
        <v>659</v>
      </c>
      <c r="H845" s="5">
        <v>1</v>
      </c>
      <c r="I845" s="5" t="str">
        <f>VLOOKUP(F845,'Set up'!$A$2:$C$70,3,FALSE)</f>
        <v>Cash</v>
      </c>
      <c r="J845" s="5">
        <f>VLOOKUP(F845,'Set up'!$A$2:$D$70,4,FALSE)</f>
        <v>0</v>
      </c>
      <c r="K845" s="4">
        <f t="shared" si="156"/>
        <v>44714</v>
      </c>
      <c r="L845" s="5">
        <f t="shared" si="157"/>
        <v>6</v>
      </c>
      <c r="M845" s="5">
        <f t="shared" si="158"/>
        <v>2022</v>
      </c>
      <c r="N845" s="6">
        <v>1000</v>
      </c>
      <c r="O845" s="6">
        <f t="shared" si="161"/>
        <v>-1000</v>
      </c>
      <c r="P845" s="6">
        <f t="shared" si="148"/>
        <v>0</v>
      </c>
      <c r="Q845" s="7">
        <f t="shared" si="159"/>
        <v>1519457.6500000004</v>
      </c>
      <c r="R845" s="44" t="str">
        <f>VLOOKUP(F845,'Set up'!$A$2:$E$70,5,FALSE)</f>
        <v>Trsf</v>
      </c>
      <c r="S845" s="1" t="s">
        <v>1159</v>
      </c>
    </row>
    <row r="846" spans="1:19" x14ac:dyDescent="0.3">
      <c r="A846" s="4">
        <v>44715</v>
      </c>
      <c r="B846" s="5">
        <f t="shared" si="154"/>
        <v>6</v>
      </c>
      <c r="C846" s="5">
        <f t="shared" si="155"/>
        <v>2022</v>
      </c>
      <c r="D846" s="5" t="s">
        <v>827</v>
      </c>
      <c r="E846" s="5" t="str">
        <f>VLOOKUP(F846,'Set up'!$A$2:$C$70,2,FALSE)</f>
        <v>C00000022</v>
      </c>
      <c r="F846" s="1" t="s">
        <v>637</v>
      </c>
      <c r="G846" s="11" t="s">
        <v>95</v>
      </c>
      <c r="H846" s="5">
        <v>1</v>
      </c>
      <c r="I846" s="5" t="str">
        <f>VLOOKUP(F846,'Set up'!$A$2:$C$70,3,FALSE)</f>
        <v>Cash</v>
      </c>
      <c r="J846" s="5">
        <f>VLOOKUP(F846,'Set up'!$A$2:$D$70,4,FALSE)</f>
        <v>0</v>
      </c>
      <c r="K846" s="4">
        <f t="shared" si="156"/>
        <v>44715</v>
      </c>
      <c r="L846" s="5">
        <f t="shared" si="157"/>
        <v>6</v>
      </c>
      <c r="M846" s="5">
        <f t="shared" si="158"/>
        <v>2022</v>
      </c>
      <c r="N846" s="6">
        <v>2112</v>
      </c>
      <c r="O846" s="6">
        <f>-1682.1-429.9</f>
        <v>-2112</v>
      </c>
      <c r="P846" s="6">
        <f t="shared" si="148"/>
        <v>0</v>
      </c>
      <c r="Q846" s="7">
        <f t="shared" si="159"/>
        <v>1521569.6500000004</v>
      </c>
      <c r="R846" s="44" t="str">
        <f>VLOOKUP(F846,'Set up'!$A$2:$E$70,5,FALSE)</f>
        <v>Trsf</v>
      </c>
      <c r="S846" s="1" t="s">
        <v>981</v>
      </c>
    </row>
    <row r="847" spans="1:19" x14ac:dyDescent="0.3">
      <c r="A847" s="4">
        <v>44716</v>
      </c>
      <c r="B847" s="5">
        <f t="shared" si="154"/>
        <v>6</v>
      </c>
      <c r="C847" s="5">
        <f t="shared" si="155"/>
        <v>2022</v>
      </c>
      <c r="D847" s="5" t="s">
        <v>828</v>
      </c>
      <c r="E847" s="5" t="str">
        <f>VLOOKUP(F847,'Set up'!$A$2:$C$70,2,FALSE)</f>
        <v>C00000020</v>
      </c>
      <c r="F847" s="1" t="s">
        <v>409</v>
      </c>
      <c r="G847" s="11" t="s">
        <v>716</v>
      </c>
      <c r="H847" s="5">
        <v>2</v>
      </c>
      <c r="I847" s="5" t="str">
        <f>VLOOKUP(F847,'Set up'!$A$2:$C$70,3,FALSE)</f>
        <v>Cash</v>
      </c>
      <c r="J847" s="5">
        <f>VLOOKUP(F847,'Set up'!$A$2:$D$70,4,FALSE)</f>
        <v>0</v>
      </c>
      <c r="K847" s="4">
        <f t="shared" si="156"/>
        <v>44716</v>
      </c>
      <c r="L847" s="5">
        <f t="shared" si="157"/>
        <v>6</v>
      </c>
      <c r="M847" s="5">
        <f t="shared" si="158"/>
        <v>2022</v>
      </c>
      <c r="N847" s="6">
        <v>4180</v>
      </c>
      <c r="O847" s="6">
        <f t="shared" si="161"/>
        <v>-4180</v>
      </c>
      <c r="P847" s="6">
        <f t="shared" si="148"/>
        <v>0</v>
      </c>
      <c r="Q847" s="7">
        <f t="shared" si="159"/>
        <v>1525749.6500000004</v>
      </c>
      <c r="R847" s="44" t="str">
        <f>VLOOKUP(F847,'Set up'!$A$2:$E$70,5,FALSE)</f>
        <v>Trsf</v>
      </c>
      <c r="S847" s="1" t="s">
        <v>1159</v>
      </c>
    </row>
    <row r="848" spans="1:19" x14ac:dyDescent="0.3">
      <c r="A848" s="4">
        <v>44716</v>
      </c>
      <c r="B848" s="5">
        <f t="shared" si="154"/>
        <v>6</v>
      </c>
      <c r="C848" s="5">
        <f t="shared" si="155"/>
        <v>2022</v>
      </c>
      <c r="D848" s="5" t="s">
        <v>828</v>
      </c>
      <c r="E848" s="5" t="str">
        <f>VLOOKUP(F848,'Set up'!$A$2:$C$70,2,FALSE)</f>
        <v>C00000020</v>
      </c>
      <c r="F848" s="1" t="s">
        <v>409</v>
      </c>
      <c r="G848" s="11" t="s">
        <v>654</v>
      </c>
      <c r="H848" s="5">
        <v>10</v>
      </c>
      <c r="I848" s="5" t="str">
        <f>VLOOKUP(F848,'Set up'!$A$2:$C$70,3,FALSE)</f>
        <v>Cash</v>
      </c>
      <c r="J848" s="5">
        <f>VLOOKUP(F848,'Set up'!$A$2:$D$70,4,FALSE)</f>
        <v>0</v>
      </c>
      <c r="K848" s="4">
        <f t="shared" si="156"/>
        <v>44716</v>
      </c>
      <c r="L848" s="5">
        <f t="shared" si="157"/>
        <v>6</v>
      </c>
      <c r="M848" s="5">
        <f t="shared" si="158"/>
        <v>2022</v>
      </c>
      <c r="N848" s="6">
        <v>2940</v>
      </c>
      <c r="O848" s="6">
        <f t="shared" si="161"/>
        <v>-2940</v>
      </c>
      <c r="P848" s="6">
        <f t="shared" si="148"/>
        <v>0</v>
      </c>
      <c r="Q848" s="7">
        <f t="shared" si="159"/>
        <v>1528689.6500000004</v>
      </c>
      <c r="R848" s="44" t="str">
        <f>VLOOKUP(F848,'Set up'!$A$2:$E$70,5,FALSE)</f>
        <v>Trsf</v>
      </c>
      <c r="S848" s="1" t="s">
        <v>1159</v>
      </c>
    </row>
    <row r="849" spans="1:20" x14ac:dyDescent="0.3">
      <c r="A849" s="4">
        <v>44716</v>
      </c>
      <c r="B849" s="5">
        <f t="shared" si="154"/>
        <v>6</v>
      </c>
      <c r="C849" s="5">
        <f t="shared" si="155"/>
        <v>2022</v>
      </c>
      <c r="D849" s="5" t="s">
        <v>828</v>
      </c>
      <c r="E849" s="5" t="str">
        <f>VLOOKUP(F849,'Set up'!$A$2:$C$70,2,FALSE)</f>
        <v>C00000020</v>
      </c>
      <c r="F849" s="1" t="s">
        <v>409</v>
      </c>
      <c r="G849" s="11" t="s">
        <v>792</v>
      </c>
      <c r="H849" s="5">
        <v>5</v>
      </c>
      <c r="I849" s="5" t="str">
        <f>VLOOKUP(F849,'Set up'!$A$2:$C$70,3,FALSE)</f>
        <v>Cash</v>
      </c>
      <c r="J849" s="5">
        <f>VLOOKUP(F849,'Set up'!$A$2:$D$70,4,FALSE)</f>
        <v>0</v>
      </c>
      <c r="K849" s="4">
        <f t="shared" si="156"/>
        <v>44716</v>
      </c>
      <c r="L849" s="5">
        <f t="shared" si="157"/>
        <v>6</v>
      </c>
      <c r="M849" s="5">
        <f t="shared" si="158"/>
        <v>2022</v>
      </c>
      <c r="N849" s="6">
        <v>1755</v>
      </c>
      <c r="O849" s="6">
        <f>-1754.8-0.2</f>
        <v>-1755</v>
      </c>
      <c r="P849" s="6">
        <f t="shared" si="148"/>
        <v>0</v>
      </c>
      <c r="Q849" s="7">
        <f t="shared" si="159"/>
        <v>1530444.6500000004</v>
      </c>
      <c r="R849" s="44" t="str">
        <f>VLOOKUP(F849,'Set up'!$A$2:$E$70,5,FALSE)</f>
        <v>Trsf</v>
      </c>
      <c r="S849" s="1" t="s">
        <v>1160</v>
      </c>
    </row>
    <row r="850" spans="1:20" x14ac:dyDescent="0.3">
      <c r="A850" s="4">
        <v>44716</v>
      </c>
      <c r="B850" s="5">
        <f t="shared" si="154"/>
        <v>6</v>
      </c>
      <c r="C850" s="5">
        <f t="shared" si="155"/>
        <v>2022</v>
      </c>
      <c r="D850" s="5" t="s">
        <v>828</v>
      </c>
      <c r="E850" s="5" t="str">
        <f>VLOOKUP(F850,'Set up'!$A$2:$C$70,2,FALSE)</f>
        <v>C00000020</v>
      </c>
      <c r="F850" s="1" t="s">
        <v>409</v>
      </c>
      <c r="G850" s="11" t="s">
        <v>791</v>
      </c>
      <c r="H850" s="5">
        <v>2</v>
      </c>
      <c r="I850" s="5" t="str">
        <f>VLOOKUP(F850,'Set up'!$A$2:$C$70,3,FALSE)</f>
        <v>Cash</v>
      </c>
      <c r="J850" s="5">
        <f>VLOOKUP(F850,'Set up'!$A$2:$D$70,4,FALSE)</f>
        <v>0</v>
      </c>
      <c r="K850" s="4">
        <f t="shared" si="156"/>
        <v>44716</v>
      </c>
      <c r="L850" s="5">
        <f t="shared" si="157"/>
        <v>6</v>
      </c>
      <c r="M850" s="5">
        <f t="shared" si="158"/>
        <v>2022</v>
      </c>
      <c r="N850" s="6">
        <v>125</v>
      </c>
      <c r="O850" s="6">
        <f t="shared" si="161"/>
        <v>-125</v>
      </c>
      <c r="P850" s="6">
        <f t="shared" si="148"/>
        <v>0</v>
      </c>
      <c r="Q850" s="7">
        <f t="shared" si="159"/>
        <v>1530569.6500000004</v>
      </c>
      <c r="R850" s="44" t="str">
        <f>VLOOKUP(F850,'Set up'!$A$2:$E$70,5,FALSE)</f>
        <v>Trsf</v>
      </c>
      <c r="S850" s="1" t="s">
        <v>1161</v>
      </c>
    </row>
    <row r="851" spans="1:20" x14ac:dyDescent="0.3">
      <c r="A851" s="4">
        <v>44719</v>
      </c>
      <c r="B851" s="5">
        <f t="shared" si="154"/>
        <v>6</v>
      </c>
      <c r="C851" s="5">
        <f t="shared" si="155"/>
        <v>2022</v>
      </c>
      <c r="D851" s="5" t="s">
        <v>829</v>
      </c>
      <c r="E851" s="5" t="str">
        <f>VLOOKUP(F851,'Set up'!$A$2:$C$70,2,FALSE)</f>
        <v>C00000001</v>
      </c>
      <c r="F851" s="1" t="s">
        <v>7</v>
      </c>
      <c r="G851" s="11" t="s">
        <v>716</v>
      </c>
      <c r="H851" s="5">
        <v>1</v>
      </c>
      <c r="I851" s="5" t="str">
        <f>VLOOKUP(F851,'Set up'!$A$2:$C$70,3,FALSE)</f>
        <v>Cash</v>
      </c>
      <c r="J851" s="5">
        <f>VLOOKUP(F851,'Set up'!$A$2:$D$70,4,FALSE)</f>
        <v>0</v>
      </c>
      <c r="K851" s="4">
        <f t="shared" si="156"/>
        <v>44719</v>
      </c>
      <c r="L851" s="5">
        <f t="shared" si="157"/>
        <v>6</v>
      </c>
      <c r="M851" s="5">
        <f t="shared" si="158"/>
        <v>2022</v>
      </c>
      <c r="N851" s="6">
        <v>2068</v>
      </c>
      <c r="O851" s="6">
        <f>-N851</f>
        <v>-2068</v>
      </c>
      <c r="P851" s="6">
        <f t="shared" si="148"/>
        <v>0</v>
      </c>
      <c r="Q851" s="7">
        <f t="shared" si="159"/>
        <v>1532637.6500000004</v>
      </c>
      <c r="R851" s="44" t="str">
        <f>VLOOKUP(F851,'Set up'!$A$2:$E$70,5,FALSE)</f>
        <v>Trsf</v>
      </c>
      <c r="S851" s="1" t="s">
        <v>840</v>
      </c>
    </row>
    <row r="852" spans="1:20" x14ac:dyDescent="0.3">
      <c r="A852" s="4">
        <v>44719</v>
      </c>
      <c r="B852" s="5">
        <f t="shared" si="154"/>
        <v>6</v>
      </c>
      <c r="C852" s="5">
        <f t="shared" si="155"/>
        <v>2022</v>
      </c>
      <c r="D852" s="5" t="s">
        <v>829</v>
      </c>
      <c r="E852" s="5" t="str">
        <f>VLOOKUP(F852,'Set up'!$A$2:$C$70,2,FALSE)</f>
        <v>C00000001</v>
      </c>
      <c r="F852" s="1" t="s">
        <v>7</v>
      </c>
      <c r="G852" s="11" t="s">
        <v>830</v>
      </c>
      <c r="H852" s="5">
        <v>1</v>
      </c>
      <c r="I852" s="5" t="str">
        <f>VLOOKUP(F852,'Set up'!$A$2:$C$70,3,FALSE)</f>
        <v>Cash</v>
      </c>
      <c r="J852" s="5">
        <f>VLOOKUP(F852,'Set up'!$A$2:$D$70,4,FALSE)</f>
        <v>0</v>
      </c>
      <c r="K852" s="4">
        <f t="shared" si="156"/>
        <v>44719</v>
      </c>
      <c r="L852" s="5">
        <f t="shared" si="157"/>
        <v>6</v>
      </c>
      <c r="M852" s="5">
        <f t="shared" si="158"/>
        <v>2022</v>
      </c>
      <c r="N852" s="6">
        <v>288</v>
      </c>
      <c r="O852" s="6">
        <f>-N852</f>
        <v>-288</v>
      </c>
      <c r="P852" s="6">
        <f t="shared" si="148"/>
        <v>0</v>
      </c>
      <c r="Q852" s="7">
        <f t="shared" si="159"/>
        <v>1532925.6500000004</v>
      </c>
      <c r="R852" s="44" t="str">
        <f>VLOOKUP(F852,'Set up'!$A$2:$E$70,5,FALSE)</f>
        <v>Trsf</v>
      </c>
      <c r="S852" s="1" t="s">
        <v>840</v>
      </c>
    </row>
    <row r="853" spans="1:20" x14ac:dyDescent="0.3">
      <c r="A853" s="4">
        <v>44721</v>
      </c>
      <c r="B853" s="5">
        <f t="shared" si="154"/>
        <v>6</v>
      </c>
      <c r="C853" s="5">
        <f t="shared" si="155"/>
        <v>2022</v>
      </c>
      <c r="D853" s="5" t="s">
        <v>831</v>
      </c>
      <c r="E853" s="5" t="str">
        <f>VLOOKUP(F853,'Set up'!$A$2:$C$70,2,FALSE)</f>
        <v>C00000010</v>
      </c>
      <c r="F853" s="1" t="s">
        <v>62</v>
      </c>
      <c r="G853" s="11" t="s">
        <v>722</v>
      </c>
      <c r="H853" s="5">
        <v>5</v>
      </c>
      <c r="I853" s="5">
        <f>VLOOKUP(F853,'Set up'!$A$2:$C$70,3,FALSE)</f>
        <v>120</v>
      </c>
      <c r="J853" s="5">
        <f>VLOOKUP(F853,'Set up'!$A$2:$D$70,4,FALSE)</f>
        <v>120</v>
      </c>
      <c r="K853" s="4">
        <f t="shared" si="156"/>
        <v>44841</v>
      </c>
      <c r="L853" s="5">
        <f t="shared" si="157"/>
        <v>10</v>
      </c>
      <c r="M853" s="5">
        <f t="shared" si="158"/>
        <v>2022</v>
      </c>
      <c r="N853" s="6">
        <v>9900</v>
      </c>
      <c r="O853" s="6">
        <f t="shared" ref="O853:O857" si="162">-N853</f>
        <v>-9900</v>
      </c>
      <c r="P853" s="6">
        <f t="shared" ref="P853:P916" si="163">SUM(N853+O853)</f>
        <v>0</v>
      </c>
      <c r="Q853" s="7">
        <f t="shared" si="159"/>
        <v>1542825.6500000004</v>
      </c>
      <c r="R853" s="44" t="str">
        <f>VLOOKUP(F853,'Set up'!$A$2:$E$70,5,FALSE)</f>
        <v>Trsf</v>
      </c>
      <c r="S853" s="1" t="s">
        <v>977</v>
      </c>
      <c r="T853" s="91"/>
    </row>
    <row r="854" spans="1:20" x14ac:dyDescent="0.3">
      <c r="A854" s="4">
        <v>44721</v>
      </c>
      <c r="B854" s="5">
        <f t="shared" si="154"/>
        <v>6</v>
      </c>
      <c r="C854" s="5">
        <f t="shared" si="155"/>
        <v>2022</v>
      </c>
      <c r="D854" s="5" t="s">
        <v>831</v>
      </c>
      <c r="E854" s="5" t="str">
        <f>VLOOKUP(F854,'Set up'!$A$2:$C$70,2,FALSE)</f>
        <v>C00000010</v>
      </c>
      <c r="F854" s="1" t="s">
        <v>62</v>
      </c>
      <c r="G854" s="11" t="s">
        <v>654</v>
      </c>
      <c r="H854" s="5">
        <v>5</v>
      </c>
      <c r="I854" s="5">
        <f>VLOOKUP(F854,'Set up'!$A$2:$C$70,3,FALSE)</f>
        <v>120</v>
      </c>
      <c r="J854" s="5">
        <f>VLOOKUP(F854,'Set up'!$A$2:$D$70,4,FALSE)</f>
        <v>120</v>
      </c>
      <c r="K854" s="4">
        <f t="shared" si="156"/>
        <v>44841</v>
      </c>
      <c r="L854" s="5">
        <f t="shared" si="157"/>
        <v>10</v>
      </c>
      <c r="M854" s="5">
        <f t="shared" si="158"/>
        <v>2022</v>
      </c>
      <c r="N854" s="6">
        <v>1425</v>
      </c>
      <c r="O854" s="6">
        <f t="shared" si="162"/>
        <v>-1425</v>
      </c>
      <c r="P854" s="6">
        <f t="shared" si="163"/>
        <v>0</v>
      </c>
      <c r="Q854" s="7">
        <f t="shared" si="159"/>
        <v>1544250.6500000004</v>
      </c>
      <c r="R854" s="44" t="str">
        <f>VLOOKUP(F854,'Set up'!$A$2:$E$70,5,FALSE)</f>
        <v>Trsf</v>
      </c>
      <c r="S854" s="1" t="s">
        <v>977</v>
      </c>
    </row>
    <row r="855" spans="1:20" x14ac:dyDescent="0.3">
      <c r="A855" s="4">
        <v>44721</v>
      </c>
      <c r="B855" s="5">
        <f t="shared" si="154"/>
        <v>6</v>
      </c>
      <c r="C855" s="5">
        <f t="shared" si="155"/>
        <v>2022</v>
      </c>
      <c r="D855" s="5" t="s">
        <v>831</v>
      </c>
      <c r="E855" s="5" t="str">
        <f>VLOOKUP(F855,'Set up'!$A$2:$C$70,2,FALSE)</f>
        <v>C00000010</v>
      </c>
      <c r="F855" s="1" t="s">
        <v>62</v>
      </c>
      <c r="G855" s="11" t="s">
        <v>791</v>
      </c>
      <c r="H855" s="5">
        <v>10</v>
      </c>
      <c r="I855" s="5">
        <f>VLOOKUP(F855,'Set up'!$A$2:$C$70,3,FALSE)</f>
        <v>120</v>
      </c>
      <c r="J855" s="5">
        <f>VLOOKUP(F855,'Set up'!$A$2:$D$70,4,FALSE)</f>
        <v>120</v>
      </c>
      <c r="K855" s="4">
        <f t="shared" si="156"/>
        <v>44841</v>
      </c>
      <c r="L855" s="5">
        <f t="shared" si="157"/>
        <v>10</v>
      </c>
      <c r="M855" s="5">
        <f t="shared" si="158"/>
        <v>2022</v>
      </c>
      <c r="N855" s="6">
        <v>550</v>
      </c>
      <c r="O855" s="6">
        <f t="shared" si="162"/>
        <v>-550</v>
      </c>
      <c r="P855" s="6">
        <f t="shared" si="163"/>
        <v>0</v>
      </c>
      <c r="Q855" s="7">
        <f t="shared" si="159"/>
        <v>1544800.6500000004</v>
      </c>
      <c r="R855" s="44" t="str">
        <f>VLOOKUP(F855,'Set up'!$A$2:$E$70,5,FALSE)</f>
        <v>Trsf</v>
      </c>
      <c r="S855" s="1" t="s">
        <v>977</v>
      </c>
    </row>
    <row r="856" spans="1:20" x14ac:dyDescent="0.3">
      <c r="A856" s="4">
        <v>44721</v>
      </c>
      <c r="B856" s="5">
        <f t="shared" si="154"/>
        <v>6</v>
      </c>
      <c r="C856" s="5">
        <f t="shared" si="155"/>
        <v>2022</v>
      </c>
      <c r="D856" s="5" t="s">
        <v>831</v>
      </c>
      <c r="E856" s="5" t="str">
        <f>VLOOKUP(F856,'Set up'!$A$2:$C$70,2,FALSE)</f>
        <v>C00000010</v>
      </c>
      <c r="F856" s="1" t="s">
        <v>62</v>
      </c>
      <c r="G856" s="11" t="s">
        <v>566</v>
      </c>
      <c r="H856" s="5">
        <v>4</v>
      </c>
      <c r="I856" s="5">
        <f>VLOOKUP(F856,'Set up'!$A$2:$C$70,3,FALSE)</f>
        <v>120</v>
      </c>
      <c r="J856" s="5">
        <f>VLOOKUP(F856,'Set up'!$A$2:$D$70,4,FALSE)</f>
        <v>120</v>
      </c>
      <c r="K856" s="4">
        <f t="shared" si="156"/>
        <v>44841</v>
      </c>
      <c r="L856" s="5">
        <f t="shared" si="157"/>
        <v>10</v>
      </c>
      <c r="M856" s="5">
        <f t="shared" si="158"/>
        <v>2022</v>
      </c>
      <c r="N856" s="6">
        <v>420</v>
      </c>
      <c r="O856" s="6">
        <f t="shared" si="162"/>
        <v>-420</v>
      </c>
      <c r="P856" s="6">
        <f t="shared" si="163"/>
        <v>0</v>
      </c>
      <c r="Q856" s="7">
        <f t="shared" si="159"/>
        <v>1545220.6500000004</v>
      </c>
      <c r="R856" s="44" t="str">
        <f>VLOOKUP(F856,'Set up'!$A$2:$E$70,5,FALSE)</f>
        <v>Trsf</v>
      </c>
      <c r="S856" s="1" t="s">
        <v>977</v>
      </c>
    </row>
    <row r="857" spans="1:20" x14ac:dyDescent="0.3">
      <c r="A857" s="4">
        <v>44721</v>
      </c>
      <c r="B857" s="5">
        <f t="shared" si="154"/>
        <v>6</v>
      </c>
      <c r="C857" s="5">
        <f t="shared" si="155"/>
        <v>2022</v>
      </c>
      <c r="D857" s="5" t="s">
        <v>831</v>
      </c>
      <c r="E857" s="5" t="str">
        <f>VLOOKUP(F857,'Set up'!$A$2:$C$70,2,FALSE)</f>
        <v>C00000010</v>
      </c>
      <c r="F857" s="1" t="s">
        <v>62</v>
      </c>
      <c r="G857" s="11" t="s">
        <v>614</v>
      </c>
      <c r="H857" s="5">
        <v>1</v>
      </c>
      <c r="I857" s="5">
        <f>VLOOKUP(F857,'Set up'!$A$2:$C$70,3,FALSE)</f>
        <v>120</v>
      </c>
      <c r="J857" s="5">
        <f>VLOOKUP(F857,'Set up'!$A$2:$D$70,4,FALSE)</f>
        <v>120</v>
      </c>
      <c r="K857" s="4">
        <f t="shared" si="156"/>
        <v>44841</v>
      </c>
      <c r="L857" s="5">
        <f t="shared" si="157"/>
        <v>10</v>
      </c>
      <c r="M857" s="5">
        <f t="shared" si="158"/>
        <v>2022</v>
      </c>
      <c r="N857" s="6">
        <v>395</v>
      </c>
      <c r="O857" s="6">
        <f t="shared" si="162"/>
        <v>-395</v>
      </c>
      <c r="P857" s="6">
        <f t="shared" si="163"/>
        <v>0</v>
      </c>
      <c r="Q857" s="7">
        <f t="shared" si="159"/>
        <v>1545615.6500000004</v>
      </c>
      <c r="R857" s="44" t="str">
        <f>VLOOKUP(F857,'Set up'!$A$2:$E$70,5,FALSE)</f>
        <v>Trsf</v>
      </c>
      <c r="S857" s="1" t="s">
        <v>977</v>
      </c>
    </row>
    <row r="858" spans="1:20" x14ac:dyDescent="0.3">
      <c r="A858" s="4">
        <v>44721</v>
      </c>
      <c r="B858" s="5">
        <f t="shared" si="154"/>
        <v>6</v>
      </c>
      <c r="C858" s="5">
        <f t="shared" si="155"/>
        <v>2022</v>
      </c>
      <c r="D858" s="5" t="s">
        <v>832</v>
      </c>
      <c r="E858" s="5" t="str">
        <f>VLOOKUP(F858,'Set up'!$A$2:$C$70,2,FALSE)</f>
        <v>C00000022</v>
      </c>
      <c r="F858" s="1" t="s">
        <v>637</v>
      </c>
      <c r="G858" s="11" t="s">
        <v>95</v>
      </c>
      <c r="H858" s="5">
        <v>1</v>
      </c>
      <c r="I858" s="5" t="str">
        <f>VLOOKUP(F858,'Set up'!$A$2:$C$70,3,FALSE)</f>
        <v>Cash</v>
      </c>
      <c r="J858" s="5">
        <f>VLOOKUP(F858,'Set up'!$A$2:$D$70,4,FALSE)</f>
        <v>0</v>
      </c>
      <c r="K858" s="4">
        <f t="shared" si="156"/>
        <v>44721</v>
      </c>
      <c r="L858" s="5">
        <f t="shared" si="157"/>
        <v>6</v>
      </c>
      <c r="M858" s="5">
        <f t="shared" si="158"/>
        <v>2022</v>
      </c>
      <c r="N858" s="6">
        <v>2112</v>
      </c>
      <c r="O858" s="6">
        <f>-570.1-1541.9</f>
        <v>-2112</v>
      </c>
      <c r="P858" s="6">
        <f t="shared" si="163"/>
        <v>0</v>
      </c>
      <c r="Q858" s="7">
        <f t="shared" si="159"/>
        <v>1547727.6500000004</v>
      </c>
      <c r="R858" s="44" t="str">
        <f>VLOOKUP(F858,'Set up'!$A$2:$E$70,5,FALSE)</f>
        <v>Trsf</v>
      </c>
      <c r="S858" s="1" t="s">
        <v>983</v>
      </c>
    </row>
    <row r="859" spans="1:20" x14ac:dyDescent="0.3">
      <c r="A859" s="4">
        <v>44722</v>
      </c>
      <c r="B859" s="5">
        <f t="shared" si="154"/>
        <v>6</v>
      </c>
      <c r="C859" s="5">
        <f t="shared" si="155"/>
        <v>2022</v>
      </c>
      <c r="D859" s="5" t="s">
        <v>833</v>
      </c>
      <c r="E859" s="5" t="str">
        <f>VLOOKUP(F859,'Set up'!$A$2:$C$70,2,FALSE)</f>
        <v>C00000021</v>
      </c>
      <c r="F859" s="1" t="s">
        <v>491</v>
      </c>
      <c r="G859" s="11" t="s">
        <v>716</v>
      </c>
      <c r="H859" s="5">
        <v>1</v>
      </c>
      <c r="I859" s="5" t="str">
        <f>VLOOKUP(F859,'Set up'!$A$2:$C$70,3,FALSE)</f>
        <v>Cash</v>
      </c>
      <c r="J859" s="5">
        <f>VLOOKUP(F859,'Set up'!$A$2:$D$70,4,FALSE)</f>
        <v>0</v>
      </c>
      <c r="K859" s="4">
        <f t="shared" si="156"/>
        <v>44722</v>
      </c>
      <c r="L859" s="5">
        <f t="shared" si="157"/>
        <v>6</v>
      </c>
      <c r="M859" s="5">
        <f t="shared" si="158"/>
        <v>2022</v>
      </c>
      <c r="N859" s="6">
        <v>2068</v>
      </c>
      <c r="O859" s="6">
        <f t="shared" ref="O859:O864" si="164">-N859</f>
        <v>-2068</v>
      </c>
      <c r="P859" s="6">
        <f t="shared" si="163"/>
        <v>0</v>
      </c>
      <c r="Q859" s="7">
        <f t="shared" si="159"/>
        <v>1549795.6500000004</v>
      </c>
      <c r="R859" s="44" t="str">
        <f>VLOOKUP(F859,'Set up'!$A$2:$E$70,5,FALSE)</f>
        <v>PD Chq</v>
      </c>
      <c r="S859" s="1" t="s">
        <v>975</v>
      </c>
    </row>
    <row r="860" spans="1:20" x14ac:dyDescent="0.3">
      <c r="A860" s="4">
        <v>44722</v>
      </c>
      <c r="B860" s="5">
        <f t="shared" si="154"/>
        <v>6</v>
      </c>
      <c r="C860" s="5">
        <f t="shared" si="155"/>
        <v>2022</v>
      </c>
      <c r="D860" s="5" t="s">
        <v>833</v>
      </c>
      <c r="E860" s="5" t="str">
        <f>VLOOKUP(F860,'Set up'!$A$2:$C$70,2,FALSE)</f>
        <v>C00000021</v>
      </c>
      <c r="F860" s="1" t="s">
        <v>491</v>
      </c>
      <c r="G860" s="11" t="s">
        <v>654</v>
      </c>
      <c r="H860" s="5">
        <v>2</v>
      </c>
      <c r="I860" s="5" t="str">
        <f>VLOOKUP(F860,'Set up'!$A$2:$C$70,3,FALSE)</f>
        <v>Cash</v>
      </c>
      <c r="J860" s="5">
        <f>VLOOKUP(F860,'Set up'!$A$2:$D$70,4,FALSE)</f>
        <v>0</v>
      </c>
      <c r="K860" s="4">
        <f t="shared" si="156"/>
        <v>44722</v>
      </c>
      <c r="L860" s="5">
        <f t="shared" si="157"/>
        <v>6</v>
      </c>
      <c r="M860" s="5">
        <f t="shared" si="158"/>
        <v>2022</v>
      </c>
      <c r="N860" s="6">
        <v>588</v>
      </c>
      <c r="O860" s="6">
        <f t="shared" si="164"/>
        <v>-588</v>
      </c>
      <c r="P860" s="6">
        <f t="shared" si="163"/>
        <v>0</v>
      </c>
      <c r="Q860" s="7">
        <f t="shared" si="159"/>
        <v>1550383.6500000004</v>
      </c>
      <c r="R860" s="44" t="str">
        <f>VLOOKUP(F860,'Set up'!$A$2:$E$70,5,FALSE)</f>
        <v>PD Chq</v>
      </c>
      <c r="S860" s="1" t="s">
        <v>975</v>
      </c>
    </row>
    <row r="861" spans="1:20" x14ac:dyDescent="0.3">
      <c r="A861" s="4">
        <v>44722</v>
      </c>
      <c r="B861" s="5">
        <f t="shared" si="154"/>
        <v>6</v>
      </c>
      <c r="C861" s="5">
        <f t="shared" si="155"/>
        <v>2022</v>
      </c>
      <c r="D861" s="5" t="s">
        <v>833</v>
      </c>
      <c r="E861" s="5" t="str">
        <f>VLOOKUP(F861,'Set up'!$A$2:$C$70,2,FALSE)</f>
        <v>C00000021</v>
      </c>
      <c r="F861" s="1" t="s">
        <v>491</v>
      </c>
      <c r="G861" s="11" t="s">
        <v>666</v>
      </c>
      <c r="H861" s="5">
        <v>1</v>
      </c>
      <c r="I861" s="5" t="str">
        <f>VLOOKUP(F861,'Set up'!$A$2:$C$70,3,FALSE)</f>
        <v>Cash</v>
      </c>
      <c r="J861" s="5">
        <f>VLOOKUP(F861,'Set up'!$A$2:$D$70,4,FALSE)</f>
        <v>0</v>
      </c>
      <c r="K861" s="4">
        <f t="shared" si="156"/>
        <v>44722</v>
      </c>
      <c r="L861" s="5">
        <f t="shared" si="157"/>
        <v>6</v>
      </c>
      <c r="M861" s="5">
        <f t="shared" si="158"/>
        <v>2022</v>
      </c>
      <c r="N861" s="6">
        <v>90</v>
      </c>
      <c r="O861" s="6">
        <f t="shared" si="164"/>
        <v>-90</v>
      </c>
      <c r="P861" s="6">
        <f t="shared" si="163"/>
        <v>0</v>
      </c>
      <c r="Q861" s="7">
        <f t="shared" si="159"/>
        <v>1550473.6500000004</v>
      </c>
      <c r="R861" s="44" t="str">
        <f>VLOOKUP(F861,'Set up'!$A$2:$E$70,5,FALSE)</f>
        <v>PD Chq</v>
      </c>
      <c r="S861" s="1" t="s">
        <v>975</v>
      </c>
    </row>
    <row r="862" spans="1:20" x14ac:dyDescent="0.3">
      <c r="A862" s="4">
        <v>44723</v>
      </c>
      <c r="B862" s="5">
        <f t="shared" si="154"/>
        <v>6</v>
      </c>
      <c r="C862" s="5">
        <f t="shared" si="155"/>
        <v>2022</v>
      </c>
      <c r="D862" s="5" t="s">
        <v>834</v>
      </c>
      <c r="E862" s="5" t="str">
        <f>VLOOKUP(F862,'Set up'!$A$2:$C$70,2,FALSE)</f>
        <v>C00000020</v>
      </c>
      <c r="F862" s="1" t="s">
        <v>409</v>
      </c>
      <c r="G862" s="11" t="s">
        <v>716</v>
      </c>
      <c r="H862" s="5">
        <v>2</v>
      </c>
      <c r="I862" s="5" t="str">
        <f>VLOOKUP(F862,'Set up'!$A$2:$C$70,3,FALSE)</f>
        <v>Cash</v>
      </c>
      <c r="J862" s="5">
        <f>VLOOKUP(F862,'Set up'!$A$2:$D$70,4,FALSE)</f>
        <v>0</v>
      </c>
      <c r="K862" s="4">
        <f t="shared" si="156"/>
        <v>44723</v>
      </c>
      <c r="L862" s="5">
        <f t="shared" si="157"/>
        <v>6</v>
      </c>
      <c r="M862" s="5">
        <f t="shared" si="158"/>
        <v>2022</v>
      </c>
      <c r="N862" s="6">
        <v>4180</v>
      </c>
      <c r="O862" s="6">
        <f t="shared" si="164"/>
        <v>-4180</v>
      </c>
      <c r="P862" s="6">
        <f t="shared" si="163"/>
        <v>0</v>
      </c>
      <c r="Q862" s="7">
        <f t="shared" si="159"/>
        <v>1554653.6500000004</v>
      </c>
      <c r="R862" s="44" t="str">
        <f>VLOOKUP(F862,'Set up'!$A$2:$E$70,5,FALSE)</f>
        <v>Trsf</v>
      </c>
      <c r="S862" s="1" t="s">
        <v>1161</v>
      </c>
    </row>
    <row r="863" spans="1:20" x14ac:dyDescent="0.3">
      <c r="A863" s="4">
        <v>44723</v>
      </c>
      <c r="B863" s="5">
        <f t="shared" si="154"/>
        <v>6</v>
      </c>
      <c r="C863" s="5">
        <f t="shared" si="155"/>
        <v>2022</v>
      </c>
      <c r="D863" s="5" t="s">
        <v>834</v>
      </c>
      <c r="E863" s="5" t="str">
        <f>VLOOKUP(F863,'Set up'!$A$2:$C$70,2,FALSE)</f>
        <v>C00000020</v>
      </c>
      <c r="F863" s="1" t="s">
        <v>409</v>
      </c>
      <c r="G863" s="11" t="s">
        <v>654</v>
      </c>
      <c r="H863" s="5">
        <v>1</v>
      </c>
      <c r="I863" s="5" t="str">
        <f>VLOOKUP(F863,'Set up'!$A$2:$C$70,3,FALSE)</f>
        <v>Cash</v>
      </c>
      <c r="J863" s="5">
        <f>VLOOKUP(F863,'Set up'!$A$2:$D$70,4,FALSE)</f>
        <v>0</v>
      </c>
      <c r="K863" s="4">
        <f t="shared" si="156"/>
        <v>44723</v>
      </c>
      <c r="L863" s="5">
        <f t="shared" si="157"/>
        <v>6</v>
      </c>
      <c r="M863" s="5">
        <f t="shared" si="158"/>
        <v>2022</v>
      </c>
      <c r="N863" s="6">
        <v>294</v>
      </c>
      <c r="O863" s="6">
        <f t="shared" si="164"/>
        <v>-294</v>
      </c>
      <c r="P863" s="6">
        <f t="shared" si="163"/>
        <v>0</v>
      </c>
      <c r="Q863" s="7">
        <f t="shared" si="159"/>
        <v>1554947.6500000004</v>
      </c>
      <c r="R863" s="44" t="str">
        <f>VLOOKUP(F863,'Set up'!$A$2:$E$70,5,FALSE)</f>
        <v>Trsf</v>
      </c>
      <c r="S863" s="1" t="s">
        <v>1161</v>
      </c>
    </row>
    <row r="864" spans="1:20" x14ac:dyDescent="0.3">
      <c r="A864" s="4">
        <v>44723</v>
      </c>
      <c r="B864" s="5">
        <f t="shared" si="154"/>
        <v>6</v>
      </c>
      <c r="C864" s="5">
        <f t="shared" si="155"/>
        <v>2022</v>
      </c>
      <c r="D864" s="5" t="s">
        <v>834</v>
      </c>
      <c r="E864" s="5" t="str">
        <f>VLOOKUP(F864,'Set up'!$A$2:$C$70,2,FALSE)</f>
        <v>C00000020</v>
      </c>
      <c r="F864" s="1" t="s">
        <v>409</v>
      </c>
      <c r="G864" s="11" t="s">
        <v>792</v>
      </c>
      <c r="H864" s="5">
        <v>1</v>
      </c>
      <c r="I864" s="5" t="str">
        <f>VLOOKUP(F864,'Set up'!$A$2:$C$70,3,FALSE)</f>
        <v>Cash</v>
      </c>
      <c r="J864" s="5">
        <f>VLOOKUP(F864,'Set up'!$A$2:$D$70,4,FALSE)</f>
        <v>0</v>
      </c>
      <c r="K864" s="4">
        <f t="shared" si="156"/>
        <v>44723</v>
      </c>
      <c r="L864" s="5">
        <f t="shared" si="157"/>
        <v>6</v>
      </c>
      <c r="M864" s="5">
        <f t="shared" si="158"/>
        <v>2022</v>
      </c>
      <c r="N864" s="6">
        <v>351</v>
      </c>
      <c r="O864" s="6">
        <f t="shared" si="164"/>
        <v>-351</v>
      </c>
      <c r="P864" s="6">
        <f t="shared" si="163"/>
        <v>0</v>
      </c>
      <c r="Q864" s="7">
        <f t="shared" si="159"/>
        <v>1555298.6500000004</v>
      </c>
      <c r="R864" s="44" t="str">
        <f>VLOOKUP(F864,'Set up'!$A$2:$E$70,5,FALSE)</f>
        <v>Trsf</v>
      </c>
      <c r="S864" s="1" t="s">
        <v>1161</v>
      </c>
    </row>
    <row r="865" spans="1:19" x14ac:dyDescent="0.3">
      <c r="A865" s="4">
        <v>44723</v>
      </c>
      <c r="B865" s="5">
        <f t="shared" si="154"/>
        <v>6</v>
      </c>
      <c r="C865" s="5">
        <f t="shared" si="155"/>
        <v>2022</v>
      </c>
      <c r="D865" s="5" t="s">
        <v>834</v>
      </c>
      <c r="E865" s="5" t="str">
        <f>VLOOKUP(F865,'Set up'!$A$2:$C$70,2,FALSE)</f>
        <v>C00000020</v>
      </c>
      <c r="F865" s="1" t="s">
        <v>409</v>
      </c>
      <c r="G865" s="11" t="s">
        <v>791</v>
      </c>
      <c r="H865" s="5">
        <v>2</v>
      </c>
      <c r="I865" s="5" t="str">
        <f>VLOOKUP(F865,'Set up'!$A$2:$C$70,3,FALSE)</f>
        <v>Cash</v>
      </c>
      <c r="J865" s="5">
        <f>VLOOKUP(F865,'Set up'!$A$2:$D$70,4,FALSE)</f>
        <v>0</v>
      </c>
      <c r="K865" s="4">
        <f t="shared" si="156"/>
        <v>44723</v>
      </c>
      <c r="L865" s="5">
        <f t="shared" si="157"/>
        <v>6</v>
      </c>
      <c r="M865" s="5">
        <f t="shared" si="158"/>
        <v>2022</v>
      </c>
      <c r="N865" s="6">
        <v>125</v>
      </c>
      <c r="O865" s="6">
        <f>-49.8-75.2</f>
        <v>-125</v>
      </c>
      <c r="P865" s="6">
        <f t="shared" si="163"/>
        <v>0</v>
      </c>
      <c r="Q865" s="7">
        <f t="shared" si="159"/>
        <v>1555423.6500000004</v>
      </c>
      <c r="R865" s="44" t="str">
        <f>VLOOKUP(F865,'Set up'!$A$2:$E$70,5,FALSE)</f>
        <v>Trsf</v>
      </c>
      <c r="S865" s="1" t="s">
        <v>1162</v>
      </c>
    </row>
    <row r="866" spans="1:19" x14ac:dyDescent="0.3">
      <c r="A866" s="4">
        <v>44725</v>
      </c>
      <c r="B866" s="5">
        <f t="shared" si="154"/>
        <v>6</v>
      </c>
      <c r="C866" s="5">
        <f t="shared" si="155"/>
        <v>2022</v>
      </c>
      <c r="D866" s="5" t="s">
        <v>835</v>
      </c>
      <c r="E866" s="5" t="str">
        <f>VLOOKUP(F866,'Set up'!$A$2:$C$70,2,FALSE)</f>
        <v>C00000023</v>
      </c>
      <c r="F866" s="1" t="s">
        <v>665</v>
      </c>
      <c r="G866" s="11" t="s">
        <v>705</v>
      </c>
      <c r="H866" s="5">
        <v>4</v>
      </c>
      <c r="I866" s="5" t="str">
        <f>VLOOKUP(F866,'Set up'!$A$2:$C$70,3,FALSE)</f>
        <v>Cash</v>
      </c>
      <c r="J866" s="5">
        <f>VLOOKUP(F866,'Set up'!$A$2:$D$70,4,FALSE)</f>
        <v>0</v>
      </c>
      <c r="K866" s="4">
        <f t="shared" si="156"/>
        <v>44725</v>
      </c>
      <c r="L866" s="5">
        <f t="shared" si="157"/>
        <v>6</v>
      </c>
      <c r="M866" s="5">
        <f t="shared" si="158"/>
        <v>2022</v>
      </c>
      <c r="N866" s="6">
        <v>1400</v>
      </c>
      <c r="O866" s="6">
        <f t="shared" ref="O866:O877" si="165">-N866</f>
        <v>-1400</v>
      </c>
      <c r="P866" s="6">
        <f t="shared" si="163"/>
        <v>0</v>
      </c>
      <c r="Q866" s="7">
        <f t="shared" si="159"/>
        <v>1556823.6500000004</v>
      </c>
      <c r="R866" s="44" t="str">
        <f>VLOOKUP(F866,'Set up'!$A$2:$E$70,5,FALSE)</f>
        <v>Trsf</v>
      </c>
      <c r="S866" s="1" t="s">
        <v>841</v>
      </c>
    </row>
    <row r="867" spans="1:19" x14ac:dyDescent="0.3">
      <c r="A867" s="4">
        <v>44725</v>
      </c>
      <c r="B867" s="5">
        <f t="shared" si="154"/>
        <v>6</v>
      </c>
      <c r="C867" s="5">
        <f t="shared" si="155"/>
        <v>2022</v>
      </c>
      <c r="D867" s="5" t="s">
        <v>835</v>
      </c>
      <c r="E867" s="5" t="str">
        <f>VLOOKUP(F867,'Set up'!$A$2:$C$70,2,FALSE)</f>
        <v>C00000023</v>
      </c>
      <c r="F867" s="1" t="s">
        <v>665</v>
      </c>
      <c r="G867" s="11" t="s">
        <v>654</v>
      </c>
      <c r="H867" s="5">
        <v>2</v>
      </c>
      <c r="I867" s="5" t="str">
        <f>VLOOKUP(F867,'Set up'!$A$2:$C$70,3,FALSE)</f>
        <v>Cash</v>
      </c>
      <c r="J867" s="5">
        <f>VLOOKUP(F867,'Set up'!$A$2:$D$70,4,FALSE)</f>
        <v>0</v>
      </c>
      <c r="K867" s="4">
        <f t="shared" si="156"/>
        <v>44725</v>
      </c>
      <c r="L867" s="5">
        <f t="shared" si="157"/>
        <v>6</v>
      </c>
      <c r="M867" s="5">
        <f t="shared" si="158"/>
        <v>2022</v>
      </c>
      <c r="N867" s="6">
        <v>588</v>
      </c>
      <c r="O867" s="6">
        <f t="shared" si="165"/>
        <v>-588</v>
      </c>
      <c r="P867" s="6">
        <f t="shared" si="163"/>
        <v>0</v>
      </c>
      <c r="Q867" s="7">
        <f t="shared" si="159"/>
        <v>1557411.6500000004</v>
      </c>
      <c r="R867" s="44" t="str">
        <f>VLOOKUP(F867,'Set up'!$A$2:$E$70,5,FALSE)</f>
        <v>Trsf</v>
      </c>
      <c r="S867" s="1" t="s">
        <v>841</v>
      </c>
    </row>
    <row r="868" spans="1:19" x14ac:dyDescent="0.3">
      <c r="A868" s="4">
        <v>44725</v>
      </c>
      <c r="B868" s="5">
        <f t="shared" si="154"/>
        <v>6</v>
      </c>
      <c r="C868" s="5">
        <f t="shared" si="155"/>
        <v>2022</v>
      </c>
      <c r="D868" s="5" t="s">
        <v>835</v>
      </c>
      <c r="E868" s="5" t="str">
        <f>VLOOKUP(F868,'Set up'!$A$2:$C$70,2,FALSE)</f>
        <v>C00000023</v>
      </c>
      <c r="F868" s="1" t="s">
        <v>665</v>
      </c>
      <c r="G868" s="11" t="s">
        <v>666</v>
      </c>
      <c r="H868" s="5">
        <v>2</v>
      </c>
      <c r="I868" s="5" t="str">
        <f>VLOOKUP(F868,'Set up'!$A$2:$C$70,3,FALSE)</f>
        <v>Cash</v>
      </c>
      <c r="J868" s="5">
        <f>VLOOKUP(F868,'Set up'!$A$2:$D$70,4,FALSE)</f>
        <v>0</v>
      </c>
      <c r="K868" s="4">
        <f t="shared" si="156"/>
        <v>44725</v>
      </c>
      <c r="L868" s="5">
        <f t="shared" si="157"/>
        <v>6</v>
      </c>
      <c r="M868" s="5">
        <f t="shared" si="158"/>
        <v>2022</v>
      </c>
      <c r="N868" s="6">
        <v>170</v>
      </c>
      <c r="O868" s="6">
        <f t="shared" si="165"/>
        <v>-170</v>
      </c>
      <c r="P868" s="6">
        <f t="shared" si="163"/>
        <v>0</v>
      </c>
      <c r="Q868" s="7">
        <f t="shared" si="159"/>
        <v>1557581.6500000004</v>
      </c>
      <c r="R868" s="44" t="str">
        <f>VLOOKUP(F868,'Set up'!$A$2:$E$70,5,FALSE)</f>
        <v>Trsf</v>
      </c>
      <c r="S868" s="1" t="s">
        <v>841</v>
      </c>
    </row>
    <row r="869" spans="1:19" x14ac:dyDescent="0.3">
      <c r="A869" s="4">
        <v>44726</v>
      </c>
      <c r="B869" s="5">
        <f t="shared" si="154"/>
        <v>6</v>
      </c>
      <c r="C869" s="5">
        <f t="shared" si="155"/>
        <v>2022</v>
      </c>
      <c r="D869" s="5" t="s">
        <v>836</v>
      </c>
      <c r="E869" s="5" t="str">
        <f>VLOOKUP(F869,'Set up'!$A$2:$C$70,2,FALSE)</f>
        <v>C00000009</v>
      </c>
      <c r="F869" s="1" t="s">
        <v>58</v>
      </c>
      <c r="G869" s="11" t="s">
        <v>719</v>
      </c>
      <c r="H869" s="5">
        <v>2</v>
      </c>
      <c r="I869" s="5">
        <f>VLOOKUP(F869,'Set up'!$A$2:$C$70,3,FALSE)</f>
        <v>60</v>
      </c>
      <c r="J869" s="5">
        <f>VLOOKUP(F869,'Set up'!$A$2:$D$70,4,FALSE)</f>
        <v>60</v>
      </c>
      <c r="K869" s="4">
        <f t="shared" si="156"/>
        <v>44786</v>
      </c>
      <c r="L869" s="5">
        <f t="shared" si="157"/>
        <v>8</v>
      </c>
      <c r="M869" s="5">
        <f t="shared" si="158"/>
        <v>2022</v>
      </c>
      <c r="N869" s="6">
        <v>3960</v>
      </c>
      <c r="O869" s="6">
        <f t="shared" si="165"/>
        <v>-3960</v>
      </c>
      <c r="P869" s="6">
        <f t="shared" si="163"/>
        <v>0</v>
      </c>
      <c r="Q869" s="7">
        <f t="shared" si="159"/>
        <v>1561541.6500000004</v>
      </c>
      <c r="R869" s="44" t="str">
        <f>VLOOKUP(F869,'Set up'!$A$2:$E$70,5,FALSE)</f>
        <v>Chq</v>
      </c>
      <c r="S869" s="1" t="s">
        <v>1147</v>
      </c>
    </row>
    <row r="870" spans="1:19" x14ac:dyDescent="0.3">
      <c r="A870" s="4">
        <v>44726</v>
      </c>
      <c r="B870" s="5">
        <f t="shared" si="154"/>
        <v>6</v>
      </c>
      <c r="C870" s="5">
        <f t="shared" si="155"/>
        <v>2022</v>
      </c>
      <c r="D870" s="5" t="s">
        <v>837</v>
      </c>
      <c r="E870" s="5" t="str">
        <f>VLOOKUP(F870,'Set up'!$A$2:$C$70,2,FALSE)</f>
        <v>C00000001</v>
      </c>
      <c r="F870" s="1" t="s">
        <v>7</v>
      </c>
      <c r="G870" s="11" t="s">
        <v>716</v>
      </c>
      <c r="H870" s="5">
        <v>1</v>
      </c>
      <c r="I870" s="5" t="str">
        <f>VLOOKUP(F870,'Set up'!$A$2:$C$70,3,FALSE)</f>
        <v>Cash</v>
      </c>
      <c r="J870" s="5">
        <f>VLOOKUP(F870,'Set up'!$A$2:$D$70,4,FALSE)</f>
        <v>0</v>
      </c>
      <c r="K870" s="4">
        <f t="shared" si="156"/>
        <v>44726</v>
      </c>
      <c r="L870" s="5">
        <f t="shared" si="157"/>
        <v>6</v>
      </c>
      <c r="M870" s="5">
        <f t="shared" si="158"/>
        <v>2022</v>
      </c>
      <c r="N870" s="6">
        <v>2068</v>
      </c>
      <c r="O870" s="6">
        <f t="shared" si="165"/>
        <v>-2068</v>
      </c>
      <c r="P870" s="6">
        <f t="shared" si="163"/>
        <v>0</v>
      </c>
      <c r="Q870" s="7">
        <f t="shared" si="159"/>
        <v>1563609.6500000004</v>
      </c>
      <c r="R870" s="44" t="str">
        <f>VLOOKUP(F870,'Set up'!$A$2:$E$70,5,FALSE)</f>
        <v>Trsf</v>
      </c>
      <c r="S870" s="1" t="s">
        <v>851</v>
      </c>
    </row>
    <row r="871" spans="1:19" x14ac:dyDescent="0.3">
      <c r="A871" s="4">
        <v>44726</v>
      </c>
      <c r="B871" s="5">
        <f t="shared" si="154"/>
        <v>6</v>
      </c>
      <c r="C871" s="5">
        <f t="shared" si="155"/>
        <v>2022</v>
      </c>
      <c r="D871" s="5" t="s">
        <v>837</v>
      </c>
      <c r="E871" s="5" t="str">
        <f>VLOOKUP(F871,'Set up'!$A$2:$C$70,2,FALSE)</f>
        <v>C00000001</v>
      </c>
      <c r="F871" s="1" t="s">
        <v>7</v>
      </c>
      <c r="G871" s="11" t="s">
        <v>654</v>
      </c>
      <c r="H871" s="5">
        <v>4</v>
      </c>
      <c r="I871" s="5" t="str">
        <f>VLOOKUP(F871,'Set up'!$A$2:$C$70,3,FALSE)</f>
        <v>Cash</v>
      </c>
      <c r="J871" s="5">
        <f>VLOOKUP(F871,'Set up'!$A$2:$D$70,4,FALSE)</f>
        <v>0</v>
      </c>
      <c r="K871" s="4">
        <f t="shared" si="156"/>
        <v>44726</v>
      </c>
      <c r="L871" s="5">
        <f t="shared" si="157"/>
        <v>6</v>
      </c>
      <c r="M871" s="5">
        <f t="shared" si="158"/>
        <v>2022</v>
      </c>
      <c r="N871" s="6">
        <v>1164</v>
      </c>
      <c r="O871" s="6">
        <f t="shared" si="165"/>
        <v>-1164</v>
      </c>
      <c r="P871" s="6">
        <f t="shared" si="163"/>
        <v>0</v>
      </c>
      <c r="Q871" s="7">
        <f t="shared" si="159"/>
        <v>1564773.6500000004</v>
      </c>
      <c r="R871" s="44" t="str">
        <f>VLOOKUP(F871,'Set up'!$A$2:$E$70,5,FALSE)</f>
        <v>Trsf</v>
      </c>
      <c r="S871" s="1" t="s">
        <v>851</v>
      </c>
    </row>
    <row r="872" spans="1:19" x14ac:dyDescent="0.3">
      <c r="A872" s="4">
        <v>44730</v>
      </c>
      <c r="B872" s="5">
        <f t="shared" si="154"/>
        <v>6</v>
      </c>
      <c r="C872" s="5">
        <f t="shared" si="155"/>
        <v>2022</v>
      </c>
      <c r="D872" s="5" t="s">
        <v>842</v>
      </c>
      <c r="E872" s="5" t="str">
        <f>VLOOKUP(F872,'Set up'!$A$2:$C$70,2,FALSE)</f>
        <v>C00000020</v>
      </c>
      <c r="F872" s="1" t="s">
        <v>409</v>
      </c>
      <c r="G872" s="11" t="s">
        <v>95</v>
      </c>
      <c r="H872" s="5">
        <v>1</v>
      </c>
      <c r="I872" s="5" t="str">
        <f>VLOOKUP(F872,'Set up'!$A$2:$C$70,3,FALSE)</f>
        <v>Cash</v>
      </c>
      <c r="J872" s="5">
        <f>VLOOKUP(F872,'Set up'!$A$2:$D$70,4,FALSE)</f>
        <v>0</v>
      </c>
      <c r="K872" s="4">
        <f t="shared" si="156"/>
        <v>44730</v>
      </c>
      <c r="L872" s="5">
        <f t="shared" si="157"/>
        <v>6</v>
      </c>
      <c r="M872" s="5">
        <f t="shared" si="158"/>
        <v>2022</v>
      </c>
      <c r="N872" s="6">
        <v>2090</v>
      </c>
      <c r="O872" s="6">
        <f t="shared" si="165"/>
        <v>-2090</v>
      </c>
      <c r="P872" s="6">
        <f t="shared" si="163"/>
        <v>0</v>
      </c>
      <c r="Q872" s="7">
        <f t="shared" si="159"/>
        <v>1566863.6500000004</v>
      </c>
      <c r="R872" s="44" t="str">
        <f>VLOOKUP(F872,'Set up'!$A$2:$E$70,5,FALSE)</f>
        <v>Trsf</v>
      </c>
      <c r="S872" s="1" t="s">
        <v>1163</v>
      </c>
    </row>
    <row r="873" spans="1:19" x14ac:dyDescent="0.3">
      <c r="A873" s="4">
        <v>44730</v>
      </c>
      <c r="B873" s="5">
        <f t="shared" si="154"/>
        <v>6</v>
      </c>
      <c r="C873" s="5">
        <f t="shared" si="155"/>
        <v>2022</v>
      </c>
      <c r="D873" s="5" t="s">
        <v>842</v>
      </c>
      <c r="E873" s="5" t="str">
        <f>VLOOKUP(F873,'Set up'!$A$2:$C$70,2,FALSE)</f>
        <v>C00000020</v>
      </c>
      <c r="F873" s="1" t="s">
        <v>409</v>
      </c>
      <c r="G873" s="11" t="s">
        <v>654</v>
      </c>
      <c r="H873" s="5">
        <v>2</v>
      </c>
      <c r="I873" s="5" t="str">
        <f>VLOOKUP(F873,'Set up'!$A$2:$C$70,3,FALSE)</f>
        <v>Cash</v>
      </c>
      <c r="J873" s="5">
        <f>VLOOKUP(F873,'Set up'!$A$2:$D$70,4,FALSE)</f>
        <v>0</v>
      </c>
      <c r="K873" s="4">
        <f t="shared" si="156"/>
        <v>44730</v>
      </c>
      <c r="L873" s="5">
        <f t="shared" si="157"/>
        <v>6</v>
      </c>
      <c r="M873" s="5">
        <f t="shared" si="158"/>
        <v>2022</v>
      </c>
      <c r="N873" s="6">
        <v>588</v>
      </c>
      <c r="O873" s="6">
        <f t="shared" si="165"/>
        <v>-588</v>
      </c>
      <c r="P873" s="6">
        <f t="shared" si="163"/>
        <v>0</v>
      </c>
      <c r="Q873" s="7">
        <f t="shared" si="159"/>
        <v>1567451.6500000004</v>
      </c>
      <c r="R873" s="44" t="str">
        <f>VLOOKUP(F873,'Set up'!$A$2:$E$70,5,FALSE)</f>
        <v>Trsf</v>
      </c>
      <c r="S873" s="1" t="s">
        <v>1163</v>
      </c>
    </row>
    <row r="874" spans="1:19" x14ac:dyDescent="0.3">
      <c r="A874" s="4">
        <v>44730</v>
      </c>
      <c r="B874" s="5">
        <f t="shared" si="154"/>
        <v>6</v>
      </c>
      <c r="C874" s="5">
        <f t="shared" si="155"/>
        <v>2022</v>
      </c>
      <c r="D874" s="5" t="s">
        <v>842</v>
      </c>
      <c r="E874" s="5" t="str">
        <f>VLOOKUP(F874,'Set up'!$A$2:$C$70,2,FALSE)</f>
        <v>C00000020</v>
      </c>
      <c r="F874" s="1" t="s">
        <v>409</v>
      </c>
      <c r="G874" s="11" t="s">
        <v>792</v>
      </c>
      <c r="H874" s="5">
        <v>1</v>
      </c>
      <c r="I874" s="5" t="str">
        <f>VLOOKUP(F874,'Set up'!$A$2:$C$70,3,FALSE)</f>
        <v>Cash</v>
      </c>
      <c r="J874" s="5">
        <f>VLOOKUP(F874,'Set up'!$A$2:$D$70,4,FALSE)</f>
        <v>0</v>
      </c>
      <c r="K874" s="4">
        <f t="shared" si="156"/>
        <v>44730</v>
      </c>
      <c r="L874" s="5">
        <f t="shared" si="157"/>
        <v>6</v>
      </c>
      <c r="M874" s="5">
        <f t="shared" si="158"/>
        <v>2022</v>
      </c>
      <c r="N874" s="6">
        <v>351</v>
      </c>
      <c r="O874" s="6">
        <f t="shared" si="165"/>
        <v>-351</v>
      </c>
      <c r="P874" s="6">
        <f t="shared" si="163"/>
        <v>0</v>
      </c>
      <c r="Q874" s="7">
        <f t="shared" si="159"/>
        <v>1567802.6500000004</v>
      </c>
      <c r="R874" s="44" t="str">
        <f>VLOOKUP(F874,'Set up'!$A$2:$E$70,5,FALSE)</f>
        <v>Trsf</v>
      </c>
      <c r="S874" s="1" t="s">
        <v>1163</v>
      </c>
    </row>
    <row r="875" spans="1:19" x14ac:dyDescent="0.3">
      <c r="A875" s="4">
        <v>44730</v>
      </c>
      <c r="B875" s="5">
        <f t="shared" si="154"/>
        <v>6</v>
      </c>
      <c r="C875" s="5">
        <f t="shared" si="155"/>
        <v>2022</v>
      </c>
      <c r="D875" s="5" t="s">
        <v>842</v>
      </c>
      <c r="E875" s="5" t="str">
        <f>VLOOKUP(F875,'Set up'!$A$2:$C$70,2,FALSE)</f>
        <v>C00000020</v>
      </c>
      <c r="F875" s="1" t="s">
        <v>409</v>
      </c>
      <c r="G875" s="11" t="s">
        <v>791</v>
      </c>
      <c r="H875" s="5">
        <v>1</v>
      </c>
      <c r="I875" s="5" t="str">
        <f>VLOOKUP(F875,'Set up'!$A$2:$C$70,3,FALSE)</f>
        <v>Cash</v>
      </c>
      <c r="J875" s="5">
        <f>VLOOKUP(F875,'Set up'!$A$2:$D$70,4,FALSE)</f>
        <v>0</v>
      </c>
      <c r="K875" s="4">
        <f t="shared" si="156"/>
        <v>44730</v>
      </c>
      <c r="L875" s="5">
        <f t="shared" si="157"/>
        <v>6</v>
      </c>
      <c r="M875" s="5">
        <f t="shared" si="158"/>
        <v>2022</v>
      </c>
      <c r="N875" s="6">
        <v>62.5</v>
      </c>
      <c r="O875" s="6">
        <f t="shared" si="165"/>
        <v>-62.5</v>
      </c>
      <c r="P875" s="6">
        <f t="shared" si="163"/>
        <v>0</v>
      </c>
      <c r="Q875" s="7">
        <f t="shared" si="159"/>
        <v>1567865.1500000004</v>
      </c>
      <c r="R875" s="44" t="str">
        <f>VLOOKUP(F875,'Set up'!$A$2:$E$70,5,FALSE)</f>
        <v>Trsf</v>
      </c>
      <c r="S875" s="1" t="s">
        <v>1163</v>
      </c>
    </row>
    <row r="876" spans="1:19" x14ac:dyDescent="0.3">
      <c r="A876" s="4">
        <v>44730</v>
      </c>
      <c r="B876" s="5">
        <f t="shared" si="154"/>
        <v>6</v>
      </c>
      <c r="C876" s="5">
        <f t="shared" si="155"/>
        <v>2022</v>
      </c>
      <c r="D876" s="5" t="s">
        <v>842</v>
      </c>
      <c r="E876" s="5" t="str">
        <f>VLOOKUP(F876,'Set up'!$A$2:$C$70,2,FALSE)</f>
        <v>C00000020</v>
      </c>
      <c r="F876" s="1" t="s">
        <v>409</v>
      </c>
      <c r="G876" s="11" t="s">
        <v>659</v>
      </c>
      <c r="H876" s="5">
        <v>1</v>
      </c>
      <c r="I876" s="5" t="str">
        <f>VLOOKUP(F876,'Set up'!$A$2:$C$70,3,FALSE)</f>
        <v>Cash</v>
      </c>
      <c r="J876" s="5">
        <f>VLOOKUP(F876,'Set up'!$A$2:$D$70,4,FALSE)</f>
        <v>0</v>
      </c>
      <c r="K876" s="4">
        <f t="shared" si="156"/>
        <v>44730</v>
      </c>
      <c r="L876" s="5">
        <f t="shared" si="157"/>
        <v>6</v>
      </c>
      <c r="M876" s="5">
        <f t="shared" si="158"/>
        <v>2022</v>
      </c>
      <c r="N876" s="6">
        <v>1000</v>
      </c>
      <c r="O876" s="6">
        <f t="shared" si="165"/>
        <v>-1000</v>
      </c>
      <c r="P876" s="6">
        <f t="shared" si="163"/>
        <v>0</v>
      </c>
      <c r="Q876" s="7">
        <f t="shared" si="159"/>
        <v>1568865.1500000004</v>
      </c>
      <c r="R876" s="44" t="str">
        <f>VLOOKUP(F876,'Set up'!$A$2:$E$70,5,FALSE)</f>
        <v>Trsf</v>
      </c>
      <c r="S876" s="1" t="s">
        <v>1163</v>
      </c>
    </row>
    <row r="877" spans="1:19" x14ac:dyDescent="0.3">
      <c r="A877" s="4">
        <v>44730</v>
      </c>
      <c r="B877" s="5">
        <f t="shared" si="154"/>
        <v>6</v>
      </c>
      <c r="C877" s="5">
        <f t="shared" si="155"/>
        <v>2022</v>
      </c>
      <c r="D877" s="5" t="s">
        <v>842</v>
      </c>
      <c r="E877" s="5" t="str">
        <f>VLOOKUP(F877,'Set up'!$A$2:$C$70,2,FALSE)</f>
        <v>C00000020</v>
      </c>
      <c r="F877" s="1" t="s">
        <v>409</v>
      </c>
      <c r="G877" s="11" t="s">
        <v>666</v>
      </c>
      <c r="H877" s="5">
        <v>4</v>
      </c>
      <c r="I877" s="5" t="str">
        <f>VLOOKUP(F877,'Set up'!$A$2:$C$70,3,FALSE)</f>
        <v>Cash</v>
      </c>
      <c r="J877" s="5">
        <f>VLOOKUP(F877,'Set up'!$A$2:$D$70,4,FALSE)</f>
        <v>0</v>
      </c>
      <c r="K877" s="4">
        <f t="shared" si="156"/>
        <v>44730</v>
      </c>
      <c r="L877" s="5">
        <f t="shared" si="157"/>
        <v>6</v>
      </c>
      <c r="M877" s="5">
        <f t="shared" si="158"/>
        <v>2022</v>
      </c>
      <c r="N877" s="6">
        <v>340</v>
      </c>
      <c r="O877" s="6">
        <f t="shared" si="165"/>
        <v>-340</v>
      </c>
      <c r="P877" s="6">
        <f t="shared" si="163"/>
        <v>0</v>
      </c>
      <c r="Q877" s="7">
        <f t="shared" si="159"/>
        <v>1569205.1500000004</v>
      </c>
      <c r="R877" s="44" t="str">
        <f>VLOOKUP(F877,'Set up'!$A$2:$E$70,5,FALSE)</f>
        <v>Trsf</v>
      </c>
      <c r="S877" s="1" t="s">
        <v>1163</v>
      </c>
    </row>
    <row r="878" spans="1:19" x14ac:dyDescent="0.3">
      <c r="A878" s="4">
        <v>44732</v>
      </c>
      <c r="B878" s="5">
        <f t="shared" si="154"/>
        <v>6</v>
      </c>
      <c r="C878" s="5">
        <f t="shared" si="155"/>
        <v>2022</v>
      </c>
      <c r="D878" s="5" t="s">
        <v>843</v>
      </c>
      <c r="E878" s="5" t="str">
        <f>VLOOKUP(F878,'Set up'!$A$2:$C$70,2,FALSE)</f>
        <v>C00000006</v>
      </c>
      <c r="F878" s="1" t="s">
        <v>43</v>
      </c>
      <c r="G878" s="11" t="s">
        <v>719</v>
      </c>
      <c r="H878" s="5">
        <v>1</v>
      </c>
      <c r="I878" s="5" t="str">
        <f>VLOOKUP(F878,'Set up'!$A$2:$C$70,3,FALSE)</f>
        <v>Cash</v>
      </c>
      <c r="J878" s="5">
        <f>VLOOKUP(F878,'Set up'!$A$2:$D$70,4,FALSE)</f>
        <v>0</v>
      </c>
      <c r="K878" s="4">
        <f t="shared" si="156"/>
        <v>44732</v>
      </c>
      <c r="L878" s="5">
        <f t="shared" si="157"/>
        <v>6</v>
      </c>
      <c r="M878" s="5">
        <f t="shared" si="158"/>
        <v>2022</v>
      </c>
      <c r="N878" s="6">
        <v>2068</v>
      </c>
      <c r="O878" s="6">
        <f>-N878</f>
        <v>-2068</v>
      </c>
      <c r="P878" s="6">
        <f t="shared" si="163"/>
        <v>0</v>
      </c>
      <c r="Q878" s="7">
        <f t="shared" si="159"/>
        <v>1571273.1500000004</v>
      </c>
      <c r="R878" s="44" t="str">
        <f>VLOOKUP(F878,'Set up'!$A$2:$E$70,5,FALSE)</f>
        <v>Chq</v>
      </c>
      <c r="S878" s="1" t="s">
        <v>920</v>
      </c>
    </row>
    <row r="879" spans="1:19" x14ac:dyDescent="0.3">
      <c r="A879" s="4">
        <v>44736</v>
      </c>
      <c r="B879" s="5">
        <f t="shared" si="154"/>
        <v>6</v>
      </c>
      <c r="C879" s="5">
        <f t="shared" si="155"/>
        <v>2022</v>
      </c>
      <c r="D879" s="5" t="s">
        <v>844</v>
      </c>
      <c r="E879" s="5" t="str">
        <f>VLOOKUP(F879,'Set up'!$A$2:$C$70,2,FALSE)</f>
        <v>C00000021</v>
      </c>
      <c r="F879" s="1" t="s">
        <v>491</v>
      </c>
      <c r="G879" s="11" t="s">
        <v>716</v>
      </c>
      <c r="H879" s="5">
        <v>1</v>
      </c>
      <c r="I879" s="5" t="str">
        <f>VLOOKUP(F879,'Set up'!$A$2:$C$70,3,FALSE)</f>
        <v>Cash</v>
      </c>
      <c r="J879" s="5">
        <f>VLOOKUP(F879,'Set up'!$A$2:$D$70,4,FALSE)</f>
        <v>0</v>
      </c>
      <c r="K879" s="4">
        <f t="shared" si="156"/>
        <v>44736</v>
      </c>
      <c r="L879" s="5">
        <f t="shared" si="157"/>
        <v>6</v>
      </c>
      <c r="M879" s="5">
        <f t="shared" si="158"/>
        <v>2022</v>
      </c>
      <c r="N879" s="6">
        <v>2090</v>
      </c>
      <c r="O879" s="6">
        <f t="shared" ref="O879:O886" si="166">-N879</f>
        <v>-2090</v>
      </c>
      <c r="P879" s="6">
        <f t="shared" si="163"/>
        <v>0</v>
      </c>
      <c r="Q879" s="7">
        <f t="shared" si="159"/>
        <v>1573363.1500000004</v>
      </c>
      <c r="R879" s="44" t="str">
        <f>VLOOKUP(F879,'Set up'!$A$2:$E$70,5,FALSE)</f>
        <v>PD Chq</v>
      </c>
      <c r="S879" s="1" t="s">
        <v>1023</v>
      </c>
    </row>
    <row r="880" spans="1:19" x14ac:dyDescent="0.3">
      <c r="A880" s="4">
        <v>44736</v>
      </c>
      <c r="B880" s="5">
        <f t="shared" si="154"/>
        <v>6</v>
      </c>
      <c r="C880" s="5">
        <f t="shared" si="155"/>
        <v>2022</v>
      </c>
      <c r="D880" s="5" t="s">
        <v>844</v>
      </c>
      <c r="E880" s="5" t="str">
        <f>VLOOKUP(F880,'Set up'!$A$2:$C$70,2,FALSE)</f>
        <v>C00000021</v>
      </c>
      <c r="F880" s="1" t="s">
        <v>491</v>
      </c>
      <c r="G880" s="11" t="s">
        <v>654</v>
      </c>
      <c r="H880" s="5">
        <v>3</v>
      </c>
      <c r="I880" s="5" t="str">
        <f>VLOOKUP(F880,'Set up'!$A$2:$C$70,3,FALSE)</f>
        <v>Cash</v>
      </c>
      <c r="J880" s="5">
        <f>VLOOKUP(F880,'Set up'!$A$2:$D$70,4,FALSE)</f>
        <v>0</v>
      </c>
      <c r="K880" s="4">
        <f t="shared" si="156"/>
        <v>44736</v>
      </c>
      <c r="L880" s="5">
        <f t="shared" si="157"/>
        <v>6</v>
      </c>
      <c r="M880" s="5">
        <f t="shared" si="158"/>
        <v>2022</v>
      </c>
      <c r="N880" s="6">
        <v>882</v>
      </c>
      <c r="O880" s="6">
        <f t="shared" si="166"/>
        <v>-882</v>
      </c>
      <c r="P880" s="6">
        <f t="shared" si="163"/>
        <v>0</v>
      </c>
      <c r="Q880" s="7">
        <f t="shared" si="159"/>
        <v>1574245.1500000004</v>
      </c>
      <c r="R880" s="44" t="str">
        <f>VLOOKUP(F880,'Set up'!$A$2:$E$70,5,FALSE)</f>
        <v>PD Chq</v>
      </c>
      <c r="S880" s="1" t="s">
        <v>1023</v>
      </c>
    </row>
    <row r="881" spans="1:19" x14ac:dyDescent="0.3">
      <c r="A881" s="4">
        <v>44736</v>
      </c>
      <c r="B881" s="5">
        <f t="shared" si="154"/>
        <v>6</v>
      </c>
      <c r="C881" s="5">
        <f t="shared" si="155"/>
        <v>2022</v>
      </c>
      <c r="D881" s="5" t="s">
        <v>844</v>
      </c>
      <c r="E881" s="5" t="str">
        <f>VLOOKUP(F881,'Set up'!$A$2:$C$70,2,FALSE)</f>
        <v>C00000021</v>
      </c>
      <c r="F881" s="1" t="s">
        <v>491</v>
      </c>
      <c r="G881" s="11" t="s">
        <v>666</v>
      </c>
      <c r="H881" s="5">
        <v>1</v>
      </c>
      <c r="I881" s="5" t="str">
        <f>VLOOKUP(F881,'Set up'!$A$2:$C$70,3,FALSE)</f>
        <v>Cash</v>
      </c>
      <c r="J881" s="5">
        <f>VLOOKUP(F881,'Set up'!$A$2:$D$70,4,FALSE)</f>
        <v>0</v>
      </c>
      <c r="K881" s="4">
        <f t="shared" si="156"/>
        <v>44736</v>
      </c>
      <c r="L881" s="5">
        <f t="shared" si="157"/>
        <v>6</v>
      </c>
      <c r="M881" s="5">
        <f t="shared" si="158"/>
        <v>2022</v>
      </c>
      <c r="N881" s="6">
        <v>90</v>
      </c>
      <c r="O881" s="6">
        <f t="shared" si="166"/>
        <v>-90</v>
      </c>
      <c r="P881" s="6">
        <f t="shared" si="163"/>
        <v>0</v>
      </c>
      <c r="Q881" s="7">
        <f t="shared" si="159"/>
        <v>1574335.1500000004</v>
      </c>
      <c r="R881" s="44" t="str">
        <f>VLOOKUP(F881,'Set up'!$A$2:$E$70,5,FALSE)</f>
        <v>PD Chq</v>
      </c>
      <c r="S881" s="1" t="s">
        <v>1023</v>
      </c>
    </row>
    <row r="882" spans="1:19" x14ac:dyDescent="0.3">
      <c r="A882" s="4">
        <v>44736</v>
      </c>
      <c r="B882" s="5">
        <f t="shared" si="154"/>
        <v>6</v>
      </c>
      <c r="C882" s="5">
        <f t="shared" si="155"/>
        <v>2022</v>
      </c>
      <c r="D882" s="5" t="s">
        <v>844</v>
      </c>
      <c r="E882" s="5" t="str">
        <f>VLOOKUP(F882,'Set up'!$A$2:$C$70,2,FALSE)</f>
        <v>C00000021</v>
      </c>
      <c r="F882" s="1" t="s">
        <v>491</v>
      </c>
      <c r="G882" s="11" t="s">
        <v>791</v>
      </c>
      <c r="H882" s="5">
        <v>5</v>
      </c>
      <c r="I882" s="5" t="str">
        <f>VLOOKUP(F882,'Set up'!$A$2:$C$70,3,FALSE)</f>
        <v>Cash</v>
      </c>
      <c r="J882" s="5">
        <f>VLOOKUP(F882,'Set up'!$A$2:$D$70,4,FALSE)</f>
        <v>0</v>
      </c>
      <c r="K882" s="4">
        <f t="shared" si="156"/>
        <v>44736</v>
      </c>
      <c r="L882" s="5">
        <f t="shared" si="157"/>
        <v>6</v>
      </c>
      <c r="M882" s="5">
        <f t="shared" si="158"/>
        <v>2022</v>
      </c>
      <c r="N882" s="6">
        <v>312.5</v>
      </c>
      <c r="O882" s="6">
        <f t="shared" si="166"/>
        <v>-312.5</v>
      </c>
      <c r="P882" s="6">
        <f t="shared" si="163"/>
        <v>0</v>
      </c>
      <c r="Q882" s="7">
        <f t="shared" si="159"/>
        <v>1574647.6500000004</v>
      </c>
      <c r="R882" s="44" t="str">
        <f>VLOOKUP(F882,'Set up'!$A$2:$E$70,5,FALSE)</f>
        <v>PD Chq</v>
      </c>
      <c r="S882" s="1" t="s">
        <v>1023</v>
      </c>
    </row>
    <row r="883" spans="1:19" x14ac:dyDescent="0.3">
      <c r="A883" s="4">
        <v>44736</v>
      </c>
      <c r="B883" s="5">
        <f t="shared" si="154"/>
        <v>6</v>
      </c>
      <c r="C883" s="5">
        <f t="shared" si="155"/>
        <v>2022</v>
      </c>
      <c r="D883" s="5" t="s">
        <v>845</v>
      </c>
      <c r="E883" s="5" t="str">
        <f>VLOOKUP(F883,'Set up'!$A$2:$C$70,2,FALSE)</f>
        <v>C00000020</v>
      </c>
      <c r="F883" s="1" t="s">
        <v>409</v>
      </c>
      <c r="G883" s="11" t="s">
        <v>95</v>
      </c>
      <c r="H883" s="5">
        <v>2</v>
      </c>
      <c r="I883" s="5" t="str">
        <f>VLOOKUP(F883,'Set up'!$A$2:$C$70,3,FALSE)</f>
        <v>Cash</v>
      </c>
      <c r="J883" s="5">
        <f>VLOOKUP(F883,'Set up'!$A$2:$D$70,4,FALSE)</f>
        <v>0</v>
      </c>
      <c r="K883" s="4">
        <f t="shared" si="156"/>
        <v>44736</v>
      </c>
      <c r="L883" s="5">
        <f t="shared" si="157"/>
        <v>6</v>
      </c>
      <c r="M883" s="5">
        <f t="shared" si="158"/>
        <v>2022</v>
      </c>
      <c r="N883" s="6">
        <v>4180</v>
      </c>
      <c r="O883" s="6">
        <f t="shared" si="166"/>
        <v>-4180</v>
      </c>
      <c r="P883" s="6">
        <f t="shared" si="163"/>
        <v>0</v>
      </c>
      <c r="Q883" s="7">
        <f t="shared" si="159"/>
        <v>1578827.6500000004</v>
      </c>
      <c r="R883" s="44" t="str">
        <f>VLOOKUP(F883,'Set up'!$A$2:$E$70,5,FALSE)</f>
        <v>Trsf</v>
      </c>
      <c r="S883" s="1" t="s">
        <v>1163</v>
      </c>
    </row>
    <row r="884" spans="1:19" x14ac:dyDescent="0.3">
      <c r="A884" s="4">
        <v>44736</v>
      </c>
      <c r="B884" s="5">
        <f t="shared" si="154"/>
        <v>6</v>
      </c>
      <c r="C884" s="5">
        <f t="shared" si="155"/>
        <v>2022</v>
      </c>
      <c r="D884" s="5" t="s">
        <v>845</v>
      </c>
      <c r="E884" s="5" t="str">
        <f>VLOOKUP(F884,'Set up'!$A$2:$C$70,2,FALSE)</f>
        <v>C00000020</v>
      </c>
      <c r="F884" s="1" t="s">
        <v>409</v>
      </c>
      <c r="G884" s="11" t="s">
        <v>654</v>
      </c>
      <c r="H884" s="5">
        <v>3</v>
      </c>
      <c r="I884" s="5" t="str">
        <f>VLOOKUP(F884,'Set up'!$A$2:$C$70,3,FALSE)</f>
        <v>Cash</v>
      </c>
      <c r="J884" s="5">
        <f>VLOOKUP(F884,'Set up'!$A$2:$D$70,4,FALSE)</f>
        <v>0</v>
      </c>
      <c r="K884" s="4">
        <f t="shared" si="156"/>
        <v>44736</v>
      </c>
      <c r="L884" s="5">
        <f t="shared" si="157"/>
        <v>6</v>
      </c>
      <c r="M884" s="5">
        <f t="shared" si="158"/>
        <v>2022</v>
      </c>
      <c r="N884" s="6">
        <v>882</v>
      </c>
      <c r="O884" s="6">
        <f t="shared" si="166"/>
        <v>-882</v>
      </c>
      <c r="P884" s="6">
        <f t="shared" si="163"/>
        <v>0</v>
      </c>
      <c r="Q884" s="7">
        <f t="shared" si="159"/>
        <v>1579709.6500000004</v>
      </c>
      <c r="R884" s="44" t="str">
        <f>VLOOKUP(F884,'Set up'!$A$2:$E$70,5,FALSE)</f>
        <v>Trsf</v>
      </c>
      <c r="S884" s="1" t="s">
        <v>1163</v>
      </c>
    </row>
    <row r="885" spans="1:19" x14ac:dyDescent="0.3">
      <c r="A885" s="4">
        <v>44736</v>
      </c>
      <c r="B885" s="5">
        <f t="shared" si="154"/>
        <v>6</v>
      </c>
      <c r="C885" s="5">
        <f t="shared" si="155"/>
        <v>2022</v>
      </c>
      <c r="D885" s="5" t="s">
        <v>845</v>
      </c>
      <c r="E885" s="5" t="str">
        <f>VLOOKUP(F885,'Set up'!$A$2:$C$70,2,FALSE)</f>
        <v>C00000020</v>
      </c>
      <c r="F885" s="1" t="s">
        <v>409</v>
      </c>
      <c r="G885" s="11" t="s">
        <v>792</v>
      </c>
      <c r="H885" s="5">
        <v>2</v>
      </c>
      <c r="I885" s="5" t="str">
        <f>VLOOKUP(F885,'Set up'!$A$2:$C$70,3,FALSE)</f>
        <v>Cash</v>
      </c>
      <c r="J885" s="5">
        <f>VLOOKUP(F885,'Set up'!$A$2:$D$70,4,FALSE)</f>
        <v>0</v>
      </c>
      <c r="K885" s="4">
        <f t="shared" si="156"/>
        <v>44736</v>
      </c>
      <c r="L885" s="5">
        <f t="shared" si="157"/>
        <v>6</v>
      </c>
      <c r="M885" s="5">
        <f t="shared" si="158"/>
        <v>2022</v>
      </c>
      <c r="N885" s="6">
        <v>702</v>
      </c>
      <c r="O885" s="6">
        <f t="shared" si="166"/>
        <v>-702</v>
      </c>
      <c r="P885" s="6">
        <f t="shared" si="163"/>
        <v>0</v>
      </c>
      <c r="Q885" s="7">
        <f t="shared" si="159"/>
        <v>1580411.6500000004</v>
      </c>
      <c r="R885" s="44" t="str">
        <f>VLOOKUP(F885,'Set up'!$A$2:$E$70,5,FALSE)</f>
        <v>Trsf</v>
      </c>
      <c r="S885" s="1" t="s">
        <v>1163</v>
      </c>
    </row>
    <row r="886" spans="1:19" x14ac:dyDescent="0.3">
      <c r="A886" s="4">
        <v>44736</v>
      </c>
      <c r="B886" s="5">
        <f t="shared" si="154"/>
        <v>6</v>
      </c>
      <c r="C886" s="5">
        <f t="shared" si="155"/>
        <v>2022</v>
      </c>
      <c r="D886" s="5" t="s">
        <v>845</v>
      </c>
      <c r="E886" s="5" t="str">
        <f>VLOOKUP(F886,'Set up'!$A$2:$C$70,2,FALSE)</f>
        <v>C00000020</v>
      </c>
      <c r="F886" s="1" t="s">
        <v>409</v>
      </c>
      <c r="G886" s="11" t="s">
        <v>791</v>
      </c>
      <c r="H886" s="5">
        <v>2</v>
      </c>
      <c r="I886" s="5" t="str">
        <f>VLOOKUP(F886,'Set up'!$A$2:$C$70,3,FALSE)</f>
        <v>Cash</v>
      </c>
      <c r="J886" s="5">
        <f>VLOOKUP(F886,'Set up'!$A$2:$D$70,4,FALSE)</f>
        <v>0</v>
      </c>
      <c r="K886" s="4">
        <f t="shared" si="156"/>
        <v>44736</v>
      </c>
      <c r="L886" s="5">
        <f t="shared" si="157"/>
        <v>6</v>
      </c>
      <c r="M886" s="5">
        <f t="shared" si="158"/>
        <v>2022</v>
      </c>
      <c r="N886" s="6">
        <v>125</v>
      </c>
      <c r="O886" s="6">
        <f t="shared" si="166"/>
        <v>-125</v>
      </c>
      <c r="P886" s="6">
        <f t="shared" si="163"/>
        <v>0</v>
      </c>
      <c r="Q886" s="7">
        <f t="shared" si="159"/>
        <v>1580536.6500000004</v>
      </c>
      <c r="R886" s="44" t="str">
        <f>VLOOKUP(F886,'Set up'!$A$2:$E$70,5,FALSE)</f>
        <v>Trsf</v>
      </c>
      <c r="S886" s="1" t="s">
        <v>1163</v>
      </c>
    </row>
    <row r="887" spans="1:19" x14ac:dyDescent="0.3">
      <c r="A887" s="4">
        <v>44740</v>
      </c>
      <c r="B887" s="5">
        <f t="shared" si="154"/>
        <v>6</v>
      </c>
      <c r="C887" s="5">
        <f t="shared" si="155"/>
        <v>2022</v>
      </c>
      <c r="D887" s="5" t="s">
        <v>846</v>
      </c>
      <c r="E887" s="5" t="str">
        <f>VLOOKUP(F887,'Set up'!$A$2:$C$70,2,FALSE)</f>
        <v>C00000019</v>
      </c>
      <c r="F887" s="1" t="s">
        <v>400</v>
      </c>
      <c r="G887" s="11" t="s">
        <v>719</v>
      </c>
      <c r="H887" s="5">
        <v>2</v>
      </c>
      <c r="I887" s="5" t="str">
        <f>VLOOKUP(F887,'Set up'!$A$2:$C$70,3,FALSE)</f>
        <v>Cash</v>
      </c>
      <c r="J887" s="5">
        <f>VLOOKUP(F887,'Set up'!$A$2:$D$70,4,FALSE)</f>
        <v>0</v>
      </c>
      <c r="K887" s="4">
        <f t="shared" si="156"/>
        <v>44740</v>
      </c>
      <c r="L887" s="5">
        <f t="shared" si="157"/>
        <v>6</v>
      </c>
      <c r="M887" s="5">
        <f t="shared" si="158"/>
        <v>2022</v>
      </c>
      <c r="N887" s="6">
        <v>4136</v>
      </c>
      <c r="O887" s="6">
        <f>-N887</f>
        <v>-4136</v>
      </c>
      <c r="P887" s="6">
        <f t="shared" si="163"/>
        <v>0</v>
      </c>
      <c r="Q887" s="7">
        <f t="shared" si="159"/>
        <v>1584672.6500000004</v>
      </c>
      <c r="R887" s="44" t="str">
        <f>VLOOKUP(F887,'Set up'!$A$2:$E$70,5,FALSE)</f>
        <v>Trsf</v>
      </c>
      <c r="S887" s="1" t="s">
        <v>854</v>
      </c>
    </row>
    <row r="888" spans="1:19" x14ac:dyDescent="0.3">
      <c r="A888" s="4">
        <v>44740</v>
      </c>
      <c r="B888" s="5">
        <f t="shared" si="154"/>
        <v>6</v>
      </c>
      <c r="C888" s="5">
        <f t="shared" si="155"/>
        <v>2022</v>
      </c>
      <c r="D888" s="5" t="s">
        <v>846</v>
      </c>
      <c r="E888" s="5" t="str">
        <f>VLOOKUP(F888,'Set up'!$A$2:$C$70,2,FALSE)</f>
        <v>C00000019</v>
      </c>
      <c r="F888" s="1" t="s">
        <v>400</v>
      </c>
      <c r="G888" s="11" t="s">
        <v>707</v>
      </c>
      <c r="H888" s="5">
        <v>2</v>
      </c>
      <c r="I888" s="5" t="str">
        <f>VLOOKUP(F888,'Set up'!$A$2:$C$70,3,FALSE)</f>
        <v>Cash</v>
      </c>
      <c r="J888" s="5">
        <f>VLOOKUP(F888,'Set up'!$A$2:$D$70,4,FALSE)</f>
        <v>0</v>
      </c>
      <c r="K888" s="4">
        <f t="shared" si="156"/>
        <v>44740</v>
      </c>
      <c r="L888" s="5">
        <f t="shared" si="157"/>
        <v>6</v>
      </c>
      <c r="M888" s="5">
        <f t="shared" si="158"/>
        <v>2022</v>
      </c>
      <c r="N888" s="6">
        <v>1047.5999999999999</v>
      </c>
      <c r="O888" s="6">
        <f>-N888</f>
        <v>-1047.5999999999999</v>
      </c>
      <c r="P888" s="6">
        <f t="shared" si="163"/>
        <v>0</v>
      </c>
      <c r="Q888" s="7">
        <f t="shared" si="159"/>
        <v>1585720.2500000005</v>
      </c>
      <c r="R888" s="44" t="str">
        <f>VLOOKUP(F888,'Set up'!$A$2:$E$70,5,FALSE)</f>
        <v>Trsf</v>
      </c>
      <c r="S888" s="1" t="s">
        <v>854</v>
      </c>
    </row>
    <row r="889" spans="1:19" x14ac:dyDescent="0.3">
      <c r="A889" s="4">
        <v>44740</v>
      </c>
      <c r="B889" s="5">
        <f t="shared" si="154"/>
        <v>6</v>
      </c>
      <c r="C889" s="5">
        <f t="shared" si="155"/>
        <v>2022</v>
      </c>
      <c r="D889" s="5" t="s">
        <v>846</v>
      </c>
      <c r="E889" s="5" t="str">
        <f>VLOOKUP(F889,'Set up'!$A$2:$C$70,2,FALSE)</f>
        <v>C00000019</v>
      </c>
      <c r="F889" s="1" t="s">
        <v>400</v>
      </c>
      <c r="G889" s="11" t="s">
        <v>46</v>
      </c>
      <c r="H889" s="5">
        <v>2</v>
      </c>
      <c r="I889" s="5" t="str">
        <f>VLOOKUP(F889,'Set up'!$A$2:$C$70,3,FALSE)</f>
        <v>Cash</v>
      </c>
      <c r="J889" s="5">
        <f>VLOOKUP(F889,'Set up'!$A$2:$D$70,4,FALSE)</f>
        <v>0</v>
      </c>
      <c r="K889" s="4">
        <f t="shared" si="156"/>
        <v>44740</v>
      </c>
      <c r="L889" s="5">
        <f t="shared" si="157"/>
        <v>6</v>
      </c>
      <c r="M889" s="5">
        <f t="shared" si="158"/>
        <v>2022</v>
      </c>
      <c r="N889" s="6">
        <v>210</v>
      </c>
      <c r="O889" s="6">
        <f>-N889</f>
        <v>-210</v>
      </c>
      <c r="P889" s="6">
        <f t="shared" si="163"/>
        <v>0</v>
      </c>
      <c r="Q889" s="7">
        <f t="shared" si="159"/>
        <v>1585930.2500000005</v>
      </c>
      <c r="R889" s="44" t="str">
        <f>VLOOKUP(F889,'Set up'!$A$2:$E$70,5,FALSE)</f>
        <v>Trsf</v>
      </c>
      <c r="S889" s="1" t="s">
        <v>854</v>
      </c>
    </row>
    <row r="890" spans="1:19" x14ac:dyDescent="0.3">
      <c r="A890" s="4">
        <v>44740</v>
      </c>
      <c r="B890" s="5">
        <f t="shared" si="154"/>
        <v>6</v>
      </c>
      <c r="C890" s="5">
        <f t="shared" si="155"/>
        <v>2022</v>
      </c>
      <c r="D890" s="5" t="s">
        <v>846</v>
      </c>
      <c r="E890" s="5" t="str">
        <f>VLOOKUP(F890,'Set up'!$A$2:$C$70,2,FALSE)</f>
        <v>C00000019</v>
      </c>
      <c r="F890" s="1" t="s">
        <v>400</v>
      </c>
      <c r="G890" s="11" t="s">
        <v>292</v>
      </c>
      <c r="H890" s="5">
        <v>1</v>
      </c>
      <c r="I890" s="5" t="str">
        <f>VLOOKUP(F890,'Set up'!$A$2:$C$70,3,FALSE)</f>
        <v>Cash</v>
      </c>
      <c r="J890" s="5">
        <f>VLOOKUP(F890,'Set up'!$A$2:$D$70,4,FALSE)</f>
        <v>0</v>
      </c>
      <c r="K890" s="4">
        <f t="shared" si="156"/>
        <v>44740</v>
      </c>
      <c r="L890" s="5">
        <f t="shared" si="157"/>
        <v>6</v>
      </c>
      <c r="M890" s="5">
        <f t="shared" si="158"/>
        <v>2022</v>
      </c>
      <c r="N890" s="6">
        <v>390</v>
      </c>
      <c r="O890" s="6">
        <f>-N890</f>
        <v>-390</v>
      </c>
      <c r="P890" s="6">
        <f t="shared" si="163"/>
        <v>0</v>
      </c>
      <c r="Q890" s="7">
        <f t="shared" si="159"/>
        <v>1586320.2500000005</v>
      </c>
      <c r="R890" s="44" t="str">
        <f>VLOOKUP(F890,'Set up'!$A$2:$E$70,5,FALSE)</f>
        <v>Trsf</v>
      </c>
      <c r="S890" s="1" t="s">
        <v>854</v>
      </c>
    </row>
    <row r="891" spans="1:19" x14ac:dyDescent="0.3">
      <c r="A891" s="4">
        <v>44740</v>
      </c>
      <c r="B891" s="5">
        <f t="shared" si="154"/>
        <v>6</v>
      </c>
      <c r="C891" s="5">
        <f t="shared" si="155"/>
        <v>2022</v>
      </c>
      <c r="D891" s="5" t="s">
        <v>846</v>
      </c>
      <c r="E891" s="5" t="str">
        <f>VLOOKUP(F891,'Set up'!$A$2:$C$70,2,FALSE)</f>
        <v>C00000019</v>
      </c>
      <c r="F891" s="1" t="s">
        <v>400</v>
      </c>
      <c r="G891" s="11" t="s">
        <v>787</v>
      </c>
      <c r="H891" s="5">
        <v>1</v>
      </c>
      <c r="I891" s="5" t="str">
        <f>VLOOKUP(F891,'Set up'!$A$2:$C$70,3,FALSE)</f>
        <v>Cash</v>
      </c>
      <c r="J891" s="5">
        <f>VLOOKUP(F891,'Set up'!$A$2:$D$70,4,FALSE)</f>
        <v>0</v>
      </c>
      <c r="K891" s="4">
        <f t="shared" si="156"/>
        <v>44740</v>
      </c>
      <c r="L891" s="5">
        <f t="shared" si="157"/>
        <v>6</v>
      </c>
      <c r="M891" s="5">
        <f t="shared" si="158"/>
        <v>2022</v>
      </c>
      <c r="N891" s="6">
        <v>440</v>
      </c>
      <c r="O891" s="6">
        <f>-N891</f>
        <v>-440</v>
      </c>
      <c r="P891" s="6">
        <f t="shared" si="163"/>
        <v>0</v>
      </c>
      <c r="Q891" s="7">
        <f t="shared" si="159"/>
        <v>1586760.2500000005</v>
      </c>
      <c r="R891" s="44" t="str">
        <f>VLOOKUP(F891,'Set up'!$A$2:$E$70,5,FALSE)</f>
        <v>Trsf</v>
      </c>
      <c r="S891" s="1" t="s">
        <v>854</v>
      </c>
    </row>
    <row r="892" spans="1:19" x14ac:dyDescent="0.3">
      <c r="A892" s="4">
        <v>44741</v>
      </c>
      <c r="B892" s="5">
        <f t="shared" si="154"/>
        <v>6</v>
      </c>
      <c r="C892" s="5">
        <f t="shared" si="155"/>
        <v>2022</v>
      </c>
      <c r="D892" s="5" t="s">
        <v>847</v>
      </c>
      <c r="E892" s="5" t="str">
        <f>VLOOKUP(F892,'Set up'!$A$2:$C$70,2,FALSE)</f>
        <v>C00000010</v>
      </c>
      <c r="F892" s="1" t="s">
        <v>62</v>
      </c>
      <c r="G892" s="11" t="s">
        <v>722</v>
      </c>
      <c r="H892" s="5">
        <v>7</v>
      </c>
      <c r="I892" s="5">
        <f>VLOOKUP(F892,'Set up'!$A$2:$C$70,3,FALSE)</f>
        <v>120</v>
      </c>
      <c r="J892" s="5">
        <f>VLOOKUP(F892,'Set up'!$A$2:$D$70,4,FALSE)</f>
        <v>120</v>
      </c>
      <c r="K892" s="4">
        <f t="shared" si="156"/>
        <v>44861</v>
      </c>
      <c r="L892" s="5">
        <f t="shared" si="157"/>
        <v>10</v>
      </c>
      <c r="M892" s="5">
        <f t="shared" si="158"/>
        <v>2022</v>
      </c>
      <c r="N892" s="6">
        <v>13860</v>
      </c>
      <c r="O892" s="6">
        <f t="shared" ref="O892:O897" si="167">-N892</f>
        <v>-13860</v>
      </c>
      <c r="P892" s="6">
        <f t="shared" si="163"/>
        <v>0</v>
      </c>
      <c r="Q892" s="7">
        <f t="shared" si="159"/>
        <v>1600620.2500000005</v>
      </c>
      <c r="R892" s="44" t="str">
        <f>VLOOKUP(F892,'Set up'!$A$2:$E$70,5,FALSE)</f>
        <v>Trsf</v>
      </c>
      <c r="S892" s="1" t="s">
        <v>977</v>
      </c>
    </row>
    <row r="893" spans="1:19" x14ac:dyDescent="0.3">
      <c r="A893" s="4">
        <v>44741</v>
      </c>
      <c r="B893" s="5">
        <f t="shared" si="154"/>
        <v>6</v>
      </c>
      <c r="C893" s="5">
        <f t="shared" si="155"/>
        <v>2022</v>
      </c>
      <c r="D893" s="5" t="s">
        <v>847</v>
      </c>
      <c r="E893" s="5" t="str">
        <f>VLOOKUP(F893,'Set up'!$A$2:$C$70,2,FALSE)</f>
        <v>C00000010</v>
      </c>
      <c r="F893" s="1" t="s">
        <v>62</v>
      </c>
      <c r="G893" s="11" t="s">
        <v>654</v>
      </c>
      <c r="H893" s="5">
        <v>10</v>
      </c>
      <c r="I893" s="5">
        <f>VLOOKUP(F893,'Set up'!$A$2:$C$70,3,FALSE)</f>
        <v>120</v>
      </c>
      <c r="J893" s="5">
        <f>VLOOKUP(F893,'Set up'!$A$2:$D$70,4,FALSE)</f>
        <v>120</v>
      </c>
      <c r="K893" s="4">
        <f t="shared" si="156"/>
        <v>44861</v>
      </c>
      <c r="L893" s="5">
        <f t="shared" si="157"/>
        <v>10</v>
      </c>
      <c r="M893" s="5">
        <f t="shared" si="158"/>
        <v>2022</v>
      </c>
      <c r="N893" s="6">
        <v>2850</v>
      </c>
      <c r="O893" s="6">
        <f t="shared" si="167"/>
        <v>-2850</v>
      </c>
      <c r="P893" s="6">
        <f t="shared" si="163"/>
        <v>0</v>
      </c>
      <c r="Q893" s="7">
        <f t="shared" si="159"/>
        <v>1603470.2500000005</v>
      </c>
      <c r="R893" s="44" t="str">
        <f>VLOOKUP(F893,'Set up'!$A$2:$E$70,5,FALSE)</f>
        <v>Trsf</v>
      </c>
      <c r="S893" s="1" t="s">
        <v>977</v>
      </c>
    </row>
    <row r="894" spans="1:19" x14ac:dyDescent="0.3">
      <c r="A894" s="4">
        <v>44741</v>
      </c>
      <c r="B894" s="5">
        <f t="shared" si="154"/>
        <v>6</v>
      </c>
      <c r="C894" s="5">
        <f t="shared" si="155"/>
        <v>2022</v>
      </c>
      <c r="D894" s="5" t="s">
        <v>847</v>
      </c>
      <c r="E894" s="5" t="str">
        <f>VLOOKUP(F894,'Set up'!$A$2:$C$70,2,FALSE)</f>
        <v>C00000010</v>
      </c>
      <c r="F894" s="1" t="s">
        <v>62</v>
      </c>
      <c r="G894" s="11" t="s">
        <v>791</v>
      </c>
      <c r="H894" s="5">
        <v>10</v>
      </c>
      <c r="I894" s="5">
        <f>VLOOKUP(F894,'Set up'!$A$2:$C$70,3,FALSE)</f>
        <v>120</v>
      </c>
      <c r="J894" s="5">
        <f>VLOOKUP(F894,'Set up'!$A$2:$D$70,4,FALSE)</f>
        <v>120</v>
      </c>
      <c r="K894" s="4">
        <f t="shared" si="156"/>
        <v>44861</v>
      </c>
      <c r="L894" s="5">
        <f t="shared" si="157"/>
        <v>10</v>
      </c>
      <c r="M894" s="5">
        <f t="shared" si="158"/>
        <v>2022</v>
      </c>
      <c r="N894" s="6">
        <v>550</v>
      </c>
      <c r="O894" s="6">
        <f t="shared" si="167"/>
        <v>-550</v>
      </c>
      <c r="P894" s="6">
        <f t="shared" si="163"/>
        <v>0</v>
      </c>
      <c r="Q894" s="7">
        <f t="shared" si="159"/>
        <v>1604020.2500000005</v>
      </c>
      <c r="R894" s="44" t="str">
        <f>VLOOKUP(F894,'Set up'!$A$2:$E$70,5,FALSE)</f>
        <v>Trsf</v>
      </c>
      <c r="S894" s="1" t="s">
        <v>977</v>
      </c>
    </row>
    <row r="895" spans="1:19" x14ac:dyDescent="0.3">
      <c r="A895" s="4">
        <v>44741</v>
      </c>
      <c r="B895" s="5">
        <f t="shared" si="154"/>
        <v>6</v>
      </c>
      <c r="C895" s="5">
        <f t="shared" si="155"/>
        <v>2022</v>
      </c>
      <c r="D895" s="5" t="s">
        <v>847</v>
      </c>
      <c r="E895" s="5" t="str">
        <f>VLOOKUP(F895,'Set up'!$A$2:$C$70,2,FALSE)</f>
        <v>C00000010</v>
      </c>
      <c r="F895" s="1" t="s">
        <v>62</v>
      </c>
      <c r="G895" s="11" t="s">
        <v>46</v>
      </c>
      <c r="H895" s="5">
        <v>4</v>
      </c>
      <c r="I895" s="5">
        <f>VLOOKUP(F895,'Set up'!$A$2:$C$70,3,FALSE)</f>
        <v>120</v>
      </c>
      <c r="J895" s="5">
        <f>VLOOKUP(F895,'Set up'!$A$2:$D$70,4,FALSE)</f>
        <v>120</v>
      </c>
      <c r="K895" s="4">
        <f t="shared" si="156"/>
        <v>44861</v>
      </c>
      <c r="L895" s="5">
        <f t="shared" si="157"/>
        <v>10</v>
      </c>
      <c r="M895" s="5">
        <f t="shared" si="158"/>
        <v>2022</v>
      </c>
      <c r="N895" s="6">
        <v>420</v>
      </c>
      <c r="O895" s="6">
        <f t="shared" si="167"/>
        <v>-420</v>
      </c>
      <c r="P895" s="6">
        <f t="shared" si="163"/>
        <v>0</v>
      </c>
      <c r="Q895" s="7">
        <f t="shared" si="159"/>
        <v>1604440.2500000005</v>
      </c>
      <c r="R895" s="44" t="str">
        <f>VLOOKUP(F895,'Set up'!$A$2:$E$70,5,FALSE)</f>
        <v>Trsf</v>
      </c>
      <c r="S895" s="1" t="s">
        <v>977</v>
      </c>
    </row>
    <row r="896" spans="1:19" x14ac:dyDescent="0.3">
      <c r="A896" s="4">
        <v>44741</v>
      </c>
      <c r="B896" s="5">
        <f t="shared" si="154"/>
        <v>6</v>
      </c>
      <c r="C896" s="5">
        <f t="shared" si="155"/>
        <v>2022</v>
      </c>
      <c r="D896" s="5" t="s">
        <v>847</v>
      </c>
      <c r="E896" s="5" t="str">
        <f>VLOOKUP(F896,'Set up'!$A$2:$C$70,2,FALSE)</f>
        <v>C00000010</v>
      </c>
      <c r="F896" s="1" t="s">
        <v>62</v>
      </c>
      <c r="G896" s="11" t="s">
        <v>614</v>
      </c>
      <c r="H896" s="5">
        <v>1</v>
      </c>
      <c r="I896" s="5">
        <f>VLOOKUP(F896,'Set up'!$A$2:$C$70,3,FALSE)</f>
        <v>120</v>
      </c>
      <c r="J896" s="5">
        <f>VLOOKUP(F896,'Set up'!$A$2:$D$70,4,FALSE)</f>
        <v>120</v>
      </c>
      <c r="K896" s="4">
        <f t="shared" si="156"/>
        <v>44861</v>
      </c>
      <c r="L896" s="5">
        <f t="shared" si="157"/>
        <v>10</v>
      </c>
      <c r="M896" s="5">
        <f t="shared" si="158"/>
        <v>2022</v>
      </c>
      <c r="N896" s="6">
        <v>395</v>
      </c>
      <c r="O896" s="6">
        <f t="shared" si="167"/>
        <v>-395</v>
      </c>
      <c r="P896" s="6">
        <f t="shared" si="163"/>
        <v>0</v>
      </c>
      <c r="Q896" s="7">
        <f t="shared" si="159"/>
        <v>1604835.2500000005</v>
      </c>
      <c r="R896" s="44" t="str">
        <f>VLOOKUP(F896,'Set up'!$A$2:$E$70,5,FALSE)</f>
        <v>Trsf</v>
      </c>
      <c r="S896" s="1" t="s">
        <v>977</v>
      </c>
    </row>
    <row r="897" spans="1:19" x14ac:dyDescent="0.3">
      <c r="A897" s="4">
        <v>44741</v>
      </c>
      <c r="B897" s="5">
        <f t="shared" si="154"/>
        <v>6</v>
      </c>
      <c r="C897" s="5">
        <f t="shared" si="155"/>
        <v>2022</v>
      </c>
      <c r="D897" s="5" t="s">
        <v>847</v>
      </c>
      <c r="E897" s="5" t="str">
        <f>VLOOKUP(F897,'Set up'!$A$2:$C$70,2,FALSE)</f>
        <v>C00000010</v>
      </c>
      <c r="F897" s="1" t="s">
        <v>62</v>
      </c>
      <c r="G897" s="11" t="s">
        <v>787</v>
      </c>
      <c r="H897" s="5">
        <v>1</v>
      </c>
      <c r="I897" s="5">
        <f>VLOOKUP(F897,'Set up'!$A$2:$C$70,3,FALSE)</f>
        <v>120</v>
      </c>
      <c r="J897" s="5">
        <f>VLOOKUP(F897,'Set up'!$A$2:$D$70,4,FALSE)</f>
        <v>120</v>
      </c>
      <c r="K897" s="4">
        <f t="shared" si="156"/>
        <v>44861</v>
      </c>
      <c r="L897" s="5">
        <f t="shared" si="157"/>
        <v>10</v>
      </c>
      <c r="M897" s="5">
        <f t="shared" si="158"/>
        <v>2022</v>
      </c>
      <c r="N897" s="6">
        <v>440</v>
      </c>
      <c r="O897" s="6">
        <f t="shared" si="167"/>
        <v>-440</v>
      </c>
      <c r="P897" s="6">
        <f t="shared" si="163"/>
        <v>0</v>
      </c>
      <c r="Q897" s="7">
        <f t="shared" si="159"/>
        <v>1605275.2500000005</v>
      </c>
      <c r="R897" s="44" t="str">
        <f>VLOOKUP(F897,'Set up'!$A$2:$E$70,5,FALSE)</f>
        <v>Trsf</v>
      </c>
      <c r="S897" s="1" t="s">
        <v>977</v>
      </c>
    </row>
    <row r="898" spans="1:19" x14ac:dyDescent="0.3">
      <c r="A898" s="4">
        <v>44743</v>
      </c>
      <c r="B898" s="5">
        <f t="shared" si="154"/>
        <v>7</v>
      </c>
      <c r="C898" s="5">
        <f t="shared" si="155"/>
        <v>2022</v>
      </c>
      <c r="D898" s="5" t="s">
        <v>856</v>
      </c>
      <c r="E898" s="5" t="str">
        <f>VLOOKUP(F898,'Set up'!$A$2:$C$70,2,FALSE)</f>
        <v>C00000009</v>
      </c>
      <c r="F898" s="1" t="s">
        <v>58</v>
      </c>
      <c r="G898" s="95" t="s">
        <v>707</v>
      </c>
      <c r="H898" s="5">
        <v>3</v>
      </c>
      <c r="I898" s="5">
        <f>VLOOKUP(F898,'Set up'!$A$2:$C$70,3,FALSE)</f>
        <v>60</v>
      </c>
      <c r="J898" s="5">
        <f>VLOOKUP(F898,'Set up'!$A$2:$D$70,4,FALSE)</f>
        <v>60</v>
      </c>
      <c r="K898" s="4">
        <f t="shared" si="156"/>
        <v>44803</v>
      </c>
      <c r="L898" s="5">
        <f t="shared" si="157"/>
        <v>8</v>
      </c>
      <c r="M898" s="5">
        <f t="shared" si="158"/>
        <v>2022</v>
      </c>
      <c r="N898" s="6">
        <v>1539</v>
      </c>
      <c r="O898" s="6">
        <f>-N898</f>
        <v>-1539</v>
      </c>
      <c r="P898" s="6">
        <f t="shared" si="163"/>
        <v>0</v>
      </c>
      <c r="Q898" s="7">
        <f t="shared" si="159"/>
        <v>1606814.2500000005</v>
      </c>
      <c r="R898" s="44" t="str">
        <f>VLOOKUP(F898,'Set up'!$A$2:$E$70,5,FALSE)</f>
        <v>Chq</v>
      </c>
      <c r="S898" s="1" t="s">
        <v>1086</v>
      </c>
    </row>
    <row r="899" spans="1:19" x14ac:dyDescent="0.3">
      <c r="A899" s="4">
        <v>44754</v>
      </c>
      <c r="B899" s="5">
        <f t="shared" ref="B899:B962" si="168">MONTH(A899)</f>
        <v>7</v>
      </c>
      <c r="C899" s="5">
        <f t="shared" ref="C899:C962" si="169">YEAR(A899)</f>
        <v>2022</v>
      </c>
      <c r="D899" s="5" t="s">
        <v>857</v>
      </c>
      <c r="E899" s="5" t="str">
        <f>VLOOKUP(F899,'Set up'!$A$2:$C$70,2,FALSE)</f>
        <v>C00000019</v>
      </c>
      <c r="F899" s="1" t="s">
        <v>400</v>
      </c>
      <c r="G899" s="11" t="s">
        <v>719</v>
      </c>
      <c r="H899" s="5">
        <v>2</v>
      </c>
      <c r="I899" s="5" t="str">
        <f>VLOOKUP(F899,'Set up'!$A$2:$C$70,3,FALSE)</f>
        <v>Cash</v>
      </c>
      <c r="J899" s="5">
        <f>VLOOKUP(F899,'Set up'!$A$2:$D$70,4,FALSE)</f>
        <v>0</v>
      </c>
      <c r="K899" s="4">
        <f t="shared" ref="K899:K962" si="170">A899+J899</f>
        <v>44754</v>
      </c>
      <c r="L899" s="5">
        <f t="shared" ref="L899:L962" si="171">MONTH(K899)</f>
        <v>7</v>
      </c>
      <c r="M899" s="5">
        <f t="shared" ref="M899:M962" si="172">YEAR(K899)</f>
        <v>2022</v>
      </c>
      <c r="N899" s="6">
        <v>4136</v>
      </c>
      <c r="O899" s="6">
        <f>-N899</f>
        <v>-4136</v>
      </c>
      <c r="P899" s="6">
        <f t="shared" si="163"/>
        <v>0</v>
      </c>
      <c r="Q899" s="7">
        <f t="shared" ref="Q899:Q962" si="173">SUM(Q898+N899)</f>
        <v>1610950.2500000005</v>
      </c>
      <c r="R899" s="44" t="str">
        <f>VLOOKUP(F899,'Set up'!$A$2:$E$70,5,FALSE)</f>
        <v>Trsf</v>
      </c>
      <c r="S899" s="1" t="s">
        <v>878</v>
      </c>
    </row>
    <row r="900" spans="1:19" x14ac:dyDescent="0.3">
      <c r="A900" s="4">
        <v>44754</v>
      </c>
      <c r="B900" s="5">
        <f t="shared" si="168"/>
        <v>7</v>
      </c>
      <c r="C900" s="5">
        <f t="shared" si="169"/>
        <v>2022</v>
      </c>
      <c r="D900" s="5" t="s">
        <v>857</v>
      </c>
      <c r="E900" s="5" t="str">
        <f>VLOOKUP(F900,'Set up'!$A$2:$C$70,2,FALSE)</f>
        <v>C00000019</v>
      </c>
      <c r="F900" s="1" t="s">
        <v>400</v>
      </c>
      <c r="G900" s="11" t="s">
        <v>707</v>
      </c>
      <c r="H900" s="5">
        <v>2</v>
      </c>
      <c r="I900" s="5" t="str">
        <f>VLOOKUP(F900,'Set up'!$A$2:$C$70,3,FALSE)</f>
        <v>Cash</v>
      </c>
      <c r="J900" s="5">
        <f>VLOOKUP(F900,'Set up'!$A$2:$D$70,4,FALSE)</f>
        <v>0</v>
      </c>
      <c r="K900" s="4">
        <f t="shared" si="170"/>
        <v>44754</v>
      </c>
      <c r="L900" s="5">
        <f t="shared" si="171"/>
        <v>7</v>
      </c>
      <c r="M900" s="5">
        <f t="shared" si="172"/>
        <v>2022</v>
      </c>
      <c r="N900" s="6">
        <v>1047.5999999999999</v>
      </c>
      <c r="O900" s="6">
        <f>-N900</f>
        <v>-1047.5999999999999</v>
      </c>
      <c r="P900" s="6">
        <f t="shared" si="163"/>
        <v>0</v>
      </c>
      <c r="Q900" s="7">
        <f t="shared" si="173"/>
        <v>1611997.8500000006</v>
      </c>
      <c r="R900" s="44" t="str">
        <f>VLOOKUP(F900,'Set up'!$A$2:$E$70,5,FALSE)</f>
        <v>Trsf</v>
      </c>
      <c r="S900" s="1" t="s">
        <v>878</v>
      </c>
    </row>
    <row r="901" spans="1:19" x14ac:dyDescent="0.3">
      <c r="A901" s="4">
        <v>44756</v>
      </c>
      <c r="B901" s="5">
        <f t="shared" si="168"/>
        <v>7</v>
      </c>
      <c r="C901" s="5">
        <f t="shared" si="169"/>
        <v>2022</v>
      </c>
      <c r="D901" s="5" t="s">
        <v>858</v>
      </c>
      <c r="E901" s="5" t="str">
        <f>VLOOKUP(F901,'Set up'!$A$2:$C$70,2,FALSE)</f>
        <v>C00000020</v>
      </c>
      <c r="F901" s="1" t="s">
        <v>409</v>
      </c>
      <c r="G901" s="11" t="s">
        <v>716</v>
      </c>
      <c r="H901" s="5">
        <v>4</v>
      </c>
      <c r="I901" s="5" t="str">
        <f>VLOOKUP(F901,'Set up'!$A$2:$C$70,3,FALSE)</f>
        <v>Cash</v>
      </c>
      <c r="J901" s="5">
        <f>VLOOKUP(F901,'Set up'!$A$2:$D$70,4,FALSE)</f>
        <v>0</v>
      </c>
      <c r="K901" s="4">
        <f t="shared" si="170"/>
        <v>44756</v>
      </c>
      <c r="L901" s="5">
        <f t="shared" si="171"/>
        <v>7</v>
      </c>
      <c r="M901" s="5">
        <f t="shared" si="172"/>
        <v>2022</v>
      </c>
      <c r="N901" s="6">
        <v>8272</v>
      </c>
      <c r="O901" s="6">
        <f t="shared" ref="O901:O904" si="174">-N901</f>
        <v>-8272</v>
      </c>
      <c r="P901" s="6">
        <f t="shared" si="163"/>
        <v>0</v>
      </c>
      <c r="Q901" s="7">
        <f t="shared" si="173"/>
        <v>1620269.8500000006</v>
      </c>
      <c r="R901" s="44" t="str">
        <f>VLOOKUP(F901,'Set up'!$A$2:$E$70,5,FALSE)</f>
        <v>Trsf</v>
      </c>
      <c r="S901" s="1" t="s">
        <v>1163</v>
      </c>
    </row>
    <row r="902" spans="1:19" x14ac:dyDescent="0.3">
      <c r="A902" s="4">
        <v>44756</v>
      </c>
      <c r="B902" s="5">
        <f t="shared" si="168"/>
        <v>7</v>
      </c>
      <c r="C902" s="5">
        <f t="shared" si="169"/>
        <v>2022</v>
      </c>
      <c r="D902" s="5" t="s">
        <v>858</v>
      </c>
      <c r="E902" s="5" t="str">
        <f>VLOOKUP(F902,'Set up'!$A$2:$C$70,2,FALSE)</f>
        <v>C00000020</v>
      </c>
      <c r="F902" s="1" t="s">
        <v>409</v>
      </c>
      <c r="G902" s="11" t="s">
        <v>654</v>
      </c>
      <c r="H902" s="5">
        <v>9</v>
      </c>
      <c r="I902" s="5" t="str">
        <f>VLOOKUP(F902,'Set up'!$A$2:$C$70,3,FALSE)</f>
        <v>Cash</v>
      </c>
      <c r="J902" s="5">
        <f>VLOOKUP(F902,'Set up'!$A$2:$D$70,4,FALSE)</f>
        <v>0</v>
      </c>
      <c r="K902" s="4">
        <f t="shared" si="170"/>
        <v>44756</v>
      </c>
      <c r="L902" s="5">
        <f t="shared" si="171"/>
        <v>7</v>
      </c>
      <c r="M902" s="5">
        <f t="shared" si="172"/>
        <v>2022</v>
      </c>
      <c r="N902" s="6">
        <v>2646</v>
      </c>
      <c r="O902" s="6">
        <f t="shared" si="174"/>
        <v>-2646</v>
      </c>
      <c r="P902" s="6">
        <f t="shared" si="163"/>
        <v>0</v>
      </c>
      <c r="Q902" s="7">
        <f t="shared" si="173"/>
        <v>1622915.8500000006</v>
      </c>
      <c r="R902" s="44" t="str">
        <f>VLOOKUP(F902,'Set up'!$A$2:$E$70,5,FALSE)</f>
        <v>Trsf</v>
      </c>
      <c r="S902" s="1" t="s">
        <v>1163</v>
      </c>
    </row>
    <row r="903" spans="1:19" x14ac:dyDescent="0.3">
      <c r="A903" s="4">
        <v>44756</v>
      </c>
      <c r="B903" s="5">
        <f t="shared" si="168"/>
        <v>7</v>
      </c>
      <c r="C903" s="5">
        <f t="shared" si="169"/>
        <v>2022</v>
      </c>
      <c r="D903" s="5" t="s">
        <v>858</v>
      </c>
      <c r="E903" s="5" t="str">
        <f>VLOOKUP(F903,'Set up'!$A$2:$C$70,2,FALSE)</f>
        <v>C00000020</v>
      </c>
      <c r="F903" s="1" t="s">
        <v>409</v>
      </c>
      <c r="G903" s="11" t="s">
        <v>792</v>
      </c>
      <c r="H903" s="5">
        <v>5</v>
      </c>
      <c r="I903" s="5" t="str">
        <f>VLOOKUP(F903,'Set up'!$A$2:$C$70,3,FALSE)</f>
        <v>Cash</v>
      </c>
      <c r="J903" s="5">
        <f>VLOOKUP(F903,'Set up'!$A$2:$D$70,4,FALSE)</f>
        <v>0</v>
      </c>
      <c r="K903" s="4">
        <f t="shared" si="170"/>
        <v>44756</v>
      </c>
      <c r="L903" s="5">
        <f t="shared" si="171"/>
        <v>7</v>
      </c>
      <c r="M903" s="5">
        <f t="shared" si="172"/>
        <v>2022</v>
      </c>
      <c r="N903" s="6">
        <v>1687.5</v>
      </c>
      <c r="O903" s="6">
        <f t="shared" si="174"/>
        <v>-1687.5</v>
      </c>
      <c r="P903" s="6">
        <f t="shared" si="163"/>
        <v>0</v>
      </c>
      <c r="Q903" s="7">
        <f t="shared" si="173"/>
        <v>1624603.3500000006</v>
      </c>
      <c r="R903" s="44" t="str">
        <f>VLOOKUP(F903,'Set up'!$A$2:$E$70,5,FALSE)</f>
        <v>Trsf</v>
      </c>
      <c r="S903" s="1" t="s">
        <v>1163</v>
      </c>
    </row>
    <row r="904" spans="1:19" x14ac:dyDescent="0.3">
      <c r="A904" s="4">
        <v>44756</v>
      </c>
      <c r="B904" s="5">
        <f t="shared" si="168"/>
        <v>7</v>
      </c>
      <c r="C904" s="5">
        <f t="shared" si="169"/>
        <v>2022</v>
      </c>
      <c r="D904" s="5" t="s">
        <v>858</v>
      </c>
      <c r="E904" s="5" t="str">
        <f>VLOOKUP(F904,'Set up'!$A$2:$C$70,2,FALSE)</f>
        <v>C00000020</v>
      </c>
      <c r="F904" s="1" t="s">
        <v>409</v>
      </c>
      <c r="G904" s="11" t="s">
        <v>791</v>
      </c>
      <c r="H904" s="5">
        <v>4</v>
      </c>
      <c r="I904" s="5" t="str">
        <f>VLOOKUP(F904,'Set up'!$A$2:$C$70,3,FALSE)</f>
        <v>Cash</v>
      </c>
      <c r="J904" s="5">
        <f>VLOOKUP(F904,'Set up'!$A$2:$D$70,4,FALSE)</f>
        <v>0</v>
      </c>
      <c r="K904" s="4">
        <f t="shared" si="170"/>
        <v>44756</v>
      </c>
      <c r="L904" s="5">
        <f t="shared" si="171"/>
        <v>7</v>
      </c>
      <c r="M904" s="5">
        <f t="shared" si="172"/>
        <v>2022</v>
      </c>
      <c r="N904" s="6">
        <v>250</v>
      </c>
      <c r="O904" s="6">
        <f t="shared" si="174"/>
        <v>-250</v>
      </c>
      <c r="P904" s="6">
        <f t="shared" si="163"/>
        <v>0</v>
      </c>
      <c r="Q904" s="7">
        <f t="shared" si="173"/>
        <v>1624853.3500000006</v>
      </c>
      <c r="R904" s="44" t="str">
        <f>VLOOKUP(F904,'Set up'!$A$2:$E$70,5,FALSE)</f>
        <v>Trsf</v>
      </c>
      <c r="S904" s="1" t="s">
        <v>1163</v>
      </c>
    </row>
    <row r="905" spans="1:19" x14ac:dyDescent="0.3">
      <c r="A905" s="4">
        <v>44756</v>
      </c>
      <c r="B905" s="5">
        <f t="shared" si="168"/>
        <v>7</v>
      </c>
      <c r="C905" s="5">
        <f t="shared" si="169"/>
        <v>2022</v>
      </c>
      <c r="D905" s="5" t="s">
        <v>861</v>
      </c>
      <c r="E905" s="5" t="str">
        <f>VLOOKUP(F905,'Set up'!$A$2:$C$70,2,FALSE)</f>
        <v>C00000027</v>
      </c>
      <c r="F905" s="1" t="s">
        <v>859</v>
      </c>
      <c r="G905" s="11" t="s">
        <v>716</v>
      </c>
      <c r="H905" s="5">
        <v>2</v>
      </c>
      <c r="I905" s="5" t="str">
        <f>VLOOKUP(F905,'Set up'!$A$2:$C$70,3,FALSE)</f>
        <v>Cash</v>
      </c>
      <c r="J905" s="5">
        <f>VLOOKUP(F905,'Set up'!$A$2:$D$70,4,FALSE)</f>
        <v>0</v>
      </c>
      <c r="K905" s="4">
        <f t="shared" si="170"/>
        <v>44756</v>
      </c>
      <c r="L905" s="5">
        <f t="shared" si="171"/>
        <v>7</v>
      </c>
      <c r="M905" s="5">
        <f t="shared" si="172"/>
        <v>2022</v>
      </c>
      <c r="N905" s="6">
        <v>4004</v>
      </c>
      <c r="O905" s="6">
        <f t="shared" ref="O905:O924" si="175">-N905</f>
        <v>-4004</v>
      </c>
      <c r="P905" s="6">
        <f t="shared" si="163"/>
        <v>0</v>
      </c>
      <c r="Q905" s="7">
        <f t="shared" si="173"/>
        <v>1628857.3500000006</v>
      </c>
      <c r="R905" s="44" t="str">
        <f>VLOOKUP(F905,'Set up'!$A$2:$E$70,5,FALSE)</f>
        <v>Trsf</v>
      </c>
      <c r="S905" s="1" t="s">
        <v>1030</v>
      </c>
    </row>
    <row r="906" spans="1:19" x14ac:dyDescent="0.3">
      <c r="A906" s="4">
        <v>44756</v>
      </c>
      <c r="B906" s="5">
        <f t="shared" si="168"/>
        <v>7</v>
      </c>
      <c r="C906" s="5">
        <f t="shared" si="169"/>
        <v>2022</v>
      </c>
      <c r="D906" s="5" t="s">
        <v>861</v>
      </c>
      <c r="E906" s="5" t="str">
        <f>VLOOKUP(F906,'Set up'!$A$2:$C$70,2,FALSE)</f>
        <v>C00000027</v>
      </c>
      <c r="F906" s="1" t="s">
        <v>859</v>
      </c>
      <c r="G906" s="11" t="s">
        <v>707</v>
      </c>
      <c r="H906" s="5">
        <v>2</v>
      </c>
      <c r="I906" s="5" t="str">
        <f>VLOOKUP(F906,'Set up'!$A$2:$C$70,3,FALSE)</f>
        <v>Cash</v>
      </c>
      <c r="J906" s="5">
        <f>VLOOKUP(F906,'Set up'!$A$2:$D$70,4,FALSE)</f>
        <v>0</v>
      </c>
      <c r="K906" s="4">
        <f t="shared" si="170"/>
        <v>44756</v>
      </c>
      <c r="L906" s="5">
        <f t="shared" si="171"/>
        <v>7</v>
      </c>
      <c r="M906" s="5">
        <f t="shared" si="172"/>
        <v>2022</v>
      </c>
      <c r="N906" s="6">
        <v>1015.2</v>
      </c>
      <c r="O906" s="6">
        <f t="shared" si="175"/>
        <v>-1015.2</v>
      </c>
      <c r="P906" s="6">
        <f t="shared" si="163"/>
        <v>0</v>
      </c>
      <c r="Q906" s="7">
        <f t="shared" si="173"/>
        <v>1629872.5500000005</v>
      </c>
      <c r="R906" s="44" t="str">
        <f>VLOOKUP(F906,'Set up'!$A$2:$E$70,5,FALSE)</f>
        <v>Trsf</v>
      </c>
      <c r="S906" s="1" t="s">
        <v>1030</v>
      </c>
    </row>
    <row r="907" spans="1:19" x14ac:dyDescent="0.3">
      <c r="A907" s="4">
        <v>44756</v>
      </c>
      <c r="B907" s="5">
        <f t="shared" si="168"/>
        <v>7</v>
      </c>
      <c r="C907" s="5">
        <f t="shared" si="169"/>
        <v>2022</v>
      </c>
      <c r="D907" s="5" t="s">
        <v>861</v>
      </c>
      <c r="E907" s="5" t="str">
        <f>VLOOKUP(F907,'Set up'!$A$2:$C$70,2,FALSE)</f>
        <v>C00000027</v>
      </c>
      <c r="F907" s="1" t="s">
        <v>859</v>
      </c>
      <c r="G907" s="11" t="s">
        <v>792</v>
      </c>
      <c r="H907" s="5">
        <v>3</v>
      </c>
      <c r="I907" s="5" t="str">
        <f>VLOOKUP(F907,'Set up'!$A$2:$C$70,3,FALSE)</f>
        <v>Cash</v>
      </c>
      <c r="J907" s="5">
        <f>VLOOKUP(F907,'Set up'!$A$2:$D$70,4,FALSE)</f>
        <v>0</v>
      </c>
      <c r="K907" s="4">
        <f t="shared" si="170"/>
        <v>44756</v>
      </c>
      <c r="L907" s="5">
        <f t="shared" si="171"/>
        <v>7</v>
      </c>
      <c r="M907" s="5">
        <f t="shared" si="172"/>
        <v>2022</v>
      </c>
      <c r="N907" s="6">
        <v>945</v>
      </c>
      <c r="O907" s="6">
        <f t="shared" si="175"/>
        <v>-945</v>
      </c>
      <c r="P907" s="6">
        <f t="shared" si="163"/>
        <v>0</v>
      </c>
      <c r="Q907" s="7">
        <f t="shared" si="173"/>
        <v>1630817.5500000005</v>
      </c>
      <c r="R907" s="44" t="str">
        <f>VLOOKUP(F907,'Set up'!$A$2:$E$70,5,FALSE)</f>
        <v>Trsf</v>
      </c>
      <c r="S907" s="1" t="s">
        <v>1030</v>
      </c>
    </row>
    <row r="908" spans="1:19" x14ac:dyDescent="0.3">
      <c r="A908" s="4">
        <v>44756</v>
      </c>
      <c r="B908" s="5">
        <f t="shared" si="168"/>
        <v>7</v>
      </c>
      <c r="C908" s="5">
        <f t="shared" si="169"/>
        <v>2022</v>
      </c>
      <c r="D908" s="5" t="s">
        <v>861</v>
      </c>
      <c r="E908" s="5" t="str">
        <f>VLOOKUP(F908,'Set up'!$A$2:$C$70,2,FALSE)</f>
        <v>C00000027</v>
      </c>
      <c r="F908" s="1" t="s">
        <v>859</v>
      </c>
      <c r="G908" s="11" t="s">
        <v>862</v>
      </c>
      <c r="H908" s="5">
        <v>2</v>
      </c>
      <c r="I908" s="5" t="str">
        <f>VLOOKUP(F908,'Set up'!$A$2:$C$70,3,FALSE)</f>
        <v>Cash</v>
      </c>
      <c r="J908" s="5">
        <f>VLOOKUP(F908,'Set up'!$A$2:$D$70,4,FALSE)</f>
        <v>0</v>
      </c>
      <c r="K908" s="4">
        <f t="shared" si="170"/>
        <v>44756</v>
      </c>
      <c r="L908" s="5">
        <f t="shared" si="171"/>
        <v>7</v>
      </c>
      <c r="M908" s="5">
        <f t="shared" si="172"/>
        <v>2022</v>
      </c>
      <c r="N908" s="6">
        <v>320</v>
      </c>
      <c r="O908" s="6">
        <f t="shared" si="175"/>
        <v>-320</v>
      </c>
      <c r="P908" s="6">
        <f t="shared" si="163"/>
        <v>0</v>
      </c>
      <c r="Q908" s="7">
        <f t="shared" si="173"/>
        <v>1631137.5500000005</v>
      </c>
      <c r="R908" s="44" t="str">
        <f>VLOOKUP(F908,'Set up'!$A$2:$E$70,5,FALSE)</f>
        <v>Trsf</v>
      </c>
      <c r="S908" s="1" t="s">
        <v>1030</v>
      </c>
    </row>
    <row r="909" spans="1:19" x14ac:dyDescent="0.3">
      <c r="A909" s="4">
        <v>44756</v>
      </c>
      <c r="B909" s="5">
        <f t="shared" si="168"/>
        <v>7</v>
      </c>
      <c r="C909" s="5">
        <f t="shared" si="169"/>
        <v>2022</v>
      </c>
      <c r="D909" s="5" t="s">
        <v>861</v>
      </c>
      <c r="E909" s="5" t="str">
        <f>VLOOKUP(F909,'Set up'!$A$2:$C$70,2,FALSE)</f>
        <v>C00000027</v>
      </c>
      <c r="F909" s="1" t="s">
        <v>859</v>
      </c>
      <c r="G909" s="11" t="s">
        <v>666</v>
      </c>
      <c r="H909" s="5">
        <v>1</v>
      </c>
      <c r="I909" s="5" t="str">
        <f>VLOOKUP(F909,'Set up'!$A$2:$C$70,3,FALSE)</f>
        <v>Cash</v>
      </c>
      <c r="J909" s="5">
        <f>VLOOKUP(F909,'Set up'!$A$2:$D$70,4,FALSE)</f>
        <v>0</v>
      </c>
      <c r="K909" s="4">
        <f t="shared" si="170"/>
        <v>44756</v>
      </c>
      <c r="L909" s="5">
        <f t="shared" si="171"/>
        <v>7</v>
      </c>
      <c r="M909" s="5">
        <f t="shared" si="172"/>
        <v>2022</v>
      </c>
      <c r="N909" s="6">
        <v>90</v>
      </c>
      <c r="O909" s="6">
        <f t="shared" si="175"/>
        <v>-90</v>
      </c>
      <c r="P909" s="6">
        <f t="shared" si="163"/>
        <v>0</v>
      </c>
      <c r="Q909" s="7">
        <f t="shared" si="173"/>
        <v>1631227.5500000005</v>
      </c>
      <c r="R909" s="44" t="str">
        <f>VLOOKUP(F909,'Set up'!$A$2:$E$70,5,FALSE)</f>
        <v>Trsf</v>
      </c>
      <c r="S909" s="1" t="s">
        <v>1030</v>
      </c>
    </row>
    <row r="910" spans="1:19" x14ac:dyDescent="0.3">
      <c r="A910" s="4">
        <v>44756</v>
      </c>
      <c r="B910" s="5">
        <f t="shared" si="168"/>
        <v>7</v>
      </c>
      <c r="C910" s="5">
        <f t="shared" si="169"/>
        <v>2022</v>
      </c>
      <c r="D910" s="5" t="s">
        <v>861</v>
      </c>
      <c r="E910" s="5" t="str">
        <f>VLOOKUP(F910,'Set up'!$A$2:$C$70,2,FALSE)</f>
        <v>C00000027</v>
      </c>
      <c r="F910" s="1" t="s">
        <v>859</v>
      </c>
      <c r="G910" s="11" t="s">
        <v>863</v>
      </c>
      <c r="H910" s="5">
        <v>1</v>
      </c>
      <c r="I910" s="5" t="str">
        <f>VLOOKUP(F910,'Set up'!$A$2:$C$70,3,FALSE)</f>
        <v>Cash</v>
      </c>
      <c r="J910" s="5">
        <f>VLOOKUP(F910,'Set up'!$A$2:$D$70,4,FALSE)</f>
        <v>0</v>
      </c>
      <c r="K910" s="4">
        <f t="shared" si="170"/>
        <v>44756</v>
      </c>
      <c r="L910" s="5">
        <f t="shared" si="171"/>
        <v>7</v>
      </c>
      <c r="M910" s="5">
        <f t="shared" si="172"/>
        <v>2022</v>
      </c>
      <c r="N910" s="6">
        <v>500</v>
      </c>
      <c r="O910" s="6">
        <f t="shared" si="175"/>
        <v>-500</v>
      </c>
      <c r="P910" s="6">
        <f t="shared" si="163"/>
        <v>0</v>
      </c>
      <c r="Q910" s="7">
        <f t="shared" si="173"/>
        <v>1631727.5500000005</v>
      </c>
      <c r="R910" s="44" t="str">
        <f>VLOOKUP(F910,'Set up'!$A$2:$E$70,5,FALSE)</f>
        <v>Trsf</v>
      </c>
      <c r="S910" s="1" t="s">
        <v>1030</v>
      </c>
    </row>
    <row r="911" spans="1:19" x14ac:dyDescent="0.3">
      <c r="A911" s="4">
        <v>44756</v>
      </c>
      <c r="B911" s="5">
        <f t="shared" si="168"/>
        <v>7</v>
      </c>
      <c r="C911" s="5">
        <f t="shared" si="169"/>
        <v>2022</v>
      </c>
      <c r="D911" s="5" t="s">
        <v>861</v>
      </c>
      <c r="E911" s="5" t="str">
        <f>VLOOKUP(F911,'Set up'!$A$2:$C$70,2,FALSE)</f>
        <v>C00000027</v>
      </c>
      <c r="F911" s="1" t="s">
        <v>859</v>
      </c>
      <c r="G911" s="11" t="s">
        <v>864</v>
      </c>
      <c r="H911" s="5">
        <v>1</v>
      </c>
      <c r="I911" s="5" t="str">
        <f>VLOOKUP(F911,'Set up'!$A$2:$C$70,3,FALSE)</f>
        <v>Cash</v>
      </c>
      <c r="J911" s="5">
        <f>VLOOKUP(F911,'Set up'!$A$2:$D$70,4,FALSE)</f>
        <v>0</v>
      </c>
      <c r="K911" s="4">
        <f t="shared" si="170"/>
        <v>44756</v>
      </c>
      <c r="L911" s="5">
        <f t="shared" si="171"/>
        <v>7</v>
      </c>
      <c r="M911" s="5">
        <f t="shared" si="172"/>
        <v>2022</v>
      </c>
      <c r="N911" s="6">
        <v>170</v>
      </c>
      <c r="O911" s="6">
        <f t="shared" si="175"/>
        <v>-170</v>
      </c>
      <c r="P911" s="6">
        <f t="shared" si="163"/>
        <v>0</v>
      </c>
      <c r="Q911" s="7">
        <f t="shared" si="173"/>
        <v>1631897.5500000005</v>
      </c>
      <c r="R911" s="44" t="str">
        <f>VLOOKUP(F911,'Set up'!$A$2:$E$70,5,FALSE)</f>
        <v>Trsf</v>
      </c>
      <c r="S911" s="1" t="s">
        <v>1030</v>
      </c>
    </row>
    <row r="912" spans="1:19" x14ac:dyDescent="0.3">
      <c r="A912" s="4">
        <v>44756</v>
      </c>
      <c r="B912" s="5">
        <f t="shared" si="168"/>
        <v>7</v>
      </c>
      <c r="C912" s="5">
        <f t="shared" si="169"/>
        <v>2022</v>
      </c>
      <c r="D912" s="5" t="s">
        <v>861</v>
      </c>
      <c r="E912" s="5" t="str">
        <f>VLOOKUP(F912,'Set up'!$A$2:$C$70,2,FALSE)</f>
        <v>C00000027</v>
      </c>
      <c r="F912" s="1" t="s">
        <v>859</v>
      </c>
      <c r="G912" s="11" t="s">
        <v>865</v>
      </c>
      <c r="H912" s="5">
        <v>6</v>
      </c>
      <c r="I912" s="5" t="str">
        <f>VLOOKUP(F912,'Set up'!$A$2:$C$70,3,FALSE)</f>
        <v>Cash</v>
      </c>
      <c r="J912" s="5">
        <f>VLOOKUP(F912,'Set up'!$A$2:$D$70,4,FALSE)</f>
        <v>0</v>
      </c>
      <c r="K912" s="4">
        <f t="shared" si="170"/>
        <v>44756</v>
      </c>
      <c r="L912" s="5">
        <f t="shared" si="171"/>
        <v>7</v>
      </c>
      <c r="M912" s="5">
        <f t="shared" si="172"/>
        <v>2022</v>
      </c>
      <c r="N912" s="6">
        <v>1524</v>
      </c>
      <c r="O912" s="6">
        <f t="shared" si="175"/>
        <v>-1524</v>
      </c>
      <c r="P912" s="6">
        <f t="shared" si="163"/>
        <v>0</v>
      </c>
      <c r="Q912" s="7">
        <f t="shared" si="173"/>
        <v>1633421.5500000005</v>
      </c>
      <c r="R912" s="44" t="str">
        <f>VLOOKUP(F912,'Set up'!$A$2:$E$70,5,FALSE)</f>
        <v>Trsf</v>
      </c>
      <c r="S912" s="1" t="s">
        <v>1030</v>
      </c>
    </row>
    <row r="913" spans="1:19" x14ac:dyDescent="0.3">
      <c r="A913" s="4">
        <v>44760</v>
      </c>
      <c r="B913" s="5">
        <f t="shared" si="168"/>
        <v>7</v>
      </c>
      <c r="C913" s="5">
        <f t="shared" si="169"/>
        <v>2022</v>
      </c>
      <c r="D913" s="5" t="s">
        <v>866</v>
      </c>
      <c r="E913" s="5" t="str">
        <f>VLOOKUP(F913,'Set up'!$A$2:$C$70,2,FALSE)</f>
        <v>C00000020</v>
      </c>
      <c r="F913" s="1" t="s">
        <v>409</v>
      </c>
      <c r="G913" s="11" t="s">
        <v>716</v>
      </c>
      <c r="H913" s="5">
        <v>2</v>
      </c>
      <c r="I913" s="5" t="str">
        <f>VLOOKUP(F913,'Set up'!$A$2:$C$70,3,FALSE)</f>
        <v>Cash</v>
      </c>
      <c r="J913" s="5">
        <f>VLOOKUP(F913,'Set up'!$A$2:$D$70,4,FALSE)</f>
        <v>0</v>
      </c>
      <c r="K913" s="4">
        <f t="shared" si="170"/>
        <v>44760</v>
      </c>
      <c r="L913" s="5">
        <f t="shared" si="171"/>
        <v>7</v>
      </c>
      <c r="M913" s="5">
        <f t="shared" si="172"/>
        <v>2022</v>
      </c>
      <c r="N913" s="6">
        <v>4136</v>
      </c>
      <c r="O913" s="6">
        <f t="shared" si="175"/>
        <v>-4136</v>
      </c>
      <c r="P913" s="6">
        <f t="shared" si="163"/>
        <v>0</v>
      </c>
      <c r="Q913" s="7">
        <f t="shared" si="173"/>
        <v>1637557.5500000005</v>
      </c>
      <c r="R913" s="44" t="str">
        <f>VLOOKUP(F913,'Set up'!$A$2:$E$70,5,FALSE)</f>
        <v>Trsf</v>
      </c>
      <c r="S913" s="1" t="s">
        <v>1163</v>
      </c>
    </row>
    <row r="914" spans="1:19" x14ac:dyDescent="0.3">
      <c r="A914" s="4">
        <v>44760</v>
      </c>
      <c r="B914" s="5">
        <f t="shared" si="168"/>
        <v>7</v>
      </c>
      <c r="C914" s="5">
        <f t="shared" si="169"/>
        <v>2022</v>
      </c>
      <c r="D914" s="5" t="s">
        <v>866</v>
      </c>
      <c r="E914" s="5" t="str">
        <f>VLOOKUP(F914,'Set up'!$A$2:$C$70,2,FALSE)</f>
        <v>C00000020</v>
      </c>
      <c r="F914" s="1" t="s">
        <v>409</v>
      </c>
      <c r="G914" s="11" t="s">
        <v>654</v>
      </c>
      <c r="H914" s="5">
        <v>8</v>
      </c>
      <c r="I914" s="5" t="str">
        <f>VLOOKUP(F914,'Set up'!$A$2:$C$70,3,FALSE)</f>
        <v>Cash</v>
      </c>
      <c r="J914" s="5">
        <f>VLOOKUP(F914,'Set up'!$A$2:$D$70,4,FALSE)</f>
        <v>0</v>
      </c>
      <c r="K914" s="4">
        <f t="shared" si="170"/>
        <v>44760</v>
      </c>
      <c r="L914" s="5">
        <f t="shared" si="171"/>
        <v>7</v>
      </c>
      <c r="M914" s="5">
        <f t="shared" si="172"/>
        <v>2022</v>
      </c>
      <c r="N914" s="6">
        <v>2352</v>
      </c>
      <c r="O914" s="6">
        <f t="shared" si="175"/>
        <v>-2352</v>
      </c>
      <c r="P914" s="6">
        <f t="shared" si="163"/>
        <v>0</v>
      </c>
      <c r="Q914" s="7">
        <f t="shared" si="173"/>
        <v>1639909.5500000005</v>
      </c>
      <c r="R914" s="44" t="str">
        <f>VLOOKUP(F914,'Set up'!$A$2:$E$70,5,FALSE)</f>
        <v>Trsf</v>
      </c>
      <c r="S914" s="1" t="s">
        <v>1163</v>
      </c>
    </row>
    <row r="915" spans="1:19" x14ac:dyDescent="0.3">
      <c r="A915" s="4">
        <v>44760</v>
      </c>
      <c r="B915" s="5">
        <f t="shared" si="168"/>
        <v>7</v>
      </c>
      <c r="C915" s="5">
        <f t="shared" si="169"/>
        <v>2022</v>
      </c>
      <c r="D915" s="5" t="s">
        <v>866</v>
      </c>
      <c r="E915" s="5" t="str">
        <f>VLOOKUP(F915,'Set up'!$A$2:$C$70,2,FALSE)</f>
        <v>C00000020</v>
      </c>
      <c r="F915" s="1" t="s">
        <v>409</v>
      </c>
      <c r="G915" s="11" t="s">
        <v>778</v>
      </c>
      <c r="H915" s="5">
        <v>4</v>
      </c>
      <c r="I915" s="5" t="str">
        <f>VLOOKUP(F915,'Set up'!$A$2:$C$70,3,FALSE)</f>
        <v>Cash</v>
      </c>
      <c r="J915" s="5">
        <f>VLOOKUP(F915,'Set up'!$A$2:$D$70,4,FALSE)</f>
        <v>0</v>
      </c>
      <c r="K915" s="4">
        <f t="shared" si="170"/>
        <v>44760</v>
      </c>
      <c r="L915" s="5">
        <f t="shared" si="171"/>
        <v>7</v>
      </c>
      <c r="M915" s="5">
        <f t="shared" si="172"/>
        <v>2022</v>
      </c>
      <c r="N915" s="6">
        <v>1200</v>
      </c>
      <c r="O915" s="6">
        <f>-260.8-939.2</f>
        <v>-1200</v>
      </c>
      <c r="P915" s="6">
        <f t="shared" si="163"/>
        <v>0</v>
      </c>
      <c r="Q915" s="7">
        <f t="shared" si="173"/>
        <v>1641109.5500000005</v>
      </c>
      <c r="R915" s="44" t="str">
        <f>VLOOKUP(F915,'Set up'!$A$2:$E$70,5,FALSE)</f>
        <v>Trsf</v>
      </c>
      <c r="S915" s="1" t="s">
        <v>1164</v>
      </c>
    </row>
    <row r="916" spans="1:19" x14ac:dyDescent="0.3">
      <c r="A916" s="4">
        <v>44760</v>
      </c>
      <c r="B916" s="5">
        <f t="shared" si="168"/>
        <v>7</v>
      </c>
      <c r="C916" s="5">
        <f t="shared" si="169"/>
        <v>2022</v>
      </c>
      <c r="D916" s="5" t="s">
        <v>866</v>
      </c>
      <c r="E916" s="5" t="str">
        <f>VLOOKUP(F916,'Set up'!$A$2:$C$70,2,FALSE)</f>
        <v>C00000020</v>
      </c>
      <c r="F916" s="1" t="s">
        <v>409</v>
      </c>
      <c r="G916" s="11" t="s">
        <v>791</v>
      </c>
      <c r="H916" s="5">
        <v>2</v>
      </c>
      <c r="I916" s="5" t="str">
        <f>VLOOKUP(F916,'Set up'!$A$2:$C$70,3,FALSE)</f>
        <v>Cash</v>
      </c>
      <c r="J916" s="5">
        <f>VLOOKUP(F916,'Set up'!$A$2:$D$70,4,FALSE)</f>
        <v>0</v>
      </c>
      <c r="K916" s="4">
        <f t="shared" si="170"/>
        <v>44760</v>
      </c>
      <c r="L916" s="5">
        <f t="shared" si="171"/>
        <v>7</v>
      </c>
      <c r="M916" s="5">
        <f t="shared" si="172"/>
        <v>2022</v>
      </c>
      <c r="N916" s="6">
        <v>125</v>
      </c>
      <c r="O916" s="6">
        <f t="shared" si="175"/>
        <v>-125</v>
      </c>
      <c r="P916" s="6">
        <f t="shared" si="163"/>
        <v>0</v>
      </c>
      <c r="Q916" s="7">
        <f t="shared" si="173"/>
        <v>1641234.5500000005</v>
      </c>
      <c r="R916" s="44" t="str">
        <f>VLOOKUP(F916,'Set up'!$A$2:$E$70,5,FALSE)</f>
        <v>Trsf</v>
      </c>
      <c r="S916" s="1" t="s">
        <v>1165</v>
      </c>
    </row>
    <row r="917" spans="1:19" x14ac:dyDescent="0.3">
      <c r="A917" s="4">
        <v>44760</v>
      </c>
      <c r="B917" s="5">
        <f t="shared" si="168"/>
        <v>7</v>
      </c>
      <c r="C917" s="5">
        <f t="shared" si="169"/>
        <v>2022</v>
      </c>
      <c r="D917" s="5" t="s">
        <v>866</v>
      </c>
      <c r="E917" s="5" t="str">
        <f>VLOOKUP(F917,'Set up'!$A$2:$C$70,2,FALSE)</f>
        <v>C00000020</v>
      </c>
      <c r="F917" s="1" t="s">
        <v>409</v>
      </c>
      <c r="G917" s="11" t="s">
        <v>659</v>
      </c>
      <c r="H917" s="5">
        <v>1</v>
      </c>
      <c r="I917" s="5" t="str">
        <f>VLOOKUP(F917,'Set up'!$A$2:$C$70,3,FALSE)</f>
        <v>Cash</v>
      </c>
      <c r="J917" s="5">
        <f>VLOOKUP(F917,'Set up'!$A$2:$D$70,4,FALSE)</f>
        <v>0</v>
      </c>
      <c r="K917" s="4">
        <f t="shared" si="170"/>
        <v>44760</v>
      </c>
      <c r="L917" s="5">
        <f t="shared" si="171"/>
        <v>7</v>
      </c>
      <c r="M917" s="5">
        <f t="shared" si="172"/>
        <v>2022</v>
      </c>
      <c r="N917" s="6">
        <v>1000</v>
      </c>
      <c r="O917" s="6">
        <f t="shared" si="175"/>
        <v>-1000</v>
      </c>
      <c r="P917" s="6">
        <f t="shared" ref="P917:P969" si="176">SUM(N917+O917)</f>
        <v>0</v>
      </c>
      <c r="Q917" s="7">
        <f t="shared" si="173"/>
        <v>1642234.5500000005</v>
      </c>
      <c r="R917" s="44" t="str">
        <f>VLOOKUP(F917,'Set up'!$A$2:$E$70,5,FALSE)</f>
        <v>Trsf</v>
      </c>
      <c r="S917" s="1" t="s">
        <v>1165</v>
      </c>
    </row>
    <row r="918" spans="1:19" x14ac:dyDescent="0.3">
      <c r="A918" s="4">
        <v>44760</v>
      </c>
      <c r="B918" s="5">
        <f t="shared" si="168"/>
        <v>7</v>
      </c>
      <c r="C918" s="5">
        <f t="shared" si="169"/>
        <v>2022</v>
      </c>
      <c r="D918" s="5" t="s">
        <v>866</v>
      </c>
      <c r="E918" s="5" t="str">
        <f>VLOOKUP(F918,'Set up'!$A$2:$C$70,2,FALSE)</f>
        <v>C00000020</v>
      </c>
      <c r="F918" s="1" t="s">
        <v>409</v>
      </c>
      <c r="G918" s="11" t="s">
        <v>666</v>
      </c>
      <c r="H918" s="5">
        <v>4</v>
      </c>
      <c r="I918" s="5" t="str">
        <f>VLOOKUP(F918,'Set up'!$A$2:$C$70,3,FALSE)</f>
        <v>Cash</v>
      </c>
      <c r="J918" s="5">
        <f>VLOOKUP(F918,'Set up'!$A$2:$D$70,4,FALSE)</f>
        <v>0</v>
      </c>
      <c r="K918" s="4">
        <f t="shared" si="170"/>
        <v>44760</v>
      </c>
      <c r="L918" s="5">
        <f t="shared" si="171"/>
        <v>7</v>
      </c>
      <c r="M918" s="5">
        <f t="shared" si="172"/>
        <v>2022</v>
      </c>
      <c r="N918" s="6">
        <v>340</v>
      </c>
      <c r="O918" s="6">
        <f t="shared" si="175"/>
        <v>-340</v>
      </c>
      <c r="P918" s="6">
        <f t="shared" si="176"/>
        <v>0</v>
      </c>
      <c r="Q918" s="7">
        <f t="shared" si="173"/>
        <v>1642574.5500000005</v>
      </c>
      <c r="R918" s="44" t="str">
        <f>VLOOKUP(F918,'Set up'!$A$2:$E$70,5,FALSE)</f>
        <v>Trsf</v>
      </c>
      <c r="S918" s="1" t="s">
        <v>1165</v>
      </c>
    </row>
    <row r="919" spans="1:19" x14ac:dyDescent="0.3">
      <c r="A919" s="4">
        <v>44762</v>
      </c>
      <c r="B919" s="5">
        <f t="shared" si="168"/>
        <v>7</v>
      </c>
      <c r="C919" s="5">
        <f t="shared" si="169"/>
        <v>2022</v>
      </c>
      <c r="D919" s="5" t="s">
        <v>867</v>
      </c>
      <c r="E919" s="5" t="str">
        <f>VLOOKUP(F919,'Set up'!$A$2:$C$70,2,FALSE)</f>
        <v>C00000020</v>
      </c>
      <c r="F919" s="1" t="s">
        <v>409</v>
      </c>
      <c r="G919" s="11" t="s">
        <v>654</v>
      </c>
      <c r="H919" s="5">
        <v>2</v>
      </c>
      <c r="I919" s="5" t="str">
        <f>VLOOKUP(F919,'Set up'!$A$2:$C$70,3,FALSE)</f>
        <v>Cash</v>
      </c>
      <c r="J919" s="5">
        <f>VLOOKUP(F919,'Set up'!$A$2:$D$70,4,FALSE)</f>
        <v>0</v>
      </c>
      <c r="K919" s="4">
        <f t="shared" si="170"/>
        <v>44762</v>
      </c>
      <c r="L919" s="5">
        <f t="shared" si="171"/>
        <v>7</v>
      </c>
      <c r="M919" s="5">
        <f t="shared" si="172"/>
        <v>2022</v>
      </c>
      <c r="N919" s="6">
        <v>588</v>
      </c>
      <c r="O919" s="6">
        <f t="shared" si="175"/>
        <v>-588</v>
      </c>
      <c r="P919" s="6">
        <f t="shared" si="176"/>
        <v>0</v>
      </c>
      <c r="Q919" s="7">
        <f t="shared" si="173"/>
        <v>1643162.5500000005</v>
      </c>
      <c r="R919" s="44" t="str">
        <f>VLOOKUP(F919,'Set up'!$A$2:$E$70,5,FALSE)</f>
        <v>Trsf</v>
      </c>
      <c r="S919" s="1" t="s">
        <v>1165</v>
      </c>
    </row>
    <row r="920" spans="1:19" x14ac:dyDescent="0.3">
      <c r="A920" s="4">
        <v>44762</v>
      </c>
      <c r="B920" s="5">
        <f t="shared" si="168"/>
        <v>7</v>
      </c>
      <c r="C920" s="5">
        <f t="shared" si="169"/>
        <v>2022</v>
      </c>
      <c r="D920" s="5" t="s">
        <v>867</v>
      </c>
      <c r="E920" s="5" t="str">
        <f>VLOOKUP(F920,'Set up'!$A$2:$C$70,2,FALSE)</f>
        <v>C00000020</v>
      </c>
      <c r="F920" s="1" t="s">
        <v>409</v>
      </c>
      <c r="G920" s="11" t="s">
        <v>792</v>
      </c>
      <c r="H920" s="5">
        <v>1</v>
      </c>
      <c r="I920" s="5" t="str">
        <f>VLOOKUP(F920,'Set up'!$A$2:$C$70,3,FALSE)</f>
        <v>Cash</v>
      </c>
      <c r="J920" s="5">
        <f>VLOOKUP(F920,'Set up'!$A$2:$D$70,4,FALSE)</f>
        <v>0</v>
      </c>
      <c r="K920" s="4">
        <f t="shared" si="170"/>
        <v>44762</v>
      </c>
      <c r="L920" s="5">
        <f t="shared" si="171"/>
        <v>7</v>
      </c>
      <c r="M920" s="5">
        <f t="shared" si="172"/>
        <v>2022</v>
      </c>
      <c r="N920" s="6">
        <v>337.5</v>
      </c>
      <c r="O920" s="6">
        <f t="shared" si="175"/>
        <v>-337.5</v>
      </c>
      <c r="P920" s="6">
        <f t="shared" si="176"/>
        <v>0</v>
      </c>
      <c r="Q920" s="7">
        <f t="shared" si="173"/>
        <v>1643500.0500000005</v>
      </c>
      <c r="R920" s="44" t="str">
        <f>VLOOKUP(F920,'Set up'!$A$2:$E$70,5,FALSE)</f>
        <v>Trsf</v>
      </c>
      <c r="S920" s="1" t="s">
        <v>1165</v>
      </c>
    </row>
    <row r="921" spans="1:19" x14ac:dyDescent="0.3">
      <c r="A921" s="4">
        <v>44765</v>
      </c>
      <c r="B921" s="5">
        <f t="shared" si="168"/>
        <v>7</v>
      </c>
      <c r="C921" s="5">
        <f t="shared" si="169"/>
        <v>2022</v>
      </c>
      <c r="D921" s="5" t="s">
        <v>868</v>
      </c>
      <c r="E921" s="5" t="str">
        <f>VLOOKUP(F921,'Set up'!$A$2:$C$70,2,FALSE)</f>
        <v>C00000020</v>
      </c>
      <c r="F921" s="1" t="s">
        <v>409</v>
      </c>
      <c r="G921" s="11" t="s">
        <v>719</v>
      </c>
      <c r="H921" s="5">
        <v>2</v>
      </c>
      <c r="I921" s="5" t="str">
        <f>VLOOKUP(F921,'Set up'!$A$2:$C$70,3,FALSE)</f>
        <v>Cash</v>
      </c>
      <c r="J921" s="5">
        <f>VLOOKUP(F921,'Set up'!$A$2:$D$70,4,FALSE)</f>
        <v>0</v>
      </c>
      <c r="K921" s="4">
        <f t="shared" si="170"/>
        <v>44765</v>
      </c>
      <c r="L921" s="5">
        <f t="shared" si="171"/>
        <v>7</v>
      </c>
      <c r="M921" s="5">
        <f t="shared" si="172"/>
        <v>2022</v>
      </c>
      <c r="N921" s="12">
        <v>4136</v>
      </c>
      <c r="O921" s="12">
        <f>-1670.3-2465.7</f>
        <v>-4136</v>
      </c>
      <c r="P921" s="12">
        <f t="shared" si="176"/>
        <v>0</v>
      </c>
      <c r="Q921" s="7">
        <f t="shared" si="173"/>
        <v>1647636.0500000005</v>
      </c>
      <c r="R921" s="44" t="str">
        <f>VLOOKUP(F921,'Set up'!$A$2:$E$70,5,FALSE)</f>
        <v>Trsf</v>
      </c>
      <c r="S921" s="1" t="s">
        <v>1228</v>
      </c>
    </row>
    <row r="922" spans="1:19" x14ac:dyDescent="0.3">
      <c r="A922" s="4">
        <v>44765</v>
      </c>
      <c r="B922" s="5">
        <f t="shared" si="168"/>
        <v>7</v>
      </c>
      <c r="C922" s="5">
        <f t="shared" si="169"/>
        <v>2022</v>
      </c>
      <c r="D922" s="5" t="s">
        <v>868</v>
      </c>
      <c r="E922" s="5" t="str">
        <f>VLOOKUP(F922,'Set up'!$A$2:$C$70,2,FALSE)</f>
        <v>C00000020</v>
      </c>
      <c r="F922" s="1" t="s">
        <v>409</v>
      </c>
      <c r="G922" s="11" t="s">
        <v>654</v>
      </c>
      <c r="H922" s="5">
        <v>6</v>
      </c>
      <c r="I922" s="5" t="str">
        <f>VLOOKUP(F922,'Set up'!$A$2:$C$70,3,FALSE)</f>
        <v>Cash</v>
      </c>
      <c r="J922" s="5">
        <f>VLOOKUP(F922,'Set up'!$A$2:$D$70,4,FALSE)</f>
        <v>0</v>
      </c>
      <c r="K922" s="4">
        <f t="shared" si="170"/>
        <v>44765</v>
      </c>
      <c r="L922" s="5">
        <f t="shared" si="171"/>
        <v>7</v>
      </c>
      <c r="M922" s="5">
        <f t="shared" si="172"/>
        <v>2022</v>
      </c>
      <c r="N922" s="6">
        <v>1764</v>
      </c>
      <c r="O922" s="6">
        <f t="shared" si="175"/>
        <v>-1764</v>
      </c>
      <c r="P922" s="6">
        <f t="shared" si="176"/>
        <v>0</v>
      </c>
      <c r="Q922" s="7">
        <f t="shared" si="173"/>
        <v>1649400.0500000005</v>
      </c>
      <c r="R922" s="44" t="str">
        <f>VLOOKUP(F922,'Set up'!$A$2:$E$70,5,FALSE)</f>
        <v>Trsf</v>
      </c>
      <c r="S922" s="1" t="s">
        <v>1208</v>
      </c>
    </row>
    <row r="923" spans="1:19" x14ac:dyDescent="0.3">
      <c r="A923" s="4">
        <v>44765</v>
      </c>
      <c r="B923" s="5">
        <f t="shared" si="168"/>
        <v>7</v>
      </c>
      <c r="C923" s="5">
        <f t="shared" si="169"/>
        <v>2022</v>
      </c>
      <c r="D923" s="5" t="s">
        <v>868</v>
      </c>
      <c r="E923" s="5" t="str">
        <f>VLOOKUP(F923,'Set up'!$A$2:$C$70,2,FALSE)</f>
        <v>C00000020</v>
      </c>
      <c r="F923" s="1" t="s">
        <v>409</v>
      </c>
      <c r="G923" s="11" t="s">
        <v>778</v>
      </c>
      <c r="H923" s="5">
        <v>2</v>
      </c>
      <c r="I923" s="5" t="str">
        <f>VLOOKUP(F923,'Set up'!$A$2:$C$70,3,FALSE)</f>
        <v>Cash</v>
      </c>
      <c r="J923" s="5">
        <f>VLOOKUP(F923,'Set up'!$A$2:$D$70,4,FALSE)</f>
        <v>0</v>
      </c>
      <c r="K923" s="4">
        <f t="shared" si="170"/>
        <v>44765</v>
      </c>
      <c r="L923" s="5">
        <f t="shared" si="171"/>
        <v>7</v>
      </c>
      <c r="M923" s="5">
        <f t="shared" si="172"/>
        <v>2022</v>
      </c>
      <c r="N923" s="6">
        <v>600</v>
      </c>
      <c r="O923" s="6">
        <f t="shared" si="175"/>
        <v>-600</v>
      </c>
      <c r="P923" s="6">
        <f t="shared" si="176"/>
        <v>0</v>
      </c>
      <c r="Q923" s="7">
        <f t="shared" si="173"/>
        <v>1650000.0500000005</v>
      </c>
      <c r="R923" s="44" t="str">
        <f>VLOOKUP(F923,'Set up'!$A$2:$E$70,5,FALSE)</f>
        <v>Trsf</v>
      </c>
      <c r="S923" s="1" t="s">
        <v>1208</v>
      </c>
    </row>
    <row r="924" spans="1:19" x14ac:dyDescent="0.3">
      <c r="A924" s="4">
        <v>44765</v>
      </c>
      <c r="B924" s="5">
        <f t="shared" si="168"/>
        <v>7</v>
      </c>
      <c r="C924" s="5">
        <f t="shared" si="169"/>
        <v>2022</v>
      </c>
      <c r="D924" s="5" t="s">
        <v>868</v>
      </c>
      <c r="E924" s="5" t="str">
        <f>VLOOKUP(F924,'Set up'!$A$2:$C$70,2,FALSE)</f>
        <v>C00000020</v>
      </c>
      <c r="F924" s="1" t="s">
        <v>409</v>
      </c>
      <c r="G924" s="11" t="s">
        <v>791</v>
      </c>
      <c r="H924" s="5">
        <v>2</v>
      </c>
      <c r="I924" s="5" t="str">
        <f>VLOOKUP(F924,'Set up'!$A$2:$C$70,3,FALSE)</f>
        <v>Cash</v>
      </c>
      <c r="J924" s="5">
        <f>VLOOKUP(F924,'Set up'!$A$2:$D$70,4,FALSE)</f>
        <v>0</v>
      </c>
      <c r="K924" s="4">
        <f t="shared" si="170"/>
        <v>44765</v>
      </c>
      <c r="L924" s="5">
        <f t="shared" si="171"/>
        <v>7</v>
      </c>
      <c r="M924" s="5">
        <f t="shared" si="172"/>
        <v>2022</v>
      </c>
      <c r="N924" s="6">
        <v>125</v>
      </c>
      <c r="O924" s="6">
        <f t="shared" si="175"/>
        <v>-125</v>
      </c>
      <c r="P924" s="6">
        <f t="shared" si="176"/>
        <v>0</v>
      </c>
      <c r="Q924" s="7">
        <f t="shared" si="173"/>
        <v>1650125.0500000005</v>
      </c>
      <c r="R924" s="44" t="str">
        <f>VLOOKUP(F924,'Set up'!$A$2:$E$70,5,FALSE)</f>
        <v>Trsf</v>
      </c>
      <c r="S924" s="1" t="s">
        <v>1208</v>
      </c>
    </row>
    <row r="925" spans="1:19" x14ac:dyDescent="0.3">
      <c r="A925" s="4">
        <v>44765</v>
      </c>
      <c r="B925" s="5">
        <f t="shared" si="168"/>
        <v>7</v>
      </c>
      <c r="C925" s="5">
        <f t="shared" si="169"/>
        <v>2022</v>
      </c>
      <c r="D925" s="5" t="s">
        <v>869</v>
      </c>
      <c r="E925" s="5" t="str">
        <f>VLOOKUP(F925,'Set up'!$A$2:$C$70,2,FALSE)</f>
        <v>C00000001</v>
      </c>
      <c r="F925" s="1" t="s">
        <v>7</v>
      </c>
      <c r="G925" s="11" t="s">
        <v>716</v>
      </c>
      <c r="H925" s="5">
        <v>2</v>
      </c>
      <c r="I925" s="5" t="str">
        <f>VLOOKUP(F925,'Set up'!$A$2:$C$70,3,FALSE)</f>
        <v>Cash</v>
      </c>
      <c r="J925" s="5">
        <f>VLOOKUP(F925,'Set up'!$A$2:$D$70,4,FALSE)</f>
        <v>0</v>
      </c>
      <c r="K925" s="4">
        <f t="shared" si="170"/>
        <v>44765</v>
      </c>
      <c r="L925" s="5">
        <f t="shared" si="171"/>
        <v>7</v>
      </c>
      <c r="M925" s="5">
        <f t="shared" si="172"/>
        <v>2022</v>
      </c>
      <c r="N925" s="96">
        <v>4092</v>
      </c>
      <c r="O925" s="6">
        <f>-N925</f>
        <v>-4092</v>
      </c>
      <c r="P925" s="6">
        <f t="shared" si="176"/>
        <v>0</v>
      </c>
      <c r="Q925" s="7">
        <f t="shared" si="173"/>
        <v>1654217.0500000005</v>
      </c>
      <c r="R925" s="44" t="str">
        <f>VLOOKUP(F925,'Set up'!$A$2:$E$70,5,FALSE)</f>
        <v>Trsf</v>
      </c>
      <c r="S925" s="1" t="s">
        <v>890</v>
      </c>
    </row>
    <row r="926" spans="1:19" x14ac:dyDescent="0.3">
      <c r="A926" s="4">
        <v>44768</v>
      </c>
      <c r="B926" s="5">
        <f t="shared" si="168"/>
        <v>7</v>
      </c>
      <c r="C926" s="5">
        <f t="shared" si="169"/>
        <v>2022</v>
      </c>
      <c r="D926" s="5" t="s">
        <v>870</v>
      </c>
      <c r="E926" s="5" t="str">
        <f>VLOOKUP(F926,'Set up'!$A$2:$C$70,2,FALSE)</f>
        <v>C00000010</v>
      </c>
      <c r="F926" s="1" t="s">
        <v>62</v>
      </c>
      <c r="G926" s="11" t="s">
        <v>722</v>
      </c>
      <c r="H926" s="5">
        <v>5</v>
      </c>
      <c r="I926" s="5">
        <f>VLOOKUP(F926,'Set up'!$A$2:$C$70,3,FALSE)</f>
        <v>120</v>
      </c>
      <c r="J926" s="5">
        <f>VLOOKUP(F926,'Set up'!$A$2:$D$70,4,FALSE)</f>
        <v>120</v>
      </c>
      <c r="K926" s="4">
        <f t="shared" si="170"/>
        <v>44888</v>
      </c>
      <c r="L926" s="5">
        <f t="shared" si="171"/>
        <v>11</v>
      </c>
      <c r="M926" s="5">
        <f t="shared" si="172"/>
        <v>2022</v>
      </c>
      <c r="N926" s="6">
        <v>9900</v>
      </c>
      <c r="O926" s="6">
        <f t="shared" ref="O926:O929" si="177">-N926</f>
        <v>-9900</v>
      </c>
      <c r="P926" s="6">
        <f t="shared" si="176"/>
        <v>0</v>
      </c>
      <c r="Q926" s="7">
        <f t="shared" si="173"/>
        <v>1664117.0500000005</v>
      </c>
      <c r="R926" s="44" t="str">
        <f>VLOOKUP(F926,'Set up'!$A$2:$E$70,5,FALSE)</f>
        <v>Trsf</v>
      </c>
      <c r="S926" s="1" t="s">
        <v>1027</v>
      </c>
    </row>
    <row r="927" spans="1:19" x14ac:dyDescent="0.3">
      <c r="A927" s="4">
        <v>44768</v>
      </c>
      <c r="B927" s="5">
        <f t="shared" si="168"/>
        <v>7</v>
      </c>
      <c r="C927" s="5">
        <f t="shared" si="169"/>
        <v>2022</v>
      </c>
      <c r="D927" s="5" t="s">
        <v>870</v>
      </c>
      <c r="E927" s="5" t="str">
        <f>VLOOKUP(F927,'Set up'!$A$2:$C$70,2,FALSE)</f>
        <v>C00000010</v>
      </c>
      <c r="F927" s="1" t="s">
        <v>62</v>
      </c>
      <c r="G927" s="11" t="s">
        <v>654</v>
      </c>
      <c r="H927" s="5">
        <v>10</v>
      </c>
      <c r="I927" s="5">
        <f>VLOOKUP(F927,'Set up'!$A$2:$C$70,3,FALSE)</f>
        <v>120</v>
      </c>
      <c r="J927" s="5">
        <f>VLOOKUP(F927,'Set up'!$A$2:$D$70,4,FALSE)</f>
        <v>120</v>
      </c>
      <c r="K927" s="4">
        <f t="shared" si="170"/>
        <v>44888</v>
      </c>
      <c r="L927" s="5">
        <f t="shared" si="171"/>
        <v>11</v>
      </c>
      <c r="M927" s="5">
        <f t="shared" si="172"/>
        <v>2022</v>
      </c>
      <c r="N927" s="6">
        <v>2850</v>
      </c>
      <c r="O927" s="6">
        <f t="shared" si="177"/>
        <v>-2850</v>
      </c>
      <c r="P927" s="6">
        <f t="shared" si="176"/>
        <v>0</v>
      </c>
      <c r="Q927" s="7">
        <f t="shared" si="173"/>
        <v>1666967.0500000005</v>
      </c>
      <c r="R927" s="44" t="str">
        <f>VLOOKUP(F927,'Set up'!$A$2:$E$70,5,FALSE)</f>
        <v>Trsf</v>
      </c>
      <c r="S927" s="1" t="s">
        <v>1027</v>
      </c>
    </row>
    <row r="928" spans="1:19" x14ac:dyDescent="0.3">
      <c r="A928" s="4">
        <v>44768</v>
      </c>
      <c r="B928" s="5">
        <f t="shared" si="168"/>
        <v>7</v>
      </c>
      <c r="C928" s="5">
        <f t="shared" si="169"/>
        <v>2022</v>
      </c>
      <c r="D928" s="5" t="s">
        <v>870</v>
      </c>
      <c r="E928" s="5" t="str">
        <f>VLOOKUP(F928,'Set up'!$A$2:$C$70,2,FALSE)</f>
        <v>C00000010</v>
      </c>
      <c r="F928" s="1" t="s">
        <v>62</v>
      </c>
      <c r="G928" s="11" t="s">
        <v>791</v>
      </c>
      <c r="H928" s="5">
        <v>5</v>
      </c>
      <c r="I928" s="5">
        <f>VLOOKUP(F928,'Set up'!$A$2:$C$70,3,FALSE)</f>
        <v>120</v>
      </c>
      <c r="J928" s="5">
        <f>VLOOKUP(F928,'Set up'!$A$2:$D$70,4,FALSE)</f>
        <v>120</v>
      </c>
      <c r="K928" s="4">
        <f t="shared" si="170"/>
        <v>44888</v>
      </c>
      <c r="L928" s="5">
        <f t="shared" si="171"/>
        <v>11</v>
      </c>
      <c r="M928" s="5">
        <f t="shared" si="172"/>
        <v>2022</v>
      </c>
      <c r="N928" s="6">
        <v>275</v>
      </c>
      <c r="O928" s="6">
        <f t="shared" si="177"/>
        <v>-275</v>
      </c>
      <c r="P928" s="6">
        <f t="shared" si="176"/>
        <v>0</v>
      </c>
      <c r="Q928" s="7">
        <f t="shared" si="173"/>
        <v>1667242.0500000005</v>
      </c>
      <c r="R928" s="44" t="str">
        <f>VLOOKUP(F928,'Set up'!$A$2:$E$70,5,FALSE)</f>
        <v>Trsf</v>
      </c>
      <c r="S928" s="1" t="s">
        <v>1027</v>
      </c>
    </row>
    <row r="929" spans="1:19" x14ac:dyDescent="0.3">
      <c r="A929" s="4">
        <v>44768</v>
      </c>
      <c r="B929" s="5">
        <f t="shared" si="168"/>
        <v>7</v>
      </c>
      <c r="C929" s="5">
        <f t="shared" si="169"/>
        <v>2022</v>
      </c>
      <c r="D929" s="5" t="s">
        <v>870</v>
      </c>
      <c r="E929" s="5" t="str">
        <f>VLOOKUP(F929,'Set up'!$A$2:$C$70,2,FALSE)</f>
        <v>C00000010</v>
      </c>
      <c r="F929" s="1" t="s">
        <v>62</v>
      </c>
      <c r="G929" s="11" t="s">
        <v>46</v>
      </c>
      <c r="H929" s="5">
        <v>4</v>
      </c>
      <c r="I929" s="5">
        <f>VLOOKUP(F929,'Set up'!$A$2:$C$70,3,FALSE)</f>
        <v>120</v>
      </c>
      <c r="J929" s="5">
        <f>VLOOKUP(F929,'Set up'!$A$2:$D$70,4,FALSE)</f>
        <v>120</v>
      </c>
      <c r="K929" s="4">
        <f t="shared" si="170"/>
        <v>44888</v>
      </c>
      <c r="L929" s="5">
        <f t="shared" si="171"/>
        <v>11</v>
      </c>
      <c r="M929" s="5">
        <f t="shared" si="172"/>
        <v>2022</v>
      </c>
      <c r="N929" s="6">
        <v>420</v>
      </c>
      <c r="O929" s="6">
        <f t="shared" si="177"/>
        <v>-420</v>
      </c>
      <c r="P929" s="6">
        <f t="shared" si="176"/>
        <v>0</v>
      </c>
      <c r="Q929" s="7">
        <f t="shared" si="173"/>
        <v>1667662.0500000005</v>
      </c>
      <c r="R929" s="44" t="str">
        <f>VLOOKUP(F929,'Set up'!$A$2:$E$70,5,FALSE)</f>
        <v>Trsf</v>
      </c>
      <c r="S929" s="1" t="s">
        <v>1027</v>
      </c>
    </row>
    <row r="930" spans="1:19" x14ac:dyDescent="0.3">
      <c r="A930" s="4">
        <v>44771</v>
      </c>
      <c r="B930" s="5">
        <f t="shared" si="168"/>
        <v>7</v>
      </c>
      <c r="C930" s="5">
        <f t="shared" si="169"/>
        <v>2022</v>
      </c>
      <c r="D930" s="5" t="s">
        <v>871</v>
      </c>
      <c r="E930" s="5" t="str">
        <f>VLOOKUP(F930,'Set up'!$A$2:$C$70,2,FALSE)</f>
        <v>C00000021</v>
      </c>
      <c r="F930" s="1" t="s">
        <v>491</v>
      </c>
      <c r="G930" s="11" t="s">
        <v>716</v>
      </c>
      <c r="H930" s="5">
        <v>1</v>
      </c>
      <c r="I930" s="5" t="str">
        <f>VLOOKUP(F930,'Set up'!$A$2:$C$70,3,FALSE)</f>
        <v>Cash</v>
      </c>
      <c r="J930" s="5">
        <f>VLOOKUP(F930,'Set up'!$A$2:$D$70,4,FALSE)</f>
        <v>0</v>
      </c>
      <c r="K930" s="4">
        <f t="shared" si="170"/>
        <v>44771</v>
      </c>
      <c r="L930" s="5">
        <f t="shared" si="171"/>
        <v>7</v>
      </c>
      <c r="M930" s="5">
        <f t="shared" si="172"/>
        <v>2022</v>
      </c>
      <c r="N930" s="6">
        <v>2090</v>
      </c>
      <c r="O930" s="6">
        <f t="shared" ref="O930:O931" si="178">-N930</f>
        <v>-2090</v>
      </c>
      <c r="P930" s="6">
        <f t="shared" si="176"/>
        <v>0</v>
      </c>
      <c r="Q930" s="7">
        <f t="shared" si="173"/>
        <v>1669752.0500000005</v>
      </c>
      <c r="R930" s="44" t="str">
        <f>VLOOKUP(F930,'Set up'!$A$2:$E$70,5,FALSE)</f>
        <v>PD Chq</v>
      </c>
      <c r="S930" s="1" t="s">
        <v>1024</v>
      </c>
    </row>
    <row r="931" spans="1:19" x14ac:dyDescent="0.3">
      <c r="A931" s="4">
        <v>44771</v>
      </c>
      <c r="B931" s="5">
        <f t="shared" si="168"/>
        <v>7</v>
      </c>
      <c r="C931" s="5">
        <f t="shared" si="169"/>
        <v>2022</v>
      </c>
      <c r="D931" s="5" t="s">
        <v>871</v>
      </c>
      <c r="E931" s="5" t="str">
        <f>VLOOKUP(F931,'Set up'!$A$2:$C$70,2,FALSE)</f>
        <v>C00000021</v>
      </c>
      <c r="F931" s="1" t="s">
        <v>491</v>
      </c>
      <c r="G931" s="11" t="s">
        <v>666</v>
      </c>
      <c r="H931" s="5">
        <v>1</v>
      </c>
      <c r="I931" s="5" t="str">
        <f>VLOOKUP(F931,'Set up'!$A$2:$C$70,3,FALSE)</f>
        <v>Cash</v>
      </c>
      <c r="J931" s="5">
        <f>VLOOKUP(F931,'Set up'!$A$2:$D$70,4,FALSE)</f>
        <v>0</v>
      </c>
      <c r="K931" s="4">
        <f t="shared" si="170"/>
        <v>44771</v>
      </c>
      <c r="L931" s="5">
        <f t="shared" si="171"/>
        <v>7</v>
      </c>
      <c r="M931" s="5">
        <f t="shared" si="172"/>
        <v>2022</v>
      </c>
      <c r="N931" s="6">
        <v>90</v>
      </c>
      <c r="O931" s="6">
        <f t="shared" si="178"/>
        <v>-90</v>
      </c>
      <c r="P931" s="6">
        <f t="shared" si="176"/>
        <v>0</v>
      </c>
      <c r="Q931" s="7">
        <f t="shared" si="173"/>
        <v>1669842.0500000005</v>
      </c>
      <c r="R931" s="44" t="str">
        <f>VLOOKUP(F931,'Set up'!$A$2:$E$70,5,FALSE)</f>
        <v>PD Chq</v>
      </c>
      <c r="S931" s="1" t="s">
        <v>1024</v>
      </c>
    </row>
    <row r="932" spans="1:19" x14ac:dyDescent="0.3">
      <c r="A932" s="4">
        <v>44771</v>
      </c>
      <c r="B932" s="5">
        <f t="shared" si="168"/>
        <v>7</v>
      </c>
      <c r="C932" s="5">
        <f t="shared" si="169"/>
        <v>2022</v>
      </c>
      <c r="D932" s="5" t="s">
        <v>873</v>
      </c>
      <c r="E932" s="5" t="str">
        <f>VLOOKUP(F932,'Set up'!$A$2:$C$70,2,FALSE)</f>
        <v>C00000009</v>
      </c>
      <c r="F932" s="1" t="s">
        <v>58</v>
      </c>
      <c r="G932" s="11" t="s">
        <v>719</v>
      </c>
      <c r="H932" s="5">
        <v>2</v>
      </c>
      <c r="I932" s="5">
        <f>VLOOKUP(F932,'Set up'!$A$2:$C$70,3,FALSE)</f>
        <v>60</v>
      </c>
      <c r="J932" s="5">
        <f>VLOOKUP(F932,'Set up'!$A$2:$D$70,4,FALSE)</f>
        <v>60</v>
      </c>
      <c r="K932" s="4">
        <f t="shared" si="170"/>
        <v>44831</v>
      </c>
      <c r="L932" s="5">
        <f t="shared" si="171"/>
        <v>9</v>
      </c>
      <c r="M932" s="5">
        <f t="shared" si="172"/>
        <v>2022</v>
      </c>
      <c r="N932" s="6">
        <v>3960</v>
      </c>
      <c r="O932" s="6">
        <f>-N932</f>
        <v>-3960</v>
      </c>
      <c r="P932" s="6">
        <f t="shared" si="176"/>
        <v>0</v>
      </c>
      <c r="Q932" s="7">
        <f t="shared" si="173"/>
        <v>1673802.0500000005</v>
      </c>
      <c r="R932" s="44" t="str">
        <f>VLOOKUP(F932,'Set up'!$A$2:$E$70,5,FALSE)</f>
        <v>Chq</v>
      </c>
      <c r="S932" s="1" t="s">
        <v>1086</v>
      </c>
    </row>
    <row r="933" spans="1:19" x14ac:dyDescent="0.3">
      <c r="A933" s="4">
        <v>44771</v>
      </c>
      <c r="B933" s="5">
        <f t="shared" si="168"/>
        <v>7</v>
      </c>
      <c r="C933" s="5">
        <f t="shared" si="169"/>
        <v>2022</v>
      </c>
      <c r="D933" s="5" t="s">
        <v>873</v>
      </c>
      <c r="E933" s="5" t="str">
        <f>VLOOKUP(F933,'Set up'!$A$2:$C$70,2,FALSE)</f>
        <v>C00000009</v>
      </c>
      <c r="F933" s="1" t="s">
        <v>58</v>
      </c>
      <c r="G933" s="11" t="s">
        <v>872</v>
      </c>
      <c r="H933" s="5">
        <v>1</v>
      </c>
      <c r="I933" s="5">
        <f>VLOOKUP(F933,'Set up'!$A$2:$C$70,3,FALSE)</f>
        <v>60</v>
      </c>
      <c r="J933" s="5">
        <f>VLOOKUP(F933,'Set up'!$A$2:$D$70,4,FALSE)</f>
        <v>60</v>
      </c>
      <c r="K933" s="4">
        <f t="shared" si="170"/>
        <v>44831</v>
      </c>
      <c r="L933" s="5">
        <f t="shared" si="171"/>
        <v>9</v>
      </c>
      <c r="M933" s="5">
        <f t="shared" si="172"/>
        <v>2022</v>
      </c>
      <c r="N933" s="6">
        <v>636.5</v>
      </c>
      <c r="O933" s="6">
        <f>-N933</f>
        <v>-636.5</v>
      </c>
      <c r="P933" s="6">
        <f t="shared" si="176"/>
        <v>0</v>
      </c>
      <c r="Q933" s="7">
        <f t="shared" si="173"/>
        <v>1674438.5500000005</v>
      </c>
      <c r="R933" s="44" t="str">
        <f>VLOOKUP(F933,'Set up'!$A$2:$E$70,5,FALSE)</f>
        <v>Chq</v>
      </c>
      <c r="S933" s="1" t="s">
        <v>1086</v>
      </c>
    </row>
    <row r="934" spans="1:19" x14ac:dyDescent="0.3">
      <c r="A934" s="4">
        <v>44777</v>
      </c>
      <c r="B934" s="5">
        <f t="shared" si="168"/>
        <v>8</v>
      </c>
      <c r="C934" s="5">
        <f t="shared" si="169"/>
        <v>2022</v>
      </c>
      <c r="D934" s="5" t="s">
        <v>891</v>
      </c>
      <c r="E934" s="5" t="str">
        <f>VLOOKUP(F934,'Set up'!$A$2:$C$70,2,FALSE)</f>
        <v>C00000027</v>
      </c>
      <c r="F934" s="1" t="s">
        <v>859</v>
      </c>
      <c r="G934" s="11" t="s">
        <v>716</v>
      </c>
      <c r="H934" s="5">
        <v>3</v>
      </c>
      <c r="I934" s="5" t="str">
        <f>VLOOKUP(F934,'Set up'!$A$2:$C$70,3,FALSE)</f>
        <v>Cash</v>
      </c>
      <c r="J934" s="5">
        <f>VLOOKUP(F934,'Set up'!$A$2:$D$70,4,FALSE)</f>
        <v>0</v>
      </c>
      <c r="K934" s="4">
        <f t="shared" si="170"/>
        <v>44777</v>
      </c>
      <c r="L934" s="5">
        <f t="shared" si="171"/>
        <v>8</v>
      </c>
      <c r="M934" s="5">
        <f t="shared" si="172"/>
        <v>2022</v>
      </c>
      <c r="N934" s="6">
        <v>6006</v>
      </c>
      <c r="O934" s="6">
        <f t="shared" ref="O934:O941" si="179">-N934</f>
        <v>-6006</v>
      </c>
      <c r="P934" s="6">
        <f t="shared" si="176"/>
        <v>0</v>
      </c>
      <c r="Q934" s="7">
        <f t="shared" si="173"/>
        <v>1680444.5500000005</v>
      </c>
      <c r="R934" s="44" t="str">
        <f>VLOOKUP(F934,'Set up'!$A$2:$E$70,5,FALSE)</f>
        <v>Trsf</v>
      </c>
      <c r="S934" s="1" t="s">
        <v>1031</v>
      </c>
    </row>
    <row r="935" spans="1:19" x14ac:dyDescent="0.3">
      <c r="A935" s="4">
        <v>44777</v>
      </c>
      <c r="B935" s="5">
        <f t="shared" si="168"/>
        <v>8</v>
      </c>
      <c r="C935" s="5">
        <f t="shared" si="169"/>
        <v>2022</v>
      </c>
      <c r="D935" s="5" t="s">
        <v>891</v>
      </c>
      <c r="E935" s="5" t="str">
        <f>VLOOKUP(F935,'Set up'!$A$2:$C$70,2,FALSE)</f>
        <v>C00000027</v>
      </c>
      <c r="F935" s="1" t="s">
        <v>859</v>
      </c>
      <c r="G935" s="11" t="s">
        <v>892</v>
      </c>
      <c r="H935" s="5">
        <v>2</v>
      </c>
      <c r="I935" s="5" t="str">
        <f>VLOOKUP(F935,'Set up'!$A$2:$C$70,3,FALSE)</f>
        <v>Cash</v>
      </c>
      <c r="J935" s="5">
        <f>VLOOKUP(F935,'Set up'!$A$2:$D$70,4,FALSE)</f>
        <v>0</v>
      </c>
      <c r="K935" s="4">
        <f t="shared" si="170"/>
        <v>44777</v>
      </c>
      <c r="L935" s="5">
        <f t="shared" si="171"/>
        <v>8</v>
      </c>
      <c r="M935" s="5">
        <f t="shared" si="172"/>
        <v>2022</v>
      </c>
      <c r="N935" s="6">
        <v>1259.5999999999999</v>
      </c>
      <c r="O935" s="6">
        <f t="shared" si="179"/>
        <v>-1259.5999999999999</v>
      </c>
      <c r="P935" s="6">
        <f t="shared" si="176"/>
        <v>0</v>
      </c>
      <c r="Q935" s="7">
        <f t="shared" si="173"/>
        <v>1681704.1500000006</v>
      </c>
      <c r="R935" s="44" t="str">
        <f>VLOOKUP(F935,'Set up'!$A$2:$E$70,5,FALSE)</f>
        <v>Trsf</v>
      </c>
      <c r="S935" s="1" t="s">
        <v>1032</v>
      </c>
    </row>
    <row r="936" spans="1:19" x14ac:dyDescent="0.3">
      <c r="A936" s="4">
        <v>44777</v>
      </c>
      <c r="B936" s="5">
        <f t="shared" si="168"/>
        <v>8</v>
      </c>
      <c r="C936" s="5">
        <f t="shared" si="169"/>
        <v>2022</v>
      </c>
      <c r="D936" s="5" t="s">
        <v>891</v>
      </c>
      <c r="E936" s="5" t="str">
        <f>VLOOKUP(F936,'Set up'!$A$2:$C$70,2,FALSE)</f>
        <v>C00000027</v>
      </c>
      <c r="F936" s="1" t="s">
        <v>859</v>
      </c>
      <c r="G936" s="11" t="s">
        <v>893</v>
      </c>
      <c r="H936" s="5">
        <v>2</v>
      </c>
      <c r="I936" s="5" t="str">
        <f>VLOOKUP(F936,'Set up'!$A$2:$C$70,3,FALSE)</f>
        <v>Cash</v>
      </c>
      <c r="J936" s="5">
        <f>VLOOKUP(F936,'Set up'!$A$2:$D$70,4,FALSE)</f>
        <v>0</v>
      </c>
      <c r="K936" s="4">
        <f t="shared" si="170"/>
        <v>44777</v>
      </c>
      <c r="L936" s="5">
        <f t="shared" si="171"/>
        <v>8</v>
      </c>
      <c r="M936" s="5">
        <f t="shared" si="172"/>
        <v>2022</v>
      </c>
      <c r="N936" s="6">
        <v>1015.2</v>
      </c>
      <c r="O936" s="6">
        <f t="shared" si="179"/>
        <v>-1015.2</v>
      </c>
      <c r="P936" s="6">
        <f t="shared" si="176"/>
        <v>0</v>
      </c>
      <c r="Q936" s="7">
        <f t="shared" si="173"/>
        <v>1682719.3500000006</v>
      </c>
      <c r="R936" s="44" t="str">
        <f>VLOOKUP(F936,'Set up'!$A$2:$E$70,5,FALSE)</f>
        <v>Trsf</v>
      </c>
      <c r="S936" s="1" t="s">
        <v>1031</v>
      </c>
    </row>
    <row r="937" spans="1:19" x14ac:dyDescent="0.3">
      <c r="A937" s="4">
        <v>44777</v>
      </c>
      <c r="B937" s="5">
        <f t="shared" si="168"/>
        <v>8</v>
      </c>
      <c r="C937" s="5">
        <f t="shared" si="169"/>
        <v>2022</v>
      </c>
      <c r="D937" s="5" t="s">
        <v>891</v>
      </c>
      <c r="E937" s="5" t="str">
        <f>VLOOKUP(F937,'Set up'!$A$2:$C$70,2,FALSE)</f>
        <v>C00000027</v>
      </c>
      <c r="F937" s="1" t="s">
        <v>859</v>
      </c>
      <c r="G937" s="11" t="s">
        <v>778</v>
      </c>
      <c r="H937" s="5">
        <v>2</v>
      </c>
      <c r="I937" s="5" t="str">
        <f>VLOOKUP(F937,'Set up'!$A$2:$C$70,3,FALSE)</f>
        <v>Cash</v>
      </c>
      <c r="J937" s="5">
        <f>VLOOKUP(F937,'Set up'!$A$2:$D$70,4,FALSE)</f>
        <v>0</v>
      </c>
      <c r="K937" s="4">
        <f t="shared" si="170"/>
        <v>44777</v>
      </c>
      <c r="L937" s="5">
        <f t="shared" si="171"/>
        <v>8</v>
      </c>
      <c r="M937" s="5">
        <f t="shared" si="172"/>
        <v>2022</v>
      </c>
      <c r="N937" s="6">
        <v>560</v>
      </c>
      <c r="O937" s="6">
        <f t="shared" si="179"/>
        <v>-560</v>
      </c>
      <c r="P937" s="6">
        <f t="shared" si="176"/>
        <v>0</v>
      </c>
      <c r="Q937" s="7">
        <f t="shared" si="173"/>
        <v>1683279.3500000006</v>
      </c>
      <c r="R937" s="44" t="str">
        <f>VLOOKUP(F937,'Set up'!$A$2:$E$70,5,FALSE)</f>
        <v>Trsf</v>
      </c>
      <c r="S937" s="1" t="s">
        <v>1031</v>
      </c>
    </row>
    <row r="938" spans="1:19" x14ac:dyDescent="0.3">
      <c r="A938" s="4">
        <v>44777</v>
      </c>
      <c r="B938" s="5">
        <f t="shared" si="168"/>
        <v>8</v>
      </c>
      <c r="C938" s="5">
        <f t="shared" si="169"/>
        <v>2022</v>
      </c>
      <c r="D938" s="5" t="s">
        <v>891</v>
      </c>
      <c r="E938" s="5" t="str">
        <f>VLOOKUP(F938,'Set up'!$A$2:$C$70,2,FALSE)</f>
        <v>C00000027</v>
      </c>
      <c r="F938" s="1" t="s">
        <v>859</v>
      </c>
      <c r="G938" s="11" t="s">
        <v>894</v>
      </c>
      <c r="H938" s="5">
        <v>4</v>
      </c>
      <c r="I938" s="5" t="str">
        <f>VLOOKUP(F938,'Set up'!$A$2:$C$70,3,FALSE)</f>
        <v>Cash</v>
      </c>
      <c r="J938" s="5">
        <f>VLOOKUP(F938,'Set up'!$A$2:$D$70,4,FALSE)</f>
        <v>0</v>
      </c>
      <c r="K938" s="4">
        <f t="shared" si="170"/>
        <v>44777</v>
      </c>
      <c r="L938" s="5">
        <f t="shared" si="171"/>
        <v>8</v>
      </c>
      <c r="M938" s="5">
        <f t="shared" si="172"/>
        <v>2022</v>
      </c>
      <c r="N938" s="6">
        <v>640</v>
      </c>
      <c r="O938" s="6">
        <f t="shared" si="179"/>
        <v>-640</v>
      </c>
      <c r="P938" s="6">
        <f t="shared" si="176"/>
        <v>0</v>
      </c>
      <c r="Q938" s="7">
        <f t="shared" si="173"/>
        <v>1683919.3500000006</v>
      </c>
      <c r="R938" s="44" t="str">
        <f>VLOOKUP(F938,'Set up'!$A$2:$E$70,5,FALSE)</f>
        <v>Trsf</v>
      </c>
      <c r="S938" s="1" t="s">
        <v>1031</v>
      </c>
    </row>
    <row r="939" spans="1:19" x14ac:dyDescent="0.3">
      <c r="A939" s="4">
        <v>44777</v>
      </c>
      <c r="B939" s="5">
        <f t="shared" si="168"/>
        <v>8</v>
      </c>
      <c r="C939" s="5">
        <f t="shared" si="169"/>
        <v>2022</v>
      </c>
      <c r="D939" s="5" t="s">
        <v>891</v>
      </c>
      <c r="E939" s="5" t="str">
        <f>VLOOKUP(F939,'Set up'!$A$2:$C$70,2,FALSE)</f>
        <v>C00000027</v>
      </c>
      <c r="F939" s="1" t="s">
        <v>859</v>
      </c>
      <c r="G939" s="11" t="s">
        <v>666</v>
      </c>
      <c r="H939" s="5">
        <v>1</v>
      </c>
      <c r="I939" s="5" t="str">
        <f>VLOOKUP(F939,'Set up'!$A$2:$C$70,3,FALSE)</f>
        <v>Cash</v>
      </c>
      <c r="J939" s="5">
        <f>VLOOKUP(F939,'Set up'!$A$2:$D$70,4,FALSE)</f>
        <v>0</v>
      </c>
      <c r="K939" s="4">
        <f t="shared" si="170"/>
        <v>44777</v>
      </c>
      <c r="L939" s="5">
        <f t="shared" si="171"/>
        <v>8</v>
      </c>
      <c r="M939" s="5">
        <f t="shared" si="172"/>
        <v>2022</v>
      </c>
      <c r="N939" s="6">
        <v>90</v>
      </c>
      <c r="O939" s="6">
        <f t="shared" si="179"/>
        <v>-90</v>
      </c>
      <c r="P939" s="6">
        <f t="shared" si="176"/>
        <v>0</v>
      </c>
      <c r="Q939" s="7">
        <f t="shared" si="173"/>
        <v>1684009.3500000006</v>
      </c>
      <c r="R939" s="44" t="str">
        <f>VLOOKUP(F939,'Set up'!$A$2:$E$70,5,FALSE)</f>
        <v>Trsf</v>
      </c>
      <c r="S939" s="1" t="s">
        <v>1031</v>
      </c>
    </row>
    <row r="940" spans="1:19" x14ac:dyDescent="0.3">
      <c r="A940" s="4">
        <v>44777</v>
      </c>
      <c r="B940" s="5">
        <f t="shared" si="168"/>
        <v>8</v>
      </c>
      <c r="C940" s="5">
        <f t="shared" si="169"/>
        <v>2022</v>
      </c>
      <c r="D940" s="5" t="s">
        <v>891</v>
      </c>
      <c r="E940" s="5" t="str">
        <f>VLOOKUP(F940,'Set up'!$A$2:$C$70,2,FALSE)</f>
        <v>C00000027</v>
      </c>
      <c r="F940" s="1" t="s">
        <v>859</v>
      </c>
      <c r="G940" s="11" t="s">
        <v>658</v>
      </c>
      <c r="H940" s="5">
        <v>1</v>
      </c>
      <c r="I940" s="5" t="str">
        <f>VLOOKUP(F940,'Set up'!$A$2:$C$70,3,FALSE)</f>
        <v>Cash</v>
      </c>
      <c r="J940" s="5">
        <f>VLOOKUP(F940,'Set up'!$A$2:$D$70,4,FALSE)</f>
        <v>0</v>
      </c>
      <c r="K940" s="4">
        <f t="shared" si="170"/>
        <v>44777</v>
      </c>
      <c r="L940" s="5">
        <f t="shared" si="171"/>
        <v>8</v>
      </c>
      <c r="M940" s="5">
        <f t="shared" si="172"/>
        <v>2022</v>
      </c>
      <c r="N940" s="6">
        <v>1108.4000000000001</v>
      </c>
      <c r="O940" s="6">
        <f t="shared" si="179"/>
        <v>-1108.4000000000001</v>
      </c>
      <c r="P940" s="6">
        <f t="shared" si="176"/>
        <v>0</v>
      </c>
      <c r="Q940" s="7">
        <f t="shared" si="173"/>
        <v>1685117.7500000005</v>
      </c>
      <c r="R940" s="44" t="str">
        <f>VLOOKUP(F940,'Set up'!$A$2:$E$70,5,FALSE)</f>
        <v>Trsf</v>
      </c>
      <c r="S940" s="1" t="s">
        <v>1031</v>
      </c>
    </row>
    <row r="941" spans="1:19" x14ac:dyDescent="0.3">
      <c r="A941" s="4">
        <v>44777</v>
      </c>
      <c r="B941" s="5">
        <f t="shared" si="168"/>
        <v>8</v>
      </c>
      <c r="C941" s="5">
        <f t="shared" si="169"/>
        <v>2022</v>
      </c>
      <c r="D941" s="5" t="s">
        <v>891</v>
      </c>
      <c r="E941" s="5" t="str">
        <f>VLOOKUP(F941,'Set up'!$A$2:$C$70,2,FALSE)</f>
        <v>C00000027</v>
      </c>
      <c r="F941" s="1" t="s">
        <v>859</v>
      </c>
      <c r="G941" s="11" t="s">
        <v>787</v>
      </c>
      <c r="H941" s="5">
        <v>1</v>
      </c>
      <c r="I941" s="5" t="str">
        <f>VLOOKUP(F941,'Set up'!$A$2:$C$70,3,FALSE)</f>
        <v>Cash</v>
      </c>
      <c r="J941" s="5">
        <f>VLOOKUP(F941,'Set up'!$A$2:$D$70,4,FALSE)</f>
        <v>0</v>
      </c>
      <c r="K941" s="4">
        <f t="shared" si="170"/>
        <v>44777</v>
      </c>
      <c r="L941" s="5">
        <f t="shared" si="171"/>
        <v>8</v>
      </c>
      <c r="M941" s="5">
        <f t="shared" si="172"/>
        <v>2022</v>
      </c>
      <c r="N941" s="6">
        <v>440</v>
      </c>
      <c r="O941" s="6">
        <f t="shared" si="179"/>
        <v>-440</v>
      </c>
      <c r="P941" s="6">
        <f t="shared" si="176"/>
        <v>0</v>
      </c>
      <c r="Q941" s="7">
        <f t="shared" si="173"/>
        <v>1685557.7500000005</v>
      </c>
      <c r="R941" s="44" t="str">
        <f>VLOOKUP(F941,'Set up'!$A$2:$E$70,5,FALSE)</f>
        <v>Trsf</v>
      </c>
      <c r="S941" s="1" t="s">
        <v>1031</v>
      </c>
    </row>
    <row r="942" spans="1:19" x14ac:dyDescent="0.3">
      <c r="A942" s="4">
        <v>44777</v>
      </c>
      <c r="B942" s="5">
        <f t="shared" si="168"/>
        <v>8</v>
      </c>
      <c r="C942" s="5">
        <f t="shared" si="169"/>
        <v>2022</v>
      </c>
      <c r="D942" s="5" t="s">
        <v>891</v>
      </c>
      <c r="E942" s="5" t="str">
        <f>VLOOKUP(F942,'Set up'!$A$2:$C$70,2,FALSE)</f>
        <v>C00000027</v>
      </c>
      <c r="F942" s="1" t="s">
        <v>859</v>
      </c>
      <c r="G942" s="11" t="s">
        <v>865</v>
      </c>
      <c r="H942" s="5">
        <v>6</v>
      </c>
      <c r="I942" s="5" t="str">
        <f>VLOOKUP(F942,'Set up'!$A$2:$C$70,3,FALSE)</f>
        <v>Cash</v>
      </c>
      <c r="J942" s="5">
        <f>VLOOKUP(F942,'Set up'!$A$2:$D$70,4,FALSE)</f>
        <v>0</v>
      </c>
      <c r="K942" s="4">
        <f t="shared" si="170"/>
        <v>44777</v>
      </c>
      <c r="L942" s="5">
        <f t="shared" si="171"/>
        <v>8</v>
      </c>
      <c r="M942" s="5">
        <f t="shared" si="172"/>
        <v>2022</v>
      </c>
      <c r="N942" s="6">
        <v>1524</v>
      </c>
      <c r="O942" s="6">
        <f>-1523.8</f>
        <v>-1523.8</v>
      </c>
      <c r="P942" s="6">
        <f t="shared" si="176"/>
        <v>0.20000000000004547</v>
      </c>
      <c r="Q942" s="7">
        <f t="shared" si="173"/>
        <v>1687081.7500000005</v>
      </c>
      <c r="R942" s="44" t="str">
        <f>VLOOKUP(F942,'Set up'!$A$2:$E$70,5,FALSE)</f>
        <v>Trsf</v>
      </c>
      <c r="S942" s="1" t="s">
        <v>1031</v>
      </c>
    </row>
    <row r="943" spans="1:19" x14ac:dyDescent="0.3">
      <c r="A943" s="4">
        <v>44779</v>
      </c>
      <c r="B943" s="5">
        <f t="shared" si="168"/>
        <v>8</v>
      </c>
      <c r="C943" s="5">
        <f t="shared" si="169"/>
        <v>2022</v>
      </c>
      <c r="D943" s="5" t="s">
        <v>895</v>
      </c>
      <c r="E943" s="5" t="str">
        <f>VLOOKUP(F943,'Set up'!$A$2:$C$70,2,FALSE)</f>
        <v>C00000020</v>
      </c>
      <c r="F943" s="1" t="s">
        <v>409</v>
      </c>
      <c r="G943" s="11" t="s">
        <v>716</v>
      </c>
      <c r="H943" s="5">
        <v>1</v>
      </c>
      <c r="I943" s="5" t="str">
        <f>VLOOKUP(F943,'Set up'!$A$2:$C$70,3,FALSE)</f>
        <v>Cash</v>
      </c>
      <c r="J943" s="5">
        <f>VLOOKUP(F943,'Set up'!$A$2:$D$70,4,FALSE)</f>
        <v>0</v>
      </c>
      <c r="K943" s="4">
        <f t="shared" si="170"/>
        <v>44779</v>
      </c>
      <c r="L943" s="5">
        <f t="shared" si="171"/>
        <v>8</v>
      </c>
      <c r="M943" s="5">
        <f t="shared" si="172"/>
        <v>2022</v>
      </c>
      <c r="N943" s="6">
        <v>2068</v>
      </c>
      <c r="O943" s="6">
        <f t="shared" ref="O943:O946" si="180">-N943</f>
        <v>-2068</v>
      </c>
      <c r="P943" s="6">
        <f t="shared" si="176"/>
        <v>0</v>
      </c>
      <c r="Q943" s="7">
        <f t="shared" si="173"/>
        <v>1689149.7500000005</v>
      </c>
      <c r="R943" s="44" t="str">
        <f>VLOOKUP(F943,'Set up'!$A$2:$E$70,5,FALSE)</f>
        <v>Trsf</v>
      </c>
      <c r="S943" s="1" t="s">
        <v>1208</v>
      </c>
    </row>
    <row r="944" spans="1:19" x14ac:dyDescent="0.3">
      <c r="A944" s="4">
        <v>44779</v>
      </c>
      <c r="B944" s="5">
        <f t="shared" si="168"/>
        <v>8</v>
      </c>
      <c r="C944" s="5">
        <f t="shared" si="169"/>
        <v>2022</v>
      </c>
      <c r="D944" s="5" t="s">
        <v>895</v>
      </c>
      <c r="E944" s="5" t="str">
        <f>VLOOKUP(F944,'Set up'!$A$2:$C$70,2,FALSE)</f>
        <v>C00000020</v>
      </c>
      <c r="F944" s="1" t="s">
        <v>409</v>
      </c>
      <c r="G944" s="11" t="s">
        <v>896</v>
      </c>
      <c r="H944" s="5">
        <v>6</v>
      </c>
      <c r="I944" s="5" t="str">
        <f>VLOOKUP(F944,'Set up'!$A$2:$C$70,3,FALSE)</f>
        <v>Cash</v>
      </c>
      <c r="J944" s="5">
        <f>VLOOKUP(F944,'Set up'!$A$2:$D$70,4,FALSE)</f>
        <v>0</v>
      </c>
      <c r="K944" s="4">
        <f t="shared" si="170"/>
        <v>44779</v>
      </c>
      <c r="L944" s="5">
        <f t="shared" si="171"/>
        <v>8</v>
      </c>
      <c r="M944" s="5">
        <f t="shared" si="172"/>
        <v>2022</v>
      </c>
      <c r="N944" s="6">
        <v>2175.6000000000004</v>
      </c>
      <c r="O944" s="6">
        <f t="shared" si="180"/>
        <v>-2175.6000000000004</v>
      </c>
      <c r="P944" s="6">
        <f t="shared" si="176"/>
        <v>0</v>
      </c>
      <c r="Q944" s="7">
        <f t="shared" si="173"/>
        <v>1691325.3500000006</v>
      </c>
      <c r="R944" s="44" t="str">
        <f>VLOOKUP(F944,'Set up'!$A$2:$E$70,5,FALSE)</f>
        <v>Trsf</v>
      </c>
      <c r="S944" s="1" t="s">
        <v>1208</v>
      </c>
    </row>
    <row r="945" spans="1:19" x14ac:dyDescent="0.3">
      <c r="A945" s="4">
        <v>44779</v>
      </c>
      <c r="B945" s="5">
        <f t="shared" si="168"/>
        <v>8</v>
      </c>
      <c r="C945" s="5">
        <f t="shared" si="169"/>
        <v>2022</v>
      </c>
      <c r="D945" s="5" t="s">
        <v>895</v>
      </c>
      <c r="E945" s="5" t="str">
        <f>VLOOKUP(F945,'Set up'!$A$2:$C$70,2,FALSE)</f>
        <v>C00000020</v>
      </c>
      <c r="F945" s="1" t="s">
        <v>409</v>
      </c>
      <c r="G945" s="11" t="s">
        <v>778</v>
      </c>
      <c r="H945" s="5">
        <v>3</v>
      </c>
      <c r="I945" s="5" t="str">
        <f>VLOOKUP(F945,'Set up'!$A$2:$C$70,3,FALSE)</f>
        <v>Cash</v>
      </c>
      <c r="J945" s="5">
        <f>VLOOKUP(F945,'Set up'!$A$2:$D$70,4,FALSE)</f>
        <v>0</v>
      </c>
      <c r="K945" s="4">
        <f t="shared" si="170"/>
        <v>44779</v>
      </c>
      <c r="L945" s="5">
        <f t="shared" si="171"/>
        <v>8</v>
      </c>
      <c r="M945" s="5">
        <f t="shared" si="172"/>
        <v>2022</v>
      </c>
      <c r="N945" s="6">
        <v>900</v>
      </c>
      <c r="O945" s="6">
        <f t="shared" si="180"/>
        <v>-900</v>
      </c>
      <c r="P945" s="6">
        <f t="shared" si="176"/>
        <v>0</v>
      </c>
      <c r="Q945" s="7">
        <f t="shared" si="173"/>
        <v>1692225.3500000006</v>
      </c>
      <c r="R945" s="44" t="str">
        <f>VLOOKUP(F945,'Set up'!$A$2:$E$70,5,FALSE)</f>
        <v>Trsf</v>
      </c>
      <c r="S945" s="1" t="s">
        <v>1208</v>
      </c>
    </row>
    <row r="946" spans="1:19" x14ac:dyDescent="0.3">
      <c r="A946" s="4">
        <v>44779</v>
      </c>
      <c r="B946" s="5">
        <f t="shared" si="168"/>
        <v>8</v>
      </c>
      <c r="C946" s="5">
        <f t="shared" si="169"/>
        <v>2022</v>
      </c>
      <c r="D946" s="5" t="s">
        <v>895</v>
      </c>
      <c r="E946" s="5" t="str">
        <f>VLOOKUP(F946,'Set up'!$A$2:$C$70,2,FALSE)</f>
        <v>C00000020</v>
      </c>
      <c r="F946" s="1" t="s">
        <v>409</v>
      </c>
      <c r="G946" s="11" t="s">
        <v>791</v>
      </c>
      <c r="H946" s="5">
        <v>2</v>
      </c>
      <c r="I946" s="5" t="str">
        <f>VLOOKUP(F946,'Set up'!$A$2:$C$70,3,FALSE)</f>
        <v>Cash</v>
      </c>
      <c r="J946" s="5">
        <f>VLOOKUP(F946,'Set up'!$A$2:$D$70,4,FALSE)</f>
        <v>0</v>
      </c>
      <c r="K946" s="4">
        <f t="shared" si="170"/>
        <v>44779</v>
      </c>
      <c r="L946" s="5">
        <f t="shared" si="171"/>
        <v>8</v>
      </c>
      <c r="M946" s="5">
        <f t="shared" si="172"/>
        <v>2022</v>
      </c>
      <c r="N946" s="6">
        <v>125</v>
      </c>
      <c r="O946" s="6">
        <f t="shared" si="180"/>
        <v>-125</v>
      </c>
      <c r="P946" s="6">
        <f t="shared" si="176"/>
        <v>0</v>
      </c>
      <c r="Q946" s="7">
        <f t="shared" si="173"/>
        <v>1692350.3500000006</v>
      </c>
      <c r="R946" s="44" t="str">
        <f>VLOOKUP(F946,'Set up'!$A$2:$E$70,5,FALSE)</f>
        <v>Trsf</v>
      </c>
      <c r="S946" s="1" t="s">
        <v>1208</v>
      </c>
    </row>
    <row r="947" spans="1:19" x14ac:dyDescent="0.3">
      <c r="A947" s="4">
        <v>44779</v>
      </c>
      <c r="B947" s="5">
        <f t="shared" si="168"/>
        <v>8</v>
      </c>
      <c r="C947" s="5">
        <f t="shared" si="169"/>
        <v>2022</v>
      </c>
      <c r="D947" s="5" t="s">
        <v>897</v>
      </c>
      <c r="E947" s="5" t="str">
        <f>VLOOKUP(F947,'Set up'!$A$2:$C$70,2,FALSE)</f>
        <v>C00000001</v>
      </c>
      <c r="F947" s="1" t="s">
        <v>7</v>
      </c>
      <c r="G947" s="11" t="s">
        <v>830</v>
      </c>
      <c r="H947" s="5">
        <v>3</v>
      </c>
      <c r="I947" s="5" t="str">
        <f>VLOOKUP(F947,'Set up'!$A$2:$C$70,3,FALSE)</f>
        <v>Cash</v>
      </c>
      <c r="J947" s="5">
        <f>VLOOKUP(F947,'Set up'!$A$2:$D$70,4,FALSE)</f>
        <v>0</v>
      </c>
      <c r="K947" s="4">
        <f t="shared" si="170"/>
        <v>44779</v>
      </c>
      <c r="L947" s="5">
        <f t="shared" si="171"/>
        <v>8</v>
      </c>
      <c r="M947" s="5">
        <f t="shared" si="172"/>
        <v>2022</v>
      </c>
      <c r="N947" s="6">
        <v>864</v>
      </c>
      <c r="O947" s="6">
        <f>-N947</f>
        <v>-864</v>
      </c>
      <c r="P947" s="6">
        <f t="shared" si="176"/>
        <v>0</v>
      </c>
      <c r="Q947" s="7">
        <f t="shared" si="173"/>
        <v>1693214.3500000006</v>
      </c>
      <c r="R947" s="44" t="str">
        <f>VLOOKUP(F947,'Set up'!$A$2:$E$70,5,FALSE)</f>
        <v>Trsf</v>
      </c>
      <c r="S947" s="1" t="s">
        <v>918</v>
      </c>
    </row>
    <row r="948" spans="1:19" x14ac:dyDescent="0.3">
      <c r="A948" s="4">
        <v>44782</v>
      </c>
      <c r="B948" s="5">
        <f t="shared" si="168"/>
        <v>8</v>
      </c>
      <c r="C948" s="5">
        <f t="shared" si="169"/>
        <v>2022</v>
      </c>
      <c r="D948" s="5" t="s">
        <v>898</v>
      </c>
      <c r="E948" s="5" t="str">
        <f>VLOOKUP(F948,'Set up'!$A$2:$C$70,2,FALSE)</f>
        <v>C00000026</v>
      </c>
      <c r="F948" s="1" t="s">
        <v>784</v>
      </c>
      <c r="G948" s="11" t="s">
        <v>716</v>
      </c>
      <c r="H948" s="5">
        <v>1</v>
      </c>
      <c r="I948" s="5" t="str">
        <f>VLOOKUP(F948,'Set up'!$A$2:$C$70,3,FALSE)</f>
        <v>Cash</v>
      </c>
      <c r="J948" s="5">
        <f>VLOOKUP(F948,'Set up'!$A$2:$D$70,4,FALSE)</f>
        <v>0</v>
      </c>
      <c r="K948" s="4">
        <f t="shared" si="170"/>
        <v>44782</v>
      </c>
      <c r="L948" s="5">
        <f t="shared" si="171"/>
        <v>8</v>
      </c>
      <c r="M948" s="5">
        <f t="shared" si="172"/>
        <v>2022</v>
      </c>
      <c r="N948" s="6">
        <v>2068</v>
      </c>
      <c r="O948" s="6">
        <f>-N948</f>
        <v>-2068</v>
      </c>
      <c r="P948" s="6">
        <f t="shared" si="176"/>
        <v>0</v>
      </c>
      <c r="Q948" s="7">
        <f t="shared" si="173"/>
        <v>1695282.3500000006</v>
      </c>
      <c r="R948" s="44" t="str">
        <f>VLOOKUP(F948,'Set up'!$A$2:$E$70,5,FALSE)</f>
        <v>Trsf</v>
      </c>
      <c r="S948" s="1" t="s">
        <v>917</v>
      </c>
    </row>
    <row r="949" spans="1:19" x14ac:dyDescent="0.3">
      <c r="A949" s="4">
        <v>44785</v>
      </c>
      <c r="B949" s="5">
        <f t="shared" si="168"/>
        <v>8</v>
      </c>
      <c r="C949" s="5">
        <f t="shared" si="169"/>
        <v>2022</v>
      </c>
      <c r="D949" s="5" t="s">
        <v>899</v>
      </c>
      <c r="E949" s="5" t="str">
        <f>VLOOKUP(F949,'Set up'!$A$2:$C$70,2,FALSE)</f>
        <v>C00000020</v>
      </c>
      <c r="F949" s="1" t="s">
        <v>409</v>
      </c>
      <c r="G949" s="11" t="s">
        <v>719</v>
      </c>
      <c r="H949" s="5">
        <v>1</v>
      </c>
      <c r="I949" s="5" t="str">
        <f>VLOOKUP(F949,'Set up'!$A$2:$C$70,3,FALSE)</f>
        <v>Cash</v>
      </c>
      <c r="J949" s="5">
        <f>VLOOKUP(F949,'Set up'!$A$2:$D$70,4,FALSE)</f>
        <v>0</v>
      </c>
      <c r="K949" s="4">
        <f t="shared" si="170"/>
        <v>44785</v>
      </c>
      <c r="L949" s="5">
        <f t="shared" si="171"/>
        <v>8</v>
      </c>
      <c r="M949" s="5">
        <f t="shared" si="172"/>
        <v>2022</v>
      </c>
      <c r="N949" s="6">
        <v>2068</v>
      </c>
      <c r="O949" s="6">
        <f t="shared" ref="O949:O953" si="181">-N949</f>
        <v>-2068</v>
      </c>
      <c r="P949" s="6">
        <f t="shared" si="176"/>
        <v>0</v>
      </c>
      <c r="Q949" s="7">
        <f t="shared" si="173"/>
        <v>1697350.3500000006</v>
      </c>
      <c r="R949" s="44" t="str">
        <f>VLOOKUP(F949,'Set up'!$A$2:$E$70,5,FALSE)</f>
        <v>Trsf</v>
      </c>
      <c r="S949" s="1" t="s">
        <v>1208</v>
      </c>
    </row>
    <row r="950" spans="1:19" x14ac:dyDescent="0.3">
      <c r="A950" s="4">
        <v>44785</v>
      </c>
      <c r="B950" s="5">
        <f t="shared" si="168"/>
        <v>8</v>
      </c>
      <c r="C950" s="5">
        <f t="shared" si="169"/>
        <v>2022</v>
      </c>
      <c r="D950" s="5" t="s">
        <v>899</v>
      </c>
      <c r="E950" s="5" t="str">
        <f>VLOOKUP(F950,'Set up'!$A$2:$C$70,2,FALSE)</f>
        <v>C00000020</v>
      </c>
      <c r="F950" s="1" t="s">
        <v>409</v>
      </c>
      <c r="G950" s="11" t="s">
        <v>654</v>
      </c>
      <c r="H950" s="5">
        <v>3</v>
      </c>
      <c r="I950" s="5" t="str">
        <f>VLOOKUP(F950,'Set up'!$A$2:$C$70,3,FALSE)</f>
        <v>Cash</v>
      </c>
      <c r="J950" s="5">
        <f>VLOOKUP(F950,'Set up'!$A$2:$D$70,4,FALSE)</f>
        <v>0</v>
      </c>
      <c r="K950" s="4">
        <f t="shared" si="170"/>
        <v>44785</v>
      </c>
      <c r="L950" s="5">
        <f t="shared" si="171"/>
        <v>8</v>
      </c>
      <c r="M950" s="5">
        <f t="shared" si="172"/>
        <v>2022</v>
      </c>
      <c r="N950" s="6">
        <v>882</v>
      </c>
      <c r="O950" s="6">
        <f t="shared" si="181"/>
        <v>-882</v>
      </c>
      <c r="P950" s="6">
        <f t="shared" si="176"/>
        <v>0</v>
      </c>
      <c r="Q950" s="7">
        <f t="shared" si="173"/>
        <v>1698232.3500000006</v>
      </c>
      <c r="R950" s="44" t="str">
        <f>VLOOKUP(F950,'Set up'!$A$2:$E$70,5,FALSE)</f>
        <v>Trsf</v>
      </c>
      <c r="S950" s="1" t="s">
        <v>1208</v>
      </c>
    </row>
    <row r="951" spans="1:19" x14ac:dyDescent="0.3">
      <c r="A951" s="4">
        <v>44785</v>
      </c>
      <c r="B951" s="5">
        <f t="shared" si="168"/>
        <v>8</v>
      </c>
      <c r="C951" s="5">
        <f t="shared" si="169"/>
        <v>2022</v>
      </c>
      <c r="D951" s="5" t="s">
        <v>899</v>
      </c>
      <c r="E951" s="5" t="str">
        <f>VLOOKUP(F951,'Set up'!$A$2:$C$70,2,FALSE)</f>
        <v>C00000020</v>
      </c>
      <c r="F951" s="1" t="s">
        <v>409</v>
      </c>
      <c r="G951" s="11" t="s">
        <v>778</v>
      </c>
      <c r="H951" s="5">
        <v>1</v>
      </c>
      <c r="I951" s="5" t="str">
        <f>VLOOKUP(F951,'Set up'!$A$2:$C$70,3,FALSE)</f>
        <v>Cash</v>
      </c>
      <c r="J951" s="5">
        <f>VLOOKUP(F951,'Set up'!$A$2:$D$70,4,FALSE)</f>
        <v>0</v>
      </c>
      <c r="K951" s="4">
        <f t="shared" si="170"/>
        <v>44785</v>
      </c>
      <c r="L951" s="5">
        <f t="shared" si="171"/>
        <v>8</v>
      </c>
      <c r="M951" s="5">
        <f t="shared" si="172"/>
        <v>2022</v>
      </c>
      <c r="N951" s="6">
        <v>300</v>
      </c>
      <c r="O951" s="6">
        <f t="shared" si="181"/>
        <v>-300</v>
      </c>
      <c r="P951" s="6">
        <f t="shared" si="176"/>
        <v>0</v>
      </c>
      <c r="Q951" s="7">
        <f t="shared" si="173"/>
        <v>1698532.3500000006</v>
      </c>
      <c r="R951" s="44" t="str">
        <f>VLOOKUP(F951,'Set up'!$A$2:$E$70,5,FALSE)</f>
        <v>Trsf</v>
      </c>
      <c r="S951" s="1" t="s">
        <v>1208</v>
      </c>
    </row>
    <row r="952" spans="1:19" x14ac:dyDescent="0.3">
      <c r="A952" s="4">
        <v>44785</v>
      </c>
      <c r="B952" s="5">
        <f t="shared" si="168"/>
        <v>8</v>
      </c>
      <c r="C952" s="5">
        <f t="shared" si="169"/>
        <v>2022</v>
      </c>
      <c r="D952" s="5" t="s">
        <v>899</v>
      </c>
      <c r="E952" s="5" t="str">
        <f>VLOOKUP(F952,'Set up'!$A$2:$C$70,2,FALSE)</f>
        <v>C00000020</v>
      </c>
      <c r="F952" s="1" t="s">
        <v>409</v>
      </c>
      <c r="G952" s="11" t="s">
        <v>791</v>
      </c>
      <c r="H952" s="5">
        <v>1</v>
      </c>
      <c r="I952" s="5" t="str">
        <f>VLOOKUP(F952,'Set up'!$A$2:$C$70,3,FALSE)</f>
        <v>Cash</v>
      </c>
      <c r="J952" s="5">
        <f>VLOOKUP(F952,'Set up'!$A$2:$D$70,4,FALSE)</f>
        <v>0</v>
      </c>
      <c r="K952" s="4">
        <f t="shared" si="170"/>
        <v>44785</v>
      </c>
      <c r="L952" s="5">
        <f t="shared" si="171"/>
        <v>8</v>
      </c>
      <c r="M952" s="5">
        <f t="shared" si="172"/>
        <v>2022</v>
      </c>
      <c r="N952" s="6">
        <v>62.5</v>
      </c>
      <c r="O952" s="6">
        <f t="shared" si="181"/>
        <v>-62.5</v>
      </c>
      <c r="P952" s="6">
        <f t="shared" si="176"/>
        <v>0</v>
      </c>
      <c r="Q952" s="7">
        <f t="shared" si="173"/>
        <v>1698594.8500000006</v>
      </c>
      <c r="R952" s="44" t="str">
        <f>VLOOKUP(F952,'Set up'!$A$2:$E$70,5,FALSE)</f>
        <v>Trsf</v>
      </c>
      <c r="S952" s="1" t="s">
        <v>1208</v>
      </c>
    </row>
    <row r="953" spans="1:19" x14ac:dyDescent="0.3">
      <c r="A953" s="4">
        <v>44785</v>
      </c>
      <c r="B953" s="5">
        <f t="shared" si="168"/>
        <v>8</v>
      </c>
      <c r="C953" s="5">
        <f t="shared" si="169"/>
        <v>2022</v>
      </c>
      <c r="D953" s="5" t="s">
        <v>899</v>
      </c>
      <c r="E953" s="5" t="str">
        <f>VLOOKUP(F953,'Set up'!$A$2:$C$70,2,FALSE)</f>
        <v>C00000020</v>
      </c>
      <c r="F953" s="1" t="s">
        <v>409</v>
      </c>
      <c r="G953" s="11" t="s">
        <v>659</v>
      </c>
      <c r="H953" s="5">
        <v>1</v>
      </c>
      <c r="I953" s="5" t="str">
        <f>VLOOKUP(F953,'Set up'!$A$2:$C$70,3,FALSE)</f>
        <v>Cash</v>
      </c>
      <c r="J953" s="5">
        <f>VLOOKUP(F953,'Set up'!$A$2:$D$70,4,FALSE)</f>
        <v>0</v>
      </c>
      <c r="K953" s="4">
        <f t="shared" si="170"/>
        <v>44785</v>
      </c>
      <c r="L953" s="5">
        <f t="shared" si="171"/>
        <v>8</v>
      </c>
      <c r="M953" s="5">
        <f t="shared" si="172"/>
        <v>2022</v>
      </c>
      <c r="N953" s="6">
        <v>1000</v>
      </c>
      <c r="O953" s="6">
        <f t="shared" si="181"/>
        <v>-1000</v>
      </c>
      <c r="P953" s="6">
        <f t="shared" si="176"/>
        <v>0</v>
      </c>
      <c r="Q953" s="7">
        <f t="shared" si="173"/>
        <v>1699594.8500000006</v>
      </c>
      <c r="R953" s="44" t="str">
        <f>VLOOKUP(F953,'Set up'!$A$2:$E$70,5,FALSE)</f>
        <v>Trsf</v>
      </c>
      <c r="S953" s="1" t="s">
        <v>1208</v>
      </c>
    </row>
    <row r="954" spans="1:19" x14ac:dyDescent="0.3">
      <c r="A954" s="4">
        <v>44788</v>
      </c>
      <c r="B954" s="5">
        <f t="shared" si="168"/>
        <v>8</v>
      </c>
      <c r="C954" s="5">
        <f t="shared" si="169"/>
        <v>2022</v>
      </c>
      <c r="D954" s="5" t="s">
        <v>900</v>
      </c>
      <c r="E954" s="5" t="e">
        <f>VLOOKUP(F954,'Set up'!$A$2:$C$70,2,FALSE)</f>
        <v>#N/A</v>
      </c>
      <c r="F954" s="11" t="s">
        <v>1044</v>
      </c>
      <c r="G954" s="5" t="s">
        <v>901</v>
      </c>
      <c r="H954" s="5">
        <v>0</v>
      </c>
      <c r="I954" s="5" t="e">
        <f>VLOOKUP(F954,'Set up'!$A$2:$C$70,3,FALSE)</f>
        <v>#N/A</v>
      </c>
      <c r="J954" s="5" t="e">
        <f>VLOOKUP(F954,'Set up'!$A$2:$D$70,4,FALSE)</f>
        <v>#N/A</v>
      </c>
      <c r="K954" s="4" t="e">
        <f t="shared" si="170"/>
        <v>#N/A</v>
      </c>
      <c r="L954" s="5" t="e">
        <f t="shared" si="171"/>
        <v>#N/A</v>
      </c>
      <c r="M954" s="5" t="e">
        <f t="shared" si="172"/>
        <v>#N/A</v>
      </c>
      <c r="N954" s="6">
        <v>0</v>
      </c>
      <c r="P954" s="6">
        <f t="shared" si="176"/>
        <v>0</v>
      </c>
      <c r="Q954" s="7">
        <f t="shared" si="173"/>
        <v>1699594.8500000006</v>
      </c>
      <c r="R954" s="44" t="e">
        <f>VLOOKUP(F954,'Set up'!$A$2:$E$70,5,FALSE)</f>
        <v>#N/A</v>
      </c>
    </row>
    <row r="955" spans="1:19" x14ac:dyDescent="0.3">
      <c r="A955" s="4">
        <v>44788</v>
      </c>
      <c r="B955" s="5">
        <f t="shared" si="168"/>
        <v>8</v>
      </c>
      <c r="C955" s="5">
        <f t="shared" si="169"/>
        <v>2022</v>
      </c>
      <c r="D955" s="5" t="s">
        <v>902</v>
      </c>
      <c r="E955" s="5" t="str">
        <f>VLOOKUP(F955,'Set up'!$A$2:$C$70,2,FALSE)</f>
        <v>C00000004</v>
      </c>
      <c r="F955" s="1" t="s">
        <v>23</v>
      </c>
      <c r="G955" s="11" t="s">
        <v>903</v>
      </c>
      <c r="H955" s="5">
        <v>5</v>
      </c>
      <c r="I955" s="5">
        <f>VLOOKUP(F955,'Set up'!$A$2:$C$70,3,FALSE)</f>
        <v>120</v>
      </c>
      <c r="J955" s="5">
        <f>VLOOKUP(F955,'Set up'!$A$2:$D$70,4,FALSE)</f>
        <v>120</v>
      </c>
      <c r="K955" s="4">
        <f t="shared" si="170"/>
        <v>44908</v>
      </c>
      <c r="L955" s="5">
        <f t="shared" si="171"/>
        <v>12</v>
      </c>
      <c r="M955" s="5">
        <f t="shared" si="172"/>
        <v>2022</v>
      </c>
      <c r="N955" s="6">
        <v>9570</v>
      </c>
      <c r="O955" s="6">
        <f t="shared" ref="O955:O960" si="182">-N955</f>
        <v>-9570</v>
      </c>
      <c r="P955" s="6">
        <f t="shared" si="176"/>
        <v>0</v>
      </c>
      <c r="Q955" s="7">
        <f t="shared" si="173"/>
        <v>1709164.8500000006</v>
      </c>
      <c r="R955" s="44" t="str">
        <f>VLOOKUP(F955,'Set up'!$A$2:$E$70,5,FALSE)</f>
        <v>Chq</v>
      </c>
      <c r="S955" s="1" t="s">
        <v>1087</v>
      </c>
    </row>
    <row r="956" spans="1:19" x14ac:dyDescent="0.3">
      <c r="A956" s="4">
        <v>44788</v>
      </c>
      <c r="B956" s="5">
        <f t="shared" si="168"/>
        <v>8</v>
      </c>
      <c r="C956" s="5">
        <f t="shared" si="169"/>
        <v>2022</v>
      </c>
      <c r="D956" s="5" t="s">
        <v>902</v>
      </c>
      <c r="E956" s="5" t="str">
        <f>VLOOKUP(F956,'Set up'!$A$2:$C$70,2,FALSE)</f>
        <v>C00000004</v>
      </c>
      <c r="F956" s="1" t="s">
        <v>23</v>
      </c>
      <c r="G956" s="11" t="s">
        <v>904</v>
      </c>
      <c r="H956" s="5">
        <v>1</v>
      </c>
      <c r="I956" s="5">
        <f>VLOOKUP(F956,'Set up'!$A$2:$C$70,3,FALSE)</f>
        <v>120</v>
      </c>
      <c r="J956" s="5">
        <f>VLOOKUP(F956,'Set up'!$A$2:$D$70,4,FALSE)</f>
        <v>120</v>
      </c>
      <c r="K956" s="4">
        <f t="shared" si="170"/>
        <v>44908</v>
      </c>
      <c r="L956" s="5">
        <f t="shared" si="171"/>
        <v>12</v>
      </c>
      <c r="M956" s="5">
        <f t="shared" si="172"/>
        <v>2022</v>
      </c>
      <c r="N956" s="6">
        <v>1957.5</v>
      </c>
      <c r="O956" s="6">
        <f t="shared" si="182"/>
        <v>-1957.5</v>
      </c>
      <c r="P956" s="6">
        <f t="shared" si="176"/>
        <v>0</v>
      </c>
      <c r="Q956" s="7">
        <f t="shared" si="173"/>
        <v>1711122.3500000006</v>
      </c>
      <c r="R956" s="44" t="str">
        <f>VLOOKUP(F956,'Set up'!$A$2:$E$70,5,FALSE)</f>
        <v>Chq</v>
      </c>
      <c r="S956" s="1" t="s">
        <v>1087</v>
      </c>
    </row>
    <row r="957" spans="1:19" x14ac:dyDescent="0.3">
      <c r="A957" s="4">
        <v>44788</v>
      </c>
      <c r="B957" s="5">
        <f t="shared" si="168"/>
        <v>8</v>
      </c>
      <c r="C957" s="5">
        <f t="shared" si="169"/>
        <v>2022</v>
      </c>
      <c r="D957" s="5" t="s">
        <v>902</v>
      </c>
      <c r="E957" s="5" t="str">
        <f>VLOOKUP(F957,'Set up'!$A$2:$C$70,2,FALSE)</f>
        <v>C00000004</v>
      </c>
      <c r="F957" s="1" t="s">
        <v>23</v>
      </c>
      <c r="G957" s="11" t="s">
        <v>892</v>
      </c>
      <c r="H957" s="5">
        <v>4</v>
      </c>
      <c r="I957" s="5">
        <f>VLOOKUP(F957,'Set up'!$A$2:$C$70,3,FALSE)</f>
        <v>120</v>
      </c>
      <c r="J957" s="5">
        <f>VLOOKUP(F957,'Set up'!$A$2:$D$70,4,FALSE)</f>
        <v>120</v>
      </c>
      <c r="K957" s="4">
        <f t="shared" si="170"/>
        <v>44908</v>
      </c>
      <c r="L957" s="5">
        <f t="shared" si="171"/>
        <v>12</v>
      </c>
      <c r="M957" s="5">
        <f t="shared" si="172"/>
        <v>2022</v>
      </c>
      <c r="N957" s="6">
        <v>2358.4</v>
      </c>
      <c r="O957" s="6">
        <f t="shared" si="182"/>
        <v>-2358.4</v>
      </c>
      <c r="P957" s="6">
        <f t="shared" si="176"/>
        <v>0</v>
      </c>
      <c r="Q957" s="7">
        <f t="shared" si="173"/>
        <v>1713480.7500000005</v>
      </c>
      <c r="R957" s="44" t="str">
        <f>VLOOKUP(F957,'Set up'!$A$2:$E$70,5,FALSE)</f>
        <v>Chq</v>
      </c>
      <c r="S957" s="1" t="s">
        <v>1087</v>
      </c>
    </row>
    <row r="958" spans="1:19" x14ac:dyDescent="0.3">
      <c r="A958" s="4">
        <v>44788</v>
      </c>
      <c r="B958" s="5">
        <f t="shared" si="168"/>
        <v>8</v>
      </c>
      <c r="C958" s="5">
        <f t="shared" si="169"/>
        <v>2022</v>
      </c>
      <c r="D958" s="5" t="s">
        <v>902</v>
      </c>
      <c r="E958" s="5" t="str">
        <f>VLOOKUP(F958,'Set up'!$A$2:$C$70,2,FALSE)</f>
        <v>C00000004</v>
      </c>
      <c r="F958" s="1" t="s">
        <v>23</v>
      </c>
      <c r="G958" s="11" t="s">
        <v>513</v>
      </c>
      <c r="H958" s="5">
        <v>4</v>
      </c>
      <c r="I958" s="5">
        <f>VLOOKUP(F958,'Set up'!$A$2:$C$70,3,FALSE)</f>
        <v>120</v>
      </c>
      <c r="J958" s="5">
        <f>VLOOKUP(F958,'Set up'!$A$2:$D$70,4,FALSE)</f>
        <v>120</v>
      </c>
      <c r="K958" s="4">
        <f t="shared" si="170"/>
        <v>44908</v>
      </c>
      <c r="L958" s="5">
        <f t="shared" si="171"/>
        <v>12</v>
      </c>
      <c r="M958" s="5">
        <f t="shared" si="172"/>
        <v>2022</v>
      </c>
      <c r="N958" s="6">
        <v>1900.8</v>
      </c>
      <c r="O958" s="6">
        <f t="shared" si="182"/>
        <v>-1900.8</v>
      </c>
      <c r="P958" s="6">
        <f t="shared" si="176"/>
        <v>0</v>
      </c>
      <c r="Q958" s="7">
        <f t="shared" si="173"/>
        <v>1715381.5500000005</v>
      </c>
      <c r="R958" s="44" t="str">
        <f>VLOOKUP(F958,'Set up'!$A$2:$E$70,5,FALSE)</f>
        <v>Chq</v>
      </c>
      <c r="S958" s="1" t="s">
        <v>1087</v>
      </c>
    </row>
    <row r="959" spans="1:19" x14ac:dyDescent="0.3">
      <c r="A959" s="4">
        <v>44788</v>
      </c>
      <c r="B959" s="5">
        <f t="shared" si="168"/>
        <v>8</v>
      </c>
      <c r="C959" s="5">
        <f t="shared" si="169"/>
        <v>2022</v>
      </c>
      <c r="D959" s="5" t="s">
        <v>902</v>
      </c>
      <c r="E959" s="5" t="str">
        <f>VLOOKUP(F959,'Set up'!$A$2:$C$70,2,FALSE)</f>
        <v>C00000004</v>
      </c>
      <c r="F959" s="1" t="s">
        <v>23</v>
      </c>
      <c r="G959" s="11" t="s">
        <v>666</v>
      </c>
      <c r="H959" s="5">
        <v>4</v>
      </c>
      <c r="I959" s="5">
        <f>VLOOKUP(F959,'Set up'!$A$2:$C$70,3,FALSE)</f>
        <v>120</v>
      </c>
      <c r="J959" s="5">
        <f>VLOOKUP(F959,'Set up'!$A$2:$D$70,4,FALSE)</f>
        <v>120</v>
      </c>
      <c r="K959" s="4">
        <f t="shared" si="170"/>
        <v>44908</v>
      </c>
      <c r="L959" s="5">
        <f t="shared" si="171"/>
        <v>12</v>
      </c>
      <c r="M959" s="5">
        <f t="shared" si="172"/>
        <v>2022</v>
      </c>
      <c r="N959" s="6">
        <v>360</v>
      </c>
      <c r="O959" s="6">
        <f t="shared" si="182"/>
        <v>-360</v>
      </c>
      <c r="P959" s="6">
        <f t="shared" si="176"/>
        <v>0</v>
      </c>
      <c r="Q959" s="7">
        <f t="shared" si="173"/>
        <v>1715741.5500000005</v>
      </c>
      <c r="R959" s="44" t="str">
        <f>VLOOKUP(F959,'Set up'!$A$2:$E$70,5,FALSE)</f>
        <v>Chq</v>
      </c>
      <c r="S959" s="1" t="s">
        <v>1087</v>
      </c>
    </row>
    <row r="960" spans="1:19" x14ac:dyDescent="0.3">
      <c r="A960" s="4">
        <v>44788</v>
      </c>
      <c r="B960" s="5">
        <f t="shared" si="168"/>
        <v>8</v>
      </c>
      <c r="C960" s="5">
        <f t="shared" si="169"/>
        <v>2022</v>
      </c>
      <c r="D960" s="5" t="s">
        <v>902</v>
      </c>
      <c r="E960" s="5" t="str">
        <f>VLOOKUP(F960,'Set up'!$A$2:$C$70,2,FALSE)</f>
        <v>C00000004</v>
      </c>
      <c r="F960" s="1" t="s">
        <v>23</v>
      </c>
      <c r="G960" s="11" t="s">
        <v>905</v>
      </c>
      <c r="H960" s="5">
        <v>1</v>
      </c>
      <c r="I960" s="5">
        <f>VLOOKUP(F960,'Set up'!$A$2:$C$70,3,FALSE)</f>
        <v>120</v>
      </c>
      <c r="J960" s="5">
        <f>VLOOKUP(F960,'Set up'!$A$2:$D$70,4,FALSE)</f>
        <v>120</v>
      </c>
      <c r="K960" s="4">
        <f t="shared" si="170"/>
        <v>44908</v>
      </c>
      <c r="L960" s="5">
        <f t="shared" si="171"/>
        <v>12</v>
      </c>
      <c r="M960" s="5">
        <f t="shared" si="172"/>
        <v>2022</v>
      </c>
      <c r="N960" s="6">
        <v>390</v>
      </c>
      <c r="O960" s="6">
        <f t="shared" si="182"/>
        <v>-390</v>
      </c>
      <c r="P960" s="6">
        <f t="shared" si="176"/>
        <v>0</v>
      </c>
      <c r="Q960" s="7">
        <f t="shared" si="173"/>
        <v>1716131.5500000005</v>
      </c>
      <c r="R960" s="44" t="str">
        <f>VLOOKUP(F960,'Set up'!$A$2:$E$70,5,FALSE)</f>
        <v>Chq</v>
      </c>
      <c r="S960" s="1" t="s">
        <v>1087</v>
      </c>
    </row>
    <row r="961" spans="1:21" ht="109.2" x14ac:dyDescent="0.3">
      <c r="A961" s="4">
        <v>44788</v>
      </c>
      <c r="B961" s="5">
        <f t="shared" si="168"/>
        <v>8</v>
      </c>
      <c r="C961" s="5">
        <f t="shared" si="169"/>
        <v>2022</v>
      </c>
      <c r="D961" s="5" t="s">
        <v>906</v>
      </c>
      <c r="E961" s="5" t="str">
        <f>VLOOKUP(F961,'Set up'!$A$2:$C$70,2,FALSE)</f>
        <v>C00000003</v>
      </c>
      <c r="F961" s="1" t="s">
        <v>20</v>
      </c>
      <c r="G961" s="11" t="s">
        <v>67</v>
      </c>
      <c r="H961" s="5">
        <v>3</v>
      </c>
      <c r="I961" s="5">
        <f>VLOOKUP(F961,'Set up'!$A$2:$C$70,3,FALSE)</f>
        <v>45</v>
      </c>
      <c r="J961" s="5">
        <f>VLOOKUP(F961,'Set up'!$A$2:$D$70,4,FALSE)</f>
        <v>45</v>
      </c>
      <c r="K961" s="4">
        <f t="shared" si="170"/>
        <v>44833</v>
      </c>
      <c r="L961" s="5">
        <f t="shared" si="171"/>
        <v>9</v>
      </c>
      <c r="M961" s="5">
        <f t="shared" si="172"/>
        <v>2022</v>
      </c>
      <c r="N961" s="6">
        <v>6336</v>
      </c>
      <c r="O961" s="6">
        <f>-2000-2000-2000-336</f>
        <v>-6336</v>
      </c>
      <c r="P961" s="6">
        <f t="shared" si="176"/>
        <v>0</v>
      </c>
      <c r="Q961" s="7">
        <f t="shared" si="173"/>
        <v>1722467.5500000005</v>
      </c>
      <c r="R961" s="44" t="str">
        <f>VLOOKUP(F961,'Set up'!$A$2:$E$70,5,FALSE)</f>
        <v>PD Chq</v>
      </c>
      <c r="S961" s="40" t="s">
        <v>1028</v>
      </c>
      <c r="U961" s="1" t="s">
        <v>3603</v>
      </c>
    </row>
    <row r="962" spans="1:21" x14ac:dyDescent="0.3">
      <c r="A962" s="4">
        <v>44788</v>
      </c>
      <c r="B962" s="5">
        <f t="shared" si="168"/>
        <v>8</v>
      </c>
      <c r="C962" s="5">
        <f t="shared" si="169"/>
        <v>2022</v>
      </c>
      <c r="D962" s="5" t="s">
        <v>906</v>
      </c>
      <c r="E962" s="5" t="str">
        <f>VLOOKUP(F962,'Set up'!$A$2:$C$70,2,FALSE)</f>
        <v>C00000003</v>
      </c>
      <c r="F962" s="1" t="s">
        <v>20</v>
      </c>
      <c r="G962" s="11" t="s">
        <v>64</v>
      </c>
      <c r="H962" s="5">
        <v>3</v>
      </c>
      <c r="I962" s="5">
        <f>VLOOKUP(F962,'Set up'!$A$2:$C$70,3,FALSE)</f>
        <v>45</v>
      </c>
      <c r="J962" s="5">
        <f>VLOOKUP(F962,'Set up'!$A$2:$D$70,4,FALSE)</f>
        <v>45</v>
      </c>
      <c r="K962" s="4">
        <f t="shared" si="170"/>
        <v>44833</v>
      </c>
      <c r="L962" s="5">
        <f t="shared" si="171"/>
        <v>9</v>
      </c>
      <c r="M962" s="5">
        <f t="shared" si="172"/>
        <v>2022</v>
      </c>
      <c r="N962" s="6">
        <v>195</v>
      </c>
      <c r="O962" s="6">
        <f>-N962</f>
        <v>-195</v>
      </c>
      <c r="P962" s="6">
        <f t="shared" si="176"/>
        <v>0</v>
      </c>
      <c r="Q962" s="7">
        <f t="shared" si="173"/>
        <v>1722662.5500000005</v>
      </c>
      <c r="R962" s="44" t="str">
        <f>VLOOKUP(F962,'Set up'!$A$2:$E$70,5,FALSE)</f>
        <v>PD Chq</v>
      </c>
      <c r="S962" s="1" t="s">
        <v>1029</v>
      </c>
      <c r="U962" s="1" t="s">
        <v>3603</v>
      </c>
    </row>
    <row r="963" spans="1:21" x14ac:dyDescent="0.3">
      <c r="A963" s="4">
        <v>44788</v>
      </c>
      <c r="B963" s="5">
        <f t="shared" ref="B963:B1026" si="183">MONTH(A963)</f>
        <v>8</v>
      </c>
      <c r="C963" s="5">
        <f t="shared" ref="C963:C1026" si="184">YEAR(A963)</f>
        <v>2022</v>
      </c>
      <c r="D963" s="5" t="s">
        <v>906</v>
      </c>
      <c r="E963" s="5" t="str">
        <f>VLOOKUP(F963,'Set up'!$A$2:$C$70,2,FALSE)</f>
        <v>C00000003</v>
      </c>
      <c r="F963" s="1" t="s">
        <v>20</v>
      </c>
      <c r="G963" s="11" t="s">
        <v>17</v>
      </c>
      <c r="H963" s="5">
        <v>6</v>
      </c>
      <c r="I963" s="5">
        <f>VLOOKUP(F963,'Set up'!$A$2:$C$70,3,FALSE)</f>
        <v>45</v>
      </c>
      <c r="J963" s="5">
        <f>VLOOKUP(F963,'Set up'!$A$2:$D$70,4,FALSE)</f>
        <v>45</v>
      </c>
      <c r="K963" s="4">
        <f t="shared" ref="K963:K1026" si="185">A963+J963</f>
        <v>44833</v>
      </c>
      <c r="L963" s="5">
        <f t="shared" ref="L963:L1026" si="186">MONTH(K963)</f>
        <v>9</v>
      </c>
      <c r="M963" s="5">
        <f t="shared" ref="M963:M1026" si="187">YEAR(K963)</f>
        <v>2022</v>
      </c>
      <c r="N963" s="6">
        <v>630</v>
      </c>
      <c r="O963" s="6">
        <f>-N963</f>
        <v>-630</v>
      </c>
      <c r="P963" s="6">
        <f t="shared" si="176"/>
        <v>0</v>
      </c>
      <c r="Q963" s="7">
        <f t="shared" ref="Q963:Q1026" si="188">SUM(Q962+N963)</f>
        <v>1723292.5500000005</v>
      </c>
      <c r="R963" s="44" t="str">
        <f>VLOOKUP(F963,'Set up'!$A$2:$E$70,5,FALSE)</f>
        <v>PD Chq</v>
      </c>
      <c r="S963" s="1" t="s">
        <v>1029</v>
      </c>
      <c r="U963" s="1" t="s">
        <v>3603</v>
      </c>
    </row>
    <row r="964" spans="1:21" x14ac:dyDescent="0.3">
      <c r="A964" s="4">
        <v>44788</v>
      </c>
      <c r="B964" s="5">
        <f t="shared" si="183"/>
        <v>8</v>
      </c>
      <c r="C964" s="5">
        <f t="shared" si="184"/>
        <v>2022</v>
      </c>
      <c r="D964" s="5" t="s">
        <v>906</v>
      </c>
      <c r="E964" s="5" t="str">
        <f>VLOOKUP(F964,'Set up'!$A$2:$C$70,2,FALSE)</f>
        <v>C00000003</v>
      </c>
      <c r="F964" s="1" t="s">
        <v>20</v>
      </c>
      <c r="G964" s="11" t="s">
        <v>178</v>
      </c>
      <c r="H964" s="5">
        <v>1</v>
      </c>
      <c r="I964" s="5">
        <f>VLOOKUP(F964,'Set up'!$A$2:$C$70,3,FALSE)</f>
        <v>45</v>
      </c>
      <c r="J964" s="5">
        <f>VLOOKUP(F964,'Set up'!$A$2:$D$70,4,FALSE)</f>
        <v>45</v>
      </c>
      <c r="K964" s="4">
        <f t="shared" si="185"/>
        <v>44833</v>
      </c>
      <c r="L964" s="5">
        <f t="shared" si="186"/>
        <v>9</v>
      </c>
      <c r="M964" s="5">
        <f t="shared" si="187"/>
        <v>2022</v>
      </c>
      <c r="N964" s="6">
        <v>45</v>
      </c>
      <c r="O964" s="6">
        <f>-N964</f>
        <v>-45</v>
      </c>
      <c r="P964" s="6">
        <f t="shared" si="176"/>
        <v>0</v>
      </c>
      <c r="Q964" s="7">
        <f t="shared" si="188"/>
        <v>1723337.5500000005</v>
      </c>
      <c r="R964" s="44" t="str">
        <f>VLOOKUP(F964,'Set up'!$A$2:$E$70,5,FALSE)</f>
        <v>PD Chq</v>
      </c>
      <c r="S964" s="1" t="s">
        <v>1029</v>
      </c>
      <c r="U964" s="1" t="s">
        <v>3603</v>
      </c>
    </row>
    <row r="965" spans="1:21" x14ac:dyDescent="0.3">
      <c r="A965" s="4">
        <v>44788</v>
      </c>
      <c r="B965" s="5">
        <f t="shared" si="183"/>
        <v>8</v>
      </c>
      <c r="C965" s="5">
        <f t="shared" si="184"/>
        <v>2022</v>
      </c>
      <c r="D965" s="5" t="s">
        <v>906</v>
      </c>
      <c r="E965" s="5" t="str">
        <f>VLOOKUP(F965,'Set up'!$A$2:$C$70,2,FALSE)</f>
        <v>C00000003</v>
      </c>
      <c r="F965" s="1" t="s">
        <v>20</v>
      </c>
      <c r="G965" s="11" t="s">
        <v>513</v>
      </c>
      <c r="H965" s="5">
        <v>1</v>
      </c>
      <c r="I965" s="5">
        <f>VLOOKUP(F965,'Set up'!$A$2:$C$70,3,FALSE)</f>
        <v>45</v>
      </c>
      <c r="J965" s="5">
        <f>VLOOKUP(F965,'Set up'!$A$2:$D$70,4,FALSE)</f>
        <v>45</v>
      </c>
      <c r="K965" s="4">
        <f t="shared" si="185"/>
        <v>44833</v>
      </c>
      <c r="L965" s="5">
        <f t="shared" si="186"/>
        <v>9</v>
      </c>
      <c r="M965" s="5">
        <f t="shared" si="187"/>
        <v>2022</v>
      </c>
      <c r="N965" s="6">
        <v>315</v>
      </c>
      <c r="O965" s="6">
        <f>-N965</f>
        <v>-315</v>
      </c>
      <c r="P965" s="6">
        <f t="shared" si="176"/>
        <v>0</v>
      </c>
      <c r="Q965" s="7">
        <f t="shared" si="188"/>
        <v>1723652.5500000005</v>
      </c>
      <c r="R965" s="44" t="str">
        <f>VLOOKUP(F965,'Set up'!$A$2:$E$70,5,FALSE)</f>
        <v>PD Chq</v>
      </c>
      <c r="S965" s="1" t="s">
        <v>1029</v>
      </c>
      <c r="U965" s="1" t="s">
        <v>3603</v>
      </c>
    </row>
    <row r="966" spans="1:21" x14ac:dyDescent="0.3">
      <c r="A966" s="4">
        <v>44789</v>
      </c>
      <c r="B966" s="5">
        <f t="shared" si="183"/>
        <v>8</v>
      </c>
      <c r="C966" s="5">
        <f t="shared" si="184"/>
        <v>2022</v>
      </c>
      <c r="D966" s="5" t="s">
        <v>907</v>
      </c>
      <c r="E966" s="5" t="str">
        <f>VLOOKUP(F966,'Set up'!$A$2:$C$70,2,FALSE)</f>
        <v>C00000021</v>
      </c>
      <c r="F966" s="1" t="s">
        <v>491</v>
      </c>
      <c r="G966" s="11" t="s">
        <v>716</v>
      </c>
      <c r="H966" s="5">
        <v>1</v>
      </c>
      <c r="I966" s="5" t="str">
        <f>VLOOKUP(F966,'Set up'!$A$2:$C$70,3,FALSE)</f>
        <v>Cash</v>
      </c>
      <c r="J966" s="5">
        <f>VLOOKUP(F966,'Set up'!$A$2:$D$70,4,FALSE)</f>
        <v>0</v>
      </c>
      <c r="K966" s="4">
        <f t="shared" si="185"/>
        <v>44789</v>
      </c>
      <c r="L966" s="5">
        <f t="shared" si="186"/>
        <v>8</v>
      </c>
      <c r="M966" s="5">
        <f t="shared" si="187"/>
        <v>2022</v>
      </c>
      <c r="N966" s="6">
        <v>2002</v>
      </c>
      <c r="O966" s="6">
        <f t="shared" ref="O966:O977" si="189">-N966</f>
        <v>-2002</v>
      </c>
      <c r="P966" s="6">
        <f t="shared" si="176"/>
        <v>0</v>
      </c>
      <c r="Q966" s="7">
        <f t="shared" si="188"/>
        <v>1725654.5500000005</v>
      </c>
      <c r="R966" s="44" t="str">
        <f>VLOOKUP(F966,'Set up'!$A$2:$E$70,5,FALSE)</f>
        <v>PD Chq</v>
      </c>
      <c r="S966" s="1" t="s">
        <v>1025</v>
      </c>
    </row>
    <row r="967" spans="1:21" x14ac:dyDescent="0.3">
      <c r="A967" s="4">
        <v>44789</v>
      </c>
      <c r="B967" s="5">
        <f t="shared" si="183"/>
        <v>8</v>
      </c>
      <c r="C967" s="5">
        <f t="shared" si="184"/>
        <v>2022</v>
      </c>
      <c r="D967" s="5" t="s">
        <v>907</v>
      </c>
      <c r="E967" s="5" t="str">
        <f>VLOOKUP(F967,'Set up'!$A$2:$C$70,2,FALSE)</f>
        <v>C00000021</v>
      </c>
      <c r="F967" s="1" t="s">
        <v>491</v>
      </c>
      <c r="G967" s="11" t="s">
        <v>908</v>
      </c>
      <c r="H967" s="5">
        <v>3</v>
      </c>
      <c r="I967" s="5" t="str">
        <f>VLOOKUP(F967,'Set up'!$A$2:$C$70,3,FALSE)</f>
        <v>Cash</v>
      </c>
      <c r="J967" s="5">
        <f>VLOOKUP(F967,'Set up'!$A$2:$D$70,4,FALSE)</f>
        <v>0</v>
      </c>
      <c r="K967" s="4">
        <f t="shared" si="185"/>
        <v>44789</v>
      </c>
      <c r="L967" s="5">
        <f t="shared" si="186"/>
        <v>8</v>
      </c>
      <c r="M967" s="5">
        <f t="shared" si="187"/>
        <v>2022</v>
      </c>
      <c r="N967" s="6">
        <v>1054.5</v>
      </c>
      <c r="O967" s="6">
        <f t="shared" si="189"/>
        <v>-1054.5</v>
      </c>
      <c r="P967" s="6">
        <f t="shared" si="176"/>
        <v>0</v>
      </c>
      <c r="Q967" s="7">
        <f t="shared" si="188"/>
        <v>1726709.0500000005</v>
      </c>
      <c r="R967" s="44" t="str">
        <f>VLOOKUP(F967,'Set up'!$A$2:$E$70,5,FALSE)</f>
        <v>PD Chq</v>
      </c>
      <c r="S967" s="1" t="s">
        <v>1025</v>
      </c>
    </row>
    <row r="968" spans="1:21" x14ac:dyDescent="0.3">
      <c r="A968" s="4">
        <v>44789</v>
      </c>
      <c r="B968" s="5">
        <f t="shared" si="183"/>
        <v>8</v>
      </c>
      <c r="C968" s="5">
        <f t="shared" si="184"/>
        <v>2022</v>
      </c>
      <c r="D968" s="5" t="s">
        <v>907</v>
      </c>
      <c r="E968" s="5" t="str">
        <f>VLOOKUP(F968,'Set up'!$A$2:$C$70,2,FALSE)</f>
        <v>C00000021</v>
      </c>
      <c r="F968" s="1" t="s">
        <v>491</v>
      </c>
      <c r="G968" s="11" t="s">
        <v>666</v>
      </c>
      <c r="H968" s="5">
        <v>1</v>
      </c>
      <c r="I968" s="5" t="str">
        <f>VLOOKUP(F968,'Set up'!$A$2:$C$70,3,FALSE)</f>
        <v>Cash</v>
      </c>
      <c r="J968" s="5">
        <f>VLOOKUP(F968,'Set up'!$A$2:$D$70,4,FALSE)</f>
        <v>0</v>
      </c>
      <c r="K968" s="4">
        <f t="shared" si="185"/>
        <v>44789</v>
      </c>
      <c r="L968" s="5">
        <f t="shared" si="186"/>
        <v>8</v>
      </c>
      <c r="M968" s="5">
        <f t="shared" si="187"/>
        <v>2022</v>
      </c>
      <c r="N968" s="6">
        <v>90</v>
      </c>
      <c r="O968" s="6">
        <f t="shared" si="189"/>
        <v>-90</v>
      </c>
      <c r="P968" s="6">
        <f t="shared" si="176"/>
        <v>0</v>
      </c>
      <c r="Q968" s="7">
        <f t="shared" si="188"/>
        <v>1726799.0500000005</v>
      </c>
      <c r="R968" s="44" t="str">
        <f>VLOOKUP(F968,'Set up'!$A$2:$E$70,5,FALSE)</f>
        <v>PD Chq</v>
      </c>
      <c r="S968" s="1" t="s">
        <v>1025</v>
      </c>
    </row>
    <row r="969" spans="1:21" x14ac:dyDescent="0.3">
      <c r="A969" s="4">
        <v>44789</v>
      </c>
      <c r="B969" s="5">
        <f t="shared" si="183"/>
        <v>8</v>
      </c>
      <c r="C969" s="5">
        <f t="shared" si="184"/>
        <v>2022</v>
      </c>
      <c r="D969" s="5" t="s">
        <v>907</v>
      </c>
      <c r="E969" s="5" t="str">
        <f>VLOOKUP(F969,'Set up'!$A$2:$C$70,2,FALSE)</f>
        <v>C00000021</v>
      </c>
      <c r="F969" s="1" t="s">
        <v>491</v>
      </c>
      <c r="G969" s="11" t="s">
        <v>64</v>
      </c>
      <c r="H969" s="5">
        <v>5</v>
      </c>
      <c r="I969" s="5" t="str">
        <f>VLOOKUP(F969,'Set up'!$A$2:$C$70,3,FALSE)</f>
        <v>Cash</v>
      </c>
      <c r="J969" s="5">
        <f>VLOOKUP(F969,'Set up'!$A$2:$D$70,4,FALSE)</f>
        <v>0</v>
      </c>
      <c r="K969" s="4">
        <f t="shared" si="185"/>
        <v>44789</v>
      </c>
      <c r="L969" s="5">
        <f t="shared" si="186"/>
        <v>8</v>
      </c>
      <c r="M969" s="5">
        <f t="shared" si="187"/>
        <v>2022</v>
      </c>
      <c r="N969" s="6">
        <v>312.5</v>
      </c>
      <c r="O969" s="6">
        <f t="shared" si="189"/>
        <v>-312.5</v>
      </c>
      <c r="P969" s="6">
        <f t="shared" si="176"/>
        <v>0</v>
      </c>
      <c r="Q969" s="7">
        <f t="shared" si="188"/>
        <v>1727111.5500000005</v>
      </c>
      <c r="R969" s="44" t="str">
        <f>VLOOKUP(F969,'Set up'!$A$2:$E$70,5,FALSE)</f>
        <v>PD Chq</v>
      </c>
      <c r="S969" s="1" t="s">
        <v>1025</v>
      </c>
    </row>
    <row r="970" spans="1:21" x14ac:dyDescent="0.3">
      <c r="A970" s="4">
        <v>44796</v>
      </c>
      <c r="B970" s="5">
        <f t="shared" si="183"/>
        <v>8</v>
      </c>
      <c r="C970" s="5">
        <f t="shared" si="184"/>
        <v>2022</v>
      </c>
      <c r="D970" s="5" t="s">
        <v>909</v>
      </c>
      <c r="E970" s="5" t="str">
        <f>VLOOKUP(F970,'Set up'!$A$2:$C$70,2,FALSE)</f>
        <v>C00000027</v>
      </c>
      <c r="F970" s="1" t="s">
        <v>859</v>
      </c>
      <c r="G970" s="11" t="s">
        <v>716</v>
      </c>
      <c r="H970" s="5">
        <v>2</v>
      </c>
      <c r="I970" s="5" t="str">
        <f>VLOOKUP(F970,'Set up'!$A$2:$C$70,3,FALSE)</f>
        <v>Cash</v>
      </c>
      <c r="J970" s="5">
        <f>VLOOKUP(F970,'Set up'!$A$2:$D$70,4,FALSE)</f>
        <v>0</v>
      </c>
      <c r="K970" s="4">
        <f t="shared" si="185"/>
        <v>44796</v>
      </c>
      <c r="L970" s="5">
        <f t="shared" si="186"/>
        <v>8</v>
      </c>
      <c r="M970" s="5">
        <f t="shared" si="187"/>
        <v>2022</v>
      </c>
      <c r="N970" s="6">
        <v>4004</v>
      </c>
      <c r="O970" s="6">
        <f t="shared" si="189"/>
        <v>-4004</v>
      </c>
      <c r="P970" s="6">
        <f t="shared" ref="P970:P977" si="190">SUM(N970+O970)</f>
        <v>0</v>
      </c>
      <c r="Q970" s="7">
        <f t="shared" si="188"/>
        <v>1731115.5500000005</v>
      </c>
      <c r="R970" s="44" t="str">
        <f>VLOOKUP(F970,'Set up'!$A$2:$E$70,5,FALSE)</f>
        <v>Trsf</v>
      </c>
      <c r="S970" s="1" t="s">
        <v>1033</v>
      </c>
    </row>
    <row r="971" spans="1:21" x14ac:dyDescent="0.3">
      <c r="A971" s="4">
        <v>44796</v>
      </c>
      <c r="B971" s="5">
        <f t="shared" si="183"/>
        <v>8</v>
      </c>
      <c r="C971" s="5">
        <f t="shared" si="184"/>
        <v>2022</v>
      </c>
      <c r="D971" s="5" t="s">
        <v>909</v>
      </c>
      <c r="E971" s="5" t="str">
        <f>VLOOKUP(F971,'Set up'!$A$2:$C$70,2,FALSE)</f>
        <v>C00000027</v>
      </c>
      <c r="F971" s="1" t="s">
        <v>859</v>
      </c>
      <c r="G971" s="11" t="s">
        <v>894</v>
      </c>
      <c r="H971" s="5">
        <v>4</v>
      </c>
      <c r="I971" s="5" t="str">
        <f>VLOOKUP(F971,'Set up'!$A$2:$C$70,3,FALSE)</f>
        <v>Cash</v>
      </c>
      <c r="J971" s="5">
        <f>VLOOKUP(F971,'Set up'!$A$2:$D$70,4,FALSE)</f>
        <v>0</v>
      </c>
      <c r="K971" s="4">
        <f t="shared" si="185"/>
        <v>44796</v>
      </c>
      <c r="L971" s="5">
        <f t="shared" si="186"/>
        <v>8</v>
      </c>
      <c r="M971" s="5">
        <f t="shared" si="187"/>
        <v>2022</v>
      </c>
      <c r="N971" s="6">
        <v>640</v>
      </c>
      <c r="O971" s="6">
        <f t="shared" si="189"/>
        <v>-640</v>
      </c>
      <c r="P971" s="6">
        <f t="shared" si="190"/>
        <v>0</v>
      </c>
      <c r="Q971" s="7">
        <f t="shared" si="188"/>
        <v>1731755.5500000005</v>
      </c>
      <c r="R971" s="44" t="str">
        <f>VLOOKUP(F971,'Set up'!$A$2:$E$70,5,FALSE)</f>
        <v>Trsf</v>
      </c>
      <c r="S971" s="1" t="s">
        <v>1033</v>
      </c>
    </row>
    <row r="972" spans="1:21" x14ac:dyDescent="0.3">
      <c r="A972" s="4">
        <v>44796</v>
      </c>
      <c r="B972" s="5">
        <f t="shared" si="183"/>
        <v>8</v>
      </c>
      <c r="C972" s="5">
        <f t="shared" si="184"/>
        <v>2022</v>
      </c>
      <c r="D972" s="5" t="s">
        <v>909</v>
      </c>
      <c r="E972" s="5" t="str">
        <f>VLOOKUP(F972,'Set up'!$A$2:$C$70,2,FALSE)</f>
        <v>C00000027</v>
      </c>
      <c r="F972" s="1" t="s">
        <v>859</v>
      </c>
      <c r="G972" s="11" t="s">
        <v>666</v>
      </c>
      <c r="H972" s="5">
        <v>2</v>
      </c>
      <c r="I972" s="5" t="str">
        <f>VLOOKUP(F972,'Set up'!$A$2:$C$70,3,FALSE)</f>
        <v>Cash</v>
      </c>
      <c r="J972" s="5">
        <f>VLOOKUP(F972,'Set up'!$A$2:$D$70,4,FALSE)</f>
        <v>0</v>
      </c>
      <c r="K972" s="4">
        <f t="shared" si="185"/>
        <v>44796</v>
      </c>
      <c r="L972" s="5">
        <f t="shared" si="186"/>
        <v>8</v>
      </c>
      <c r="M972" s="5">
        <f t="shared" si="187"/>
        <v>2022</v>
      </c>
      <c r="N972" s="6">
        <v>180</v>
      </c>
      <c r="O972" s="6">
        <f t="shared" si="189"/>
        <v>-180</v>
      </c>
      <c r="P972" s="6">
        <f t="shared" si="190"/>
        <v>0</v>
      </c>
      <c r="Q972" s="7">
        <f t="shared" si="188"/>
        <v>1731935.5500000005</v>
      </c>
      <c r="R972" s="44" t="str">
        <f>VLOOKUP(F972,'Set up'!$A$2:$E$70,5,FALSE)</f>
        <v>Trsf</v>
      </c>
      <c r="S972" s="1" t="s">
        <v>1033</v>
      </c>
    </row>
    <row r="973" spans="1:21" x14ac:dyDescent="0.3">
      <c r="A973" s="4">
        <v>44796</v>
      </c>
      <c r="B973" s="5">
        <f t="shared" si="183"/>
        <v>8</v>
      </c>
      <c r="C973" s="5">
        <f t="shared" si="184"/>
        <v>2022</v>
      </c>
      <c r="D973" s="5" t="s">
        <v>909</v>
      </c>
      <c r="E973" s="5" t="str">
        <f>VLOOKUP(F973,'Set up'!$A$2:$C$70,2,FALSE)</f>
        <v>C00000027</v>
      </c>
      <c r="F973" s="1" t="s">
        <v>859</v>
      </c>
      <c r="G973" s="11" t="s">
        <v>865</v>
      </c>
      <c r="H973" s="5">
        <v>4</v>
      </c>
      <c r="I973" s="5" t="str">
        <f>VLOOKUP(F973,'Set up'!$A$2:$C$70,3,FALSE)</f>
        <v>Cash</v>
      </c>
      <c r="J973" s="5">
        <f>VLOOKUP(F973,'Set up'!$A$2:$D$70,4,FALSE)</f>
        <v>0</v>
      </c>
      <c r="K973" s="4">
        <f t="shared" si="185"/>
        <v>44796</v>
      </c>
      <c r="L973" s="5">
        <f t="shared" si="186"/>
        <v>8</v>
      </c>
      <c r="M973" s="5">
        <f t="shared" si="187"/>
        <v>2022</v>
      </c>
      <c r="N973" s="6">
        <v>1016</v>
      </c>
      <c r="O973" s="6">
        <f t="shared" si="189"/>
        <v>-1016</v>
      </c>
      <c r="P973" s="6">
        <f t="shared" si="190"/>
        <v>0</v>
      </c>
      <c r="Q973" s="7">
        <f t="shared" si="188"/>
        <v>1732951.5500000005</v>
      </c>
      <c r="R973" s="44" t="str">
        <f>VLOOKUP(F973,'Set up'!$A$2:$E$70,5,FALSE)</f>
        <v>Trsf</v>
      </c>
      <c r="S973" s="1" t="s">
        <v>1033</v>
      </c>
    </row>
    <row r="974" spans="1:21" x14ac:dyDescent="0.3">
      <c r="A974" s="4">
        <v>44796</v>
      </c>
      <c r="B974" s="5">
        <f t="shared" si="183"/>
        <v>8</v>
      </c>
      <c r="C974" s="5">
        <f t="shared" si="184"/>
        <v>2022</v>
      </c>
      <c r="D974" s="5" t="s">
        <v>910</v>
      </c>
      <c r="E974" s="5" t="str">
        <f>VLOOKUP(F974,'Set up'!$A$2:$C$70,2,FALSE)</f>
        <v>C00000020</v>
      </c>
      <c r="F974" s="1" t="s">
        <v>409</v>
      </c>
      <c r="G974" s="11" t="s">
        <v>719</v>
      </c>
      <c r="H974" s="5">
        <v>2</v>
      </c>
      <c r="I974" s="5" t="str">
        <f>VLOOKUP(F974,'Set up'!$A$2:$C$70,3,FALSE)</f>
        <v>Cash</v>
      </c>
      <c r="J974" s="5">
        <f>VLOOKUP(F974,'Set up'!$A$2:$D$70,4,FALSE)</f>
        <v>0</v>
      </c>
      <c r="K974" s="4">
        <f t="shared" si="185"/>
        <v>44796</v>
      </c>
      <c r="L974" s="5">
        <f t="shared" si="186"/>
        <v>8</v>
      </c>
      <c r="M974" s="5">
        <f t="shared" si="187"/>
        <v>2022</v>
      </c>
      <c r="N974" s="6">
        <v>4092</v>
      </c>
      <c r="O974" s="6">
        <f t="shared" si="189"/>
        <v>-4092</v>
      </c>
      <c r="P974" s="6">
        <f t="shared" si="190"/>
        <v>0</v>
      </c>
      <c r="Q974" s="7">
        <f t="shared" si="188"/>
        <v>1737043.5500000005</v>
      </c>
      <c r="R974" s="44" t="str">
        <f>VLOOKUP(F974,'Set up'!$A$2:$E$70,5,FALSE)</f>
        <v>Trsf</v>
      </c>
      <c r="S974" s="1" t="s">
        <v>1208</v>
      </c>
    </row>
    <row r="975" spans="1:21" x14ac:dyDescent="0.3">
      <c r="A975" s="4">
        <v>44796</v>
      </c>
      <c r="B975" s="5">
        <f t="shared" si="183"/>
        <v>8</v>
      </c>
      <c r="C975" s="5">
        <f t="shared" si="184"/>
        <v>2022</v>
      </c>
      <c r="D975" s="5" t="s">
        <v>910</v>
      </c>
      <c r="E975" s="5" t="str">
        <f>VLOOKUP(F975,'Set up'!$A$2:$C$70,2,FALSE)</f>
        <v>C00000020</v>
      </c>
      <c r="F975" s="1" t="s">
        <v>409</v>
      </c>
      <c r="G975" s="11" t="s">
        <v>908</v>
      </c>
      <c r="H975" s="5">
        <v>5</v>
      </c>
      <c r="I975" s="5" t="str">
        <f>VLOOKUP(F975,'Set up'!$A$2:$C$70,3,FALSE)</f>
        <v>Cash</v>
      </c>
      <c r="J975" s="5">
        <f>VLOOKUP(F975,'Set up'!$A$2:$D$70,4,FALSE)</f>
        <v>0</v>
      </c>
      <c r="K975" s="4">
        <f t="shared" si="185"/>
        <v>44796</v>
      </c>
      <c r="L975" s="5">
        <f t="shared" si="186"/>
        <v>8</v>
      </c>
      <c r="M975" s="5">
        <f t="shared" si="187"/>
        <v>2022</v>
      </c>
      <c r="N975" s="6">
        <v>1757.5</v>
      </c>
      <c r="O975" s="6">
        <f t="shared" si="189"/>
        <v>-1757.5</v>
      </c>
      <c r="P975" s="6">
        <f t="shared" si="190"/>
        <v>0</v>
      </c>
      <c r="Q975" s="7">
        <f t="shared" si="188"/>
        <v>1738801.0500000005</v>
      </c>
      <c r="R975" s="44" t="str">
        <f>VLOOKUP(F975,'Set up'!$A$2:$E$70,5,FALSE)</f>
        <v>Trsf</v>
      </c>
      <c r="S975" s="1" t="s">
        <v>1208</v>
      </c>
    </row>
    <row r="976" spans="1:21" x14ac:dyDescent="0.3">
      <c r="A976" s="4">
        <v>44796</v>
      </c>
      <c r="B976" s="5">
        <f t="shared" si="183"/>
        <v>8</v>
      </c>
      <c r="C976" s="5">
        <f t="shared" si="184"/>
        <v>2022</v>
      </c>
      <c r="D976" s="5" t="s">
        <v>910</v>
      </c>
      <c r="E976" s="5" t="str">
        <f>VLOOKUP(F976,'Set up'!$A$2:$C$70,2,FALSE)</f>
        <v>C00000020</v>
      </c>
      <c r="F976" s="1" t="s">
        <v>409</v>
      </c>
      <c r="G976" s="11" t="s">
        <v>778</v>
      </c>
      <c r="H976" s="5">
        <v>3</v>
      </c>
      <c r="I976" s="5" t="str">
        <f>VLOOKUP(F976,'Set up'!$A$2:$C$70,3,FALSE)</f>
        <v>Cash</v>
      </c>
      <c r="J976" s="5">
        <f>VLOOKUP(F976,'Set up'!$A$2:$D$70,4,FALSE)</f>
        <v>0</v>
      </c>
      <c r="K976" s="4">
        <f t="shared" si="185"/>
        <v>44796</v>
      </c>
      <c r="L976" s="5">
        <f t="shared" si="186"/>
        <v>8</v>
      </c>
      <c r="M976" s="5">
        <f t="shared" si="187"/>
        <v>2022</v>
      </c>
      <c r="N976" s="6">
        <v>864</v>
      </c>
      <c r="O976" s="6">
        <f t="shared" si="189"/>
        <v>-864</v>
      </c>
      <c r="P976" s="6">
        <f t="shared" si="190"/>
        <v>0</v>
      </c>
      <c r="Q976" s="7">
        <f t="shared" si="188"/>
        <v>1739665.0500000005</v>
      </c>
      <c r="R976" s="44" t="str">
        <f>VLOOKUP(F976,'Set up'!$A$2:$E$70,5,FALSE)</f>
        <v>Trsf</v>
      </c>
      <c r="S976" s="1" t="s">
        <v>1208</v>
      </c>
    </row>
    <row r="977" spans="1:19" x14ac:dyDescent="0.3">
      <c r="A977" s="4">
        <v>44796</v>
      </c>
      <c r="B977" s="5">
        <f t="shared" si="183"/>
        <v>8</v>
      </c>
      <c r="C977" s="5">
        <f t="shared" si="184"/>
        <v>2022</v>
      </c>
      <c r="D977" s="5" t="s">
        <v>910</v>
      </c>
      <c r="E977" s="5" t="str">
        <f>VLOOKUP(F977,'Set up'!$A$2:$C$70,2,FALSE)</f>
        <v>C00000020</v>
      </c>
      <c r="F977" s="1" t="s">
        <v>409</v>
      </c>
      <c r="G977" s="11" t="s">
        <v>791</v>
      </c>
      <c r="H977" s="5">
        <v>2</v>
      </c>
      <c r="I977" s="5" t="str">
        <f>VLOOKUP(F977,'Set up'!$A$2:$C$70,3,FALSE)</f>
        <v>Cash</v>
      </c>
      <c r="J977" s="5">
        <f>VLOOKUP(F977,'Set up'!$A$2:$D$70,4,FALSE)</f>
        <v>0</v>
      </c>
      <c r="K977" s="4">
        <f t="shared" si="185"/>
        <v>44796</v>
      </c>
      <c r="L977" s="5">
        <f t="shared" si="186"/>
        <v>8</v>
      </c>
      <c r="M977" s="5">
        <f t="shared" si="187"/>
        <v>2022</v>
      </c>
      <c r="N977" s="6">
        <v>125</v>
      </c>
      <c r="O977" s="6">
        <f t="shared" si="189"/>
        <v>-125</v>
      </c>
      <c r="P977" s="6">
        <f t="shared" si="190"/>
        <v>0</v>
      </c>
      <c r="Q977" s="7">
        <f t="shared" si="188"/>
        <v>1739790.0500000005</v>
      </c>
      <c r="R977" s="44" t="str">
        <f>VLOOKUP(F977,'Set up'!$A$2:$E$70,5,FALSE)</f>
        <v>Trsf</v>
      </c>
      <c r="S977" s="1" t="s">
        <v>1208</v>
      </c>
    </row>
    <row r="978" spans="1:19" x14ac:dyDescent="0.3">
      <c r="A978" s="4">
        <v>44796</v>
      </c>
      <c r="B978" s="5">
        <f t="shared" si="183"/>
        <v>8</v>
      </c>
      <c r="C978" s="5">
        <f t="shared" si="184"/>
        <v>2022</v>
      </c>
      <c r="D978" s="5" t="s">
        <v>911</v>
      </c>
      <c r="E978" s="5" t="str">
        <f>VLOOKUP(F978,'Set up'!$A$2:$C$70,2,FALSE)</f>
        <v>C00000009</v>
      </c>
      <c r="F978" s="1" t="s">
        <v>58</v>
      </c>
      <c r="G978" s="11" t="s">
        <v>865</v>
      </c>
      <c r="H978" s="5">
        <v>3</v>
      </c>
      <c r="I978" s="5">
        <f>VLOOKUP(F978,'Set up'!$A$2:$C$70,3,FALSE)</f>
        <v>60</v>
      </c>
      <c r="J978" s="5">
        <f>VLOOKUP(F978,'Set up'!$A$2:$D$70,4,FALSE)</f>
        <v>60</v>
      </c>
      <c r="K978" s="4">
        <f t="shared" si="185"/>
        <v>44856</v>
      </c>
      <c r="L978" s="5">
        <f t="shared" si="186"/>
        <v>10</v>
      </c>
      <c r="M978" s="5">
        <f t="shared" si="187"/>
        <v>2022</v>
      </c>
      <c r="N978" s="6">
        <v>762</v>
      </c>
      <c r="O978" s="6">
        <f>-N978</f>
        <v>-762</v>
      </c>
      <c r="P978" s="6">
        <f t="shared" ref="P978:P987" si="191">SUM(N978+O978)</f>
        <v>0</v>
      </c>
      <c r="Q978" s="7">
        <f t="shared" si="188"/>
        <v>1740552.0500000005</v>
      </c>
      <c r="R978" s="44" t="str">
        <f>VLOOKUP(F978,'Set up'!$A$2:$E$70,5,FALSE)</f>
        <v>Chq</v>
      </c>
      <c r="S978" s="1" t="s">
        <v>1222</v>
      </c>
    </row>
    <row r="979" spans="1:19" x14ac:dyDescent="0.3">
      <c r="A979" s="4">
        <v>44798</v>
      </c>
      <c r="B979" s="5">
        <f t="shared" si="183"/>
        <v>8</v>
      </c>
      <c r="C979" s="5">
        <f t="shared" si="184"/>
        <v>2022</v>
      </c>
      <c r="D979" s="5" t="s">
        <v>912</v>
      </c>
      <c r="E979" s="5" t="str">
        <f>VLOOKUP(F979,'Set up'!$A$2:$C$70,2,FALSE)</f>
        <v>C00000010</v>
      </c>
      <c r="F979" s="1" t="s">
        <v>62</v>
      </c>
      <c r="G979" s="11" t="s">
        <v>722</v>
      </c>
      <c r="H979" s="5">
        <v>6</v>
      </c>
      <c r="I979" s="5">
        <f>VLOOKUP(F979,'Set up'!$A$2:$C$70,3,FALSE)</f>
        <v>120</v>
      </c>
      <c r="J979" s="5">
        <f>VLOOKUP(F979,'Set up'!$A$2:$D$70,4,FALSE)</f>
        <v>120</v>
      </c>
      <c r="K979" s="4">
        <f t="shared" si="185"/>
        <v>44918</v>
      </c>
      <c r="L979" s="5">
        <f t="shared" si="186"/>
        <v>12</v>
      </c>
      <c r="M979" s="5">
        <f t="shared" si="187"/>
        <v>2022</v>
      </c>
      <c r="N979" s="6">
        <v>11616</v>
      </c>
      <c r="O979" s="6">
        <f t="shared" ref="O979:O983" si="192">-N979</f>
        <v>-11616</v>
      </c>
      <c r="P979" s="6">
        <f t="shared" si="191"/>
        <v>0</v>
      </c>
      <c r="Q979" s="7">
        <f t="shared" si="188"/>
        <v>1752168.0500000005</v>
      </c>
      <c r="R979" s="44" t="str">
        <f>VLOOKUP(F979,'Set up'!$A$2:$E$70,5,FALSE)</f>
        <v>Trsf</v>
      </c>
      <c r="S979" s="1" t="s">
        <v>1095</v>
      </c>
    </row>
    <row r="980" spans="1:19" x14ac:dyDescent="0.3">
      <c r="A980" s="4">
        <v>44798</v>
      </c>
      <c r="B980" s="5">
        <f t="shared" si="183"/>
        <v>8</v>
      </c>
      <c r="C980" s="5">
        <f t="shared" si="184"/>
        <v>2022</v>
      </c>
      <c r="D980" s="5" t="s">
        <v>912</v>
      </c>
      <c r="E980" s="5" t="str">
        <f>VLOOKUP(F980,'Set up'!$A$2:$C$70,2,FALSE)</f>
        <v>C00000010</v>
      </c>
      <c r="F980" s="1" t="s">
        <v>62</v>
      </c>
      <c r="G980" s="11" t="s">
        <v>913</v>
      </c>
      <c r="H980" s="5">
        <v>10</v>
      </c>
      <c r="I980" s="5">
        <f>VLOOKUP(F980,'Set up'!$A$2:$C$70,3,FALSE)</f>
        <v>120</v>
      </c>
      <c r="J980" s="5">
        <f>VLOOKUP(F980,'Set up'!$A$2:$D$70,4,FALSE)</f>
        <v>120</v>
      </c>
      <c r="K980" s="4">
        <f t="shared" si="185"/>
        <v>44918</v>
      </c>
      <c r="L980" s="5">
        <f t="shared" si="186"/>
        <v>12</v>
      </c>
      <c r="M980" s="5">
        <f t="shared" si="187"/>
        <v>2022</v>
      </c>
      <c r="N980" s="6">
        <v>2670</v>
      </c>
      <c r="O980" s="6">
        <f t="shared" si="192"/>
        <v>-2670</v>
      </c>
      <c r="P980" s="6">
        <f t="shared" si="191"/>
        <v>0</v>
      </c>
      <c r="Q980" s="7">
        <f t="shared" si="188"/>
        <v>1754838.0500000005</v>
      </c>
      <c r="R980" s="44" t="str">
        <f>VLOOKUP(F980,'Set up'!$A$2:$E$70,5,FALSE)</f>
        <v>Trsf</v>
      </c>
      <c r="S980" s="1" t="s">
        <v>1095</v>
      </c>
    </row>
    <row r="981" spans="1:19" x14ac:dyDescent="0.3">
      <c r="A981" s="4">
        <v>44798</v>
      </c>
      <c r="B981" s="5">
        <f t="shared" si="183"/>
        <v>8</v>
      </c>
      <c r="C981" s="5">
        <f t="shared" si="184"/>
        <v>2022</v>
      </c>
      <c r="D981" s="5" t="s">
        <v>912</v>
      </c>
      <c r="E981" s="5" t="str">
        <f>VLOOKUP(F981,'Set up'!$A$2:$C$70,2,FALSE)</f>
        <v>C00000010</v>
      </c>
      <c r="F981" s="1" t="s">
        <v>62</v>
      </c>
      <c r="G981" s="11" t="s">
        <v>791</v>
      </c>
      <c r="H981" s="5">
        <v>10</v>
      </c>
      <c r="I981" s="5">
        <f>VLOOKUP(F981,'Set up'!$A$2:$C$70,3,FALSE)</f>
        <v>120</v>
      </c>
      <c r="J981" s="5">
        <f>VLOOKUP(F981,'Set up'!$A$2:$D$70,4,FALSE)</f>
        <v>120</v>
      </c>
      <c r="K981" s="4">
        <f t="shared" si="185"/>
        <v>44918</v>
      </c>
      <c r="L981" s="5">
        <f t="shared" si="186"/>
        <v>12</v>
      </c>
      <c r="M981" s="5">
        <f t="shared" si="187"/>
        <v>2022</v>
      </c>
      <c r="N981" s="6">
        <v>550</v>
      </c>
      <c r="O981" s="6">
        <f t="shared" si="192"/>
        <v>-550</v>
      </c>
      <c r="P981" s="6">
        <f t="shared" si="191"/>
        <v>0</v>
      </c>
      <c r="Q981" s="7">
        <f t="shared" si="188"/>
        <v>1755388.0500000005</v>
      </c>
      <c r="R981" s="44" t="str">
        <f>VLOOKUP(F981,'Set up'!$A$2:$E$70,5,FALSE)</f>
        <v>Trsf</v>
      </c>
      <c r="S981" s="1" t="s">
        <v>1095</v>
      </c>
    </row>
    <row r="982" spans="1:19" x14ac:dyDescent="0.3">
      <c r="A982" s="4">
        <v>44798</v>
      </c>
      <c r="B982" s="5">
        <f t="shared" si="183"/>
        <v>8</v>
      </c>
      <c r="C982" s="5">
        <f t="shared" si="184"/>
        <v>2022</v>
      </c>
      <c r="D982" s="5" t="s">
        <v>912</v>
      </c>
      <c r="E982" s="5" t="str">
        <f>VLOOKUP(F982,'Set up'!$A$2:$C$70,2,FALSE)</f>
        <v>C00000010</v>
      </c>
      <c r="F982" s="1" t="s">
        <v>62</v>
      </c>
      <c r="G982" s="11" t="s">
        <v>787</v>
      </c>
      <c r="H982" s="5">
        <v>1</v>
      </c>
      <c r="I982" s="5">
        <f>VLOOKUP(F982,'Set up'!$A$2:$C$70,3,FALSE)</f>
        <v>120</v>
      </c>
      <c r="J982" s="5">
        <f>VLOOKUP(F982,'Set up'!$A$2:$D$70,4,FALSE)</f>
        <v>120</v>
      </c>
      <c r="K982" s="4">
        <f t="shared" si="185"/>
        <v>44918</v>
      </c>
      <c r="L982" s="5">
        <f t="shared" si="186"/>
        <v>12</v>
      </c>
      <c r="M982" s="5">
        <f t="shared" si="187"/>
        <v>2022</v>
      </c>
      <c r="N982" s="6">
        <v>440</v>
      </c>
      <c r="O982" s="6">
        <f t="shared" si="192"/>
        <v>-440</v>
      </c>
      <c r="P982" s="6">
        <f t="shared" si="191"/>
        <v>0</v>
      </c>
      <c r="Q982" s="7">
        <f t="shared" si="188"/>
        <v>1755828.0500000005</v>
      </c>
      <c r="R982" s="44" t="str">
        <f>VLOOKUP(F982,'Set up'!$A$2:$E$70,5,FALSE)</f>
        <v>Trsf</v>
      </c>
      <c r="S982" s="1" t="s">
        <v>1095</v>
      </c>
    </row>
    <row r="983" spans="1:19" x14ac:dyDescent="0.3">
      <c r="A983" s="4">
        <v>44798</v>
      </c>
      <c r="B983" s="5">
        <f t="shared" si="183"/>
        <v>8</v>
      </c>
      <c r="C983" s="5">
        <f t="shared" si="184"/>
        <v>2022</v>
      </c>
      <c r="D983" s="5" t="s">
        <v>912</v>
      </c>
      <c r="E983" s="5" t="str">
        <f>VLOOKUP(F983,'Set up'!$A$2:$C$70,2,FALSE)</f>
        <v>C00000010</v>
      </c>
      <c r="F983" s="1" t="s">
        <v>62</v>
      </c>
      <c r="G983" s="11" t="s">
        <v>614</v>
      </c>
      <c r="H983" s="5">
        <v>1</v>
      </c>
      <c r="I983" s="5">
        <f>VLOOKUP(F983,'Set up'!$A$2:$C$70,3,FALSE)</f>
        <v>120</v>
      </c>
      <c r="J983" s="5">
        <f>VLOOKUP(F983,'Set up'!$A$2:$D$70,4,FALSE)</f>
        <v>120</v>
      </c>
      <c r="K983" s="4">
        <f t="shared" si="185"/>
        <v>44918</v>
      </c>
      <c r="L983" s="5">
        <f t="shared" si="186"/>
        <v>12</v>
      </c>
      <c r="M983" s="5">
        <f t="shared" si="187"/>
        <v>2022</v>
      </c>
      <c r="N983" s="6">
        <v>395</v>
      </c>
      <c r="O983" s="6">
        <f t="shared" si="192"/>
        <v>-395</v>
      </c>
      <c r="P983" s="6">
        <f t="shared" si="191"/>
        <v>0</v>
      </c>
      <c r="Q983" s="7">
        <f t="shared" si="188"/>
        <v>1756223.0500000005</v>
      </c>
      <c r="R983" s="44" t="str">
        <f>VLOOKUP(F983,'Set up'!$A$2:$E$70,5,FALSE)</f>
        <v>Trsf</v>
      </c>
      <c r="S983" s="1" t="s">
        <v>1095</v>
      </c>
    </row>
    <row r="984" spans="1:19" x14ac:dyDescent="0.3">
      <c r="A984" s="4">
        <v>44798</v>
      </c>
      <c r="B984" s="5">
        <f t="shared" si="183"/>
        <v>8</v>
      </c>
      <c r="C984" s="5">
        <f t="shared" si="184"/>
        <v>2022</v>
      </c>
      <c r="D984" s="5" t="s">
        <v>914</v>
      </c>
      <c r="E984" s="5" t="str">
        <f>VLOOKUP(F984,'Set up'!$A$2:$C$70,2,FALSE)</f>
        <v>C00000027</v>
      </c>
      <c r="F984" s="1" t="s">
        <v>859</v>
      </c>
      <c r="G984" s="11" t="s">
        <v>716</v>
      </c>
      <c r="H984" s="5">
        <v>3</v>
      </c>
      <c r="I984" s="5" t="str">
        <f>VLOOKUP(F984,'Set up'!$A$2:$C$70,3,FALSE)</f>
        <v>Cash</v>
      </c>
      <c r="J984" s="5">
        <f>VLOOKUP(F984,'Set up'!$A$2:$D$70,4,FALSE)</f>
        <v>0</v>
      </c>
      <c r="K984" s="4">
        <f t="shared" si="185"/>
        <v>44798</v>
      </c>
      <c r="L984" s="5">
        <f t="shared" si="186"/>
        <v>8</v>
      </c>
      <c r="M984" s="5">
        <f t="shared" si="187"/>
        <v>2022</v>
      </c>
      <c r="N984" s="6">
        <v>6006</v>
      </c>
      <c r="O984" s="6">
        <f t="shared" ref="O984" si="193">-N984</f>
        <v>-6006</v>
      </c>
      <c r="P984" s="6">
        <f t="shared" si="191"/>
        <v>0</v>
      </c>
      <c r="Q984" s="7">
        <f t="shared" si="188"/>
        <v>1762229.0500000005</v>
      </c>
      <c r="R984" s="44" t="str">
        <f>VLOOKUP(F984,'Set up'!$A$2:$E$70,5,FALSE)</f>
        <v>Trsf</v>
      </c>
      <c r="S984" s="1" t="s">
        <v>1033</v>
      </c>
    </row>
    <row r="985" spans="1:19" x14ac:dyDescent="0.3">
      <c r="A985" s="4">
        <v>44798</v>
      </c>
      <c r="B985" s="5">
        <f t="shared" si="183"/>
        <v>8</v>
      </c>
      <c r="C985" s="5">
        <f t="shared" si="184"/>
        <v>2022</v>
      </c>
      <c r="D985" s="5" t="s">
        <v>915</v>
      </c>
      <c r="E985" s="5" t="str">
        <f>VLOOKUP(F985,'Set up'!$A$2:$C$70,2,FALSE)</f>
        <v>C00000019</v>
      </c>
      <c r="F985" s="1" t="s">
        <v>400</v>
      </c>
      <c r="G985" s="11" t="s">
        <v>719</v>
      </c>
      <c r="H985" s="5">
        <v>2</v>
      </c>
      <c r="I985" s="5" t="str">
        <f>VLOOKUP(F985,'Set up'!$A$2:$C$70,3,FALSE)</f>
        <v>Cash</v>
      </c>
      <c r="J985" s="5">
        <f>VLOOKUP(F985,'Set up'!$A$2:$D$70,4,FALSE)</f>
        <v>0</v>
      </c>
      <c r="K985" s="4">
        <f t="shared" si="185"/>
        <v>44798</v>
      </c>
      <c r="L985" s="5">
        <f t="shared" si="186"/>
        <v>8</v>
      </c>
      <c r="M985" s="5">
        <f t="shared" si="187"/>
        <v>2022</v>
      </c>
      <c r="N985" s="6">
        <v>4092</v>
      </c>
      <c r="O985" s="6">
        <f>-3000-1000-92</f>
        <v>-4092</v>
      </c>
      <c r="P985" s="6">
        <f t="shared" si="191"/>
        <v>0</v>
      </c>
      <c r="Q985" s="7">
        <f t="shared" si="188"/>
        <v>1766321.0500000005</v>
      </c>
      <c r="R985" s="44" t="str">
        <f>VLOOKUP(F985,'Set up'!$A$2:$E$70,5,FALSE)</f>
        <v>Trsf</v>
      </c>
      <c r="S985" s="1" t="s">
        <v>1018</v>
      </c>
    </row>
    <row r="986" spans="1:19" x14ac:dyDescent="0.3">
      <c r="A986" s="4">
        <v>44798</v>
      </c>
      <c r="B986" s="5">
        <f t="shared" si="183"/>
        <v>8</v>
      </c>
      <c r="C986" s="5">
        <f t="shared" si="184"/>
        <v>2022</v>
      </c>
      <c r="D986" s="5" t="s">
        <v>915</v>
      </c>
      <c r="E986" s="5" t="str">
        <f>VLOOKUP(F986,'Set up'!$A$2:$C$70,2,FALSE)</f>
        <v>C00000019</v>
      </c>
      <c r="F986" s="1" t="s">
        <v>400</v>
      </c>
      <c r="G986" s="11" t="s">
        <v>892</v>
      </c>
      <c r="H986" s="5">
        <v>2</v>
      </c>
      <c r="I986" s="5" t="str">
        <f>VLOOKUP(F986,'Set up'!$A$2:$C$70,3,FALSE)</f>
        <v>Cash</v>
      </c>
      <c r="J986" s="5">
        <f>VLOOKUP(F986,'Set up'!$A$2:$D$70,4,FALSE)</f>
        <v>0</v>
      </c>
      <c r="K986" s="4">
        <f t="shared" si="185"/>
        <v>44798</v>
      </c>
      <c r="L986" s="5">
        <f t="shared" si="186"/>
        <v>8</v>
      </c>
      <c r="M986" s="5">
        <f t="shared" si="187"/>
        <v>2022</v>
      </c>
      <c r="N986" s="6">
        <v>1299.8</v>
      </c>
      <c r="O986" s="6">
        <f>-908-391.8</f>
        <v>-1299.8</v>
      </c>
      <c r="P986" s="6">
        <f t="shared" si="191"/>
        <v>0</v>
      </c>
      <c r="Q986" s="7">
        <f t="shared" si="188"/>
        <v>1767620.8500000006</v>
      </c>
      <c r="R986" s="44" t="str">
        <f>VLOOKUP(F986,'Set up'!$A$2:$E$70,5,FALSE)</f>
        <v>Trsf</v>
      </c>
      <c r="S986" s="1" t="s">
        <v>1019</v>
      </c>
    </row>
    <row r="987" spans="1:19" x14ac:dyDescent="0.3">
      <c r="A987" s="4">
        <v>44798</v>
      </c>
      <c r="B987" s="5">
        <f t="shared" si="183"/>
        <v>8</v>
      </c>
      <c r="C987" s="5">
        <f t="shared" si="184"/>
        <v>2022</v>
      </c>
      <c r="D987" s="5" t="s">
        <v>915</v>
      </c>
      <c r="E987" s="5" t="str">
        <f>VLOOKUP(F987,'Set up'!$A$2:$C$70,2,FALSE)</f>
        <v>C00000019</v>
      </c>
      <c r="F987" s="1" t="s">
        <v>400</v>
      </c>
      <c r="G987" s="11" t="s">
        <v>46</v>
      </c>
      <c r="H987" s="5">
        <v>1</v>
      </c>
      <c r="I987" s="5" t="str">
        <f>VLOOKUP(F987,'Set up'!$A$2:$C$70,3,FALSE)</f>
        <v>Cash</v>
      </c>
      <c r="J987" s="5">
        <f>VLOOKUP(F987,'Set up'!$A$2:$D$70,4,FALSE)</f>
        <v>0</v>
      </c>
      <c r="K987" s="4">
        <f t="shared" si="185"/>
        <v>44798</v>
      </c>
      <c r="L987" s="5">
        <f t="shared" si="186"/>
        <v>8</v>
      </c>
      <c r="M987" s="5">
        <f t="shared" si="187"/>
        <v>2022</v>
      </c>
      <c r="N987" s="6">
        <v>105</v>
      </c>
      <c r="O987" s="6">
        <f t="shared" ref="O987:O993" si="194">-N987</f>
        <v>-105</v>
      </c>
      <c r="P987" s="6">
        <f t="shared" si="191"/>
        <v>0</v>
      </c>
      <c r="Q987" s="7">
        <f t="shared" si="188"/>
        <v>1767725.8500000006</v>
      </c>
      <c r="R987" s="44" t="str">
        <f>VLOOKUP(F987,'Set up'!$A$2:$E$70,5,FALSE)</f>
        <v>Trsf</v>
      </c>
      <c r="S987" s="1" t="s">
        <v>1020</v>
      </c>
    </row>
    <row r="988" spans="1:19" x14ac:dyDescent="0.3">
      <c r="A988" s="4">
        <v>44798</v>
      </c>
      <c r="B988" s="5">
        <f t="shared" si="183"/>
        <v>8</v>
      </c>
      <c r="C988" s="5">
        <f t="shared" si="184"/>
        <v>2022</v>
      </c>
      <c r="D988" s="5" t="s">
        <v>915</v>
      </c>
      <c r="E988" s="5" t="str">
        <f>VLOOKUP(F988,'Set up'!$A$2:$C$70,2,FALSE)</f>
        <v>C00000019</v>
      </c>
      <c r="F988" s="1" t="s">
        <v>400</v>
      </c>
      <c r="G988" s="11" t="s">
        <v>292</v>
      </c>
      <c r="H988" s="5">
        <v>1</v>
      </c>
      <c r="I988" s="5" t="str">
        <f>VLOOKUP(F988,'Set up'!$A$2:$C$70,3,FALSE)</f>
        <v>Cash</v>
      </c>
      <c r="J988" s="5">
        <f>VLOOKUP(F988,'Set up'!$A$2:$D$70,4,FALSE)</f>
        <v>0</v>
      </c>
      <c r="K988" s="4">
        <f t="shared" si="185"/>
        <v>44798</v>
      </c>
      <c r="L988" s="5">
        <f t="shared" si="186"/>
        <v>8</v>
      </c>
      <c r="M988" s="5">
        <f t="shared" si="187"/>
        <v>2022</v>
      </c>
      <c r="N988" s="6">
        <v>390</v>
      </c>
      <c r="O988" s="6">
        <f t="shared" si="194"/>
        <v>-390</v>
      </c>
      <c r="P988" s="6">
        <f t="shared" ref="P988:P1030" si="195">SUM(N988+O988)</f>
        <v>0</v>
      </c>
      <c r="Q988" s="7">
        <f t="shared" si="188"/>
        <v>1768115.8500000006</v>
      </c>
      <c r="R988" s="44" t="str">
        <f>VLOOKUP(F988,'Set up'!$A$2:$E$70,5,FALSE)</f>
        <v>Trsf</v>
      </c>
      <c r="S988" s="1" t="s">
        <v>1021</v>
      </c>
    </row>
    <row r="989" spans="1:19" x14ac:dyDescent="0.3">
      <c r="A989" s="4">
        <v>44799</v>
      </c>
      <c r="B989" s="5">
        <f t="shared" si="183"/>
        <v>8</v>
      </c>
      <c r="C989" s="5">
        <f t="shared" si="184"/>
        <v>2022</v>
      </c>
      <c r="D989" s="5" t="s">
        <v>915</v>
      </c>
      <c r="E989" s="5" t="str">
        <f>VLOOKUP(F989,'Set up'!$A$2:$C$70,2,FALSE)</f>
        <v>C00000019</v>
      </c>
      <c r="F989" s="1" t="s">
        <v>400</v>
      </c>
      <c r="G989" s="11" t="s">
        <v>64</v>
      </c>
      <c r="H989" s="5">
        <v>4</v>
      </c>
      <c r="I989" s="5" t="str">
        <f>VLOOKUP(F989,'Set up'!$A$2:$C$70,3,FALSE)</f>
        <v>Cash</v>
      </c>
      <c r="J989" s="5">
        <f>VLOOKUP(F989,'Set up'!$A$2:$D$70,4,FALSE)</f>
        <v>0</v>
      </c>
      <c r="K989" s="4">
        <f t="shared" si="185"/>
        <v>44799</v>
      </c>
      <c r="L989" s="5">
        <f t="shared" si="186"/>
        <v>8</v>
      </c>
      <c r="M989" s="5">
        <f t="shared" si="187"/>
        <v>2022</v>
      </c>
      <c r="N989" s="6">
        <v>250</v>
      </c>
      <c r="O989" s="6">
        <f t="shared" si="194"/>
        <v>-250</v>
      </c>
      <c r="P989" s="6">
        <f t="shared" si="195"/>
        <v>0</v>
      </c>
      <c r="Q989" s="7">
        <f t="shared" si="188"/>
        <v>1768365.8500000006</v>
      </c>
      <c r="R989" s="44" t="str">
        <f>VLOOKUP(F989,'Set up'!$A$2:$E$70,5,FALSE)</f>
        <v>Trsf</v>
      </c>
      <c r="S989" s="1" t="s">
        <v>1022</v>
      </c>
    </row>
    <row r="990" spans="1:19" x14ac:dyDescent="0.3">
      <c r="A990" s="4">
        <v>44806</v>
      </c>
      <c r="B990" s="5">
        <f t="shared" si="183"/>
        <v>9</v>
      </c>
      <c r="C990" s="5">
        <f t="shared" si="184"/>
        <v>2022</v>
      </c>
      <c r="D990" s="5" t="s">
        <v>924</v>
      </c>
      <c r="E990" s="5" t="str">
        <f>VLOOKUP(F990,'Set up'!$A$2:$C$70,2,FALSE)</f>
        <v>C00000020</v>
      </c>
      <c r="F990" s="1" t="s">
        <v>409</v>
      </c>
      <c r="G990" s="89" t="s">
        <v>719</v>
      </c>
      <c r="H990" s="88">
        <v>3</v>
      </c>
      <c r="I990" s="5" t="str">
        <f>VLOOKUP(F990,'Set up'!$A$2:$C$70,3,FALSE)</f>
        <v>Cash</v>
      </c>
      <c r="J990" s="5">
        <f>VLOOKUP(F990,'Set up'!$A$2:$D$70,4,FALSE)</f>
        <v>0</v>
      </c>
      <c r="K990" s="4">
        <f t="shared" si="185"/>
        <v>44806</v>
      </c>
      <c r="L990" s="5">
        <f t="shared" si="186"/>
        <v>9</v>
      </c>
      <c r="M990" s="5">
        <f t="shared" si="187"/>
        <v>2022</v>
      </c>
      <c r="N990" s="96">
        <v>5742</v>
      </c>
      <c r="O990" s="6">
        <f t="shared" si="194"/>
        <v>-5742</v>
      </c>
      <c r="P990" s="6">
        <f t="shared" si="195"/>
        <v>0</v>
      </c>
      <c r="Q990" s="7">
        <f t="shared" si="188"/>
        <v>1774107.8500000006</v>
      </c>
      <c r="R990" s="44" t="str">
        <f>VLOOKUP(F990,'Set up'!$A$2:$E$70,5,FALSE)</f>
        <v>Trsf</v>
      </c>
      <c r="S990" s="1" t="s">
        <v>1208</v>
      </c>
    </row>
    <row r="991" spans="1:19" x14ac:dyDescent="0.3">
      <c r="A991" s="4">
        <v>44806</v>
      </c>
      <c r="B991" s="5">
        <f t="shared" si="183"/>
        <v>9</v>
      </c>
      <c r="C991" s="5">
        <f t="shared" si="184"/>
        <v>2022</v>
      </c>
      <c r="D991" s="5" t="s">
        <v>924</v>
      </c>
      <c r="E991" s="5" t="str">
        <f>VLOOKUP(F991,'Set up'!$A$2:$C$70,2,FALSE)</f>
        <v>C00000020</v>
      </c>
      <c r="F991" s="1" t="s">
        <v>409</v>
      </c>
      <c r="G991" s="90" t="s">
        <v>892</v>
      </c>
      <c r="H991" s="88">
        <v>4</v>
      </c>
      <c r="I991" s="5" t="str">
        <f>VLOOKUP(F991,'Set up'!$A$2:$C$70,3,FALSE)</f>
        <v>Cash</v>
      </c>
      <c r="J991" s="5">
        <f>VLOOKUP(F991,'Set up'!$A$2:$D$70,4,FALSE)</f>
        <v>0</v>
      </c>
      <c r="K991" s="4">
        <f t="shared" si="185"/>
        <v>44806</v>
      </c>
      <c r="L991" s="5">
        <f t="shared" si="186"/>
        <v>9</v>
      </c>
      <c r="M991" s="5">
        <f t="shared" si="187"/>
        <v>2022</v>
      </c>
      <c r="N991" s="96">
        <v>2358.4</v>
      </c>
      <c r="O991" s="6">
        <f t="shared" si="194"/>
        <v>-2358.4</v>
      </c>
      <c r="P991" s="6">
        <f t="shared" si="195"/>
        <v>0</v>
      </c>
      <c r="Q991" s="7">
        <f t="shared" si="188"/>
        <v>1776466.2500000005</v>
      </c>
      <c r="R991" s="44" t="str">
        <f>VLOOKUP(F991,'Set up'!$A$2:$E$70,5,FALSE)</f>
        <v>Trsf</v>
      </c>
      <c r="S991" s="1" t="s">
        <v>1208</v>
      </c>
    </row>
    <row r="992" spans="1:19" x14ac:dyDescent="0.3">
      <c r="A992" s="4">
        <v>44806</v>
      </c>
      <c r="B992" s="5">
        <f t="shared" si="183"/>
        <v>9</v>
      </c>
      <c r="C992" s="5">
        <f t="shared" si="184"/>
        <v>2022</v>
      </c>
      <c r="D992" s="5" t="s">
        <v>924</v>
      </c>
      <c r="E992" s="5" t="str">
        <f>VLOOKUP(F992,'Set up'!$A$2:$C$70,2,FALSE)</f>
        <v>C00000020</v>
      </c>
      <c r="F992" s="1" t="s">
        <v>409</v>
      </c>
      <c r="G992" s="90" t="s">
        <v>778</v>
      </c>
      <c r="H992" s="88">
        <v>4</v>
      </c>
      <c r="I992" s="5" t="str">
        <f>VLOOKUP(F992,'Set up'!$A$2:$C$70,3,FALSE)</f>
        <v>Cash</v>
      </c>
      <c r="J992" s="5">
        <f>VLOOKUP(F992,'Set up'!$A$2:$D$70,4,FALSE)</f>
        <v>0</v>
      </c>
      <c r="K992" s="4">
        <f t="shared" si="185"/>
        <v>44806</v>
      </c>
      <c r="L992" s="5">
        <f t="shared" si="186"/>
        <v>9</v>
      </c>
      <c r="M992" s="5">
        <f t="shared" si="187"/>
        <v>2022</v>
      </c>
      <c r="N992" s="96">
        <v>1056</v>
      </c>
      <c r="O992" s="6">
        <f>-525.3-530.7</f>
        <v>-1056</v>
      </c>
      <c r="P992" s="6">
        <f t="shared" si="195"/>
        <v>0</v>
      </c>
      <c r="Q992" s="7">
        <f t="shared" si="188"/>
        <v>1777522.2500000005</v>
      </c>
      <c r="R992" s="44" t="str">
        <f>VLOOKUP(F992,'Set up'!$A$2:$E$70,5,FALSE)</f>
        <v>Trsf</v>
      </c>
      <c r="S992" s="1" t="s">
        <v>1184</v>
      </c>
    </row>
    <row r="993" spans="1:19" x14ac:dyDescent="0.3">
      <c r="A993" s="4">
        <v>44806</v>
      </c>
      <c r="B993" s="5">
        <f t="shared" si="183"/>
        <v>9</v>
      </c>
      <c r="C993" s="5">
        <f t="shared" si="184"/>
        <v>2022</v>
      </c>
      <c r="D993" s="5" t="s">
        <v>924</v>
      </c>
      <c r="E993" s="5" t="str">
        <f>VLOOKUP(F993,'Set up'!$A$2:$C$70,2,FALSE)</f>
        <v>C00000020</v>
      </c>
      <c r="F993" s="1" t="s">
        <v>409</v>
      </c>
      <c r="G993" s="90" t="s">
        <v>64</v>
      </c>
      <c r="H993" s="88">
        <v>3</v>
      </c>
      <c r="I993" s="5" t="str">
        <f>VLOOKUP(F993,'Set up'!$A$2:$C$70,3,FALSE)</f>
        <v>Cash</v>
      </c>
      <c r="J993" s="5">
        <f>VLOOKUP(F993,'Set up'!$A$2:$D$70,4,FALSE)</f>
        <v>0</v>
      </c>
      <c r="K993" s="4">
        <f t="shared" si="185"/>
        <v>44806</v>
      </c>
      <c r="L993" s="5">
        <f t="shared" si="186"/>
        <v>9</v>
      </c>
      <c r="M993" s="5">
        <f t="shared" si="187"/>
        <v>2022</v>
      </c>
      <c r="N993" s="96">
        <v>187.5</v>
      </c>
      <c r="O993" s="6">
        <f t="shared" si="194"/>
        <v>-187.5</v>
      </c>
      <c r="P993" s="6">
        <f t="shared" si="195"/>
        <v>0</v>
      </c>
      <c r="Q993" s="7">
        <f t="shared" si="188"/>
        <v>1777709.7500000005</v>
      </c>
      <c r="R993" s="44" t="str">
        <f>VLOOKUP(F993,'Set up'!$A$2:$E$70,5,FALSE)</f>
        <v>Trsf</v>
      </c>
      <c r="S993" s="1" t="s">
        <v>1185</v>
      </c>
    </row>
    <row r="994" spans="1:19" x14ac:dyDescent="0.3">
      <c r="A994" s="97" t="s">
        <v>926</v>
      </c>
      <c r="B994" s="5">
        <f t="shared" si="183"/>
        <v>9</v>
      </c>
      <c r="C994" s="5">
        <f t="shared" si="184"/>
        <v>2022</v>
      </c>
      <c r="D994" s="5" t="s">
        <v>925</v>
      </c>
      <c r="E994" s="5" t="str">
        <f>VLOOKUP(F994,'Set up'!$A$2:$C$70,2,FALSE)</f>
        <v>C00000009</v>
      </c>
      <c r="F994" s="1" t="s">
        <v>58</v>
      </c>
      <c r="G994" s="89" t="s">
        <v>719</v>
      </c>
      <c r="H994" s="5">
        <v>2</v>
      </c>
      <c r="I994" s="5">
        <f>VLOOKUP(F994,'Set up'!$A$2:$C$70,3,FALSE)</f>
        <v>60</v>
      </c>
      <c r="J994" s="5">
        <f>VLOOKUP(F994,'Set up'!$A$2:$D$70,4,FALSE)</f>
        <v>60</v>
      </c>
      <c r="K994" s="4">
        <f t="shared" si="185"/>
        <v>44869</v>
      </c>
      <c r="L994" s="5">
        <f t="shared" si="186"/>
        <v>11</v>
      </c>
      <c r="M994" s="5">
        <f t="shared" si="187"/>
        <v>2022</v>
      </c>
      <c r="N994" s="98">
        <v>3784</v>
      </c>
      <c r="O994" s="6">
        <f>-N994</f>
        <v>-3784</v>
      </c>
      <c r="P994" s="6">
        <f t="shared" si="195"/>
        <v>0</v>
      </c>
      <c r="Q994" s="7">
        <f t="shared" si="188"/>
        <v>1781493.7500000005</v>
      </c>
      <c r="R994" s="44" t="str">
        <f>VLOOKUP(F994,'Set up'!$A$2:$E$70,5,FALSE)</f>
        <v>Chq</v>
      </c>
      <c r="S994" s="1" t="s">
        <v>1222</v>
      </c>
    </row>
    <row r="995" spans="1:19" x14ac:dyDescent="0.3">
      <c r="A995" s="4">
        <v>44810</v>
      </c>
      <c r="B995" s="5">
        <f t="shared" si="183"/>
        <v>9</v>
      </c>
      <c r="C995" s="5">
        <f t="shared" si="184"/>
        <v>2022</v>
      </c>
      <c r="D995" s="5" t="s">
        <v>927</v>
      </c>
      <c r="E995" s="5" t="str">
        <f>VLOOKUP(F995,'Set up'!$A$2:$C$70,2,FALSE)</f>
        <v>C00000020</v>
      </c>
      <c r="F995" s="1" t="s">
        <v>409</v>
      </c>
      <c r="G995" s="89" t="s">
        <v>716</v>
      </c>
      <c r="H995" s="5">
        <v>3</v>
      </c>
      <c r="I995" s="5" t="str">
        <f>VLOOKUP(F995,'Set up'!$A$2:$C$70,3,FALSE)</f>
        <v>Cash</v>
      </c>
      <c r="J995" s="5">
        <f>VLOOKUP(F995,'Set up'!$A$2:$D$70,4,FALSE)</f>
        <v>0</v>
      </c>
      <c r="K995" s="4">
        <f t="shared" si="185"/>
        <v>44810</v>
      </c>
      <c r="L995" s="5">
        <f t="shared" si="186"/>
        <v>9</v>
      </c>
      <c r="M995" s="5">
        <f t="shared" si="187"/>
        <v>2022</v>
      </c>
      <c r="N995" s="96">
        <v>5742</v>
      </c>
      <c r="O995" s="6">
        <f>-4281.8-1460.2</f>
        <v>-5742</v>
      </c>
      <c r="P995" s="6">
        <f t="shared" si="195"/>
        <v>0</v>
      </c>
      <c r="Q995" s="7">
        <f t="shared" si="188"/>
        <v>1787235.7500000005</v>
      </c>
      <c r="R995" s="44" t="str">
        <f>VLOOKUP(F995,'Set up'!$A$2:$E$70,5,FALSE)</f>
        <v>Trsf</v>
      </c>
      <c r="S995" s="1" t="s">
        <v>1187</v>
      </c>
    </row>
    <row r="996" spans="1:19" x14ac:dyDescent="0.3">
      <c r="A996" s="4">
        <v>44810</v>
      </c>
      <c r="B996" s="5">
        <f t="shared" si="183"/>
        <v>9</v>
      </c>
      <c r="C996" s="5">
        <f t="shared" si="184"/>
        <v>2022</v>
      </c>
      <c r="D996" s="5" t="s">
        <v>927</v>
      </c>
      <c r="E996" s="5" t="str">
        <f>VLOOKUP(F996,'Set up'!$A$2:$C$70,2,FALSE)</f>
        <v>C00000020</v>
      </c>
      <c r="F996" s="1" t="s">
        <v>409</v>
      </c>
      <c r="G996" s="90" t="s">
        <v>892</v>
      </c>
      <c r="H996" s="5">
        <v>6</v>
      </c>
      <c r="I996" s="5" t="str">
        <f>VLOOKUP(F996,'Set up'!$A$2:$C$70,3,FALSE)</f>
        <v>Cash</v>
      </c>
      <c r="J996" s="5">
        <f>VLOOKUP(F996,'Set up'!$A$2:$D$70,4,FALSE)</f>
        <v>0</v>
      </c>
      <c r="K996" s="4">
        <f t="shared" si="185"/>
        <v>44810</v>
      </c>
      <c r="L996" s="5">
        <f t="shared" si="186"/>
        <v>9</v>
      </c>
      <c r="M996" s="5">
        <f t="shared" si="187"/>
        <v>2022</v>
      </c>
      <c r="N996" s="96">
        <v>3537.6000000000004</v>
      </c>
      <c r="O996" s="6">
        <f t="shared" ref="O996" si="196">-N996</f>
        <v>-3537.6000000000004</v>
      </c>
      <c r="P996" s="6">
        <f t="shared" si="195"/>
        <v>0</v>
      </c>
      <c r="Q996" s="7">
        <f t="shared" si="188"/>
        <v>1790773.3500000006</v>
      </c>
      <c r="R996" s="44" t="str">
        <f>VLOOKUP(F996,'Set up'!$A$2:$E$70,5,FALSE)</f>
        <v>Trsf</v>
      </c>
      <c r="S996" s="1" t="s">
        <v>1186</v>
      </c>
    </row>
    <row r="997" spans="1:19" x14ac:dyDescent="0.3">
      <c r="A997" s="4">
        <v>44810</v>
      </c>
      <c r="B997" s="5">
        <f t="shared" si="183"/>
        <v>9</v>
      </c>
      <c r="C997" s="5">
        <f t="shared" si="184"/>
        <v>2022</v>
      </c>
      <c r="D997" s="5" t="s">
        <v>927</v>
      </c>
      <c r="E997" s="5" t="str">
        <f>VLOOKUP(F997,'Set up'!$A$2:$C$70,2,FALSE)</f>
        <v>C00000020</v>
      </c>
      <c r="F997" s="1" t="s">
        <v>409</v>
      </c>
      <c r="G997" s="90" t="s">
        <v>778</v>
      </c>
      <c r="H997" s="5">
        <v>6</v>
      </c>
      <c r="I997" s="5" t="str">
        <f>VLOOKUP(F997,'Set up'!$A$2:$C$70,3,FALSE)</f>
        <v>Cash</v>
      </c>
      <c r="J997" s="5">
        <f>VLOOKUP(F997,'Set up'!$A$2:$D$70,4,FALSE)</f>
        <v>0</v>
      </c>
      <c r="K997" s="4">
        <f t="shared" si="185"/>
        <v>44810</v>
      </c>
      <c r="L997" s="5">
        <f t="shared" si="186"/>
        <v>9</v>
      </c>
      <c r="M997" s="5">
        <f t="shared" si="187"/>
        <v>2022</v>
      </c>
      <c r="N997" s="96">
        <v>1584</v>
      </c>
      <c r="O997" s="12">
        <f>-2.2-1581.8</f>
        <v>-1584</v>
      </c>
      <c r="P997" s="12">
        <f t="shared" si="195"/>
        <v>0</v>
      </c>
      <c r="Q997" s="7">
        <f t="shared" si="188"/>
        <v>1792357.3500000006</v>
      </c>
      <c r="R997" s="44" t="str">
        <f>VLOOKUP(F997,'Set up'!$A$2:$E$70,5,FALSE)</f>
        <v>Trsf</v>
      </c>
      <c r="S997" s="1" t="s">
        <v>1229</v>
      </c>
    </row>
    <row r="998" spans="1:19" x14ac:dyDescent="0.3">
      <c r="A998" s="4">
        <v>44810</v>
      </c>
      <c r="B998" s="5">
        <f t="shared" si="183"/>
        <v>9</v>
      </c>
      <c r="C998" s="5">
        <f t="shared" si="184"/>
        <v>2022</v>
      </c>
      <c r="D998" s="5" t="s">
        <v>927</v>
      </c>
      <c r="E998" s="5" t="str">
        <f>VLOOKUP(F998,'Set up'!$A$2:$C$70,2,FALSE)</f>
        <v>C00000020</v>
      </c>
      <c r="F998" s="1" t="s">
        <v>409</v>
      </c>
      <c r="G998" s="90" t="s">
        <v>64</v>
      </c>
      <c r="H998" s="5">
        <v>4</v>
      </c>
      <c r="I998" s="5" t="str">
        <f>VLOOKUP(F998,'Set up'!$A$2:$C$70,3,FALSE)</f>
        <v>Cash</v>
      </c>
      <c r="J998" s="5">
        <f>VLOOKUP(F998,'Set up'!$A$2:$D$70,4,FALSE)</f>
        <v>0</v>
      </c>
      <c r="K998" s="4">
        <f t="shared" si="185"/>
        <v>44810</v>
      </c>
      <c r="L998" s="5">
        <f t="shared" si="186"/>
        <v>9</v>
      </c>
      <c r="M998" s="5">
        <f t="shared" si="187"/>
        <v>2022</v>
      </c>
      <c r="N998" s="96">
        <v>250</v>
      </c>
      <c r="O998" s="6">
        <f t="shared" ref="O998:O999" si="197">-N998</f>
        <v>-250</v>
      </c>
      <c r="P998" s="6">
        <f t="shared" si="195"/>
        <v>0</v>
      </c>
      <c r="Q998" s="7">
        <f t="shared" si="188"/>
        <v>1792607.3500000006</v>
      </c>
      <c r="R998" s="44" t="str">
        <f>VLOOKUP(F998,'Set up'!$A$2:$E$70,5,FALSE)</f>
        <v>Trsf</v>
      </c>
      <c r="S998" s="1" t="s">
        <v>1230</v>
      </c>
    </row>
    <row r="999" spans="1:19" x14ac:dyDescent="0.3">
      <c r="A999" s="4">
        <v>44810</v>
      </c>
      <c r="B999" s="5">
        <f t="shared" si="183"/>
        <v>9</v>
      </c>
      <c r="C999" s="5">
        <f t="shared" si="184"/>
        <v>2022</v>
      </c>
      <c r="D999" s="5" t="s">
        <v>927</v>
      </c>
      <c r="E999" s="5" t="str">
        <f>VLOOKUP(F999,'Set up'!$A$2:$C$70,2,FALSE)</f>
        <v>C00000020</v>
      </c>
      <c r="F999" s="1" t="s">
        <v>409</v>
      </c>
      <c r="G999" s="90" t="s">
        <v>666</v>
      </c>
      <c r="H999" s="5">
        <v>4</v>
      </c>
      <c r="I999" s="5" t="str">
        <f>VLOOKUP(F999,'Set up'!$A$2:$C$70,3,FALSE)</f>
        <v>Cash</v>
      </c>
      <c r="J999" s="5">
        <f>VLOOKUP(F999,'Set up'!$A$2:$D$70,4,FALSE)</f>
        <v>0</v>
      </c>
      <c r="K999" s="4">
        <f t="shared" si="185"/>
        <v>44810</v>
      </c>
      <c r="L999" s="5">
        <f t="shared" si="186"/>
        <v>9</v>
      </c>
      <c r="M999" s="5">
        <f t="shared" si="187"/>
        <v>2022</v>
      </c>
      <c r="N999" s="96">
        <v>340</v>
      </c>
      <c r="O999" s="6">
        <f t="shared" si="197"/>
        <v>-340</v>
      </c>
      <c r="P999" s="6">
        <f t="shared" si="195"/>
        <v>0</v>
      </c>
      <c r="Q999" s="7">
        <f t="shared" si="188"/>
        <v>1792947.3500000006</v>
      </c>
      <c r="R999" s="44" t="str">
        <f>VLOOKUP(F999,'Set up'!$A$2:$E$70,5,FALSE)</f>
        <v>Trsf</v>
      </c>
      <c r="S999" s="1" t="s">
        <v>1230</v>
      </c>
    </row>
    <row r="1000" spans="1:19" x14ac:dyDescent="0.3">
      <c r="A1000" s="4">
        <v>44813</v>
      </c>
      <c r="B1000" s="5">
        <f t="shared" si="183"/>
        <v>9</v>
      </c>
      <c r="C1000" s="5">
        <f t="shared" si="184"/>
        <v>2022</v>
      </c>
      <c r="D1000" s="5" t="s">
        <v>930</v>
      </c>
      <c r="E1000" s="5" t="str">
        <f>VLOOKUP(F1000,'Set up'!$A$2:$C$70,2,FALSE)</f>
        <v>C00000029</v>
      </c>
      <c r="F1000" s="1" t="s">
        <v>958</v>
      </c>
      <c r="G1000" s="11" t="s">
        <v>666</v>
      </c>
      <c r="H1000" s="5">
        <v>4</v>
      </c>
      <c r="I1000" s="5" t="str">
        <f>VLOOKUP(F1000,'Set up'!$A$2:$C$70,3,FALSE)</f>
        <v>Cash</v>
      </c>
      <c r="J1000" s="5">
        <f>VLOOKUP(F1000,'Set up'!$A$2:$D$70,4,FALSE)</f>
        <v>0</v>
      </c>
      <c r="K1000" s="4">
        <f t="shared" si="185"/>
        <v>44813</v>
      </c>
      <c r="L1000" s="5">
        <f t="shared" si="186"/>
        <v>9</v>
      </c>
      <c r="M1000" s="5">
        <f t="shared" si="187"/>
        <v>2022</v>
      </c>
      <c r="N1000" s="6">
        <v>340</v>
      </c>
      <c r="O1000" s="6">
        <f t="shared" ref="O1000:O1002" si="198">-N1000</f>
        <v>-340</v>
      </c>
      <c r="P1000" s="6">
        <f t="shared" si="195"/>
        <v>0</v>
      </c>
      <c r="Q1000" s="7">
        <f t="shared" si="188"/>
        <v>1793287.3500000006</v>
      </c>
      <c r="R1000" s="44" t="str">
        <f>VLOOKUP(F1000,'Set up'!$A$2:$E$70,5,FALSE)</f>
        <v>Trsf</v>
      </c>
      <c r="S1000" s="1" t="s">
        <v>973</v>
      </c>
    </row>
    <row r="1001" spans="1:19" x14ac:dyDescent="0.3">
      <c r="A1001" s="4">
        <v>44813</v>
      </c>
      <c r="B1001" s="5">
        <f t="shared" si="183"/>
        <v>9</v>
      </c>
      <c r="C1001" s="5">
        <f t="shared" si="184"/>
        <v>2022</v>
      </c>
      <c r="D1001" s="5" t="s">
        <v>930</v>
      </c>
      <c r="E1001" s="5" t="str">
        <f>VLOOKUP(F1001,'Set up'!$A$2:$C$70,2,FALSE)</f>
        <v>C00000029</v>
      </c>
      <c r="F1001" s="1" t="s">
        <v>958</v>
      </c>
      <c r="G1001" s="11" t="s">
        <v>913</v>
      </c>
      <c r="H1001" s="5">
        <v>8</v>
      </c>
      <c r="I1001" s="5" t="str">
        <f>VLOOKUP(F1001,'Set up'!$A$2:$C$70,3,FALSE)</f>
        <v>Cash</v>
      </c>
      <c r="J1001" s="5">
        <f>VLOOKUP(F1001,'Set up'!$A$2:$D$70,4,FALSE)</f>
        <v>0</v>
      </c>
      <c r="K1001" s="4">
        <f t="shared" si="185"/>
        <v>44813</v>
      </c>
      <c r="L1001" s="5">
        <f t="shared" si="186"/>
        <v>9</v>
      </c>
      <c r="M1001" s="5">
        <f t="shared" si="187"/>
        <v>2022</v>
      </c>
      <c r="N1001" s="6">
        <v>2112</v>
      </c>
      <c r="O1001" s="6">
        <f t="shared" si="198"/>
        <v>-2112</v>
      </c>
      <c r="P1001" s="6">
        <f t="shared" si="195"/>
        <v>0</v>
      </c>
      <c r="Q1001" s="7">
        <f t="shared" si="188"/>
        <v>1795399.3500000006</v>
      </c>
      <c r="R1001" s="44" t="str">
        <f>VLOOKUP(F1001,'Set up'!$A$2:$E$70,5,FALSE)</f>
        <v>Trsf</v>
      </c>
      <c r="S1001" s="1" t="s">
        <v>973</v>
      </c>
    </row>
    <row r="1002" spans="1:19" x14ac:dyDescent="0.3">
      <c r="A1002" s="4">
        <v>44813</v>
      </c>
      <c r="B1002" s="5">
        <f t="shared" si="183"/>
        <v>9</v>
      </c>
      <c r="C1002" s="5">
        <f t="shared" si="184"/>
        <v>2022</v>
      </c>
      <c r="D1002" s="5" t="s">
        <v>931</v>
      </c>
      <c r="E1002" s="5" t="str">
        <f>VLOOKUP(F1002,'Set up'!$A$2:$C$70,2,FALSE)</f>
        <v>C00000020</v>
      </c>
      <c r="F1002" s="1" t="s">
        <v>409</v>
      </c>
      <c r="G1002" s="11" t="s">
        <v>716</v>
      </c>
      <c r="H1002" s="5">
        <v>1</v>
      </c>
      <c r="I1002" s="5" t="str">
        <f>VLOOKUP(F1002,'Set up'!$A$2:$C$70,3,FALSE)</f>
        <v>Cash</v>
      </c>
      <c r="J1002" s="5">
        <f>VLOOKUP(F1002,'Set up'!$A$2:$D$70,4,FALSE)</f>
        <v>0</v>
      </c>
      <c r="K1002" s="4">
        <f t="shared" si="185"/>
        <v>44813</v>
      </c>
      <c r="L1002" s="5">
        <f t="shared" si="186"/>
        <v>9</v>
      </c>
      <c r="M1002" s="5">
        <f t="shared" si="187"/>
        <v>2022</v>
      </c>
      <c r="N1002" s="96">
        <v>1914</v>
      </c>
      <c r="O1002" s="6">
        <f t="shared" si="198"/>
        <v>-1914</v>
      </c>
      <c r="P1002" s="6">
        <f t="shared" si="195"/>
        <v>0</v>
      </c>
      <c r="Q1002" s="7">
        <f t="shared" si="188"/>
        <v>1797313.3500000006</v>
      </c>
      <c r="R1002" s="44" t="str">
        <f>VLOOKUP(F1002,'Set up'!$A$2:$E$70,5,FALSE)</f>
        <v>Trsf</v>
      </c>
      <c r="S1002" s="1" t="s">
        <v>1230</v>
      </c>
    </row>
    <row r="1003" spans="1:19" x14ac:dyDescent="0.3">
      <c r="A1003" s="4">
        <v>44813</v>
      </c>
      <c r="B1003" s="5">
        <f t="shared" si="183"/>
        <v>9</v>
      </c>
      <c r="C1003" s="5">
        <f t="shared" si="184"/>
        <v>2022</v>
      </c>
      <c r="D1003" s="5" t="s">
        <v>932</v>
      </c>
      <c r="E1003" s="5" t="str">
        <f>VLOOKUP(F1003,'Set up'!$A$2:$C$70,2,FALSE)</f>
        <v>C00000021</v>
      </c>
      <c r="F1003" s="1" t="s">
        <v>491</v>
      </c>
      <c r="G1003" s="11" t="s">
        <v>716</v>
      </c>
      <c r="H1003" s="5">
        <v>1</v>
      </c>
      <c r="I1003" s="5" t="str">
        <f>VLOOKUP(F1003,'Set up'!$A$2:$C$70,3,FALSE)</f>
        <v>Cash</v>
      </c>
      <c r="J1003" s="5">
        <f>VLOOKUP(F1003,'Set up'!$A$2:$D$70,4,FALSE)</f>
        <v>0</v>
      </c>
      <c r="K1003" s="4">
        <f t="shared" si="185"/>
        <v>44813</v>
      </c>
      <c r="L1003" s="5">
        <f t="shared" si="186"/>
        <v>9</v>
      </c>
      <c r="M1003" s="5">
        <f t="shared" si="187"/>
        <v>2022</v>
      </c>
      <c r="N1003" s="6">
        <v>1936</v>
      </c>
      <c r="O1003" s="6">
        <f t="shared" ref="O1003:O1005" si="199">-N1003</f>
        <v>-1936</v>
      </c>
      <c r="P1003" s="6">
        <f t="shared" si="195"/>
        <v>0</v>
      </c>
      <c r="Q1003" s="7">
        <f t="shared" si="188"/>
        <v>1799249.3500000006</v>
      </c>
      <c r="R1003" s="44" t="str">
        <f>VLOOKUP(F1003,'Set up'!$A$2:$E$70,5,FALSE)</f>
        <v>PD Chq</v>
      </c>
      <c r="S1003" s="1" t="s">
        <v>1085</v>
      </c>
    </row>
    <row r="1004" spans="1:19" x14ac:dyDescent="0.3">
      <c r="A1004" s="4">
        <v>44813</v>
      </c>
      <c r="B1004" s="5">
        <f t="shared" si="183"/>
        <v>9</v>
      </c>
      <c r="C1004" s="5">
        <f t="shared" si="184"/>
        <v>2022</v>
      </c>
      <c r="D1004" s="5" t="s">
        <v>932</v>
      </c>
      <c r="E1004" s="5" t="str">
        <f>VLOOKUP(F1004,'Set up'!$A$2:$C$70,2,FALSE)</f>
        <v>C00000021</v>
      </c>
      <c r="F1004" s="1" t="s">
        <v>491</v>
      </c>
      <c r="G1004" s="11" t="s">
        <v>666</v>
      </c>
      <c r="H1004" s="5">
        <v>1</v>
      </c>
      <c r="I1004" s="5" t="str">
        <f>VLOOKUP(F1004,'Set up'!$A$2:$C$70,3,FALSE)</f>
        <v>Cash</v>
      </c>
      <c r="J1004" s="5">
        <f>VLOOKUP(F1004,'Set up'!$A$2:$D$70,4,FALSE)</f>
        <v>0</v>
      </c>
      <c r="K1004" s="4">
        <f t="shared" si="185"/>
        <v>44813</v>
      </c>
      <c r="L1004" s="5">
        <f t="shared" si="186"/>
        <v>9</v>
      </c>
      <c r="M1004" s="5">
        <f t="shared" si="187"/>
        <v>2022</v>
      </c>
      <c r="N1004" s="6">
        <v>90</v>
      </c>
      <c r="O1004" s="6">
        <f t="shared" si="199"/>
        <v>-90</v>
      </c>
      <c r="P1004" s="6">
        <f t="shared" si="195"/>
        <v>0</v>
      </c>
      <c r="Q1004" s="7">
        <f t="shared" si="188"/>
        <v>1799339.3500000006</v>
      </c>
      <c r="R1004" s="44" t="str">
        <f>VLOOKUP(F1004,'Set up'!$A$2:$E$70,5,FALSE)</f>
        <v>PD Chq</v>
      </c>
      <c r="S1004" s="1" t="s">
        <v>1085</v>
      </c>
    </row>
    <row r="1005" spans="1:19" x14ac:dyDescent="0.3">
      <c r="A1005" s="4">
        <v>44813</v>
      </c>
      <c r="B1005" s="5">
        <f t="shared" si="183"/>
        <v>9</v>
      </c>
      <c r="C1005" s="5">
        <f t="shared" si="184"/>
        <v>2022</v>
      </c>
      <c r="D1005" s="5" t="s">
        <v>932</v>
      </c>
      <c r="E1005" s="5" t="str">
        <f>VLOOKUP(F1005,'Set up'!$A$2:$C$70,2,FALSE)</f>
        <v>C00000021</v>
      </c>
      <c r="F1005" s="1" t="s">
        <v>491</v>
      </c>
      <c r="G1005" s="11" t="s">
        <v>800</v>
      </c>
      <c r="H1005" s="5">
        <v>1</v>
      </c>
      <c r="I1005" s="5" t="str">
        <f>VLOOKUP(F1005,'Set up'!$A$2:$C$70,3,FALSE)</f>
        <v>Cash</v>
      </c>
      <c r="J1005" s="5">
        <f>VLOOKUP(F1005,'Set up'!$A$2:$D$70,4,FALSE)</f>
        <v>0</v>
      </c>
      <c r="K1005" s="4">
        <f t="shared" si="185"/>
        <v>44813</v>
      </c>
      <c r="L1005" s="5">
        <f t="shared" si="186"/>
        <v>9</v>
      </c>
      <c r="M1005" s="5">
        <f t="shared" si="187"/>
        <v>2022</v>
      </c>
      <c r="N1005" s="6">
        <v>225</v>
      </c>
      <c r="O1005" s="6">
        <f t="shared" si="199"/>
        <v>-225</v>
      </c>
      <c r="P1005" s="6">
        <f t="shared" si="195"/>
        <v>0</v>
      </c>
      <c r="Q1005" s="7">
        <f t="shared" si="188"/>
        <v>1799564.3500000006</v>
      </c>
      <c r="R1005" s="44" t="str">
        <f>VLOOKUP(F1005,'Set up'!$A$2:$E$70,5,FALSE)</f>
        <v>PD Chq</v>
      </c>
      <c r="S1005" s="1" t="s">
        <v>1085</v>
      </c>
    </row>
    <row r="1006" spans="1:19" x14ac:dyDescent="0.3">
      <c r="A1006" s="4">
        <v>44817</v>
      </c>
      <c r="B1006" s="5">
        <f t="shared" si="183"/>
        <v>9</v>
      </c>
      <c r="C1006" s="5">
        <f t="shared" si="184"/>
        <v>2022</v>
      </c>
      <c r="D1006" s="5" t="s">
        <v>933</v>
      </c>
      <c r="E1006" s="5" t="str">
        <f>VLOOKUP(F1006,'Set up'!$A$2:$C$70,2,FALSE)</f>
        <v>C00000020</v>
      </c>
      <c r="F1006" s="1" t="s">
        <v>409</v>
      </c>
      <c r="G1006" s="89" t="s">
        <v>719</v>
      </c>
      <c r="H1006" s="5">
        <v>4</v>
      </c>
      <c r="I1006" s="5" t="str">
        <f>VLOOKUP(F1006,'Set up'!$A$2:$C$70,3,FALSE)</f>
        <v>Cash</v>
      </c>
      <c r="J1006" s="5">
        <f>VLOOKUP(F1006,'Set up'!$A$2:$D$70,4,FALSE)</f>
        <v>0</v>
      </c>
      <c r="K1006" s="4">
        <f t="shared" si="185"/>
        <v>44817</v>
      </c>
      <c r="L1006" s="5">
        <f t="shared" si="186"/>
        <v>9</v>
      </c>
      <c r="M1006" s="5">
        <f t="shared" si="187"/>
        <v>2022</v>
      </c>
      <c r="N1006" s="12">
        <v>7392</v>
      </c>
      <c r="O1006" s="12">
        <f>-5914.2-1477.8</f>
        <v>-7392</v>
      </c>
      <c r="P1006" s="12">
        <f t="shared" si="195"/>
        <v>0</v>
      </c>
      <c r="Q1006" s="7">
        <f t="shared" si="188"/>
        <v>1806956.3500000006</v>
      </c>
      <c r="R1006" s="44" t="str">
        <f>VLOOKUP(F1006,'Set up'!$A$2:$E$70,5,FALSE)</f>
        <v>Trsf</v>
      </c>
      <c r="S1006" s="1" t="s">
        <v>1231</v>
      </c>
    </row>
    <row r="1007" spans="1:19" x14ac:dyDescent="0.3">
      <c r="A1007" s="4">
        <v>44817</v>
      </c>
      <c r="B1007" s="5">
        <f t="shared" si="183"/>
        <v>9</v>
      </c>
      <c r="C1007" s="5">
        <f t="shared" si="184"/>
        <v>2022</v>
      </c>
      <c r="D1007" s="5" t="s">
        <v>933</v>
      </c>
      <c r="E1007" s="5" t="str">
        <f>VLOOKUP(F1007,'Set up'!$A$2:$C$70,2,FALSE)</f>
        <v>C00000020</v>
      </c>
      <c r="F1007" s="1" t="s">
        <v>409</v>
      </c>
      <c r="G1007" s="90" t="s">
        <v>892</v>
      </c>
      <c r="H1007" s="5">
        <v>5</v>
      </c>
      <c r="I1007" s="5" t="str">
        <f>VLOOKUP(F1007,'Set up'!$A$2:$C$70,3,FALSE)</f>
        <v>Cash</v>
      </c>
      <c r="J1007" s="5">
        <f>VLOOKUP(F1007,'Set up'!$A$2:$D$70,4,FALSE)</f>
        <v>0</v>
      </c>
      <c r="K1007" s="4">
        <f t="shared" si="185"/>
        <v>44817</v>
      </c>
      <c r="L1007" s="5">
        <f t="shared" si="186"/>
        <v>9</v>
      </c>
      <c r="M1007" s="5">
        <f t="shared" si="187"/>
        <v>2022</v>
      </c>
      <c r="N1007" s="6">
        <v>2881</v>
      </c>
      <c r="O1007" s="6">
        <f t="shared" ref="O1007:O1015" si="200">-N1007</f>
        <v>-2881</v>
      </c>
      <c r="P1007" s="6">
        <f t="shared" si="195"/>
        <v>0</v>
      </c>
      <c r="Q1007" s="7">
        <f t="shared" si="188"/>
        <v>1809837.3500000006</v>
      </c>
      <c r="R1007" s="44" t="str">
        <f>VLOOKUP(F1007,'Set up'!$A$2:$E$70,5,FALSE)</f>
        <v>Trsf</v>
      </c>
      <c r="S1007" s="1" t="s">
        <v>1209</v>
      </c>
    </row>
    <row r="1008" spans="1:19" x14ac:dyDescent="0.3">
      <c r="A1008" s="4">
        <v>44817</v>
      </c>
      <c r="B1008" s="5">
        <f t="shared" si="183"/>
        <v>9</v>
      </c>
      <c r="C1008" s="5">
        <f t="shared" si="184"/>
        <v>2022</v>
      </c>
      <c r="D1008" s="5" t="s">
        <v>933</v>
      </c>
      <c r="E1008" s="5" t="str">
        <f>VLOOKUP(F1008,'Set up'!$A$2:$C$70,2,FALSE)</f>
        <v>C00000020</v>
      </c>
      <c r="F1008" s="1" t="s">
        <v>409</v>
      </c>
      <c r="G1008" s="90" t="s">
        <v>778</v>
      </c>
      <c r="H1008" s="5">
        <v>5</v>
      </c>
      <c r="I1008" s="5" t="str">
        <f>VLOOKUP(F1008,'Set up'!$A$2:$C$70,3,FALSE)</f>
        <v>Cash</v>
      </c>
      <c r="J1008" s="5">
        <f>VLOOKUP(F1008,'Set up'!$A$2:$D$70,4,FALSE)</f>
        <v>0</v>
      </c>
      <c r="K1008" s="4">
        <f t="shared" si="185"/>
        <v>44817</v>
      </c>
      <c r="L1008" s="5">
        <f t="shared" si="186"/>
        <v>9</v>
      </c>
      <c r="M1008" s="5">
        <f t="shared" si="187"/>
        <v>2022</v>
      </c>
      <c r="N1008" s="6">
        <v>1300</v>
      </c>
      <c r="O1008" s="6">
        <f t="shared" si="200"/>
        <v>-1300</v>
      </c>
      <c r="P1008" s="6">
        <f t="shared" si="195"/>
        <v>0</v>
      </c>
      <c r="Q1008" s="7">
        <f t="shared" si="188"/>
        <v>1811137.3500000006</v>
      </c>
      <c r="R1008" s="44" t="str">
        <f>VLOOKUP(F1008,'Set up'!$A$2:$E$70,5,FALSE)</f>
        <v>Trsf</v>
      </c>
      <c r="S1008" s="1" t="s">
        <v>1209</v>
      </c>
    </row>
    <row r="1009" spans="1:19" x14ac:dyDescent="0.3">
      <c r="A1009" s="4">
        <v>44817</v>
      </c>
      <c r="B1009" s="5">
        <f t="shared" si="183"/>
        <v>9</v>
      </c>
      <c r="C1009" s="5">
        <f t="shared" si="184"/>
        <v>2022</v>
      </c>
      <c r="D1009" s="5" t="s">
        <v>933</v>
      </c>
      <c r="E1009" s="5" t="str">
        <f>VLOOKUP(F1009,'Set up'!$A$2:$C$70,2,FALSE)</f>
        <v>C00000020</v>
      </c>
      <c r="F1009" s="1" t="s">
        <v>409</v>
      </c>
      <c r="G1009" s="90" t="s">
        <v>64</v>
      </c>
      <c r="H1009" s="5">
        <v>4</v>
      </c>
      <c r="I1009" s="5" t="str">
        <f>VLOOKUP(F1009,'Set up'!$A$2:$C$70,3,FALSE)</f>
        <v>Cash</v>
      </c>
      <c r="J1009" s="5">
        <f>VLOOKUP(F1009,'Set up'!$A$2:$D$70,4,FALSE)</f>
        <v>0</v>
      </c>
      <c r="K1009" s="4">
        <f t="shared" si="185"/>
        <v>44817</v>
      </c>
      <c r="L1009" s="5">
        <f t="shared" si="186"/>
        <v>9</v>
      </c>
      <c r="M1009" s="5">
        <f t="shared" si="187"/>
        <v>2022</v>
      </c>
      <c r="N1009" s="6">
        <v>250</v>
      </c>
      <c r="O1009" s="6">
        <f t="shared" si="200"/>
        <v>-250</v>
      </c>
      <c r="P1009" s="6">
        <f t="shared" si="195"/>
        <v>0</v>
      </c>
      <c r="Q1009" s="7">
        <f t="shared" si="188"/>
        <v>1811387.3500000006</v>
      </c>
      <c r="R1009" s="44" t="str">
        <f>VLOOKUP(F1009,'Set up'!$A$2:$E$70,5,FALSE)</f>
        <v>Trsf</v>
      </c>
      <c r="S1009" s="1" t="s">
        <v>1209</v>
      </c>
    </row>
    <row r="1010" spans="1:19" x14ac:dyDescent="0.3">
      <c r="A1010" s="4">
        <v>44817</v>
      </c>
      <c r="B1010" s="5">
        <f t="shared" si="183"/>
        <v>9</v>
      </c>
      <c r="C1010" s="5">
        <f t="shared" si="184"/>
        <v>2022</v>
      </c>
      <c r="D1010" s="5" t="s">
        <v>933</v>
      </c>
      <c r="E1010" s="5" t="str">
        <f>VLOOKUP(F1010,'Set up'!$A$2:$C$70,2,FALSE)</f>
        <v>C00000020</v>
      </c>
      <c r="F1010" s="1" t="s">
        <v>409</v>
      </c>
      <c r="G1010" s="90" t="s">
        <v>666</v>
      </c>
      <c r="H1010" s="5">
        <v>4</v>
      </c>
      <c r="I1010" s="5" t="str">
        <f>VLOOKUP(F1010,'Set up'!$A$2:$C$70,3,FALSE)</f>
        <v>Cash</v>
      </c>
      <c r="J1010" s="5">
        <f>VLOOKUP(F1010,'Set up'!$A$2:$D$70,4,FALSE)</f>
        <v>0</v>
      </c>
      <c r="K1010" s="4">
        <f t="shared" si="185"/>
        <v>44817</v>
      </c>
      <c r="L1010" s="5">
        <f t="shared" si="186"/>
        <v>9</v>
      </c>
      <c r="M1010" s="5">
        <f t="shared" si="187"/>
        <v>2022</v>
      </c>
      <c r="N1010" s="6">
        <v>340</v>
      </c>
      <c r="O1010" s="6">
        <f t="shared" si="200"/>
        <v>-340</v>
      </c>
      <c r="P1010" s="6">
        <f t="shared" si="195"/>
        <v>0</v>
      </c>
      <c r="Q1010" s="7">
        <f t="shared" si="188"/>
        <v>1811727.3500000006</v>
      </c>
      <c r="R1010" s="44" t="str">
        <f>VLOOKUP(F1010,'Set up'!$A$2:$E$70,5,FALSE)</f>
        <v>Trsf</v>
      </c>
      <c r="S1010" s="1" t="s">
        <v>1209</v>
      </c>
    </row>
    <row r="1011" spans="1:19" x14ac:dyDescent="0.3">
      <c r="A1011" s="4">
        <v>44817</v>
      </c>
      <c r="B1011" s="5">
        <f t="shared" si="183"/>
        <v>9</v>
      </c>
      <c r="C1011" s="5">
        <f t="shared" si="184"/>
        <v>2022</v>
      </c>
      <c r="D1011" s="5" t="s">
        <v>933</v>
      </c>
      <c r="E1011" s="5" t="str">
        <f>VLOOKUP(F1011,'Set up'!$A$2:$C$70,2,FALSE)</f>
        <v>C00000020</v>
      </c>
      <c r="F1011" s="1" t="s">
        <v>409</v>
      </c>
      <c r="G1011" s="99" t="s">
        <v>659</v>
      </c>
      <c r="H1011" s="5">
        <v>1</v>
      </c>
      <c r="I1011" s="5" t="str">
        <f>VLOOKUP(F1011,'Set up'!$A$2:$C$70,3,FALSE)</f>
        <v>Cash</v>
      </c>
      <c r="J1011" s="5">
        <f>VLOOKUP(F1011,'Set up'!$A$2:$D$70,4,FALSE)</f>
        <v>0</v>
      </c>
      <c r="K1011" s="4">
        <f t="shared" si="185"/>
        <v>44817</v>
      </c>
      <c r="L1011" s="5">
        <f t="shared" si="186"/>
        <v>9</v>
      </c>
      <c r="M1011" s="5">
        <f t="shared" si="187"/>
        <v>2022</v>
      </c>
      <c r="N1011" s="6">
        <v>1000</v>
      </c>
      <c r="O1011" s="6">
        <f t="shared" si="200"/>
        <v>-1000</v>
      </c>
      <c r="P1011" s="6">
        <f t="shared" si="195"/>
        <v>0</v>
      </c>
      <c r="Q1011" s="7">
        <f t="shared" si="188"/>
        <v>1812727.3500000006</v>
      </c>
      <c r="R1011" s="44" t="str">
        <f>VLOOKUP(F1011,'Set up'!$A$2:$E$70,5,FALSE)</f>
        <v>Trsf</v>
      </c>
      <c r="S1011" s="1" t="s">
        <v>1209</v>
      </c>
    </row>
    <row r="1012" spans="1:19" x14ac:dyDescent="0.3">
      <c r="A1012" s="4">
        <v>44817</v>
      </c>
      <c r="B1012" s="5">
        <f t="shared" si="183"/>
        <v>9</v>
      </c>
      <c r="C1012" s="5">
        <f t="shared" si="184"/>
        <v>2022</v>
      </c>
      <c r="D1012" s="5" t="s">
        <v>934</v>
      </c>
      <c r="E1012" s="5" t="str">
        <f>VLOOKUP(F1012,'Set up'!$A$2:$C$70,2,FALSE)</f>
        <v>C00000020</v>
      </c>
      <c r="F1012" s="1" t="s">
        <v>409</v>
      </c>
      <c r="G1012" s="89" t="s">
        <v>719</v>
      </c>
      <c r="H1012" s="5">
        <v>4</v>
      </c>
      <c r="I1012" s="5" t="str">
        <f>VLOOKUP(F1012,'Set up'!$A$2:$C$70,3,FALSE)</f>
        <v>Cash</v>
      </c>
      <c r="J1012" s="5">
        <f>VLOOKUP(F1012,'Set up'!$A$2:$D$70,4,FALSE)</f>
        <v>0</v>
      </c>
      <c r="K1012" s="4">
        <f t="shared" si="185"/>
        <v>44817</v>
      </c>
      <c r="L1012" s="5">
        <f t="shared" si="186"/>
        <v>9</v>
      </c>
      <c r="M1012" s="5">
        <f t="shared" si="187"/>
        <v>2022</v>
      </c>
      <c r="N1012" s="6">
        <v>7392</v>
      </c>
      <c r="O1012" s="6">
        <f t="shared" si="200"/>
        <v>-7392</v>
      </c>
      <c r="P1012" s="6">
        <f t="shared" si="195"/>
        <v>0</v>
      </c>
      <c r="Q1012" s="7">
        <f t="shared" si="188"/>
        <v>1820119.3500000006</v>
      </c>
      <c r="R1012" s="44" t="str">
        <f>VLOOKUP(F1012,'Set up'!$A$2:$E$70,5,FALSE)</f>
        <v>Trsf</v>
      </c>
      <c r="S1012" s="1" t="s">
        <v>1209</v>
      </c>
    </row>
    <row r="1013" spans="1:19" x14ac:dyDescent="0.3">
      <c r="A1013" s="4">
        <v>44817</v>
      </c>
      <c r="B1013" s="5">
        <f t="shared" si="183"/>
        <v>9</v>
      </c>
      <c r="C1013" s="5">
        <f t="shared" si="184"/>
        <v>2022</v>
      </c>
      <c r="D1013" s="5" t="s">
        <v>934</v>
      </c>
      <c r="E1013" s="5" t="str">
        <f>VLOOKUP(F1013,'Set up'!$A$2:$C$70,2,FALSE)</f>
        <v>C00000020</v>
      </c>
      <c r="F1013" s="1" t="s">
        <v>409</v>
      </c>
      <c r="G1013" s="90" t="s">
        <v>892</v>
      </c>
      <c r="H1013" s="5">
        <v>5</v>
      </c>
      <c r="I1013" s="5" t="str">
        <f>VLOOKUP(F1013,'Set up'!$A$2:$C$70,3,FALSE)</f>
        <v>Cash</v>
      </c>
      <c r="J1013" s="5">
        <f>VLOOKUP(F1013,'Set up'!$A$2:$D$70,4,FALSE)</f>
        <v>0</v>
      </c>
      <c r="K1013" s="4">
        <f t="shared" si="185"/>
        <v>44817</v>
      </c>
      <c r="L1013" s="5">
        <f t="shared" si="186"/>
        <v>9</v>
      </c>
      <c r="M1013" s="5">
        <f t="shared" si="187"/>
        <v>2022</v>
      </c>
      <c r="N1013" s="6">
        <v>2881</v>
      </c>
      <c r="O1013" s="6">
        <f t="shared" si="200"/>
        <v>-2881</v>
      </c>
      <c r="P1013" s="6">
        <f t="shared" si="195"/>
        <v>0</v>
      </c>
      <c r="Q1013" s="7">
        <f t="shared" si="188"/>
        <v>1823000.3500000006</v>
      </c>
      <c r="R1013" s="44" t="str">
        <f>VLOOKUP(F1013,'Set up'!$A$2:$E$70,5,FALSE)</f>
        <v>Trsf</v>
      </c>
      <c r="S1013" s="1" t="s">
        <v>1209</v>
      </c>
    </row>
    <row r="1014" spans="1:19" x14ac:dyDescent="0.3">
      <c r="A1014" s="4">
        <v>44817</v>
      </c>
      <c r="B1014" s="5">
        <f t="shared" si="183"/>
        <v>9</v>
      </c>
      <c r="C1014" s="5">
        <f t="shared" si="184"/>
        <v>2022</v>
      </c>
      <c r="D1014" s="5" t="s">
        <v>934</v>
      </c>
      <c r="E1014" s="5" t="str">
        <f>VLOOKUP(F1014,'Set up'!$A$2:$C$70,2,FALSE)</f>
        <v>C00000020</v>
      </c>
      <c r="F1014" s="1" t="s">
        <v>409</v>
      </c>
      <c r="G1014" s="90" t="s">
        <v>778</v>
      </c>
      <c r="H1014" s="5">
        <v>5</v>
      </c>
      <c r="I1014" s="5" t="str">
        <f>VLOOKUP(F1014,'Set up'!$A$2:$C$70,3,FALSE)</f>
        <v>Cash</v>
      </c>
      <c r="J1014" s="5">
        <f>VLOOKUP(F1014,'Set up'!$A$2:$D$70,4,FALSE)</f>
        <v>0</v>
      </c>
      <c r="K1014" s="4">
        <f t="shared" si="185"/>
        <v>44817</v>
      </c>
      <c r="L1014" s="5">
        <f t="shared" si="186"/>
        <v>9</v>
      </c>
      <c r="M1014" s="5">
        <f t="shared" si="187"/>
        <v>2022</v>
      </c>
      <c r="N1014" s="6">
        <v>1300</v>
      </c>
      <c r="O1014" s="6">
        <f t="shared" si="200"/>
        <v>-1300</v>
      </c>
      <c r="P1014" s="6">
        <f t="shared" si="195"/>
        <v>0</v>
      </c>
      <c r="Q1014" s="7">
        <f t="shared" si="188"/>
        <v>1824300.3500000006</v>
      </c>
      <c r="R1014" s="44" t="str">
        <f>VLOOKUP(F1014,'Set up'!$A$2:$E$70,5,FALSE)</f>
        <v>Trsf</v>
      </c>
      <c r="S1014" s="1" t="s">
        <v>1209</v>
      </c>
    </row>
    <row r="1015" spans="1:19" x14ac:dyDescent="0.3">
      <c r="A1015" s="4">
        <v>44817</v>
      </c>
      <c r="B1015" s="5">
        <f t="shared" si="183"/>
        <v>9</v>
      </c>
      <c r="C1015" s="5">
        <f t="shared" si="184"/>
        <v>2022</v>
      </c>
      <c r="D1015" s="5" t="s">
        <v>934</v>
      </c>
      <c r="E1015" s="5" t="str">
        <f>VLOOKUP(F1015,'Set up'!$A$2:$C$70,2,FALSE)</f>
        <v>C00000020</v>
      </c>
      <c r="F1015" s="1" t="s">
        <v>409</v>
      </c>
      <c r="G1015" s="90" t="s">
        <v>64</v>
      </c>
      <c r="H1015" s="5">
        <v>4</v>
      </c>
      <c r="I1015" s="5" t="str">
        <f>VLOOKUP(F1015,'Set up'!$A$2:$C$70,3,FALSE)</f>
        <v>Cash</v>
      </c>
      <c r="J1015" s="5">
        <f>VLOOKUP(F1015,'Set up'!$A$2:$D$70,4,FALSE)</f>
        <v>0</v>
      </c>
      <c r="K1015" s="4">
        <f t="shared" si="185"/>
        <v>44817</v>
      </c>
      <c r="L1015" s="5">
        <f t="shared" si="186"/>
        <v>9</v>
      </c>
      <c r="M1015" s="5">
        <f t="shared" si="187"/>
        <v>2022</v>
      </c>
      <c r="N1015" s="6">
        <v>250</v>
      </c>
      <c r="O1015" s="6">
        <f t="shared" si="200"/>
        <v>-250</v>
      </c>
      <c r="P1015" s="6">
        <f t="shared" si="195"/>
        <v>0</v>
      </c>
      <c r="Q1015" s="7">
        <f t="shared" si="188"/>
        <v>1824550.3500000006</v>
      </c>
      <c r="R1015" s="44" t="str">
        <f>VLOOKUP(F1015,'Set up'!$A$2:$E$70,5,FALSE)</f>
        <v>Trsf</v>
      </c>
      <c r="S1015" s="1" t="s">
        <v>1209</v>
      </c>
    </row>
    <row r="1016" spans="1:19" x14ac:dyDescent="0.3">
      <c r="A1016" s="4">
        <v>44818</v>
      </c>
      <c r="B1016" s="5">
        <f t="shared" si="183"/>
        <v>9</v>
      </c>
      <c r="C1016" s="5">
        <f t="shared" si="184"/>
        <v>2022</v>
      </c>
      <c r="D1016" s="5" t="s">
        <v>936</v>
      </c>
      <c r="E1016" s="5" t="str">
        <f>VLOOKUP(F1016,'Set up'!$A$2:$C$70,2,FALSE)</f>
        <v>C00000001</v>
      </c>
      <c r="F1016" s="1" t="s">
        <v>7</v>
      </c>
      <c r="G1016" s="100" t="s">
        <v>935</v>
      </c>
      <c r="H1016" s="5">
        <v>4</v>
      </c>
      <c r="I1016" s="5" t="str">
        <f>VLOOKUP(F1016,'Set up'!$A$2:$C$70,3,FALSE)</f>
        <v>Cash</v>
      </c>
      <c r="J1016" s="5">
        <f>VLOOKUP(F1016,'Set up'!$A$2:$D$70,4,FALSE)</f>
        <v>0</v>
      </c>
      <c r="K1016" s="4">
        <f t="shared" si="185"/>
        <v>44818</v>
      </c>
      <c r="L1016" s="5">
        <f t="shared" si="186"/>
        <v>9</v>
      </c>
      <c r="M1016" s="5">
        <f t="shared" si="187"/>
        <v>2022</v>
      </c>
      <c r="N1016" s="6">
        <v>1840</v>
      </c>
      <c r="O1016" s="6">
        <f t="shared" ref="O1016:O1020" si="201">-N1016</f>
        <v>-1840</v>
      </c>
      <c r="P1016" s="6">
        <f t="shared" si="195"/>
        <v>0</v>
      </c>
      <c r="Q1016" s="7">
        <f t="shared" si="188"/>
        <v>1826390.3500000006</v>
      </c>
      <c r="R1016" s="44" t="str">
        <f>VLOOKUP(F1016,'Set up'!$A$2:$E$70,5,FALSE)</f>
        <v>Trsf</v>
      </c>
      <c r="S1016" s="1" t="s">
        <v>1017</v>
      </c>
    </row>
    <row r="1017" spans="1:19" x14ac:dyDescent="0.3">
      <c r="A1017" s="4">
        <v>44819</v>
      </c>
      <c r="B1017" s="5">
        <f t="shared" si="183"/>
        <v>9</v>
      </c>
      <c r="C1017" s="5">
        <f t="shared" si="184"/>
        <v>2022</v>
      </c>
      <c r="D1017" s="5" t="s">
        <v>937</v>
      </c>
      <c r="E1017" s="5" t="str">
        <f>VLOOKUP(F1017,'Set up'!$A$2:$C$70,2,FALSE)</f>
        <v>C00000021</v>
      </c>
      <c r="F1017" s="1" t="s">
        <v>491</v>
      </c>
      <c r="G1017" s="100" t="s">
        <v>716</v>
      </c>
      <c r="H1017" s="5">
        <v>1</v>
      </c>
      <c r="I1017" s="5" t="str">
        <f>VLOOKUP(F1017,'Set up'!$A$2:$C$70,3,FALSE)</f>
        <v>Cash</v>
      </c>
      <c r="J1017" s="5">
        <f>VLOOKUP(F1017,'Set up'!$A$2:$D$70,4,FALSE)</f>
        <v>0</v>
      </c>
      <c r="K1017" s="4">
        <f t="shared" si="185"/>
        <v>44819</v>
      </c>
      <c r="L1017" s="5">
        <f t="shared" si="186"/>
        <v>9</v>
      </c>
      <c r="M1017" s="5">
        <f t="shared" si="187"/>
        <v>2022</v>
      </c>
      <c r="N1017" s="6">
        <v>1936</v>
      </c>
      <c r="O1017" s="6">
        <f t="shared" si="201"/>
        <v>-1936</v>
      </c>
      <c r="P1017" s="6">
        <f t="shared" si="195"/>
        <v>0</v>
      </c>
      <c r="Q1017" s="7">
        <f t="shared" si="188"/>
        <v>1828326.3500000006</v>
      </c>
      <c r="R1017" s="44" t="str">
        <f>VLOOKUP(F1017,'Set up'!$A$2:$E$70,5,FALSE)</f>
        <v>PD Chq</v>
      </c>
      <c r="S1017" s="1" t="s">
        <v>1149</v>
      </c>
    </row>
    <row r="1018" spans="1:19" x14ac:dyDescent="0.3">
      <c r="A1018" s="4">
        <v>44819</v>
      </c>
      <c r="B1018" s="5">
        <f t="shared" si="183"/>
        <v>9</v>
      </c>
      <c r="C1018" s="5">
        <f t="shared" si="184"/>
        <v>2022</v>
      </c>
      <c r="D1018" s="5" t="s">
        <v>937</v>
      </c>
      <c r="E1018" s="5" t="str">
        <f>VLOOKUP(F1018,'Set up'!$A$2:$C$70,2,FALSE)</f>
        <v>C00000021</v>
      </c>
      <c r="F1018" s="1" t="s">
        <v>491</v>
      </c>
      <c r="G1018" s="99" t="s">
        <v>908</v>
      </c>
      <c r="H1018" s="5">
        <v>4</v>
      </c>
      <c r="I1018" s="5" t="str">
        <f>VLOOKUP(F1018,'Set up'!$A$2:$C$70,3,FALSE)</f>
        <v>Cash</v>
      </c>
      <c r="J1018" s="5">
        <f>VLOOKUP(F1018,'Set up'!$A$2:$D$70,4,FALSE)</f>
        <v>0</v>
      </c>
      <c r="K1018" s="4">
        <f t="shared" si="185"/>
        <v>44819</v>
      </c>
      <c r="L1018" s="5">
        <f t="shared" si="186"/>
        <v>9</v>
      </c>
      <c r="M1018" s="5">
        <f t="shared" si="187"/>
        <v>2022</v>
      </c>
      <c r="N1018" s="6">
        <v>1317.2</v>
      </c>
      <c r="O1018" s="6">
        <f t="shared" si="201"/>
        <v>-1317.2</v>
      </c>
      <c r="P1018" s="6">
        <f t="shared" si="195"/>
        <v>0</v>
      </c>
      <c r="Q1018" s="7">
        <f t="shared" si="188"/>
        <v>1829643.5500000005</v>
      </c>
      <c r="R1018" s="44" t="str">
        <f>VLOOKUP(F1018,'Set up'!$A$2:$E$70,5,FALSE)</f>
        <v>PD Chq</v>
      </c>
      <c r="S1018" s="1" t="s">
        <v>1149</v>
      </c>
    </row>
    <row r="1019" spans="1:19" x14ac:dyDescent="0.3">
      <c r="A1019" s="4">
        <v>44819</v>
      </c>
      <c r="B1019" s="5">
        <f t="shared" si="183"/>
        <v>9</v>
      </c>
      <c r="C1019" s="5">
        <f t="shared" si="184"/>
        <v>2022</v>
      </c>
      <c r="D1019" s="5" t="s">
        <v>937</v>
      </c>
      <c r="E1019" s="5" t="str">
        <f>VLOOKUP(F1019,'Set up'!$A$2:$C$70,2,FALSE)</f>
        <v>C00000021</v>
      </c>
      <c r="F1019" s="1" t="s">
        <v>491</v>
      </c>
      <c r="G1019" s="99" t="s">
        <v>666</v>
      </c>
      <c r="H1019" s="5">
        <v>1</v>
      </c>
      <c r="I1019" s="5" t="str">
        <f>VLOOKUP(F1019,'Set up'!$A$2:$C$70,3,FALSE)</f>
        <v>Cash</v>
      </c>
      <c r="J1019" s="5">
        <f>VLOOKUP(F1019,'Set up'!$A$2:$D$70,4,FALSE)</f>
        <v>0</v>
      </c>
      <c r="K1019" s="4">
        <f t="shared" si="185"/>
        <v>44819</v>
      </c>
      <c r="L1019" s="5">
        <f t="shared" si="186"/>
        <v>9</v>
      </c>
      <c r="M1019" s="5">
        <f t="shared" si="187"/>
        <v>2022</v>
      </c>
      <c r="N1019" s="6">
        <v>90</v>
      </c>
      <c r="O1019" s="6">
        <f t="shared" si="201"/>
        <v>-90</v>
      </c>
      <c r="P1019" s="6">
        <f t="shared" si="195"/>
        <v>0</v>
      </c>
      <c r="Q1019" s="7">
        <f t="shared" si="188"/>
        <v>1829733.5500000005</v>
      </c>
      <c r="R1019" s="44" t="str">
        <f>VLOOKUP(F1019,'Set up'!$A$2:$E$70,5,FALSE)</f>
        <v>PD Chq</v>
      </c>
      <c r="S1019" s="1" t="s">
        <v>1149</v>
      </c>
    </row>
    <row r="1020" spans="1:19" x14ac:dyDescent="0.3">
      <c r="A1020" s="4">
        <v>44819</v>
      </c>
      <c r="B1020" s="5">
        <f t="shared" si="183"/>
        <v>9</v>
      </c>
      <c r="C1020" s="5">
        <f t="shared" si="184"/>
        <v>2022</v>
      </c>
      <c r="D1020" s="5" t="s">
        <v>937</v>
      </c>
      <c r="E1020" s="5" t="str">
        <f>VLOOKUP(F1020,'Set up'!$A$2:$C$70,2,FALSE)</f>
        <v>C00000021</v>
      </c>
      <c r="F1020" s="1" t="s">
        <v>491</v>
      </c>
      <c r="G1020" s="99" t="s">
        <v>64</v>
      </c>
      <c r="H1020" s="5">
        <v>5</v>
      </c>
      <c r="I1020" s="5" t="str">
        <f>VLOOKUP(F1020,'Set up'!$A$2:$C$70,3,FALSE)</f>
        <v>Cash</v>
      </c>
      <c r="J1020" s="5">
        <f>VLOOKUP(F1020,'Set up'!$A$2:$D$70,4,FALSE)</f>
        <v>0</v>
      </c>
      <c r="K1020" s="4">
        <f t="shared" si="185"/>
        <v>44819</v>
      </c>
      <c r="L1020" s="5">
        <f t="shared" si="186"/>
        <v>9</v>
      </c>
      <c r="M1020" s="5">
        <f t="shared" si="187"/>
        <v>2022</v>
      </c>
      <c r="N1020" s="6">
        <v>312.5</v>
      </c>
      <c r="O1020" s="6">
        <f t="shared" si="201"/>
        <v>-312.5</v>
      </c>
      <c r="P1020" s="6">
        <f t="shared" si="195"/>
        <v>0</v>
      </c>
      <c r="Q1020" s="7">
        <f t="shared" si="188"/>
        <v>1830046.0500000005</v>
      </c>
      <c r="R1020" s="44" t="str">
        <f>VLOOKUP(F1020,'Set up'!$A$2:$E$70,5,FALSE)</f>
        <v>PD Chq</v>
      </c>
      <c r="S1020" s="1" t="s">
        <v>1149</v>
      </c>
    </row>
    <row r="1021" spans="1:19" x14ac:dyDescent="0.3">
      <c r="A1021" s="4">
        <v>44827</v>
      </c>
      <c r="B1021" s="5">
        <f t="shared" si="183"/>
        <v>9</v>
      </c>
      <c r="C1021" s="5">
        <f t="shared" si="184"/>
        <v>2022</v>
      </c>
      <c r="D1021" s="5" t="s">
        <v>943</v>
      </c>
      <c r="E1021" s="5" t="str">
        <f>VLOOKUP(F1021,'Set up'!$A$2:$C$70,2,FALSE)</f>
        <v>C00000019</v>
      </c>
      <c r="F1021" s="1" t="s">
        <v>400</v>
      </c>
      <c r="G1021" s="11" t="s">
        <v>719</v>
      </c>
      <c r="H1021" s="5">
        <v>1</v>
      </c>
      <c r="I1021" s="5" t="str">
        <f>VLOOKUP(F1021,'Set up'!$A$2:$C$70,3,FALSE)</f>
        <v>Cash</v>
      </c>
      <c r="J1021" s="5">
        <f>VLOOKUP(F1021,'Set up'!$A$2:$D$70,4,FALSE)</f>
        <v>0</v>
      </c>
      <c r="K1021" s="4">
        <f t="shared" si="185"/>
        <v>44827</v>
      </c>
      <c r="L1021" s="5">
        <f t="shared" si="186"/>
        <v>9</v>
      </c>
      <c r="M1021" s="5">
        <f t="shared" si="187"/>
        <v>2022</v>
      </c>
      <c r="N1021" s="6">
        <v>1936</v>
      </c>
      <c r="O1021" s="6">
        <f t="shared" ref="O1021:O1035" si="202">-N1021</f>
        <v>-1936</v>
      </c>
      <c r="P1021" s="6">
        <f t="shared" si="195"/>
        <v>0</v>
      </c>
      <c r="Q1021" s="7">
        <f t="shared" si="188"/>
        <v>1831982.0500000005</v>
      </c>
      <c r="R1021" s="44" t="str">
        <f>VLOOKUP(F1021,'Set up'!$A$2:$E$70,5,FALSE)</f>
        <v>Trsf</v>
      </c>
      <c r="S1021" s="1" t="s">
        <v>1077</v>
      </c>
    </row>
    <row r="1022" spans="1:19" x14ac:dyDescent="0.3">
      <c r="A1022" s="4">
        <v>44827</v>
      </c>
      <c r="B1022" s="5">
        <f t="shared" si="183"/>
        <v>9</v>
      </c>
      <c r="C1022" s="5">
        <f t="shared" si="184"/>
        <v>2022</v>
      </c>
      <c r="D1022" s="5" t="s">
        <v>943</v>
      </c>
      <c r="E1022" s="5" t="str">
        <f>VLOOKUP(F1022,'Set up'!$A$2:$C$70,2,FALSE)</f>
        <v>C00000019</v>
      </c>
      <c r="F1022" s="1" t="s">
        <v>400</v>
      </c>
      <c r="G1022" s="11" t="s">
        <v>892</v>
      </c>
      <c r="H1022" s="5">
        <v>2</v>
      </c>
      <c r="I1022" s="5" t="str">
        <f>VLOOKUP(F1022,'Set up'!$A$2:$C$70,3,FALSE)</f>
        <v>Cash</v>
      </c>
      <c r="J1022" s="5">
        <f>VLOOKUP(F1022,'Set up'!$A$2:$D$70,4,FALSE)</f>
        <v>0</v>
      </c>
      <c r="K1022" s="4">
        <f t="shared" si="185"/>
        <v>44827</v>
      </c>
      <c r="L1022" s="5">
        <f t="shared" si="186"/>
        <v>9</v>
      </c>
      <c r="M1022" s="5">
        <f t="shared" si="187"/>
        <v>2022</v>
      </c>
      <c r="N1022" s="6">
        <v>1192.5999999999999</v>
      </c>
      <c r="O1022" s="6">
        <f t="shared" si="202"/>
        <v>-1192.5999999999999</v>
      </c>
      <c r="P1022" s="6">
        <f t="shared" si="195"/>
        <v>0</v>
      </c>
      <c r="Q1022" s="7">
        <f t="shared" si="188"/>
        <v>1833174.6500000006</v>
      </c>
      <c r="R1022" s="44" t="str">
        <f>VLOOKUP(F1022,'Set up'!$A$2:$E$70,5,FALSE)</f>
        <v>Trsf</v>
      </c>
      <c r="S1022" s="1" t="s">
        <v>1077</v>
      </c>
    </row>
    <row r="1023" spans="1:19" x14ac:dyDescent="0.3">
      <c r="A1023" s="4">
        <v>44827</v>
      </c>
      <c r="B1023" s="5">
        <f t="shared" si="183"/>
        <v>9</v>
      </c>
      <c r="C1023" s="5">
        <f t="shared" si="184"/>
        <v>2022</v>
      </c>
      <c r="D1023" s="5" t="s">
        <v>943</v>
      </c>
      <c r="E1023" s="5" t="str">
        <f>VLOOKUP(F1023,'Set up'!$A$2:$C$70,2,FALSE)</f>
        <v>C00000019</v>
      </c>
      <c r="F1023" s="1" t="s">
        <v>400</v>
      </c>
      <c r="G1023" s="11" t="s">
        <v>46</v>
      </c>
      <c r="H1023" s="5">
        <v>1</v>
      </c>
      <c r="I1023" s="5" t="str">
        <f>VLOOKUP(F1023,'Set up'!$A$2:$C$70,3,FALSE)</f>
        <v>Cash</v>
      </c>
      <c r="J1023" s="5">
        <f>VLOOKUP(F1023,'Set up'!$A$2:$D$70,4,FALSE)</f>
        <v>0</v>
      </c>
      <c r="K1023" s="4">
        <f t="shared" si="185"/>
        <v>44827</v>
      </c>
      <c r="L1023" s="5">
        <f t="shared" si="186"/>
        <v>9</v>
      </c>
      <c r="M1023" s="5">
        <f t="shared" si="187"/>
        <v>2022</v>
      </c>
      <c r="N1023" s="6">
        <v>105</v>
      </c>
      <c r="O1023" s="6">
        <f t="shared" si="202"/>
        <v>-105</v>
      </c>
      <c r="P1023" s="6">
        <f t="shared" si="195"/>
        <v>0</v>
      </c>
      <c r="Q1023" s="7">
        <f t="shared" si="188"/>
        <v>1833279.6500000006</v>
      </c>
      <c r="R1023" s="44" t="str">
        <f>VLOOKUP(F1023,'Set up'!$A$2:$E$70,5,FALSE)</f>
        <v>Trsf</v>
      </c>
      <c r="S1023" s="1" t="s">
        <v>1077</v>
      </c>
    </row>
    <row r="1024" spans="1:19" x14ac:dyDescent="0.3">
      <c r="A1024" s="4">
        <v>44827</v>
      </c>
      <c r="B1024" s="5">
        <f t="shared" si="183"/>
        <v>9</v>
      </c>
      <c r="C1024" s="5">
        <f t="shared" si="184"/>
        <v>2022</v>
      </c>
      <c r="D1024" s="5" t="s">
        <v>943</v>
      </c>
      <c r="E1024" s="5" t="str">
        <f>VLOOKUP(F1024,'Set up'!$A$2:$C$70,2,FALSE)</f>
        <v>C00000019</v>
      </c>
      <c r="F1024" s="1" t="s">
        <v>400</v>
      </c>
      <c r="G1024" s="11" t="s">
        <v>64</v>
      </c>
      <c r="H1024" s="5">
        <v>5</v>
      </c>
      <c r="I1024" s="5" t="str">
        <f>VLOOKUP(F1024,'Set up'!$A$2:$C$70,3,FALSE)</f>
        <v>Cash</v>
      </c>
      <c r="J1024" s="5">
        <f>VLOOKUP(F1024,'Set up'!$A$2:$D$70,4,FALSE)</f>
        <v>0</v>
      </c>
      <c r="K1024" s="4">
        <f t="shared" si="185"/>
        <v>44827</v>
      </c>
      <c r="L1024" s="5">
        <f t="shared" si="186"/>
        <v>9</v>
      </c>
      <c r="M1024" s="5">
        <f t="shared" si="187"/>
        <v>2022</v>
      </c>
      <c r="N1024" s="6">
        <v>312.5</v>
      </c>
      <c r="O1024" s="6">
        <f t="shared" si="202"/>
        <v>-312.5</v>
      </c>
      <c r="P1024" s="6">
        <f t="shared" si="195"/>
        <v>0</v>
      </c>
      <c r="Q1024" s="7">
        <f t="shared" si="188"/>
        <v>1833592.1500000006</v>
      </c>
      <c r="R1024" s="44" t="str">
        <f>VLOOKUP(F1024,'Set up'!$A$2:$E$70,5,FALSE)</f>
        <v>Trsf</v>
      </c>
      <c r="S1024" s="1" t="s">
        <v>1077</v>
      </c>
    </row>
    <row r="1025" spans="1:19" x14ac:dyDescent="0.3">
      <c r="A1025" s="4">
        <v>44828</v>
      </c>
      <c r="B1025" s="5">
        <f t="shared" si="183"/>
        <v>9</v>
      </c>
      <c r="C1025" s="5">
        <f t="shared" si="184"/>
        <v>2022</v>
      </c>
      <c r="D1025" s="5" t="s">
        <v>947</v>
      </c>
      <c r="E1025" s="5" t="str">
        <f>VLOOKUP(F1025,'Set up'!$A$2:$C$70,2,FALSE)</f>
        <v>C00000010</v>
      </c>
      <c r="F1025" s="1" t="s">
        <v>62</v>
      </c>
      <c r="G1025" s="11" t="s">
        <v>303</v>
      </c>
      <c r="H1025" s="5">
        <v>5</v>
      </c>
      <c r="I1025" s="5">
        <f>VLOOKUP(F1025,'Set up'!$A$2:$C$70,3,FALSE)</f>
        <v>120</v>
      </c>
      <c r="J1025" s="5">
        <f>VLOOKUP(F1025,'Set up'!$A$2:$D$70,4,FALSE)</f>
        <v>120</v>
      </c>
      <c r="K1025" s="4">
        <f t="shared" si="185"/>
        <v>44948</v>
      </c>
      <c r="L1025" s="5">
        <f t="shared" si="186"/>
        <v>1</v>
      </c>
      <c r="M1025" s="5">
        <f t="shared" si="187"/>
        <v>2023</v>
      </c>
      <c r="N1025" s="6">
        <v>9130</v>
      </c>
      <c r="O1025" s="6">
        <f t="shared" si="202"/>
        <v>-9130</v>
      </c>
      <c r="P1025" s="6">
        <f t="shared" si="195"/>
        <v>0</v>
      </c>
      <c r="Q1025" s="7">
        <f t="shared" si="188"/>
        <v>1842722.1500000006</v>
      </c>
      <c r="R1025" s="44" t="str">
        <f>VLOOKUP(F1025,'Set up'!$A$2:$E$70,5,FALSE)</f>
        <v>Trsf</v>
      </c>
      <c r="S1025" s="1" t="s">
        <v>1148</v>
      </c>
    </row>
    <row r="1026" spans="1:19" x14ac:dyDescent="0.3">
      <c r="A1026" s="4">
        <v>44828</v>
      </c>
      <c r="B1026" s="5">
        <f t="shared" si="183"/>
        <v>9</v>
      </c>
      <c r="C1026" s="5">
        <f t="shared" si="184"/>
        <v>2022</v>
      </c>
      <c r="D1026" s="5" t="s">
        <v>947</v>
      </c>
      <c r="E1026" s="5" t="str">
        <f>VLOOKUP(F1026,'Set up'!$A$2:$C$70,2,FALSE)</f>
        <v>C00000010</v>
      </c>
      <c r="F1026" s="1" t="s">
        <v>62</v>
      </c>
      <c r="G1026" s="11" t="s">
        <v>913</v>
      </c>
      <c r="H1026" s="5">
        <v>5</v>
      </c>
      <c r="I1026" s="5">
        <f>VLOOKUP(F1026,'Set up'!$A$2:$C$70,3,FALSE)</f>
        <v>120</v>
      </c>
      <c r="J1026" s="5">
        <f>VLOOKUP(F1026,'Set up'!$A$2:$D$70,4,FALSE)</f>
        <v>120</v>
      </c>
      <c r="K1026" s="4">
        <f t="shared" si="185"/>
        <v>44948</v>
      </c>
      <c r="L1026" s="5">
        <f t="shared" si="186"/>
        <v>1</v>
      </c>
      <c r="M1026" s="5">
        <f t="shared" si="187"/>
        <v>2023</v>
      </c>
      <c r="N1026" s="6">
        <v>1260</v>
      </c>
      <c r="O1026" s="6">
        <f t="shared" si="202"/>
        <v>-1260</v>
      </c>
      <c r="P1026" s="6">
        <f t="shared" si="195"/>
        <v>0</v>
      </c>
      <c r="Q1026" s="7">
        <f t="shared" si="188"/>
        <v>1843982.1500000006</v>
      </c>
      <c r="R1026" s="44" t="str">
        <f>VLOOKUP(F1026,'Set up'!$A$2:$E$70,5,FALSE)</f>
        <v>Trsf</v>
      </c>
      <c r="S1026" s="1" t="s">
        <v>1148</v>
      </c>
    </row>
    <row r="1027" spans="1:19" x14ac:dyDescent="0.3">
      <c r="A1027" s="4">
        <v>44828</v>
      </c>
      <c r="B1027" s="5">
        <f t="shared" ref="B1027:B1090" si="203">MONTH(A1027)</f>
        <v>9</v>
      </c>
      <c r="C1027" s="5">
        <f t="shared" ref="C1027:C1090" si="204">YEAR(A1027)</f>
        <v>2022</v>
      </c>
      <c r="D1027" s="5" t="s">
        <v>947</v>
      </c>
      <c r="E1027" s="5" t="str">
        <f>VLOOKUP(F1027,'Set up'!$A$2:$C$70,2,FALSE)</f>
        <v>C00000010</v>
      </c>
      <c r="F1027" s="1" t="s">
        <v>62</v>
      </c>
      <c r="G1027" s="11" t="s">
        <v>64</v>
      </c>
      <c r="H1027" s="5">
        <v>5</v>
      </c>
      <c r="I1027" s="5">
        <f>VLOOKUP(F1027,'Set up'!$A$2:$C$70,3,FALSE)</f>
        <v>120</v>
      </c>
      <c r="J1027" s="5">
        <f>VLOOKUP(F1027,'Set up'!$A$2:$D$70,4,FALSE)</f>
        <v>120</v>
      </c>
      <c r="K1027" s="4">
        <f t="shared" ref="K1027:K1090" si="205">A1027+J1027</f>
        <v>44948</v>
      </c>
      <c r="L1027" s="5">
        <f t="shared" ref="L1027:L1090" si="206">MONTH(K1027)</f>
        <v>1</v>
      </c>
      <c r="M1027" s="5">
        <f t="shared" ref="M1027:M1090" si="207">YEAR(K1027)</f>
        <v>2023</v>
      </c>
      <c r="N1027" s="6">
        <v>287.5</v>
      </c>
      <c r="O1027" s="6">
        <f t="shared" si="202"/>
        <v>-287.5</v>
      </c>
      <c r="P1027" s="6">
        <f t="shared" si="195"/>
        <v>0</v>
      </c>
      <c r="Q1027" s="7">
        <f t="shared" ref="Q1027:Q1090" si="208">SUM(Q1026+N1027)</f>
        <v>1844269.6500000006</v>
      </c>
      <c r="R1027" s="44" t="str">
        <f>VLOOKUP(F1027,'Set up'!$A$2:$E$70,5,FALSE)</f>
        <v>Trsf</v>
      </c>
      <c r="S1027" s="1" t="s">
        <v>1148</v>
      </c>
    </row>
    <row r="1028" spans="1:19" x14ac:dyDescent="0.3">
      <c r="A1028" s="4">
        <v>44828</v>
      </c>
      <c r="B1028" s="5">
        <f t="shared" si="203"/>
        <v>9</v>
      </c>
      <c r="C1028" s="5">
        <f t="shared" si="204"/>
        <v>2022</v>
      </c>
      <c r="D1028" s="5" t="s">
        <v>947</v>
      </c>
      <c r="E1028" s="5" t="str">
        <f>VLOOKUP(F1028,'Set up'!$A$2:$C$70,2,FALSE)</f>
        <v>C00000010</v>
      </c>
      <c r="F1028" s="1" t="s">
        <v>62</v>
      </c>
      <c r="G1028" s="11" t="s">
        <v>944</v>
      </c>
      <c r="H1028" s="5">
        <v>1</v>
      </c>
      <c r="I1028" s="5">
        <f>VLOOKUP(F1028,'Set up'!$A$2:$C$70,3,FALSE)</f>
        <v>120</v>
      </c>
      <c r="J1028" s="5">
        <f>VLOOKUP(F1028,'Set up'!$A$2:$D$70,4,FALSE)</f>
        <v>120</v>
      </c>
      <c r="K1028" s="4">
        <f t="shared" si="205"/>
        <v>44948</v>
      </c>
      <c r="L1028" s="5">
        <f t="shared" si="206"/>
        <v>1</v>
      </c>
      <c r="M1028" s="5">
        <f t="shared" si="207"/>
        <v>2023</v>
      </c>
      <c r="N1028" s="6">
        <v>440</v>
      </c>
      <c r="O1028" s="6">
        <f t="shared" si="202"/>
        <v>-440</v>
      </c>
      <c r="P1028" s="6">
        <f t="shared" si="195"/>
        <v>0</v>
      </c>
      <c r="Q1028" s="7">
        <f t="shared" si="208"/>
        <v>1844709.6500000006</v>
      </c>
      <c r="R1028" s="44" t="str">
        <f>VLOOKUP(F1028,'Set up'!$A$2:$E$70,5,FALSE)</f>
        <v>Trsf</v>
      </c>
      <c r="S1028" s="1" t="s">
        <v>1148</v>
      </c>
    </row>
    <row r="1029" spans="1:19" x14ac:dyDescent="0.3">
      <c r="A1029" s="4">
        <v>44828</v>
      </c>
      <c r="B1029" s="5">
        <f t="shared" si="203"/>
        <v>9</v>
      </c>
      <c r="C1029" s="5">
        <f t="shared" si="204"/>
        <v>2022</v>
      </c>
      <c r="D1029" s="5" t="s">
        <v>947</v>
      </c>
      <c r="E1029" s="5" t="str">
        <f>VLOOKUP(F1029,'Set up'!$A$2:$C$70,2,FALSE)</f>
        <v>C00000010</v>
      </c>
      <c r="F1029" s="1" t="s">
        <v>62</v>
      </c>
      <c r="G1029" s="11" t="s">
        <v>945</v>
      </c>
      <c r="H1029" s="5">
        <v>4</v>
      </c>
      <c r="I1029" s="5">
        <f>VLOOKUP(F1029,'Set up'!$A$2:$C$70,3,FALSE)</f>
        <v>120</v>
      </c>
      <c r="J1029" s="5">
        <f>VLOOKUP(F1029,'Set up'!$A$2:$D$70,4,FALSE)</f>
        <v>120</v>
      </c>
      <c r="K1029" s="4">
        <f t="shared" si="205"/>
        <v>44948</v>
      </c>
      <c r="L1029" s="5">
        <f t="shared" si="206"/>
        <v>1</v>
      </c>
      <c r="M1029" s="5">
        <f t="shared" si="207"/>
        <v>2023</v>
      </c>
      <c r="N1029" s="6">
        <v>420</v>
      </c>
      <c r="O1029" s="6">
        <f t="shared" si="202"/>
        <v>-420</v>
      </c>
      <c r="P1029" s="6">
        <f t="shared" si="195"/>
        <v>0</v>
      </c>
      <c r="Q1029" s="7">
        <f t="shared" si="208"/>
        <v>1845129.6500000006</v>
      </c>
      <c r="R1029" s="44" t="str">
        <f>VLOOKUP(F1029,'Set up'!$A$2:$E$70,5,FALSE)</f>
        <v>Trsf</v>
      </c>
      <c r="S1029" s="1" t="s">
        <v>1148</v>
      </c>
    </row>
    <row r="1030" spans="1:19" x14ac:dyDescent="0.3">
      <c r="A1030" s="4">
        <v>44828</v>
      </c>
      <c r="B1030" s="5">
        <f t="shared" si="203"/>
        <v>9</v>
      </c>
      <c r="C1030" s="5">
        <f t="shared" si="204"/>
        <v>2022</v>
      </c>
      <c r="D1030" s="5" t="s">
        <v>947</v>
      </c>
      <c r="E1030" s="5" t="str">
        <f>VLOOKUP(F1030,'Set up'!$A$2:$C$70,2,FALSE)</f>
        <v>C00000010</v>
      </c>
      <c r="F1030" s="1" t="s">
        <v>62</v>
      </c>
      <c r="G1030" s="11" t="s">
        <v>946</v>
      </c>
      <c r="H1030" s="5">
        <v>4</v>
      </c>
      <c r="I1030" s="5">
        <f>VLOOKUP(F1030,'Set up'!$A$2:$C$70,3,FALSE)</f>
        <v>120</v>
      </c>
      <c r="J1030" s="5">
        <f>VLOOKUP(F1030,'Set up'!$A$2:$D$70,4,FALSE)</f>
        <v>120</v>
      </c>
      <c r="K1030" s="4">
        <f t="shared" si="205"/>
        <v>44948</v>
      </c>
      <c r="L1030" s="5">
        <f t="shared" si="206"/>
        <v>1</v>
      </c>
      <c r="M1030" s="5">
        <f t="shared" si="207"/>
        <v>2023</v>
      </c>
      <c r="N1030" s="6">
        <v>220</v>
      </c>
      <c r="O1030" s="6">
        <f t="shared" si="202"/>
        <v>-220</v>
      </c>
      <c r="P1030" s="6">
        <f t="shared" si="195"/>
        <v>0</v>
      </c>
      <c r="Q1030" s="7">
        <f t="shared" si="208"/>
        <v>1845349.6500000006</v>
      </c>
      <c r="R1030" s="44" t="str">
        <f>VLOOKUP(F1030,'Set up'!$A$2:$E$70,5,FALSE)</f>
        <v>Trsf</v>
      </c>
      <c r="S1030" s="1" t="s">
        <v>1148</v>
      </c>
    </row>
    <row r="1031" spans="1:19" x14ac:dyDescent="0.3">
      <c r="A1031" s="4">
        <v>44830</v>
      </c>
      <c r="B1031" s="5">
        <f t="shared" si="203"/>
        <v>9</v>
      </c>
      <c r="C1031" s="5">
        <f t="shared" si="204"/>
        <v>2022</v>
      </c>
      <c r="D1031" s="5" t="s">
        <v>950</v>
      </c>
      <c r="E1031" s="5" t="str">
        <f>VLOOKUP(F1031,'Set up'!$A$2:$C$70,2,FALSE)</f>
        <v>C00000021</v>
      </c>
      <c r="F1031" s="1" t="s">
        <v>491</v>
      </c>
      <c r="G1031" s="11" t="s">
        <v>67</v>
      </c>
      <c r="H1031" s="5">
        <v>1</v>
      </c>
      <c r="I1031" s="5" t="str">
        <f>VLOOKUP(F1031,'Set up'!$A$2:$C$70,3,FALSE)</f>
        <v>Cash</v>
      </c>
      <c r="J1031" s="5">
        <f>VLOOKUP(F1031,'Set up'!$A$2:$D$70,4,FALSE)</f>
        <v>0</v>
      </c>
      <c r="K1031" s="4">
        <f t="shared" si="205"/>
        <v>44830</v>
      </c>
      <c r="L1031" s="5">
        <f t="shared" si="206"/>
        <v>9</v>
      </c>
      <c r="M1031" s="5">
        <f t="shared" si="207"/>
        <v>2022</v>
      </c>
      <c r="N1031" s="6">
        <v>1936</v>
      </c>
      <c r="O1031" s="6">
        <f t="shared" si="202"/>
        <v>-1936</v>
      </c>
      <c r="P1031" s="6">
        <f t="shared" ref="P1031:P1053" si="209">SUM(N1031+O1031)</f>
        <v>0</v>
      </c>
      <c r="Q1031" s="7">
        <f t="shared" si="208"/>
        <v>1847285.6500000006</v>
      </c>
      <c r="R1031" s="44" t="str">
        <f>VLOOKUP(F1031,'Set up'!$A$2:$E$70,5,FALSE)</f>
        <v>PD Chq</v>
      </c>
      <c r="S1031" s="1" t="s">
        <v>1150</v>
      </c>
    </row>
    <row r="1032" spans="1:19" x14ac:dyDescent="0.3">
      <c r="A1032" s="4">
        <v>44830</v>
      </c>
      <c r="B1032" s="5">
        <f t="shared" si="203"/>
        <v>9</v>
      </c>
      <c r="C1032" s="5">
        <f t="shared" si="204"/>
        <v>2022</v>
      </c>
      <c r="D1032" s="5" t="s">
        <v>950</v>
      </c>
      <c r="E1032" s="5" t="str">
        <f>VLOOKUP(F1032,'Set up'!$A$2:$C$70,2,FALSE)</f>
        <v>C00000021</v>
      </c>
      <c r="F1032" s="1" t="s">
        <v>491</v>
      </c>
      <c r="G1032" s="11" t="s">
        <v>908</v>
      </c>
      <c r="H1032" s="5">
        <v>2</v>
      </c>
      <c r="I1032" s="5" t="str">
        <f>VLOOKUP(F1032,'Set up'!$A$2:$C$70,3,FALSE)</f>
        <v>Cash</v>
      </c>
      <c r="J1032" s="5">
        <f>VLOOKUP(F1032,'Set up'!$A$2:$D$70,4,FALSE)</f>
        <v>0</v>
      </c>
      <c r="K1032" s="4">
        <f t="shared" si="205"/>
        <v>44830</v>
      </c>
      <c r="L1032" s="5">
        <f t="shared" si="206"/>
        <v>9</v>
      </c>
      <c r="M1032" s="5">
        <f t="shared" si="207"/>
        <v>2022</v>
      </c>
      <c r="N1032" s="6">
        <v>658.6</v>
      </c>
      <c r="O1032" s="6">
        <f t="shared" si="202"/>
        <v>-658.6</v>
      </c>
      <c r="P1032" s="6">
        <f t="shared" si="209"/>
        <v>0</v>
      </c>
      <c r="Q1032" s="7">
        <f t="shared" si="208"/>
        <v>1847944.2500000007</v>
      </c>
      <c r="R1032" s="44" t="str">
        <f>VLOOKUP(F1032,'Set up'!$A$2:$E$70,5,FALSE)</f>
        <v>PD Chq</v>
      </c>
      <c r="S1032" s="1" t="s">
        <v>1150</v>
      </c>
    </row>
    <row r="1033" spans="1:19" x14ac:dyDescent="0.3">
      <c r="A1033" s="4">
        <v>44830</v>
      </c>
      <c r="B1033" s="5">
        <f t="shared" si="203"/>
        <v>9</v>
      </c>
      <c r="C1033" s="5">
        <f t="shared" si="204"/>
        <v>2022</v>
      </c>
      <c r="D1033" s="5" t="s">
        <v>950</v>
      </c>
      <c r="E1033" s="5" t="str">
        <f>VLOOKUP(F1033,'Set up'!$A$2:$C$70,2,FALSE)</f>
        <v>C00000021</v>
      </c>
      <c r="F1033" s="1" t="s">
        <v>491</v>
      </c>
      <c r="G1033" s="11" t="s">
        <v>948</v>
      </c>
      <c r="H1033" s="5">
        <v>1</v>
      </c>
      <c r="I1033" s="5" t="str">
        <f>VLOOKUP(F1033,'Set up'!$A$2:$C$70,3,FALSE)</f>
        <v>Cash</v>
      </c>
      <c r="J1033" s="5">
        <f>VLOOKUP(F1033,'Set up'!$A$2:$D$70,4,FALSE)</f>
        <v>0</v>
      </c>
      <c r="K1033" s="4">
        <f t="shared" si="205"/>
        <v>44830</v>
      </c>
      <c r="L1033" s="5">
        <f t="shared" si="206"/>
        <v>9</v>
      </c>
      <c r="M1033" s="5">
        <f t="shared" si="207"/>
        <v>2022</v>
      </c>
      <c r="N1033" s="6">
        <v>100</v>
      </c>
      <c r="O1033" s="6">
        <f t="shared" si="202"/>
        <v>-100</v>
      </c>
      <c r="P1033" s="6">
        <f t="shared" si="209"/>
        <v>0</v>
      </c>
      <c r="Q1033" s="7">
        <f t="shared" si="208"/>
        <v>1848044.2500000007</v>
      </c>
      <c r="R1033" s="44" t="str">
        <f>VLOOKUP(F1033,'Set up'!$A$2:$E$70,5,FALSE)</f>
        <v>PD Chq</v>
      </c>
      <c r="S1033" s="1" t="s">
        <v>1150</v>
      </c>
    </row>
    <row r="1034" spans="1:19" x14ac:dyDescent="0.3">
      <c r="A1034" s="4">
        <v>44830</v>
      </c>
      <c r="B1034" s="5">
        <f t="shared" si="203"/>
        <v>9</v>
      </c>
      <c r="C1034" s="5">
        <f t="shared" si="204"/>
        <v>2022</v>
      </c>
      <c r="D1034" s="5" t="s">
        <v>950</v>
      </c>
      <c r="E1034" s="5" t="str">
        <f>VLOOKUP(F1034,'Set up'!$A$2:$C$70,2,FALSE)</f>
        <v>C00000021</v>
      </c>
      <c r="F1034" s="1" t="s">
        <v>491</v>
      </c>
      <c r="G1034" s="11" t="s">
        <v>64</v>
      </c>
      <c r="H1034" s="5">
        <v>10</v>
      </c>
      <c r="I1034" s="5" t="str">
        <f>VLOOKUP(F1034,'Set up'!$A$2:$C$70,3,FALSE)</f>
        <v>Cash</v>
      </c>
      <c r="J1034" s="5">
        <f>VLOOKUP(F1034,'Set up'!$A$2:$D$70,4,FALSE)</f>
        <v>0</v>
      </c>
      <c r="K1034" s="4">
        <f t="shared" si="205"/>
        <v>44830</v>
      </c>
      <c r="L1034" s="5">
        <f t="shared" si="206"/>
        <v>9</v>
      </c>
      <c r="M1034" s="5">
        <f t="shared" si="207"/>
        <v>2022</v>
      </c>
      <c r="N1034" s="6">
        <v>625</v>
      </c>
      <c r="O1034" s="6">
        <f t="shared" si="202"/>
        <v>-625</v>
      </c>
      <c r="P1034" s="6">
        <f t="shared" si="209"/>
        <v>0</v>
      </c>
      <c r="Q1034" s="7">
        <f t="shared" si="208"/>
        <v>1848669.2500000007</v>
      </c>
      <c r="R1034" s="44" t="str">
        <f>VLOOKUP(F1034,'Set up'!$A$2:$E$70,5,FALSE)</f>
        <v>PD Chq</v>
      </c>
      <c r="S1034" s="1" t="s">
        <v>1150</v>
      </c>
    </row>
    <row r="1035" spans="1:19" x14ac:dyDescent="0.3">
      <c r="A1035" s="4">
        <v>44830</v>
      </c>
      <c r="B1035" s="5">
        <f t="shared" si="203"/>
        <v>9</v>
      </c>
      <c r="C1035" s="5">
        <f t="shared" si="204"/>
        <v>2022</v>
      </c>
      <c r="D1035" s="5" t="s">
        <v>950</v>
      </c>
      <c r="E1035" s="5" t="str">
        <f>VLOOKUP(F1035,'Set up'!$A$2:$C$70,2,FALSE)</f>
        <v>C00000021</v>
      </c>
      <c r="F1035" s="1" t="s">
        <v>491</v>
      </c>
      <c r="G1035" s="11" t="s">
        <v>949</v>
      </c>
      <c r="H1035" s="5">
        <v>6</v>
      </c>
      <c r="I1035" s="5" t="str">
        <f>VLOOKUP(F1035,'Set up'!$A$2:$C$70,3,FALSE)</f>
        <v>Cash</v>
      </c>
      <c r="J1035" s="5">
        <f>VLOOKUP(F1035,'Set up'!$A$2:$D$70,4,FALSE)</f>
        <v>0</v>
      </c>
      <c r="K1035" s="4">
        <f t="shared" si="205"/>
        <v>44830</v>
      </c>
      <c r="L1035" s="5">
        <f t="shared" si="206"/>
        <v>9</v>
      </c>
      <c r="M1035" s="5">
        <f t="shared" si="207"/>
        <v>2022</v>
      </c>
      <c r="N1035" s="6">
        <v>276</v>
      </c>
      <c r="O1035" s="6">
        <f t="shared" si="202"/>
        <v>-276</v>
      </c>
      <c r="P1035" s="6">
        <f t="shared" si="209"/>
        <v>0</v>
      </c>
      <c r="Q1035" s="7">
        <f t="shared" si="208"/>
        <v>1848945.2500000007</v>
      </c>
      <c r="R1035" s="44" t="str">
        <f>VLOOKUP(F1035,'Set up'!$A$2:$E$70,5,FALSE)</f>
        <v>PD Chq</v>
      </c>
      <c r="S1035" s="1" t="s">
        <v>1150</v>
      </c>
    </row>
    <row r="1036" spans="1:19" x14ac:dyDescent="0.3">
      <c r="A1036" s="4">
        <v>44830</v>
      </c>
      <c r="B1036" s="5">
        <f t="shared" si="203"/>
        <v>9</v>
      </c>
      <c r="C1036" s="5">
        <f t="shared" si="204"/>
        <v>2022</v>
      </c>
      <c r="D1036" s="5" t="s">
        <v>952</v>
      </c>
      <c r="E1036" s="5" t="str">
        <f>VLOOKUP(F1036,'Set up'!$A$2:$C$70,2,FALSE)</f>
        <v>C00000022</v>
      </c>
      <c r="F1036" s="1" t="s">
        <v>637</v>
      </c>
      <c r="G1036" s="11" t="s">
        <v>95</v>
      </c>
      <c r="H1036" s="5">
        <v>1</v>
      </c>
      <c r="I1036" s="5" t="str">
        <f>VLOOKUP(F1036,'Set up'!$A$2:$C$70,3,FALSE)</f>
        <v>Cash</v>
      </c>
      <c r="J1036" s="5">
        <f>VLOOKUP(F1036,'Set up'!$A$2:$D$70,4,FALSE)</f>
        <v>0</v>
      </c>
      <c r="K1036" s="4">
        <f t="shared" si="205"/>
        <v>44830</v>
      </c>
      <c r="L1036" s="5">
        <f t="shared" si="206"/>
        <v>9</v>
      </c>
      <c r="M1036" s="5">
        <f t="shared" si="207"/>
        <v>2022</v>
      </c>
      <c r="N1036" s="6">
        <v>2024</v>
      </c>
      <c r="O1036" s="6">
        <f t="shared" ref="O1036:O1050" si="210">-N1036</f>
        <v>-2024</v>
      </c>
      <c r="P1036" s="6">
        <f t="shared" si="209"/>
        <v>0</v>
      </c>
      <c r="Q1036" s="7">
        <f t="shared" si="208"/>
        <v>1850969.2500000007</v>
      </c>
      <c r="R1036" s="44" t="str">
        <f>VLOOKUP(F1036,'Set up'!$A$2:$E$70,5,FALSE)</f>
        <v>Trsf</v>
      </c>
      <c r="S1036" s="1" t="s">
        <v>982</v>
      </c>
    </row>
    <row r="1037" spans="1:19" x14ac:dyDescent="0.3">
      <c r="A1037" s="4">
        <v>44830</v>
      </c>
      <c r="B1037" s="5">
        <f t="shared" si="203"/>
        <v>9</v>
      </c>
      <c r="C1037" s="5">
        <f t="shared" si="204"/>
        <v>2022</v>
      </c>
      <c r="D1037" s="5" t="s">
        <v>952</v>
      </c>
      <c r="E1037" s="5" t="str">
        <f>VLOOKUP(F1037,'Set up'!$A$2:$C$70,2,FALSE)</f>
        <v>C00000022</v>
      </c>
      <c r="F1037" s="1" t="s">
        <v>637</v>
      </c>
      <c r="G1037" s="11" t="s">
        <v>892</v>
      </c>
      <c r="H1037" s="5">
        <v>1</v>
      </c>
      <c r="I1037" s="5" t="str">
        <f>VLOOKUP(F1037,'Set up'!$A$2:$C$70,3,FALSE)</f>
        <v>Cash</v>
      </c>
      <c r="J1037" s="5">
        <f>VLOOKUP(F1037,'Set up'!$A$2:$D$70,4,FALSE)</f>
        <v>0</v>
      </c>
      <c r="K1037" s="4">
        <f t="shared" si="205"/>
        <v>44830</v>
      </c>
      <c r="L1037" s="5">
        <f t="shared" si="206"/>
        <v>9</v>
      </c>
      <c r="M1037" s="5">
        <f t="shared" si="207"/>
        <v>2022</v>
      </c>
      <c r="N1037" s="6">
        <v>629.79999999999995</v>
      </c>
      <c r="O1037" s="6">
        <f t="shared" si="210"/>
        <v>-629.79999999999995</v>
      </c>
      <c r="P1037" s="6">
        <f t="shared" si="209"/>
        <v>0</v>
      </c>
      <c r="Q1037" s="7">
        <f t="shared" si="208"/>
        <v>1851599.0500000007</v>
      </c>
      <c r="R1037" s="44" t="str">
        <f>VLOOKUP(F1037,'Set up'!$A$2:$E$70,5,FALSE)</f>
        <v>Trsf</v>
      </c>
      <c r="S1037" s="1" t="s">
        <v>982</v>
      </c>
    </row>
    <row r="1038" spans="1:19" x14ac:dyDescent="0.3">
      <c r="A1038" s="4">
        <v>44830</v>
      </c>
      <c r="B1038" s="5">
        <f t="shared" si="203"/>
        <v>9</v>
      </c>
      <c r="C1038" s="5">
        <f t="shared" si="204"/>
        <v>2022</v>
      </c>
      <c r="D1038" s="5" t="s">
        <v>952</v>
      </c>
      <c r="E1038" s="5" t="str">
        <f>VLOOKUP(F1038,'Set up'!$A$2:$C$70,2,FALSE)</f>
        <v>C00000022</v>
      </c>
      <c r="F1038" s="1" t="s">
        <v>637</v>
      </c>
      <c r="G1038" s="11" t="s">
        <v>951</v>
      </c>
      <c r="H1038" s="5">
        <v>1</v>
      </c>
      <c r="I1038" s="5" t="str">
        <f>VLOOKUP(F1038,'Set up'!$A$2:$C$70,3,FALSE)</f>
        <v>Cash</v>
      </c>
      <c r="J1038" s="5">
        <f>VLOOKUP(F1038,'Set up'!$A$2:$D$70,4,FALSE)</f>
        <v>0</v>
      </c>
      <c r="K1038" s="4">
        <f t="shared" si="205"/>
        <v>44830</v>
      </c>
      <c r="L1038" s="5">
        <f t="shared" si="206"/>
        <v>9</v>
      </c>
      <c r="M1038" s="5">
        <f t="shared" si="207"/>
        <v>2022</v>
      </c>
      <c r="N1038" s="6">
        <v>315</v>
      </c>
      <c r="O1038" s="6">
        <f t="shared" si="210"/>
        <v>-315</v>
      </c>
      <c r="P1038" s="6">
        <f t="shared" si="209"/>
        <v>0</v>
      </c>
      <c r="Q1038" s="7">
        <f t="shared" si="208"/>
        <v>1851914.0500000007</v>
      </c>
      <c r="R1038" s="44" t="str">
        <f>VLOOKUP(F1038,'Set up'!$A$2:$E$70,5,FALSE)</f>
        <v>Trsf</v>
      </c>
      <c r="S1038" s="1" t="s">
        <v>982</v>
      </c>
    </row>
    <row r="1039" spans="1:19" x14ac:dyDescent="0.3">
      <c r="A1039" s="4">
        <v>44830</v>
      </c>
      <c r="B1039" s="5">
        <f t="shared" si="203"/>
        <v>9</v>
      </c>
      <c r="C1039" s="5">
        <f t="shared" si="204"/>
        <v>2022</v>
      </c>
      <c r="D1039" s="5" t="s">
        <v>953</v>
      </c>
      <c r="E1039" s="5" t="str">
        <f>VLOOKUP(F1039,'Set up'!$A$2:$C$70,2,FALSE)</f>
        <v>C00000022</v>
      </c>
      <c r="F1039" s="1" t="s">
        <v>637</v>
      </c>
      <c r="G1039" s="11" t="s">
        <v>948</v>
      </c>
      <c r="H1039" s="5">
        <v>1</v>
      </c>
      <c r="I1039" s="5" t="str">
        <f>VLOOKUP(F1039,'Set up'!$A$2:$C$70,3,FALSE)</f>
        <v>Cash</v>
      </c>
      <c r="J1039" s="5">
        <f>VLOOKUP(F1039,'Set up'!$A$2:$D$70,4,FALSE)</f>
        <v>0</v>
      </c>
      <c r="K1039" s="4">
        <f t="shared" si="205"/>
        <v>44830</v>
      </c>
      <c r="L1039" s="5">
        <f t="shared" si="206"/>
        <v>9</v>
      </c>
      <c r="M1039" s="5">
        <f t="shared" si="207"/>
        <v>2022</v>
      </c>
      <c r="N1039" s="6">
        <v>105</v>
      </c>
      <c r="O1039" s="6">
        <f t="shared" si="210"/>
        <v>-105</v>
      </c>
      <c r="P1039" s="6">
        <f t="shared" si="209"/>
        <v>0</v>
      </c>
      <c r="Q1039" s="7">
        <f t="shared" si="208"/>
        <v>1852019.0500000007</v>
      </c>
      <c r="R1039" s="44" t="str">
        <f>VLOOKUP(F1039,'Set up'!$A$2:$E$70,5,FALSE)</f>
        <v>Trsf</v>
      </c>
      <c r="S1039" s="1" t="s">
        <v>982</v>
      </c>
    </row>
    <row r="1040" spans="1:19" x14ac:dyDescent="0.3">
      <c r="A1040" s="4">
        <v>44830</v>
      </c>
      <c r="B1040" s="5">
        <f t="shared" si="203"/>
        <v>9</v>
      </c>
      <c r="C1040" s="5">
        <f t="shared" si="204"/>
        <v>2022</v>
      </c>
      <c r="D1040" s="5" t="s">
        <v>953</v>
      </c>
      <c r="E1040" s="5" t="str">
        <f>VLOOKUP(F1040,'Set up'!$A$2:$C$70,2,FALSE)</f>
        <v>C00000022</v>
      </c>
      <c r="F1040" s="1" t="s">
        <v>637</v>
      </c>
      <c r="G1040" s="11" t="s">
        <v>954</v>
      </c>
      <c r="H1040" s="5">
        <v>1</v>
      </c>
      <c r="I1040" s="5" t="str">
        <f>VLOOKUP(F1040,'Set up'!$A$2:$C$70,3,FALSE)</f>
        <v>Cash</v>
      </c>
      <c r="J1040" s="5">
        <f>VLOOKUP(F1040,'Set up'!$A$2:$D$70,4,FALSE)</f>
        <v>0</v>
      </c>
      <c r="K1040" s="4">
        <f t="shared" si="205"/>
        <v>44830</v>
      </c>
      <c r="L1040" s="5">
        <f t="shared" si="206"/>
        <v>9</v>
      </c>
      <c r="M1040" s="5">
        <f t="shared" si="207"/>
        <v>2022</v>
      </c>
      <c r="N1040" s="6">
        <v>285</v>
      </c>
      <c r="O1040" s="6">
        <f t="shared" si="210"/>
        <v>-285</v>
      </c>
      <c r="P1040" s="6">
        <f t="shared" si="209"/>
        <v>0</v>
      </c>
      <c r="Q1040" s="7">
        <f t="shared" si="208"/>
        <v>1852304.0500000007</v>
      </c>
      <c r="R1040" s="44" t="str">
        <f>VLOOKUP(F1040,'Set up'!$A$2:$E$70,5,FALSE)</f>
        <v>Trsf</v>
      </c>
      <c r="S1040" s="1" t="s">
        <v>982</v>
      </c>
    </row>
    <row r="1041" spans="1:19" x14ac:dyDescent="0.3">
      <c r="A1041" s="4">
        <v>44830</v>
      </c>
      <c r="B1041" s="5">
        <f t="shared" si="203"/>
        <v>9</v>
      </c>
      <c r="C1041" s="5">
        <f t="shared" si="204"/>
        <v>2022</v>
      </c>
      <c r="D1041" s="5" t="s">
        <v>953</v>
      </c>
      <c r="E1041" s="5" t="str">
        <f>VLOOKUP(F1041,'Set up'!$A$2:$C$70,2,FALSE)</f>
        <v>C00000022</v>
      </c>
      <c r="F1041" s="1" t="s">
        <v>637</v>
      </c>
      <c r="G1041" s="11" t="s">
        <v>292</v>
      </c>
      <c r="H1041" s="5">
        <v>1</v>
      </c>
      <c r="I1041" s="5" t="str">
        <f>VLOOKUP(F1041,'Set up'!$A$2:$C$70,3,FALSE)</f>
        <v>Cash</v>
      </c>
      <c r="J1041" s="5">
        <f>VLOOKUP(F1041,'Set up'!$A$2:$D$70,4,FALSE)</f>
        <v>0</v>
      </c>
      <c r="K1041" s="4">
        <f t="shared" si="205"/>
        <v>44830</v>
      </c>
      <c r="L1041" s="5">
        <f t="shared" si="206"/>
        <v>9</v>
      </c>
      <c r="M1041" s="5">
        <f t="shared" si="207"/>
        <v>2022</v>
      </c>
      <c r="N1041" s="6">
        <v>450</v>
      </c>
      <c r="O1041" s="6">
        <f t="shared" si="210"/>
        <v>-450</v>
      </c>
      <c r="P1041" s="6">
        <f t="shared" si="209"/>
        <v>0</v>
      </c>
      <c r="Q1041" s="7">
        <f t="shared" si="208"/>
        <v>1852754.0500000007</v>
      </c>
      <c r="R1041" s="44" t="str">
        <f>VLOOKUP(F1041,'Set up'!$A$2:$E$70,5,FALSE)</f>
        <v>Trsf</v>
      </c>
      <c r="S1041" s="1" t="s">
        <v>982</v>
      </c>
    </row>
    <row r="1042" spans="1:19" x14ac:dyDescent="0.3">
      <c r="A1042" s="4">
        <v>44832</v>
      </c>
      <c r="B1042" s="5">
        <f t="shared" si="203"/>
        <v>9</v>
      </c>
      <c r="C1042" s="5">
        <f t="shared" si="204"/>
        <v>2022</v>
      </c>
      <c r="D1042" s="5" t="s">
        <v>955</v>
      </c>
      <c r="E1042" s="5" t="str">
        <f>VLOOKUP(F1042,'Set up'!$A$2:$C$70,2,FALSE)</f>
        <v>C00000027</v>
      </c>
      <c r="F1042" s="1" t="s">
        <v>859</v>
      </c>
      <c r="G1042" s="11" t="s">
        <v>716</v>
      </c>
      <c r="H1042" s="5">
        <v>3</v>
      </c>
      <c r="I1042" s="5" t="str">
        <f>VLOOKUP(F1042,'Set up'!$A$2:$C$70,3,FALSE)</f>
        <v>Cash</v>
      </c>
      <c r="J1042" s="5">
        <f>VLOOKUP(F1042,'Set up'!$A$2:$D$70,4,FALSE)</f>
        <v>0</v>
      </c>
      <c r="K1042" s="4">
        <f t="shared" si="205"/>
        <v>44832</v>
      </c>
      <c r="L1042" s="5">
        <f t="shared" si="206"/>
        <v>9</v>
      </c>
      <c r="M1042" s="5">
        <f t="shared" si="207"/>
        <v>2022</v>
      </c>
      <c r="N1042" s="6">
        <v>6006</v>
      </c>
      <c r="O1042" s="6">
        <f t="shared" si="210"/>
        <v>-6006</v>
      </c>
      <c r="P1042" s="6">
        <f t="shared" si="209"/>
        <v>0</v>
      </c>
      <c r="Q1042" s="7">
        <f t="shared" si="208"/>
        <v>1858760.0500000007</v>
      </c>
      <c r="R1042" s="44" t="str">
        <f>VLOOKUP(F1042,'Set up'!$A$2:$E$70,5,FALSE)</f>
        <v>Trsf</v>
      </c>
      <c r="S1042" s="1" t="s">
        <v>1297</v>
      </c>
    </row>
    <row r="1043" spans="1:19" x14ac:dyDescent="0.3">
      <c r="A1043" s="4">
        <v>44832</v>
      </c>
      <c r="B1043" s="5">
        <f t="shared" si="203"/>
        <v>9</v>
      </c>
      <c r="C1043" s="5">
        <f t="shared" si="204"/>
        <v>2022</v>
      </c>
      <c r="D1043" s="5" t="s">
        <v>955</v>
      </c>
      <c r="E1043" s="5" t="str">
        <f>VLOOKUP(F1043,'Set up'!$A$2:$C$70,2,FALSE)</f>
        <v>C00000027</v>
      </c>
      <c r="F1043" s="1" t="s">
        <v>859</v>
      </c>
      <c r="G1043" s="11" t="s">
        <v>892</v>
      </c>
      <c r="H1043" s="5">
        <v>2</v>
      </c>
      <c r="I1043" s="5" t="str">
        <f>VLOOKUP(F1043,'Set up'!$A$2:$C$70,3,FALSE)</f>
        <v>Cash</v>
      </c>
      <c r="J1043" s="5">
        <f>VLOOKUP(F1043,'Set up'!$A$2:$D$70,4,FALSE)</f>
        <v>0</v>
      </c>
      <c r="K1043" s="4">
        <f t="shared" si="205"/>
        <v>44832</v>
      </c>
      <c r="L1043" s="5">
        <f t="shared" si="206"/>
        <v>9</v>
      </c>
      <c r="M1043" s="5">
        <f t="shared" si="207"/>
        <v>2022</v>
      </c>
      <c r="N1043" s="6">
        <v>1259.5999999999999</v>
      </c>
      <c r="O1043" s="6">
        <f t="shared" si="210"/>
        <v>-1259.5999999999999</v>
      </c>
      <c r="P1043" s="6">
        <f t="shared" si="209"/>
        <v>0</v>
      </c>
      <c r="Q1043" s="7">
        <f t="shared" si="208"/>
        <v>1860019.6500000008</v>
      </c>
      <c r="R1043" s="44" t="str">
        <f>VLOOKUP(F1043,'Set up'!$A$2:$E$70,5,FALSE)</f>
        <v>Trsf</v>
      </c>
      <c r="S1043" s="1" t="s">
        <v>1297</v>
      </c>
    </row>
    <row r="1044" spans="1:19" x14ac:dyDescent="0.3">
      <c r="A1044" s="4">
        <v>44832</v>
      </c>
      <c r="B1044" s="5">
        <f t="shared" si="203"/>
        <v>9</v>
      </c>
      <c r="C1044" s="5">
        <f t="shared" si="204"/>
        <v>2022</v>
      </c>
      <c r="D1044" s="5" t="s">
        <v>955</v>
      </c>
      <c r="E1044" s="5" t="str">
        <f>VLOOKUP(F1044,'Set up'!$A$2:$C$70,2,FALSE)</f>
        <v>C00000027</v>
      </c>
      <c r="F1044" s="1" t="s">
        <v>859</v>
      </c>
      <c r="G1044" s="11" t="s">
        <v>893</v>
      </c>
      <c r="H1044" s="5">
        <v>2</v>
      </c>
      <c r="I1044" s="5" t="str">
        <f>VLOOKUP(F1044,'Set up'!$A$2:$C$70,3,FALSE)</f>
        <v>Cash</v>
      </c>
      <c r="J1044" s="5">
        <f>VLOOKUP(F1044,'Set up'!$A$2:$D$70,4,FALSE)</f>
        <v>0</v>
      </c>
      <c r="K1044" s="4">
        <f t="shared" si="205"/>
        <v>44832</v>
      </c>
      <c r="L1044" s="5">
        <f t="shared" si="206"/>
        <v>9</v>
      </c>
      <c r="M1044" s="5">
        <f t="shared" si="207"/>
        <v>2022</v>
      </c>
      <c r="N1044" s="6">
        <v>1015.2</v>
      </c>
      <c r="O1044" s="6">
        <f t="shared" si="210"/>
        <v>-1015.2</v>
      </c>
      <c r="P1044" s="6">
        <f t="shared" si="209"/>
        <v>0</v>
      </c>
      <c r="Q1044" s="7">
        <f t="shared" si="208"/>
        <v>1861034.8500000008</v>
      </c>
      <c r="R1044" s="44" t="str">
        <f>VLOOKUP(F1044,'Set up'!$A$2:$E$70,5,FALSE)</f>
        <v>Trsf</v>
      </c>
      <c r="S1044" s="1" t="s">
        <v>1297</v>
      </c>
    </row>
    <row r="1045" spans="1:19" x14ac:dyDescent="0.3">
      <c r="A1045" s="4">
        <v>44832</v>
      </c>
      <c r="B1045" s="5">
        <f t="shared" si="203"/>
        <v>9</v>
      </c>
      <c r="C1045" s="5">
        <f t="shared" si="204"/>
        <v>2022</v>
      </c>
      <c r="D1045" s="5" t="s">
        <v>955</v>
      </c>
      <c r="E1045" s="5" t="str">
        <f>VLOOKUP(F1045,'Set up'!$A$2:$C$70,2,FALSE)</f>
        <v>C00000027</v>
      </c>
      <c r="F1045" s="1" t="s">
        <v>859</v>
      </c>
      <c r="G1045" s="11" t="s">
        <v>957</v>
      </c>
      <c r="H1045" s="5">
        <v>2</v>
      </c>
      <c r="I1045" s="5" t="str">
        <f>VLOOKUP(F1045,'Set up'!$A$2:$C$70,3,FALSE)</f>
        <v>Cash</v>
      </c>
      <c r="J1045" s="5">
        <f>VLOOKUP(F1045,'Set up'!$A$2:$D$70,4,FALSE)</f>
        <v>0</v>
      </c>
      <c r="K1045" s="4">
        <f t="shared" si="205"/>
        <v>44832</v>
      </c>
      <c r="L1045" s="5">
        <f t="shared" si="206"/>
        <v>9</v>
      </c>
      <c r="M1045" s="5">
        <f t="shared" si="207"/>
        <v>2022</v>
      </c>
      <c r="N1045" s="6">
        <v>630</v>
      </c>
      <c r="O1045" s="6">
        <f t="shared" si="210"/>
        <v>-630</v>
      </c>
      <c r="P1045" s="6">
        <f t="shared" si="209"/>
        <v>0</v>
      </c>
      <c r="Q1045" s="7">
        <f t="shared" si="208"/>
        <v>1861664.8500000008</v>
      </c>
      <c r="R1045" s="44" t="str">
        <f>VLOOKUP(F1045,'Set up'!$A$2:$E$70,5,FALSE)</f>
        <v>Trsf</v>
      </c>
      <c r="S1045" s="1" t="s">
        <v>1297</v>
      </c>
    </row>
    <row r="1046" spans="1:19" x14ac:dyDescent="0.3">
      <c r="A1046" s="4">
        <v>44832</v>
      </c>
      <c r="B1046" s="5">
        <f t="shared" si="203"/>
        <v>9</v>
      </c>
      <c r="C1046" s="5">
        <f t="shared" si="204"/>
        <v>2022</v>
      </c>
      <c r="D1046" s="5" t="s">
        <v>955</v>
      </c>
      <c r="E1046" s="5" t="str">
        <f>VLOOKUP(F1046,'Set up'!$A$2:$C$70,2,FALSE)</f>
        <v>C00000027</v>
      </c>
      <c r="F1046" s="1" t="s">
        <v>859</v>
      </c>
      <c r="G1046" s="11" t="s">
        <v>894</v>
      </c>
      <c r="H1046" s="5">
        <v>4</v>
      </c>
      <c r="I1046" s="5" t="str">
        <f>VLOOKUP(F1046,'Set up'!$A$2:$C$70,3,FALSE)</f>
        <v>Cash</v>
      </c>
      <c r="J1046" s="5">
        <f>VLOOKUP(F1046,'Set up'!$A$2:$D$70,4,FALSE)</f>
        <v>0</v>
      </c>
      <c r="K1046" s="4">
        <f t="shared" si="205"/>
        <v>44832</v>
      </c>
      <c r="L1046" s="5">
        <f t="shared" si="206"/>
        <v>9</v>
      </c>
      <c r="M1046" s="5">
        <f t="shared" si="207"/>
        <v>2022</v>
      </c>
      <c r="N1046" s="6">
        <v>640</v>
      </c>
      <c r="O1046" s="6">
        <f t="shared" si="210"/>
        <v>-640</v>
      </c>
      <c r="P1046" s="6">
        <f t="shared" si="209"/>
        <v>0</v>
      </c>
      <c r="Q1046" s="7">
        <f t="shared" si="208"/>
        <v>1862304.8500000008</v>
      </c>
      <c r="R1046" s="44" t="str">
        <f>VLOOKUP(F1046,'Set up'!$A$2:$E$70,5,FALSE)</f>
        <v>Trsf</v>
      </c>
      <c r="S1046" s="1" t="s">
        <v>1297</v>
      </c>
    </row>
    <row r="1047" spans="1:19" x14ac:dyDescent="0.3">
      <c r="A1047" s="4">
        <v>44832</v>
      </c>
      <c r="B1047" s="5">
        <f t="shared" si="203"/>
        <v>9</v>
      </c>
      <c r="C1047" s="5">
        <f t="shared" si="204"/>
        <v>2022</v>
      </c>
      <c r="D1047" s="5" t="s">
        <v>955</v>
      </c>
      <c r="E1047" s="5" t="str">
        <f>VLOOKUP(F1047,'Set up'!$A$2:$C$70,2,FALSE)</f>
        <v>C00000027</v>
      </c>
      <c r="F1047" s="1" t="s">
        <v>859</v>
      </c>
      <c r="G1047" s="11" t="s">
        <v>666</v>
      </c>
      <c r="H1047" s="5">
        <v>1</v>
      </c>
      <c r="I1047" s="5" t="str">
        <f>VLOOKUP(F1047,'Set up'!$A$2:$C$70,3,FALSE)</f>
        <v>Cash</v>
      </c>
      <c r="J1047" s="5">
        <f>VLOOKUP(F1047,'Set up'!$A$2:$D$70,4,FALSE)</f>
        <v>0</v>
      </c>
      <c r="K1047" s="4">
        <f t="shared" si="205"/>
        <v>44832</v>
      </c>
      <c r="L1047" s="5">
        <f t="shared" si="206"/>
        <v>9</v>
      </c>
      <c r="M1047" s="5">
        <f t="shared" si="207"/>
        <v>2022</v>
      </c>
      <c r="N1047" s="6">
        <v>90</v>
      </c>
      <c r="O1047" s="6">
        <f t="shared" si="210"/>
        <v>-90</v>
      </c>
      <c r="P1047" s="6">
        <f t="shared" si="209"/>
        <v>0</v>
      </c>
      <c r="Q1047" s="7">
        <f t="shared" si="208"/>
        <v>1862394.8500000008</v>
      </c>
      <c r="R1047" s="44" t="str">
        <f>VLOOKUP(F1047,'Set up'!$A$2:$E$70,5,FALSE)</f>
        <v>Trsf</v>
      </c>
      <c r="S1047" s="1" t="s">
        <v>1297</v>
      </c>
    </row>
    <row r="1048" spans="1:19" x14ac:dyDescent="0.3">
      <c r="A1048" s="4">
        <v>44832</v>
      </c>
      <c r="B1048" s="5">
        <f t="shared" si="203"/>
        <v>9</v>
      </c>
      <c r="C1048" s="5">
        <f t="shared" si="204"/>
        <v>2022</v>
      </c>
      <c r="D1048" s="5" t="s">
        <v>955</v>
      </c>
      <c r="E1048" s="5" t="str">
        <f>VLOOKUP(F1048,'Set up'!$A$2:$C$70,2,FALSE)</f>
        <v>C00000027</v>
      </c>
      <c r="F1048" s="1" t="s">
        <v>859</v>
      </c>
      <c r="G1048" s="11" t="s">
        <v>864</v>
      </c>
      <c r="H1048" s="5">
        <v>1</v>
      </c>
      <c r="I1048" s="5" t="str">
        <f>VLOOKUP(F1048,'Set up'!$A$2:$C$70,3,FALSE)</f>
        <v>Cash</v>
      </c>
      <c r="J1048" s="5">
        <f>VLOOKUP(F1048,'Set up'!$A$2:$D$70,4,FALSE)</f>
        <v>0</v>
      </c>
      <c r="K1048" s="4">
        <f t="shared" si="205"/>
        <v>44832</v>
      </c>
      <c r="L1048" s="5">
        <f t="shared" si="206"/>
        <v>9</v>
      </c>
      <c r="M1048" s="5">
        <f t="shared" si="207"/>
        <v>2022</v>
      </c>
      <c r="N1048" s="6">
        <v>170</v>
      </c>
      <c r="O1048" s="6">
        <f t="shared" si="210"/>
        <v>-170</v>
      </c>
      <c r="P1048" s="6">
        <f t="shared" si="209"/>
        <v>0</v>
      </c>
      <c r="Q1048" s="7">
        <f t="shared" si="208"/>
        <v>1862564.8500000008</v>
      </c>
      <c r="R1048" s="44" t="str">
        <f>VLOOKUP(F1048,'Set up'!$A$2:$E$70,5,FALSE)</f>
        <v>Trsf</v>
      </c>
      <c r="S1048" s="1" t="s">
        <v>1297</v>
      </c>
    </row>
    <row r="1049" spans="1:19" x14ac:dyDescent="0.3">
      <c r="A1049" s="4">
        <v>44832</v>
      </c>
      <c r="B1049" s="5">
        <f t="shared" si="203"/>
        <v>9</v>
      </c>
      <c r="C1049" s="5">
        <f t="shared" si="204"/>
        <v>2022</v>
      </c>
      <c r="D1049" s="5" t="s">
        <v>955</v>
      </c>
      <c r="E1049" s="5" t="str">
        <f>VLOOKUP(F1049,'Set up'!$A$2:$C$70,2,FALSE)</f>
        <v>C00000027</v>
      </c>
      <c r="F1049" s="1" t="s">
        <v>859</v>
      </c>
      <c r="G1049" s="11" t="s">
        <v>944</v>
      </c>
      <c r="H1049" s="5">
        <v>1</v>
      </c>
      <c r="I1049" s="5" t="str">
        <f>VLOOKUP(F1049,'Set up'!$A$2:$C$70,3,FALSE)</f>
        <v>Cash</v>
      </c>
      <c r="J1049" s="5">
        <f>VLOOKUP(F1049,'Set up'!$A$2:$D$70,4,FALSE)</f>
        <v>0</v>
      </c>
      <c r="K1049" s="4">
        <f t="shared" si="205"/>
        <v>44832</v>
      </c>
      <c r="L1049" s="5">
        <f t="shared" si="206"/>
        <v>9</v>
      </c>
      <c r="M1049" s="5">
        <f t="shared" si="207"/>
        <v>2022</v>
      </c>
      <c r="N1049" s="6">
        <v>440</v>
      </c>
      <c r="O1049" s="6">
        <f t="shared" si="210"/>
        <v>-440</v>
      </c>
      <c r="P1049" s="6">
        <f t="shared" si="209"/>
        <v>0</v>
      </c>
      <c r="Q1049" s="7">
        <f t="shared" si="208"/>
        <v>1863004.8500000008</v>
      </c>
      <c r="R1049" s="44" t="str">
        <f>VLOOKUP(F1049,'Set up'!$A$2:$E$70,5,FALSE)</f>
        <v>Trsf</v>
      </c>
      <c r="S1049" s="1" t="s">
        <v>1297</v>
      </c>
    </row>
    <row r="1050" spans="1:19" x14ac:dyDescent="0.3">
      <c r="A1050" s="4">
        <v>44832</v>
      </c>
      <c r="B1050" s="5">
        <f t="shared" si="203"/>
        <v>9</v>
      </c>
      <c r="C1050" s="5">
        <f t="shared" si="204"/>
        <v>2022</v>
      </c>
      <c r="D1050" s="5" t="s">
        <v>955</v>
      </c>
      <c r="E1050" s="5" t="str">
        <f>VLOOKUP(F1050,'Set up'!$A$2:$C$70,2,FALSE)</f>
        <v>C00000027</v>
      </c>
      <c r="F1050" s="1" t="s">
        <v>859</v>
      </c>
      <c r="G1050" s="11" t="s">
        <v>865</v>
      </c>
      <c r="H1050" s="5">
        <v>4</v>
      </c>
      <c r="I1050" s="5" t="str">
        <f>VLOOKUP(F1050,'Set up'!$A$2:$C$70,3,FALSE)</f>
        <v>Cash</v>
      </c>
      <c r="J1050" s="5">
        <f>VLOOKUP(F1050,'Set up'!$A$2:$D$70,4,FALSE)</f>
        <v>0</v>
      </c>
      <c r="K1050" s="4">
        <f t="shared" si="205"/>
        <v>44832</v>
      </c>
      <c r="L1050" s="5">
        <f t="shared" si="206"/>
        <v>9</v>
      </c>
      <c r="M1050" s="5">
        <f t="shared" si="207"/>
        <v>2022</v>
      </c>
      <c r="N1050" s="6">
        <v>1016</v>
      </c>
      <c r="O1050" s="6">
        <f t="shared" si="210"/>
        <v>-1016</v>
      </c>
      <c r="P1050" s="6">
        <f t="shared" si="209"/>
        <v>0</v>
      </c>
      <c r="Q1050" s="7">
        <f t="shared" si="208"/>
        <v>1864020.8500000008</v>
      </c>
      <c r="R1050" s="44" t="str">
        <f>VLOOKUP(F1050,'Set up'!$A$2:$E$70,5,FALSE)</f>
        <v>Trsf</v>
      </c>
      <c r="S1050" s="1" t="s">
        <v>1297</v>
      </c>
    </row>
    <row r="1051" spans="1:19" x14ac:dyDescent="0.3">
      <c r="A1051" s="4">
        <v>44832</v>
      </c>
      <c r="B1051" s="5">
        <f t="shared" si="203"/>
        <v>9</v>
      </c>
      <c r="C1051" s="5">
        <f t="shared" si="204"/>
        <v>2022</v>
      </c>
      <c r="D1051" s="5" t="s">
        <v>956</v>
      </c>
      <c r="E1051" s="5" t="str">
        <f>VLOOKUP(F1051,'Set up'!$A$2:$C$70,2,FALSE)</f>
        <v>C00000029</v>
      </c>
      <c r="F1051" s="1" t="s">
        <v>958</v>
      </c>
      <c r="G1051" s="11" t="s">
        <v>67</v>
      </c>
      <c r="H1051" s="5">
        <v>1</v>
      </c>
      <c r="I1051" s="5" t="str">
        <f>VLOOKUP(F1051,'Set up'!$A$2:$C$70,3,FALSE)</f>
        <v>Cash</v>
      </c>
      <c r="J1051" s="5">
        <f>VLOOKUP(F1051,'Set up'!$A$2:$D$70,4,FALSE)</f>
        <v>0</v>
      </c>
      <c r="K1051" s="4">
        <f t="shared" si="205"/>
        <v>44832</v>
      </c>
      <c r="L1051" s="5">
        <f t="shared" si="206"/>
        <v>9</v>
      </c>
      <c r="M1051" s="5">
        <f t="shared" si="207"/>
        <v>2022</v>
      </c>
      <c r="N1051" s="6">
        <v>1848</v>
      </c>
      <c r="O1051" s="6">
        <f t="shared" ref="O1051:O1058" si="211">-N1051</f>
        <v>-1848</v>
      </c>
      <c r="P1051" s="6">
        <f t="shared" si="209"/>
        <v>0</v>
      </c>
      <c r="Q1051" s="7">
        <f t="shared" si="208"/>
        <v>1865868.8500000008</v>
      </c>
      <c r="R1051" s="44" t="str">
        <f>VLOOKUP(F1051,'Set up'!$A$2:$E$70,5,FALSE)</f>
        <v>Trsf</v>
      </c>
      <c r="S1051" s="1" t="s">
        <v>974</v>
      </c>
    </row>
    <row r="1052" spans="1:19" x14ac:dyDescent="0.3">
      <c r="A1052" s="4">
        <v>44832</v>
      </c>
      <c r="B1052" s="5">
        <f t="shared" si="203"/>
        <v>9</v>
      </c>
      <c r="C1052" s="5">
        <f t="shared" si="204"/>
        <v>2022</v>
      </c>
      <c r="D1052" s="5" t="s">
        <v>956</v>
      </c>
      <c r="E1052" s="5" t="str">
        <f>VLOOKUP(F1052,'Set up'!$A$2:$C$70,2,FALSE)</f>
        <v>C00000029</v>
      </c>
      <c r="F1052" s="1" t="s">
        <v>958</v>
      </c>
      <c r="G1052" s="11" t="s">
        <v>666</v>
      </c>
      <c r="H1052" s="5">
        <v>1</v>
      </c>
      <c r="I1052" s="5" t="str">
        <f>VLOOKUP(F1052,'Set up'!$A$2:$C$70,3,FALSE)</f>
        <v>Cash</v>
      </c>
      <c r="J1052" s="5">
        <f>VLOOKUP(F1052,'Set up'!$A$2:$D$70,4,FALSE)</f>
        <v>0</v>
      </c>
      <c r="K1052" s="4">
        <f t="shared" si="205"/>
        <v>44832</v>
      </c>
      <c r="L1052" s="5">
        <f t="shared" si="206"/>
        <v>9</v>
      </c>
      <c r="M1052" s="5">
        <f t="shared" si="207"/>
        <v>2022</v>
      </c>
      <c r="N1052" s="6">
        <v>85</v>
      </c>
      <c r="O1052" s="6">
        <f t="shared" si="211"/>
        <v>-85</v>
      </c>
      <c r="P1052" s="6">
        <f t="shared" si="209"/>
        <v>0</v>
      </c>
      <c r="Q1052" s="7">
        <f t="shared" si="208"/>
        <v>1865953.8500000008</v>
      </c>
      <c r="R1052" s="44" t="str">
        <f>VLOOKUP(F1052,'Set up'!$A$2:$E$70,5,FALSE)</f>
        <v>Trsf</v>
      </c>
      <c r="S1052" s="1" t="s">
        <v>974</v>
      </c>
    </row>
    <row r="1053" spans="1:19" x14ac:dyDescent="0.3">
      <c r="A1053" s="4">
        <v>44832</v>
      </c>
      <c r="B1053" s="5">
        <f t="shared" si="203"/>
        <v>9</v>
      </c>
      <c r="C1053" s="5">
        <f t="shared" si="204"/>
        <v>2022</v>
      </c>
      <c r="D1053" s="5" t="s">
        <v>956</v>
      </c>
      <c r="E1053" s="5" t="str">
        <f>VLOOKUP(F1053,'Set up'!$A$2:$C$70,2,FALSE)</f>
        <v>C00000029</v>
      </c>
      <c r="F1053" s="1" t="s">
        <v>958</v>
      </c>
      <c r="G1053" s="11" t="s">
        <v>64</v>
      </c>
      <c r="H1053" s="5">
        <v>1</v>
      </c>
      <c r="I1053" s="5" t="str">
        <f>VLOOKUP(F1053,'Set up'!$A$2:$C$70,3,FALSE)</f>
        <v>Cash</v>
      </c>
      <c r="J1053" s="5">
        <f>VLOOKUP(F1053,'Set up'!$A$2:$D$70,4,FALSE)</f>
        <v>0</v>
      </c>
      <c r="K1053" s="4">
        <f t="shared" si="205"/>
        <v>44832</v>
      </c>
      <c r="L1053" s="5">
        <f t="shared" si="206"/>
        <v>9</v>
      </c>
      <c r="M1053" s="5">
        <f t="shared" si="207"/>
        <v>2022</v>
      </c>
      <c r="N1053" s="6">
        <v>62.5</v>
      </c>
      <c r="O1053" s="6">
        <f t="shared" si="211"/>
        <v>-62.5</v>
      </c>
      <c r="P1053" s="6">
        <f t="shared" si="209"/>
        <v>0</v>
      </c>
      <c r="Q1053" s="7">
        <f t="shared" si="208"/>
        <v>1866016.3500000008</v>
      </c>
      <c r="R1053" s="44" t="str">
        <f>VLOOKUP(F1053,'Set up'!$A$2:$E$70,5,FALSE)</f>
        <v>Trsf</v>
      </c>
      <c r="S1053" s="1" t="s">
        <v>974</v>
      </c>
    </row>
    <row r="1054" spans="1:19" x14ac:dyDescent="0.3">
      <c r="A1054" s="4">
        <v>44835</v>
      </c>
      <c r="B1054" s="5">
        <f t="shared" si="203"/>
        <v>10</v>
      </c>
      <c r="C1054" s="5">
        <f t="shared" si="204"/>
        <v>2022</v>
      </c>
      <c r="D1054" s="5" t="s">
        <v>986</v>
      </c>
      <c r="E1054" s="5" t="str">
        <f>VLOOKUP(F1054,'Set up'!$A$2:$C$70,2,FALSE)</f>
        <v>C00000010</v>
      </c>
      <c r="F1054" s="1" t="s">
        <v>62</v>
      </c>
      <c r="G1054" s="11" t="s">
        <v>303</v>
      </c>
      <c r="H1054" s="5">
        <v>5</v>
      </c>
      <c r="I1054" s="5">
        <f>VLOOKUP(F1054,'Set up'!$A$2:$C$70,3,FALSE)</f>
        <v>120</v>
      </c>
      <c r="J1054" s="5">
        <f>VLOOKUP(F1054,'Set up'!$A$2:$D$70,4,FALSE)</f>
        <v>120</v>
      </c>
      <c r="K1054" s="4">
        <f t="shared" si="205"/>
        <v>44955</v>
      </c>
      <c r="L1054" s="5">
        <f t="shared" si="206"/>
        <v>1</v>
      </c>
      <c r="M1054" s="5">
        <f t="shared" si="207"/>
        <v>2023</v>
      </c>
      <c r="N1054" s="6">
        <v>9130</v>
      </c>
      <c r="O1054" s="6">
        <f t="shared" si="211"/>
        <v>-9130</v>
      </c>
      <c r="P1054" s="6">
        <f t="shared" ref="P1054:P1079" si="212">SUM(N1054+O1054)</f>
        <v>0</v>
      </c>
      <c r="Q1054" s="7">
        <f t="shared" si="208"/>
        <v>1875146.3500000008</v>
      </c>
      <c r="R1054" s="44" t="str">
        <f>VLOOKUP(F1054,'Set up'!$A$2:$E$70,5,FALSE)</f>
        <v>Trsf</v>
      </c>
      <c r="S1054" s="1" t="s">
        <v>1226</v>
      </c>
    </row>
    <row r="1055" spans="1:19" x14ac:dyDescent="0.3">
      <c r="A1055" s="4">
        <v>44835</v>
      </c>
      <c r="B1055" s="5">
        <f t="shared" si="203"/>
        <v>10</v>
      </c>
      <c r="C1055" s="5">
        <f t="shared" si="204"/>
        <v>2022</v>
      </c>
      <c r="D1055" s="5" t="s">
        <v>986</v>
      </c>
      <c r="E1055" s="5" t="str">
        <f>VLOOKUP(F1055,'Set up'!$A$2:$C$70,2,FALSE)</f>
        <v>C00000010</v>
      </c>
      <c r="F1055" s="1" t="s">
        <v>62</v>
      </c>
      <c r="G1055" s="11" t="s">
        <v>913</v>
      </c>
      <c r="H1055" s="5">
        <v>10</v>
      </c>
      <c r="I1055" s="5">
        <f>VLOOKUP(F1055,'Set up'!$A$2:$C$70,3,FALSE)</f>
        <v>120</v>
      </c>
      <c r="J1055" s="5">
        <f>VLOOKUP(F1055,'Set up'!$A$2:$D$70,4,FALSE)</f>
        <v>120</v>
      </c>
      <c r="K1055" s="4">
        <f t="shared" si="205"/>
        <v>44955</v>
      </c>
      <c r="L1055" s="5">
        <f t="shared" si="206"/>
        <v>1</v>
      </c>
      <c r="M1055" s="5">
        <f t="shared" si="207"/>
        <v>2023</v>
      </c>
      <c r="N1055" s="6">
        <v>2520</v>
      </c>
      <c r="O1055" s="6">
        <f t="shared" si="211"/>
        <v>-2520</v>
      </c>
      <c r="P1055" s="6">
        <f t="shared" si="212"/>
        <v>0</v>
      </c>
      <c r="Q1055" s="7">
        <f t="shared" si="208"/>
        <v>1877666.3500000008</v>
      </c>
      <c r="R1055" s="44" t="str">
        <f>VLOOKUP(F1055,'Set up'!$A$2:$E$70,5,FALSE)</f>
        <v>Trsf</v>
      </c>
      <c r="S1055" s="1" t="s">
        <v>1226</v>
      </c>
    </row>
    <row r="1056" spans="1:19" x14ac:dyDescent="0.3">
      <c r="A1056" s="4">
        <v>44835</v>
      </c>
      <c r="B1056" s="5">
        <f t="shared" si="203"/>
        <v>10</v>
      </c>
      <c r="C1056" s="5">
        <f t="shared" si="204"/>
        <v>2022</v>
      </c>
      <c r="D1056" s="5" t="s">
        <v>986</v>
      </c>
      <c r="E1056" s="5" t="str">
        <f>VLOOKUP(F1056,'Set up'!$A$2:$C$70,2,FALSE)</f>
        <v>C00000010</v>
      </c>
      <c r="F1056" s="1" t="s">
        <v>62</v>
      </c>
      <c r="G1056" s="11" t="s">
        <v>64</v>
      </c>
      <c r="H1056" s="5">
        <v>10</v>
      </c>
      <c r="I1056" s="5">
        <f>VLOOKUP(F1056,'Set up'!$A$2:$C$70,3,FALSE)</f>
        <v>120</v>
      </c>
      <c r="J1056" s="5">
        <f>VLOOKUP(F1056,'Set up'!$A$2:$D$70,4,FALSE)</f>
        <v>120</v>
      </c>
      <c r="K1056" s="4">
        <f t="shared" si="205"/>
        <v>44955</v>
      </c>
      <c r="L1056" s="5">
        <f t="shared" si="206"/>
        <v>1</v>
      </c>
      <c r="M1056" s="5">
        <f t="shared" si="207"/>
        <v>2023</v>
      </c>
      <c r="N1056" s="6">
        <v>575</v>
      </c>
      <c r="O1056" s="6">
        <f t="shared" si="211"/>
        <v>-575</v>
      </c>
      <c r="P1056" s="6">
        <f t="shared" si="212"/>
        <v>0</v>
      </c>
      <c r="Q1056" s="7">
        <f t="shared" si="208"/>
        <v>1878241.3500000008</v>
      </c>
      <c r="R1056" s="44" t="str">
        <f>VLOOKUP(F1056,'Set up'!$A$2:$E$70,5,FALSE)</f>
        <v>Trsf</v>
      </c>
      <c r="S1056" s="1" t="s">
        <v>1226</v>
      </c>
    </row>
    <row r="1057" spans="1:21" x14ac:dyDescent="0.3">
      <c r="A1057" s="4">
        <v>44835</v>
      </c>
      <c r="B1057" s="5">
        <f t="shared" si="203"/>
        <v>10</v>
      </c>
      <c r="C1057" s="5">
        <f t="shared" si="204"/>
        <v>2022</v>
      </c>
      <c r="D1057" s="5" t="s">
        <v>986</v>
      </c>
      <c r="E1057" s="5" t="str">
        <f>VLOOKUP(F1057,'Set up'!$A$2:$C$70,2,FALSE)</f>
        <v>C00000010</v>
      </c>
      <c r="F1057" s="1" t="s">
        <v>62</v>
      </c>
      <c r="G1057" s="11" t="s">
        <v>944</v>
      </c>
      <c r="H1057" s="5">
        <v>1</v>
      </c>
      <c r="I1057" s="5">
        <f>VLOOKUP(F1057,'Set up'!$A$2:$C$70,3,FALSE)</f>
        <v>120</v>
      </c>
      <c r="J1057" s="5">
        <f>VLOOKUP(F1057,'Set up'!$A$2:$D$70,4,FALSE)</f>
        <v>120</v>
      </c>
      <c r="K1057" s="4">
        <f t="shared" si="205"/>
        <v>44955</v>
      </c>
      <c r="L1057" s="5">
        <f t="shared" si="206"/>
        <v>1</v>
      </c>
      <c r="M1057" s="5">
        <f t="shared" si="207"/>
        <v>2023</v>
      </c>
      <c r="N1057" s="6">
        <v>420</v>
      </c>
      <c r="O1057" s="6">
        <f t="shared" si="211"/>
        <v>-420</v>
      </c>
      <c r="P1057" s="6">
        <f t="shared" si="212"/>
        <v>0</v>
      </c>
      <c r="Q1057" s="7">
        <f t="shared" si="208"/>
        <v>1878661.3500000008</v>
      </c>
      <c r="R1057" s="44" t="str">
        <f>VLOOKUP(F1057,'Set up'!$A$2:$E$70,5,FALSE)</f>
        <v>Trsf</v>
      </c>
      <c r="S1057" s="1" t="s">
        <v>1226</v>
      </c>
    </row>
    <row r="1058" spans="1:21" x14ac:dyDescent="0.3">
      <c r="A1058" s="4">
        <v>44835</v>
      </c>
      <c r="B1058" s="5">
        <f t="shared" si="203"/>
        <v>10</v>
      </c>
      <c r="C1058" s="5">
        <f t="shared" si="204"/>
        <v>2022</v>
      </c>
      <c r="D1058" s="5" t="s">
        <v>986</v>
      </c>
      <c r="E1058" s="5" t="str">
        <f>VLOOKUP(F1058,'Set up'!$A$2:$C$70,2,FALSE)</f>
        <v>C00000010</v>
      </c>
      <c r="F1058" s="1" t="s">
        <v>62</v>
      </c>
      <c r="G1058" s="11" t="s">
        <v>945</v>
      </c>
      <c r="H1058" s="5">
        <v>4</v>
      </c>
      <c r="I1058" s="5">
        <f>VLOOKUP(F1058,'Set up'!$A$2:$C$70,3,FALSE)</f>
        <v>120</v>
      </c>
      <c r="J1058" s="5">
        <f>VLOOKUP(F1058,'Set up'!$A$2:$D$70,4,FALSE)</f>
        <v>120</v>
      </c>
      <c r="K1058" s="4">
        <f t="shared" si="205"/>
        <v>44955</v>
      </c>
      <c r="L1058" s="5">
        <f t="shared" si="206"/>
        <v>1</v>
      </c>
      <c r="M1058" s="5">
        <f t="shared" si="207"/>
        <v>2023</v>
      </c>
      <c r="N1058" s="6">
        <v>420</v>
      </c>
      <c r="O1058" s="6">
        <f t="shared" si="211"/>
        <v>-420</v>
      </c>
      <c r="P1058" s="6">
        <f t="shared" si="212"/>
        <v>0</v>
      </c>
      <c r="Q1058" s="7">
        <f t="shared" si="208"/>
        <v>1879081.3500000008</v>
      </c>
      <c r="R1058" s="44" t="str">
        <f>VLOOKUP(F1058,'Set up'!$A$2:$E$70,5,FALSE)</f>
        <v>Trsf</v>
      </c>
      <c r="S1058" s="1" t="s">
        <v>1226</v>
      </c>
    </row>
    <row r="1059" spans="1:21" x14ac:dyDescent="0.3">
      <c r="A1059" s="4" t="s">
        <v>992</v>
      </c>
      <c r="B1059" s="5">
        <f t="shared" si="203"/>
        <v>10</v>
      </c>
      <c r="C1059" s="5">
        <f t="shared" si="204"/>
        <v>2022</v>
      </c>
      <c r="D1059" s="5" t="s">
        <v>987</v>
      </c>
      <c r="E1059" s="5" t="str">
        <f>VLOOKUP(F1059,'Set up'!$A$2:$C$70,2,FALSE)</f>
        <v>C00000020</v>
      </c>
      <c r="F1059" s="1" t="s">
        <v>409</v>
      </c>
      <c r="G1059" s="11" t="s">
        <v>719</v>
      </c>
      <c r="H1059" s="5">
        <v>15</v>
      </c>
      <c r="I1059" s="5" t="str">
        <f>VLOOKUP(F1059,'Set up'!$A$2:$C$70,3,FALSE)</f>
        <v>Cash</v>
      </c>
      <c r="J1059" s="5">
        <f>VLOOKUP(F1059,'Set up'!$A$2:$D$70,4,FALSE)</f>
        <v>0</v>
      </c>
      <c r="K1059" s="4">
        <f t="shared" si="205"/>
        <v>44837</v>
      </c>
      <c r="L1059" s="5">
        <f t="shared" si="206"/>
        <v>10</v>
      </c>
      <c r="M1059" s="5">
        <f t="shared" si="207"/>
        <v>2022</v>
      </c>
      <c r="N1059" s="6">
        <v>27060</v>
      </c>
      <c r="O1059" s="6">
        <f>-928.2-9700-11000-5431.8</f>
        <v>-27060</v>
      </c>
      <c r="P1059" s="6">
        <f t="shared" si="212"/>
        <v>0</v>
      </c>
      <c r="Q1059" s="7">
        <f t="shared" si="208"/>
        <v>1906141.3500000008</v>
      </c>
      <c r="R1059" s="44" t="str">
        <f>VLOOKUP(F1059,'Set up'!$A$2:$E$70,5,FALSE)</f>
        <v>Trsf</v>
      </c>
      <c r="S1059" s="1" t="s">
        <v>1286</v>
      </c>
    </row>
    <row r="1060" spans="1:21" x14ac:dyDescent="0.3">
      <c r="A1060" s="4" t="s">
        <v>992</v>
      </c>
      <c r="B1060" s="5">
        <f t="shared" si="203"/>
        <v>10</v>
      </c>
      <c r="C1060" s="5">
        <f t="shared" si="204"/>
        <v>2022</v>
      </c>
      <c r="D1060" s="5" t="s">
        <v>987</v>
      </c>
      <c r="E1060" s="5" t="str">
        <f>VLOOKUP(F1060,'Set up'!$A$2:$C$70,2,FALSE)</f>
        <v>C00000020</v>
      </c>
      <c r="F1060" s="1" t="s">
        <v>409</v>
      </c>
      <c r="G1060" s="11" t="s">
        <v>988</v>
      </c>
      <c r="H1060" s="5">
        <v>45</v>
      </c>
      <c r="I1060" s="5" t="str">
        <f>VLOOKUP(F1060,'Set up'!$A$2:$C$70,3,FALSE)</f>
        <v>Cash</v>
      </c>
      <c r="J1060" s="5">
        <f>VLOOKUP(F1060,'Set up'!$A$2:$D$70,4,FALSE)</f>
        <v>0</v>
      </c>
      <c r="K1060" s="4">
        <f t="shared" si="205"/>
        <v>44837</v>
      </c>
      <c r="L1060" s="5">
        <f t="shared" si="206"/>
        <v>10</v>
      </c>
      <c r="M1060" s="5">
        <f t="shared" si="207"/>
        <v>2022</v>
      </c>
      <c r="N1060" s="6">
        <v>11340</v>
      </c>
      <c r="O1060" s="6">
        <f>-4068.2-6000-1271.8</f>
        <v>-11340</v>
      </c>
      <c r="P1060" s="6">
        <f t="shared" si="212"/>
        <v>0</v>
      </c>
      <c r="Q1060" s="7">
        <f t="shared" si="208"/>
        <v>1917481.3500000008</v>
      </c>
      <c r="R1060" s="44" t="str">
        <f>VLOOKUP(F1060,'Set up'!$A$2:$E$70,5,FALSE)</f>
        <v>Trsf</v>
      </c>
      <c r="S1060" s="1" t="s">
        <v>1287</v>
      </c>
    </row>
    <row r="1061" spans="1:21" x14ac:dyDescent="0.3">
      <c r="A1061" s="4" t="s">
        <v>992</v>
      </c>
      <c r="B1061" s="5">
        <f t="shared" si="203"/>
        <v>10</v>
      </c>
      <c r="C1061" s="5">
        <f t="shared" si="204"/>
        <v>2022</v>
      </c>
      <c r="D1061" s="5" t="s">
        <v>987</v>
      </c>
      <c r="E1061" s="5" t="str">
        <f>VLOOKUP(F1061,'Set up'!$A$2:$C$70,2,FALSE)</f>
        <v>C00000020</v>
      </c>
      <c r="F1061" s="1" t="s">
        <v>409</v>
      </c>
      <c r="G1061" s="11" t="s">
        <v>989</v>
      </c>
      <c r="H1061" s="5">
        <v>22</v>
      </c>
      <c r="I1061" s="5" t="str">
        <f>VLOOKUP(F1061,'Set up'!$A$2:$C$70,3,FALSE)</f>
        <v>Cash</v>
      </c>
      <c r="J1061" s="5">
        <f>VLOOKUP(F1061,'Set up'!$A$2:$D$70,4,FALSE)</f>
        <v>0</v>
      </c>
      <c r="K1061" s="4">
        <f t="shared" si="205"/>
        <v>44837</v>
      </c>
      <c r="L1061" s="5">
        <f t="shared" si="206"/>
        <v>10</v>
      </c>
      <c r="M1061" s="5">
        <f t="shared" si="207"/>
        <v>2022</v>
      </c>
      <c r="N1061" s="6">
        <v>6435</v>
      </c>
      <c r="O1061" s="6">
        <f t="shared" ref="O1061:O1064" si="213">-N1061</f>
        <v>-6435</v>
      </c>
      <c r="P1061" s="6">
        <f t="shared" si="212"/>
        <v>0</v>
      </c>
      <c r="Q1061" s="7">
        <f t="shared" si="208"/>
        <v>1923916.3500000008</v>
      </c>
      <c r="R1061" s="44" t="str">
        <f>VLOOKUP(F1061,'Set up'!$A$2:$E$70,5,FALSE)</f>
        <v>Trsf</v>
      </c>
      <c r="S1061" s="1" t="s">
        <v>1288</v>
      </c>
    </row>
    <row r="1062" spans="1:21" x14ac:dyDescent="0.3">
      <c r="A1062" s="4" t="s">
        <v>992</v>
      </c>
      <c r="B1062" s="5">
        <f t="shared" si="203"/>
        <v>10</v>
      </c>
      <c r="C1062" s="5">
        <f t="shared" si="204"/>
        <v>2022</v>
      </c>
      <c r="D1062" s="5" t="s">
        <v>987</v>
      </c>
      <c r="E1062" s="5" t="str">
        <f>VLOOKUP(F1062,'Set up'!$A$2:$C$70,2,FALSE)</f>
        <v>C00000020</v>
      </c>
      <c r="F1062" s="1" t="s">
        <v>409</v>
      </c>
      <c r="G1062" s="11" t="s">
        <v>64</v>
      </c>
      <c r="H1062" s="5">
        <v>15</v>
      </c>
      <c r="I1062" s="5" t="str">
        <f>VLOOKUP(F1062,'Set up'!$A$2:$C$70,3,FALSE)</f>
        <v>Cash</v>
      </c>
      <c r="J1062" s="5">
        <f>VLOOKUP(F1062,'Set up'!$A$2:$D$70,4,FALSE)</f>
        <v>0</v>
      </c>
      <c r="K1062" s="4">
        <f t="shared" si="205"/>
        <v>44837</v>
      </c>
      <c r="L1062" s="5">
        <f t="shared" si="206"/>
        <v>10</v>
      </c>
      <c r="M1062" s="5">
        <f t="shared" si="207"/>
        <v>2022</v>
      </c>
      <c r="N1062" s="6">
        <v>937.5</v>
      </c>
      <c r="O1062" s="6">
        <f t="shared" si="213"/>
        <v>-937.5</v>
      </c>
      <c r="P1062" s="6">
        <f t="shared" si="212"/>
        <v>0</v>
      </c>
      <c r="Q1062" s="7">
        <f t="shared" si="208"/>
        <v>1924853.8500000008</v>
      </c>
      <c r="R1062" s="44" t="str">
        <f>VLOOKUP(F1062,'Set up'!$A$2:$E$70,5,FALSE)</f>
        <v>Trsf</v>
      </c>
      <c r="S1062" s="1" t="s">
        <v>1288</v>
      </c>
    </row>
    <row r="1063" spans="1:21" x14ac:dyDescent="0.3">
      <c r="A1063" s="4" t="s">
        <v>992</v>
      </c>
      <c r="B1063" s="5">
        <f t="shared" si="203"/>
        <v>10</v>
      </c>
      <c r="C1063" s="5">
        <f t="shared" si="204"/>
        <v>2022</v>
      </c>
      <c r="D1063" s="5" t="s">
        <v>987</v>
      </c>
      <c r="E1063" s="5" t="str">
        <f>VLOOKUP(F1063,'Set up'!$A$2:$C$70,2,FALSE)</f>
        <v>C00000020</v>
      </c>
      <c r="F1063" s="1" t="s">
        <v>409</v>
      </c>
      <c r="G1063" s="11" t="s">
        <v>990</v>
      </c>
      <c r="H1063" s="5">
        <v>2</v>
      </c>
      <c r="I1063" s="5" t="str">
        <f>VLOOKUP(F1063,'Set up'!$A$2:$C$70,3,FALSE)</f>
        <v>Cash</v>
      </c>
      <c r="J1063" s="5">
        <f>VLOOKUP(F1063,'Set up'!$A$2:$D$70,4,FALSE)</f>
        <v>0</v>
      </c>
      <c r="K1063" s="4">
        <f t="shared" si="205"/>
        <v>44837</v>
      </c>
      <c r="L1063" s="5">
        <f t="shared" si="206"/>
        <v>10</v>
      </c>
      <c r="M1063" s="5">
        <f t="shared" si="207"/>
        <v>2022</v>
      </c>
      <c r="N1063" s="6">
        <v>2000</v>
      </c>
      <c r="O1063" s="6">
        <f t="shared" si="213"/>
        <v>-2000</v>
      </c>
      <c r="P1063" s="6">
        <f t="shared" si="212"/>
        <v>0</v>
      </c>
      <c r="Q1063" s="7">
        <f t="shared" si="208"/>
        <v>1926853.8500000008</v>
      </c>
      <c r="R1063" s="44" t="str">
        <f>VLOOKUP(F1063,'Set up'!$A$2:$E$70,5,FALSE)</f>
        <v>Trsf</v>
      </c>
      <c r="S1063" s="1" t="s">
        <v>1288</v>
      </c>
    </row>
    <row r="1064" spans="1:21" x14ac:dyDescent="0.3">
      <c r="A1064" s="4" t="s">
        <v>992</v>
      </c>
      <c r="B1064" s="5">
        <f t="shared" si="203"/>
        <v>10</v>
      </c>
      <c r="C1064" s="5">
        <f t="shared" si="204"/>
        <v>2022</v>
      </c>
      <c r="D1064" s="5" t="s">
        <v>987</v>
      </c>
      <c r="E1064" s="5" t="str">
        <f>VLOOKUP(F1064,'Set up'!$A$2:$C$70,2,FALSE)</f>
        <v>C00000020</v>
      </c>
      <c r="F1064" s="1" t="s">
        <v>409</v>
      </c>
      <c r="G1064" s="11" t="s">
        <v>991</v>
      </c>
      <c r="H1064" s="5">
        <v>4</v>
      </c>
      <c r="I1064" s="5" t="str">
        <f>VLOOKUP(F1064,'Set up'!$A$2:$C$70,3,FALSE)</f>
        <v>Cash</v>
      </c>
      <c r="J1064" s="5">
        <f>VLOOKUP(F1064,'Set up'!$A$2:$D$70,4,FALSE)</f>
        <v>0</v>
      </c>
      <c r="K1064" s="4">
        <f t="shared" si="205"/>
        <v>44837</v>
      </c>
      <c r="L1064" s="5">
        <f t="shared" si="206"/>
        <v>10</v>
      </c>
      <c r="M1064" s="5">
        <f t="shared" si="207"/>
        <v>2022</v>
      </c>
      <c r="N1064" s="6">
        <v>400</v>
      </c>
      <c r="O1064" s="6">
        <f t="shared" si="213"/>
        <v>-400</v>
      </c>
      <c r="P1064" s="6">
        <f t="shared" si="212"/>
        <v>0</v>
      </c>
      <c r="Q1064" s="7">
        <f t="shared" si="208"/>
        <v>1927253.8500000008</v>
      </c>
      <c r="R1064" s="44" t="str">
        <f>VLOOKUP(F1064,'Set up'!$A$2:$E$70,5,FALSE)</f>
        <v>Trsf</v>
      </c>
      <c r="S1064" s="1" t="s">
        <v>1288</v>
      </c>
    </row>
    <row r="1065" spans="1:21" x14ac:dyDescent="0.3">
      <c r="A1065" s="4" t="s">
        <v>994</v>
      </c>
      <c r="B1065" s="5">
        <f t="shared" si="203"/>
        <v>10</v>
      </c>
      <c r="C1065" s="5">
        <f t="shared" si="204"/>
        <v>2022</v>
      </c>
      <c r="D1065" s="5" t="s">
        <v>993</v>
      </c>
      <c r="E1065" s="5" t="str">
        <f>VLOOKUP(F1065,'Set up'!$A$2:$C$70,2,FALSE)</f>
        <v>C00000021</v>
      </c>
      <c r="F1065" s="1" t="s">
        <v>491</v>
      </c>
      <c r="G1065" s="11" t="s">
        <v>67</v>
      </c>
      <c r="H1065" s="5">
        <v>1</v>
      </c>
      <c r="I1065" s="5" t="str">
        <f>VLOOKUP(F1065,'Set up'!$A$2:$C$70,3,FALSE)</f>
        <v>Cash</v>
      </c>
      <c r="J1065" s="5">
        <f>VLOOKUP(F1065,'Set up'!$A$2:$D$70,4,FALSE)</f>
        <v>0</v>
      </c>
      <c r="K1065" s="4">
        <f t="shared" si="205"/>
        <v>44835</v>
      </c>
      <c r="L1065" s="5">
        <f t="shared" si="206"/>
        <v>10</v>
      </c>
      <c r="M1065" s="5">
        <f t="shared" si="207"/>
        <v>2022</v>
      </c>
      <c r="N1065" s="6">
        <v>1936</v>
      </c>
      <c r="O1065" s="6">
        <f t="shared" ref="O1065:O1068" si="214">-N1065</f>
        <v>-1936</v>
      </c>
      <c r="P1065" s="6">
        <f t="shared" si="212"/>
        <v>0</v>
      </c>
      <c r="Q1065" s="7">
        <f t="shared" si="208"/>
        <v>1929189.8500000008</v>
      </c>
      <c r="R1065" s="44" t="str">
        <f>VLOOKUP(F1065,'Set up'!$A$2:$E$70,5,FALSE)</f>
        <v>PD Chq</v>
      </c>
      <c r="S1065" s="1" t="s">
        <v>1224</v>
      </c>
    </row>
    <row r="1066" spans="1:21" x14ac:dyDescent="0.3">
      <c r="A1066" s="4" t="s">
        <v>994</v>
      </c>
      <c r="B1066" s="5">
        <f t="shared" si="203"/>
        <v>10</v>
      </c>
      <c r="C1066" s="5">
        <f t="shared" si="204"/>
        <v>2022</v>
      </c>
      <c r="D1066" s="5" t="s">
        <v>993</v>
      </c>
      <c r="E1066" s="5" t="str">
        <f>VLOOKUP(F1066,'Set up'!$A$2:$C$70,2,FALSE)</f>
        <v>C00000021</v>
      </c>
      <c r="F1066" s="1" t="s">
        <v>491</v>
      </c>
      <c r="G1066" s="11" t="s">
        <v>948</v>
      </c>
      <c r="H1066" s="5">
        <v>1</v>
      </c>
      <c r="I1066" s="5" t="str">
        <f>VLOOKUP(F1066,'Set up'!$A$2:$C$70,3,FALSE)</f>
        <v>Cash</v>
      </c>
      <c r="J1066" s="5">
        <f>VLOOKUP(F1066,'Set up'!$A$2:$D$70,4,FALSE)</f>
        <v>0</v>
      </c>
      <c r="K1066" s="4">
        <f t="shared" si="205"/>
        <v>44835</v>
      </c>
      <c r="L1066" s="5">
        <f t="shared" si="206"/>
        <v>10</v>
      </c>
      <c r="M1066" s="5">
        <f t="shared" si="207"/>
        <v>2022</v>
      </c>
      <c r="N1066" s="6">
        <v>100</v>
      </c>
      <c r="O1066" s="6">
        <f t="shared" si="214"/>
        <v>-100</v>
      </c>
      <c r="P1066" s="6">
        <f t="shared" si="212"/>
        <v>0</v>
      </c>
      <c r="Q1066" s="7">
        <f t="shared" si="208"/>
        <v>1929289.8500000008</v>
      </c>
      <c r="R1066" s="44" t="str">
        <f>VLOOKUP(F1066,'Set up'!$A$2:$E$70,5,FALSE)</f>
        <v>PD Chq</v>
      </c>
      <c r="S1066" s="1" t="s">
        <v>1224</v>
      </c>
    </row>
    <row r="1067" spans="1:21" x14ac:dyDescent="0.3">
      <c r="A1067" s="4" t="s">
        <v>994</v>
      </c>
      <c r="B1067" s="5">
        <f t="shared" si="203"/>
        <v>10</v>
      </c>
      <c r="C1067" s="5">
        <f t="shared" si="204"/>
        <v>2022</v>
      </c>
      <c r="D1067" s="5" t="s">
        <v>993</v>
      </c>
      <c r="E1067" s="5" t="str">
        <f>VLOOKUP(F1067,'Set up'!$A$2:$C$70,2,FALSE)</f>
        <v>C00000021</v>
      </c>
      <c r="F1067" s="1" t="s">
        <v>491</v>
      </c>
      <c r="G1067" s="11" t="s">
        <v>64</v>
      </c>
      <c r="H1067" s="5">
        <v>5</v>
      </c>
      <c r="I1067" s="5" t="str">
        <f>VLOOKUP(F1067,'Set up'!$A$2:$C$70,3,FALSE)</f>
        <v>Cash</v>
      </c>
      <c r="J1067" s="5">
        <f>VLOOKUP(F1067,'Set up'!$A$2:$D$70,4,FALSE)</f>
        <v>0</v>
      </c>
      <c r="K1067" s="4">
        <f t="shared" si="205"/>
        <v>44835</v>
      </c>
      <c r="L1067" s="5">
        <f t="shared" si="206"/>
        <v>10</v>
      </c>
      <c r="M1067" s="5">
        <f t="shared" si="207"/>
        <v>2022</v>
      </c>
      <c r="N1067" s="6">
        <v>312.5</v>
      </c>
      <c r="O1067" s="6">
        <f t="shared" si="214"/>
        <v>-312.5</v>
      </c>
      <c r="P1067" s="6">
        <f t="shared" si="212"/>
        <v>0</v>
      </c>
      <c r="Q1067" s="7">
        <f t="shared" si="208"/>
        <v>1929602.3500000008</v>
      </c>
      <c r="R1067" s="44" t="str">
        <f>VLOOKUP(F1067,'Set up'!$A$2:$E$70,5,FALSE)</f>
        <v>PD Chq</v>
      </c>
      <c r="S1067" s="1" t="s">
        <v>1224</v>
      </c>
    </row>
    <row r="1068" spans="1:21" x14ac:dyDescent="0.3">
      <c r="A1068" s="4" t="s">
        <v>994</v>
      </c>
      <c r="B1068" s="5">
        <f t="shared" si="203"/>
        <v>10</v>
      </c>
      <c r="C1068" s="5">
        <f t="shared" si="204"/>
        <v>2022</v>
      </c>
      <c r="D1068" s="5" t="s">
        <v>993</v>
      </c>
      <c r="E1068" s="5" t="str">
        <f>VLOOKUP(F1068,'Set up'!$A$2:$C$70,2,FALSE)</f>
        <v>C00000021</v>
      </c>
      <c r="F1068" s="1" t="s">
        <v>491</v>
      </c>
      <c r="G1068" s="11" t="s">
        <v>782</v>
      </c>
      <c r="H1068" s="5">
        <v>6</v>
      </c>
      <c r="I1068" s="5" t="str">
        <f>VLOOKUP(F1068,'Set up'!$A$2:$C$70,3,FALSE)</f>
        <v>Cash</v>
      </c>
      <c r="J1068" s="5">
        <f>VLOOKUP(F1068,'Set up'!$A$2:$D$70,4,FALSE)</f>
        <v>0</v>
      </c>
      <c r="K1068" s="4">
        <f t="shared" si="205"/>
        <v>44835</v>
      </c>
      <c r="L1068" s="5">
        <f t="shared" si="206"/>
        <v>10</v>
      </c>
      <c r="M1068" s="5">
        <f t="shared" si="207"/>
        <v>2022</v>
      </c>
      <c r="N1068" s="6">
        <v>288</v>
      </c>
      <c r="O1068" s="6">
        <f t="shared" si="214"/>
        <v>-288</v>
      </c>
      <c r="P1068" s="6">
        <f t="shared" si="212"/>
        <v>0</v>
      </c>
      <c r="Q1068" s="7">
        <f t="shared" si="208"/>
        <v>1929890.3500000008</v>
      </c>
      <c r="R1068" s="44" t="str">
        <f>VLOOKUP(F1068,'Set up'!$A$2:$E$70,5,FALSE)</f>
        <v>PD Chq</v>
      </c>
      <c r="S1068" s="1" t="s">
        <v>1224</v>
      </c>
    </row>
    <row r="1069" spans="1:21" x14ac:dyDescent="0.3">
      <c r="A1069" s="4">
        <v>44836</v>
      </c>
      <c r="B1069" s="5">
        <f t="shared" si="203"/>
        <v>10</v>
      </c>
      <c r="C1069" s="5">
        <f t="shared" si="204"/>
        <v>2022</v>
      </c>
      <c r="D1069" s="5" t="s">
        <v>995</v>
      </c>
      <c r="E1069" s="5" t="str">
        <f>VLOOKUP(F1069,'Set up'!$A$2:$C$70,2,FALSE)</f>
        <v>C00000003</v>
      </c>
      <c r="F1069" s="1" t="s">
        <v>20</v>
      </c>
      <c r="G1069" s="11" t="s">
        <v>67</v>
      </c>
      <c r="H1069" s="5">
        <v>1</v>
      </c>
      <c r="I1069" s="5">
        <f>VLOOKUP(F1069,'Set up'!$A$2:$C$70,3,FALSE)</f>
        <v>45</v>
      </c>
      <c r="J1069" s="5">
        <f>VLOOKUP(F1069,'Set up'!$A$2:$D$70,4,FALSE)</f>
        <v>45</v>
      </c>
      <c r="K1069" s="4">
        <f t="shared" si="205"/>
        <v>44881</v>
      </c>
      <c r="L1069" s="5">
        <f t="shared" si="206"/>
        <v>11</v>
      </c>
      <c r="M1069" s="5">
        <f t="shared" si="207"/>
        <v>2022</v>
      </c>
      <c r="N1069" s="6">
        <v>2024</v>
      </c>
      <c r="O1069" s="6">
        <f>-1800-224</f>
        <v>-2024</v>
      </c>
      <c r="P1069" s="6">
        <f t="shared" si="212"/>
        <v>0</v>
      </c>
      <c r="Q1069" s="7">
        <f t="shared" si="208"/>
        <v>1931914.3500000008</v>
      </c>
      <c r="R1069" s="44" t="str">
        <f>VLOOKUP(F1069,'Set up'!$A$2:$E$70,5,FALSE)</f>
        <v>PD Chq</v>
      </c>
      <c r="S1069" s="1" t="s">
        <v>1142</v>
      </c>
      <c r="U1069" s="1" t="s">
        <v>3603</v>
      </c>
    </row>
    <row r="1070" spans="1:21" x14ac:dyDescent="0.3">
      <c r="A1070" s="4">
        <v>44836</v>
      </c>
      <c r="B1070" s="5">
        <f t="shared" si="203"/>
        <v>10</v>
      </c>
      <c r="C1070" s="5">
        <f t="shared" si="204"/>
        <v>2022</v>
      </c>
      <c r="D1070" s="5" t="s">
        <v>995</v>
      </c>
      <c r="E1070" s="5" t="str">
        <f>VLOOKUP(F1070,'Set up'!$A$2:$C$70,2,FALSE)</f>
        <v>C00000003</v>
      </c>
      <c r="F1070" s="1" t="s">
        <v>20</v>
      </c>
      <c r="G1070" s="11" t="s">
        <v>64</v>
      </c>
      <c r="H1070" s="5">
        <v>3</v>
      </c>
      <c r="I1070" s="5">
        <f>VLOOKUP(F1070,'Set up'!$A$2:$C$70,3,FALSE)</f>
        <v>45</v>
      </c>
      <c r="J1070" s="5">
        <f>VLOOKUP(F1070,'Set up'!$A$2:$D$70,4,FALSE)</f>
        <v>45</v>
      </c>
      <c r="K1070" s="4">
        <f t="shared" si="205"/>
        <v>44881</v>
      </c>
      <c r="L1070" s="5">
        <f t="shared" si="206"/>
        <v>11</v>
      </c>
      <c r="M1070" s="5">
        <f t="shared" si="207"/>
        <v>2022</v>
      </c>
      <c r="N1070" s="6">
        <v>195</v>
      </c>
      <c r="O1070" s="6">
        <f>-N1070</f>
        <v>-195</v>
      </c>
      <c r="P1070" s="6">
        <f t="shared" si="212"/>
        <v>0</v>
      </c>
      <c r="Q1070" s="7">
        <f t="shared" si="208"/>
        <v>1932109.3500000008</v>
      </c>
      <c r="R1070" s="44" t="str">
        <f>VLOOKUP(F1070,'Set up'!$A$2:$E$70,5,FALSE)</f>
        <v>PD Chq</v>
      </c>
      <c r="S1070" s="1" t="s">
        <v>1143</v>
      </c>
      <c r="U1070" s="1" t="s">
        <v>3603</v>
      </c>
    </row>
    <row r="1071" spans="1:21" x14ac:dyDescent="0.3">
      <c r="A1071" s="4">
        <v>44836</v>
      </c>
      <c r="B1071" s="5">
        <f t="shared" si="203"/>
        <v>10</v>
      </c>
      <c r="C1071" s="5">
        <f t="shared" si="204"/>
        <v>2022</v>
      </c>
      <c r="D1071" s="5" t="s">
        <v>995</v>
      </c>
      <c r="E1071" s="5" t="str">
        <f>VLOOKUP(F1071,'Set up'!$A$2:$C$70,2,FALSE)</f>
        <v>C00000003</v>
      </c>
      <c r="F1071" s="1" t="s">
        <v>20</v>
      </c>
      <c r="G1071" s="11" t="s">
        <v>17</v>
      </c>
      <c r="H1071" s="5">
        <v>6</v>
      </c>
      <c r="I1071" s="5">
        <f>VLOOKUP(F1071,'Set up'!$A$2:$C$70,3,FALSE)</f>
        <v>45</v>
      </c>
      <c r="J1071" s="5">
        <f>VLOOKUP(F1071,'Set up'!$A$2:$D$70,4,FALSE)</f>
        <v>45</v>
      </c>
      <c r="K1071" s="4">
        <f t="shared" si="205"/>
        <v>44881</v>
      </c>
      <c r="L1071" s="5">
        <f t="shared" si="206"/>
        <v>11</v>
      </c>
      <c r="M1071" s="5">
        <f t="shared" si="207"/>
        <v>2022</v>
      </c>
      <c r="N1071" s="6">
        <v>630</v>
      </c>
      <c r="O1071" s="6">
        <f>-N1071</f>
        <v>-630</v>
      </c>
      <c r="P1071" s="6">
        <f t="shared" si="212"/>
        <v>0</v>
      </c>
      <c r="Q1071" s="7">
        <f t="shared" si="208"/>
        <v>1932739.3500000008</v>
      </c>
      <c r="R1071" s="44" t="str">
        <f>VLOOKUP(F1071,'Set up'!$A$2:$E$70,5,FALSE)</f>
        <v>PD Chq</v>
      </c>
      <c r="S1071" s="1" t="s">
        <v>1144</v>
      </c>
      <c r="U1071" s="1" t="s">
        <v>3603</v>
      </c>
    </row>
    <row r="1072" spans="1:21" x14ac:dyDescent="0.3">
      <c r="A1072" s="4">
        <v>44836</v>
      </c>
      <c r="B1072" s="5">
        <f t="shared" si="203"/>
        <v>10</v>
      </c>
      <c r="C1072" s="5">
        <f t="shared" si="204"/>
        <v>2022</v>
      </c>
      <c r="D1072" s="5" t="s">
        <v>996</v>
      </c>
      <c r="E1072" s="5" t="str">
        <f>VLOOKUP(F1072,'Set up'!$A$2:$C$70,2,FALSE)</f>
        <v>C00000003</v>
      </c>
      <c r="F1072" s="1" t="s">
        <v>20</v>
      </c>
      <c r="G1072" s="11" t="s">
        <v>67</v>
      </c>
      <c r="H1072" s="5">
        <v>2</v>
      </c>
      <c r="I1072" s="5">
        <f>VLOOKUP(F1072,'Set up'!$A$2:$C$70,3,FALSE)</f>
        <v>45</v>
      </c>
      <c r="J1072" s="5">
        <f>VLOOKUP(F1072,'Set up'!$A$2:$D$70,4,FALSE)</f>
        <v>45</v>
      </c>
      <c r="K1072" s="4">
        <f t="shared" si="205"/>
        <v>44881</v>
      </c>
      <c r="L1072" s="5">
        <f t="shared" si="206"/>
        <v>11</v>
      </c>
      <c r="M1072" s="5">
        <f t="shared" si="207"/>
        <v>2022</v>
      </c>
      <c r="N1072" s="6">
        <v>4048</v>
      </c>
      <c r="O1072" s="6">
        <f>-751-1800-1497</f>
        <v>-4048</v>
      </c>
      <c r="P1072" s="6">
        <f t="shared" si="212"/>
        <v>0</v>
      </c>
      <c r="Q1072" s="7">
        <f t="shared" si="208"/>
        <v>1936787.3500000008</v>
      </c>
      <c r="R1072" s="44" t="str">
        <f>VLOOKUP(F1072,'Set up'!$A$2:$E$70,5,FALSE)</f>
        <v>PD Chq</v>
      </c>
      <c r="S1072" s="1" t="s">
        <v>1207</v>
      </c>
      <c r="U1072" s="1" t="s">
        <v>3603</v>
      </c>
    </row>
    <row r="1073" spans="1:19" x14ac:dyDescent="0.3">
      <c r="A1073" s="4">
        <v>44845</v>
      </c>
      <c r="B1073" s="5">
        <f t="shared" si="203"/>
        <v>10</v>
      </c>
      <c r="C1073" s="5">
        <f t="shared" si="204"/>
        <v>2022</v>
      </c>
      <c r="D1073" s="5" t="s">
        <v>997</v>
      </c>
      <c r="E1073" s="5" t="str">
        <f>VLOOKUP(F1073,'Set up'!$A$2:$C$70,2,FALSE)</f>
        <v>C00000006</v>
      </c>
      <c r="F1073" s="1" t="s">
        <v>43</v>
      </c>
      <c r="G1073" s="11" t="s">
        <v>719</v>
      </c>
      <c r="H1073" s="5">
        <v>1</v>
      </c>
      <c r="I1073" s="5" t="str">
        <f>VLOOKUP(F1073,'Set up'!$A$2:$C$70,3,FALSE)</f>
        <v>Cash</v>
      </c>
      <c r="J1073" s="5">
        <f>VLOOKUP(F1073,'Set up'!$A$2:$D$70,4,FALSE)</f>
        <v>0</v>
      </c>
      <c r="K1073" s="4">
        <f t="shared" si="205"/>
        <v>44845</v>
      </c>
      <c r="L1073" s="5">
        <f t="shared" si="206"/>
        <v>10</v>
      </c>
      <c r="M1073" s="5">
        <f t="shared" si="207"/>
        <v>2022</v>
      </c>
      <c r="N1073" s="6">
        <v>1958</v>
      </c>
      <c r="O1073" s="6">
        <f>-N1073</f>
        <v>-1958</v>
      </c>
      <c r="P1073" s="6">
        <f t="shared" si="212"/>
        <v>0</v>
      </c>
      <c r="Q1073" s="7">
        <f t="shared" si="208"/>
        <v>1938745.3500000008</v>
      </c>
      <c r="R1073" s="44" t="str">
        <f>VLOOKUP(F1073,'Set up'!$A$2:$E$70,5,FALSE)</f>
        <v>Chq</v>
      </c>
      <c r="S1073" s="1" t="s">
        <v>1094</v>
      </c>
    </row>
    <row r="1074" spans="1:19" x14ac:dyDescent="0.3">
      <c r="A1074" s="4">
        <v>44845</v>
      </c>
      <c r="B1074" s="5">
        <f t="shared" si="203"/>
        <v>10</v>
      </c>
      <c r="C1074" s="5">
        <f t="shared" si="204"/>
        <v>2022</v>
      </c>
      <c r="D1074" s="5" t="s">
        <v>997</v>
      </c>
      <c r="E1074" s="5" t="str">
        <f>VLOOKUP(F1074,'Set up'!$A$2:$C$70,2,FALSE)</f>
        <v>C00000006</v>
      </c>
      <c r="F1074" s="1" t="s">
        <v>43</v>
      </c>
      <c r="G1074" s="11" t="s">
        <v>954</v>
      </c>
      <c r="H1074" s="5">
        <v>1</v>
      </c>
      <c r="I1074" s="5" t="str">
        <f>VLOOKUP(F1074,'Set up'!$A$2:$C$70,3,FALSE)</f>
        <v>Cash</v>
      </c>
      <c r="J1074" s="5">
        <f>VLOOKUP(F1074,'Set up'!$A$2:$D$70,4,FALSE)</f>
        <v>0</v>
      </c>
      <c r="K1074" s="4">
        <f t="shared" si="205"/>
        <v>44845</v>
      </c>
      <c r="L1074" s="5">
        <f t="shared" si="206"/>
        <v>10</v>
      </c>
      <c r="M1074" s="5">
        <f t="shared" si="207"/>
        <v>2022</v>
      </c>
      <c r="N1074" s="6">
        <v>279</v>
      </c>
      <c r="O1074" s="6">
        <f>-N1074</f>
        <v>-279</v>
      </c>
      <c r="P1074" s="6">
        <f t="shared" si="212"/>
        <v>0</v>
      </c>
      <c r="Q1074" s="7">
        <f t="shared" si="208"/>
        <v>1939024.3500000008</v>
      </c>
      <c r="R1074" s="44" t="str">
        <f>VLOOKUP(F1074,'Set up'!$A$2:$E$70,5,FALSE)</f>
        <v>Chq</v>
      </c>
      <c r="S1074" s="1" t="s">
        <v>1094</v>
      </c>
    </row>
    <row r="1075" spans="1:19" x14ac:dyDescent="0.3">
      <c r="A1075" s="4">
        <v>44845</v>
      </c>
      <c r="B1075" s="5">
        <f t="shared" si="203"/>
        <v>10</v>
      </c>
      <c r="C1075" s="5">
        <f t="shared" si="204"/>
        <v>2022</v>
      </c>
      <c r="D1075" s="5" t="s">
        <v>998</v>
      </c>
      <c r="E1075" s="5" t="str">
        <f>VLOOKUP(F1075,'Set up'!$A$2:$C$70,2,FALSE)</f>
        <v>C00000019</v>
      </c>
      <c r="F1075" s="1" t="s">
        <v>400</v>
      </c>
      <c r="G1075" s="11" t="s">
        <v>719</v>
      </c>
      <c r="H1075" s="5">
        <v>1</v>
      </c>
      <c r="I1075" s="5" t="str">
        <f>VLOOKUP(F1075,'Set up'!$A$2:$C$70,3,FALSE)</f>
        <v>Cash</v>
      </c>
      <c r="J1075" s="5">
        <f>VLOOKUP(F1075,'Set up'!$A$2:$D$70,4,FALSE)</f>
        <v>0</v>
      </c>
      <c r="K1075" s="4">
        <f t="shared" si="205"/>
        <v>44845</v>
      </c>
      <c r="L1075" s="5">
        <f t="shared" si="206"/>
        <v>10</v>
      </c>
      <c r="M1075" s="5">
        <f t="shared" si="207"/>
        <v>2022</v>
      </c>
      <c r="N1075" s="6">
        <v>1936</v>
      </c>
      <c r="O1075" s="6">
        <f t="shared" ref="O1075:O1076" si="215">-N1075</f>
        <v>-1936</v>
      </c>
      <c r="P1075" s="6">
        <f t="shared" si="212"/>
        <v>0</v>
      </c>
      <c r="Q1075" s="7">
        <f t="shared" si="208"/>
        <v>1940960.3500000008</v>
      </c>
      <c r="R1075" s="44" t="str">
        <f>VLOOKUP(F1075,'Set up'!$A$2:$E$70,5,FALSE)</f>
        <v>Trsf</v>
      </c>
      <c r="S1075" s="1" t="s">
        <v>1082</v>
      </c>
    </row>
    <row r="1076" spans="1:19" x14ac:dyDescent="0.3">
      <c r="A1076" s="4">
        <v>44845</v>
      </c>
      <c r="B1076" s="5">
        <f t="shared" si="203"/>
        <v>10</v>
      </c>
      <c r="C1076" s="5">
        <f t="shared" si="204"/>
        <v>2022</v>
      </c>
      <c r="D1076" s="5" t="s">
        <v>998</v>
      </c>
      <c r="E1076" s="5" t="str">
        <f>VLOOKUP(F1076,'Set up'!$A$2:$C$70,2,FALSE)</f>
        <v>C00000019</v>
      </c>
      <c r="F1076" s="1" t="s">
        <v>400</v>
      </c>
      <c r="G1076" s="11" t="s">
        <v>892</v>
      </c>
      <c r="H1076" s="5">
        <v>1</v>
      </c>
      <c r="I1076" s="5" t="str">
        <f>VLOOKUP(F1076,'Set up'!$A$2:$C$70,3,FALSE)</f>
        <v>Cash</v>
      </c>
      <c r="J1076" s="5">
        <f>VLOOKUP(F1076,'Set up'!$A$2:$D$70,4,FALSE)</f>
        <v>0</v>
      </c>
      <c r="K1076" s="4">
        <f t="shared" si="205"/>
        <v>44845</v>
      </c>
      <c r="L1076" s="5">
        <f t="shared" si="206"/>
        <v>10</v>
      </c>
      <c r="M1076" s="5">
        <f t="shared" si="207"/>
        <v>2022</v>
      </c>
      <c r="N1076" s="6">
        <v>596.29999999999995</v>
      </c>
      <c r="O1076" s="6">
        <f t="shared" si="215"/>
        <v>-596.29999999999995</v>
      </c>
      <c r="P1076" s="6">
        <f t="shared" si="212"/>
        <v>0</v>
      </c>
      <c r="Q1076" s="7">
        <f t="shared" si="208"/>
        <v>1941556.6500000008</v>
      </c>
      <c r="R1076" s="44" t="str">
        <f>VLOOKUP(F1076,'Set up'!$A$2:$E$70,5,FALSE)</f>
        <v>Trsf</v>
      </c>
      <c r="S1076" s="1" t="s">
        <v>1082</v>
      </c>
    </row>
    <row r="1077" spans="1:19" x14ac:dyDescent="0.3">
      <c r="A1077" s="4">
        <v>44845</v>
      </c>
      <c r="B1077" s="5">
        <f t="shared" si="203"/>
        <v>10</v>
      </c>
      <c r="C1077" s="5">
        <f t="shared" si="204"/>
        <v>2022</v>
      </c>
      <c r="D1077" s="5" t="s">
        <v>998</v>
      </c>
      <c r="E1077" s="5" t="str">
        <f>VLOOKUP(F1077,'Set up'!$A$2:$C$70,2,FALSE)</f>
        <v>C00000019</v>
      </c>
      <c r="F1077" s="1" t="s">
        <v>400</v>
      </c>
      <c r="G1077" s="11" t="s">
        <v>949</v>
      </c>
      <c r="H1077" s="5">
        <v>1</v>
      </c>
      <c r="I1077" s="5" t="str">
        <f>VLOOKUP(F1077,'Set up'!$A$2:$C$70,3,FALSE)</f>
        <v>Cash</v>
      </c>
      <c r="J1077" s="5">
        <f>VLOOKUP(F1077,'Set up'!$A$2:$D$70,4,FALSE)</f>
        <v>0</v>
      </c>
      <c r="K1077" s="4">
        <f t="shared" si="205"/>
        <v>44845</v>
      </c>
      <c r="L1077" s="5">
        <f t="shared" si="206"/>
        <v>10</v>
      </c>
      <c r="M1077" s="5">
        <f t="shared" si="207"/>
        <v>2022</v>
      </c>
      <c r="N1077" s="6">
        <v>50</v>
      </c>
      <c r="O1077" s="6">
        <f t="shared" ref="O1077" si="216">-N1077</f>
        <v>-50</v>
      </c>
      <c r="P1077" s="6">
        <f t="shared" si="212"/>
        <v>0</v>
      </c>
      <c r="Q1077" s="7">
        <f t="shared" si="208"/>
        <v>1941606.6500000008</v>
      </c>
      <c r="R1077" s="44" t="str">
        <f>VLOOKUP(F1077,'Set up'!$A$2:$E$70,5,FALSE)</f>
        <v>Trsf</v>
      </c>
      <c r="S1077" s="1" t="s">
        <v>1082</v>
      </c>
    </row>
    <row r="1078" spans="1:19" x14ac:dyDescent="0.3">
      <c r="A1078" s="4">
        <v>44845</v>
      </c>
      <c r="B1078" s="5">
        <f t="shared" si="203"/>
        <v>10</v>
      </c>
      <c r="C1078" s="5">
        <f t="shared" si="204"/>
        <v>2022</v>
      </c>
      <c r="D1078" s="5" t="s">
        <v>998</v>
      </c>
      <c r="E1078" s="5" t="str">
        <f>VLOOKUP(F1078,'Set up'!$A$2:$C$70,2,FALSE)</f>
        <v>C00000019</v>
      </c>
      <c r="F1078" s="1" t="s">
        <v>400</v>
      </c>
      <c r="G1078" s="11" t="s">
        <v>46</v>
      </c>
      <c r="H1078" s="5">
        <v>1</v>
      </c>
      <c r="I1078" s="5" t="str">
        <f>VLOOKUP(F1078,'Set up'!$A$2:$C$70,3,FALSE)</f>
        <v>Cash</v>
      </c>
      <c r="J1078" s="5">
        <f>VLOOKUP(F1078,'Set up'!$A$2:$D$70,4,FALSE)</f>
        <v>0</v>
      </c>
      <c r="K1078" s="4">
        <f t="shared" si="205"/>
        <v>44845</v>
      </c>
      <c r="L1078" s="5">
        <f t="shared" si="206"/>
        <v>10</v>
      </c>
      <c r="M1078" s="5">
        <f t="shared" si="207"/>
        <v>2022</v>
      </c>
      <c r="N1078" s="6">
        <v>105</v>
      </c>
      <c r="O1078" s="6">
        <f t="shared" ref="O1078" si="217">-N1078</f>
        <v>-105</v>
      </c>
      <c r="P1078" s="6">
        <f t="shared" si="212"/>
        <v>0</v>
      </c>
      <c r="Q1078" s="7">
        <f t="shared" si="208"/>
        <v>1941711.6500000008</v>
      </c>
      <c r="R1078" s="44" t="str">
        <f>VLOOKUP(F1078,'Set up'!$A$2:$E$70,5,FALSE)</f>
        <v>Trsf</v>
      </c>
      <c r="S1078" s="1" t="s">
        <v>1082</v>
      </c>
    </row>
    <row r="1079" spans="1:19" x14ac:dyDescent="0.3">
      <c r="A1079" s="4">
        <v>44845</v>
      </c>
      <c r="B1079" s="5">
        <f t="shared" si="203"/>
        <v>10</v>
      </c>
      <c r="C1079" s="5">
        <f t="shared" si="204"/>
        <v>2022</v>
      </c>
      <c r="D1079" s="5" t="s">
        <v>998</v>
      </c>
      <c r="E1079" s="5" t="str">
        <f>VLOOKUP(F1079,'Set up'!$A$2:$C$70,2,FALSE)</f>
        <v>C00000019</v>
      </c>
      <c r="F1079" s="1" t="s">
        <v>400</v>
      </c>
      <c r="G1079" s="11" t="s">
        <v>292</v>
      </c>
      <c r="H1079" s="5">
        <v>1</v>
      </c>
      <c r="I1079" s="5" t="str">
        <f>VLOOKUP(F1079,'Set up'!$A$2:$C$70,3,FALSE)</f>
        <v>Cash</v>
      </c>
      <c r="J1079" s="5">
        <f>VLOOKUP(F1079,'Set up'!$A$2:$D$70,4,FALSE)</f>
        <v>0</v>
      </c>
      <c r="K1079" s="4">
        <f t="shared" si="205"/>
        <v>44845</v>
      </c>
      <c r="L1079" s="5">
        <f t="shared" si="206"/>
        <v>10</v>
      </c>
      <c r="M1079" s="5">
        <f t="shared" si="207"/>
        <v>2022</v>
      </c>
      <c r="N1079" s="6">
        <v>450</v>
      </c>
      <c r="O1079" s="6">
        <f t="shared" ref="O1079:O1086" si="218">-N1079</f>
        <v>-450</v>
      </c>
      <c r="P1079" s="6">
        <f t="shared" si="212"/>
        <v>0</v>
      </c>
      <c r="Q1079" s="7">
        <f t="shared" si="208"/>
        <v>1942161.6500000008</v>
      </c>
      <c r="R1079" s="44" t="str">
        <f>VLOOKUP(F1079,'Set up'!$A$2:$E$70,5,FALSE)</f>
        <v>Trsf</v>
      </c>
      <c r="S1079" s="1" t="s">
        <v>1082</v>
      </c>
    </row>
    <row r="1080" spans="1:19" x14ac:dyDescent="0.3">
      <c r="A1080" s="4">
        <v>44847</v>
      </c>
      <c r="B1080" s="5">
        <f t="shared" si="203"/>
        <v>10</v>
      </c>
      <c r="C1080" s="5">
        <f t="shared" si="204"/>
        <v>2022</v>
      </c>
      <c r="D1080" s="5" t="s">
        <v>999</v>
      </c>
      <c r="E1080" s="5" t="str">
        <f>VLOOKUP(F1080,'Set up'!$A$2:$C$70,2,FALSE)</f>
        <v>C00000020</v>
      </c>
      <c r="F1080" s="1" t="s">
        <v>409</v>
      </c>
      <c r="G1080" s="11" t="s">
        <v>719</v>
      </c>
      <c r="H1080" s="5">
        <v>3</v>
      </c>
      <c r="I1080" s="5" t="str">
        <f>VLOOKUP(F1080,'Set up'!$A$2:$C$70,3,FALSE)</f>
        <v>Cash</v>
      </c>
      <c r="J1080" s="5">
        <f>VLOOKUP(F1080,'Set up'!$A$2:$D$70,4,FALSE)</f>
        <v>0</v>
      </c>
      <c r="K1080" s="4">
        <f t="shared" si="205"/>
        <v>44847</v>
      </c>
      <c r="L1080" s="5">
        <f t="shared" si="206"/>
        <v>10</v>
      </c>
      <c r="M1080" s="5">
        <f t="shared" si="207"/>
        <v>2022</v>
      </c>
      <c r="N1080" s="6">
        <v>5412</v>
      </c>
      <c r="O1080" s="6">
        <f t="shared" si="218"/>
        <v>-5412</v>
      </c>
      <c r="P1080" s="6">
        <f t="shared" ref="P1080:P1143" si="219">SUM(N1080+O1080)</f>
        <v>0</v>
      </c>
      <c r="Q1080" s="7">
        <f t="shared" si="208"/>
        <v>1947573.6500000008</v>
      </c>
      <c r="R1080" s="44" t="str">
        <f>VLOOKUP(F1080,'Set up'!$A$2:$E$70,5,FALSE)</f>
        <v>Trsf</v>
      </c>
      <c r="S1080" s="1" t="s">
        <v>1288</v>
      </c>
    </row>
    <row r="1081" spans="1:19" x14ac:dyDescent="0.3">
      <c r="A1081" s="4">
        <v>44847</v>
      </c>
      <c r="B1081" s="5">
        <f t="shared" si="203"/>
        <v>10</v>
      </c>
      <c r="C1081" s="5">
        <f t="shared" si="204"/>
        <v>2022</v>
      </c>
      <c r="D1081" s="5" t="s">
        <v>999</v>
      </c>
      <c r="E1081" s="5" t="str">
        <f>VLOOKUP(F1081,'Set up'!$A$2:$C$70,2,FALSE)</f>
        <v>C00000020</v>
      </c>
      <c r="F1081" s="1" t="s">
        <v>409</v>
      </c>
      <c r="G1081" s="11" t="s">
        <v>988</v>
      </c>
      <c r="H1081" s="5">
        <v>7</v>
      </c>
      <c r="I1081" s="5" t="str">
        <f>VLOOKUP(F1081,'Set up'!$A$2:$C$70,3,FALSE)</f>
        <v>Cash</v>
      </c>
      <c r="J1081" s="5">
        <f>VLOOKUP(F1081,'Set up'!$A$2:$D$70,4,FALSE)</f>
        <v>0</v>
      </c>
      <c r="K1081" s="4">
        <f t="shared" si="205"/>
        <v>44847</v>
      </c>
      <c r="L1081" s="5">
        <f t="shared" si="206"/>
        <v>10</v>
      </c>
      <c r="M1081" s="5">
        <f t="shared" si="207"/>
        <v>2022</v>
      </c>
      <c r="N1081" s="6">
        <v>1764</v>
      </c>
      <c r="O1081" s="6">
        <f t="shared" si="218"/>
        <v>-1764</v>
      </c>
      <c r="P1081" s="6">
        <f t="shared" si="219"/>
        <v>0</v>
      </c>
      <c r="Q1081" s="7">
        <f t="shared" si="208"/>
        <v>1949337.6500000008</v>
      </c>
      <c r="R1081" s="44" t="str">
        <f>VLOOKUP(F1081,'Set up'!$A$2:$E$70,5,FALSE)</f>
        <v>Trsf</v>
      </c>
      <c r="S1081" s="1" t="s">
        <v>1288</v>
      </c>
    </row>
    <row r="1082" spans="1:19" x14ac:dyDescent="0.3">
      <c r="A1082" s="4">
        <v>44847</v>
      </c>
      <c r="B1082" s="5">
        <f t="shared" si="203"/>
        <v>10</v>
      </c>
      <c r="C1082" s="5">
        <f t="shared" si="204"/>
        <v>2022</v>
      </c>
      <c r="D1082" s="5" t="s">
        <v>999</v>
      </c>
      <c r="E1082" s="5" t="str">
        <f>VLOOKUP(F1082,'Set up'!$A$2:$C$70,2,FALSE)</f>
        <v>C00000020</v>
      </c>
      <c r="F1082" s="1" t="s">
        <v>409</v>
      </c>
      <c r="G1082" s="11" t="s">
        <v>892</v>
      </c>
      <c r="H1082" s="5">
        <v>1</v>
      </c>
      <c r="I1082" s="5" t="str">
        <f>VLOOKUP(F1082,'Set up'!$A$2:$C$70,3,FALSE)</f>
        <v>Cash</v>
      </c>
      <c r="J1082" s="5">
        <f>VLOOKUP(F1082,'Set up'!$A$2:$D$70,4,FALSE)</f>
        <v>0</v>
      </c>
      <c r="K1082" s="4">
        <f t="shared" si="205"/>
        <v>44847</v>
      </c>
      <c r="L1082" s="5">
        <f t="shared" si="206"/>
        <v>10</v>
      </c>
      <c r="M1082" s="5">
        <f t="shared" si="207"/>
        <v>2022</v>
      </c>
      <c r="N1082" s="6">
        <v>562.79999999999995</v>
      </c>
      <c r="O1082" s="6">
        <f t="shared" si="218"/>
        <v>-562.79999999999995</v>
      </c>
      <c r="P1082" s="6">
        <f t="shared" si="219"/>
        <v>0</v>
      </c>
      <c r="Q1082" s="7">
        <f t="shared" si="208"/>
        <v>1949900.4500000009</v>
      </c>
      <c r="R1082" s="44" t="str">
        <f>VLOOKUP(F1082,'Set up'!$A$2:$E$70,5,FALSE)</f>
        <v>Trsf</v>
      </c>
      <c r="S1082" s="1" t="s">
        <v>1288</v>
      </c>
    </row>
    <row r="1083" spans="1:19" x14ac:dyDescent="0.3">
      <c r="A1083" s="4">
        <v>44847</v>
      </c>
      <c r="B1083" s="5">
        <f t="shared" si="203"/>
        <v>10</v>
      </c>
      <c r="C1083" s="5">
        <f t="shared" si="204"/>
        <v>2022</v>
      </c>
      <c r="D1083" s="5" t="s">
        <v>999</v>
      </c>
      <c r="E1083" s="5" t="str">
        <f>VLOOKUP(F1083,'Set up'!$A$2:$C$70,2,FALSE)</f>
        <v>C00000020</v>
      </c>
      <c r="F1083" s="1" t="s">
        <v>409</v>
      </c>
      <c r="G1083" s="11" t="s">
        <v>778</v>
      </c>
      <c r="H1083" s="5">
        <v>4</v>
      </c>
      <c r="I1083" s="5" t="str">
        <f>VLOOKUP(F1083,'Set up'!$A$2:$C$70,3,FALSE)</f>
        <v>Cash</v>
      </c>
      <c r="J1083" s="5">
        <f>VLOOKUP(F1083,'Set up'!$A$2:$D$70,4,FALSE)</f>
        <v>0</v>
      </c>
      <c r="K1083" s="4">
        <f t="shared" si="205"/>
        <v>44847</v>
      </c>
      <c r="L1083" s="5">
        <f t="shared" si="206"/>
        <v>10</v>
      </c>
      <c r="M1083" s="5">
        <f t="shared" si="207"/>
        <v>2022</v>
      </c>
      <c r="N1083" s="6">
        <v>1040</v>
      </c>
      <c r="O1083" s="6">
        <f t="shared" si="218"/>
        <v>-1040</v>
      </c>
      <c r="P1083" s="6">
        <f t="shared" si="219"/>
        <v>0</v>
      </c>
      <c r="Q1083" s="7">
        <f t="shared" si="208"/>
        <v>1950940.4500000009</v>
      </c>
      <c r="R1083" s="44" t="str">
        <f>VLOOKUP(F1083,'Set up'!$A$2:$E$70,5,FALSE)</f>
        <v>Trsf</v>
      </c>
      <c r="S1083" s="1" t="s">
        <v>1288</v>
      </c>
    </row>
    <row r="1084" spans="1:19" x14ac:dyDescent="0.3">
      <c r="A1084" s="4">
        <v>44847</v>
      </c>
      <c r="B1084" s="5">
        <f t="shared" si="203"/>
        <v>10</v>
      </c>
      <c r="C1084" s="5">
        <f t="shared" si="204"/>
        <v>2022</v>
      </c>
      <c r="D1084" s="5" t="s">
        <v>999</v>
      </c>
      <c r="E1084" s="5" t="str">
        <f>VLOOKUP(F1084,'Set up'!$A$2:$C$70,2,FALSE)</f>
        <v>C00000020</v>
      </c>
      <c r="F1084" s="1" t="s">
        <v>409</v>
      </c>
      <c r="G1084" s="11" t="s">
        <v>64</v>
      </c>
      <c r="H1084" s="5">
        <v>3</v>
      </c>
      <c r="I1084" s="5" t="str">
        <f>VLOOKUP(F1084,'Set up'!$A$2:$C$70,3,FALSE)</f>
        <v>Cash</v>
      </c>
      <c r="J1084" s="5">
        <f>VLOOKUP(F1084,'Set up'!$A$2:$D$70,4,FALSE)</f>
        <v>0</v>
      </c>
      <c r="K1084" s="4">
        <f t="shared" si="205"/>
        <v>44847</v>
      </c>
      <c r="L1084" s="5">
        <f t="shared" si="206"/>
        <v>10</v>
      </c>
      <c r="M1084" s="5">
        <f t="shared" si="207"/>
        <v>2022</v>
      </c>
      <c r="N1084" s="6">
        <v>187.5</v>
      </c>
      <c r="O1084" s="6">
        <f t="shared" si="218"/>
        <v>-187.5</v>
      </c>
      <c r="P1084" s="6">
        <f t="shared" si="219"/>
        <v>0</v>
      </c>
      <c r="Q1084" s="7">
        <f t="shared" si="208"/>
        <v>1951127.9500000009</v>
      </c>
      <c r="R1084" s="44" t="str">
        <f>VLOOKUP(F1084,'Set up'!$A$2:$E$70,5,FALSE)</f>
        <v>Trsf</v>
      </c>
      <c r="S1084" s="1" t="s">
        <v>1288</v>
      </c>
    </row>
    <row r="1085" spans="1:19" x14ac:dyDescent="0.3">
      <c r="A1085" s="4">
        <v>44847</v>
      </c>
      <c r="B1085" s="5">
        <f t="shared" si="203"/>
        <v>10</v>
      </c>
      <c r="C1085" s="5">
        <f t="shared" si="204"/>
        <v>2022</v>
      </c>
      <c r="D1085" s="5" t="s">
        <v>999</v>
      </c>
      <c r="E1085" s="5" t="str">
        <f>VLOOKUP(F1085,'Set up'!$A$2:$C$70,2,FALSE)</f>
        <v>C00000020</v>
      </c>
      <c r="F1085" s="1" t="s">
        <v>409</v>
      </c>
      <c r="G1085" s="11" t="s">
        <v>990</v>
      </c>
      <c r="H1085" s="5">
        <v>1</v>
      </c>
      <c r="I1085" s="5" t="str">
        <f>VLOOKUP(F1085,'Set up'!$A$2:$C$70,3,FALSE)</f>
        <v>Cash</v>
      </c>
      <c r="J1085" s="5">
        <f>VLOOKUP(F1085,'Set up'!$A$2:$D$70,4,FALSE)</f>
        <v>0</v>
      </c>
      <c r="K1085" s="4">
        <f t="shared" si="205"/>
        <v>44847</v>
      </c>
      <c r="L1085" s="5">
        <f t="shared" si="206"/>
        <v>10</v>
      </c>
      <c r="M1085" s="5">
        <f t="shared" si="207"/>
        <v>2022</v>
      </c>
      <c r="N1085" s="6">
        <v>1000</v>
      </c>
      <c r="O1085" s="6">
        <f t="shared" si="218"/>
        <v>-1000</v>
      </c>
      <c r="P1085" s="6">
        <f t="shared" si="219"/>
        <v>0</v>
      </c>
      <c r="Q1085" s="7">
        <f t="shared" si="208"/>
        <v>1952127.9500000009</v>
      </c>
      <c r="R1085" s="44" t="str">
        <f>VLOOKUP(F1085,'Set up'!$A$2:$E$70,5,FALSE)</f>
        <v>Trsf</v>
      </c>
      <c r="S1085" s="1" t="s">
        <v>1288</v>
      </c>
    </row>
    <row r="1086" spans="1:19" x14ac:dyDescent="0.3">
      <c r="A1086" s="4">
        <v>44847</v>
      </c>
      <c r="B1086" s="5">
        <f t="shared" si="203"/>
        <v>10</v>
      </c>
      <c r="C1086" s="5">
        <f t="shared" si="204"/>
        <v>2022</v>
      </c>
      <c r="D1086" s="5" t="s">
        <v>999</v>
      </c>
      <c r="E1086" s="5" t="str">
        <f>VLOOKUP(F1086,'Set up'!$A$2:$C$70,2,FALSE)</f>
        <v>C00000020</v>
      </c>
      <c r="F1086" s="1" t="s">
        <v>409</v>
      </c>
      <c r="G1086" s="11" t="s">
        <v>991</v>
      </c>
      <c r="H1086" s="5">
        <v>2</v>
      </c>
      <c r="I1086" s="5" t="str">
        <f>VLOOKUP(F1086,'Set up'!$A$2:$C$70,3,FALSE)</f>
        <v>Cash</v>
      </c>
      <c r="J1086" s="5">
        <f>VLOOKUP(F1086,'Set up'!$A$2:$D$70,4,FALSE)</f>
        <v>0</v>
      </c>
      <c r="K1086" s="4">
        <f t="shared" si="205"/>
        <v>44847</v>
      </c>
      <c r="L1086" s="5">
        <f t="shared" si="206"/>
        <v>10</v>
      </c>
      <c r="M1086" s="5">
        <f t="shared" si="207"/>
        <v>2022</v>
      </c>
      <c r="N1086" s="6">
        <v>200</v>
      </c>
      <c r="O1086" s="104">
        <f t="shared" si="218"/>
        <v>-200</v>
      </c>
      <c r="P1086" s="6">
        <f t="shared" si="219"/>
        <v>0</v>
      </c>
      <c r="Q1086" s="7">
        <f t="shared" si="208"/>
        <v>1952327.9500000009</v>
      </c>
      <c r="R1086" s="44" t="str">
        <f>VLOOKUP(F1086,'Set up'!$A$2:$E$70,5,FALSE)</f>
        <v>Trsf</v>
      </c>
      <c r="S1086" s="1" t="s">
        <v>1288</v>
      </c>
    </row>
    <row r="1087" spans="1:19" x14ac:dyDescent="0.3">
      <c r="A1087" s="4">
        <v>44847</v>
      </c>
      <c r="B1087" s="5">
        <f t="shared" si="203"/>
        <v>10</v>
      </c>
      <c r="C1087" s="5">
        <f t="shared" si="204"/>
        <v>2022</v>
      </c>
      <c r="D1087" s="5" t="s">
        <v>1000</v>
      </c>
      <c r="E1087" s="5" t="str">
        <f>VLOOKUP(F1087,'Set up'!$A$2:$C$70,2,FALSE)</f>
        <v>C00000021</v>
      </c>
      <c r="F1087" s="1" t="s">
        <v>491</v>
      </c>
      <c r="G1087" s="11" t="s">
        <v>67</v>
      </c>
      <c r="H1087" s="5">
        <v>1</v>
      </c>
      <c r="I1087" s="5" t="str">
        <f>VLOOKUP(F1087,'Set up'!$A$2:$C$70,3,FALSE)</f>
        <v>Cash</v>
      </c>
      <c r="J1087" s="5">
        <f>VLOOKUP(F1087,'Set up'!$A$2:$D$70,4,FALSE)</f>
        <v>0</v>
      </c>
      <c r="K1087" s="4">
        <f t="shared" si="205"/>
        <v>44847</v>
      </c>
      <c r="L1087" s="5">
        <f t="shared" si="206"/>
        <v>10</v>
      </c>
      <c r="M1087" s="5">
        <f t="shared" si="207"/>
        <v>2022</v>
      </c>
      <c r="N1087" s="6">
        <v>1936</v>
      </c>
      <c r="O1087" s="6">
        <f t="shared" ref="O1087:O1094" si="220">-N1087</f>
        <v>-1936</v>
      </c>
      <c r="P1087" s="6">
        <f t="shared" si="219"/>
        <v>0</v>
      </c>
      <c r="Q1087" s="7">
        <f t="shared" si="208"/>
        <v>1954263.9500000009</v>
      </c>
      <c r="R1087" s="44" t="str">
        <f>VLOOKUP(F1087,'Set up'!$A$2:$E$70,5,FALSE)</f>
        <v>PD Chq</v>
      </c>
      <c r="S1087" s="1" t="s">
        <v>1225</v>
      </c>
    </row>
    <row r="1088" spans="1:19" x14ac:dyDescent="0.3">
      <c r="A1088" s="4">
        <v>44847</v>
      </c>
      <c r="B1088" s="5">
        <f t="shared" si="203"/>
        <v>10</v>
      </c>
      <c r="C1088" s="5">
        <f t="shared" si="204"/>
        <v>2022</v>
      </c>
      <c r="D1088" s="5" t="s">
        <v>1000</v>
      </c>
      <c r="E1088" s="5" t="str">
        <f>VLOOKUP(F1088,'Set up'!$A$2:$C$70,2,FALSE)</f>
        <v>C00000021</v>
      </c>
      <c r="F1088" s="1" t="s">
        <v>491</v>
      </c>
      <c r="G1088" s="11" t="s">
        <v>988</v>
      </c>
      <c r="H1088" s="5">
        <v>2</v>
      </c>
      <c r="I1088" s="5" t="str">
        <f>VLOOKUP(F1088,'Set up'!$A$2:$C$70,3,FALSE)</f>
        <v>Cash</v>
      </c>
      <c r="J1088" s="5">
        <f>VLOOKUP(F1088,'Set up'!$A$2:$D$70,4,FALSE)</f>
        <v>0</v>
      </c>
      <c r="K1088" s="4">
        <f t="shared" si="205"/>
        <v>44847</v>
      </c>
      <c r="L1088" s="5">
        <f t="shared" si="206"/>
        <v>10</v>
      </c>
      <c r="M1088" s="5">
        <f t="shared" si="207"/>
        <v>2022</v>
      </c>
      <c r="N1088" s="6">
        <v>534</v>
      </c>
      <c r="O1088" s="6">
        <f t="shared" si="220"/>
        <v>-534</v>
      </c>
      <c r="P1088" s="6">
        <f t="shared" si="219"/>
        <v>0</v>
      </c>
      <c r="Q1088" s="7">
        <f t="shared" si="208"/>
        <v>1954797.9500000009</v>
      </c>
      <c r="R1088" s="44" t="str">
        <f>VLOOKUP(F1088,'Set up'!$A$2:$E$70,5,FALSE)</f>
        <v>PD Chq</v>
      </c>
      <c r="S1088" s="1" t="s">
        <v>1225</v>
      </c>
    </row>
    <row r="1089" spans="1:19" x14ac:dyDescent="0.3">
      <c r="A1089" s="4">
        <v>44847</v>
      </c>
      <c r="B1089" s="5">
        <f t="shared" si="203"/>
        <v>10</v>
      </c>
      <c r="C1089" s="5">
        <f t="shared" si="204"/>
        <v>2022</v>
      </c>
      <c r="D1089" s="5" t="s">
        <v>1000</v>
      </c>
      <c r="E1089" s="5" t="str">
        <f>VLOOKUP(F1089,'Set up'!$A$2:$C$70,2,FALSE)</f>
        <v>C00000021</v>
      </c>
      <c r="F1089" s="1" t="s">
        <v>491</v>
      </c>
      <c r="G1089" s="11" t="s">
        <v>948</v>
      </c>
      <c r="H1089" s="5">
        <v>1</v>
      </c>
      <c r="I1089" s="5" t="str">
        <f>VLOOKUP(F1089,'Set up'!$A$2:$C$70,3,FALSE)</f>
        <v>Cash</v>
      </c>
      <c r="J1089" s="5">
        <f>VLOOKUP(F1089,'Set up'!$A$2:$D$70,4,FALSE)</f>
        <v>0</v>
      </c>
      <c r="K1089" s="4">
        <f t="shared" si="205"/>
        <v>44847</v>
      </c>
      <c r="L1089" s="5">
        <f t="shared" si="206"/>
        <v>10</v>
      </c>
      <c r="M1089" s="5">
        <f t="shared" si="207"/>
        <v>2022</v>
      </c>
      <c r="N1089" s="6">
        <v>100</v>
      </c>
      <c r="O1089" s="6">
        <f t="shared" si="220"/>
        <v>-100</v>
      </c>
      <c r="P1089" s="6">
        <f t="shared" si="219"/>
        <v>0</v>
      </c>
      <c r="Q1089" s="7">
        <f t="shared" si="208"/>
        <v>1954897.9500000009</v>
      </c>
      <c r="R1089" s="44" t="str">
        <f>VLOOKUP(F1089,'Set up'!$A$2:$E$70,5,FALSE)</f>
        <v>PD Chq</v>
      </c>
      <c r="S1089" s="1" t="s">
        <v>1225</v>
      </c>
    </row>
    <row r="1090" spans="1:19" x14ac:dyDescent="0.3">
      <c r="A1090" s="4">
        <v>44849</v>
      </c>
      <c r="B1090" s="5">
        <f t="shared" si="203"/>
        <v>10</v>
      </c>
      <c r="C1090" s="5">
        <f t="shared" si="204"/>
        <v>2022</v>
      </c>
      <c r="D1090" s="5" t="s">
        <v>1001</v>
      </c>
      <c r="E1090" s="5" t="str">
        <f>VLOOKUP(F1090,'Set up'!$A$2:$C$70,2,FALSE)</f>
        <v>C00000010</v>
      </c>
      <c r="F1090" s="1" t="s">
        <v>62</v>
      </c>
      <c r="G1090" s="11" t="s">
        <v>303</v>
      </c>
      <c r="H1090" s="5">
        <v>5</v>
      </c>
      <c r="I1090" s="5">
        <f>VLOOKUP(F1090,'Set up'!$A$2:$C$70,3,FALSE)</f>
        <v>120</v>
      </c>
      <c r="J1090" s="5">
        <f>VLOOKUP(F1090,'Set up'!$A$2:$D$70,4,FALSE)</f>
        <v>120</v>
      </c>
      <c r="K1090" s="4">
        <f t="shared" si="205"/>
        <v>44969</v>
      </c>
      <c r="L1090" s="5">
        <f t="shared" si="206"/>
        <v>2</v>
      </c>
      <c r="M1090" s="5">
        <f t="shared" si="207"/>
        <v>2023</v>
      </c>
      <c r="N1090" s="6">
        <v>9020</v>
      </c>
      <c r="O1090" s="6">
        <f t="shared" si="220"/>
        <v>-9020</v>
      </c>
      <c r="P1090" s="6">
        <f t="shared" si="219"/>
        <v>0</v>
      </c>
      <c r="Q1090" s="7">
        <f t="shared" si="208"/>
        <v>1963917.9500000009</v>
      </c>
      <c r="R1090" s="44" t="str">
        <f>VLOOKUP(F1090,'Set up'!$A$2:$E$70,5,FALSE)</f>
        <v>Trsf</v>
      </c>
      <c r="S1090" s="1" t="s">
        <v>1226</v>
      </c>
    </row>
    <row r="1091" spans="1:19" x14ac:dyDescent="0.3">
      <c r="A1091" s="4">
        <v>44849</v>
      </c>
      <c r="B1091" s="5">
        <f t="shared" ref="B1091:B1154" si="221">MONTH(A1091)</f>
        <v>10</v>
      </c>
      <c r="C1091" s="5">
        <f t="shared" ref="C1091:C1154" si="222">YEAR(A1091)</f>
        <v>2022</v>
      </c>
      <c r="D1091" s="5" t="s">
        <v>1001</v>
      </c>
      <c r="E1091" s="5" t="str">
        <f>VLOOKUP(F1091,'Set up'!$A$2:$C$70,2,FALSE)</f>
        <v>C00000010</v>
      </c>
      <c r="F1091" s="1" t="s">
        <v>62</v>
      </c>
      <c r="G1091" s="11" t="s">
        <v>913</v>
      </c>
      <c r="H1091" s="5">
        <v>5</v>
      </c>
      <c r="I1091" s="5">
        <f>VLOOKUP(F1091,'Set up'!$A$2:$C$70,3,FALSE)</f>
        <v>120</v>
      </c>
      <c r="J1091" s="5">
        <f>VLOOKUP(F1091,'Set up'!$A$2:$D$70,4,FALSE)</f>
        <v>120</v>
      </c>
      <c r="K1091" s="4">
        <f t="shared" ref="K1091:K1154" si="223">A1091+J1091</f>
        <v>44969</v>
      </c>
      <c r="L1091" s="5">
        <f t="shared" ref="L1091:L1154" si="224">MONTH(K1091)</f>
        <v>2</v>
      </c>
      <c r="M1091" s="5">
        <f t="shared" ref="M1091:M1154" si="225">YEAR(K1091)</f>
        <v>2023</v>
      </c>
      <c r="N1091" s="6">
        <v>1245</v>
      </c>
      <c r="O1091" s="6">
        <f t="shared" si="220"/>
        <v>-1245</v>
      </c>
      <c r="P1091" s="6">
        <f t="shared" si="219"/>
        <v>0</v>
      </c>
      <c r="Q1091" s="7">
        <f t="shared" ref="Q1091:Q1154" si="226">SUM(Q1090+N1091)</f>
        <v>1965162.9500000009</v>
      </c>
      <c r="R1091" s="44" t="str">
        <f>VLOOKUP(F1091,'Set up'!$A$2:$E$70,5,FALSE)</f>
        <v>Trsf</v>
      </c>
      <c r="S1091" s="1" t="s">
        <v>1226</v>
      </c>
    </row>
    <row r="1092" spans="1:19" x14ac:dyDescent="0.3">
      <c r="A1092" s="4">
        <v>44849</v>
      </c>
      <c r="B1092" s="5">
        <f t="shared" si="221"/>
        <v>10</v>
      </c>
      <c r="C1092" s="5">
        <f t="shared" si="222"/>
        <v>2022</v>
      </c>
      <c r="D1092" s="5" t="s">
        <v>1001</v>
      </c>
      <c r="E1092" s="5" t="str">
        <f>VLOOKUP(F1092,'Set up'!$A$2:$C$70,2,FALSE)</f>
        <v>C00000010</v>
      </c>
      <c r="F1092" s="1" t="s">
        <v>62</v>
      </c>
      <c r="G1092" s="11" t="s">
        <v>64</v>
      </c>
      <c r="H1092" s="5">
        <v>10</v>
      </c>
      <c r="I1092" s="5">
        <f>VLOOKUP(F1092,'Set up'!$A$2:$C$70,3,FALSE)</f>
        <v>120</v>
      </c>
      <c r="J1092" s="5">
        <f>VLOOKUP(F1092,'Set up'!$A$2:$D$70,4,FALSE)</f>
        <v>120</v>
      </c>
      <c r="K1092" s="4">
        <f t="shared" si="223"/>
        <v>44969</v>
      </c>
      <c r="L1092" s="5">
        <f t="shared" si="224"/>
        <v>2</v>
      </c>
      <c r="M1092" s="5">
        <f t="shared" si="225"/>
        <v>2023</v>
      </c>
      <c r="N1092" s="6">
        <v>575</v>
      </c>
      <c r="O1092" s="6">
        <f t="shared" si="220"/>
        <v>-575</v>
      </c>
      <c r="P1092" s="6">
        <f t="shared" si="219"/>
        <v>0</v>
      </c>
      <c r="Q1092" s="7">
        <f t="shared" si="226"/>
        <v>1965737.9500000009</v>
      </c>
      <c r="R1092" s="44" t="str">
        <f>VLOOKUP(F1092,'Set up'!$A$2:$E$70,5,FALSE)</f>
        <v>Trsf</v>
      </c>
      <c r="S1092" s="1" t="s">
        <v>1226</v>
      </c>
    </row>
    <row r="1093" spans="1:19" x14ac:dyDescent="0.3">
      <c r="A1093" s="4">
        <v>44849</v>
      </c>
      <c r="B1093" s="5">
        <f t="shared" si="221"/>
        <v>10</v>
      </c>
      <c r="C1093" s="5">
        <f t="shared" si="222"/>
        <v>2022</v>
      </c>
      <c r="D1093" s="5" t="s">
        <v>1001</v>
      </c>
      <c r="E1093" s="5" t="str">
        <f>VLOOKUP(F1093,'Set up'!$A$2:$C$70,2,FALSE)</f>
        <v>C00000010</v>
      </c>
      <c r="F1093" s="1" t="s">
        <v>62</v>
      </c>
      <c r="G1093" s="11" t="s">
        <v>945</v>
      </c>
      <c r="H1093" s="5">
        <v>4</v>
      </c>
      <c r="I1093" s="5">
        <f>VLOOKUP(F1093,'Set up'!$A$2:$C$70,3,FALSE)</f>
        <v>120</v>
      </c>
      <c r="J1093" s="5">
        <f>VLOOKUP(F1093,'Set up'!$A$2:$D$70,4,FALSE)</f>
        <v>120</v>
      </c>
      <c r="K1093" s="4">
        <f t="shared" si="223"/>
        <v>44969</v>
      </c>
      <c r="L1093" s="5">
        <f t="shared" si="224"/>
        <v>2</v>
      </c>
      <c r="M1093" s="5">
        <f t="shared" si="225"/>
        <v>2023</v>
      </c>
      <c r="N1093" s="6">
        <v>420</v>
      </c>
      <c r="O1093" s="6">
        <f t="shared" si="220"/>
        <v>-420</v>
      </c>
      <c r="P1093" s="6">
        <f t="shared" si="219"/>
        <v>0</v>
      </c>
      <c r="Q1093" s="7">
        <f t="shared" si="226"/>
        <v>1966157.9500000009</v>
      </c>
      <c r="R1093" s="44" t="str">
        <f>VLOOKUP(F1093,'Set up'!$A$2:$E$70,5,FALSE)</f>
        <v>Trsf</v>
      </c>
      <c r="S1093" s="1" t="s">
        <v>1226</v>
      </c>
    </row>
    <row r="1094" spans="1:19" x14ac:dyDescent="0.3">
      <c r="A1094" s="4">
        <v>44849</v>
      </c>
      <c r="B1094" s="5">
        <f t="shared" si="221"/>
        <v>10</v>
      </c>
      <c r="C1094" s="5">
        <f t="shared" si="222"/>
        <v>2022</v>
      </c>
      <c r="D1094" s="5" t="s">
        <v>1001</v>
      </c>
      <c r="E1094" s="5" t="str">
        <f>VLOOKUP(F1094,'Set up'!$A$2:$C$70,2,FALSE)</f>
        <v>C00000010</v>
      </c>
      <c r="F1094" s="1" t="s">
        <v>62</v>
      </c>
      <c r="G1094" s="11" t="s">
        <v>946</v>
      </c>
      <c r="H1094" s="5">
        <v>4</v>
      </c>
      <c r="I1094" s="5">
        <f>VLOOKUP(F1094,'Set up'!$A$2:$C$70,3,FALSE)</f>
        <v>120</v>
      </c>
      <c r="J1094" s="5">
        <f>VLOOKUP(F1094,'Set up'!$A$2:$D$70,4,FALSE)</f>
        <v>120</v>
      </c>
      <c r="K1094" s="4">
        <f t="shared" si="223"/>
        <v>44969</v>
      </c>
      <c r="L1094" s="5">
        <f t="shared" si="224"/>
        <v>2</v>
      </c>
      <c r="M1094" s="5">
        <f t="shared" si="225"/>
        <v>2023</v>
      </c>
      <c r="N1094" s="6">
        <v>220</v>
      </c>
      <c r="O1094" s="6">
        <f t="shared" si="220"/>
        <v>-220</v>
      </c>
      <c r="P1094" s="6">
        <f t="shared" si="219"/>
        <v>0</v>
      </c>
      <c r="Q1094" s="7">
        <f t="shared" si="226"/>
        <v>1966377.9500000009</v>
      </c>
      <c r="R1094" s="44" t="str">
        <f>VLOOKUP(F1094,'Set up'!$A$2:$E$70,5,FALSE)</f>
        <v>Trsf</v>
      </c>
      <c r="S1094" s="1" t="s">
        <v>1226</v>
      </c>
    </row>
    <row r="1095" spans="1:19" x14ac:dyDescent="0.3">
      <c r="A1095" s="4">
        <v>44851</v>
      </c>
      <c r="B1095" s="5">
        <f t="shared" si="221"/>
        <v>10</v>
      </c>
      <c r="C1095" s="5">
        <f t="shared" si="222"/>
        <v>2022</v>
      </c>
      <c r="D1095" s="5" t="s">
        <v>1004</v>
      </c>
      <c r="E1095" s="5" t="str">
        <f>VLOOKUP(F1095,'Set up'!$A$2:$C$70,2,FALSE)</f>
        <v>C00000026</v>
      </c>
      <c r="F1095" s="1" t="s">
        <v>784</v>
      </c>
      <c r="G1095" s="11" t="s">
        <v>716</v>
      </c>
      <c r="H1095" s="5">
        <v>1</v>
      </c>
      <c r="I1095" s="5" t="str">
        <f>VLOOKUP(F1095,'Set up'!$A$2:$C$70,3,FALSE)</f>
        <v>Cash</v>
      </c>
      <c r="J1095" s="5">
        <f>VLOOKUP(F1095,'Set up'!$A$2:$D$70,4,FALSE)</f>
        <v>0</v>
      </c>
      <c r="K1095" s="4">
        <f t="shared" si="223"/>
        <v>44851</v>
      </c>
      <c r="L1095" s="5">
        <f t="shared" si="224"/>
        <v>10</v>
      </c>
      <c r="M1095" s="5">
        <f t="shared" si="225"/>
        <v>2022</v>
      </c>
      <c r="N1095" s="6">
        <v>1958</v>
      </c>
      <c r="O1095" s="6">
        <f t="shared" ref="O1095:O1104" si="227">-N1095</f>
        <v>-1958</v>
      </c>
      <c r="P1095" s="6">
        <f t="shared" si="219"/>
        <v>0</v>
      </c>
      <c r="Q1095" s="7">
        <f t="shared" si="226"/>
        <v>1968335.9500000009</v>
      </c>
      <c r="R1095" s="44" t="str">
        <f>VLOOKUP(F1095,'Set up'!$A$2:$E$70,5,FALSE)</f>
        <v>Trsf</v>
      </c>
      <c r="S1095" s="1" t="s">
        <v>1026</v>
      </c>
    </row>
    <row r="1096" spans="1:19" x14ac:dyDescent="0.3">
      <c r="A1096" s="4">
        <v>44851</v>
      </c>
      <c r="B1096" s="5">
        <f t="shared" si="221"/>
        <v>10</v>
      </c>
      <c r="C1096" s="5">
        <f t="shared" si="222"/>
        <v>2022</v>
      </c>
      <c r="D1096" s="5" t="s">
        <v>1004</v>
      </c>
      <c r="E1096" s="5" t="str">
        <f>VLOOKUP(F1096,'Set up'!$A$2:$C$70,2,FALSE)</f>
        <v>C00000026</v>
      </c>
      <c r="F1096" s="1" t="s">
        <v>784</v>
      </c>
      <c r="G1096" s="11" t="s">
        <v>892</v>
      </c>
      <c r="H1096" s="5">
        <v>1</v>
      </c>
      <c r="I1096" s="5" t="str">
        <f>VLOOKUP(F1096,'Set up'!$A$2:$C$70,3,FALSE)</f>
        <v>Cash</v>
      </c>
      <c r="J1096" s="5">
        <f>VLOOKUP(F1096,'Set up'!$A$2:$D$70,4,FALSE)</f>
        <v>0</v>
      </c>
      <c r="K1096" s="4">
        <f t="shared" si="223"/>
        <v>44851</v>
      </c>
      <c r="L1096" s="5">
        <f t="shared" si="224"/>
        <v>10</v>
      </c>
      <c r="M1096" s="5">
        <f t="shared" si="225"/>
        <v>2022</v>
      </c>
      <c r="N1096" s="6">
        <v>603</v>
      </c>
      <c r="O1096" s="6">
        <f t="shared" si="227"/>
        <v>-603</v>
      </c>
      <c r="P1096" s="6">
        <f t="shared" si="219"/>
        <v>0</v>
      </c>
      <c r="Q1096" s="7">
        <f t="shared" si="226"/>
        <v>1968938.9500000009</v>
      </c>
      <c r="R1096" s="44" t="str">
        <f>VLOOKUP(F1096,'Set up'!$A$2:$E$70,5,FALSE)</f>
        <v>Trsf</v>
      </c>
      <c r="S1096" s="1" t="s">
        <v>1026</v>
      </c>
    </row>
    <row r="1097" spans="1:19" x14ac:dyDescent="0.3">
      <c r="A1097" s="4">
        <v>44851</v>
      </c>
      <c r="B1097" s="5">
        <f t="shared" si="221"/>
        <v>10</v>
      </c>
      <c r="C1097" s="5">
        <f t="shared" si="222"/>
        <v>2022</v>
      </c>
      <c r="D1097" s="5" t="s">
        <v>1004</v>
      </c>
      <c r="E1097" s="5" t="str">
        <f>VLOOKUP(F1097,'Set up'!$A$2:$C$70,2,FALSE)</f>
        <v>C00000026</v>
      </c>
      <c r="F1097" s="1" t="s">
        <v>784</v>
      </c>
      <c r="G1097" s="11" t="s">
        <v>865</v>
      </c>
      <c r="H1097" s="5">
        <v>1</v>
      </c>
      <c r="I1097" s="5" t="str">
        <f>VLOOKUP(F1097,'Set up'!$A$2:$C$70,3,FALSE)</f>
        <v>Cash</v>
      </c>
      <c r="J1097" s="5">
        <f>VLOOKUP(F1097,'Set up'!$A$2:$D$70,4,FALSE)</f>
        <v>0</v>
      </c>
      <c r="K1097" s="4">
        <f t="shared" si="223"/>
        <v>44851</v>
      </c>
      <c r="L1097" s="5">
        <f t="shared" si="224"/>
        <v>10</v>
      </c>
      <c r="M1097" s="5">
        <f t="shared" si="225"/>
        <v>2022</v>
      </c>
      <c r="N1097" s="6">
        <v>254</v>
      </c>
      <c r="O1097" s="6">
        <f t="shared" si="227"/>
        <v>-254</v>
      </c>
      <c r="P1097" s="6">
        <f t="shared" si="219"/>
        <v>0</v>
      </c>
      <c r="Q1097" s="7">
        <f t="shared" si="226"/>
        <v>1969192.9500000009</v>
      </c>
      <c r="R1097" s="44" t="str">
        <f>VLOOKUP(F1097,'Set up'!$A$2:$E$70,5,FALSE)</f>
        <v>Trsf</v>
      </c>
      <c r="S1097" s="1" t="s">
        <v>1026</v>
      </c>
    </row>
    <row r="1098" spans="1:19" x14ac:dyDescent="0.3">
      <c r="A1098" s="4">
        <v>44851</v>
      </c>
      <c r="B1098" s="5">
        <f t="shared" si="221"/>
        <v>10</v>
      </c>
      <c r="C1098" s="5">
        <f t="shared" si="222"/>
        <v>2022</v>
      </c>
      <c r="D1098" s="5" t="s">
        <v>1004</v>
      </c>
      <c r="E1098" s="5" t="str">
        <f>VLOOKUP(F1098,'Set up'!$A$2:$C$70,2,FALSE)</f>
        <v>C00000026</v>
      </c>
      <c r="F1098" s="1" t="s">
        <v>784</v>
      </c>
      <c r="G1098" s="11" t="s">
        <v>1002</v>
      </c>
      <c r="H1098" s="5">
        <v>1</v>
      </c>
      <c r="I1098" s="5" t="str">
        <f>VLOOKUP(F1098,'Set up'!$A$2:$C$70,3,FALSE)</f>
        <v>Cash</v>
      </c>
      <c r="J1098" s="5">
        <f>VLOOKUP(F1098,'Set up'!$A$2:$D$70,4,FALSE)</f>
        <v>0</v>
      </c>
      <c r="K1098" s="4">
        <f t="shared" si="223"/>
        <v>44851</v>
      </c>
      <c r="L1098" s="5">
        <f t="shared" si="224"/>
        <v>10</v>
      </c>
      <c r="M1098" s="5">
        <f t="shared" si="225"/>
        <v>2022</v>
      </c>
      <c r="N1098" s="6">
        <v>55</v>
      </c>
      <c r="O1098" s="6">
        <f t="shared" si="227"/>
        <v>-55</v>
      </c>
      <c r="P1098" s="6">
        <f t="shared" si="219"/>
        <v>0</v>
      </c>
      <c r="Q1098" s="7">
        <f t="shared" si="226"/>
        <v>1969247.9500000009</v>
      </c>
      <c r="R1098" s="44" t="str">
        <f>VLOOKUP(F1098,'Set up'!$A$2:$E$70,5,FALSE)</f>
        <v>Trsf</v>
      </c>
      <c r="S1098" s="1" t="s">
        <v>1026</v>
      </c>
    </row>
    <row r="1099" spans="1:19" x14ac:dyDescent="0.3">
      <c r="A1099" s="4">
        <v>44851</v>
      </c>
      <c r="B1099" s="5">
        <f t="shared" si="221"/>
        <v>10</v>
      </c>
      <c r="C1099" s="5">
        <f t="shared" si="222"/>
        <v>2022</v>
      </c>
      <c r="D1099" s="5" t="s">
        <v>1004</v>
      </c>
      <c r="E1099" s="5" t="str">
        <f>VLOOKUP(F1099,'Set up'!$A$2:$C$70,2,FALSE)</f>
        <v>C00000026</v>
      </c>
      <c r="F1099" s="1" t="s">
        <v>784</v>
      </c>
      <c r="G1099" s="11" t="s">
        <v>894</v>
      </c>
      <c r="H1099" s="5">
        <v>1</v>
      </c>
      <c r="I1099" s="5" t="str">
        <f>VLOOKUP(F1099,'Set up'!$A$2:$C$70,3,FALSE)</f>
        <v>Cash</v>
      </c>
      <c r="J1099" s="5">
        <f>VLOOKUP(F1099,'Set up'!$A$2:$D$70,4,FALSE)</f>
        <v>0</v>
      </c>
      <c r="K1099" s="4">
        <f t="shared" si="223"/>
        <v>44851</v>
      </c>
      <c r="L1099" s="5">
        <f t="shared" si="224"/>
        <v>10</v>
      </c>
      <c r="M1099" s="5">
        <f t="shared" si="225"/>
        <v>2022</v>
      </c>
      <c r="N1099" s="6">
        <v>160</v>
      </c>
      <c r="O1099" s="6">
        <f t="shared" si="227"/>
        <v>-160</v>
      </c>
      <c r="P1099" s="6">
        <f t="shared" si="219"/>
        <v>0</v>
      </c>
      <c r="Q1099" s="7">
        <f t="shared" si="226"/>
        <v>1969407.9500000009</v>
      </c>
      <c r="R1099" s="44" t="str">
        <f>VLOOKUP(F1099,'Set up'!$A$2:$E$70,5,FALSE)</f>
        <v>Trsf</v>
      </c>
      <c r="S1099" s="1" t="s">
        <v>1026</v>
      </c>
    </row>
    <row r="1100" spans="1:19" x14ac:dyDescent="0.3">
      <c r="A1100" s="4">
        <v>44851</v>
      </c>
      <c r="B1100" s="5">
        <f t="shared" si="221"/>
        <v>10</v>
      </c>
      <c r="C1100" s="5">
        <f t="shared" si="222"/>
        <v>2022</v>
      </c>
      <c r="D1100" s="5" t="s">
        <v>1004</v>
      </c>
      <c r="E1100" s="5" t="str">
        <f>VLOOKUP(F1100,'Set up'!$A$2:$C$70,2,FALSE)</f>
        <v>C00000026</v>
      </c>
      <c r="F1100" s="1" t="s">
        <v>784</v>
      </c>
      <c r="G1100" s="11" t="s">
        <v>1003</v>
      </c>
      <c r="H1100" s="5">
        <v>1</v>
      </c>
      <c r="I1100" s="5" t="str">
        <f>VLOOKUP(F1100,'Set up'!$A$2:$C$70,3,FALSE)</f>
        <v>Cash</v>
      </c>
      <c r="J1100" s="5">
        <f>VLOOKUP(F1100,'Set up'!$A$2:$D$70,4,FALSE)</f>
        <v>0</v>
      </c>
      <c r="K1100" s="4">
        <f t="shared" si="223"/>
        <v>44851</v>
      </c>
      <c r="L1100" s="5">
        <f t="shared" si="224"/>
        <v>10</v>
      </c>
      <c r="M1100" s="5">
        <f t="shared" si="225"/>
        <v>2022</v>
      </c>
      <c r="N1100" s="6">
        <v>240</v>
      </c>
      <c r="O1100" s="6">
        <f t="shared" si="227"/>
        <v>-240</v>
      </c>
      <c r="P1100" s="6">
        <f t="shared" si="219"/>
        <v>0</v>
      </c>
      <c r="Q1100" s="7">
        <f t="shared" si="226"/>
        <v>1969647.9500000009</v>
      </c>
      <c r="R1100" s="44" t="str">
        <f>VLOOKUP(F1100,'Set up'!$A$2:$E$70,5,FALSE)</f>
        <v>Trsf</v>
      </c>
      <c r="S1100" s="1" t="s">
        <v>1026</v>
      </c>
    </row>
    <row r="1101" spans="1:19" x14ac:dyDescent="0.3">
      <c r="A1101" s="4">
        <v>44851</v>
      </c>
      <c r="B1101" s="5">
        <f t="shared" si="221"/>
        <v>10</v>
      </c>
      <c r="C1101" s="5">
        <f t="shared" si="222"/>
        <v>2022</v>
      </c>
      <c r="D1101" s="5" t="s">
        <v>1004</v>
      </c>
      <c r="E1101" s="5" t="str">
        <f>VLOOKUP(F1101,'Set up'!$A$2:$C$70,2,FALSE)</f>
        <v>C00000026</v>
      </c>
      <c r="F1101" s="1" t="s">
        <v>784</v>
      </c>
      <c r="G1101" s="11" t="s">
        <v>945</v>
      </c>
      <c r="H1101" s="5">
        <v>1</v>
      </c>
      <c r="I1101" s="5" t="str">
        <f>VLOOKUP(F1101,'Set up'!$A$2:$C$70,3,FALSE)</f>
        <v>Cash</v>
      </c>
      <c r="J1101" s="5">
        <f>VLOOKUP(F1101,'Set up'!$A$2:$D$70,4,FALSE)</f>
        <v>0</v>
      </c>
      <c r="K1101" s="4">
        <f t="shared" si="223"/>
        <v>44851</v>
      </c>
      <c r="L1101" s="5">
        <f t="shared" si="224"/>
        <v>10</v>
      </c>
      <c r="M1101" s="5">
        <f t="shared" si="225"/>
        <v>2022</v>
      </c>
      <c r="N1101" s="6">
        <v>105</v>
      </c>
      <c r="O1101" s="6">
        <f t="shared" si="227"/>
        <v>-105</v>
      </c>
      <c r="P1101" s="6">
        <f t="shared" si="219"/>
        <v>0</v>
      </c>
      <c r="Q1101" s="7">
        <f t="shared" si="226"/>
        <v>1969752.9500000009</v>
      </c>
      <c r="R1101" s="44" t="str">
        <f>VLOOKUP(F1101,'Set up'!$A$2:$E$70,5,FALSE)</f>
        <v>Trsf</v>
      </c>
      <c r="S1101" s="1" t="s">
        <v>1026</v>
      </c>
    </row>
    <row r="1102" spans="1:19" x14ac:dyDescent="0.3">
      <c r="A1102" s="4">
        <v>44851</v>
      </c>
      <c r="B1102" s="5">
        <f t="shared" si="221"/>
        <v>10</v>
      </c>
      <c r="C1102" s="5">
        <f t="shared" si="222"/>
        <v>2022</v>
      </c>
      <c r="D1102" s="5" t="s">
        <v>1004</v>
      </c>
      <c r="E1102" s="5" t="str">
        <f>VLOOKUP(F1102,'Set up'!$A$2:$C$70,2,FALSE)</f>
        <v>C00000026</v>
      </c>
      <c r="F1102" s="1" t="s">
        <v>784</v>
      </c>
      <c r="G1102" s="11" t="s">
        <v>64</v>
      </c>
      <c r="H1102" s="5">
        <v>2</v>
      </c>
      <c r="I1102" s="5" t="str">
        <f>VLOOKUP(F1102,'Set up'!$A$2:$C$70,3,FALSE)</f>
        <v>Cash</v>
      </c>
      <c r="J1102" s="5">
        <f>VLOOKUP(F1102,'Set up'!$A$2:$D$70,4,FALSE)</f>
        <v>0</v>
      </c>
      <c r="K1102" s="4">
        <f t="shared" si="223"/>
        <v>44851</v>
      </c>
      <c r="L1102" s="5">
        <f t="shared" si="224"/>
        <v>10</v>
      </c>
      <c r="M1102" s="5">
        <f t="shared" si="225"/>
        <v>2022</v>
      </c>
      <c r="N1102" s="6">
        <v>125</v>
      </c>
      <c r="O1102" s="6">
        <f t="shared" si="227"/>
        <v>-125</v>
      </c>
      <c r="P1102" s="6">
        <f t="shared" si="219"/>
        <v>0</v>
      </c>
      <c r="Q1102" s="7">
        <f t="shared" si="226"/>
        <v>1969877.9500000009</v>
      </c>
      <c r="R1102" s="44" t="str">
        <f>VLOOKUP(F1102,'Set up'!$A$2:$E$70,5,FALSE)</f>
        <v>Trsf</v>
      </c>
      <c r="S1102" s="1" t="s">
        <v>1026</v>
      </c>
    </row>
    <row r="1103" spans="1:19" x14ac:dyDescent="0.3">
      <c r="A1103" s="4">
        <v>44851</v>
      </c>
      <c r="B1103" s="5">
        <f t="shared" si="221"/>
        <v>10</v>
      </c>
      <c r="C1103" s="5">
        <f t="shared" si="222"/>
        <v>2022</v>
      </c>
      <c r="D1103" s="5" t="s">
        <v>1004</v>
      </c>
      <c r="E1103" s="5" t="str">
        <f>VLOOKUP(F1103,'Set up'!$A$2:$C$70,2,FALSE)</f>
        <v>C00000026</v>
      </c>
      <c r="F1103" s="1" t="s">
        <v>784</v>
      </c>
      <c r="G1103" s="11" t="s">
        <v>949</v>
      </c>
      <c r="H1103" s="5">
        <v>2</v>
      </c>
      <c r="I1103" s="5" t="str">
        <f>VLOOKUP(F1103,'Set up'!$A$2:$C$70,3,FALSE)</f>
        <v>Cash</v>
      </c>
      <c r="J1103" s="5">
        <f>VLOOKUP(F1103,'Set up'!$A$2:$D$70,4,FALSE)</f>
        <v>0</v>
      </c>
      <c r="K1103" s="4">
        <f t="shared" si="223"/>
        <v>44851</v>
      </c>
      <c r="L1103" s="5">
        <f t="shared" si="224"/>
        <v>10</v>
      </c>
      <c r="M1103" s="5">
        <f t="shared" si="225"/>
        <v>2022</v>
      </c>
      <c r="N1103" s="6">
        <v>100</v>
      </c>
      <c r="O1103" s="6">
        <f t="shared" si="227"/>
        <v>-100</v>
      </c>
      <c r="P1103" s="6">
        <f t="shared" si="219"/>
        <v>0</v>
      </c>
      <c r="Q1103" s="7">
        <f t="shared" si="226"/>
        <v>1969977.9500000009</v>
      </c>
      <c r="R1103" s="44" t="str">
        <f>VLOOKUP(F1103,'Set up'!$A$2:$E$70,5,FALSE)</f>
        <v>Trsf</v>
      </c>
      <c r="S1103" s="1" t="s">
        <v>1026</v>
      </c>
    </row>
    <row r="1104" spans="1:19" x14ac:dyDescent="0.3">
      <c r="A1104" s="4">
        <v>44851</v>
      </c>
      <c r="B1104" s="5">
        <f t="shared" si="221"/>
        <v>10</v>
      </c>
      <c r="C1104" s="5">
        <f t="shared" si="222"/>
        <v>2022</v>
      </c>
      <c r="D1104" s="5" t="s">
        <v>1005</v>
      </c>
      <c r="E1104" s="5" t="str">
        <f>VLOOKUP(F1104,'Set up'!$A$2:$C$70,2,FALSE)</f>
        <v>C00000010</v>
      </c>
      <c r="F1104" s="1" t="s">
        <v>62</v>
      </c>
      <c r="G1104" s="11" t="s">
        <v>614</v>
      </c>
      <c r="H1104" s="5">
        <v>1</v>
      </c>
      <c r="I1104" s="5">
        <f>VLOOKUP(F1104,'Set up'!$A$2:$C$70,3,FALSE)</f>
        <v>120</v>
      </c>
      <c r="J1104" s="5">
        <f>VLOOKUP(F1104,'Set up'!$A$2:$D$70,4,FALSE)</f>
        <v>120</v>
      </c>
      <c r="K1104" s="4">
        <f t="shared" si="223"/>
        <v>44971</v>
      </c>
      <c r="L1104" s="5">
        <f t="shared" si="224"/>
        <v>2</v>
      </c>
      <c r="M1104" s="5">
        <f t="shared" si="225"/>
        <v>2023</v>
      </c>
      <c r="N1104" s="6">
        <v>395</v>
      </c>
      <c r="O1104" s="6">
        <f t="shared" si="227"/>
        <v>-395</v>
      </c>
      <c r="P1104" s="6">
        <f t="shared" si="219"/>
        <v>0</v>
      </c>
      <c r="Q1104" s="7">
        <f t="shared" si="226"/>
        <v>1970372.9500000009</v>
      </c>
      <c r="R1104" s="44" t="str">
        <f>VLOOKUP(F1104,'Set up'!$A$2:$E$70,5,FALSE)</f>
        <v>Trsf</v>
      </c>
      <c r="S1104" s="1" t="s">
        <v>1226</v>
      </c>
    </row>
    <row r="1105" spans="1:19" x14ac:dyDescent="0.3">
      <c r="A1105" s="4">
        <v>44852</v>
      </c>
      <c r="B1105" s="5">
        <f t="shared" si="221"/>
        <v>10</v>
      </c>
      <c r="C1105" s="5">
        <f t="shared" si="222"/>
        <v>2022</v>
      </c>
      <c r="D1105" s="5" t="s">
        <v>1006</v>
      </c>
      <c r="E1105" s="5" t="str">
        <f>VLOOKUP(F1105,'Set up'!$A$2:$C$70,2,FALSE)</f>
        <v>C00000009</v>
      </c>
      <c r="F1105" s="1" t="s">
        <v>58</v>
      </c>
      <c r="G1105" s="11" t="s">
        <v>892</v>
      </c>
      <c r="H1105" s="5">
        <v>2</v>
      </c>
      <c r="I1105" s="5">
        <f>VLOOKUP(F1105,'Set up'!$A$2:$C$70,3,FALSE)</f>
        <v>60</v>
      </c>
      <c r="J1105" s="5">
        <f>VLOOKUP(F1105,'Set up'!$A$2:$D$70,4,FALSE)</f>
        <v>60</v>
      </c>
      <c r="K1105" s="4">
        <f t="shared" si="223"/>
        <v>44912</v>
      </c>
      <c r="L1105" s="5">
        <f t="shared" si="224"/>
        <v>12</v>
      </c>
      <c r="M1105" s="5">
        <f t="shared" si="225"/>
        <v>2022</v>
      </c>
      <c r="N1105" s="6">
        <v>1085.4000000000001</v>
      </c>
      <c r="O1105" s="6">
        <f>-N1105</f>
        <v>-1085.4000000000001</v>
      </c>
      <c r="P1105" s="6">
        <f t="shared" si="219"/>
        <v>0</v>
      </c>
      <c r="Q1105" s="7">
        <f t="shared" si="226"/>
        <v>1971458.3500000008</v>
      </c>
      <c r="R1105" s="44" t="str">
        <f>VLOOKUP(F1105,'Set up'!$A$2:$E$70,5,FALSE)</f>
        <v>Chq</v>
      </c>
      <c r="S1105" s="1" t="s">
        <v>1382</v>
      </c>
    </row>
    <row r="1106" spans="1:19" x14ac:dyDescent="0.3">
      <c r="A1106" s="4">
        <v>44852</v>
      </c>
      <c r="B1106" s="5">
        <f t="shared" si="221"/>
        <v>10</v>
      </c>
      <c r="C1106" s="5">
        <f t="shared" si="222"/>
        <v>2022</v>
      </c>
      <c r="D1106" s="5" t="s">
        <v>1006</v>
      </c>
      <c r="E1106" s="5" t="str">
        <f>VLOOKUP(F1106,'Set up'!$A$2:$C$70,2,FALSE)</f>
        <v>C00000009</v>
      </c>
      <c r="F1106" s="1" t="s">
        <v>58</v>
      </c>
      <c r="G1106" s="11" t="s">
        <v>893</v>
      </c>
      <c r="H1106" s="5">
        <v>2</v>
      </c>
      <c r="I1106" s="5">
        <f>VLOOKUP(F1106,'Set up'!$A$2:$C$70,3,FALSE)</f>
        <v>60</v>
      </c>
      <c r="J1106" s="5">
        <f>VLOOKUP(F1106,'Set up'!$A$2:$D$70,4,FALSE)</f>
        <v>60</v>
      </c>
      <c r="K1106" s="4">
        <f t="shared" si="223"/>
        <v>44912</v>
      </c>
      <c r="L1106" s="5">
        <f t="shared" si="224"/>
        <v>12</v>
      </c>
      <c r="M1106" s="5">
        <f t="shared" si="225"/>
        <v>2022</v>
      </c>
      <c r="N1106" s="6">
        <v>874.8</v>
      </c>
      <c r="O1106" s="6">
        <f>-N1106</f>
        <v>-874.8</v>
      </c>
      <c r="P1106" s="6">
        <f t="shared" si="219"/>
        <v>0</v>
      </c>
      <c r="Q1106" s="7">
        <f t="shared" si="226"/>
        <v>1972333.1500000008</v>
      </c>
      <c r="R1106" s="44" t="str">
        <f>VLOOKUP(F1106,'Set up'!$A$2:$E$70,5,FALSE)</f>
        <v>Chq</v>
      </c>
      <c r="S1106" s="1" t="s">
        <v>1382</v>
      </c>
    </row>
    <row r="1107" spans="1:19" x14ac:dyDescent="0.3">
      <c r="A1107" s="4">
        <v>44854</v>
      </c>
      <c r="B1107" s="5">
        <f t="shared" si="221"/>
        <v>10</v>
      </c>
      <c r="C1107" s="5">
        <f t="shared" si="222"/>
        <v>2022</v>
      </c>
      <c r="D1107" s="5" t="s">
        <v>1008</v>
      </c>
      <c r="E1107" s="5" t="str">
        <f>VLOOKUP(F1107,'Set up'!$A$2:$C$70,2,FALSE)</f>
        <v>C00000004</v>
      </c>
      <c r="F1107" s="1" t="s">
        <v>23</v>
      </c>
      <c r="G1107" s="11" t="s">
        <v>719</v>
      </c>
      <c r="H1107" s="5">
        <v>6</v>
      </c>
      <c r="I1107" s="5">
        <f>VLOOKUP(F1107,'Set up'!$A$2:$C$70,3,FALSE)</f>
        <v>120</v>
      </c>
      <c r="J1107" s="5">
        <f>VLOOKUP(F1107,'Set up'!$A$2:$D$70,4,FALSE)</f>
        <v>120</v>
      </c>
      <c r="K1107" s="4">
        <f t="shared" si="223"/>
        <v>44974</v>
      </c>
      <c r="L1107" s="5">
        <f t="shared" si="224"/>
        <v>2</v>
      </c>
      <c r="M1107" s="5">
        <f t="shared" si="225"/>
        <v>2023</v>
      </c>
      <c r="N1107" s="6">
        <v>10824</v>
      </c>
      <c r="O1107" s="6">
        <f t="shared" ref="O1107:O1111" si="228">-N1107</f>
        <v>-10824</v>
      </c>
      <c r="P1107" s="6">
        <f t="shared" si="219"/>
        <v>0</v>
      </c>
      <c r="Q1107" s="7">
        <f t="shared" si="226"/>
        <v>1983157.1500000008</v>
      </c>
      <c r="R1107" s="44" t="str">
        <f>VLOOKUP(F1107,'Set up'!$A$2:$E$70,5,FALSE)</f>
        <v>Chq</v>
      </c>
      <c r="S1107" s="1" t="s">
        <v>1296</v>
      </c>
    </row>
    <row r="1108" spans="1:19" x14ac:dyDescent="0.3">
      <c r="A1108" s="4">
        <v>44854</v>
      </c>
      <c r="B1108" s="5">
        <f t="shared" si="221"/>
        <v>10</v>
      </c>
      <c r="C1108" s="5">
        <f t="shared" si="222"/>
        <v>2022</v>
      </c>
      <c r="D1108" s="5" t="s">
        <v>1008</v>
      </c>
      <c r="E1108" s="5" t="str">
        <f>VLOOKUP(F1108,'Set up'!$A$2:$C$70,2,FALSE)</f>
        <v>C00000004</v>
      </c>
      <c r="F1108" s="1" t="s">
        <v>23</v>
      </c>
      <c r="G1108" s="11" t="s">
        <v>616</v>
      </c>
      <c r="H1108" s="5">
        <v>1</v>
      </c>
      <c r="I1108" s="5">
        <f>VLOOKUP(F1108,'Set up'!$A$2:$C$70,3,FALSE)</f>
        <v>120</v>
      </c>
      <c r="J1108" s="5">
        <f>VLOOKUP(F1108,'Set up'!$A$2:$D$70,4,FALSE)</f>
        <v>120</v>
      </c>
      <c r="K1108" s="4">
        <f t="shared" si="223"/>
        <v>44974</v>
      </c>
      <c r="L1108" s="5">
        <f t="shared" si="224"/>
        <v>2</v>
      </c>
      <c r="M1108" s="5">
        <f t="shared" si="225"/>
        <v>2023</v>
      </c>
      <c r="N1108" s="6">
        <v>1804</v>
      </c>
      <c r="O1108" s="6">
        <f t="shared" si="228"/>
        <v>-1804</v>
      </c>
      <c r="P1108" s="6">
        <f t="shared" si="219"/>
        <v>0</v>
      </c>
      <c r="Q1108" s="7">
        <f t="shared" si="226"/>
        <v>1984961.1500000008</v>
      </c>
      <c r="R1108" s="44" t="str">
        <f>VLOOKUP(F1108,'Set up'!$A$2:$E$70,5,FALSE)</f>
        <v>Chq</v>
      </c>
      <c r="S1108" s="1" t="s">
        <v>1296</v>
      </c>
    </row>
    <row r="1109" spans="1:19" x14ac:dyDescent="0.3">
      <c r="A1109" s="4">
        <v>44854</v>
      </c>
      <c r="B1109" s="5">
        <f t="shared" si="221"/>
        <v>10</v>
      </c>
      <c r="C1109" s="5">
        <f t="shared" si="222"/>
        <v>2022</v>
      </c>
      <c r="D1109" s="5" t="s">
        <v>1008</v>
      </c>
      <c r="E1109" s="5" t="str">
        <f>VLOOKUP(F1109,'Set up'!$A$2:$C$70,2,FALSE)</f>
        <v>C00000004</v>
      </c>
      <c r="F1109" s="1" t="s">
        <v>23</v>
      </c>
      <c r="G1109" s="11" t="s">
        <v>707</v>
      </c>
      <c r="H1109" s="5">
        <v>3</v>
      </c>
      <c r="I1109" s="5">
        <f>VLOOKUP(F1109,'Set up'!$A$2:$C$70,3,FALSE)</f>
        <v>120</v>
      </c>
      <c r="J1109" s="5">
        <f>VLOOKUP(F1109,'Set up'!$A$2:$D$70,4,FALSE)</f>
        <v>120</v>
      </c>
      <c r="K1109" s="4">
        <f t="shared" si="223"/>
        <v>44974</v>
      </c>
      <c r="L1109" s="5">
        <f t="shared" si="224"/>
        <v>2</v>
      </c>
      <c r="M1109" s="5">
        <f t="shared" si="225"/>
        <v>2023</v>
      </c>
      <c r="N1109" s="6">
        <v>1344.6</v>
      </c>
      <c r="O1109" s="6">
        <f t="shared" si="228"/>
        <v>-1344.6</v>
      </c>
      <c r="P1109" s="6">
        <f t="shared" si="219"/>
        <v>0</v>
      </c>
      <c r="Q1109" s="7">
        <f t="shared" si="226"/>
        <v>1986305.7500000009</v>
      </c>
      <c r="R1109" s="44" t="str">
        <f>VLOOKUP(F1109,'Set up'!$A$2:$E$70,5,FALSE)</f>
        <v>Chq</v>
      </c>
      <c r="S1109" s="1" t="s">
        <v>1296</v>
      </c>
    </row>
    <row r="1110" spans="1:19" x14ac:dyDescent="0.3">
      <c r="A1110" s="4">
        <v>44854</v>
      </c>
      <c r="B1110" s="5">
        <f t="shared" si="221"/>
        <v>10</v>
      </c>
      <c r="C1110" s="5">
        <f t="shared" si="222"/>
        <v>2022</v>
      </c>
      <c r="D1110" s="5" t="s">
        <v>1008</v>
      </c>
      <c r="E1110" s="5" t="str">
        <f>VLOOKUP(F1110,'Set up'!$A$2:$C$70,2,FALSE)</f>
        <v>C00000004</v>
      </c>
      <c r="F1110" s="1" t="s">
        <v>23</v>
      </c>
      <c r="G1110" s="11" t="s">
        <v>1007</v>
      </c>
      <c r="H1110" s="5">
        <v>3</v>
      </c>
      <c r="I1110" s="5">
        <f>VLOOKUP(F1110,'Set up'!$A$2:$C$70,3,FALSE)</f>
        <v>120</v>
      </c>
      <c r="J1110" s="5">
        <f>VLOOKUP(F1110,'Set up'!$A$2:$D$70,4,FALSE)</f>
        <v>120</v>
      </c>
      <c r="K1110" s="4">
        <f t="shared" si="223"/>
        <v>44974</v>
      </c>
      <c r="L1110" s="5">
        <f t="shared" si="224"/>
        <v>2</v>
      </c>
      <c r="M1110" s="5">
        <f t="shared" si="225"/>
        <v>2023</v>
      </c>
      <c r="N1110" s="6">
        <v>1344.6</v>
      </c>
      <c r="O1110" s="6">
        <f t="shared" si="228"/>
        <v>-1344.6</v>
      </c>
      <c r="P1110" s="6">
        <f t="shared" si="219"/>
        <v>0</v>
      </c>
      <c r="Q1110" s="7">
        <f t="shared" si="226"/>
        <v>1987650.350000001</v>
      </c>
      <c r="R1110" s="44" t="str">
        <f>VLOOKUP(F1110,'Set up'!$A$2:$E$70,5,FALSE)</f>
        <v>Chq</v>
      </c>
      <c r="S1110" s="1" t="s">
        <v>1296</v>
      </c>
    </row>
    <row r="1111" spans="1:19" x14ac:dyDescent="0.3">
      <c r="A1111" s="4">
        <v>44854</v>
      </c>
      <c r="B1111" s="5">
        <f t="shared" si="221"/>
        <v>10</v>
      </c>
      <c r="C1111" s="5">
        <f t="shared" si="222"/>
        <v>2022</v>
      </c>
      <c r="D1111" s="5" t="s">
        <v>1008</v>
      </c>
      <c r="E1111" s="5" t="str">
        <f>VLOOKUP(F1111,'Set up'!$A$2:$C$70,2,FALSE)</f>
        <v>C00000004</v>
      </c>
      <c r="F1111" s="1" t="s">
        <v>23</v>
      </c>
      <c r="G1111" s="11" t="s">
        <v>666</v>
      </c>
      <c r="H1111" s="5">
        <v>4</v>
      </c>
      <c r="I1111" s="5">
        <f>VLOOKUP(F1111,'Set up'!$A$2:$C$70,3,FALSE)</f>
        <v>120</v>
      </c>
      <c r="J1111" s="5">
        <f>VLOOKUP(F1111,'Set up'!$A$2:$D$70,4,FALSE)</f>
        <v>120</v>
      </c>
      <c r="K1111" s="4">
        <f t="shared" si="223"/>
        <v>44974</v>
      </c>
      <c r="L1111" s="5">
        <f t="shared" si="224"/>
        <v>2</v>
      </c>
      <c r="M1111" s="5">
        <f t="shared" si="225"/>
        <v>2023</v>
      </c>
      <c r="N1111" s="6">
        <v>360</v>
      </c>
      <c r="O1111" s="6">
        <f t="shared" si="228"/>
        <v>-360</v>
      </c>
      <c r="P1111" s="6">
        <f t="shared" si="219"/>
        <v>0</v>
      </c>
      <c r="Q1111" s="7">
        <f t="shared" si="226"/>
        <v>1988010.350000001</v>
      </c>
      <c r="R1111" s="44" t="str">
        <f>VLOOKUP(F1111,'Set up'!$A$2:$E$70,5,FALSE)</f>
        <v>Chq</v>
      </c>
      <c r="S1111" s="1" t="s">
        <v>1296</v>
      </c>
    </row>
    <row r="1112" spans="1:19" x14ac:dyDescent="0.3">
      <c r="A1112" s="4">
        <v>44855</v>
      </c>
      <c r="B1112" s="5">
        <f t="shared" si="221"/>
        <v>10</v>
      </c>
      <c r="C1112" s="5">
        <f t="shared" si="222"/>
        <v>2022</v>
      </c>
      <c r="D1112" s="5" t="s">
        <v>1009</v>
      </c>
      <c r="E1112" s="5" t="str">
        <f>VLOOKUP(F1112,'Set up'!$A$2:$C$70,2,FALSE)</f>
        <v>C00000001</v>
      </c>
      <c r="F1112" s="1" t="s">
        <v>7</v>
      </c>
      <c r="G1112" s="11" t="s">
        <v>716</v>
      </c>
      <c r="H1112" s="5">
        <v>1</v>
      </c>
      <c r="I1112" s="5" t="str">
        <f>VLOOKUP(F1112,'Set up'!$A$2:$C$70,3,FALSE)</f>
        <v>Cash</v>
      </c>
      <c r="J1112" s="5">
        <f>VLOOKUP(F1112,'Set up'!$A$2:$D$70,4,FALSE)</f>
        <v>0</v>
      </c>
      <c r="K1112" s="4">
        <f t="shared" si="223"/>
        <v>44855</v>
      </c>
      <c r="L1112" s="5">
        <f t="shared" si="224"/>
        <v>10</v>
      </c>
      <c r="M1112" s="5">
        <f t="shared" si="225"/>
        <v>2022</v>
      </c>
      <c r="N1112" s="6">
        <v>1936</v>
      </c>
      <c r="O1112" s="6">
        <f t="shared" ref="O1112:O1113" si="229">-N1112</f>
        <v>-1936</v>
      </c>
      <c r="P1112" s="6">
        <f t="shared" si="219"/>
        <v>0</v>
      </c>
      <c r="Q1112" s="7">
        <f t="shared" si="226"/>
        <v>1989946.350000001</v>
      </c>
      <c r="R1112" s="44" t="str">
        <f>VLOOKUP(F1112,'Set up'!$A$2:$E$70,5,FALSE)</f>
        <v>Trsf</v>
      </c>
      <c r="S1112" s="1" t="s">
        <v>1076</v>
      </c>
    </row>
    <row r="1113" spans="1:19" x14ac:dyDescent="0.3">
      <c r="A1113" s="4">
        <v>44855</v>
      </c>
      <c r="B1113" s="5">
        <f t="shared" si="221"/>
        <v>10</v>
      </c>
      <c r="C1113" s="5">
        <f t="shared" si="222"/>
        <v>2022</v>
      </c>
      <c r="D1113" s="5" t="s">
        <v>1009</v>
      </c>
      <c r="E1113" s="5" t="str">
        <f>VLOOKUP(F1113,'Set up'!$A$2:$C$70,2,FALSE)</f>
        <v>C00000001</v>
      </c>
      <c r="F1113" s="1" t="s">
        <v>7</v>
      </c>
      <c r="G1113" s="11" t="s">
        <v>654</v>
      </c>
      <c r="H1113" s="5">
        <v>4</v>
      </c>
      <c r="I1113" s="5" t="str">
        <f>VLOOKUP(F1113,'Set up'!$A$2:$C$70,3,FALSE)</f>
        <v>Cash</v>
      </c>
      <c r="J1113" s="5">
        <f>VLOOKUP(F1113,'Set up'!$A$2:$D$70,4,FALSE)</f>
        <v>0</v>
      </c>
      <c r="K1113" s="4">
        <f t="shared" si="223"/>
        <v>44855</v>
      </c>
      <c r="L1113" s="5">
        <f t="shared" si="224"/>
        <v>10</v>
      </c>
      <c r="M1113" s="5">
        <f t="shared" si="225"/>
        <v>2022</v>
      </c>
      <c r="N1113" s="6">
        <v>1068</v>
      </c>
      <c r="O1113" s="6">
        <f t="shared" si="229"/>
        <v>-1068</v>
      </c>
      <c r="P1113" s="6">
        <f t="shared" si="219"/>
        <v>0</v>
      </c>
      <c r="Q1113" s="7">
        <f t="shared" si="226"/>
        <v>1991014.350000001</v>
      </c>
      <c r="R1113" s="44" t="str">
        <f>VLOOKUP(F1113,'Set up'!$A$2:$E$70,5,FALSE)</f>
        <v>Trsf</v>
      </c>
      <c r="S1113" s="1" t="s">
        <v>1076</v>
      </c>
    </row>
    <row r="1114" spans="1:19" x14ac:dyDescent="0.3">
      <c r="A1114" s="4">
        <v>44856</v>
      </c>
      <c r="B1114" s="5">
        <f t="shared" si="221"/>
        <v>10</v>
      </c>
      <c r="C1114" s="5">
        <f t="shared" si="222"/>
        <v>2022</v>
      </c>
      <c r="D1114" s="5" t="s">
        <v>1010</v>
      </c>
      <c r="E1114" s="5" t="str">
        <f>VLOOKUP(F1114,'Set up'!$A$2:$C$70,2,FALSE)</f>
        <v>C00000020</v>
      </c>
      <c r="F1114" s="1" t="s">
        <v>409</v>
      </c>
      <c r="G1114" s="11" t="s">
        <v>716</v>
      </c>
      <c r="H1114" s="5">
        <v>2</v>
      </c>
      <c r="I1114" s="5" t="str">
        <f>VLOOKUP(F1114,'Set up'!$A$2:$C$70,3,FALSE)</f>
        <v>Cash</v>
      </c>
      <c r="J1114" s="5">
        <f>VLOOKUP(F1114,'Set up'!$A$2:$D$70,4,FALSE)</f>
        <v>0</v>
      </c>
      <c r="K1114" s="4">
        <f t="shared" si="223"/>
        <v>44856</v>
      </c>
      <c r="L1114" s="5">
        <f t="shared" si="224"/>
        <v>10</v>
      </c>
      <c r="M1114" s="5">
        <f t="shared" si="225"/>
        <v>2022</v>
      </c>
      <c r="N1114" s="6">
        <v>3608</v>
      </c>
      <c r="O1114" s="6">
        <f>-N1114</f>
        <v>-3608</v>
      </c>
      <c r="P1114" s="6">
        <f t="shared" si="219"/>
        <v>0</v>
      </c>
      <c r="Q1114" s="7">
        <f t="shared" si="226"/>
        <v>1994622.350000001</v>
      </c>
      <c r="R1114" s="44" t="str">
        <f>VLOOKUP(F1114,'Set up'!$A$2:$E$70,5,FALSE)</f>
        <v>Trsf</v>
      </c>
      <c r="S1114" s="1" t="s">
        <v>1034</v>
      </c>
    </row>
    <row r="1115" spans="1:19" x14ac:dyDescent="0.3">
      <c r="A1115" s="4">
        <v>44856</v>
      </c>
      <c r="B1115" s="5">
        <f t="shared" si="221"/>
        <v>10</v>
      </c>
      <c r="C1115" s="5">
        <f t="shared" si="222"/>
        <v>2022</v>
      </c>
      <c r="D1115" s="5" t="s">
        <v>1010</v>
      </c>
      <c r="E1115" s="5" t="str">
        <f>VLOOKUP(F1115,'Set up'!$A$2:$C$70,2,FALSE)</f>
        <v>C00000020</v>
      </c>
      <c r="F1115" s="1" t="s">
        <v>409</v>
      </c>
      <c r="G1115" s="11" t="s">
        <v>988</v>
      </c>
      <c r="H1115" s="5">
        <v>10</v>
      </c>
      <c r="I1115" s="5" t="str">
        <f>VLOOKUP(F1115,'Set up'!$A$2:$C$70,3,FALSE)</f>
        <v>Cash</v>
      </c>
      <c r="J1115" s="5">
        <f>VLOOKUP(F1115,'Set up'!$A$2:$D$70,4,FALSE)</f>
        <v>0</v>
      </c>
      <c r="K1115" s="4">
        <f t="shared" si="223"/>
        <v>44856</v>
      </c>
      <c r="L1115" s="5">
        <f t="shared" si="224"/>
        <v>10</v>
      </c>
      <c r="M1115" s="5">
        <f t="shared" si="225"/>
        <v>2022</v>
      </c>
      <c r="N1115" s="6">
        <v>2520</v>
      </c>
      <c r="O1115" s="6">
        <f>-N1115</f>
        <v>-2520</v>
      </c>
      <c r="P1115" s="6">
        <f t="shared" si="219"/>
        <v>0</v>
      </c>
      <c r="Q1115" s="7">
        <f t="shared" si="226"/>
        <v>1997142.350000001</v>
      </c>
      <c r="R1115" s="44" t="str">
        <f>VLOOKUP(F1115,'Set up'!$A$2:$E$70,5,FALSE)</f>
        <v>Trsf</v>
      </c>
      <c r="S1115" s="1" t="s">
        <v>1034</v>
      </c>
    </row>
    <row r="1116" spans="1:19" x14ac:dyDescent="0.3">
      <c r="A1116" s="4">
        <v>44856</v>
      </c>
      <c r="B1116" s="5">
        <f t="shared" si="221"/>
        <v>10</v>
      </c>
      <c r="C1116" s="5">
        <f t="shared" si="222"/>
        <v>2022</v>
      </c>
      <c r="D1116" s="5" t="s">
        <v>1010</v>
      </c>
      <c r="E1116" s="5" t="str">
        <f>VLOOKUP(F1116,'Set up'!$A$2:$C$70,2,FALSE)</f>
        <v>C00000020</v>
      </c>
      <c r="F1116" s="1" t="s">
        <v>409</v>
      </c>
      <c r="G1116" s="11" t="s">
        <v>792</v>
      </c>
      <c r="H1116" s="5">
        <v>5</v>
      </c>
      <c r="I1116" s="5" t="str">
        <f>VLOOKUP(F1116,'Set up'!$A$2:$C$70,3,FALSE)</f>
        <v>Cash</v>
      </c>
      <c r="J1116" s="5">
        <f>VLOOKUP(F1116,'Set up'!$A$2:$D$70,4,FALSE)</f>
        <v>0</v>
      </c>
      <c r="K1116" s="4">
        <f t="shared" si="223"/>
        <v>44856</v>
      </c>
      <c r="L1116" s="5">
        <f t="shared" si="224"/>
        <v>10</v>
      </c>
      <c r="M1116" s="5">
        <f t="shared" si="225"/>
        <v>2022</v>
      </c>
      <c r="N1116" s="6">
        <v>1462.5</v>
      </c>
      <c r="O1116" s="6">
        <f>-N1116</f>
        <v>-1462.5</v>
      </c>
      <c r="P1116" s="6">
        <f t="shared" si="219"/>
        <v>0</v>
      </c>
      <c r="Q1116" s="7">
        <f t="shared" si="226"/>
        <v>1998604.850000001</v>
      </c>
      <c r="R1116" s="44" t="str">
        <f>VLOOKUP(F1116,'Set up'!$A$2:$E$70,5,FALSE)</f>
        <v>Trsf</v>
      </c>
      <c r="S1116" s="1" t="s">
        <v>1034</v>
      </c>
    </row>
    <row r="1117" spans="1:19" x14ac:dyDescent="0.3">
      <c r="A1117" s="4">
        <v>44856</v>
      </c>
      <c r="B1117" s="5">
        <f t="shared" si="221"/>
        <v>10</v>
      </c>
      <c r="C1117" s="5">
        <f t="shared" si="222"/>
        <v>2022</v>
      </c>
      <c r="D1117" s="5" t="s">
        <v>1011</v>
      </c>
      <c r="E1117" s="5" t="str">
        <f>VLOOKUP(F1117,'Set up'!$A$2:$C$70,2,FALSE)</f>
        <v>C00000021</v>
      </c>
      <c r="F1117" s="1" t="s">
        <v>491</v>
      </c>
      <c r="G1117" s="11" t="s">
        <v>67</v>
      </c>
      <c r="H1117" s="5">
        <v>1</v>
      </c>
      <c r="I1117" s="5" t="str">
        <f>VLOOKUP(F1117,'Set up'!$A$2:$C$70,3,FALSE)</f>
        <v>Cash</v>
      </c>
      <c r="J1117" s="5">
        <f>VLOOKUP(F1117,'Set up'!$A$2:$D$70,4,FALSE)</f>
        <v>0</v>
      </c>
      <c r="K1117" s="4">
        <f t="shared" si="223"/>
        <v>44856</v>
      </c>
      <c r="L1117" s="5">
        <f t="shared" si="224"/>
        <v>10</v>
      </c>
      <c r="M1117" s="5">
        <f t="shared" si="225"/>
        <v>2022</v>
      </c>
      <c r="N1117" s="6">
        <v>1936</v>
      </c>
      <c r="O1117" s="6">
        <f t="shared" ref="O1117:O1119" si="230">-N1117</f>
        <v>-1936</v>
      </c>
      <c r="P1117" s="6">
        <f t="shared" si="219"/>
        <v>0</v>
      </c>
      <c r="Q1117" s="7">
        <f t="shared" si="226"/>
        <v>2000540.850000001</v>
      </c>
      <c r="R1117" s="44" t="str">
        <f>VLOOKUP(F1117,'Set up'!$A$2:$E$70,5,FALSE)</f>
        <v>PD Chq</v>
      </c>
      <c r="S1117" s="1" t="s">
        <v>1285</v>
      </c>
    </row>
    <row r="1118" spans="1:19" x14ac:dyDescent="0.3">
      <c r="A1118" s="4">
        <v>44856</v>
      </c>
      <c r="B1118" s="5">
        <f t="shared" si="221"/>
        <v>10</v>
      </c>
      <c r="C1118" s="5">
        <f t="shared" si="222"/>
        <v>2022</v>
      </c>
      <c r="D1118" s="5" t="s">
        <v>1011</v>
      </c>
      <c r="E1118" s="5" t="str">
        <f>VLOOKUP(F1118,'Set up'!$A$2:$C$70,2,FALSE)</f>
        <v>C00000021</v>
      </c>
      <c r="F1118" s="1" t="s">
        <v>491</v>
      </c>
      <c r="G1118" s="11" t="s">
        <v>988</v>
      </c>
      <c r="H1118" s="5">
        <v>3</v>
      </c>
      <c r="I1118" s="5" t="str">
        <f>VLOOKUP(F1118,'Set up'!$A$2:$C$70,3,FALSE)</f>
        <v>Cash</v>
      </c>
      <c r="J1118" s="5">
        <f>VLOOKUP(F1118,'Set up'!$A$2:$D$70,4,FALSE)</f>
        <v>0</v>
      </c>
      <c r="K1118" s="4">
        <f t="shared" si="223"/>
        <v>44856</v>
      </c>
      <c r="L1118" s="5">
        <f t="shared" si="224"/>
        <v>10</v>
      </c>
      <c r="M1118" s="5">
        <f t="shared" si="225"/>
        <v>2022</v>
      </c>
      <c r="N1118" s="6">
        <v>801</v>
      </c>
      <c r="O1118" s="6">
        <f t="shared" si="230"/>
        <v>-801</v>
      </c>
      <c r="P1118" s="6">
        <f t="shared" si="219"/>
        <v>0</v>
      </c>
      <c r="Q1118" s="7">
        <f t="shared" si="226"/>
        <v>2001341.850000001</v>
      </c>
      <c r="R1118" s="44" t="str">
        <f>VLOOKUP(F1118,'Set up'!$A$2:$E$70,5,FALSE)</f>
        <v>PD Chq</v>
      </c>
      <c r="S1118" s="1" t="s">
        <v>1285</v>
      </c>
    </row>
    <row r="1119" spans="1:19" x14ac:dyDescent="0.3">
      <c r="A1119" s="4">
        <v>44856</v>
      </c>
      <c r="B1119" s="5">
        <f t="shared" si="221"/>
        <v>10</v>
      </c>
      <c r="C1119" s="5">
        <f t="shared" si="222"/>
        <v>2022</v>
      </c>
      <c r="D1119" s="5" t="s">
        <v>1011</v>
      </c>
      <c r="E1119" s="5" t="str">
        <f>VLOOKUP(F1119,'Set up'!$A$2:$C$70,2,FALSE)</f>
        <v>C00000021</v>
      </c>
      <c r="F1119" s="1" t="s">
        <v>491</v>
      </c>
      <c r="G1119" s="11" t="s">
        <v>948</v>
      </c>
      <c r="H1119" s="5">
        <v>1</v>
      </c>
      <c r="I1119" s="5" t="str">
        <f>VLOOKUP(F1119,'Set up'!$A$2:$C$70,3,FALSE)</f>
        <v>Cash</v>
      </c>
      <c r="J1119" s="5">
        <f>VLOOKUP(F1119,'Set up'!$A$2:$D$70,4,FALSE)</f>
        <v>0</v>
      </c>
      <c r="K1119" s="4">
        <f t="shared" si="223"/>
        <v>44856</v>
      </c>
      <c r="L1119" s="5">
        <f t="shared" si="224"/>
        <v>10</v>
      </c>
      <c r="M1119" s="5">
        <f t="shared" si="225"/>
        <v>2022</v>
      </c>
      <c r="N1119" s="6">
        <v>100</v>
      </c>
      <c r="O1119" s="6">
        <f t="shared" si="230"/>
        <v>-100</v>
      </c>
      <c r="P1119" s="6">
        <f t="shared" si="219"/>
        <v>0</v>
      </c>
      <c r="Q1119" s="7">
        <f t="shared" si="226"/>
        <v>2001441.850000001</v>
      </c>
      <c r="R1119" s="44" t="str">
        <f>VLOOKUP(F1119,'Set up'!$A$2:$E$70,5,FALSE)</f>
        <v>PD Chq</v>
      </c>
      <c r="S1119" s="1" t="s">
        <v>1285</v>
      </c>
    </row>
    <row r="1120" spans="1:19" x14ac:dyDescent="0.3">
      <c r="A1120" s="4">
        <v>44861</v>
      </c>
      <c r="B1120" s="5">
        <f t="shared" si="221"/>
        <v>10</v>
      </c>
      <c r="C1120" s="5">
        <f t="shared" si="222"/>
        <v>2022</v>
      </c>
      <c r="D1120" s="5" t="s">
        <v>1012</v>
      </c>
      <c r="E1120" s="5" t="str">
        <f>VLOOKUP(F1120,'Set up'!$A$2:$C$70,2,FALSE)</f>
        <v>C00000020</v>
      </c>
      <c r="F1120" s="1" t="s">
        <v>409</v>
      </c>
      <c r="G1120" s="11" t="s">
        <v>64</v>
      </c>
      <c r="H1120" s="5">
        <v>4</v>
      </c>
      <c r="I1120" s="5" t="str">
        <f>VLOOKUP(F1120,'Set up'!$A$2:$C$70,3,FALSE)</f>
        <v>Cash</v>
      </c>
      <c r="J1120" s="5">
        <f>VLOOKUP(F1120,'Set up'!$A$2:$D$70,4,FALSE)</f>
        <v>0</v>
      </c>
      <c r="K1120" s="4">
        <f t="shared" si="223"/>
        <v>44861</v>
      </c>
      <c r="L1120" s="5">
        <f t="shared" si="224"/>
        <v>10</v>
      </c>
      <c r="M1120" s="5">
        <f t="shared" si="225"/>
        <v>2022</v>
      </c>
      <c r="N1120" s="6">
        <v>250</v>
      </c>
      <c r="O1120" s="6">
        <f>-N1120</f>
        <v>-250</v>
      </c>
      <c r="P1120" s="6">
        <f t="shared" si="219"/>
        <v>0</v>
      </c>
      <c r="Q1120" s="7">
        <f t="shared" si="226"/>
        <v>2001691.850000001</v>
      </c>
      <c r="R1120" s="44" t="str">
        <f>VLOOKUP(F1120,'Set up'!$A$2:$E$70,5,FALSE)</f>
        <v>Trsf</v>
      </c>
      <c r="S1120" s="1" t="s">
        <v>1040</v>
      </c>
    </row>
    <row r="1121" spans="1:19" x14ac:dyDescent="0.3">
      <c r="A1121" s="4">
        <v>44865</v>
      </c>
      <c r="B1121" s="5">
        <f t="shared" si="221"/>
        <v>10</v>
      </c>
      <c r="C1121" s="5">
        <f t="shared" si="222"/>
        <v>2022</v>
      </c>
      <c r="D1121" s="5" t="s">
        <v>1014</v>
      </c>
      <c r="E1121" s="5" t="str">
        <f>VLOOKUP(F1121,'Set up'!$A$2:$C$70,2,FALSE)</f>
        <v>C00000020</v>
      </c>
      <c r="F1121" s="1" t="s">
        <v>409</v>
      </c>
      <c r="G1121" s="11" t="s">
        <v>719</v>
      </c>
      <c r="H1121" s="5">
        <v>15</v>
      </c>
      <c r="I1121" s="5" t="str">
        <f>VLOOKUP(F1121,'Set up'!$A$2:$C$70,3,FALSE)</f>
        <v>Cash</v>
      </c>
      <c r="J1121" s="5">
        <f>VLOOKUP(F1121,'Set up'!$A$2:$D$70,4,FALSE)</f>
        <v>0</v>
      </c>
      <c r="K1121" s="4">
        <f t="shared" si="223"/>
        <v>44865</v>
      </c>
      <c r="L1121" s="5">
        <f t="shared" si="224"/>
        <v>10</v>
      </c>
      <c r="M1121" s="5">
        <f t="shared" si="225"/>
        <v>2022</v>
      </c>
      <c r="N1121" s="6">
        <v>27060</v>
      </c>
      <c r="O1121" s="6">
        <f>-789.4-11000-10000-5270.6</f>
        <v>-27060</v>
      </c>
      <c r="P1121" s="6">
        <f t="shared" si="219"/>
        <v>0</v>
      </c>
      <c r="Q1121" s="7">
        <f t="shared" si="226"/>
        <v>2028751.850000001</v>
      </c>
      <c r="R1121" s="44" t="str">
        <f>VLOOKUP(F1121,'Set up'!$A$2:$E$70,5,FALSE)</f>
        <v>Trsf</v>
      </c>
      <c r="S1121" s="1" t="s">
        <v>1374</v>
      </c>
    </row>
    <row r="1122" spans="1:19" x14ac:dyDescent="0.3">
      <c r="A1122" s="4">
        <v>44865</v>
      </c>
      <c r="B1122" s="5">
        <f t="shared" si="221"/>
        <v>10</v>
      </c>
      <c r="C1122" s="5">
        <f t="shared" si="222"/>
        <v>2022</v>
      </c>
      <c r="D1122" s="5" t="s">
        <v>1014</v>
      </c>
      <c r="E1122" s="5" t="str">
        <f>VLOOKUP(F1122,'Set up'!$A$2:$C$70,2,FALSE)</f>
        <v>C00000020</v>
      </c>
      <c r="F1122" s="1" t="s">
        <v>409</v>
      </c>
      <c r="G1122" s="11" t="s">
        <v>988</v>
      </c>
      <c r="H1122" s="5">
        <v>45</v>
      </c>
      <c r="I1122" s="5" t="str">
        <f>VLOOKUP(F1122,'Set up'!$A$2:$C$70,3,FALSE)</f>
        <v>Cash</v>
      </c>
      <c r="J1122" s="5">
        <f>VLOOKUP(F1122,'Set up'!$A$2:$D$70,4,FALSE)</f>
        <v>0</v>
      </c>
      <c r="K1122" s="4">
        <f t="shared" si="223"/>
        <v>44865</v>
      </c>
      <c r="L1122" s="5">
        <f t="shared" si="224"/>
        <v>10</v>
      </c>
      <c r="M1122" s="5">
        <f t="shared" si="225"/>
        <v>2022</v>
      </c>
      <c r="N1122" s="6">
        <v>11340</v>
      </c>
      <c r="O1122" s="6">
        <f t="shared" ref="O1122:O1127" si="231">-N1122</f>
        <v>-11340</v>
      </c>
      <c r="P1122" s="6">
        <f t="shared" si="219"/>
        <v>0</v>
      </c>
      <c r="Q1122" s="7">
        <f t="shared" si="226"/>
        <v>2040091.850000001</v>
      </c>
      <c r="R1122" s="44" t="str">
        <f>VLOOKUP(F1122,'Set up'!$A$2:$E$70,5,FALSE)</f>
        <v>Trsf</v>
      </c>
      <c r="S1122" s="1" t="s">
        <v>1375</v>
      </c>
    </row>
    <row r="1123" spans="1:19" x14ac:dyDescent="0.3">
      <c r="A1123" s="4">
        <v>44865</v>
      </c>
      <c r="B1123" s="5">
        <f t="shared" si="221"/>
        <v>10</v>
      </c>
      <c r="C1123" s="5">
        <f t="shared" si="222"/>
        <v>2022</v>
      </c>
      <c r="D1123" s="5" t="s">
        <v>1014</v>
      </c>
      <c r="E1123" s="5" t="str">
        <f>VLOOKUP(F1123,'Set up'!$A$2:$C$70,2,FALSE)</f>
        <v>C00000020</v>
      </c>
      <c r="F1123" s="1" t="s">
        <v>409</v>
      </c>
      <c r="G1123" s="11" t="s">
        <v>989</v>
      </c>
      <c r="H1123" s="5">
        <v>7</v>
      </c>
      <c r="I1123" s="5" t="str">
        <f>VLOOKUP(F1123,'Set up'!$A$2:$C$70,3,FALSE)</f>
        <v>Cash</v>
      </c>
      <c r="J1123" s="5">
        <f>VLOOKUP(F1123,'Set up'!$A$2:$D$70,4,FALSE)</f>
        <v>0</v>
      </c>
      <c r="K1123" s="4">
        <f t="shared" si="223"/>
        <v>44865</v>
      </c>
      <c r="L1123" s="5">
        <f t="shared" si="224"/>
        <v>10</v>
      </c>
      <c r="M1123" s="5">
        <f t="shared" si="225"/>
        <v>2022</v>
      </c>
      <c r="N1123" s="6">
        <v>2047.5</v>
      </c>
      <c r="O1123" s="6">
        <f t="shared" si="231"/>
        <v>-2047.5</v>
      </c>
      <c r="P1123" s="6">
        <f t="shared" si="219"/>
        <v>0</v>
      </c>
      <c r="Q1123" s="7">
        <f t="shared" si="226"/>
        <v>2042139.350000001</v>
      </c>
      <c r="R1123" s="44" t="str">
        <f>VLOOKUP(F1123,'Set up'!$A$2:$E$70,5,FALSE)</f>
        <v>Trsf</v>
      </c>
      <c r="S1123" s="1" t="s">
        <v>1375</v>
      </c>
    </row>
    <row r="1124" spans="1:19" x14ac:dyDescent="0.3">
      <c r="A1124" s="4">
        <v>44865</v>
      </c>
      <c r="B1124" s="5">
        <f t="shared" si="221"/>
        <v>10</v>
      </c>
      <c r="C1124" s="5">
        <f t="shared" si="222"/>
        <v>2022</v>
      </c>
      <c r="D1124" s="5" t="s">
        <v>1014</v>
      </c>
      <c r="E1124" s="5" t="str">
        <f>VLOOKUP(F1124,'Set up'!$A$2:$C$70,2,FALSE)</f>
        <v>C00000020</v>
      </c>
      <c r="F1124" s="1" t="s">
        <v>409</v>
      </c>
      <c r="G1124" s="11" t="s">
        <v>1013</v>
      </c>
      <c r="H1124" s="5">
        <v>15</v>
      </c>
      <c r="I1124" s="5" t="str">
        <f>VLOOKUP(F1124,'Set up'!$A$2:$C$70,3,FALSE)</f>
        <v>Cash</v>
      </c>
      <c r="J1124" s="5">
        <f>VLOOKUP(F1124,'Set up'!$A$2:$D$70,4,FALSE)</f>
        <v>0</v>
      </c>
      <c r="K1124" s="4">
        <f t="shared" si="223"/>
        <v>44865</v>
      </c>
      <c r="L1124" s="5">
        <f t="shared" si="224"/>
        <v>10</v>
      </c>
      <c r="M1124" s="5">
        <f t="shared" si="225"/>
        <v>2022</v>
      </c>
      <c r="N1124" s="6">
        <v>3900</v>
      </c>
      <c r="O1124" s="6">
        <f t="shared" si="231"/>
        <v>-3900</v>
      </c>
      <c r="P1124" s="6">
        <f t="shared" si="219"/>
        <v>0</v>
      </c>
      <c r="Q1124" s="7">
        <f t="shared" si="226"/>
        <v>2046039.350000001</v>
      </c>
      <c r="R1124" s="44" t="str">
        <f>VLOOKUP(F1124,'Set up'!$A$2:$E$70,5,FALSE)</f>
        <v>Trsf</v>
      </c>
      <c r="S1124" s="1" t="s">
        <v>1375</v>
      </c>
    </row>
    <row r="1125" spans="1:19" x14ac:dyDescent="0.3">
      <c r="A1125" s="4">
        <v>44865</v>
      </c>
      <c r="B1125" s="5">
        <f t="shared" si="221"/>
        <v>10</v>
      </c>
      <c r="C1125" s="5">
        <f t="shared" si="222"/>
        <v>2022</v>
      </c>
      <c r="D1125" s="5" t="s">
        <v>1014</v>
      </c>
      <c r="E1125" s="5" t="str">
        <f>VLOOKUP(F1125,'Set up'!$A$2:$C$70,2,FALSE)</f>
        <v>C00000020</v>
      </c>
      <c r="F1125" s="1" t="s">
        <v>409</v>
      </c>
      <c r="G1125" s="11" t="s">
        <v>64</v>
      </c>
      <c r="H1125" s="5">
        <v>15</v>
      </c>
      <c r="I1125" s="5" t="str">
        <f>VLOOKUP(F1125,'Set up'!$A$2:$C$70,3,FALSE)</f>
        <v>Cash</v>
      </c>
      <c r="J1125" s="5">
        <f>VLOOKUP(F1125,'Set up'!$A$2:$D$70,4,FALSE)</f>
        <v>0</v>
      </c>
      <c r="K1125" s="4">
        <f t="shared" si="223"/>
        <v>44865</v>
      </c>
      <c r="L1125" s="5">
        <f t="shared" si="224"/>
        <v>10</v>
      </c>
      <c r="M1125" s="5">
        <f t="shared" si="225"/>
        <v>2022</v>
      </c>
      <c r="N1125" s="6">
        <v>937.5</v>
      </c>
      <c r="O1125" s="6">
        <f t="shared" si="231"/>
        <v>-937.5</v>
      </c>
      <c r="P1125" s="6">
        <f t="shared" si="219"/>
        <v>0</v>
      </c>
      <c r="Q1125" s="7">
        <f t="shared" si="226"/>
        <v>2046976.850000001</v>
      </c>
      <c r="R1125" s="44" t="str">
        <f>VLOOKUP(F1125,'Set up'!$A$2:$E$70,5,FALSE)</f>
        <v>Trsf</v>
      </c>
      <c r="S1125" s="1" t="s">
        <v>1375</v>
      </c>
    </row>
    <row r="1126" spans="1:19" x14ac:dyDescent="0.3">
      <c r="A1126" s="4">
        <v>44865</v>
      </c>
      <c r="B1126" s="5">
        <f t="shared" si="221"/>
        <v>10</v>
      </c>
      <c r="C1126" s="5">
        <f t="shared" si="222"/>
        <v>2022</v>
      </c>
      <c r="D1126" s="5" t="s">
        <v>1014</v>
      </c>
      <c r="E1126" s="5" t="str">
        <f>VLOOKUP(F1126,'Set up'!$A$2:$C$70,2,FALSE)</f>
        <v>C00000020</v>
      </c>
      <c r="F1126" s="1" t="s">
        <v>409</v>
      </c>
      <c r="G1126" s="11" t="s">
        <v>990</v>
      </c>
      <c r="H1126" s="5">
        <v>2</v>
      </c>
      <c r="I1126" s="5" t="str">
        <f>VLOOKUP(F1126,'Set up'!$A$2:$C$70,3,FALSE)</f>
        <v>Cash</v>
      </c>
      <c r="J1126" s="5">
        <f>VLOOKUP(F1126,'Set up'!$A$2:$D$70,4,FALSE)</f>
        <v>0</v>
      </c>
      <c r="K1126" s="4">
        <f t="shared" si="223"/>
        <v>44865</v>
      </c>
      <c r="L1126" s="5">
        <f t="shared" si="224"/>
        <v>10</v>
      </c>
      <c r="M1126" s="5">
        <f t="shared" si="225"/>
        <v>2022</v>
      </c>
      <c r="N1126" s="6">
        <v>2000</v>
      </c>
      <c r="O1126" s="6">
        <f t="shared" si="231"/>
        <v>-2000</v>
      </c>
      <c r="P1126" s="6">
        <f t="shared" si="219"/>
        <v>0</v>
      </c>
      <c r="Q1126" s="7">
        <f t="shared" si="226"/>
        <v>2048976.850000001</v>
      </c>
      <c r="R1126" s="44" t="str">
        <f>VLOOKUP(F1126,'Set up'!$A$2:$E$70,5,FALSE)</f>
        <v>Trsf</v>
      </c>
      <c r="S1126" s="1" t="s">
        <v>1375</v>
      </c>
    </row>
    <row r="1127" spans="1:19" x14ac:dyDescent="0.3">
      <c r="A1127" s="4">
        <v>44865</v>
      </c>
      <c r="B1127" s="5">
        <f t="shared" si="221"/>
        <v>10</v>
      </c>
      <c r="C1127" s="5">
        <f t="shared" si="222"/>
        <v>2022</v>
      </c>
      <c r="D1127" s="5" t="s">
        <v>1014</v>
      </c>
      <c r="E1127" s="5" t="str">
        <f>VLOOKUP(F1127,'Set up'!$A$2:$C$70,2,FALSE)</f>
        <v>C00000020</v>
      </c>
      <c r="F1127" s="1" t="s">
        <v>409</v>
      </c>
      <c r="G1127" s="11" t="s">
        <v>991</v>
      </c>
      <c r="H1127" s="5">
        <v>4</v>
      </c>
      <c r="I1127" s="5" t="str">
        <f>VLOOKUP(F1127,'Set up'!$A$2:$C$70,3,FALSE)</f>
        <v>Cash</v>
      </c>
      <c r="J1127" s="5">
        <f>VLOOKUP(F1127,'Set up'!$A$2:$D$70,4,FALSE)</f>
        <v>0</v>
      </c>
      <c r="K1127" s="4">
        <f t="shared" si="223"/>
        <v>44865</v>
      </c>
      <c r="L1127" s="5">
        <f t="shared" si="224"/>
        <v>10</v>
      </c>
      <c r="M1127" s="5">
        <f t="shared" si="225"/>
        <v>2022</v>
      </c>
      <c r="N1127" s="6">
        <v>400</v>
      </c>
      <c r="O1127" s="6">
        <f t="shared" si="231"/>
        <v>-400</v>
      </c>
      <c r="P1127" s="6">
        <f t="shared" si="219"/>
        <v>0</v>
      </c>
      <c r="Q1127" s="7">
        <f t="shared" si="226"/>
        <v>2049376.850000001</v>
      </c>
      <c r="R1127" s="44" t="str">
        <f>VLOOKUP(F1127,'Set up'!$A$2:$E$70,5,FALSE)</f>
        <v>Trsf</v>
      </c>
      <c r="S1127" s="1" t="s">
        <v>1375</v>
      </c>
    </row>
    <row r="1128" spans="1:19" x14ac:dyDescent="0.3">
      <c r="A1128" s="4">
        <v>44865</v>
      </c>
      <c r="B1128" s="5">
        <f t="shared" si="221"/>
        <v>10</v>
      </c>
      <c r="C1128" s="5">
        <f t="shared" si="222"/>
        <v>2022</v>
      </c>
      <c r="D1128" s="5" t="s">
        <v>1015</v>
      </c>
      <c r="E1128" s="5" t="str">
        <f>VLOOKUP(F1128,'Set up'!$A$2:$C$70,2,FALSE)</f>
        <v>C00000021</v>
      </c>
      <c r="F1128" s="1" t="s">
        <v>491</v>
      </c>
      <c r="G1128" s="11" t="s">
        <v>67</v>
      </c>
      <c r="H1128" s="5">
        <v>1</v>
      </c>
      <c r="I1128" s="5" t="str">
        <f>VLOOKUP(F1128,'Set up'!$A$2:$C$70,3,FALSE)</f>
        <v>Cash</v>
      </c>
      <c r="J1128" s="5">
        <f>VLOOKUP(F1128,'Set up'!$A$2:$D$70,4,FALSE)</f>
        <v>0</v>
      </c>
      <c r="K1128" s="4">
        <f t="shared" si="223"/>
        <v>44865</v>
      </c>
      <c r="L1128" s="5">
        <f t="shared" si="224"/>
        <v>10</v>
      </c>
      <c r="M1128" s="5">
        <f t="shared" si="225"/>
        <v>2022</v>
      </c>
      <c r="N1128" s="6">
        <v>1936</v>
      </c>
      <c r="O1128" s="6">
        <f t="shared" ref="O1128:O1137" si="232">-N1128</f>
        <v>-1936</v>
      </c>
      <c r="P1128" s="6">
        <f t="shared" si="219"/>
        <v>0</v>
      </c>
      <c r="Q1128" s="7">
        <f t="shared" si="226"/>
        <v>2051312.850000001</v>
      </c>
      <c r="R1128" s="44" t="str">
        <f>VLOOKUP(F1128,'Set up'!$A$2:$E$70,5,FALSE)</f>
        <v>PD Chq</v>
      </c>
      <c r="S1128" s="1" t="s">
        <v>1295</v>
      </c>
    </row>
    <row r="1129" spans="1:19" x14ac:dyDescent="0.3">
      <c r="A1129" s="4">
        <v>44865</v>
      </c>
      <c r="B1129" s="5">
        <f t="shared" si="221"/>
        <v>10</v>
      </c>
      <c r="C1129" s="5">
        <f t="shared" si="222"/>
        <v>2022</v>
      </c>
      <c r="D1129" s="5" t="s">
        <v>1015</v>
      </c>
      <c r="E1129" s="5" t="str">
        <f>VLOOKUP(F1129,'Set up'!$A$2:$C$70,2,FALSE)</f>
        <v>C00000021</v>
      </c>
      <c r="F1129" s="1" t="s">
        <v>491</v>
      </c>
      <c r="G1129" s="11" t="s">
        <v>654</v>
      </c>
      <c r="H1129" s="5">
        <v>3</v>
      </c>
      <c r="I1129" s="5" t="str">
        <f>VLOOKUP(F1129,'Set up'!$A$2:$C$70,3,FALSE)</f>
        <v>Cash</v>
      </c>
      <c r="J1129" s="5">
        <f>VLOOKUP(F1129,'Set up'!$A$2:$D$70,4,FALSE)</f>
        <v>0</v>
      </c>
      <c r="K1129" s="4">
        <f t="shared" si="223"/>
        <v>44865</v>
      </c>
      <c r="L1129" s="5">
        <f t="shared" si="224"/>
        <v>10</v>
      </c>
      <c r="M1129" s="5">
        <f t="shared" si="225"/>
        <v>2022</v>
      </c>
      <c r="N1129" s="6">
        <v>801</v>
      </c>
      <c r="O1129" s="6">
        <f t="shared" si="232"/>
        <v>-801</v>
      </c>
      <c r="P1129" s="6">
        <f t="shared" si="219"/>
        <v>0</v>
      </c>
      <c r="Q1129" s="7">
        <f t="shared" si="226"/>
        <v>2052113.850000001</v>
      </c>
      <c r="R1129" s="44" t="str">
        <f>VLOOKUP(F1129,'Set up'!$A$2:$E$70,5,FALSE)</f>
        <v>PD Chq</v>
      </c>
      <c r="S1129" s="1" t="s">
        <v>1295</v>
      </c>
    </row>
    <row r="1130" spans="1:19" x14ac:dyDescent="0.3">
      <c r="A1130" s="4">
        <v>44865</v>
      </c>
      <c r="B1130" s="5">
        <f t="shared" si="221"/>
        <v>10</v>
      </c>
      <c r="C1130" s="5">
        <f t="shared" si="222"/>
        <v>2022</v>
      </c>
      <c r="D1130" s="5" t="s">
        <v>1015</v>
      </c>
      <c r="E1130" s="5" t="str">
        <f>VLOOKUP(F1130,'Set up'!$A$2:$C$70,2,FALSE)</f>
        <v>C00000021</v>
      </c>
      <c r="F1130" s="1" t="s">
        <v>491</v>
      </c>
      <c r="G1130" s="11" t="s">
        <v>991</v>
      </c>
      <c r="H1130" s="5">
        <v>1</v>
      </c>
      <c r="I1130" s="5" t="str">
        <f>VLOOKUP(F1130,'Set up'!$A$2:$C$70,3,FALSE)</f>
        <v>Cash</v>
      </c>
      <c r="J1130" s="5">
        <f>VLOOKUP(F1130,'Set up'!$A$2:$D$70,4,FALSE)</f>
        <v>0</v>
      </c>
      <c r="K1130" s="4">
        <f t="shared" si="223"/>
        <v>44865</v>
      </c>
      <c r="L1130" s="5">
        <f t="shared" si="224"/>
        <v>10</v>
      </c>
      <c r="M1130" s="5">
        <f t="shared" si="225"/>
        <v>2022</v>
      </c>
      <c r="N1130" s="6">
        <v>100</v>
      </c>
      <c r="O1130" s="6">
        <f t="shared" si="232"/>
        <v>-100</v>
      </c>
      <c r="P1130" s="6">
        <f t="shared" si="219"/>
        <v>0</v>
      </c>
      <c r="Q1130" s="7">
        <f t="shared" si="226"/>
        <v>2052213.850000001</v>
      </c>
      <c r="R1130" s="44" t="str">
        <f>VLOOKUP(F1130,'Set up'!$A$2:$E$70,5,FALSE)</f>
        <v>PD Chq</v>
      </c>
      <c r="S1130" s="1" t="s">
        <v>1295</v>
      </c>
    </row>
    <row r="1131" spans="1:19" x14ac:dyDescent="0.3">
      <c r="A1131" s="4">
        <v>44865</v>
      </c>
      <c r="B1131" s="5">
        <f t="shared" si="221"/>
        <v>10</v>
      </c>
      <c r="C1131" s="5">
        <f t="shared" si="222"/>
        <v>2022</v>
      </c>
      <c r="D1131" s="5" t="s">
        <v>1015</v>
      </c>
      <c r="E1131" s="5" t="str">
        <f>VLOOKUP(F1131,'Set up'!$A$2:$C$70,2,FALSE)</f>
        <v>C00000021</v>
      </c>
      <c r="F1131" s="1" t="s">
        <v>491</v>
      </c>
      <c r="G1131" s="11" t="s">
        <v>1016</v>
      </c>
      <c r="H1131" s="5">
        <v>1</v>
      </c>
      <c r="I1131" s="5" t="str">
        <f>VLOOKUP(F1131,'Set up'!$A$2:$C$70,3,FALSE)</f>
        <v>Cash</v>
      </c>
      <c r="J1131" s="5">
        <f>VLOOKUP(F1131,'Set up'!$A$2:$D$70,4,FALSE)</f>
        <v>0</v>
      </c>
      <c r="K1131" s="4">
        <f t="shared" si="223"/>
        <v>44865</v>
      </c>
      <c r="L1131" s="5">
        <f t="shared" si="224"/>
        <v>10</v>
      </c>
      <c r="M1131" s="5">
        <f t="shared" si="225"/>
        <v>2022</v>
      </c>
      <c r="N1131" s="6">
        <v>258</v>
      </c>
      <c r="O1131" s="6">
        <f t="shared" si="232"/>
        <v>-258</v>
      </c>
      <c r="P1131" s="6">
        <f t="shared" si="219"/>
        <v>0</v>
      </c>
      <c r="Q1131" s="7">
        <f t="shared" si="226"/>
        <v>2052471.850000001</v>
      </c>
      <c r="R1131" s="44" t="str">
        <f>VLOOKUP(F1131,'Set up'!$A$2:$E$70,5,FALSE)</f>
        <v>PD Chq</v>
      </c>
      <c r="S1131" s="1" t="s">
        <v>1295</v>
      </c>
    </row>
    <row r="1132" spans="1:19" x14ac:dyDescent="0.3">
      <c r="A1132" s="4">
        <v>44866</v>
      </c>
      <c r="B1132" s="5">
        <f t="shared" si="221"/>
        <v>11</v>
      </c>
      <c r="C1132" s="5">
        <f t="shared" si="222"/>
        <v>2022</v>
      </c>
      <c r="D1132" s="5" t="s">
        <v>1046</v>
      </c>
      <c r="E1132" s="5" t="str">
        <f>VLOOKUP(F1132,'Set up'!$A$2:$C$70,2,FALSE)</f>
        <v>C00000004</v>
      </c>
      <c r="F1132" s="1" t="s">
        <v>23</v>
      </c>
      <c r="G1132" s="89" t="s">
        <v>719</v>
      </c>
      <c r="H1132" s="5">
        <v>5</v>
      </c>
      <c r="I1132" s="5">
        <f>VLOOKUP(F1132,'Set up'!$A$2:$C$70,3,FALSE)</f>
        <v>120</v>
      </c>
      <c r="J1132" s="5">
        <f>VLOOKUP(F1132,'Set up'!$A$2:$D$70,4,FALSE)</f>
        <v>120</v>
      </c>
      <c r="K1132" s="4">
        <f t="shared" si="223"/>
        <v>44986</v>
      </c>
      <c r="L1132" s="5">
        <f t="shared" si="224"/>
        <v>3</v>
      </c>
      <c r="M1132" s="5">
        <f t="shared" si="225"/>
        <v>2023</v>
      </c>
      <c r="N1132" s="6">
        <v>9020</v>
      </c>
      <c r="O1132" s="6">
        <f t="shared" si="232"/>
        <v>-9020</v>
      </c>
      <c r="P1132" s="6">
        <f t="shared" si="219"/>
        <v>0</v>
      </c>
      <c r="Q1132" s="7">
        <f t="shared" si="226"/>
        <v>2061491.850000001</v>
      </c>
      <c r="R1132" s="44" t="str">
        <f>VLOOKUP(F1132,'Set up'!$A$2:$E$70,5,FALSE)</f>
        <v>Chq</v>
      </c>
      <c r="S1132" s="1" t="s">
        <v>1785</v>
      </c>
    </row>
    <row r="1133" spans="1:19" x14ac:dyDescent="0.3">
      <c r="A1133" s="4">
        <v>44866</v>
      </c>
      <c r="B1133" s="5">
        <f t="shared" si="221"/>
        <v>11</v>
      </c>
      <c r="C1133" s="5">
        <f t="shared" si="222"/>
        <v>2022</v>
      </c>
      <c r="D1133" s="5" t="s">
        <v>1046</v>
      </c>
      <c r="E1133" s="5" t="str">
        <f>VLOOKUP(F1133,'Set up'!$A$2:$C$70,2,FALSE)</f>
        <v>C00000004</v>
      </c>
      <c r="F1133" s="1" t="s">
        <v>23</v>
      </c>
      <c r="G1133" s="89" t="s">
        <v>616</v>
      </c>
      <c r="H1133" s="5">
        <v>1</v>
      </c>
      <c r="I1133" s="5">
        <f>VLOOKUP(F1133,'Set up'!$A$2:$C$70,3,FALSE)</f>
        <v>120</v>
      </c>
      <c r="J1133" s="5">
        <f>VLOOKUP(F1133,'Set up'!$A$2:$D$70,4,FALSE)</f>
        <v>120</v>
      </c>
      <c r="K1133" s="4">
        <f t="shared" si="223"/>
        <v>44986</v>
      </c>
      <c r="L1133" s="5">
        <f t="shared" si="224"/>
        <v>3</v>
      </c>
      <c r="M1133" s="5">
        <f t="shared" si="225"/>
        <v>2023</v>
      </c>
      <c r="N1133" s="6">
        <v>1804</v>
      </c>
      <c r="O1133" s="6">
        <f t="shared" si="232"/>
        <v>-1804</v>
      </c>
      <c r="P1133" s="6">
        <f t="shared" si="219"/>
        <v>0</v>
      </c>
      <c r="Q1133" s="7">
        <f t="shared" si="226"/>
        <v>2063295.850000001</v>
      </c>
      <c r="R1133" s="44" t="str">
        <f>VLOOKUP(F1133,'Set up'!$A$2:$E$70,5,FALSE)</f>
        <v>Chq</v>
      </c>
      <c r="S1133" s="1" t="s">
        <v>1785</v>
      </c>
    </row>
    <row r="1134" spans="1:19" x14ac:dyDescent="0.3">
      <c r="A1134" s="4">
        <v>44866</v>
      </c>
      <c r="B1134" s="5">
        <f t="shared" si="221"/>
        <v>11</v>
      </c>
      <c r="C1134" s="5">
        <f t="shared" si="222"/>
        <v>2022</v>
      </c>
      <c r="D1134" s="5" t="s">
        <v>1047</v>
      </c>
      <c r="E1134" s="5" t="str">
        <f>VLOOKUP(F1134,'Set up'!$A$2:$C$70,2,FALSE)</f>
        <v>C00000010</v>
      </c>
      <c r="F1134" s="1" t="s">
        <v>62</v>
      </c>
      <c r="G1134" s="89" t="s">
        <v>303</v>
      </c>
      <c r="H1134" s="5">
        <v>5</v>
      </c>
      <c r="I1134" s="5">
        <f>VLOOKUP(F1134,'Set up'!$A$2:$C$70,3,FALSE)</f>
        <v>120</v>
      </c>
      <c r="J1134" s="5">
        <f>VLOOKUP(F1134,'Set up'!$A$2:$D$70,4,FALSE)</f>
        <v>120</v>
      </c>
      <c r="K1134" s="4">
        <f t="shared" si="223"/>
        <v>44986</v>
      </c>
      <c r="L1134" s="5">
        <f t="shared" si="224"/>
        <v>3</v>
      </c>
      <c r="M1134" s="5">
        <f t="shared" si="225"/>
        <v>2023</v>
      </c>
      <c r="N1134" s="6">
        <v>9020</v>
      </c>
      <c r="O1134" s="6">
        <f t="shared" si="232"/>
        <v>-9020</v>
      </c>
      <c r="P1134" s="6">
        <f t="shared" si="219"/>
        <v>0</v>
      </c>
      <c r="Q1134" s="7">
        <f t="shared" si="226"/>
        <v>2072315.850000001</v>
      </c>
      <c r="R1134" s="44" t="str">
        <f>VLOOKUP(F1134,'Set up'!$A$2:$E$70,5,FALSE)</f>
        <v>Trsf</v>
      </c>
      <c r="S1134" s="1" t="s">
        <v>1298</v>
      </c>
    </row>
    <row r="1135" spans="1:19" x14ac:dyDescent="0.3">
      <c r="A1135" s="4">
        <v>44866</v>
      </c>
      <c r="B1135" s="5">
        <f t="shared" si="221"/>
        <v>11</v>
      </c>
      <c r="C1135" s="5">
        <f t="shared" si="222"/>
        <v>2022</v>
      </c>
      <c r="D1135" s="5" t="s">
        <v>1047</v>
      </c>
      <c r="E1135" s="5" t="str">
        <f>VLOOKUP(F1135,'Set up'!$A$2:$C$70,2,FALSE)</f>
        <v>C00000010</v>
      </c>
      <c r="F1135" s="1" t="s">
        <v>62</v>
      </c>
      <c r="G1135" s="89" t="s">
        <v>913</v>
      </c>
      <c r="H1135" s="5">
        <v>5</v>
      </c>
      <c r="I1135" s="5">
        <f>VLOOKUP(F1135,'Set up'!$A$2:$C$70,3,FALSE)</f>
        <v>120</v>
      </c>
      <c r="J1135" s="5">
        <f>VLOOKUP(F1135,'Set up'!$A$2:$D$70,4,FALSE)</f>
        <v>120</v>
      </c>
      <c r="K1135" s="4">
        <f t="shared" si="223"/>
        <v>44986</v>
      </c>
      <c r="L1135" s="5">
        <f t="shared" si="224"/>
        <v>3</v>
      </c>
      <c r="M1135" s="5">
        <f t="shared" si="225"/>
        <v>2023</v>
      </c>
      <c r="N1135" s="6">
        <v>1245</v>
      </c>
      <c r="O1135" s="6">
        <f t="shared" si="232"/>
        <v>-1245</v>
      </c>
      <c r="P1135" s="6">
        <f t="shared" si="219"/>
        <v>0</v>
      </c>
      <c r="Q1135" s="7">
        <f t="shared" si="226"/>
        <v>2073560.850000001</v>
      </c>
      <c r="R1135" s="44" t="str">
        <f>VLOOKUP(F1135,'Set up'!$A$2:$E$70,5,FALSE)</f>
        <v>Trsf</v>
      </c>
      <c r="S1135" s="1" t="s">
        <v>1298</v>
      </c>
    </row>
    <row r="1136" spans="1:19" x14ac:dyDescent="0.3">
      <c r="A1136" s="4">
        <v>44866</v>
      </c>
      <c r="B1136" s="5">
        <f t="shared" si="221"/>
        <v>11</v>
      </c>
      <c r="C1136" s="5">
        <f t="shared" si="222"/>
        <v>2022</v>
      </c>
      <c r="D1136" s="5" t="s">
        <v>1047</v>
      </c>
      <c r="E1136" s="5" t="str">
        <f>VLOOKUP(F1136,'Set up'!$A$2:$C$70,2,FALSE)</f>
        <v>C00000010</v>
      </c>
      <c r="F1136" s="1" t="s">
        <v>62</v>
      </c>
      <c r="G1136" s="89" t="s">
        <v>64</v>
      </c>
      <c r="H1136" s="5">
        <v>10</v>
      </c>
      <c r="I1136" s="5">
        <f>VLOOKUP(F1136,'Set up'!$A$2:$C$70,3,FALSE)</f>
        <v>120</v>
      </c>
      <c r="J1136" s="5">
        <f>VLOOKUP(F1136,'Set up'!$A$2:$D$70,4,FALSE)</f>
        <v>120</v>
      </c>
      <c r="K1136" s="4">
        <f t="shared" si="223"/>
        <v>44986</v>
      </c>
      <c r="L1136" s="5">
        <f t="shared" si="224"/>
        <v>3</v>
      </c>
      <c r="M1136" s="5">
        <f t="shared" si="225"/>
        <v>2023</v>
      </c>
      <c r="N1136" s="6">
        <v>575</v>
      </c>
      <c r="O1136" s="6">
        <f t="shared" si="232"/>
        <v>-575</v>
      </c>
      <c r="P1136" s="6">
        <f t="shared" si="219"/>
        <v>0</v>
      </c>
      <c r="Q1136" s="7">
        <f t="shared" si="226"/>
        <v>2074135.850000001</v>
      </c>
      <c r="R1136" s="44" t="str">
        <f>VLOOKUP(F1136,'Set up'!$A$2:$E$70,5,FALSE)</f>
        <v>Trsf</v>
      </c>
      <c r="S1136" s="1" t="s">
        <v>1298</v>
      </c>
    </row>
    <row r="1137" spans="1:19" x14ac:dyDescent="0.3">
      <c r="A1137" s="4">
        <v>44866</v>
      </c>
      <c r="B1137" s="5">
        <f t="shared" si="221"/>
        <v>11</v>
      </c>
      <c r="C1137" s="5">
        <f t="shared" si="222"/>
        <v>2022</v>
      </c>
      <c r="D1137" s="5" t="s">
        <v>1047</v>
      </c>
      <c r="E1137" s="5" t="str">
        <f>VLOOKUP(F1137,'Set up'!$A$2:$C$70,2,FALSE)</f>
        <v>C00000010</v>
      </c>
      <c r="F1137" s="1" t="s">
        <v>62</v>
      </c>
      <c r="G1137" s="89" t="s">
        <v>945</v>
      </c>
      <c r="H1137" s="5">
        <v>4</v>
      </c>
      <c r="I1137" s="5">
        <f>VLOOKUP(F1137,'Set up'!$A$2:$C$70,3,FALSE)</f>
        <v>120</v>
      </c>
      <c r="J1137" s="5">
        <f>VLOOKUP(F1137,'Set up'!$A$2:$D$70,4,FALSE)</f>
        <v>120</v>
      </c>
      <c r="K1137" s="4">
        <f t="shared" si="223"/>
        <v>44986</v>
      </c>
      <c r="L1137" s="5">
        <f t="shared" si="224"/>
        <v>3</v>
      </c>
      <c r="M1137" s="5">
        <f t="shared" si="225"/>
        <v>2023</v>
      </c>
      <c r="N1137" s="6">
        <v>420</v>
      </c>
      <c r="O1137" s="6">
        <f t="shared" si="232"/>
        <v>-420</v>
      </c>
      <c r="P1137" s="6">
        <f t="shared" si="219"/>
        <v>0</v>
      </c>
      <c r="Q1137" s="7">
        <f t="shared" si="226"/>
        <v>2074555.850000001</v>
      </c>
      <c r="R1137" s="44" t="str">
        <f>VLOOKUP(F1137,'Set up'!$A$2:$E$70,5,FALSE)</f>
        <v>Trsf</v>
      </c>
      <c r="S1137" s="1" t="s">
        <v>1298</v>
      </c>
    </row>
    <row r="1138" spans="1:19" x14ac:dyDescent="0.3">
      <c r="A1138" s="4">
        <v>44868</v>
      </c>
      <c r="B1138" s="5">
        <f t="shared" si="221"/>
        <v>11</v>
      </c>
      <c r="C1138" s="5">
        <f t="shared" si="222"/>
        <v>2022</v>
      </c>
      <c r="D1138" s="5" t="s">
        <v>1048</v>
      </c>
      <c r="E1138" s="5" t="str">
        <f>VLOOKUP(F1138,'Set up'!$A$2:$C$70,2,FALSE)</f>
        <v>C00000009</v>
      </c>
      <c r="F1138" s="1" t="s">
        <v>58</v>
      </c>
      <c r="G1138" s="89" t="s">
        <v>719</v>
      </c>
      <c r="H1138" s="5">
        <v>2</v>
      </c>
      <c r="I1138" s="5">
        <f>VLOOKUP(F1138,'Set up'!$A$2:$C$70,3,FALSE)</f>
        <v>60</v>
      </c>
      <c r="J1138" s="5">
        <f>VLOOKUP(F1138,'Set up'!$A$2:$D$70,4,FALSE)</f>
        <v>60</v>
      </c>
      <c r="K1138" s="4">
        <f t="shared" si="223"/>
        <v>44928</v>
      </c>
      <c r="L1138" s="5">
        <f t="shared" si="224"/>
        <v>1</v>
      </c>
      <c r="M1138" s="5">
        <f t="shared" si="225"/>
        <v>2023</v>
      </c>
      <c r="N1138" s="6">
        <v>3608</v>
      </c>
      <c r="O1138" s="6">
        <f t="shared" ref="O1138:O1145" si="233">-N1138</f>
        <v>-3608</v>
      </c>
      <c r="P1138" s="6">
        <f t="shared" si="219"/>
        <v>0</v>
      </c>
      <c r="Q1138" s="7">
        <f t="shared" si="226"/>
        <v>2078163.850000001</v>
      </c>
      <c r="R1138" s="44" t="str">
        <f>VLOOKUP(F1138,'Set up'!$A$2:$E$70,5,FALSE)</f>
        <v>Chq</v>
      </c>
      <c r="S1138" s="1" t="s">
        <v>1382</v>
      </c>
    </row>
    <row r="1139" spans="1:19" x14ac:dyDescent="0.3">
      <c r="A1139" s="4">
        <v>44868</v>
      </c>
      <c r="B1139" s="5">
        <f t="shared" si="221"/>
        <v>11</v>
      </c>
      <c r="C1139" s="5">
        <f t="shared" si="222"/>
        <v>2022</v>
      </c>
      <c r="D1139" s="5" t="s">
        <v>1048</v>
      </c>
      <c r="E1139" s="5" t="str">
        <f>VLOOKUP(F1139,'Set up'!$A$2:$C$70,2,FALSE)</f>
        <v>C00000009</v>
      </c>
      <c r="F1139" s="1" t="s">
        <v>58</v>
      </c>
      <c r="G1139" s="89" t="s">
        <v>707</v>
      </c>
      <c r="H1139" s="5">
        <v>1</v>
      </c>
      <c r="I1139" s="5">
        <f>VLOOKUP(F1139,'Set up'!$A$2:$C$70,3,FALSE)</f>
        <v>60</v>
      </c>
      <c r="J1139" s="5">
        <f>VLOOKUP(F1139,'Set up'!$A$2:$D$70,4,FALSE)</f>
        <v>60</v>
      </c>
      <c r="K1139" s="4">
        <f t="shared" si="223"/>
        <v>44928</v>
      </c>
      <c r="L1139" s="5">
        <f t="shared" si="224"/>
        <v>1</v>
      </c>
      <c r="M1139" s="5">
        <f t="shared" si="225"/>
        <v>2023</v>
      </c>
      <c r="N1139" s="6">
        <v>437.4</v>
      </c>
      <c r="O1139" s="6">
        <f t="shared" si="233"/>
        <v>-437.4</v>
      </c>
      <c r="P1139" s="6">
        <f t="shared" si="219"/>
        <v>0</v>
      </c>
      <c r="Q1139" s="7">
        <f t="shared" si="226"/>
        <v>2078601.2500000009</v>
      </c>
      <c r="R1139" s="44" t="str">
        <f>VLOOKUP(F1139,'Set up'!$A$2:$E$70,5,FALSE)</f>
        <v>Chq</v>
      </c>
      <c r="S1139" s="1" t="s">
        <v>1382</v>
      </c>
    </row>
    <row r="1140" spans="1:19" x14ac:dyDescent="0.3">
      <c r="A1140" s="4">
        <v>44868</v>
      </c>
      <c r="B1140" s="5">
        <f t="shared" si="221"/>
        <v>11</v>
      </c>
      <c r="C1140" s="5">
        <f t="shared" si="222"/>
        <v>2022</v>
      </c>
      <c r="D1140" s="5" t="s">
        <v>1048</v>
      </c>
      <c r="E1140" s="5" t="str">
        <f>VLOOKUP(F1140,'Set up'!$A$2:$C$70,2,FALSE)</f>
        <v>C00000009</v>
      </c>
      <c r="F1140" s="1" t="s">
        <v>58</v>
      </c>
      <c r="G1140" s="89" t="s">
        <v>893</v>
      </c>
      <c r="H1140" s="5">
        <v>1</v>
      </c>
      <c r="I1140" s="5">
        <f>VLOOKUP(F1140,'Set up'!$A$2:$C$70,3,FALSE)</f>
        <v>60</v>
      </c>
      <c r="J1140" s="5">
        <f>VLOOKUP(F1140,'Set up'!$A$2:$D$70,4,FALSE)</f>
        <v>60</v>
      </c>
      <c r="K1140" s="4">
        <f t="shared" si="223"/>
        <v>44928</v>
      </c>
      <c r="L1140" s="5">
        <f t="shared" si="224"/>
        <v>1</v>
      </c>
      <c r="M1140" s="5">
        <f t="shared" si="225"/>
        <v>2023</v>
      </c>
      <c r="N1140" s="6">
        <v>437.4</v>
      </c>
      <c r="O1140" s="6">
        <f t="shared" si="233"/>
        <v>-437.4</v>
      </c>
      <c r="P1140" s="6">
        <f t="shared" si="219"/>
        <v>0</v>
      </c>
      <c r="Q1140" s="7">
        <f t="shared" si="226"/>
        <v>2079038.6500000008</v>
      </c>
      <c r="R1140" s="44" t="str">
        <f>VLOOKUP(F1140,'Set up'!$A$2:$E$70,5,FALSE)</f>
        <v>Chq</v>
      </c>
      <c r="S1140" s="1" t="s">
        <v>1382</v>
      </c>
    </row>
    <row r="1141" spans="1:19" x14ac:dyDescent="0.3">
      <c r="A1141" s="4">
        <v>44869</v>
      </c>
      <c r="B1141" s="5">
        <f t="shared" si="221"/>
        <v>11</v>
      </c>
      <c r="C1141" s="5">
        <f t="shared" si="222"/>
        <v>2022</v>
      </c>
      <c r="D1141" s="5" t="s">
        <v>1050</v>
      </c>
      <c r="E1141" s="5" t="str">
        <f>VLOOKUP(F1141,'Set up'!$A$2:$C$70,2,FALSE)</f>
        <v>C00000020</v>
      </c>
      <c r="F1141" s="1" t="s">
        <v>409</v>
      </c>
      <c r="G1141" s="89" t="s">
        <v>666</v>
      </c>
      <c r="H1141" s="5">
        <v>4</v>
      </c>
      <c r="I1141" s="5" t="str">
        <f>VLOOKUP(F1141,'Set up'!$A$2:$C$70,3,FALSE)</f>
        <v>Cash</v>
      </c>
      <c r="J1141" s="5">
        <f>VLOOKUP(F1141,'Set up'!$A$2:$D$70,4,FALSE)</f>
        <v>0</v>
      </c>
      <c r="K1141" s="4">
        <f t="shared" si="223"/>
        <v>44869</v>
      </c>
      <c r="L1141" s="5">
        <f t="shared" si="224"/>
        <v>11</v>
      </c>
      <c r="M1141" s="5">
        <f t="shared" si="225"/>
        <v>2022</v>
      </c>
      <c r="N1141" s="6">
        <v>360</v>
      </c>
      <c r="O1141" s="6">
        <f t="shared" si="233"/>
        <v>-360</v>
      </c>
      <c r="P1141" s="6">
        <f t="shared" si="219"/>
        <v>0</v>
      </c>
      <c r="Q1141" s="7">
        <f t="shared" si="226"/>
        <v>2079398.6500000008</v>
      </c>
      <c r="R1141" s="44" t="str">
        <f>VLOOKUP(F1141,'Set up'!$A$2:$E$70,5,FALSE)</f>
        <v>Trsf</v>
      </c>
      <c r="S1141" s="1" t="s">
        <v>1078</v>
      </c>
    </row>
    <row r="1142" spans="1:19" x14ac:dyDescent="0.3">
      <c r="A1142" s="4">
        <v>44869</v>
      </c>
      <c r="B1142" s="5">
        <f t="shared" si="221"/>
        <v>11</v>
      </c>
      <c r="C1142" s="5">
        <f t="shared" si="222"/>
        <v>2022</v>
      </c>
      <c r="D1142" s="5" t="s">
        <v>1050</v>
      </c>
      <c r="E1142" s="5" t="str">
        <f>VLOOKUP(F1142,'Set up'!$A$2:$C$70,2,FALSE)</f>
        <v>C00000020</v>
      </c>
      <c r="F1142" s="1" t="s">
        <v>409</v>
      </c>
      <c r="G1142" s="89" t="s">
        <v>1049</v>
      </c>
      <c r="H1142" s="5">
        <v>1</v>
      </c>
      <c r="I1142" s="5" t="str">
        <f>VLOOKUP(F1142,'Set up'!$A$2:$C$70,3,FALSE)</f>
        <v>Cash</v>
      </c>
      <c r="J1142" s="5">
        <f>VLOOKUP(F1142,'Set up'!$A$2:$D$70,4,FALSE)</f>
        <v>0</v>
      </c>
      <c r="K1142" s="4">
        <f t="shared" si="223"/>
        <v>44869</v>
      </c>
      <c r="L1142" s="5">
        <f t="shared" si="224"/>
        <v>11</v>
      </c>
      <c r="M1142" s="5">
        <f t="shared" si="225"/>
        <v>2022</v>
      </c>
      <c r="N1142" s="6">
        <v>43.8</v>
      </c>
      <c r="O1142" s="6">
        <f t="shared" si="233"/>
        <v>-43.8</v>
      </c>
      <c r="P1142" s="6">
        <f t="shared" si="219"/>
        <v>0</v>
      </c>
      <c r="Q1142" s="7">
        <f t="shared" si="226"/>
        <v>2079442.4500000009</v>
      </c>
      <c r="R1142" s="44" t="str">
        <f>VLOOKUP(F1142,'Set up'!$A$2:$E$70,5,FALSE)</f>
        <v>Trsf</v>
      </c>
      <c r="S1142" s="1" t="s">
        <v>1078</v>
      </c>
    </row>
    <row r="1143" spans="1:19" x14ac:dyDescent="0.3">
      <c r="A1143" s="4">
        <v>44870</v>
      </c>
      <c r="B1143" s="5">
        <f t="shared" si="221"/>
        <v>11</v>
      </c>
      <c r="C1143" s="5">
        <f t="shared" si="222"/>
        <v>2022</v>
      </c>
      <c r="D1143" s="5" t="s">
        <v>1053</v>
      </c>
      <c r="E1143" s="5" t="str">
        <f>VLOOKUP(F1143,'Set up'!$A$2:$C$70,2,FALSE)</f>
        <v>C00000031</v>
      </c>
      <c r="F1143" s="1" t="s">
        <v>1051</v>
      </c>
      <c r="G1143" s="89" t="s">
        <v>1054</v>
      </c>
      <c r="H1143" s="5">
        <v>1</v>
      </c>
      <c r="I1143" s="5" t="str">
        <f>VLOOKUP(F1143,'Set up'!$A$2:$C$70,3,FALSE)</f>
        <v>Cash</v>
      </c>
      <c r="J1143" s="5">
        <f>VLOOKUP(F1143,'Set up'!$A$2:$D$70,4,FALSE)</f>
        <v>0</v>
      </c>
      <c r="K1143" s="4">
        <f t="shared" si="223"/>
        <v>44870</v>
      </c>
      <c r="L1143" s="5">
        <f t="shared" si="224"/>
        <v>11</v>
      </c>
      <c r="M1143" s="5">
        <f t="shared" si="225"/>
        <v>2022</v>
      </c>
      <c r="N1143" s="6">
        <v>260</v>
      </c>
      <c r="O1143" s="6">
        <f t="shared" si="233"/>
        <v>-260</v>
      </c>
      <c r="P1143" s="6">
        <f t="shared" si="219"/>
        <v>0</v>
      </c>
      <c r="Q1143" s="7">
        <f t="shared" si="226"/>
        <v>2079702.4500000009</v>
      </c>
      <c r="R1143" s="44" t="str">
        <f>VLOOKUP(F1143,'Set up'!$A$2:$E$70,5,FALSE)</f>
        <v>Trsf</v>
      </c>
      <c r="S1143" s="1" t="s">
        <v>1083</v>
      </c>
    </row>
    <row r="1144" spans="1:19" x14ac:dyDescent="0.3">
      <c r="A1144" s="4">
        <v>44870</v>
      </c>
      <c r="B1144" s="5">
        <f t="shared" si="221"/>
        <v>11</v>
      </c>
      <c r="C1144" s="5">
        <f t="shared" si="222"/>
        <v>2022</v>
      </c>
      <c r="D1144" s="5" t="s">
        <v>1053</v>
      </c>
      <c r="E1144" s="5" t="str">
        <f>VLOOKUP(F1144,'Set up'!$A$2:$C$70,2,FALSE)</f>
        <v>C00000031</v>
      </c>
      <c r="F1144" s="1" t="s">
        <v>1051</v>
      </c>
      <c r="G1144" s="89" t="s">
        <v>707</v>
      </c>
      <c r="H1144" s="5">
        <v>1</v>
      </c>
      <c r="I1144" s="5" t="str">
        <f>VLOOKUP(F1144,'Set up'!$A$2:$C$70,3,FALSE)</f>
        <v>Cash</v>
      </c>
      <c r="J1144" s="5">
        <f>VLOOKUP(F1144,'Set up'!$A$2:$D$70,4,FALSE)</f>
        <v>0</v>
      </c>
      <c r="K1144" s="4">
        <f t="shared" si="223"/>
        <v>44870</v>
      </c>
      <c r="L1144" s="5">
        <f t="shared" si="224"/>
        <v>11</v>
      </c>
      <c r="M1144" s="5">
        <f t="shared" si="225"/>
        <v>2022</v>
      </c>
      <c r="N1144" s="6">
        <v>534.6</v>
      </c>
      <c r="O1144" s="6">
        <f t="shared" si="233"/>
        <v>-534.6</v>
      </c>
      <c r="P1144" s="6">
        <f t="shared" ref="P1144:P1150" si="234">SUM(N1144+O1144)</f>
        <v>0</v>
      </c>
      <c r="Q1144" s="7">
        <f t="shared" si="226"/>
        <v>2080237.050000001</v>
      </c>
      <c r="R1144" s="44" t="str">
        <f>VLOOKUP(F1144,'Set up'!$A$2:$E$70,5,FALSE)</f>
        <v>Trsf</v>
      </c>
      <c r="S1144" s="1" t="s">
        <v>1083</v>
      </c>
    </row>
    <row r="1145" spans="1:19" x14ac:dyDescent="0.3">
      <c r="A1145" s="4">
        <v>44870</v>
      </c>
      <c r="B1145" s="5">
        <f t="shared" si="221"/>
        <v>11</v>
      </c>
      <c r="C1145" s="5">
        <f t="shared" si="222"/>
        <v>2022</v>
      </c>
      <c r="D1145" s="5" t="s">
        <v>1053</v>
      </c>
      <c r="E1145" s="5" t="str">
        <f>VLOOKUP(F1145,'Set up'!$A$2:$C$70,2,FALSE)</f>
        <v>C00000031</v>
      </c>
      <c r="F1145" s="1" t="s">
        <v>1051</v>
      </c>
      <c r="G1145" s="89" t="s">
        <v>666</v>
      </c>
      <c r="H1145" s="5">
        <v>1</v>
      </c>
      <c r="I1145" s="5" t="str">
        <f>VLOOKUP(F1145,'Set up'!$A$2:$C$70,3,FALSE)</f>
        <v>Cash</v>
      </c>
      <c r="J1145" s="5">
        <f>VLOOKUP(F1145,'Set up'!$A$2:$D$70,4,FALSE)</f>
        <v>0</v>
      </c>
      <c r="K1145" s="4">
        <f t="shared" si="223"/>
        <v>44870</v>
      </c>
      <c r="L1145" s="5">
        <f t="shared" si="224"/>
        <v>11</v>
      </c>
      <c r="M1145" s="5">
        <f t="shared" si="225"/>
        <v>2022</v>
      </c>
      <c r="N1145" s="6">
        <v>98</v>
      </c>
      <c r="O1145" s="6">
        <f t="shared" si="233"/>
        <v>-98</v>
      </c>
      <c r="P1145" s="6">
        <f t="shared" si="234"/>
        <v>0</v>
      </c>
      <c r="Q1145" s="7">
        <f t="shared" si="226"/>
        <v>2080335.050000001</v>
      </c>
      <c r="R1145" s="44" t="str">
        <f>VLOOKUP(F1145,'Set up'!$A$2:$E$70,5,FALSE)</f>
        <v>Trsf</v>
      </c>
      <c r="S1145" s="1" t="s">
        <v>1083</v>
      </c>
    </row>
    <row r="1146" spans="1:19" x14ac:dyDescent="0.3">
      <c r="A1146" s="4">
        <v>44872</v>
      </c>
      <c r="B1146" s="5">
        <f t="shared" si="221"/>
        <v>11</v>
      </c>
      <c r="C1146" s="5">
        <f t="shared" si="222"/>
        <v>2022</v>
      </c>
      <c r="D1146" s="5" t="s">
        <v>1055</v>
      </c>
      <c r="E1146" s="5" t="str">
        <f>VLOOKUP(F1146,'Set up'!$A$2:$C$70,2,FALSE)</f>
        <v>C00000022</v>
      </c>
      <c r="F1146" s="1" t="s">
        <v>637</v>
      </c>
      <c r="G1146" s="89" t="s">
        <v>658</v>
      </c>
      <c r="H1146" s="5">
        <v>1</v>
      </c>
      <c r="I1146" s="5" t="str">
        <f>VLOOKUP(F1146,'Set up'!$A$2:$C$70,3,FALSE)</f>
        <v>Cash</v>
      </c>
      <c r="J1146" s="5">
        <f>VLOOKUP(F1146,'Set up'!$A$2:$D$70,4,FALSE)</f>
        <v>0</v>
      </c>
      <c r="K1146" s="4">
        <f t="shared" si="223"/>
        <v>44872</v>
      </c>
      <c r="L1146" s="5">
        <f t="shared" si="224"/>
        <v>11</v>
      </c>
      <c r="M1146" s="5">
        <f t="shared" si="225"/>
        <v>2022</v>
      </c>
      <c r="N1146" s="6">
        <v>1141</v>
      </c>
      <c r="O1146" s="6">
        <f t="shared" ref="O1146:O1147" si="235">-N1146</f>
        <v>-1141</v>
      </c>
      <c r="P1146" s="6">
        <f t="shared" si="234"/>
        <v>0</v>
      </c>
      <c r="Q1146" s="7">
        <f t="shared" si="226"/>
        <v>2081476.050000001</v>
      </c>
      <c r="R1146" s="44" t="str">
        <f>VLOOKUP(F1146,'Set up'!$A$2:$E$70,5,FALSE)</f>
        <v>Trsf</v>
      </c>
      <c r="S1146" s="1" t="s">
        <v>1151</v>
      </c>
    </row>
    <row r="1147" spans="1:19" x14ac:dyDescent="0.3">
      <c r="A1147" s="4">
        <v>44872</v>
      </c>
      <c r="B1147" s="5">
        <f t="shared" si="221"/>
        <v>11</v>
      </c>
      <c r="C1147" s="5">
        <f t="shared" si="222"/>
        <v>2022</v>
      </c>
      <c r="D1147" s="5" t="s">
        <v>1055</v>
      </c>
      <c r="E1147" s="5" t="str">
        <f>VLOOKUP(F1147,'Set up'!$A$2:$C$70,2,FALSE)</f>
        <v>C00000022</v>
      </c>
      <c r="F1147" s="1" t="s">
        <v>637</v>
      </c>
      <c r="G1147" s="89" t="s">
        <v>1056</v>
      </c>
      <c r="H1147" s="5">
        <v>1</v>
      </c>
      <c r="I1147" s="5" t="str">
        <f>VLOOKUP(F1147,'Set up'!$A$2:$C$70,3,FALSE)</f>
        <v>Cash</v>
      </c>
      <c r="J1147" s="5">
        <f>VLOOKUP(F1147,'Set up'!$A$2:$D$70,4,FALSE)</f>
        <v>0</v>
      </c>
      <c r="K1147" s="4">
        <f t="shared" si="223"/>
        <v>44872</v>
      </c>
      <c r="L1147" s="5">
        <f t="shared" si="224"/>
        <v>11</v>
      </c>
      <c r="M1147" s="5">
        <f t="shared" si="225"/>
        <v>2022</v>
      </c>
      <c r="N1147" s="6">
        <v>175</v>
      </c>
      <c r="O1147" s="6">
        <f t="shared" si="235"/>
        <v>-175</v>
      </c>
      <c r="P1147" s="6">
        <f t="shared" si="234"/>
        <v>0</v>
      </c>
      <c r="Q1147" s="7">
        <f t="shared" si="226"/>
        <v>2081651.050000001</v>
      </c>
      <c r="R1147" s="44" t="str">
        <f>VLOOKUP(F1147,'Set up'!$A$2:$E$70,5,FALSE)</f>
        <v>Trsf</v>
      </c>
      <c r="S1147" s="1" t="s">
        <v>1151</v>
      </c>
    </row>
    <row r="1148" spans="1:19" x14ac:dyDescent="0.3">
      <c r="A1148" s="4">
        <v>44873</v>
      </c>
      <c r="B1148" s="5">
        <f t="shared" si="221"/>
        <v>11</v>
      </c>
      <c r="C1148" s="5">
        <f t="shared" si="222"/>
        <v>2022</v>
      </c>
      <c r="D1148" s="5" t="s">
        <v>1062</v>
      </c>
      <c r="E1148" s="5" t="str">
        <f>VLOOKUP(F1148,'Set up'!$A$2:$C$70,2,FALSE)</f>
        <v>C00000030</v>
      </c>
      <c r="F1148" s="1" t="s">
        <v>1057</v>
      </c>
      <c r="G1148" s="89" t="s">
        <v>1058</v>
      </c>
      <c r="H1148" s="5">
        <v>4</v>
      </c>
      <c r="I1148" s="5" t="str">
        <f>VLOOKUP(F1148,'Set up'!$A$2:$C$70,3,FALSE)</f>
        <v>Cash</v>
      </c>
      <c r="J1148" s="5">
        <f>VLOOKUP(F1148,'Set up'!$A$2:$D$70,4,FALSE)</f>
        <v>0</v>
      </c>
      <c r="K1148" s="4">
        <f t="shared" si="223"/>
        <v>44873</v>
      </c>
      <c r="L1148" s="5">
        <f t="shared" si="224"/>
        <v>11</v>
      </c>
      <c r="M1148" s="5">
        <f t="shared" si="225"/>
        <v>2022</v>
      </c>
      <c r="N1148" s="6">
        <v>1170</v>
      </c>
      <c r="O1148" s="6">
        <f>-N1148</f>
        <v>-1170</v>
      </c>
      <c r="P1148" s="6">
        <f t="shared" si="234"/>
        <v>0</v>
      </c>
      <c r="Q1148" s="7">
        <f t="shared" si="226"/>
        <v>2082821.050000001</v>
      </c>
      <c r="R1148" s="44" t="str">
        <f>VLOOKUP(F1148,'Set up'!$A$2:$E$70,5,FALSE)</f>
        <v>Trsf</v>
      </c>
      <c r="S1148" s="1" t="s">
        <v>1084</v>
      </c>
    </row>
    <row r="1149" spans="1:19" x14ac:dyDescent="0.3">
      <c r="A1149" s="4">
        <v>44873</v>
      </c>
      <c r="B1149" s="5">
        <f t="shared" si="221"/>
        <v>11</v>
      </c>
      <c r="C1149" s="5">
        <f t="shared" si="222"/>
        <v>2022</v>
      </c>
      <c r="D1149" s="5" t="s">
        <v>1062</v>
      </c>
      <c r="E1149" s="5" t="str">
        <f>VLOOKUP(F1149,'Set up'!$A$2:$C$70,2,FALSE)</f>
        <v>C00000030</v>
      </c>
      <c r="F1149" s="1" t="s">
        <v>1057</v>
      </c>
      <c r="G1149" s="89" t="s">
        <v>1059</v>
      </c>
      <c r="H1149" s="5">
        <v>4</v>
      </c>
      <c r="I1149" s="5" t="str">
        <f>VLOOKUP(F1149,'Set up'!$A$2:$C$70,3,FALSE)</f>
        <v>Cash</v>
      </c>
      <c r="J1149" s="5">
        <f>VLOOKUP(F1149,'Set up'!$A$2:$D$70,4,FALSE)</f>
        <v>0</v>
      </c>
      <c r="K1149" s="4">
        <f t="shared" si="223"/>
        <v>44873</v>
      </c>
      <c r="L1149" s="5">
        <f t="shared" si="224"/>
        <v>11</v>
      </c>
      <c r="M1149" s="5">
        <f t="shared" si="225"/>
        <v>2022</v>
      </c>
      <c r="N1149" s="6">
        <v>2250</v>
      </c>
      <c r="O1149" s="6">
        <f>-N1149</f>
        <v>-2250</v>
      </c>
      <c r="P1149" s="6">
        <f t="shared" si="234"/>
        <v>0</v>
      </c>
      <c r="Q1149" s="7">
        <f t="shared" si="226"/>
        <v>2085071.050000001</v>
      </c>
      <c r="R1149" s="44" t="str">
        <f>VLOOKUP(F1149,'Set up'!$A$2:$E$70,5,FALSE)</f>
        <v>Trsf</v>
      </c>
      <c r="S1149" s="1" t="s">
        <v>1084</v>
      </c>
    </row>
    <row r="1150" spans="1:19" x14ac:dyDescent="0.3">
      <c r="A1150" s="4">
        <v>44873</v>
      </c>
      <c r="B1150" s="5">
        <f t="shared" si="221"/>
        <v>11</v>
      </c>
      <c r="C1150" s="5">
        <f t="shared" si="222"/>
        <v>2022</v>
      </c>
      <c r="D1150" s="5" t="s">
        <v>1062</v>
      </c>
      <c r="E1150" s="5" t="str">
        <f>VLOOKUP(F1150,'Set up'!$A$2:$C$70,2,FALSE)</f>
        <v>C00000030</v>
      </c>
      <c r="F1150" s="1" t="s">
        <v>1057</v>
      </c>
      <c r="G1150" s="89" t="s">
        <v>1060</v>
      </c>
      <c r="H1150" s="5">
        <v>3</v>
      </c>
      <c r="I1150" s="5" t="str">
        <f>VLOOKUP(F1150,'Set up'!$A$2:$C$70,3,FALSE)</f>
        <v>Cash</v>
      </c>
      <c r="J1150" s="5">
        <f>VLOOKUP(F1150,'Set up'!$A$2:$D$70,4,FALSE)</f>
        <v>0</v>
      </c>
      <c r="K1150" s="4">
        <f t="shared" si="223"/>
        <v>44873</v>
      </c>
      <c r="L1150" s="5">
        <f t="shared" si="224"/>
        <v>11</v>
      </c>
      <c r="M1150" s="5">
        <f t="shared" si="225"/>
        <v>2022</v>
      </c>
      <c r="N1150" s="6">
        <v>855</v>
      </c>
      <c r="O1150" s="6">
        <f>-N1150</f>
        <v>-855</v>
      </c>
      <c r="P1150" s="6">
        <f t="shared" si="234"/>
        <v>0</v>
      </c>
      <c r="Q1150" s="7">
        <f t="shared" si="226"/>
        <v>2085926.050000001</v>
      </c>
      <c r="R1150" s="44" t="str">
        <f>VLOOKUP(F1150,'Set up'!$A$2:$E$70,5,FALSE)</f>
        <v>Trsf</v>
      </c>
      <c r="S1150" s="1" t="s">
        <v>1084</v>
      </c>
    </row>
    <row r="1151" spans="1:19" x14ac:dyDescent="0.3">
      <c r="A1151" s="4">
        <v>44873</v>
      </c>
      <c r="B1151" s="5">
        <f t="shared" si="221"/>
        <v>11</v>
      </c>
      <c r="C1151" s="5">
        <f t="shared" si="222"/>
        <v>2022</v>
      </c>
      <c r="D1151" s="5" t="s">
        <v>1062</v>
      </c>
      <c r="E1151" s="5" t="str">
        <f>VLOOKUP(F1151,'Set up'!$A$2:$C$70,2,FALSE)</f>
        <v>C00000030</v>
      </c>
      <c r="F1151" s="1" t="s">
        <v>1057</v>
      </c>
      <c r="G1151" s="90" t="s">
        <v>1061</v>
      </c>
      <c r="H1151" s="5">
        <v>1</v>
      </c>
      <c r="I1151" s="5" t="str">
        <f>VLOOKUP(F1151,'Set up'!$A$2:$C$70,3,FALSE)</f>
        <v>Cash</v>
      </c>
      <c r="J1151" s="5">
        <f>VLOOKUP(F1151,'Set up'!$A$2:$D$70,4,FALSE)</f>
        <v>0</v>
      </c>
      <c r="K1151" s="4">
        <f t="shared" si="223"/>
        <v>44873</v>
      </c>
      <c r="L1151" s="5">
        <f t="shared" si="224"/>
        <v>11</v>
      </c>
      <c r="M1151" s="5">
        <f t="shared" si="225"/>
        <v>2022</v>
      </c>
      <c r="N1151" s="6">
        <v>98</v>
      </c>
      <c r="O1151" s="6">
        <f>-N1151</f>
        <v>-98</v>
      </c>
      <c r="P1151" s="6">
        <f t="shared" ref="P1151:P1214" si="236">SUM(N1151+O1151)</f>
        <v>0</v>
      </c>
      <c r="Q1151" s="7">
        <f t="shared" si="226"/>
        <v>2086024.050000001</v>
      </c>
      <c r="R1151" s="44" t="str">
        <f>VLOOKUP(F1151,'Set up'!$A$2:$E$70,5,FALSE)</f>
        <v>Trsf</v>
      </c>
      <c r="S1151" s="1" t="s">
        <v>1084</v>
      </c>
    </row>
    <row r="1152" spans="1:19" x14ac:dyDescent="0.3">
      <c r="A1152" s="4">
        <v>44874</v>
      </c>
      <c r="B1152" s="5">
        <f t="shared" si="221"/>
        <v>11</v>
      </c>
      <c r="C1152" s="5">
        <f t="shared" si="222"/>
        <v>2022</v>
      </c>
      <c r="D1152" s="5" t="s">
        <v>1063</v>
      </c>
      <c r="E1152" s="5" t="str">
        <f>VLOOKUP(F1152,'Set up'!$A$2:$C$70,2,FALSE)</f>
        <v>C00000021</v>
      </c>
      <c r="F1152" s="1" t="s">
        <v>491</v>
      </c>
      <c r="G1152" s="89" t="s">
        <v>67</v>
      </c>
      <c r="H1152" s="5">
        <v>1</v>
      </c>
      <c r="I1152" s="5" t="str">
        <f>VLOOKUP(F1152,'Set up'!$A$2:$C$70,3,FALSE)</f>
        <v>Cash</v>
      </c>
      <c r="J1152" s="5">
        <f>VLOOKUP(F1152,'Set up'!$A$2:$D$70,4,FALSE)</f>
        <v>0</v>
      </c>
      <c r="K1152" s="4">
        <f t="shared" si="223"/>
        <v>44874</v>
      </c>
      <c r="L1152" s="5">
        <f t="shared" si="224"/>
        <v>11</v>
      </c>
      <c r="M1152" s="5">
        <f t="shared" si="225"/>
        <v>2022</v>
      </c>
      <c r="N1152" s="6">
        <v>1936</v>
      </c>
      <c r="O1152" s="6">
        <f t="shared" ref="O1152:O1154" si="237">-N1152</f>
        <v>-1936</v>
      </c>
      <c r="P1152" s="6">
        <f t="shared" si="236"/>
        <v>0</v>
      </c>
      <c r="Q1152" s="7">
        <f t="shared" si="226"/>
        <v>2087960.050000001</v>
      </c>
      <c r="R1152" s="44" t="str">
        <f>VLOOKUP(F1152,'Set up'!$A$2:$E$70,5,FALSE)</f>
        <v>PD Chq</v>
      </c>
      <c r="S1152" s="1" t="s">
        <v>1372</v>
      </c>
    </row>
    <row r="1153" spans="1:19" x14ac:dyDescent="0.3">
      <c r="A1153" s="4">
        <v>44874</v>
      </c>
      <c r="B1153" s="5">
        <f t="shared" si="221"/>
        <v>11</v>
      </c>
      <c r="C1153" s="5">
        <f t="shared" si="222"/>
        <v>2022</v>
      </c>
      <c r="D1153" s="5" t="s">
        <v>1063</v>
      </c>
      <c r="E1153" s="5" t="str">
        <f>VLOOKUP(F1153,'Set up'!$A$2:$C$70,2,FALSE)</f>
        <v>C00000021</v>
      </c>
      <c r="F1153" s="1" t="s">
        <v>491</v>
      </c>
      <c r="G1153" s="89" t="s">
        <v>654</v>
      </c>
      <c r="H1153" s="5">
        <v>4</v>
      </c>
      <c r="I1153" s="5" t="str">
        <f>VLOOKUP(F1153,'Set up'!$A$2:$C$70,3,FALSE)</f>
        <v>Cash</v>
      </c>
      <c r="J1153" s="5">
        <f>VLOOKUP(F1153,'Set up'!$A$2:$D$70,4,FALSE)</f>
        <v>0</v>
      </c>
      <c r="K1153" s="4">
        <f t="shared" si="223"/>
        <v>44874</v>
      </c>
      <c r="L1153" s="5">
        <f t="shared" si="224"/>
        <v>11</v>
      </c>
      <c r="M1153" s="5">
        <f t="shared" si="225"/>
        <v>2022</v>
      </c>
      <c r="N1153" s="6">
        <v>1068</v>
      </c>
      <c r="O1153" s="6">
        <f t="shared" si="237"/>
        <v>-1068</v>
      </c>
      <c r="P1153" s="6">
        <f t="shared" si="236"/>
        <v>0</v>
      </c>
      <c r="Q1153" s="7">
        <f t="shared" si="226"/>
        <v>2089028.050000001</v>
      </c>
      <c r="R1153" s="44" t="str">
        <f>VLOOKUP(F1153,'Set up'!$A$2:$E$70,5,FALSE)</f>
        <v>PD Chq</v>
      </c>
      <c r="S1153" s="1" t="s">
        <v>1372</v>
      </c>
    </row>
    <row r="1154" spans="1:19" x14ac:dyDescent="0.3">
      <c r="A1154" s="4">
        <v>44874</v>
      </c>
      <c r="B1154" s="5">
        <f t="shared" si="221"/>
        <v>11</v>
      </c>
      <c r="C1154" s="5">
        <f t="shared" si="222"/>
        <v>2022</v>
      </c>
      <c r="D1154" s="5" t="s">
        <v>1063</v>
      </c>
      <c r="E1154" s="5" t="str">
        <f>VLOOKUP(F1154,'Set up'!$A$2:$C$70,2,FALSE)</f>
        <v>C00000021</v>
      </c>
      <c r="F1154" s="1" t="s">
        <v>491</v>
      </c>
      <c r="G1154" s="89" t="s">
        <v>666</v>
      </c>
      <c r="H1154" s="5">
        <v>1</v>
      </c>
      <c r="I1154" s="5" t="str">
        <f>VLOOKUP(F1154,'Set up'!$A$2:$C$70,3,FALSE)</f>
        <v>Cash</v>
      </c>
      <c r="J1154" s="5">
        <f>VLOOKUP(F1154,'Set up'!$A$2:$D$70,4,FALSE)</f>
        <v>0</v>
      </c>
      <c r="K1154" s="4">
        <f t="shared" si="223"/>
        <v>44874</v>
      </c>
      <c r="L1154" s="5">
        <f t="shared" si="224"/>
        <v>11</v>
      </c>
      <c r="M1154" s="5">
        <f t="shared" si="225"/>
        <v>2022</v>
      </c>
      <c r="N1154" s="6">
        <v>90</v>
      </c>
      <c r="O1154" s="6">
        <f t="shared" si="237"/>
        <v>-90</v>
      </c>
      <c r="P1154" s="6">
        <f t="shared" si="236"/>
        <v>0</v>
      </c>
      <c r="Q1154" s="7">
        <f t="shared" si="226"/>
        <v>2089118.050000001</v>
      </c>
      <c r="R1154" s="44" t="str">
        <f>VLOOKUP(F1154,'Set up'!$A$2:$E$70,5,FALSE)</f>
        <v>PD Chq</v>
      </c>
      <c r="S1154" s="1" t="s">
        <v>1372</v>
      </c>
    </row>
    <row r="1155" spans="1:19" x14ac:dyDescent="0.3">
      <c r="A1155" s="4">
        <v>44876</v>
      </c>
      <c r="B1155" s="5">
        <f t="shared" ref="B1155:B1218" si="238">MONTH(A1155)</f>
        <v>11</v>
      </c>
      <c r="C1155" s="5">
        <f t="shared" ref="C1155:C1218" si="239">YEAR(A1155)</f>
        <v>2022</v>
      </c>
      <c r="D1155" s="5" t="s">
        <v>1064</v>
      </c>
      <c r="E1155" s="5" t="str">
        <f>VLOOKUP(F1155,'Set up'!$A$2:$C$70,2,FALSE)</f>
        <v>C00000020</v>
      </c>
      <c r="F1155" s="1" t="s">
        <v>409</v>
      </c>
      <c r="G1155" s="89" t="s">
        <v>719</v>
      </c>
      <c r="H1155" s="5">
        <v>5</v>
      </c>
      <c r="I1155" s="5" t="str">
        <f>VLOOKUP(F1155,'Set up'!$A$2:$C$70,3,FALSE)</f>
        <v>Cash</v>
      </c>
      <c r="J1155" s="5">
        <f>VLOOKUP(F1155,'Set up'!$A$2:$D$70,4,FALSE)</f>
        <v>0</v>
      </c>
      <c r="K1155" s="4">
        <f t="shared" ref="K1155:K1218" si="240">A1155+J1155</f>
        <v>44876</v>
      </c>
      <c r="L1155" s="5">
        <f t="shared" ref="L1155:L1218" si="241">MONTH(K1155)</f>
        <v>11</v>
      </c>
      <c r="M1155" s="5">
        <f t="shared" ref="M1155:M1218" si="242">YEAR(K1155)</f>
        <v>2022</v>
      </c>
      <c r="N1155" s="6">
        <v>9020</v>
      </c>
      <c r="O1155" s="6">
        <f>-8104.4-915.6</f>
        <v>-9020</v>
      </c>
      <c r="P1155" s="6">
        <f t="shared" si="236"/>
        <v>0</v>
      </c>
      <c r="Q1155" s="7">
        <f t="shared" ref="Q1155:Q1218" si="243">SUM(Q1154+N1155)</f>
        <v>2098138.0500000007</v>
      </c>
      <c r="R1155" s="44" t="str">
        <f>VLOOKUP(F1155,'Set up'!$A$2:$E$70,5,FALSE)</f>
        <v>Trsf</v>
      </c>
      <c r="S1155" s="1" t="s">
        <v>1500</v>
      </c>
    </row>
    <row r="1156" spans="1:19" x14ac:dyDescent="0.3">
      <c r="A1156" s="4">
        <v>44876</v>
      </c>
      <c r="B1156" s="5">
        <f t="shared" si="238"/>
        <v>11</v>
      </c>
      <c r="C1156" s="5">
        <f t="shared" si="239"/>
        <v>2022</v>
      </c>
      <c r="D1156" s="5" t="s">
        <v>1064</v>
      </c>
      <c r="E1156" s="5" t="str">
        <f>VLOOKUP(F1156,'Set up'!$A$2:$C$70,2,FALSE)</f>
        <v>C00000020</v>
      </c>
      <c r="F1156" s="1" t="s">
        <v>409</v>
      </c>
      <c r="G1156" s="89" t="s">
        <v>988</v>
      </c>
      <c r="H1156" s="5">
        <v>12</v>
      </c>
      <c r="I1156" s="5" t="str">
        <f>VLOOKUP(F1156,'Set up'!$A$2:$C$70,3,FALSE)</f>
        <v>Cash</v>
      </c>
      <c r="J1156" s="5">
        <f>VLOOKUP(F1156,'Set up'!$A$2:$D$70,4,FALSE)</f>
        <v>0</v>
      </c>
      <c r="K1156" s="4">
        <f t="shared" si="240"/>
        <v>44876</v>
      </c>
      <c r="L1156" s="5">
        <f t="shared" si="241"/>
        <v>11</v>
      </c>
      <c r="M1156" s="5">
        <f t="shared" si="242"/>
        <v>2022</v>
      </c>
      <c r="N1156" s="6">
        <v>3024</v>
      </c>
      <c r="O1156" s="6">
        <f t="shared" ref="O1156" si="244">-N1156</f>
        <v>-3024</v>
      </c>
      <c r="P1156" s="6">
        <f t="shared" si="236"/>
        <v>0</v>
      </c>
      <c r="Q1156" s="7">
        <f t="shared" si="243"/>
        <v>2101162.0500000007</v>
      </c>
      <c r="R1156" s="44" t="str">
        <f>VLOOKUP(F1156,'Set up'!$A$2:$E$70,5,FALSE)</f>
        <v>Trsf</v>
      </c>
      <c r="S1156" s="1" t="s">
        <v>1501</v>
      </c>
    </row>
    <row r="1157" spans="1:19" x14ac:dyDescent="0.3">
      <c r="A1157" s="4">
        <v>44876</v>
      </c>
      <c r="B1157" s="5">
        <f t="shared" si="238"/>
        <v>11</v>
      </c>
      <c r="C1157" s="5">
        <f t="shared" si="239"/>
        <v>2022</v>
      </c>
      <c r="D1157" s="5" t="s">
        <v>1064</v>
      </c>
      <c r="E1157" s="5" t="str">
        <f>VLOOKUP(F1157,'Set up'!$A$2:$C$70,2,FALSE)</f>
        <v>C00000020</v>
      </c>
      <c r="F1157" s="1" t="s">
        <v>409</v>
      </c>
      <c r="G1157" s="89" t="s">
        <v>989</v>
      </c>
      <c r="H1157" s="5">
        <v>4</v>
      </c>
      <c r="I1157" s="5" t="str">
        <f>VLOOKUP(F1157,'Set up'!$A$2:$C$70,3,FALSE)</f>
        <v>Cash</v>
      </c>
      <c r="J1157" s="5">
        <f>VLOOKUP(F1157,'Set up'!$A$2:$D$70,4,FALSE)</f>
        <v>0</v>
      </c>
      <c r="K1157" s="4">
        <f t="shared" si="240"/>
        <v>44876</v>
      </c>
      <c r="L1157" s="5">
        <f t="shared" si="241"/>
        <v>11</v>
      </c>
      <c r="M1157" s="5">
        <f t="shared" si="242"/>
        <v>2022</v>
      </c>
      <c r="N1157" s="6">
        <v>1170</v>
      </c>
      <c r="O1157" s="6">
        <f>-1060.4-109.6</f>
        <v>-1170</v>
      </c>
      <c r="P1157" s="6">
        <f t="shared" si="236"/>
        <v>0</v>
      </c>
      <c r="Q1157" s="7">
        <f t="shared" si="243"/>
        <v>2102332.0500000007</v>
      </c>
      <c r="R1157" s="44" t="str">
        <f>VLOOKUP(F1157,'Set up'!$A$2:$E$70,5,FALSE)</f>
        <v>Trsf</v>
      </c>
      <c r="S1157" s="1" t="s">
        <v>1502</v>
      </c>
    </row>
    <row r="1158" spans="1:19" x14ac:dyDescent="0.3">
      <c r="A1158" s="4">
        <v>44876</v>
      </c>
      <c r="B1158" s="5">
        <f t="shared" si="238"/>
        <v>11</v>
      </c>
      <c r="C1158" s="5">
        <f t="shared" si="239"/>
        <v>2022</v>
      </c>
      <c r="D1158" s="5" t="s">
        <v>1064</v>
      </c>
      <c r="E1158" s="5" t="str">
        <f>VLOOKUP(F1158,'Set up'!$A$2:$C$70,2,FALSE)</f>
        <v>C00000020</v>
      </c>
      <c r="F1158" s="1" t="s">
        <v>409</v>
      </c>
      <c r="G1158" s="89" t="s">
        <v>64</v>
      </c>
      <c r="H1158" s="5">
        <v>5</v>
      </c>
      <c r="I1158" s="5" t="str">
        <f>VLOOKUP(F1158,'Set up'!$A$2:$C$70,3,FALSE)</f>
        <v>Cash</v>
      </c>
      <c r="J1158" s="5">
        <f>VLOOKUP(F1158,'Set up'!$A$2:$D$70,4,FALSE)</f>
        <v>0</v>
      </c>
      <c r="K1158" s="4">
        <f t="shared" si="240"/>
        <v>44876</v>
      </c>
      <c r="L1158" s="5">
        <f t="shared" si="241"/>
        <v>11</v>
      </c>
      <c r="M1158" s="5">
        <f t="shared" si="242"/>
        <v>2022</v>
      </c>
      <c r="N1158" s="6">
        <v>312.5</v>
      </c>
      <c r="O1158" s="6">
        <f t="shared" ref="O1158:O1160" si="245">-N1158</f>
        <v>-312.5</v>
      </c>
      <c r="P1158" s="6">
        <f t="shared" si="236"/>
        <v>0</v>
      </c>
      <c r="Q1158" s="7">
        <f t="shared" si="243"/>
        <v>2102644.5500000007</v>
      </c>
      <c r="R1158" s="44" t="str">
        <f>VLOOKUP(F1158,'Set up'!$A$2:$E$70,5,FALSE)</f>
        <v>Trsf</v>
      </c>
      <c r="S1158" s="1" t="s">
        <v>1503</v>
      </c>
    </row>
    <row r="1159" spans="1:19" x14ac:dyDescent="0.3">
      <c r="A1159" s="4">
        <v>44876</v>
      </c>
      <c r="B1159" s="5">
        <f t="shared" si="238"/>
        <v>11</v>
      </c>
      <c r="C1159" s="5">
        <f t="shared" si="239"/>
        <v>2022</v>
      </c>
      <c r="D1159" s="5" t="s">
        <v>1064</v>
      </c>
      <c r="E1159" s="5" t="str">
        <f>VLOOKUP(F1159,'Set up'!$A$2:$C$70,2,FALSE)</f>
        <v>C00000020</v>
      </c>
      <c r="F1159" s="1" t="s">
        <v>409</v>
      </c>
      <c r="G1159" s="89" t="s">
        <v>990</v>
      </c>
      <c r="H1159" s="5">
        <v>1</v>
      </c>
      <c r="I1159" s="5" t="str">
        <f>VLOOKUP(F1159,'Set up'!$A$2:$C$70,3,FALSE)</f>
        <v>Cash</v>
      </c>
      <c r="J1159" s="5">
        <f>VLOOKUP(F1159,'Set up'!$A$2:$D$70,4,FALSE)</f>
        <v>0</v>
      </c>
      <c r="K1159" s="4">
        <f t="shared" si="240"/>
        <v>44876</v>
      </c>
      <c r="L1159" s="5">
        <f t="shared" si="241"/>
        <v>11</v>
      </c>
      <c r="M1159" s="5">
        <f t="shared" si="242"/>
        <v>2022</v>
      </c>
      <c r="N1159" s="6">
        <v>1000</v>
      </c>
      <c r="O1159" s="6">
        <f t="shared" si="245"/>
        <v>-1000</v>
      </c>
      <c r="P1159" s="6">
        <f t="shared" si="236"/>
        <v>0</v>
      </c>
      <c r="Q1159" s="7">
        <f t="shared" si="243"/>
        <v>2103644.5500000007</v>
      </c>
      <c r="R1159" s="44" t="str">
        <f>VLOOKUP(F1159,'Set up'!$A$2:$E$70,5,FALSE)</f>
        <v>Trsf</v>
      </c>
      <c r="S1159" s="1" t="s">
        <v>1504</v>
      </c>
    </row>
    <row r="1160" spans="1:19" x14ac:dyDescent="0.3">
      <c r="A1160" s="4">
        <v>44876</v>
      </c>
      <c r="B1160" s="5">
        <f t="shared" si="238"/>
        <v>11</v>
      </c>
      <c r="C1160" s="5">
        <f t="shared" si="239"/>
        <v>2022</v>
      </c>
      <c r="D1160" s="5" t="s">
        <v>1064</v>
      </c>
      <c r="E1160" s="5" t="str">
        <f>VLOOKUP(F1160,'Set up'!$A$2:$C$70,2,FALSE)</f>
        <v>C00000020</v>
      </c>
      <c r="F1160" s="1" t="s">
        <v>409</v>
      </c>
      <c r="G1160" s="89" t="s">
        <v>666</v>
      </c>
      <c r="H1160" s="5">
        <v>4</v>
      </c>
      <c r="I1160" s="5" t="str">
        <f>VLOOKUP(F1160,'Set up'!$A$2:$C$70,3,FALSE)</f>
        <v>Cash</v>
      </c>
      <c r="J1160" s="5">
        <f>VLOOKUP(F1160,'Set up'!$A$2:$D$70,4,FALSE)</f>
        <v>0</v>
      </c>
      <c r="K1160" s="4">
        <f t="shared" si="240"/>
        <v>44876</v>
      </c>
      <c r="L1160" s="5">
        <f t="shared" si="241"/>
        <v>11</v>
      </c>
      <c r="M1160" s="5">
        <f t="shared" si="242"/>
        <v>2022</v>
      </c>
      <c r="N1160" s="6">
        <v>360</v>
      </c>
      <c r="O1160" s="6">
        <f t="shared" si="245"/>
        <v>-360</v>
      </c>
      <c r="P1160" s="6">
        <f t="shared" si="236"/>
        <v>0</v>
      </c>
      <c r="Q1160" s="7">
        <f t="shared" si="243"/>
        <v>2104004.5500000007</v>
      </c>
      <c r="R1160" s="44" t="str">
        <f>VLOOKUP(F1160,'Set up'!$A$2:$E$70,5,FALSE)</f>
        <v>Trsf</v>
      </c>
      <c r="S1160" s="1" t="s">
        <v>1505</v>
      </c>
    </row>
    <row r="1161" spans="1:19" x14ac:dyDescent="0.3">
      <c r="A1161" s="4">
        <v>44879</v>
      </c>
      <c r="B1161" s="5">
        <f t="shared" si="238"/>
        <v>11</v>
      </c>
      <c r="C1161" s="5">
        <f t="shared" si="239"/>
        <v>2022</v>
      </c>
      <c r="D1161" s="5" t="s">
        <v>1065</v>
      </c>
      <c r="E1161" s="5" t="str">
        <f>VLOOKUP(F1161,'Set up'!$A$2:$C$70,2,FALSE)</f>
        <v>C00000027</v>
      </c>
      <c r="F1161" s="1" t="s">
        <v>859</v>
      </c>
      <c r="G1161" s="89" t="s">
        <v>716</v>
      </c>
      <c r="H1161" s="5">
        <v>4</v>
      </c>
      <c r="I1161" s="5" t="str">
        <f>VLOOKUP(F1161,'Set up'!$A$2:$C$70,3,FALSE)</f>
        <v>Cash</v>
      </c>
      <c r="J1161" s="5">
        <f>VLOOKUP(F1161,'Set up'!$A$2:$D$70,4,FALSE)</f>
        <v>0</v>
      </c>
      <c r="K1161" s="4">
        <f t="shared" si="240"/>
        <v>44879</v>
      </c>
      <c r="L1161" s="5">
        <f t="shared" si="241"/>
        <v>11</v>
      </c>
      <c r="M1161" s="5">
        <f t="shared" si="242"/>
        <v>2022</v>
      </c>
      <c r="N1161" s="6">
        <v>7920</v>
      </c>
      <c r="O1161" s="6">
        <f t="shared" ref="O1161:O1170" si="246">-N1161</f>
        <v>-7920</v>
      </c>
      <c r="P1161" s="6">
        <f t="shared" si="236"/>
        <v>0</v>
      </c>
      <c r="Q1161" s="7">
        <f t="shared" si="243"/>
        <v>2111924.5500000007</v>
      </c>
      <c r="R1161" s="44" t="str">
        <f>VLOOKUP(F1161,'Set up'!$A$2:$E$70,5,FALSE)</f>
        <v>Trsf</v>
      </c>
      <c r="S1161" s="1" t="s">
        <v>1477</v>
      </c>
    </row>
    <row r="1162" spans="1:19" x14ac:dyDescent="0.3">
      <c r="A1162" s="4">
        <v>44879</v>
      </c>
      <c r="B1162" s="5">
        <f t="shared" si="238"/>
        <v>11</v>
      </c>
      <c r="C1162" s="5">
        <f t="shared" si="239"/>
        <v>2022</v>
      </c>
      <c r="D1162" s="5" t="s">
        <v>1065</v>
      </c>
      <c r="E1162" s="5" t="str">
        <f>VLOOKUP(F1162,'Set up'!$A$2:$C$70,2,FALSE)</f>
        <v>C00000027</v>
      </c>
      <c r="F1162" s="1" t="s">
        <v>859</v>
      </c>
      <c r="G1162" s="89" t="s">
        <v>707</v>
      </c>
      <c r="H1162" s="5">
        <v>2</v>
      </c>
      <c r="I1162" s="5" t="str">
        <f>VLOOKUP(F1162,'Set up'!$A$2:$C$70,3,FALSE)</f>
        <v>Cash</v>
      </c>
      <c r="J1162" s="5">
        <f>VLOOKUP(F1162,'Set up'!$A$2:$D$70,4,FALSE)</f>
        <v>0</v>
      </c>
      <c r="K1162" s="4">
        <f t="shared" si="240"/>
        <v>44879</v>
      </c>
      <c r="L1162" s="5">
        <f t="shared" si="241"/>
        <v>11</v>
      </c>
      <c r="M1162" s="5">
        <f t="shared" si="242"/>
        <v>2022</v>
      </c>
      <c r="N1162" s="6">
        <v>993.6</v>
      </c>
      <c r="O1162" s="6">
        <f t="shared" si="246"/>
        <v>-993.6</v>
      </c>
      <c r="P1162" s="6">
        <f t="shared" si="236"/>
        <v>0</v>
      </c>
      <c r="Q1162" s="7">
        <f t="shared" si="243"/>
        <v>2112918.1500000008</v>
      </c>
      <c r="R1162" s="44" t="str">
        <f>VLOOKUP(F1162,'Set up'!$A$2:$E$70,5,FALSE)</f>
        <v>Trsf</v>
      </c>
      <c r="S1162" s="1" t="s">
        <v>1477</v>
      </c>
    </row>
    <row r="1163" spans="1:19" x14ac:dyDescent="0.3">
      <c r="A1163" s="4">
        <v>44879</v>
      </c>
      <c r="B1163" s="5">
        <f t="shared" si="238"/>
        <v>11</v>
      </c>
      <c r="C1163" s="5">
        <f t="shared" si="239"/>
        <v>2022</v>
      </c>
      <c r="D1163" s="5" t="s">
        <v>1065</v>
      </c>
      <c r="E1163" s="5" t="str">
        <f>VLOOKUP(F1163,'Set up'!$A$2:$C$70,2,FALSE)</f>
        <v>C00000027</v>
      </c>
      <c r="F1163" s="1" t="s">
        <v>859</v>
      </c>
      <c r="G1163" s="89" t="s">
        <v>1007</v>
      </c>
      <c r="H1163" s="5">
        <v>2</v>
      </c>
      <c r="I1163" s="5" t="str">
        <f>VLOOKUP(F1163,'Set up'!$A$2:$C$70,3,FALSE)</f>
        <v>Cash</v>
      </c>
      <c r="J1163" s="5">
        <f>VLOOKUP(F1163,'Set up'!$A$2:$D$70,4,FALSE)</f>
        <v>0</v>
      </c>
      <c r="K1163" s="4">
        <f t="shared" si="240"/>
        <v>44879</v>
      </c>
      <c r="L1163" s="5">
        <f t="shared" si="241"/>
        <v>11</v>
      </c>
      <c r="M1163" s="5">
        <f t="shared" si="242"/>
        <v>2022</v>
      </c>
      <c r="N1163" s="6">
        <v>993.6</v>
      </c>
      <c r="O1163" s="6">
        <f t="shared" si="246"/>
        <v>-993.6</v>
      </c>
      <c r="P1163" s="6">
        <f t="shared" si="236"/>
        <v>0</v>
      </c>
      <c r="Q1163" s="7">
        <f t="shared" si="243"/>
        <v>2113911.7500000009</v>
      </c>
      <c r="R1163" s="44" t="str">
        <f>VLOOKUP(F1163,'Set up'!$A$2:$E$70,5,FALSE)</f>
        <v>Trsf</v>
      </c>
      <c r="S1163" s="1" t="s">
        <v>1477</v>
      </c>
    </row>
    <row r="1164" spans="1:19" x14ac:dyDescent="0.3">
      <c r="A1164" s="4">
        <v>44879</v>
      </c>
      <c r="B1164" s="5">
        <f t="shared" si="238"/>
        <v>11</v>
      </c>
      <c r="C1164" s="5">
        <f t="shared" si="239"/>
        <v>2022</v>
      </c>
      <c r="D1164" s="5" t="s">
        <v>1065</v>
      </c>
      <c r="E1164" s="5" t="str">
        <f>VLOOKUP(F1164,'Set up'!$A$2:$C$70,2,FALSE)</f>
        <v>C00000027</v>
      </c>
      <c r="F1164" s="1" t="s">
        <v>859</v>
      </c>
      <c r="G1164" s="89" t="s">
        <v>957</v>
      </c>
      <c r="H1164" s="5">
        <v>1</v>
      </c>
      <c r="I1164" s="5" t="str">
        <f>VLOOKUP(F1164,'Set up'!$A$2:$C$70,3,FALSE)</f>
        <v>Cash</v>
      </c>
      <c r="J1164" s="5">
        <f>VLOOKUP(F1164,'Set up'!$A$2:$D$70,4,FALSE)</f>
        <v>0</v>
      </c>
      <c r="K1164" s="4">
        <f t="shared" si="240"/>
        <v>44879</v>
      </c>
      <c r="L1164" s="5">
        <f t="shared" si="241"/>
        <v>11</v>
      </c>
      <c r="M1164" s="5">
        <f t="shared" si="242"/>
        <v>2022</v>
      </c>
      <c r="N1164" s="6">
        <v>315</v>
      </c>
      <c r="O1164" s="6">
        <f t="shared" si="246"/>
        <v>-315</v>
      </c>
      <c r="P1164" s="6">
        <f t="shared" si="236"/>
        <v>0</v>
      </c>
      <c r="Q1164" s="7">
        <f t="shared" si="243"/>
        <v>2114226.7500000009</v>
      </c>
      <c r="R1164" s="44" t="str">
        <f>VLOOKUP(F1164,'Set up'!$A$2:$E$70,5,FALSE)</f>
        <v>Trsf</v>
      </c>
      <c r="S1164" s="1" t="s">
        <v>1477</v>
      </c>
    </row>
    <row r="1165" spans="1:19" x14ac:dyDescent="0.3">
      <c r="A1165" s="4">
        <v>44879</v>
      </c>
      <c r="B1165" s="5">
        <f t="shared" si="238"/>
        <v>11</v>
      </c>
      <c r="C1165" s="5">
        <f t="shared" si="239"/>
        <v>2022</v>
      </c>
      <c r="D1165" s="5" t="s">
        <v>1065</v>
      </c>
      <c r="E1165" s="5" t="str">
        <f>VLOOKUP(F1165,'Set up'!$A$2:$C$70,2,FALSE)</f>
        <v>C00000027</v>
      </c>
      <c r="F1165" s="1" t="s">
        <v>859</v>
      </c>
      <c r="G1165" s="89" t="s">
        <v>894</v>
      </c>
      <c r="H1165" s="5">
        <v>4</v>
      </c>
      <c r="I1165" s="5" t="str">
        <f>VLOOKUP(F1165,'Set up'!$A$2:$C$70,3,FALSE)</f>
        <v>Cash</v>
      </c>
      <c r="J1165" s="5">
        <f>VLOOKUP(F1165,'Set up'!$A$2:$D$70,4,FALSE)</f>
        <v>0</v>
      </c>
      <c r="K1165" s="4">
        <f t="shared" si="240"/>
        <v>44879</v>
      </c>
      <c r="L1165" s="5">
        <f t="shared" si="241"/>
        <v>11</v>
      </c>
      <c r="M1165" s="5">
        <f t="shared" si="242"/>
        <v>2022</v>
      </c>
      <c r="N1165" s="6">
        <v>640</v>
      </c>
      <c r="O1165" s="6">
        <f t="shared" si="246"/>
        <v>-640</v>
      </c>
      <c r="P1165" s="6">
        <f t="shared" si="236"/>
        <v>0</v>
      </c>
      <c r="Q1165" s="7">
        <f t="shared" si="243"/>
        <v>2114866.7500000009</v>
      </c>
      <c r="R1165" s="44" t="str">
        <f>VLOOKUP(F1165,'Set up'!$A$2:$E$70,5,FALSE)</f>
        <v>Trsf</v>
      </c>
      <c r="S1165" s="1" t="s">
        <v>1477</v>
      </c>
    </row>
    <row r="1166" spans="1:19" x14ac:dyDescent="0.3">
      <c r="A1166" s="4">
        <v>44879</v>
      </c>
      <c r="B1166" s="5">
        <f t="shared" si="238"/>
        <v>11</v>
      </c>
      <c r="C1166" s="5">
        <f t="shared" si="239"/>
        <v>2022</v>
      </c>
      <c r="D1166" s="5" t="s">
        <v>1065</v>
      </c>
      <c r="E1166" s="5" t="str">
        <f>VLOOKUP(F1166,'Set up'!$A$2:$C$70,2,FALSE)</f>
        <v>C00000027</v>
      </c>
      <c r="F1166" s="1" t="s">
        <v>859</v>
      </c>
      <c r="G1166" s="89" t="s">
        <v>666</v>
      </c>
      <c r="H1166" s="5">
        <v>4</v>
      </c>
      <c r="I1166" s="5" t="str">
        <f>VLOOKUP(F1166,'Set up'!$A$2:$C$70,3,FALSE)</f>
        <v>Cash</v>
      </c>
      <c r="J1166" s="5">
        <f>VLOOKUP(F1166,'Set up'!$A$2:$D$70,4,FALSE)</f>
        <v>0</v>
      </c>
      <c r="K1166" s="4">
        <f t="shared" si="240"/>
        <v>44879</v>
      </c>
      <c r="L1166" s="5">
        <f t="shared" si="241"/>
        <v>11</v>
      </c>
      <c r="M1166" s="5">
        <f t="shared" si="242"/>
        <v>2022</v>
      </c>
      <c r="N1166" s="6">
        <v>360</v>
      </c>
      <c r="O1166" s="6">
        <f t="shared" si="246"/>
        <v>-360</v>
      </c>
      <c r="P1166" s="6">
        <f t="shared" si="236"/>
        <v>0</v>
      </c>
      <c r="Q1166" s="7">
        <f t="shared" si="243"/>
        <v>2115226.7500000009</v>
      </c>
      <c r="R1166" s="44" t="str">
        <f>VLOOKUP(F1166,'Set up'!$A$2:$E$70,5,FALSE)</f>
        <v>Trsf</v>
      </c>
      <c r="S1166" s="1" t="s">
        <v>1477</v>
      </c>
    </row>
    <row r="1167" spans="1:19" x14ac:dyDescent="0.3">
      <c r="A1167" s="4">
        <v>44879</v>
      </c>
      <c r="B1167" s="5">
        <f t="shared" si="238"/>
        <v>11</v>
      </c>
      <c r="C1167" s="5">
        <f t="shared" si="239"/>
        <v>2022</v>
      </c>
      <c r="D1167" s="5" t="s">
        <v>1065</v>
      </c>
      <c r="E1167" s="5" t="str">
        <f>VLOOKUP(F1167,'Set up'!$A$2:$C$70,2,FALSE)</f>
        <v>C00000027</v>
      </c>
      <c r="F1167" s="1" t="s">
        <v>859</v>
      </c>
      <c r="G1167" s="89" t="s">
        <v>863</v>
      </c>
      <c r="H1167" s="5">
        <v>6</v>
      </c>
      <c r="I1167" s="5" t="str">
        <f>VLOOKUP(F1167,'Set up'!$A$2:$C$70,3,FALSE)</f>
        <v>Cash</v>
      </c>
      <c r="J1167" s="5">
        <f>VLOOKUP(F1167,'Set up'!$A$2:$D$70,4,FALSE)</f>
        <v>0</v>
      </c>
      <c r="K1167" s="4">
        <f t="shared" si="240"/>
        <v>44879</v>
      </c>
      <c r="L1167" s="5">
        <f t="shared" si="241"/>
        <v>11</v>
      </c>
      <c r="M1167" s="5">
        <f t="shared" si="242"/>
        <v>2022</v>
      </c>
      <c r="N1167" s="6">
        <v>270</v>
      </c>
      <c r="O1167" s="6">
        <f t="shared" si="246"/>
        <v>-270</v>
      </c>
      <c r="P1167" s="6">
        <f t="shared" si="236"/>
        <v>0</v>
      </c>
      <c r="Q1167" s="7">
        <f t="shared" si="243"/>
        <v>2115496.7500000009</v>
      </c>
      <c r="R1167" s="44" t="str">
        <f>VLOOKUP(F1167,'Set up'!$A$2:$E$70,5,FALSE)</f>
        <v>Trsf</v>
      </c>
      <c r="S1167" s="1" t="s">
        <v>1477</v>
      </c>
    </row>
    <row r="1168" spans="1:19" x14ac:dyDescent="0.3">
      <c r="A1168" s="4">
        <v>44879</v>
      </c>
      <c r="B1168" s="5">
        <f t="shared" si="238"/>
        <v>11</v>
      </c>
      <c r="C1168" s="5">
        <f t="shared" si="239"/>
        <v>2022</v>
      </c>
      <c r="D1168" s="5" t="s">
        <v>1065</v>
      </c>
      <c r="E1168" s="5" t="str">
        <f>VLOOKUP(F1168,'Set up'!$A$2:$C$70,2,FALSE)</f>
        <v>C00000027</v>
      </c>
      <c r="F1168" s="1" t="s">
        <v>859</v>
      </c>
      <c r="G1168" s="89" t="s">
        <v>944</v>
      </c>
      <c r="H1168" s="5">
        <v>1</v>
      </c>
      <c r="I1168" s="5" t="str">
        <f>VLOOKUP(F1168,'Set up'!$A$2:$C$70,3,FALSE)</f>
        <v>Cash</v>
      </c>
      <c r="J1168" s="5">
        <f>VLOOKUP(F1168,'Set up'!$A$2:$D$70,4,FALSE)</f>
        <v>0</v>
      </c>
      <c r="K1168" s="4">
        <f t="shared" si="240"/>
        <v>44879</v>
      </c>
      <c r="L1168" s="5">
        <f t="shared" si="241"/>
        <v>11</v>
      </c>
      <c r="M1168" s="5">
        <f t="shared" si="242"/>
        <v>2022</v>
      </c>
      <c r="N1168" s="6">
        <v>440</v>
      </c>
      <c r="O1168" s="6">
        <f t="shared" si="246"/>
        <v>-440</v>
      </c>
      <c r="P1168" s="6">
        <f t="shared" si="236"/>
        <v>0</v>
      </c>
      <c r="Q1168" s="7">
        <f t="shared" si="243"/>
        <v>2115936.7500000009</v>
      </c>
      <c r="R1168" s="44" t="str">
        <f>VLOOKUP(F1168,'Set up'!$A$2:$E$70,5,FALSE)</f>
        <v>Trsf</v>
      </c>
      <c r="S1168" s="1" t="s">
        <v>1477</v>
      </c>
    </row>
    <row r="1169" spans="1:21" x14ac:dyDescent="0.3">
      <c r="A1169" s="4">
        <v>44879</v>
      </c>
      <c r="B1169" s="5">
        <f t="shared" si="238"/>
        <v>11</v>
      </c>
      <c r="C1169" s="5">
        <f t="shared" si="239"/>
        <v>2022</v>
      </c>
      <c r="D1169" s="5" t="s">
        <v>1065</v>
      </c>
      <c r="E1169" s="5" t="str">
        <f>VLOOKUP(F1169,'Set up'!$A$2:$C$70,2,FALSE)</f>
        <v>C00000027</v>
      </c>
      <c r="F1169" s="1" t="s">
        <v>859</v>
      </c>
      <c r="G1169" s="89" t="s">
        <v>865</v>
      </c>
      <c r="H1169" s="5">
        <v>6</v>
      </c>
      <c r="I1169" s="5" t="str">
        <f>VLOOKUP(F1169,'Set up'!$A$2:$C$70,3,FALSE)</f>
        <v>Cash</v>
      </c>
      <c r="J1169" s="5">
        <f>VLOOKUP(F1169,'Set up'!$A$2:$D$70,4,FALSE)</f>
        <v>0</v>
      </c>
      <c r="K1169" s="4">
        <f t="shared" si="240"/>
        <v>44879</v>
      </c>
      <c r="L1169" s="5">
        <f t="shared" si="241"/>
        <v>11</v>
      </c>
      <c r="M1169" s="5">
        <f t="shared" si="242"/>
        <v>2022</v>
      </c>
      <c r="N1169" s="6">
        <v>1524</v>
      </c>
      <c r="O1169" s="6">
        <f t="shared" si="246"/>
        <v>-1524</v>
      </c>
      <c r="P1169" s="6">
        <f t="shared" si="236"/>
        <v>0</v>
      </c>
      <c r="Q1169" s="7">
        <f t="shared" si="243"/>
        <v>2117460.7500000009</v>
      </c>
      <c r="R1169" s="44" t="str">
        <f>VLOOKUP(F1169,'Set up'!$A$2:$E$70,5,FALSE)</f>
        <v>Trsf</v>
      </c>
      <c r="S1169" s="1" t="s">
        <v>1477</v>
      </c>
    </row>
    <row r="1170" spans="1:21" x14ac:dyDescent="0.3">
      <c r="A1170" s="4">
        <v>44879</v>
      </c>
      <c r="B1170" s="5">
        <f t="shared" si="238"/>
        <v>11</v>
      </c>
      <c r="C1170" s="5">
        <f t="shared" si="239"/>
        <v>2022</v>
      </c>
      <c r="D1170" s="5" t="s">
        <v>1065</v>
      </c>
      <c r="E1170" s="5" t="str">
        <f>VLOOKUP(F1170,'Set up'!$A$2:$C$70,2,FALSE)</f>
        <v>C00000027</v>
      </c>
      <c r="F1170" s="1" t="s">
        <v>859</v>
      </c>
      <c r="G1170" s="89" t="s">
        <v>658</v>
      </c>
      <c r="H1170" s="5">
        <v>1</v>
      </c>
      <c r="I1170" s="5" t="str">
        <f>VLOOKUP(F1170,'Set up'!$A$2:$C$70,3,FALSE)</f>
        <v>Cash</v>
      </c>
      <c r="J1170" s="5">
        <f>VLOOKUP(F1170,'Set up'!$A$2:$D$70,4,FALSE)</f>
        <v>0</v>
      </c>
      <c r="K1170" s="4">
        <f t="shared" si="240"/>
        <v>44879</v>
      </c>
      <c r="L1170" s="5">
        <f t="shared" si="241"/>
        <v>11</v>
      </c>
      <c r="M1170" s="5">
        <f t="shared" si="242"/>
        <v>2022</v>
      </c>
      <c r="N1170" s="6">
        <v>1108.4000000000001</v>
      </c>
      <c r="O1170" s="6">
        <f t="shared" si="246"/>
        <v>-1108.4000000000001</v>
      </c>
      <c r="P1170" s="6">
        <f t="shared" si="236"/>
        <v>0</v>
      </c>
      <c r="Q1170" s="7">
        <f t="shared" si="243"/>
        <v>2118569.1500000008</v>
      </c>
      <c r="R1170" s="44" t="str">
        <f>VLOOKUP(F1170,'Set up'!$A$2:$E$70,5,FALSE)</f>
        <v>Trsf</v>
      </c>
      <c r="S1170" s="1" t="s">
        <v>1477</v>
      </c>
    </row>
    <row r="1171" spans="1:21" x14ac:dyDescent="0.3">
      <c r="A1171" s="4">
        <v>44880</v>
      </c>
      <c r="B1171" s="5">
        <f t="shared" si="238"/>
        <v>11</v>
      </c>
      <c r="C1171" s="5">
        <f t="shared" si="239"/>
        <v>2022</v>
      </c>
      <c r="D1171" s="5" t="s">
        <v>1066</v>
      </c>
      <c r="E1171" s="5" t="str">
        <f>VLOOKUP(F1171,'Set up'!$A$2:$C$70,2,FALSE)</f>
        <v>C00000019</v>
      </c>
      <c r="F1171" s="1" t="s">
        <v>400</v>
      </c>
      <c r="G1171" s="89" t="s">
        <v>719</v>
      </c>
      <c r="H1171" s="5">
        <v>2</v>
      </c>
      <c r="I1171" s="5" t="str">
        <f>VLOOKUP(F1171,'Set up'!$A$2:$C$70,3,FALSE)</f>
        <v>Cash</v>
      </c>
      <c r="J1171" s="5">
        <f>VLOOKUP(F1171,'Set up'!$A$2:$D$70,4,FALSE)</f>
        <v>0</v>
      </c>
      <c r="K1171" s="4">
        <f t="shared" si="240"/>
        <v>44880</v>
      </c>
      <c r="L1171" s="5">
        <f t="shared" si="241"/>
        <v>11</v>
      </c>
      <c r="M1171" s="5">
        <f t="shared" si="242"/>
        <v>2022</v>
      </c>
      <c r="N1171" s="6">
        <v>3872</v>
      </c>
      <c r="O1171" s="6">
        <f>-1500-1500-872</f>
        <v>-3872</v>
      </c>
      <c r="P1171" s="6">
        <f t="shared" si="236"/>
        <v>0</v>
      </c>
      <c r="Q1171" s="7">
        <f t="shared" si="243"/>
        <v>2122441.1500000008</v>
      </c>
      <c r="R1171" s="44" t="str">
        <f>VLOOKUP(F1171,'Set up'!$A$2:$E$70,5,FALSE)</f>
        <v>Trsf</v>
      </c>
      <c r="S1171" s="1" t="s">
        <v>1216</v>
      </c>
    </row>
    <row r="1172" spans="1:21" x14ac:dyDescent="0.3">
      <c r="A1172" s="4">
        <v>44880</v>
      </c>
      <c r="B1172" s="5">
        <f t="shared" si="238"/>
        <v>11</v>
      </c>
      <c r="C1172" s="5">
        <f t="shared" si="239"/>
        <v>2022</v>
      </c>
      <c r="D1172" s="5" t="s">
        <v>1066</v>
      </c>
      <c r="E1172" s="5" t="str">
        <f>VLOOKUP(F1172,'Set up'!$A$2:$C$70,2,FALSE)</f>
        <v>C00000019</v>
      </c>
      <c r="F1172" s="1" t="s">
        <v>400</v>
      </c>
      <c r="G1172" s="89" t="s">
        <v>707</v>
      </c>
      <c r="H1172" s="5">
        <v>2</v>
      </c>
      <c r="I1172" s="5" t="str">
        <f>VLOOKUP(F1172,'Set up'!$A$2:$C$70,3,FALSE)</f>
        <v>Cash</v>
      </c>
      <c r="J1172" s="5">
        <f>VLOOKUP(F1172,'Set up'!$A$2:$D$70,4,FALSE)</f>
        <v>0</v>
      </c>
      <c r="K1172" s="4">
        <f t="shared" si="240"/>
        <v>44880</v>
      </c>
      <c r="L1172" s="5">
        <f t="shared" si="241"/>
        <v>11</v>
      </c>
      <c r="M1172" s="5">
        <f t="shared" si="242"/>
        <v>2022</v>
      </c>
      <c r="N1172" s="6">
        <v>961.2</v>
      </c>
      <c r="O1172" s="6">
        <f t="shared" ref="O1172" si="247">-N1172</f>
        <v>-961.2</v>
      </c>
      <c r="P1172" s="6">
        <f t="shared" si="236"/>
        <v>0</v>
      </c>
      <c r="Q1172" s="7">
        <f t="shared" si="243"/>
        <v>2123402.350000001</v>
      </c>
      <c r="R1172" s="44" t="str">
        <f>VLOOKUP(F1172,'Set up'!$A$2:$E$70,5,FALSE)</f>
        <v>Trsf</v>
      </c>
      <c r="S1172" s="1" t="s">
        <v>1215</v>
      </c>
    </row>
    <row r="1173" spans="1:21" x14ac:dyDescent="0.3">
      <c r="A1173" s="4">
        <v>44880</v>
      </c>
      <c r="B1173" s="5">
        <f t="shared" si="238"/>
        <v>11</v>
      </c>
      <c r="C1173" s="5">
        <f t="shared" si="239"/>
        <v>2022</v>
      </c>
      <c r="D1173" s="5" t="s">
        <v>1066</v>
      </c>
      <c r="E1173" s="5" t="str">
        <f>VLOOKUP(F1173,'Set up'!$A$2:$C$70,2,FALSE)</f>
        <v>C00000019</v>
      </c>
      <c r="F1173" s="1" t="s">
        <v>400</v>
      </c>
      <c r="G1173" s="89" t="s">
        <v>292</v>
      </c>
      <c r="H1173" s="5">
        <v>1</v>
      </c>
      <c r="I1173" s="5" t="str">
        <f>VLOOKUP(F1173,'Set up'!$A$2:$C$70,3,FALSE)</f>
        <v>Cash</v>
      </c>
      <c r="J1173" s="5">
        <f>VLOOKUP(F1173,'Set up'!$A$2:$D$70,4,FALSE)</f>
        <v>0</v>
      </c>
      <c r="K1173" s="4">
        <f t="shared" si="240"/>
        <v>44880</v>
      </c>
      <c r="L1173" s="5">
        <f t="shared" si="241"/>
        <v>11</v>
      </c>
      <c r="M1173" s="5">
        <f t="shared" si="242"/>
        <v>2022</v>
      </c>
      <c r="N1173" s="6">
        <v>450</v>
      </c>
      <c r="O1173" s="6">
        <f>-166.8-283.2</f>
        <v>-450</v>
      </c>
      <c r="P1173" s="6">
        <f t="shared" si="236"/>
        <v>0</v>
      </c>
      <c r="Q1173" s="7">
        <f t="shared" si="243"/>
        <v>2123852.350000001</v>
      </c>
      <c r="R1173" s="44" t="str">
        <f>VLOOKUP(F1173,'Set up'!$A$2:$E$70,5,FALSE)</f>
        <v>Trsf</v>
      </c>
      <c r="S1173" s="1" t="s">
        <v>1217</v>
      </c>
    </row>
    <row r="1174" spans="1:21" x14ac:dyDescent="0.3">
      <c r="A1174" s="97" t="s">
        <v>1069</v>
      </c>
      <c r="B1174" s="5">
        <f t="shared" si="238"/>
        <v>11</v>
      </c>
      <c r="C1174" s="5">
        <f t="shared" si="239"/>
        <v>2022</v>
      </c>
      <c r="D1174" s="5" t="s">
        <v>1067</v>
      </c>
      <c r="E1174" s="5" t="str">
        <f>VLOOKUP(F1174,'Set up'!$A$2:$C$70,2,FALSE)</f>
        <v>C00000019</v>
      </c>
      <c r="F1174" s="1" t="s">
        <v>400</v>
      </c>
      <c r="G1174" s="89" t="s">
        <v>46</v>
      </c>
      <c r="H1174" s="5">
        <v>1</v>
      </c>
      <c r="I1174" s="5" t="str">
        <f>VLOOKUP(F1174,'Set up'!$A$2:$C$70,3,FALSE)</f>
        <v>Cash</v>
      </c>
      <c r="J1174" s="5">
        <f>VLOOKUP(F1174,'Set up'!$A$2:$D$70,4,FALSE)</f>
        <v>0</v>
      </c>
      <c r="K1174" s="4">
        <f t="shared" si="240"/>
        <v>44882</v>
      </c>
      <c r="L1174" s="5">
        <f t="shared" si="241"/>
        <v>11</v>
      </c>
      <c r="M1174" s="5">
        <f t="shared" si="242"/>
        <v>2022</v>
      </c>
      <c r="N1174" s="6">
        <v>105</v>
      </c>
      <c r="O1174" s="6">
        <f t="shared" ref="O1174" si="248">-N1174</f>
        <v>-105</v>
      </c>
      <c r="P1174" s="6">
        <f>SUM(N1174+O1174)</f>
        <v>0</v>
      </c>
      <c r="Q1174" s="7">
        <f t="shared" si="243"/>
        <v>2123957.350000001</v>
      </c>
      <c r="R1174" s="44" t="str">
        <f>VLOOKUP(F1174,'Set up'!$A$2:$E$70,5,FALSE)</f>
        <v>Trsf</v>
      </c>
      <c r="S1174" s="1" t="s">
        <v>1218</v>
      </c>
    </row>
    <row r="1175" spans="1:21" x14ac:dyDescent="0.3">
      <c r="A1175" s="97" t="s">
        <v>1070</v>
      </c>
      <c r="B1175" s="5">
        <f t="shared" si="238"/>
        <v>11</v>
      </c>
      <c r="C1175" s="5">
        <f t="shared" si="239"/>
        <v>2022</v>
      </c>
      <c r="D1175" s="5" t="s">
        <v>1068</v>
      </c>
      <c r="E1175" s="5" t="str">
        <f>VLOOKUP(F1175,'Set up'!$A$2:$C$70,2,FALSE)</f>
        <v>C00000001</v>
      </c>
      <c r="F1175" s="1" t="s">
        <v>7</v>
      </c>
      <c r="G1175" s="89" t="s">
        <v>716</v>
      </c>
      <c r="H1175" s="5">
        <v>1</v>
      </c>
      <c r="I1175" s="5" t="str">
        <f>VLOOKUP(F1175,'Set up'!$A$2:$C$70,3,FALSE)</f>
        <v>Cash</v>
      </c>
      <c r="J1175" s="5">
        <f>VLOOKUP(F1175,'Set up'!$A$2:$D$70,4,FALSE)</f>
        <v>0</v>
      </c>
      <c r="K1175" s="4">
        <f t="shared" si="240"/>
        <v>44887</v>
      </c>
      <c r="L1175" s="5">
        <f t="shared" si="241"/>
        <v>11</v>
      </c>
      <c r="M1175" s="5">
        <f t="shared" si="242"/>
        <v>2022</v>
      </c>
      <c r="N1175" s="6">
        <v>1936</v>
      </c>
      <c r="O1175" s="6">
        <f>-N1175</f>
        <v>-1936</v>
      </c>
      <c r="P1175" s="6">
        <f t="shared" si="236"/>
        <v>0</v>
      </c>
      <c r="Q1175" s="7">
        <f t="shared" si="243"/>
        <v>2125893.350000001</v>
      </c>
      <c r="R1175" s="44" t="str">
        <f>VLOOKUP(F1175,'Set up'!$A$2:$E$70,5,FALSE)</f>
        <v>Trsf</v>
      </c>
      <c r="S1175" s="1" t="s">
        <v>1141</v>
      </c>
    </row>
    <row r="1176" spans="1:21" x14ac:dyDescent="0.3">
      <c r="A1176" s="97" t="s">
        <v>1070</v>
      </c>
      <c r="B1176" s="5">
        <f t="shared" si="238"/>
        <v>11</v>
      </c>
      <c r="C1176" s="5">
        <f t="shared" si="239"/>
        <v>2022</v>
      </c>
      <c r="D1176" s="5" t="s">
        <v>1071</v>
      </c>
      <c r="E1176" s="5" t="str">
        <f>VLOOKUP(F1176,'Set up'!$A$2:$C$70,2,FALSE)</f>
        <v>C00000031</v>
      </c>
      <c r="F1176" s="1" t="s">
        <v>1051</v>
      </c>
      <c r="G1176" s="1" t="s">
        <v>1054</v>
      </c>
      <c r="H1176" s="5">
        <v>3</v>
      </c>
      <c r="I1176" s="5" t="str">
        <f>VLOOKUP(F1176,'Set up'!$A$2:$C$70,3,FALSE)</f>
        <v>Cash</v>
      </c>
      <c r="J1176" s="5">
        <f>VLOOKUP(F1176,'Set up'!$A$2:$D$70,4,FALSE)</f>
        <v>0</v>
      </c>
      <c r="K1176" s="4">
        <f t="shared" si="240"/>
        <v>44887</v>
      </c>
      <c r="L1176" s="5">
        <f t="shared" si="241"/>
        <v>11</v>
      </c>
      <c r="M1176" s="5">
        <f t="shared" si="242"/>
        <v>2022</v>
      </c>
      <c r="N1176" s="6">
        <v>780</v>
      </c>
      <c r="O1176" s="6">
        <f>-N1176</f>
        <v>-780</v>
      </c>
      <c r="P1176" s="6">
        <f t="shared" si="236"/>
        <v>0</v>
      </c>
      <c r="Q1176" s="7">
        <f t="shared" si="243"/>
        <v>2126673.350000001</v>
      </c>
      <c r="R1176" s="44" t="str">
        <f>VLOOKUP(F1176,'Set up'!$A$2:$E$70,5,FALSE)</f>
        <v>Trsf</v>
      </c>
      <c r="S1176" s="1" t="s">
        <v>1090</v>
      </c>
    </row>
    <row r="1177" spans="1:21" x14ac:dyDescent="0.3">
      <c r="A1177" s="97" t="s">
        <v>1070</v>
      </c>
      <c r="B1177" s="5">
        <f t="shared" si="238"/>
        <v>11</v>
      </c>
      <c r="C1177" s="5">
        <f t="shared" si="239"/>
        <v>2022</v>
      </c>
      <c r="D1177" s="5" t="s">
        <v>1075</v>
      </c>
      <c r="E1177" s="5" t="str">
        <f>VLOOKUP(F1177,'Set up'!$A$2:$C$70,2,FALSE)</f>
        <v>C00000020</v>
      </c>
      <c r="F1177" s="1" t="s">
        <v>409</v>
      </c>
      <c r="G1177" s="89" t="s">
        <v>719</v>
      </c>
      <c r="H1177" s="5">
        <v>6</v>
      </c>
      <c r="I1177" s="5" t="str">
        <f>VLOOKUP(F1177,'Set up'!$A$2:$C$70,3,FALSE)</f>
        <v>Cash</v>
      </c>
      <c r="J1177" s="5">
        <f>VLOOKUP(F1177,'Set up'!$A$2:$D$70,4,FALSE)</f>
        <v>0</v>
      </c>
      <c r="K1177" s="4">
        <f t="shared" si="240"/>
        <v>44887</v>
      </c>
      <c r="L1177" s="5">
        <f t="shared" si="241"/>
        <v>11</v>
      </c>
      <c r="M1177" s="5">
        <f t="shared" si="242"/>
        <v>2022</v>
      </c>
      <c r="N1177" s="6">
        <v>10824</v>
      </c>
      <c r="O1177" s="6">
        <f t="shared" ref="O1177" si="249">-N1177</f>
        <v>-10824</v>
      </c>
      <c r="P1177" s="6">
        <f t="shared" si="236"/>
        <v>0</v>
      </c>
      <c r="Q1177" s="7">
        <f t="shared" si="243"/>
        <v>2137497.350000001</v>
      </c>
      <c r="R1177" s="44" t="str">
        <f>VLOOKUP(F1177,'Set up'!$A$2:$E$70,5,FALSE)</f>
        <v>Trsf</v>
      </c>
      <c r="S1177" s="1" t="s">
        <v>1506</v>
      </c>
    </row>
    <row r="1178" spans="1:21" x14ac:dyDescent="0.3">
      <c r="A1178" s="97" t="s">
        <v>1070</v>
      </c>
      <c r="B1178" s="5">
        <f t="shared" si="238"/>
        <v>11</v>
      </c>
      <c r="C1178" s="5">
        <f t="shared" si="239"/>
        <v>2022</v>
      </c>
      <c r="D1178" s="5" t="s">
        <v>1075</v>
      </c>
      <c r="E1178" s="5" t="str">
        <f>VLOOKUP(F1178,'Set up'!$A$2:$C$70,2,FALSE)</f>
        <v>C00000020</v>
      </c>
      <c r="F1178" s="1" t="s">
        <v>409</v>
      </c>
      <c r="G1178" s="89" t="s">
        <v>988</v>
      </c>
      <c r="H1178" s="5">
        <v>12</v>
      </c>
      <c r="I1178" s="5" t="str">
        <f>VLOOKUP(F1178,'Set up'!$A$2:$C$70,3,FALSE)</f>
        <v>Cash</v>
      </c>
      <c r="J1178" s="5">
        <f>VLOOKUP(F1178,'Set up'!$A$2:$D$70,4,FALSE)</f>
        <v>0</v>
      </c>
      <c r="K1178" s="4">
        <f t="shared" si="240"/>
        <v>44887</v>
      </c>
      <c r="L1178" s="5">
        <f t="shared" si="241"/>
        <v>11</v>
      </c>
      <c r="M1178" s="5">
        <f t="shared" si="242"/>
        <v>2022</v>
      </c>
      <c r="N1178" s="6">
        <v>3024</v>
      </c>
      <c r="O1178" s="6">
        <f>-2393.9-630.1</f>
        <v>-3024</v>
      </c>
      <c r="P1178" s="6">
        <f t="shared" si="236"/>
        <v>0</v>
      </c>
      <c r="Q1178" s="7">
        <f t="shared" si="243"/>
        <v>2140521.350000001</v>
      </c>
      <c r="R1178" s="44" t="str">
        <f>VLOOKUP(F1178,'Set up'!$A$2:$E$70,5,FALSE)</f>
        <v>Trsf</v>
      </c>
      <c r="S1178" s="1" t="s">
        <v>1507</v>
      </c>
    </row>
    <row r="1179" spans="1:21" x14ac:dyDescent="0.3">
      <c r="A1179" s="97" t="s">
        <v>1070</v>
      </c>
      <c r="B1179" s="5">
        <f t="shared" si="238"/>
        <v>11</v>
      </c>
      <c r="C1179" s="5">
        <f t="shared" si="239"/>
        <v>2022</v>
      </c>
      <c r="D1179" s="5" t="s">
        <v>1075</v>
      </c>
      <c r="E1179" s="5" t="str">
        <f>VLOOKUP(F1179,'Set up'!$A$2:$C$70,2,FALSE)</f>
        <v>C00000020</v>
      </c>
      <c r="F1179" s="1" t="s">
        <v>409</v>
      </c>
      <c r="G1179" s="89" t="s">
        <v>1072</v>
      </c>
      <c r="H1179" s="5">
        <v>6</v>
      </c>
      <c r="I1179" s="5" t="str">
        <f>VLOOKUP(F1179,'Set up'!$A$2:$C$70,3,FALSE)</f>
        <v>Cash</v>
      </c>
      <c r="J1179" s="5">
        <f>VLOOKUP(F1179,'Set up'!$A$2:$D$70,4,FALSE)</f>
        <v>0</v>
      </c>
      <c r="K1179" s="4">
        <f t="shared" si="240"/>
        <v>44887</v>
      </c>
      <c r="L1179" s="5">
        <f t="shared" si="241"/>
        <v>11</v>
      </c>
      <c r="M1179" s="5">
        <f t="shared" si="242"/>
        <v>2022</v>
      </c>
      <c r="N1179" s="6">
        <v>1560</v>
      </c>
      <c r="O1179" s="6">
        <f t="shared" ref="O1179:O1182" si="250">-N1179</f>
        <v>-1560</v>
      </c>
      <c r="P1179" s="6">
        <f t="shared" si="236"/>
        <v>0</v>
      </c>
      <c r="Q1179" s="7">
        <f t="shared" si="243"/>
        <v>2142081.350000001</v>
      </c>
      <c r="R1179" s="44" t="str">
        <f>VLOOKUP(F1179,'Set up'!$A$2:$E$70,5,FALSE)</f>
        <v>Trsf</v>
      </c>
      <c r="S1179" s="1" t="s">
        <v>1508</v>
      </c>
    </row>
    <row r="1180" spans="1:21" x14ac:dyDescent="0.3">
      <c r="A1180" s="97" t="s">
        <v>1070</v>
      </c>
      <c r="B1180" s="5">
        <f t="shared" si="238"/>
        <v>11</v>
      </c>
      <c r="C1180" s="5">
        <f t="shared" si="239"/>
        <v>2022</v>
      </c>
      <c r="D1180" s="5" t="s">
        <v>1075</v>
      </c>
      <c r="E1180" s="5" t="str">
        <f>VLOOKUP(F1180,'Set up'!$A$2:$C$70,2,FALSE)</f>
        <v>C00000020</v>
      </c>
      <c r="F1180" s="1" t="s">
        <v>409</v>
      </c>
      <c r="G1180" s="89" t="s">
        <v>54</v>
      </c>
      <c r="H1180" s="5">
        <v>6</v>
      </c>
      <c r="I1180" s="5" t="str">
        <f>VLOOKUP(F1180,'Set up'!$A$2:$C$70,3,FALSE)</f>
        <v>Cash</v>
      </c>
      <c r="J1180" s="5">
        <f>VLOOKUP(F1180,'Set up'!$A$2:$D$70,4,FALSE)</f>
        <v>0</v>
      </c>
      <c r="K1180" s="4">
        <f t="shared" si="240"/>
        <v>44887</v>
      </c>
      <c r="L1180" s="5">
        <f t="shared" si="241"/>
        <v>11</v>
      </c>
      <c r="M1180" s="5">
        <f t="shared" si="242"/>
        <v>2022</v>
      </c>
      <c r="N1180" s="6">
        <v>375</v>
      </c>
      <c r="O1180" s="6">
        <f t="shared" si="250"/>
        <v>-375</v>
      </c>
      <c r="P1180" s="6">
        <f t="shared" si="236"/>
        <v>0</v>
      </c>
      <c r="Q1180" s="7">
        <f t="shared" si="243"/>
        <v>2142456.350000001</v>
      </c>
      <c r="R1180" s="44" t="str">
        <f>VLOOKUP(F1180,'Set up'!$A$2:$E$70,5,FALSE)</f>
        <v>Trsf</v>
      </c>
      <c r="S1180" s="1" t="s">
        <v>1509</v>
      </c>
    </row>
    <row r="1181" spans="1:21" x14ac:dyDescent="0.3">
      <c r="A1181" s="97" t="s">
        <v>1070</v>
      </c>
      <c r="B1181" s="5">
        <f t="shared" si="238"/>
        <v>11</v>
      </c>
      <c r="C1181" s="5">
        <f t="shared" si="239"/>
        <v>2022</v>
      </c>
      <c r="D1181" s="5" t="s">
        <v>1075</v>
      </c>
      <c r="E1181" s="5" t="str">
        <f>VLOOKUP(F1181,'Set up'!$A$2:$C$70,2,FALSE)</f>
        <v>C00000020</v>
      </c>
      <c r="F1181" s="1" t="s">
        <v>409</v>
      </c>
      <c r="G1181" s="89" t="s">
        <v>1073</v>
      </c>
      <c r="H1181" s="5">
        <v>1</v>
      </c>
      <c r="I1181" s="5" t="str">
        <f>VLOOKUP(F1181,'Set up'!$A$2:$C$70,3,FALSE)</f>
        <v>Cash</v>
      </c>
      <c r="J1181" s="5">
        <f>VLOOKUP(F1181,'Set up'!$A$2:$D$70,4,FALSE)</f>
        <v>0</v>
      </c>
      <c r="K1181" s="4">
        <f t="shared" si="240"/>
        <v>44887</v>
      </c>
      <c r="L1181" s="5">
        <f t="shared" si="241"/>
        <v>11</v>
      </c>
      <c r="M1181" s="5">
        <f t="shared" si="242"/>
        <v>2022</v>
      </c>
      <c r="N1181" s="6">
        <v>1000</v>
      </c>
      <c r="O1181" s="6">
        <f t="shared" si="250"/>
        <v>-1000</v>
      </c>
      <c r="P1181" s="6">
        <f t="shared" si="236"/>
        <v>0</v>
      </c>
      <c r="Q1181" s="7">
        <f t="shared" si="243"/>
        <v>2143456.350000001</v>
      </c>
      <c r="R1181" s="44" t="str">
        <f>VLOOKUP(F1181,'Set up'!$A$2:$E$70,5,FALSE)</f>
        <v>Trsf</v>
      </c>
      <c r="S1181" s="1" t="s">
        <v>1511</v>
      </c>
    </row>
    <row r="1182" spans="1:21" x14ac:dyDescent="0.3">
      <c r="A1182" s="97" t="s">
        <v>1070</v>
      </c>
      <c r="B1182" s="5">
        <f t="shared" si="238"/>
        <v>11</v>
      </c>
      <c r="C1182" s="5">
        <f t="shared" si="239"/>
        <v>2022</v>
      </c>
      <c r="D1182" s="5" t="s">
        <v>1075</v>
      </c>
      <c r="E1182" s="5" t="str">
        <f>VLOOKUP(F1182,'Set up'!$A$2:$C$70,2,FALSE)</f>
        <v>C00000020</v>
      </c>
      <c r="F1182" s="1" t="s">
        <v>409</v>
      </c>
      <c r="G1182" s="89" t="s">
        <v>1074</v>
      </c>
      <c r="H1182" s="5">
        <v>6</v>
      </c>
      <c r="I1182" s="5" t="str">
        <f>VLOOKUP(F1182,'Set up'!$A$2:$C$70,3,FALSE)</f>
        <v>Cash</v>
      </c>
      <c r="J1182" s="5">
        <f>VLOOKUP(F1182,'Set up'!$A$2:$D$70,4,FALSE)</f>
        <v>0</v>
      </c>
      <c r="K1182" s="4">
        <f t="shared" si="240"/>
        <v>44887</v>
      </c>
      <c r="L1182" s="5">
        <f t="shared" si="241"/>
        <v>11</v>
      </c>
      <c r="M1182" s="5">
        <f t="shared" si="242"/>
        <v>2022</v>
      </c>
      <c r="N1182" s="6">
        <v>453.59999999999997</v>
      </c>
      <c r="O1182" s="6">
        <f t="shared" si="250"/>
        <v>-453.59999999999997</v>
      </c>
      <c r="P1182" s="6">
        <f t="shared" si="236"/>
        <v>0</v>
      </c>
      <c r="Q1182" s="7">
        <f t="shared" si="243"/>
        <v>2143909.9500000011</v>
      </c>
      <c r="R1182" s="44" t="str">
        <f>VLOOKUP(F1182,'Set up'!$A$2:$E$70,5,FALSE)</f>
        <v>Trsf</v>
      </c>
      <c r="S1182" s="1" t="s">
        <v>1512</v>
      </c>
    </row>
    <row r="1183" spans="1:21" x14ac:dyDescent="0.3">
      <c r="A1183" s="4">
        <v>44894</v>
      </c>
      <c r="B1183" s="5">
        <f t="shared" si="238"/>
        <v>11</v>
      </c>
      <c r="C1183" s="5">
        <f t="shared" si="239"/>
        <v>2022</v>
      </c>
      <c r="D1183" s="5" t="s">
        <v>1091</v>
      </c>
      <c r="E1183" s="5" t="str">
        <f>VLOOKUP(F1183,'Set up'!$A$2:$C$70,2,FALSE)</f>
        <v>C00000003</v>
      </c>
      <c r="F1183" s="1" t="s">
        <v>20</v>
      </c>
      <c r="G1183" s="89" t="s">
        <v>67</v>
      </c>
      <c r="H1183" s="5">
        <v>3</v>
      </c>
      <c r="I1183" s="5">
        <f>VLOOKUP(F1183,'Set up'!$A$2:$C$70,3,FALSE)</f>
        <v>45</v>
      </c>
      <c r="J1183" s="5">
        <f>VLOOKUP(F1183,'Set up'!$A$2:$D$70,4,FALSE)</f>
        <v>45</v>
      </c>
      <c r="K1183" s="4">
        <f t="shared" si="240"/>
        <v>44939</v>
      </c>
      <c r="L1183" s="5">
        <f t="shared" si="241"/>
        <v>1</v>
      </c>
      <c r="M1183" s="5">
        <f t="shared" si="242"/>
        <v>2023</v>
      </c>
      <c r="N1183" s="6">
        <v>5808</v>
      </c>
      <c r="O1183" s="6">
        <f>-N1183</f>
        <v>-5808</v>
      </c>
      <c r="P1183" s="6">
        <f t="shared" si="236"/>
        <v>0</v>
      </c>
      <c r="Q1183" s="7">
        <f t="shared" si="243"/>
        <v>2149717.9500000011</v>
      </c>
      <c r="R1183" s="44" t="str">
        <f>VLOOKUP(F1183,'Set up'!$A$2:$E$70,5,FALSE)</f>
        <v>PD Chq</v>
      </c>
      <c r="S1183" s="1" t="s">
        <v>1223</v>
      </c>
      <c r="U1183" s="1" t="s">
        <v>3603</v>
      </c>
    </row>
    <row r="1184" spans="1:21" x14ac:dyDescent="0.3">
      <c r="A1184" s="4">
        <v>44894</v>
      </c>
      <c r="B1184" s="5">
        <f t="shared" si="238"/>
        <v>11</v>
      </c>
      <c r="C1184" s="5">
        <f t="shared" si="239"/>
        <v>2022</v>
      </c>
      <c r="D1184" s="5" t="s">
        <v>1091</v>
      </c>
      <c r="E1184" s="5" t="str">
        <f>VLOOKUP(F1184,'Set up'!$A$2:$C$70,2,FALSE)</f>
        <v>C00000003</v>
      </c>
      <c r="F1184" s="1" t="s">
        <v>20</v>
      </c>
      <c r="G1184" s="89" t="s">
        <v>954</v>
      </c>
      <c r="H1184" s="5">
        <v>1</v>
      </c>
      <c r="I1184" s="5">
        <f>VLOOKUP(F1184,'Set up'!$A$2:$C$70,3,FALSE)</f>
        <v>45</v>
      </c>
      <c r="J1184" s="5">
        <f>VLOOKUP(F1184,'Set up'!$A$2:$D$70,4,FALSE)</f>
        <v>45</v>
      </c>
      <c r="K1184" s="4">
        <f t="shared" si="240"/>
        <v>44939</v>
      </c>
      <c r="L1184" s="5">
        <f t="shared" si="241"/>
        <v>1</v>
      </c>
      <c r="M1184" s="5">
        <f t="shared" si="242"/>
        <v>2023</v>
      </c>
      <c r="N1184" s="6">
        <v>306</v>
      </c>
      <c r="O1184" s="6">
        <f>-192-114</f>
        <v>-306</v>
      </c>
      <c r="P1184" s="6">
        <f t="shared" si="236"/>
        <v>0</v>
      </c>
      <c r="Q1184" s="7">
        <f t="shared" si="243"/>
        <v>2150023.9500000011</v>
      </c>
      <c r="R1184" s="44" t="str">
        <f>VLOOKUP(F1184,'Set up'!$A$2:$E$70,5,FALSE)</f>
        <v>PD Chq</v>
      </c>
      <c r="S1184" s="1" t="s">
        <v>1290</v>
      </c>
      <c r="U1184" s="1" t="s">
        <v>3603</v>
      </c>
    </row>
    <row r="1185" spans="1:21" x14ac:dyDescent="0.3">
      <c r="A1185" s="4">
        <v>44894</v>
      </c>
      <c r="B1185" s="5">
        <f t="shared" si="238"/>
        <v>11</v>
      </c>
      <c r="C1185" s="5">
        <f t="shared" si="239"/>
        <v>2022</v>
      </c>
      <c r="D1185" s="5" t="s">
        <v>1091</v>
      </c>
      <c r="E1185" s="5" t="str">
        <f>VLOOKUP(F1185,'Set up'!$A$2:$C$70,2,FALSE)</f>
        <v>C00000003</v>
      </c>
      <c r="F1185" s="1" t="s">
        <v>20</v>
      </c>
      <c r="G1185" s="89" t="s">
        <v>64</v>
      </c>
      <c r="H1185" s="5">
        <v>5</v>
      </c>
      <c r="I1185" s="5">
        <f>VLOOKUP(F1185,'Set up'!$A$2:$C$70,3,FALSE)</f>
        <v>45</v>
      </c>
      <c r="J1185" s="5">
        <f>VLOOKUP(F1185,'Set up'!$A$2:$D$70,4,FALSE)</f>
        <v>45</v>
      </c>
      <c r="K1185" s="4">
        <f t="shared" si="240"/>
        <v>44939</v>
      </c>
      <c r="L1185" s="5">
        <f t="shared" si="241"/>
        <v>1</v>
      </c>
      <c r="M1185" s="5">
        <f t="shared" si="242"/>
        <v>2023</v>
      </c>
      <c r="N1185" s="6">
        <v>325</v>
      </c>
      <c r="O1185" s="6">
        <f>-N1185</f>
        <v>-325</v>
      </c>
      <c r="P1185" s="6">
        <f t="shared" si="236"/>
        <v>0</v>
      </c>
      <c r="Q1185" s="7">
        <f t="shared" si="243"/>
        <v>2150348.9500000011</v>
      </c>
      <c r="R1185" s="44" t="str">
        <f>VLOOKUP(F1185,'Set up'!$A$2:$E$70,5,FALSE)</f>
        <v>PD Chq</v>
      </c>
      <c r="S1185" s="1" t="s">
        <v>1291</v>
      </c>
      <c r="U1185" s="1" t="s">
        <v>3603</v>
      </c>
    </row>
    <row r="1186" spans="1:21" x14ac:dyDescent="0.3">
      <c r="A1186" s="4">
        <v>44894</v>
      </c>
      <c r="B1186" s="5">
        <f t="shared" si="238"/>
        <v>11</v>
      </c>
      <c r="C1186" s="5">
        <f t="shared" si="239"/>
        <v>2022</v>
      </c>
      <c r="D1186" s="5" t="s">
        <v>1091</v>
      </c>
      <c r="E1186" s="5" t="str">
        <f>VLOOKUP(F1186,'Set up'!$A$2:$C$70,2,FALSE)</f>
        <v>C00000003</v>
      </c>
      <c r="F1186" s="1" t="s">
        <v>20</v>
      </c>
      <c r="G1186" s="89" t="s">
        <v>17</v>
      </c>
      <c r="H1186" s="5">
        <v>6</v>
      </c>
      <c r="I1186" s="5">
        <f>VLOOKUP(F1186,'Set up'!$A$2:$C$70,3,FALSE)</f>
        <v>45</v>
      </c>
      <c r="J1186" s="5">
        <f>VLOOKUP(F1186,'Set up'!$A$2:$D$70,4,FALSE)</f>
        <v>45</v>
      </c>
      <c r="K1186" s="4">
        <f t="shared" si="240"/>
        <v>44939</v>
      </c>
      <c r="L1186" s="5">
        <f t="shared" si="241"/>
        <v>1</v>
      </c>
      <c r="M1186" s="5">
        <f t="shared" si="242"/>
        <v>2023</v>
      </c>
      <c r="N1186" s="6">
        <v>630</v>
      </c>
      <c r="O1186" s="6">
        <f>-N1186</f>
        <v>-630</v>
      </c>
      <c r="P1186" s="6">
        <f t="shared" si="236"/>
        <v>0</v>
      </c>
      <c r="Q1186" s="7">
        <f t="shared" si="243"/>
        <v>2150978.9500000011</v>
      </c>
      <c r="R1186" s="44" t="str">
        <f>VLOOKUP(F1186,'Set up'!$A$2:$E$70,5,FALSE)</f>
        <v>PD Chq</v>
      </c>
      <c r="S1186" s="1" t="s">
        <v>1292</v>
      </c>
      <c r="U1186" s="1" t="s">
        <v>3603</v>
      </c>
    </row>
    <row r="1187" spans="1:21" x14ac:dyDescent="0.3">
      <c r="A1187" s="4">
        <v>44894</v>
      </c>
      <c r="B1187" s="5">
        <f t="shared" si="238"/>
        <v>11</v>
      </c>
      <c r="C1187" s="5">
        <f t="shared" si="239"/>
        <v>2022</v>
      </c>
      <c r="D1187" s="5" t="s">
        <v>1091</v>
      </c>
      <c r="E1187" s="5" t="str">
        <f>VLOOKUP(F1187,'Set up'!$A$2:$C$70,2,FALSE)</f>
        <v>C00000003</v>
      </c>
      <c r="F1187" s="1" t="s">
        <v>20</v>
      </c>
      <c r="G1187" s="89" t="s">
        <v>949</v>
      </c>
      <c r="H1187" s="5">
        <v>3</v>
      </c>
      <c r="I1187" s="5">
        <f>VLOOKUP(F1187,'Set up'!$A$2:$C$70,3,FALSE)</f>
        <v>45</v>
      </c>
      <c r="J1187" s="5">
        <f>VLOOKUP(F1187,'Set up'!$A$2:$D$70,4,FALSE)</f>
        <v>45</v>
      </c>
      <c r="K1187" s="4">
        <f t="shared" si="240"/>
        <v>44939</v>
      </c>
      <c r="L1187" s="5">
        <f t="shared" si="241"/>
        <v>1</v>
      </c>
      <c r="M1187" s="5">
        <f t="shared" si="242"/>
        <v>2023</v>
      </c>
      <c r="N1187" s="6">
        <v>150</v>
      </c>
      <c r="O1187" s="6">
        <f>-N1187</f>
        <v>-150</v>
      </c>
      <c r="P1187" s="6">
        <f t="shared" si="236"/>
        <v>0</v>
      </c>
      <c r="Q1187" s="7">
        <f t="shared" si="243"/>
        <v>2151128.9500000011</v>
      </c>
      <c r="R1187" s="44" t="str">
        <f>VLOOKUP(F1187,'Set up'!$A$2:$E$70,5,FALSE)</f>
        <v>PD Chq</v>
      </c>
      <c r="S1187" s="1" t="s">
        <v>1293</v>
      </c>
      <c r="U1187" s="1" t="s">
        <v>3603</v>
      </c>
    </row>
    <row r="1188" spans="1:21" x14ac:dyDescent="0.3">
      <c r="A1188" s="4">
        <v>44894</v>
      </c>
      <c r="B1188" s="5">
        <f t="shared" si="238"/>
        <v>11</v>
      </c>
      <c r="C1188" s="5">
        <f t="shared" si="239"/>
        <v>2022</v>
      </c>
      <c r="D1188" s="5" t="s">
        <v>1092</v>
      </c>
      <c r="E1188" s="5" t="str">
        <f>VLOOKUP(F1188,'Set up'!$A$2:$C$70,2,FALSE)</f>
        <v>C00000010</v>
      </c>
      <c r="F1188" s="1" t="s">
        <v>62</v>
      </c>
      <c r="G1188" s="89" t="s">
        <v>303</v>
      </c>
      <c r="H1188" s="5">
        <v>5</v>
      </c>
      <c r="I1188" s="5">
        <f>VLOOKUP(F1188,'Set up'!$A$2:$C$70,3,FALSE)</f>
        <v>120</v>
      </c>
      <c r="J1188" s="5">
        <f>VLOOKUP(F1188,'Set up'!$A$2:$D$70,4,FALSE)</f>
        <v>120</v>
      </c>
      <c r="K1188" s="4">
        <f t="shared" si="240"/>
        <v>45014</v>
      </c>
      <c r="L1188" s="5">
        <f t="shared" si="241"/>
        <v>3</v>
      </c>
      <c r="M1188" s="5">
        <f t="shared" si="242"/>
        <v>2023</v>
      </c>
      <c r="N1188" s="6">
        <v>9020</v>
      </c>
      <c r="O1188" s="6">
        <f t="shared" ref="O1188:O1193" si="251">-N1188</f>
        <v>-9020</v>
      </c>
      <c r="P1188" s="6">
        <f t="shared" si="236"/>
        <v>0</v>
      </c>
      <c r="Q1188" s="7">
        <f t="shared" si="243"/>
        <v>2160148.9500000011</v>
      </c>
      <c r="R1188" s="44" t="str">
        <f>VLOOKUP(F1188,'Set up'!$A$2:$E$70,5,FALSE)</f>
        <v>Trsf</v>
      </c>
      <c r="S1188" s="1" t="s">
        <v>1298</v>
      </c>
    </row>
    <row r="1189" spans="1:21" x14ac:dyDescent="0.3">
      <c r="A1189" s="4">
        <v>44894</v>
      </c>
      <c r="B1189" s="5">
        <f t="shared" si="238"/>
        <v>11</v>
      </c>
      <c r="C1189" s="5">
        <f t="shared" si="239"/>
        <v>2022</v>
      </c>
      <c r="D1189" s="5" t="s">
        <v>1092</v>
      </c>
      <c r="E1189" s="5" t="str">
        <f>VLOOKUP(F1189,'Set up'!$A$2:$C$70,2,FALSE)</f>
        <v>C00000010</v>
      </c>
      <c r="F1189" s="1" t="s">
        <v>62</v>
      </c>
      <c r="G1189" s="90" t="s">
        <v>913</v>
      </c>
      <c r="H1189" s="5">
        <v>5</v>
      </c>
      <c r="I1189" s="5">
        <f>VLOOKUP(F1189,'Set up'!$A$2:$C$70,3,FALSE)</f>
        <v>120</v>
      </c>
      <c r="J1189" s="5">
        <f>VLOOKUP(F1189,'Set up'!$A$2:$D$70,4,FALSE)</f>
        <v>120</v>
      </c>
      <c r="K1189" s="4">
        <f t="shared" si="240"/>
        <v>45014</v>
      </c>
      <c r="L1189" s="5">
        <f t="shared" si="241"/>
        <v>3</v>
      </c>
      <c r="M1189" s="5">
        <f t="shared" si="242"/>
        <v>2023</v>
      </c>
      <c r="N1189" s="6">
        <v>1245</v>
      </c>
      <c r="O1189" s="6">
        <f t="shared" si="251"/>
        <v>-1245</v>
      </c>
      <c r="P1189" s="6">
        <f t="shared" si="236"/>
        <v>0</v>
      </c>
      <c r="Q1189" s="7">
        <f t="shared" si="243"/>
        <v>2161393.9500000011</v>
      </c>
      <c r="R1189" s="44" t="str">
        <f>VLOOKUP(F1189,'Set up'!$A$2:$E$70,5,FALSE)</f>
        <v>Trsf</v>
      </c>
      <c r="S1189" s="1" t="s">
        <v>1298</v>
      </c>
    </row>
    <row r="1190" spans="1:21" x14ac:dyDescent="0.3">
      <c r="A1190" s="4">
        <v>44894</v>
      </c>
      <c r="B1190" s="5">
        <f t="shared" si="238"/>
        <v>11</v>
      </c>
      <c r="C1190" s="5">
        <f t="shared" si="239"/>
        <v>2022</v>
      </c>
      <c r="D1190" s="5" t="s">
        <v>1092</v>
      </c>
      <c r="E1190" s="5" t="str">
        <f>VLOOKUP(F1190,'Set up'!$A$2:$C$70,2,FALSE)</f>
        <v>C00000010</v>
      </c>
      <c r="F1190" s="1" t="s">
        <v>62</v>
      </c>
      <c r="G1190" s="90" t="s">
        <v>791</v>
      </c>
      <c r="H1190" s="5">
        <v>5</v>
      </c>
      <c r="I1190" s="5">
        <f>VLOOKUP(F1190,'Set up'!$A$2:$C$70,3,FALSE)</f>
        <v>120</v>
      </c>
      <c r="J1190" s="5">
        <f>VLOOKUP(F1190,'Set up'!$A$2:$D$70,4,FALSE)</f>
        <v>120</v>
      </c>
      <c r="K1190" s="4">
        <f t="shared" si="240"/>
        <v>45014</v>
      </c>
      <c r="L1190" s="5">
        <f t="shared" si="241"/>
        <v>3</v>
      </c>
      <c r="M1190" s="5">
        <f t="shared" si="242"/>
        <v>2023</v>
      </c>
      <c r="N1190" s="6">
        <v>287.5</v>
      </c>
      <c r="O1190" s="6">
        <f t="shared" si="251"/>
        <v>-287.5</v>
      </c>
      <c r="P1190" s="6">
        <f t="shared" si="236"/>
        <v>0</v>
      </c>
      <c r="Q1190" s="7">
        <f t="shared" si="243"/>
        <v>2161681.4500000011</v>
      </c>
      <c r="R1190" s="44" t="str">
        <f>VLOOKUP(F1190,'Set up'!$A$2:$E$70,5,FALSE)</f>
        <v>Trsf</v>
      </c>
      <c r="S1190" s="1" t="s">
        <v>1298</v>
      </c>
    </row>
    <row r="1191" spans="1:21" x14ac:dyDescent="0.3">
      <c r="A1191" s="4">
        <v>44894</v>
      </c>
      <c r="B1191" s="5">
        <f t="shared" si="238"/>
        <v>11</v>
      </c>
      <c r="C1191" s="5">
        <f t="shared" si="239"/>
        <v>2022</v>
      </c>
      <c r="D1191" s="5" t="s">
        <v>1092</v>
      </c>
      <c r="E1191" s="5" t="str">
        <f>VLOOKUP(F1191,'Set up'!$A$2:$C$70,2,FALSE)</f>
        <v>C00000010</v>
      </c>
      <c r="F1191" s="1" t="s">
        <v>62</v>
      </c>
      <c r="G1191" s="11" t="s">
        <v>46</v>
      </c>
      <c r="H1191" s="5">
        <v>4</v>
      </c>
      <c r="I1191" s="5">
        <f>VLOOKUP(F1191,'Set up'!$A$2:$C$70,3,FALSE)</f>
        <v>120</v>
      </c>
      <c r="J1191" s="5">
        <f>VLOOKUP(F1191,'Set up'!$A$2:$D$70,4,FALSE)</f>
        <v>120</v>
      </c>
      <c r="K1191" s="4">
        <f t="shared" si="240"/>
        <v>45014</v>
      </c>
      <c r="L1191" s="5">
        <f t="shared" si="241"/>
        <v>3</v>
      </c>
      <c r="M1191" s="5">
        <f t="shared" si="242"/>
        <v>2023</v>
      </c>
      <c r="N1191" s="6">
        <v>420</v>
      </c>
      <c r="O1191" s="6">
        <f t="shared" si="251"/>
        <v>-420</v>
      </c>
      <c r="P1191" s="6">
        <f t="shared" si="236"/>
        <v>0</v>
      </c>
      <c r="Q1191" s="7">
        <f t="shared" si="243"/>
        <v>2162101.4500000011</v>
      </c>
      <c r="R1191" s="44" t="str">
        <f>VLOOKUP(F1191,'Set up'!$A$2:$E$70,5,FALSE)</f>
        <v>Trsf</v>
      </c>
      <c r="S1191" s="1" t="s">
        <v>1298</v>
      </c>
    </row>
    <row r="1192" spans="1:21" x14ac:dyDescent="0.3">
      <c r="A1192" s="4">
        <v>44894</v>
      </c>
      <c r="B1192" s="5">
        <f t="shared" si="238"/>
        <v>11</v>
      </c>
      <c r="C1192" s="5">
        <f t="shared" si="239"/>
        <v>2022</v>
      </c>
      <c r="D1192" s="5" t="s">
        <v>1092</v>
      </c>
      <c r="E1192" s="5" t="str">
        <f>VLOOKUP(F1192,'Set up'!$A$2:$C$70,2,FALSE)</f>
        <v>C00000010</v>
      </c>
      <c r="F1192" s="1" t="s">
        <v>62</v>
      </c>
      <c r="G1192" s="90" t="s">
        <v>1093</v>
      </c>
      <c r="H1192" s="5">
        <v>4</v>
      </c>
      <c r="I1192" s="5">
        <f>VLOOKUP(F1192,'Set up'!$A$2:$C$70,3,FALSE)</f>
        <v>120</v>
      </c>
      <c r="J1192" s="5">
        <f>VLOOKUP(F1192,'Set up'!$A$2:$D$70,4,FALSE)</f>
        <v>120</v>
      </c>
      <c r="K1192" s="4">
        <f t="shared" si="240"/>
        <v>45014</v>
      </c>
      <c r="L1192" s="5">
        <f t="shared" si="241"/>
        <v>3</v>
      </c>
      <c r="M1192" s="5">
        <f t="shared" si="242"/>
        <v>2023</v>
      </c>
      <c r="N1192" s="6">
        <v>200</v>
      </c>
      <c r="O1192" s="6">
        <f t="shared" si="251"/>
        <v>-200</v>
      </c>
      <c r="P1192" s="6">
        <f t="shared" si="236"/>
        <v>0</v>
      </c>
      <c r="Q1192" s="7">
        <f t="shared" si="243"/>
        <v>2162301.4500000011</v>
      </c>
      <c r="R1192" s="44" t="str">
        <f>VLOOKUP(F1192,'Set up'!$A$2:$E$70,5,FALSE)</f>
        <v>Trsf</v>
      </c>
      <c r="S1192" s="1" t="s">
        <v>1298</v>
      </c>
    </row>
    <row r="1193" spans="1:21" x14ac:dyDescent="0.3">
      <c r="A1193" s="4">
        <v>44894</v>
      </c>
      <c r="B1193" s="5">
        <f t="shared" si="238"/>
        <v>11</v>
      </c>
      <c r="C1193" s="5">
        <f t="shared" si="239"/>
        <v>2022</v>
      </c>
      <c r="D1193" s="5" t="s">
        <v>1092</v>
      </c>
      <c r="E1193" s="5" t="str">
        <f>VLOOKUP(F1193,'Set up'!$A$2:$C$70,2,FALSE)</f>
        <v>C00000010</v>
      </c>
      <c r="F1193" s="1" t="s">
        <v>62</v>
      </c>
      <c r="G1193" s="90" t="s">
        <v>865</v>
      </c>
      <c r="H1193" s="5">
        <v>1</v>
      </c>
      <c r="I1193" s="5">
        <f>VLOOKUP(F1193,'Set up'!$A$2:$C$70,3,FALSE)</f>
        <v>120</v>
      </c>
      <c r="J1193" s="5">
        <f>VLOOKUP(F1193,'Set up'!$A$2:$D$70,4,FALSE)</f>
        <v>120</v>
      </c>
      <c r="K1193" s="4">
        <f t="shared" si="240"/>
        <v>45014</v>
      </c>
      <c r="L1193" s="5">
        <f t="shared" si="241"/>
        <v>3</v>
      </c>
      <c r="M1193" s="5">
        <f t="shared" si="242"/>
        <v>2023</v>
      </c>
      <c r="N1193" s="6">
        <v>238</v>
      </c>
      <c r="O1193" s="6">
        <f t="shared" si="251"/>
        <v>-238</v>
      </c>
      <c r="P1193" s="6">
        <f t="shared" si="236"/>
        <v>0</v>
      </c>
      <c r="Q1193" s="7">
        <f t="shared" si="243"/>
        <v>2162539.4500000011</v>
      </c>
      <c r="R1193" s="44" t="str">
        <f>VLOOKUP(F1193,'Set up'!$A$2:$E$70,5,FALSE)</f>
        <v>Trsf</v>
      </c>
      <c r="S1193" s="1" t="s">
        <v>1298</v>
      </c>
    </row>
    <row r="1194" spans="1:21" x14ac:dyDescent="0.3">
      <c r="A1194" s="4">
        <v>44895</v>
      </c>
      <c r="B1194" s="5">
        <f t="shared" si="238"/>
        <v>11</v>
      </c>
      <c r="C1194" s="5">
        <f t="shared" si="239"/>
        <v>2022</v>
      </c>
      <c r="D1194" s="5" t="s">
        <v>1096</v>
      </c>
      <c r="E1194" s="5" t="str">
        <f>VLOOKUP(F1194,'Set up'!$A$2:$C$70,2,FALSE)</f>
        <v>C00000032</v>
      </c>
      <c r="F1194" s="1" t="s">
        <v>1101</v>
      </c>
      <c r="G1194" s="89" t="s">
        <v>1054</v>
      </c>
      <c r="H1194" s="5">
        <v>1</v>
      </c>
      <c r="I1194" s="5" t="str">
        <f>VLOOKUP(F1194,'Set up'!$A$2:$C$70,3,FALSE)</f>
        <v>Cash</v>
      </c>
      <c r="J1194" s="5">
        <f>VLOOKUP(F1194,'Set up'!$A$2:$D$70,4,FALSE)</f>
        <v>0</v>
      </c>
      <c r="K1194" s="4">
        <f t="shared" si="240"/>
        <v>44895</v>
      </c>
      <c r="L1194" s="5">
        <f t="shared" si="241"/>
        <v>11</v>
      </c>
      <c r="M1194" s="5">
        <f t="shared" si="242"/>
        <v>2022</v>
      </c>
      <c r="N1194" s="6">
        <v>260</v>
      </c>
      <c r="O1194" s="6">
        <f>-N1194</f>
        <v>-260</v>
      </c>
      <c r="P1194" s="6">
        <f t="shared" si="236"/>
        <v>0</v>
      </c>
      <c r="Q1194" s="7">
        <f t="shared" si="243"/>
        <v>2162799.4500000011</v>
      </c>
      <c r="R1194" s="44" t="str">
        <f>VLOOKUP(F1194,'Set up'!$A$2:$E$70,5,FALSE)</f>
        <v>Trsf</v>
      </c>
      <c r="S1194" s="1" t="s">
        <v>1102</v>
      </c>
    </row>
    <row r="1195" spans="1:21" x14ac:dyDescent="0.3">
      <c r="A1195" s="4">
        <v>44895</v>
      </c>
      <c r="B1195" s="5">
        <f t="shared" si="238"/>
        <v>11</v>
      </c>
      <c r="C1195" s="5">
        <f t="shared" si="239"/>
        <v>2022</v>
      </c>
      <c r="D1195" s="5" t="s">
        <v>1097</v>
      </c>
      <c r="E1195" s="5" t="str">
        <f>VLOOKUP(F1195,'Set up'!$A$2:$C$70,2,FALSE)</f>
        <v>C00000033</v>
      </c>
      <c r="F1195" s="1" t="s">
        <v>1100</v>
      </c>
      <c r="G1195" s="89" t="s">
        <v>1054</v>
      </c>
      <c r="H1195" s="5">
        <v>1</v>
      </c>
      <c r="I1195" s="5" t="str">
        <f>VLOOKUP(F1195,'Set up'!$A$2:$C$70,3,FALSE)</f>
        <v>Cash</v>
      </c>
      <c r="J1195" s="5">
        <f>VLOOKUP(F1195,'Set up'!$A$2:$D$70,4,FALSE)</f>
        <v>0</v>
      </c>
      <c r="K1195" s="4">
        <f t="shared" si="240"/>
        <v>44895</v>
      </c>
      <c r="L1195" s="5">
        <f t="shared" si="241"/>
        <v>11</v>
      </c>
      <c r="M1195" s="5">
        <f t="shared" si="242"/>
        <v>2022</v>
      </c>
      <c r="N1195" s="6">
        <v>260</v>
      </c>
      <c r="O1195" s="6">
        <f>-N1195</f>
        <v>-260</v>
      </c>
      <c r="P1195" s="6">
        <f t="shared" si="236"/>
        <v>0</v>
      </c>
      <c r="Q1195" s="7">
        <f t="shared" si="243"/>
        <v>2163059.4500000011</v>
      </c>
      <c r="R1195" s="44" t="str">
        <f>VLOOKUP(F1195,'Set up'!$A$2:$E$70,5,FALSE)</f>
        <v>Trsf</v>
      </c>
      <c r="S1195" s="1" t="s">
        <v>1103</v>
      </c>
    </row>
    <row r="1196" spans="1:21" x14ac:dyDescent="0.3">
      <c r="A1196" s="4">
        <v>44895</v>
      </c>
      <c r="B1196" s="5">
        <f t="shared" si="238"/>
        <v>11</v>
      </c>
      <c r="C1196" s="5">
        <f t="shared" si="239"/>
        <v>2022</v>
      </c>
      <c r="D1196" s="5" t="s">
        <v>1097</v>
      </c>
      <c r="E1196" s="5" t="str">
        <f>VLOOKUP(F1196,'Set up'!$A$2:$C$70,2,FALSE)</f>
        <v>C00000033</v>
      </c>
      <c r="F1196" s="1" t="s">
        <v>1100</v>
      </c>
      <c r="G1196" s="89" t="s">
        <v>46</v>
      </c>
      <c r="H1196" s="5">
        <v>1</v>
      </c>
      <c r="I1196" s="5" t="str">
        <f>VLOOKUP(F1196,'Set up'!$A$2:$C$70,3,FALSE)</f>
        <v>Cash</v>
      </c>
      <c r="J1196" s="5">
        <f>VLOOKUP(F1196,'Set up'!$A$2:$D$70,4,FALSE)</f>
        <v>0</v>
      </c>
      <c r="K1196" s="4">
        <f t="shared" si="240"/>
        <v>44895</v>
      </c>
      <c r="L1196" s="5">
        <f t="shared" si="241"/>
        <v>11</v>
      </c>
      <c r="M1196" s="5">
        <f t="shared" si="242"/>
        <v>2022</v>
      </c>
      <c r="N1196" s="6">
        <v>115</v>
      </c>
      <c r="O1196" s="6">
        <f>-N1196</f>
        <v>-115</v>
      </c>
      <c r="P1196" s="6">
        <f t="shared" si="236"/>
        <v>0</v>
      </c>
      <c r="Q1196" s="7">
        <f t="shared" si="243"/>
        <v>2163174.4500000011</v>
      </c>
      <c r="R1196" s="44" t="str">
        <f>VLOOKUP(F1196,'Set up'!$A$2:$E$70,5,FALSE)</f>
        <v>Trsf</v>
      </c>
      <c r="S1196" s="1" t="s">
        <v>1103</v>
      </c>
    </row>
    <row r="1197" spans="1:21" x14ac:dyDescent="0.3">
      <c r="A1197" s="4">
        <v>44896</v>
      </c>
      <c r="B1197" s="5">
        <f t="shared" si="238"/>
        <v>12</v>
      </c>
      <c r="C1197" s="5">
        <f t="shared" si="239"/>
        <v>2022</v>
      </c>
      <c r="D1197" s="5" t="s">
        <v>1106</v>
      </c>
      <c r="E1197" s="5" t="str">
        <f>VLOOKUP(F1197,'Set up'!$A$2:$C$70,2,FALSE)</f>
        <v>C00000031</v>
      </c>
      <c r="F1197" s="1" t="s">
        <v>1051</v>
      </c>
      <c r="G1197" s="89" t="s">
        <v>949</v>
      </c>
      <c r="H1197" s="5">
        <v>1</v>
      </c>
      <c r="I1197" s="5" t="str">
        <f>VLOOKUP(F1197,'Set up'!$A$2:$C$70,3,FALSE)</f>
        <v>Cash</v>
      </c>
      <c r="J1197" s="5">
        <f>VLOOKUP(F1197,'Set up'!$A$2:$D$70,4,FALSE)</f>
        <v>0</v>
      </c>
      <c r="K1197" s="4">
        <f t="shared" si="240"/>
        <v>44896</v>
      </c>
      <c r="L1197" s="5">
        <f t="shared" si="241"/>
        <v>12</v>
      </c>
      <c r="M1197" s="5">
        <f t="shared" si="242"/>
        <v>2022</v>
      </c>
      <c r="N1197" s="6">
        <v>60</v>
      </c>
      <c r="O1197" s="6">
        <f>-N1197</f>
        <v>-60</v>
      </c>
      <c r="P1197" s="6">
        <f t="shared" si="236"/>
        <v>0</v>
      </c>
      <c r="Q1197" s="7">
        <f t="shared" si="243"/>
        <v>2163234.4500000011</v>
      </c>
      <c r="R1197" s="44" t="str">
        <f>VLOOKUP(F1197,'Set up'!$A$2:$E$70,5,FALSE)</f>
        <v>Trsf</v>
      </c>
    </row>
    <row r="1198" spans="1:21" x14ac:dyDescent="0.3">
      <c r="A1198" s="4">
        <v>44896</v>
      </c>
      <c r="B1198" s="5">
        <f t="shared" si="238"/>
        <v>12</v>
      </c>
      <c r="C1198" s="5">
        <f t="shared" si="239"/>
        <v>2022</v>
      </c>
      <c r="D1198" s="5" t="s">
        <v>1108</v>
      </c>
      <c r="E1198" s="5" t="str">
        <f>VLOOKUP(F1198,'Set up'!$A$2:$C$70,2,FALSE)</f>
        <v>C00000022</v>
      </c>
      <c r="F1198" s="1" t="s">
        <v>637</v>
      </c>
      <c r="G1198" s="89" t="s">
        <v>1107</v>
      </c>
      <c r="H1198" s="5">
        <v>3</v>
      </c>
      <c r="I1198" s="5" t="str">
        <f>VLOOKUP(F1198,'Set up'!$A$2:$C$70,3,FALSE)</f>
        <v>Cash</v>
      </c>
      <c r="J1198" s="5">
        <f>VLOOKUP(F1198,'Set up'!$A$2:$D$70,4,FALSE)</f>
        <v>0</v>
      </c>
      <c r="K1198" s="4">
        <f t="shared" si="240"/>
        <v>44896</v>
      </c>
      <c r="L1198" s="5">
        <f t="shared" si="241"/>
        <v>12</v>
      </c>
      <c r="M1198" s="5">
        <f t="shared" si="242"/>
        <v>2022</v>
      </c>
      <c r="N1198" s="6">
        <v>855</v>
      </c>
      <c r="O1198" s="6">
        <f t="shared" ref="O1198:O1210" si="252">-N1198</f>
        <v>-855</v>
      </c>
      <c r="P1198" s="6">
        <f t="shared" si="236"/>
        <v>0</v>
      </c>
      <c r="Q1198" s="7">
        <f t="shared" si="243"/>
        <v>2164089.4500000011</v>
      </c>
      <c r="R1198" s="44" t="str">
        <f>VLOOKUP(F1198,'Set up'!$A$2:$E$70,5,FALSE)</f>
        <v>Trsf</v>
      </c>
      <c r="S1198" s="1" t="s">
        <v>1214</v>
      </c>
    </row>
    <row r="1199" spans="1:21" x14ac:dyDescent="0.3">
      <c r="A1199" s="4">
        <v>44897</v>
      </c>
      <c r="B1199" s="5">
        <f t="shared" si="238"/>
        <v>12</v>
      </c>
      <c r="C1199" s="5">
        <f t="shared" si="239"/>
        <v>2022</v>
      </c>
      <c r="D1199" s="5" t="s">
        <v>1109</v>
      </c>
      <c r="E1199" s="5" t="str">
        <f>VLOOKUP(F1199,'Set up'!$A$2:$C$70,2,FALSE)</f>
        <v>C00000020</v>
      </c>
      <c r="F1199" s="1" t="s">
        <v>409</v>
      </c>
      <c r="G1199" s="89" t="s">
        <v>95</v>
      </c>
      <c r="H1199" s="5">
        <v>2</v>
      </c>
      <c r="I1199" s="5" t="str">
        <f>VLOOKUP(F1199,'Set up'!$A$2:$C$70,3,FALSE)</f>
        <v>Cash</v>
      </c>
      <c r="J1199" s="5">
        <f>VLOOKUP(F1199,'Set up'!$A$2:$D$70,4,FALSE)</f>
        <v>0</v>
      </c>
      <c r="K1199" s="4">
        <f t="shared" si="240"/>
        <v>44897</v>
      </c>
      <c r="L1199" s="5">
        <f t="shared" si="241"/>
        <v>12</v>
      </c>
      <c r="M1199" s="5">
        <f t="shared" si="242"/>
        <v>2022</v>
      </c>
      <c r="N1199" s="6">
        <v>3608</v>
      </c>
      <c r="O1199" s="6">
        <f t="shared" si="252"/>
        <v>-3608</v>
      </c>
      <c r="P1199" s="6">
        <f t="shared" si="236"/>
        <v>0</v>
      </c>
      <c r="Q1199" s="7">
        <f t="shared" si="243"/>
        <v>2167697.4500000011</v>
      </c>
      <c r="R1199" s="44" t="str">
        <f>VLOOKUP(F1199,'Set up'!$A$2:$E$70,5,FALSE)</f>
        <v>Trsf</v>
      </c>
      <c r="S1199" s="1" t="s">
        <v>1513</v>
      </c>
    </row>
    <row r="1200" spans="1:21" x14ac:dyDescent="0.3">
      <c r="A1200" s="4">
        <v>44897</v>
      </c>
      <c r="B1200" s="5">
        <f t="shared" si="238"/>
        <v>12</v>
      </c>
      <c r="C1200" s="5">
        <f t="shared" si="239"/>
        <v>2022</v>
      </c>
      <c r="D1200" s="5" t="s">
        <v>1109</v>
      </c>
      <c r="E1200" s="5" t="str">
        <f>VLOOKUP(F1200,'Set up'!$A$2:$C$70,2,FALSE)</f>
        <v>C00000020</v>
      </c>
      <c r="F1200" s="1" t="s">
        <v>409</v>
      </c>
      <c r="G1200" s="89" t="s">
        <v>988</v>
      </c>
      <c r="H1200" s="5">
        <v>3</v>
      </c>
      <c r="I1200" s="5" t="str">
        <f>VLOOKUP(F1200,'Set up'!$A$2:$C$70,3,FALSE)</f>
        <v>Cash</v>
      </c>
      <c r="J1200" s="5">
        <f>VLOOKUP(F1200,'Set up'!$A$2:$D$70,4,FALSE)</f>
        <v>0</v>
      </c>
      <c r="K1200" s="4">
        <f t="shared" si="240"/>
        <v>44897</v>
      </c>
      <c r="L1200" s="5">
        <f t="shared" si="241"/>
        <v>12</v>
      </c>
      <c r="M1200" s="5">
        <f t="shared" si="242"/>
        <v>2022</v>
      </c>
      <c r="N1200" s="6">
        <v>756</v>
      </c>
      <c r="O1200" s="6">
        <f t="shared" si="252"/>
        <v>-756</v>
      </c>
      <c r="P1200" s="6">
        <f t="shared" si="236"/>
        <v>0</v>
      </c>
      <c r="Q1200" s="7">
        <f t="shared" si="243"/>
        <v>2168453.4500000011</v>
      </c>
      <c r="R1200" s="44" t="str">
        <f>VLOOKUP(F1200,'Set up'!$A$2:$E$70,5,FALSE)</f>
        <v>Trsf</v>
      </c>
      <c r="S1200" s="1" t="s">
        <v>1510</v>
      </c>
    </row>
    <row r="1201" spans="1:19" x14ac:dyDescent="0.3">
      <c r="A1201" s="4">
        <v>44897</v>
      </c>
      <c r="B1201" s="5">
        <f t="shared" si="238"/>
        <v>12</v>
      </c>
      <c r="C1201" s="5">
        <f t="shared" si="239"/>
        <v>2022</v>
      </c>
      <c r="D1201" s="5" t="s">
        <v>1109</v>
      </c>
      <c r="E1201" s="5" t="str">
        <f>VLOOKUP(F1201,'Set up'!$A$2:$C$70,2,FALSE)</f>
        <v>C00000020</v>
      </c>
      <c r="F1201" s="1" t="s">
        <v>409</v>
      </c>
      <c r="G1201" s="89" t="s">
        <v>1110</v>
      </c>
      <c r="H1201" s="5">
        <v>2</v>
      </c>
      <c r="I1201" s="5" t="str">
        <f>VLOOKUP(F1201,'Set up'!$A$2:$C$70,3,FALSE)</f>
        <v>Cash</v>
      </c>
      <c r="J1201" s="5">
        <f>VLOOKUP(F1201,'Set up'!$A$2:$D$70,4,FALSE)</f>
        <v>0</v>
      </c>
      <c r="K1201" s="4">
        <f t="shared" si="240"/>
        <v>44897</v>
      </c>
      <c r="L1201" s="5">
        <f t="shared" si="241"/>
        <v>12</v>
      </c>
      <c r="M1201" s="5">
        <f t="shared" si="242"/>
        <v>2022</v>
      </c>
      <c r="N1201" s="6">
        <v>125</v>
      </c>
      <c r="O1201" s="6">
        <f t="shared" si="252"/>
        <v>-125</v>
      </c>
      <c r="P1201" s="6">
        <f t="shared" si="236"/>
        <v>0</v>
      </c>
      <c r="Q1201" s="7">
        <f t="shared" si="243"/>
        <v>2168578.4500000011</v>
      </c>
      <c r="R1201" s="44" t="str">
        <f>VLOOKUP(F1201,'Set up'!$A$2:$E$70,5,FALSE)</f>
        <v>Trsf</v>
      </c>
      <c r="S1201" s="1" t="s">
        <v>1514</v>
      </c>
    </row>
    <row r="1202" spans="1:19" x14ac:dyDescent="0.3">
      <c r="A1202" s="4">
        <v>44897</v>
      </c>
      <c r="B1202" s="5">
        <f t="shared" si="238"/>
        <v>12</v>
      </c>
      <c r="C1202" s="5">
        <f t="shared" si="239"/>
        <v>2022</v>
      </c>
      <c r="D1202" s="5" t="s">
        <v>1111</v>
      </c>
      <c r="E1202" s="5" t="str">
        <f>VLOOKUP(F1202,'Set up'!$A$2:$C$70,2,FALSE)</f>
        <v>C00000020</v>
      </c>
      <c r="F1202" s="1" t="s">
        <v>409</v>
      </c>
      <c r="G1202" s="89" t="s">
        <v>95</v>
      </c>
      <c r="H1202" s="5">
        <v>1</v>
      </c>
      <c r="I1202" s="5" t="str">
        <f>VLOOKUP(F1202,'Set up'!$A$2:$C$70,3,FALSE)</f>
        <v>Cash</v>
      </c>
      <c r="J1202" s="5">
        <f>VLOOKUP(F1202,'Set up'!$A$2:$D$70,4,FALSE)</f>
        <v>0</v>
      </c>
      <c r="K1202" s="4">
        <f t="shared" si="240"/>
        <v>44897</v>
      </c>
      <c r="L1202" s="5">
        <f t="shared" si="241"/>
        <v>12</v>
      </c>
      <c r="M1202" s="5">
        <f t="shared" si="242"/>
        <v>2022</v>
      </c>
      <c r="N1202" s="6">
        <v>1804</v>
      </c>
      <c r="O1202" s="6">
        <f>-1492.3-311.7</f>
        <v>-1804</v>
      </c>
      <c r="P1202" s="6">
        <f t="shared" si="236"/>
        <v>0</v>
      </c>
      <c r="Q1202" s="7">
        <f t="shared" si="243"/>
        <v>2170382.4500000011</v>
      </c>
      <c r="R1202" s="44" t="str">
        <f>VLOOKUP(F1202,'Set up'!$A$2:$E$70,5,FALSE)</f>
        <v>Trsf</v>
      </c>
      <c r="S1202" s="1" t="s">
        <v>1515</v>
      </c>
    </row>
    <row r="1203" spans="1:19" x14ac:dyDescent="0.3">
      <c r="A1203" s="4">
        <v>44897</v>
      </c>
      <c r="B1203" s="5">
        <f t="shared" si="238"/>
        <v>12</v>
      </c>
      <c r="C1203" s="5">
        <f t="shared" si="239"/>
        <v>2022</v>
      </c>
      <c r="D1203" s="5" t="s">
        <v>1111</v>
      </c>
      <c r="E1203" s="5" t="str">
        <f>VLOOKUP(F1203,'Set up'!$A$2:$C$70,2,FALSE)</f>
        <v>C00000020</v>
      </c>
      <c r="F1203" s="1" t="s">
        <v>409</v>
      </c>
      <c r="G1203" s="89" t="s">
        <v>988</v>
      </c>
      <c r="H1203" s="5">
        <v>3</v>
      </c>
      <c r="I1203" s="5" t="str">
        <f>VLOOKUP(F1203,'Set up'!$A$2:$C$70,3,FALSE)</f>
        <v>Cash</v>
      </c>
      <c r="J1203" s="5">
        <f>VLOOKUP(F1203,'Set up'!$A$2:$D$70,4,FALSE)</f>
        <v>0</v>
      </c>
      <c r="K1203" s="4">
        <f t="shared" si="240"/>
        <v>44897</v>
      </c>
      <c r="L1203" s="5">
        <f t="shared" si="241"/>
        <v>12</v>
      </c>
      <c r="M1203" s="5">
        <f t="shared" si="242"/>
        <v>2022</v>
      </c>
      <c r="N1203" s="6">
        <v>756</v>
      </c>
      <c r="O1203" s="6">
        <f t="shared" si="252"/>
        <v>-756</v>
      </c>
      <c r="P1203" s="6">
        <f t="shared" si="236"/>
        <v>0</v>
      </c>
      <c r="Q1203" s="7">
        <f t="shared" si="243"/>
        <v>2171138.4500000011</v>
      </c>
      <c r="R1203" s="44" t="str">
        <f>VLOOKUP(F1203,'Set up'!$A$2:$E$70,5,FALSE)</f>
        <v>Trsf</v>
      </c>
      <c r="S1203" s="1" t="s">
        <v>1516</v>
      </c>
    </row>
    <row r="1204" spans="1:19" x14ac:dyDescent="0.3">
      <c r="A1204" s="4">
        <v>44897</v>
      </c>
      <c r="B1204" s="5">
        <f t="shared" si="238"/>
        <v>12</v>
      </c>
      <c r="C1204" s="5">
        <f t="shared" si="239"/>
        <v>2022</v>
      </c>
      <c r="D1204" s="5" t="s">
        <v>1111</v>
      </c>
      <c r="E1204" s="5" t="str">
        <f>VLOOKUP(F1204,'Set up'!$A$2:$C$70,2,FALSE)</f>
        <v>C00000020</v>
      </c>
      <c r="F1204" s="1" t="s">
        <v>409</v>
      </c>
      <c r="G1204" s="89" t="s">
        <v>1112</v>
      </c>
      <c r="H1204" s="5">
        <v>1</v>
      </c>
      <c r="I1204" s="5" t="str">
        <f>VLOOKUP(F1204,'Set up'!$A$2:$C$70,3,FALSE)</f>
        <v>Cash</v>
      </c>
      <c r="J1204" s="5">
        <f>VLOOKUP(F1204,'Set up'!$A$2:$D$70,4,FALSE)</f>
        <v>0</v>
      </c>
      <c r="K1204" s="4">
        <f t="shared" si="240"/>
        <v>44897</v>
      </c>
      <c r="L1204" s="5">
        <f t="shared" si="241"/>
        <v>12</v>
      </c>
      <c r="M1204" s="5">
        <f t="shared" si="242"/>
        <v>2022</v>
      </c>
      <c r="N1204" s="6">
        <v>292.5</v>
      </c>
      <c r="O1204" s="6">
        <f t="shared" si="252"/>
        <v>-292.5</v>
      </c>
      <c r="P1204" s="6">
        <f t="shared" si="236"/>
        <v>0</v>
      </c>
      <c r="Q1204" s="7">
        <f t="shared" si="243"/>
        <v>2171430.9500000011</v>
      </c>
      <c r="R1204" s="44" t="str">
        <f>VLOOKUP(F1204,'Set up'!$A$2:$E$70,5,FALSE)</f>
        <v>Trsf</v>
      </c>
      <c r="S1204" s="1" t="s">
        <v>1517</v>
      </c>
    </row>
    <row r="1205" spans="1:19" x14ac:dyDescent="0.3">
      <c r="A1205" s="4">
        <v>44897</v>
      </c>
      <c r="B1205" s="5">
        <f t="shared" si="238"/>
        <v>12</v>
      </c>
      <c r="C1205" s="5">
        <f t="shared" si="239"/>
        <v>2022</v>
      </c>
      <c r="D1205" s="5" t="s">
        <v>1111</v>
      </c>
      <c r="E1205" s="5" t="str">
        <f>VLOOKUP(F1205,'Set up'!$A$2:$C$70,2,FALSE)</f>
        <v>C00000020</v>
      </c>
      <c r="F1205" s="1" t="s">
        <v>409</v>
      </c>
      <c r="G1205" s="89" t="s">
        <v>1110</v>
      </c>
      <c r="H1205" s="5">
        <v>1</v>
      </c>
      <c r="I1205" s="5" t="str">
        <f>VLOOKUP(F1205,'Set up'!$A$2:$C$70,3,FALSE)</f>
        <v>Cash</v>
      </c>
      <c r="J1205" s="5">
        <f>VLOOKUP(F1205,'Set up'!$A$2:$D$70,4,FALSE)</f>
        <v>0</v>
      </c>
      <c r="K1205" s="4">
        <f t="shared" si="240"/>
        <v>44897</v>
      </c>
      <c r="L1205" s="5">
        <f t="shared" si="241"/>
        <v>12</v>
      </c>
      <c r="M1205" s="5">
        <f t="shared" si="242"/>
        <v>2022</v>
      </c>
      <c r="N1205" s="6">
        <v>62.5</v>
      </c>
      <c r="O1205" s="6">
        <f t="shared" si="252"/>
        <v>-62.5</v>
      </c>
      <c r="P1205" s="6">
        <f t="shared" si="236"/>
        <v>0</v>
      </c>
      <c r="Q1205" s="7">
        <f t="shared" si="243"/>
        <v>2171493.4500000011</v>
      </c>
      <c r="R1205" s="44" t="str">
        <f>VLOOKUP(F1205,'Set up'!$A$2:$E$70,5,FALSE)</f>
        <v>Trsf</v>
      </c>
      <c r="S1205" s="1" t="s">
        <v>1518</v>
      </c>
    </row>
    <row r="1206" spans="1:19" x14ac:dyDescent="0.3">
      <c r="A1206" s="4">
        <v>44897</v>
      </c>
      <c r="B1206" s="5">
        <f t="shared" si="238"/>
        <v>12</v>
      </c>
      <c r="C1206" s="5">
        <f t="shared" si="239"/>
        <v>2022</v>
      </c>
      <c r="D1206" s="5" t="s">
        <v>1111</v>
      </c>
      <c r="E1206" s="5" t="str">
        <f>VLOOKUP(F1206,'Set up'!$A$2:$C$70,2,FALSE)</f>
        <v>C00000020</v>
      </c>
      <c r="F1206" s="1" t="s">
        <v>409</v>
      </c>
      <c r="G1206" s="89" t="s">
        <v>1073</v>
      </c>
      <c r="H1206" s="5">
        <v>1</v>
      </c>
      <c r="I1206" s="5" t="str">
        <f>VLOOKUP(F1206,'Set up'!$A$2:$C$70,3,FALSE)</f>
        <v>Cash</v>
      </c>
      <c r="J1206" s="5">
        <f>VLOOKUP(F1206,'Set up'!$A$2:$D$70,4,FALSE)</f>
        <v>0</v>
      </c>
      <c r="K1206" s="4">
        <f t="shared" si="240"/>
        <v>44897</v>
      </c>
      <c r="L1206" s="5">
        <f t="shared" si="241"/>
        <v>12</v>
      </c>
      <c r="M1206" s="5">
        <f t="shared" si="242"/>
        <v>2022</v>
      </c>
      <c r="N1206" s="6">
        <v>1000</v>
      </c>
      <c r="O1206" s="6">
        <f t="shared" si="252"/>
        <v>-1000</v>
      </c>
      <c r="P1206" s="6">
        <f t="shared" si="236"/>
        <v>0</v>
      </c>
      <c r="Q1206" s="7">
        <f t="shared" si="243"/>
        <v>2172493.4500000011</v>
      </c>
      <c r="R1206" s="44" t="str">
        <f>VLOOKUP(F1206,'Set up'!$A$2:$E$70,5,FALSE)</f>
        <v>Trsf</v>
      </c>
      <c r="S1206" s="1" t="s">
        <v>1519</v>
      </c>
    </row>
    <row r="1207" spans="1:19" x14ac:dyDescent="0.3">
      <c r="A1207" s="4">
        <v>44898</v>
      </c>
      <c r="B1207" s="5">
        <f t="shared" si="238"/>
        <v>12</v>
      </c>
      <c r="C1207" s="5">
        <f t="shared" si="239"/>
        <v>2022</v>
      </c>
      <c r="D1207" s="5" t="s">
        <v>1113</v>
      </c>
      <c r="E1207" s="5" t="str">
        <f>VLOOKUP(F1207,'Set up'!$A$2:$C$70,2,FALSE)</f>
        <v>C00000009</v>
      </c>
      <c r="F1207" s="1" t="s">
        <v>58</v>
      </c>
      <c r="G1207" s="89" t="s">
        <v>95</v>
      </c>
      <c r="H1207" s="5">
        <v>1</v>
      </c>
      <c r="I1207" s="5">
        <f>VLOOKUP(F1207,'Set up'!$A$2:$C$70,3,FALSE)</f>
        <v>60</v>
      </c>
      <c r="J1207" s="5">
        <f>VLOOKUP(F1207,'Set up'!$A$2:$D$70,4,FALSE)</f>
        <v>60</v>
      </c>
      <c r="K1207" s="4">
        <f t="shared" si="240"/>
        <v>44958</v>
      </c>
      <c r="L1207" s="5">
        <f t="shared" si="241"/>
        <v>2</v>
      </c>
      <c r="M1207" s="5">
        <f t="shared" si="242"/>
        <v>2023</v>
      </c>
      <c r="N1207" s="6">
        <v>1804</v>
      </c>
      <c r="O1207" s="6">
        <f t="shared" si="252"/>
        <v>-1804</v>
      </c>
      <c r="P1207" s="6">
        <f t="shared" si="236"/>
        <v>0</v>
      </c>
      <c r="Q1207" s="7">
        <f t="shared" si="243"/>
        <v>2174297.4500000011</v>
      </c>
      <c r="R1207" s="44" t="str">
        <f>VLOOKUP(F1207,'Set up'!$A$2:$E$70,5,FALSE)</f>
        <v>Chq</v>
      </c>
      <c r="S1207" s="1" t="s">
        <v>1682</v>
      </c>
    </row>
    <row r="1208" spans="1:19" x14ac:dyDescent="0.3">
      <c r="A1208" s="4">
        <v>44898</v>
      </c>
      <c r="B1208" s="5">
        <f t="shared" si="238"/>
        <v>12</v>
      </c>
      <c r="C1208" s="5">
        <f t="shared" si="239"/>
        <v>2022</v>
      </c>
      <c r="D1208" s="5" t="s">
        <v>1113</v>
      </c>
      <c r="E1208" s="5" t="str">
        <f>VLOOKUP(F1208,'Set up'!$A$2:$C$70,2,FALSE)</f>
        <v>C00000009</v>
      </c>
      <c r="F1208" s="1" t="s">
        <v>58</v>
      </c>
      <c r="G1208" s="89" t="s">
        <v>616</v>
      </c>
      <c r="H1208" s="5">
        <v>1</v>
      </c>
      <c r="I1208" s="5">
        <f>VLOOKUP(F1208,'Set up'!$A$2:$C$70,3,FALSE)</f>
        <v>60</v>
      </c>
      <c r="J1208" s="5">
        <f>VLOOKUP(F1208,'Set up'!$A$2:$D$70,4,FALSE)</f>
        <v>60</v>
      </c>
      <c r="K1208" s="4">
        <f t="shared" si="240"/>
        <v>44958</v>
      </c>
      <c r="L1208" s="5">
        <f t="shared" si="241"/>
        <v>2</v>
      </c>
      <c r="M1208" s="5">
        <f t="shared" si="242"/>
        <v>2023</v>
      </c>
      <c r="N1208" s="6">
        <v>1804</v>
      </c>
      <c r="O1208" s="6">
        <f t="shared" si="252"/>
        <v>-1804</v>
      </c>
      <c r="P1208" s="6">
        <f t="shared" si="236"/>
        <v>0</v>
      </c>
      <c r="Q1208" s="7">
        <f t="shared" si="243"/>
        <v>2176101.4500000011</v>
      </c>
      <c r="R1208" s="44" t="str">
        <f>VLOOKUP(F1208,'Set up'!$A$2:$E$70,5,FALSE)</f>
        <v>Chq</v>
      </c>
      <c r="S1208" s="1" t="s">
        <v>1682</v>
      </c>
    </row>
    <row r="1209" spans="1:19" x14ac:dyDescent="0.3">
      <c r="A1209" s="4">
        <v>44898</v>
      </c>
      <c r="B1209" s="5">
        <f t="shared" si="238"/>
        <v>12</v>
      </c>
      <c r="C1209" s="5">
        <f t="shared" si="239"/>
        <v>2022</v>
      </c>
      <c r="D1209" s="5" t="s">
        <v>1113</v>
      </c>
      <c r="E1209" s="5" t="str">
        <f>VLOOKUP(F1209,'Set up'!$A$2:$C$70,2,FALSE)</f>
        <v>C00000009</v>
      </c>
      <c r="F1209" s="1" t="s">
        <v>58</v>
      </c>
      <c r="G1209" s="89" t="s">
        <v>707</v>
      </c>
      <c r="H1209" s="5">
        <v>2</v>
      </c>
      <c r="I1209" s="5">
        <f>VLOOKUP(F1209,'Set up'!$A$2:$C$70,3,FALSE)</f>
        <v>60</v>
      </c>
      <c r="J1209" s="5">
        <f>VLOOKUP(F1209,'Set up'!$A$2:$D$70,4,FALSE)</f>
        <v>60</v>
      </c>
      <c r="K1209" s="4">
        <f t="shared" si="240"/>
        <v>44958</v>
      </c>
      <c r="L1209" s="5">
        <f t="shared" si="241"/>
        <v>2</v>
      </c>
      <c r="M1209" s="5">
        <f t="shared" si="242"/>
        <v>2023</v>
      </c>
      <c r="N1209" s="6">
        <v>874.8</v>
      </c>
      <c r="O1209" s="6">
        <f t="shared" si="252"/>
        <v>-874.8</v>
      </c>
      <c r="P1209" s="6">
        <f t="shared" si="236"/>
        <v>0</v>
      </c>
      <c r="Q1209" s="7">
        <f t="shared" si="243"/>
        <v>2176976.2500000009</v>
      </c>
      <c r="R1209" s="44" t="str">
        <f>VLOOKUP(F1209,'Set up'!$A$2:$E$70,5,FALSE)</f>
        <v>Chq</v>
      </c>
      <c r="S1209" s="1" t="s">
        <v>1682</v>
      </c>
    </row>
    <row r="1210" spans="1:19" x14ac:dyDescent="0.3">
      <c r="A1210" s="4">
        <v>44898</v>
      </c>
      <c r="B1210" s="5">
        <f t="shared" si="238"/>
        <v>12</v>
      </c>
      <c r="C1210" s="5">
        <f t="shared" si="239"/>
        <v>2022</v>
      </c>
      <c r="D1210" s="5" t="s">
        <v>1113</v>
      </c>
      <c r="E1210" s="5" t="str">
        <f>VLOOKUP(F1210,'Set up'!$A$2:$C$70,2,FALSE)</f>
        <v>C00000009</v>
      </c>
      <c r="F1210" s="1" t="s">
        <v>58</v>
      </c>
      <c r="G1210" s="89" t="s">
        <v>1056</v>
      </c>
      <c r="H1210" s="5">
        <v>1</v>
      </c>
      <c r="I1210" s="5">
        <f>VLOOKUP(F1210,'Set up'!$A$2:$C$70,3,FALSE)</f>
        <v>60</v>
      </c>
      <c r="J1210" s="5">
        <f>VLOOKUP(F1210,'Set up'!$A$2:$D$70,4,FALSE)</f>
        <v>60</v>
      </c>
      <c r="K1210" s="4">
        <f t="shared" si="240"/>
        <v>44958</v>
      </c>
      <c r="L1210" s="5">
        <f t="shared" si="241"/>
        <v>2</v>
      </c>
      <c r="M1210" s="5">
        <f t="shared" si="242"/>
        <v>2023</v>
      </c>
      <c r="N1210" s="6">
        <v>150</v>
      </c>
      <c r="O1210" s="6">
        <f t="shared" si="252"/>
        <v>-150</v>
      </c>
      <c r="P1210" s="6">
        <f t="shared" si="236"/>
        <v>0</v>
      </c>
      <c r="Q1210" s="7">
        <f t="shared" si="243"/>
        <v>2177126.2500000009</v>
      </c>
      <c r="R1210" s="44" t="str">
        <f>VLOOKUP(F1210,'Set up'!$A$2:$E$70,5,FALSE)</f>
        <v>Chq</v>
      </c>
      <c r="S1210" s="1" t="s">
        <v>1682</v>
      </c>
    </row>
    <row r="1211" spans="1:19" x14ac:dyDescent="0.3">
      <c r="A1211" s="4">
        <v>44898</v>
      </c>
      <c r="B1211" s="5">
        <f t="shared" si="238"/>
        <v>12</v>
      </c>
      <c r="C1211" s="5">
        <f t="shared" si="239"/>
        <v>2022</v>
      </c>
      <c r="D1211" s="5" t="s">
        <v>1115</v>
      </c>
      <c r="E1211" s="5" t="str">
        <f>VLOOKUP(F1211,'Set up'!$A$2:$C$70,2,FALSE)</f>
        <v>C00000020</v>
      </c>
      <c r="F1211" s="1" t="s">
        <v>409</v>
      </c>
      <c r="G1211" s="89" t="s">
        <v>95</v>
      </c>
      <c r="H1211" s="5">
        <v>3</v>
      </c>
      <c r="I1211" s="5" t="str">
        <f>VLOOKUP(F1211,'Set up'!$A$2:$C$70,3,FALSE)</f>
        <v>Cash</v>
      </c>
      <c r="J1211" s="5">
        <f>VLOOKUP(F1211,'Set up'!$A$2:$D$70,4,FALSE)</f>
        <v>0</v>
      </c>
      <c r="K1211" s="4">
        <f t="shared" si="240"/>
        <v>44898</v>
      </c>
      <c r="L1211" s="5">
        <f t="shared" si="241"/>
        <v>12</v>
      </c>
      <c r="M1211" s="5">
        <f t="shared" si="242"/>
        <v>2022</v>
      </c>
      <c r="N1211" s="6">
        <v>5412</v>
      </c>
      <c r="O1211" s="6">
        <f t="shared" ref="O1211:O1214" si="253">-N1211</f>
        <v>-5412</v>
      </c>
      <c r="P1211" s="6">
        <f t="shared" si="236"/>
        <v>0</v>
      </c>
      <c r="Q1211" s="7">
        <f t="shared" si="243"/>
        <v>2182538.2500000009</v>
      </c>
      <c r="R1211" s="44" t="str">
        <f>VLOOKUP(F1211,'Set up'!$A$2:$E$70,5,FALSE)</f>
        <v>Trsf</v>
      </c>
      <c r="S1211" s="1" t="s">
        <v>1520</v>
      </c>
    </row>
    <row r="1212" spans="1:19" x14ac:dyDescent="0.3">
      <c r="A1212" s="4">
        <v>44898</v>
      </c>
      <c r="B1212" s="5">
        <f t="shared" si="238"/>
        <v>12</v>
      </c>
      <c r="C1212" s="5">
        <f t="shared" si="239"/>
        <v>2022</v>
      </c>
      <c r="D1212" s="5" t="s">
        <v>1115</v>
      </c>
      <c r="E1212" s="5" t="str">
        <f>VLOOKUP(F1212,'Set up'!$A$2:$C$70,2,FALSE)</f>
        <v>C00000020</v>
      </c>
      <c r="F1212" s="1" t="s">
        <v>409</v>
      </c>
      <c r="G1212" s="89" t="s">
        <v>988</v>
      </c>
      <c r="H1212" s="5">
        <v>3</v>
      </c>
      <c r="I1212" s="5" t="str">
        <f>VLOOKUP(F1212,'Set up'!$A$2:$C$70,3,FALSE)</f>
        <v>Cash</v>
      </c>
      <c r="J1212" s="5">
        <f>VLOOKUP(F1212,'Set up'!$A$2:$D$70,4,FALSE)</f>
        <v>0</v>
      </c>
      <c r="K1212" s="4">
        <f t="shared" si="240"/>
        <v>44898</v>
      </c>
      <c r="L1212" s="5">
        <f t="shared" si="241"/>
        <v>12</v>
      </c>
      <c r="M1212" s="5">
        <f t="shared" si="242"/>
        <v>2022</v>
      </c>
      <c r="N1212" s="6">
        <v>756</v>
      </c>
      <c r="O1212" s="6">
        <f t="shared" si="253"/>
        <v>-756</v>
      </c>
      <c r="P1212" s="6">
        <f t="shared" si="236"/>
        <v>0</v>
      </c>
      <c r="Q1212" s="7">
        <f t="shared" si="243"/>
        <v>2183294.2500000009</v>
      </c>
      <c r="R1212" s="44" t="str">
        <f>VLOOKUP(F1212,'Set up'!$A$2:$E$70,5,FALSE)</f>
        <v>Trsf</v>
      </c>
      <c r="S1212" s="1" t="s">
        <v>1516</v>
      </c>
    </row>
    <row r="1213" spans="1:19" x14ac:dyDescent="0.3">
      <c r="A1213" s="4">
        <v>44898</v>
      </c>
      <c r="B1213" s="5">
        <f t="shared" si="238"/>
        <v>12</v>
      </c>
      <c r="C1213" s="5">
        <f t="shared" si="239"/>
        <v>2022</v>
      </c>
      <c r="D1213" s="5" t="s">
        <v>1115</v>
      </c>
      <c r="E1213" s="5" t="str">
        <f>VLOOKUP(F1213,'Set up'!$A$2:$C$70,2,FALSE)</f>
        <v>C00000020</v>
      </c>
      <c r="F1213" s="1" t="s">
        <v>409</v>
      </c>
      <c r="G1213" s="89" t="s">
        <v>1114</v>
      </c>
      <c r="H1213" s="5">
        <v>4</v>
      </c>
      <c r="I1213" s="5" t="str">
        <f>VLOOKUP(F1213,'Set up'!$A$2:$C$70,3,FALSE)</f>
        <v>Cash</v>
      </c>
      <c r="J1213" s="5">
        <f>VLOOKUP(F1213,'Set up'!$A$2:$D$70,4,FALSE)</f>
        <v>0</v>
      </c>
      <c r="K1213" s="4">
        <f t="shared" si="240"/>
        <v>44898</v>
      </c>
      <c r="L1213" s="5">
        <f t="shared" si="241"/>
        <v>12</v>
      </c>
      <c r="M1213" s="5">
        <f t="shared" si="242"/>
        <v>2022</v>
      </c>
      <c r="N1213" s="6">
        <v>1040</v>
      </c>
      <c r="O1213" s="6">
        <f t="shared" si="253"/>
        <v>-1040</v>
      </c>
      <c r="P1213" s="6">
        <f t="shared" si="236"/>
        <v>0</v>
      </c>
      <c r="Q1213" s="7">
        <f t="shared" si="243"/>
        <v>2184334.2500000009</v>
      </c>
      <c r="R1213" s="44" t="str">
        <f>VLOOKUP(F1213,'Set up'!$A$2:$E$70,5,FALSE)</f>
        <v>Trsf</v>
      </c>
      <c r="S1213" s="1" t="s">
        <v>1521</v>
      </c>
    </row>
    <row r="1214" spans="1:19" x14ac:dyDescent="0.3">
      <c r="A1214" s="4">
        <v>44898</v>
      </c>
      <c r="B1214" s="5">
        <f t="shared" si="238"/>
        <v>12</v>
      </c>
      <c r="C1214" s="5">
        <f t="shared" si="239"/>
        <v>2022</v>
      </c>
      <c r="D1214" s="5" t="s">
        <v>1115</v>
      </c>
      <c r="E1214" s="5" t="str">
        <f>VLOOKUP(F1214,'Set up'!$A$2:$C$70,2,FALSE)</f>
        <v>C00000020</v>
      </c>
      <c r="F1214" s="1" t="s">
        <v>409</v>
      </c>
      <c r="G1214" s="89" t="s">
        <v>1110</v>
      </c>
      <c r="H1214" s="5">
        <v>3</v>
      </c>
      <c r="I1214" s="5" t="str">
        <f>VLOOKUP(F1214,'Set up'!$A$2:$C$70,3,FALSE)</f>
        <v>Cash</v>
      </c>
      <c r="J1214" s="5">
        <f>VLOOKUP(F1214,'Set up'!$A$2:$D$70,4,FALSE)</f>
        <v>0</v>
      </c>
      <c r="K1214" s="4">
        <f t="shared" si="240"/>
        <v>44898</v>
      </c>
      <c r="L1214" s="5">
        <f t="shared" si="241"/>
        <v>12</v>
      </c>
      <c r="M1214" s="5">
        <f t="shared" si="242"/>
        <v>2022</v>
      </c>
      <c r="N1214" s="6">
        <v>187.5</v>
      </c>
      <c r="O1214" s="6">
        <f t="shared" si="253"/>
        <v>-187.5</v>
      </c>
      <c r="P1214" s="6">
        <f t="shared" si="236"/>
        <v>0</v>
      </c>
      <c r="Q1214" s="7">
        <f t="shared" si="243"/>
        <v>2184521.7500000009</v>
      </c>
      <c r="R1214" s="44" t="str">
        <f>VLOOKUP(F1214,'Set up'!$A$2:$E$70,5,FALSE)</f>
        <v>Trsf</v>
      </c>
      <c r="S1214" s="1" t="s">
        <v>1522</v>
      </c>
    </row>
    <row r="1215" spans="1:19" x14ac:dyDescent="0.3">
      <c r="A1215" s="4">
        <v>44900</v>
      </c>
      <c r="B1215" s="5">
        <f t="shared" si="238"/>
        <v>12</v>
      </c>
      <c r="C1215" s="5">
        <f t="shared" si="239"/>
        <v>2022</v>
      </c>
      <c r="D1215" s="5" t="s">
        <v>1116</v>
      </c>
      <c r="E1215" s="5" t="str">
        <f>VLOOKUP(F1215,'Set up'!$A$2:$C$70,2,FALSE)</f>
        <v>C00000022</v>
      </c>
      <c r="F1215" s="1" t="s">
        <v>637</v>
      </c>
      <c r="G1215" s="89" t="s">
        <v>1117</v>
      </c>
      <c r="H1215" s="5">
        <v>1</v>
      </c>
      <c r="I1215" s="5" t="str">
        <f>VLOOKUP(F1215,'Set up'!$A$2:$C$70,3,FALSE)</f>
        <v>Cash</v>
      </c>
      <c r="J1215" s="5">
        <f>VLOOKUP(F1215,'Set up'!$A$2:$D$70,4,FALSE)</f>
        <v>0</v>
      </c>
      <c r="K1215" s="4">
        <f t="shared" si="240"/>
        <v>44900</v>
      </c>
      <c r="L1215" s="5">
        <f t="shared" si="241"/>
        <v>12</v>
      </c>
      <c r="M1215" s="5">
        <f t="shared" si="242"/>
        <v>2022</v>
      </c>
      <c r="N1215" s="6">
        <v>45</v>
      </c>
      <c r="O1215" s="6">
        <f t="shared" ref="O1215:O1220" si="254">-N1215</f>
        <v>-45</v>
      </c>
      <c r="P1215" s="6">
        <f t="shared" ref="P1215:P1278" si="255">SUM(N1215+O1215)</f>
        <v>0</v>
      </c>
      <c r="Q1215" s="7">
        <f t="shared" si="243"/>
        <v>2184566.7500000009</v>
      </c>
      <c r="R1215" s="44" t="str">
        <f>VLOOKUP(F1215,'Set up'!$A$2:$E$70,5,FALSE)</f>
        <v>Trsf</v>
      </c>
      <c r="S1215" s="1" t="s">
        <v>1151</v>
      </c>
    </row>
    <row r="1216" spans="1:19" x14ac:dyDescent="0.3">
      <c r="A1216" s="4">
        <v>44900</v>
      </c>
      <c r="B1216" s="5">
        <f t="shared" si="238"/>
        <v>12</v>
      </c>
      <c r="C1216" s="5">
        <f t="shared" si="239"/>
        <v>2022</v>
      </c>
      <c r="D1216" s="5" t="s">
        <v>1116</v>
      </c>
      <c r="E1216" s="5" t="str">
        <f>VLOOKUP(F1216,'Set up'!$A$2:$C$70,2,FALSE)</f>
        <v>C00000022</v>
      </c>
      <c r="F1216" s="1" t="s">
        <v>637</v>
      </c>
      <c r="G1216" s="89" t="s">
        <v>1118</v>
      </c>
      <c r="H1216" s="5">
        <v>1</v>
      </c>
      <c r="I1216" s="5" t="str">
        <f>VLOOKUP(F1216,'Set up'!$A$2:$C$70,3,FALSE)</f>
        <v>Cash</v>
      </c>
      <c r="J1216" s="5">
        <f>VLOOKUP(F1216,'Set up'!$A$2:$D$70,4,FALSE)</f>
        <v>0</v>
      </c>
      <c r="K1216" s="4">
        <f t="shared" si="240"/>
        <v>44900</v>
      </c>
      <c r="L1216" s="5">
        <f t="shared" si="241"/>
        <v>12</v>
      </c>
      <c r="M1216" s="5">
        <f t="shared" si="242"/>
        <v>2022</v>
      </c>
      <c r="N1216" s="6">
        <v>48</v>
      </c>
      <c r="O1216" s="6">
        <f t="shared" si="254"/>
        <v>-48</v>
      </c>
      <c r="P1216" s="6">
        <f t="shared" si="255"/>
        <v>0</v>
      </c>
      <c r="Q1216" s="7">
        <f t="shared" si="243"/>
        <v>2184614.7500000009</v>
      </c>
      <c r="R1216" s="44" t="str">
        <f>VLOOKUP(F1216,'Set up'!$A$2:$E$70,5,FALSE)</f>
        <v>Trsf</v>
      </c>
      <c r="S1216" s="1" t="s">
        <v>1151</v>
      </c>
    </row>
    <row r="1217" spans="1:19" x14ac:dyDescent="0.3">
      <c r="A1217" s="4">
        <v>44901</v>
      </c>
      <c r="B1217" s="5">
        <f t="shared" si="238"/>
        <v>12</v>
      </c>
      <c r="C1217" s="5">
        <f t="shared" si="239"/>
        <v>2022</v>
      </c>
      <c r="D1217" s="5" t="s">
        <v>1119</v>
      </c>
      <c r="E1217" s="5" t="str">
        <f>VLOOKUP(F1217,'Set up'!$A$2:$C$70,2,FALSE)</f>
        <v>C00000021</v>
      </c>
      <c r="F1217" s="1" t="s">
        <v>491</v>
      </c>
      <c r="G1217" s="89" t="s">
        <v>716</v>
      </c>
      <c r="H1217" s="5">
        <v>1</v>
      </c>
      <c r="I1217" s="5" t="str">
        <f>VLOOKUP(F1217,'Set up'!$A$2:$C$70,3,FALSE)</f>
        <v>Cash</v>
      </c>
      <c r="J1217" s="5">
        <f>VLOOKUP(F1217,'Set up'!$A$2:$D$70,4,FALSE)</f>
        <v>0</v>
      </c>
      <c r="K1217" s="4">
        <f t="shared" si="240"/>
        <v>44901</v>
      </c>
      <c r="L1217" s="5">
        <f t="shared" si="241"/>
        <v>12</v>
      </c>
      <c r="M1217" s="5">
        <f t="shared" si="242"/>
        <v>2022</v>
      </c>
      <c r="N1217" s="6">
        <v>1936</v>
      </c>
      <c r="O1217" s="6">
        <f t="shared" si="254"/>
        <v>-1936</v>
      </c>
      <c r="P1217" s="6">
        <f t="shared" si="255"/>
        <v>0</v>
      </c>
      <c r="Q1217" s="7">
        <f t="shared" si="243"/>
        <v>2186550.7500000009</v>
      </c>
      <c r="R1217" s="44" t="str">
        <f>VLOOKUP(F1217,'Set up'!$A$2:$E$70,5,FALSE)</f>
        <v>PD Chq</v>
      </c>
      <c r="S1217" s="1" t="s">
        <v>1373</v>
      </c>
    </row>
    <row r="1218" spans="1:19" x14ac:dyDescent="0.3">
      <c r="A1218" s="4">
        <v>44901</v>
      </c>
      <c r="B1218" s="5">
        <f t="shared" si="238"/>
        <v>12</v>
      </c>
      <c r="C1218" s="5">
        <f t="shared" si="239"/>
        <v>2022</v>
      </c>
      <c r="D1218" s="5" t="s">
        <v>1119</v>
      </c>
      <c r="E1218" s="5" t="str">
        <f>VLOOKUP(F1218,'Set up'!$A$2:$C$70,2,FALSE)</f>
        <v>C00000021</v>
      </c>
      <c r="F1218" s="1" t="s">
        <v>491</v>
      </c>
      <c r="G1218" s="89" t="s">
        <v>654</v>
      </c>
      <c r="H1218" s="5">
        <v>3</v>
      </c>
      <c r="I1218" s="5" t="str">
        <f>VLOOKUP(F1218,'Set up'!$A$2:$C$70,3,FALSE)</f>
        <v>Cash</v>
      </c>
      <c r="J1218" s="5">
        <f>VLOOKUP(F1218,'Set up'!$A$2:$D$70,4,FALSE)</f>
        <v>0</v>
      </c>
      <c r="K1218" s="4">
        <f t="shared" si="240"/>
        <v>44901</v>
      </c>
      <c r="L1218" s="5">
        <f t="shared" si="241"/>
        <v>12</v>
      </c>
      <c r="M1218" s="5">
        <f t="shared" si="242"/>
        <v>2022</v>
      </c>
      <c r="N1218" s="6">
        <v>801</v>
      </c>
      <c r="O1218" s="6">
        <f t="shared" si="254"/>
        <v>-801</v>
      </c>
      <c r="P1218" s="6">
        <f t="shared" si="255"/>
        <v>0</v>
      </c>
      <c r="Q1218" s="7">
        <f t="shared" si="243"/>
        <v>2187351.7500000009</v>
      </c>
      <c r="R1218" s="44" t="str">
        <f>VLOOKUP(F1218,'Set up'!$A$2:$E$70,5,FALSE)</f>
        <v>PD Chq</v>
      </c>
      <c r="S1218" s="1" t="s">
        <v>1373</v>
      </c>
    </row>
    <row r="1219" spans="1:19" x14ac:dyDescent="0.3">
      <c r="A1219" s="4">
        <v>44901</v>
      </c>
      <c r="B1219" s="5">
        <f t="shared" ref="B1219:B1282" si="256">MONTH(A1219)</f>
        <v>12</v>
      </c>
      <c r="C1219" s="5">
        <f t="shared" ref="C1219:C1282" si="257">YEAR(A1219)</f>
        <v>2022</v>
      </c>
      <c r="D1219" s="5" t="s">
        <v>1119</v>
      </c>
      <c r="E1219" s="5" t="str">
        <f>VLOOKUP(F1219,'Set up'!$A$2:$C$70,2,FALSE)</f>
        <v>C00000021</v>
      </c>
      <c r="F1219" s="1" t="s">
        <v>491</v>
      </c>
      <c r="G1219" s="89" t="s">
        <v>46</v>
      </c>
      <c r="H1219" s="5">
        <v>1</v>
      </c>
      <c r="I1219" s="5" t="str">
        <f>VLOOKUP(F1219,'Set up'!$A$2:$C$70,3,FALSE)</f>
        <v>Cash</v>
      </c>
      <c r="J1219" s="5">
        <f>VLOOKUP(F1219,'Set up'!$A$2:$D$70,4,FALSE)</f>
        <v>0</v>
      </c>
      <c r="K1219" s="4">
        <f t="shared" ref="K1219:K1282" si="258">A1219+J1219</f>
        <v>44901</v>
      </c>
      <c r="L1219" s="5">
        <f t="shared" ref="L1219:L1282" si="259">MONTH(K1219)</f>
        <v>12</v>
      </c>
      <c r="M1219" s="5">
        <f t="shared" ref="M1219:M1282" si="260">YEAR(K1219)</f>
        <v>2022</v>
      </c>
      <c r="N1219" s="6">
        <v>105</v>
      </c>
      <c r="O1219" s="6">
        <f t="shared" si="254"/>
        <v>-105</v>
      </c>
      <c r="P1219" s="6">
        <f t="shared" si="255"/>
        <v>0</v>
      </c>
      <c r="Q1219" s="7">
        <f t="shared" ref="Q1219:Q1282" si="261">SUM(Q1218+N1219)</f>
        <v>2187456.7500000009</v>
      </c>
      <c r="R1219" s="44" t="str">
        <f>VLOOKUP(F1219,'Set up'!$A$2:$E$70,5,FALSE)</f>
        <v>PD Chq</v>
      </c>
      <c r="S1219" s="1" t="s">
        <v>1373</v>
      </c>
    </row>
    <row r="1220" spans="1:19" x14ac:dyDescent="0.3">
      <c r="A1220" s="4">
        <v>44901</v>
      </c>
      <c r="B1220" s="5">
        <f t="shared" si="256"/>
        <v>12</v>
      </c>
      <c r="C1220" s="5">
        <f t="shared" si="257"/>
        <v>2022</v>
      </c>
      <c r="D1220" s="5" t="s">
        <v>1119</v>
      </c>
      <c r="E1220" s="5" t="str">
        <f>VLOOKUP(F1220,'Set up'!$A$2:$C$70,2,FALSE)</f>
        <v>C00000021</v>
      </c>
      <c r="F1220" s="1" t="s">
        <v>491</v>
      </c>
      <c r="G1220" s="89" t="s">
        <v>800</v>
      </c>
      <c r="H1220" s="5">
        <v>1</v>
      </c>
      <c r="I1220" s="5" t="str">
        <f>VLOOKUP(F1220,'Set up'!$A$2:$C$70,3,FALSE)</f>
        <v>Cash</v>
      </c>
      <c r="J1220" s="5">
        <f>VLOOKUP(F1220,'Set up'!$A$2:$D$70,4,FALSE)</f>
        <v>0</v>
      </c>
      <c r="K1220" s="4">
        <f t="shared" si="258"/>
        <v>44901</v>
      </c>
      <c r="L1220" s="5">
        <f t="shared" si="259"/>
        <v>12</v>
      </c>
      <c r="M1220" s="5">
        <f t="shared" si="260"/>
        <v>2022</v>
      </c>
      <c r="N1220" s="6">
        <v>225</v>
      </c>
      <c r="O1220" s="6">
        <f t="shared" si="254"/>
        <v>-225</v>
      </c>
      <c r="P1220" s="6">
        <f t="shared" si="255"/>
        <v>0</v>
      </c>
      <c r="Q1220" s="7">
        <f t="shared" si="261"/>
        <v>2187681.7500000009</v>
      </c>
      <c r="R1220" s="44" t="str">
        <f>VLOOKUP(F1220,'Set up'!$A$2:$E$70,5,FALSE)</f>
        <v>PD Chq</v>
      </c>
      <c r="S1220" s="1" t="s">
        <v>1373</v>
      </c>
    </row>
    <row r="1221" spans="1:19" x14ac:dyDescent="0.3">
      <c r="A1221" s="4">
        <v>44902</v>
      </c>
      <c r="B1221" s="5">
        <f t="shared" si="256"/>
        <v>12</v>
      </c>
      <c r="C1221" s="5">
        <f t="shared" si="257"/>
        <v>2022</v>
      </c>
      <c r="D1221" s="5" t="s">
        <v>1120</v>
      </c>
      <c r="E1221" s="5" t="str">
        <f>VLOOKUP(F1221,'Set up'!$A$2:$C$70,2,FALSE)</f>
        <v>C00000022</v>
      </c>
      <c r="F1221" s="1" t="s">
        <v>637</v>
      </c>
      <c r="G1221" s="89" t="s">
        <v>95</v>
      </c>
      <c r="H1221" s="5">
        <v>1</v>
      </c>
      <c r="I1221" s="5" t="str">
        <f>VLOOKUP(F1221,'Set up'!$A$2:$C$70,3,FALSE)</f>
        <v>Cash</v>
      </c>
      <c r="J1221" s="5">
        <f>VLOOKUP(F1221,'Set up'!$A$2:$D$70,4,FALSE)</f>
        <v>0</v>
      </c>
      <c r="K1221" s="4">
        <f t="shared" si="258"/>
        <v>44902</v>
      </c>
      <c r="L1221" s="5">
        <f t="shared" si="259"/>
        <v>12</v>
      </c>
      <c r="M1221" s="5">
        <f t="shared" si="260"/>
        <v>2022</v>
      </c>
      <c r="N1221" s="6">
        <v>2024</v>
      </c>
      <c r="O1221" s="6">
        <f>-1500-524</f>
        <v>-2024</v>
      </c>
      <c r="P1221" s="6">
        <f t="shared" si="255"/>
        <v>0</v>
      </c>
      <c r="Q1221" s="7">
        <f t="shared" si="261"/>
        <v>2189705.7500000009</v>
      </c>
      <c r="R1221" s="44" t="str">
        <f>VLOOKUP(F1221,'Set up'!$A$2:$E$70,5,FALSE)</f>
        <v>Trsf</v>
      </c>
      <c r="S1221" s="1" t="s">
        <v>1299</v>
      </c>
    </row>
    <row r="1222" spans="1:19" x14ac:dyDescent="0.3">
      <c r="A1222" s="4">
        <v>44904</v>
      </c>
      <c r="B1222" s="5">
        <f t="shared" si="256"/>
        <v>12</v>
      </c>
      <c r="C1222" s="5">
        <f t="shared" si="257"/>
        <v>2022</v>
      </c>
      <c r="D1222" s="5" t="s">
        <v>1122</v>
      </c>
      <c r="E1222" s="5" t="str">
        <f>VLOOKUP(F1222,'Set up'!$A$2:$C$70,2,FALSE)</f>
        <v>C00000020</v>
      </c>
      <c r="F1222" s="1" t="s">
        <v>409</v>
      </c>
      <c r="G1222" s="89" t="s">
        <v>719</v>
      </c>
      <c r="H1222" s="5">
        <v>10</v>
      </c>
      <c r="I1222" s="5" t="str">
        <f>VLOOKUP(F1222,'Set up'!$A$2:$C$70,3,FALSE)</f>
        <v>Cash</v>
      </c>
      <c r="J1222" s="5">
        <f>VLOOKUP(F1222,'Set up'!$A$2:$D$70,4,FALSE)</f>
        <v>0</v>
      </c>
      <c r="K1222" s="4">
        <f t="shared" si="258"/>
        <v>44904</v>
      </c>
      <c r="L1222" s="5">
        <f t="shared" si="259"/>
        <v>12</v>
      </c>
      <c r="M1222" s="5">
        <f t="shared" si="260"/>
        <v>2022</v>
      </c>
      <c r="N1222" s="6">
        <v>18040</v>
      </c>
      <c r="O1222" s="6">
        <f>-181.8-17858.2</f>
        <v>-18040</v>
      </c>
      <c r="P1222" s="6">
        <f t="shared" si="255"/>
        <v>0</v>
      </c>
      <c r="Q1222" s="7">
        <f t="shared" si="261"/>
        <v>2207745.7500000009</v>
      </c>
      <c r="R1222" s="44" t="str">
        <f>VLOOKUP(F1222,'Set up'!$A$2:$E$70,5,FALSE)</f>
        <v>Trsf</v>
      </c>
      <c r="S1222" s="1" t="s">
        <v>1523</v>
      </c>
    </row>
    <row r="1223" spans="1:19" x14ac:dyDescent="0.3">
      <c r="A1223" s="4">
        <v>44904</v>
      </c>
      <c r="B1223" s="5">
        <f t="shared" si="256"/>
        <v>12</v>
      </c>
      <c r="C1223" s="5">
        <f t="shared" si="257"/>
        <v>2022</v>
      </c>
      <c r="D1223" s="5" t="s">
        <v>1122</v>
      </c>
      <c r="E1223" s="5" t="str">
        <f>VLOOKUP(F1223,'Set up'!$A$2:$C$70,2,FALSE)</f>
        <v>C00000020</v>
      </c>
      <c r="F1223" s="1" t="s">
        <v>409</v>
      </c>
      <c r="G1223" s="89" t="s">
        <v>716</v>
      </c>
      <c r="H1223" s="5">
        <v>5</v>
      </c>
      <c r="I1223" s="5" t="str">
        <f>VLOOKUP(F1223,'Set up'!$A$2:$C$70,3,FALSE)</f>
        <v>Cash</v>
      </c>
      <c r="J1223" s="5">
        <f>VLOOKUP(F1223,'Set up'!$A$2:$D$70,4,FALSE)</f>
        <v>0</v>
      </c>
      <c r="K1223" s="4">
        <f t="shared" si="258"/>
        <v>44904</v>
      </c>
      <c r="L1223" s="5">
        <f t="shared" si="259"/>
        <v>12</v>
      </c>
      <c r="M1223" s="5">
        <f t="shared" si="260"/>
        <v>2022</v>
      </c>
      <c r="N1223" s="6">
        <v>9020</v>
      </c>
      <c r="O1223" s="6">
        <f>-2141.8-6878.2</f>
        <v>-9020</v>
      </c>
      <c r="P1223" s="6">
        <f t="shared" si="255"/>
        <v>0</v>
      </c>
      <c r="Q1223" s="7">
        <f t="shared" si="261"/>
        <v>2216765.7500000009</v>
      </c>
      <c r="R1223" s="44" t="str">
        <f>VLOOKUP(F1223,'Set up'!$A$2:$E$70,5,FALSE)</f>
        <v>Trsf</v>
      </c>
      <c r="S1223" s="1" t="s">
        <v>1570</v>
      </c>
    </row>
    <row r="1224" spans="1:19" x14ac:dyDescent="0.3">
      <c r="A1224" s="4">
        <v>44904</v>
      </c>
      <c r="B1224" s="5">
        <f t="shared" si="256"/>
        <v>12</v>
      </c>
      <c r="C1224" s="5">
        <f t="shared" si="257"/>
        <v>2022</v>
      </c>
      <c r="D1224" s="5" t="s">
        <v>1122</v>
      </c>
      <c r="E1224" s="5" t="str">
        <f>VLOOKUP(F1224,'Set up'!$A$2:$C$70,2,FALSE)</f>
        <v>C00000020</v>
      </c>
      <c r="F1224" s="1" t="s">
        <v>409</v>
      </c>
      <c r="G1224" s="89" t="s">
        <v>988</v>
      </c>
      <c r="H1224" s="5">
        <v>51</v>
      </c>
      <c r="I1224" s="5" t="str">
        <f>VLOOKUP(F1224,'Set up'!$A$2:$C$70,3,FALSE)</f>
        <v>Cash</v>
      </c>
      <c r="J1224" s="5">
        <f>VLOOKUP(F1224,'Set up'!$A$2:$D$70,4,FALSE)</f>
        <v>0</v>
      </c>
      <c r="K1224" s="4">
        <f t="shared" si="258"/>
        <v>44904</v>
      </c>
      <c r="L1224" s="5">
        <f t="shared" si="259"/>
        <v>12</v>
      </c>
      <c r="M1224" s="5">
        <f t="shared" si="260"/>
        <v>2022</v>
      </c>
      <c r="N1224" s="6">
        <v>12852</v>
      </c>
      <c r="O1224" s="6">
        <f>-4121.8-4000-4730.2</f>
        <v>-12852</v>
      </c>
      <c r="P1224" s="6">
        <f t="shared" si="255"/>
        <v>0</v>
      </c>
      <c r="Q1224" s="7">
        <f t="shared" si="261"/>
        <v>2229617.7500000009</v>
      </c>
      <c r="R1224" s="44" t="str">
        <f>VLOOKUP(F1224,'Set up'!$A$2:$E$70,5,FALSE)</f>
        <v>Trsf</v>
      </c>
      <c r="S1224" s="1" t="s">
        <v>1571</v>
      </c>
    </row>
    <row r="1225" spans="1:19" x14ac:dyDescent="0.3">
      <c r="A1225" s="4">
        <v>44904</v>
      </c>
      <c r="B1225" s="5">
        <f t="shared" si="256"/>
        <v>12</v>
      </c>
      <c r="C1225" s="5">
        <f t="shared" si="257"/>
        <v>2022</v>
      </c>
      <c r="D1225" s="5" t="s">
        <v>1122</v>
      </c>
      <c r="E1225" s="5" t="str">
        <f>VLOOKUP(F1225,'Set up'!$A$2:$C$70,2,FALSE)</f>
        <v>C00000020</v>
      </c>
      <c r="F1225" s="1" t="s">
        <v>409</v>
      </c>
      <c r="G1225" s="89" t="s">
        <v>989</v>
      </c>
      <c r="H1225" s="5">
        <v>2</v>
      </c>
      <c r="I1225" s="5" t="str">
        <f>VLOOKUP(F1225,'Set up'!$A$2:$C$70,3,FALSE)</f>
        <v>Cash</v>
      </c>
      <c r="J1225" s="5">
        <f>VLOOKUP(F1225,'Set up'!$A$2:$D$70,4,FALSE)</f>
        <v>0</v>
      </c>
      <c r="K1225" s="4">
        <f t="shared" si="258"/>
        <v>44904</v>
      </c>
      <c r="L1225" s="5">
        <f t="shared" si="259"/>
        <v>12</v>
      </c>
      <c r="M1225" s="5">
        <f t="shared" si="260"/>
        <v>2022</v>
      </c>
      <c r="N1225" s="6">
        <v>585</v>
      </c>
      <c r="O1225" s="6">
        <f>-269.8-315.2</f>
        <v>-585</v>
      </c>
      <c r="P1225" s="6">
        <f t="shared" si="255"/>
        <v>0</v>
      </c>
      <c r="Q1225" s="7">
        <f t="shared" si="261"/>
        <v>2230202.7500000009</v>
      </c>
      <c r="R1225" s="44" t="str">
        <f>VLOOKUP(F1225,'Set up'!$A$2:$E$70,5,FALSE)</f>
        <v>Trsf</v>
      </c>
      <c r="S1225" s="1" t="s">
        <v>1692</v>
      </c>
    </row>
    <row r="1226" spans="1:19" x14ac:dyDescent="0.3">
      <c r="A1226" s="4">
        <v>44904</v>
      </c>
      <c r="B1226" s="5">
        <f t="shared" si="256"/>
        <v>12</v>
      </c>
      <c r="C1226" s="5">
        <f t="shared" si="257"/>
        <v>2022</v>
      </c>
      <c r="D1226" s="5" t="s">
        <v>1122</v>
      </c>
      <c r="E1226" s="5" t="str">
        <f>VLOOKUP(F1226,'Set up'!$A$2:$C$70,2,FALSE)</f>
        <v>C00000020</v>
      </c>
      <c r="F1226" s="1" t="s">
        <v>409</v>
      </c>
      <c r="G1226" s="89" t="s">
        <v>1121</v>
      </c>
      <c r="H1226" s="5">
        <v>20</v>
      </c>
      <c r="I1226" s="5" t="str">
        <f>VLOOKUP(F1226,'Set up'!$A$2:$C$70,3,FALSE)</f>
        <v>Cash</v>
      </c>
      <c r="J1226" s="5">
        <f>VLOOKUP(F1226,'Set up'!$A$2:$D$70,4,FALSE)</f>
        <v>0</v>
      </c>
      <c r="K1226" s="4">
        <f t="shared" si="258"/>
        <v>44904</v>
      </c>
      <c r="L1226" s="5">
        <f t="shared" si="259"/>
        <v>12</v>
      </c>
      <c r="M1226" s="5">
        <f t="shared" si="260"/>
        <v>2022</v>
      </c>
      <c r="N1226" s="6">
        <v>5200</v>
      </c>
      <c r="O1226" s="6">
        <f>-N1226</f>
        <v>-5200</v>
      </c>
      <c r="P1226" s="6">
        <f t="shared" si="255"/>
        <v>0</v>
      </c>
      <c r="Q1226" s="7">
        <f t="shared" si="261"/>
        <v>2235402.7500000009</v>
      </c>
      <c r="R1226" s="44" t="str">
        <f>VLOOKUP(F1226,'Set up'!$A$2:$E$70,5,FALSE)</f>
        <v>Trsf</v>
      </c>
      <c r="S1226" s="1" t="s">
        <v>1693</v>
      </c>
    </row>
    <row r="1227" spans="1:19" x14ac:dyDescent="0.3">
      <c r="A1227" s="4">
        <v>44904</v>
      </c>
      <c r="B1227" s="5">
        <f t="shared" si="256"/>
        <v>12</v>
      </c>
      <c r="C1227" s="5">
        <f t="shared" si="257"/>
        <v>2022</v>
      </c>
      <c r="D1227" s="5" t="s">
        <v>1122</v>
      </c>
      <c r="E1227" s="5" t="str">
        <f>VLOOKUP(F1227,'Set up'!$A$2:$C$70,2,FALSE)</f>
        <v>C00000020</v>
      </c>
      <c r="F1227" s="1" t="s">
        <v>409</v>
      </c>
      <c r="G1227" s="89" t="s">
        <v>64</v>
      </c>
      <c r="H1227" s="5">
        <v>15</v>
      </c>
      <c r="I1227" s="5" t="str">
        <f>VLOOKUP(F1227,'Set up'!$A$2:$C$70,3,FALSE)</f>
        <v>Cash</v>
      </c>
      <c r="J1227" s="5">
        <f>VLOOKUP(F1227,'Set up'!$A$2:$D$70,4,FALSE)</f>
        <v>0</v>
      </c>
      <c r="K1227" s="4">
        <f t="shared" si="258"/>
        <v>44904</v>
      </c>
      <c r="L1227" s="5">
        <f t="shared" si="259"/>
        <v>12</v>
      </c>
      <c r="M1227" s="5">
        <f t="shared" si="260"/>
        <v>2022</v>
      </c>
      <c r="N1227" s="6">
        <v>937.5</v>
      </c>
      <c r="O1227" s="6">
        <f>-N1227</f>
        <v>-937.5</v>
      </c>
      <c r="P1227" s="6">
        <f t="shared" si="255"/>
        <v>0</v>
      </c>
      <c r="Q1227" s="7">
        <f t="shared" si="261"/>
        <v>2236340.2500000009</v>
      </c>
      <c r="R1227" s="44" t="str">
        <f>VLOOKUP(F1227,'Set up'!$A$2:$E$70,5,FALSE)</f>
        <v>Trsf</v>
      </c>
      <c r="S1227" s="1" t="s">
        <v>1693</v>
      </c>
    </row>
    <row r="1228" spans="1:19" x14ac:dyDescent="0.3">
      <c r="A1228" s="4">
        <v>44904</v>
      </c>
      <c r="B1228" s="5">
        <f t="shared" si="256"/>
        <v>12</v>
      </c>
      <c r="C1228" s="5">
        <f t="shared" si="257"/>
        <v>2022</v>
      </c>
      <c r="D1228" s="5" t="s">
        <v>1122</v>
      </c>
      <c r="E1228" s="5" t="str">
        <f>VLOOKUP(F1228,'Set up'!$A$2:$C$70,2,FALSE)</f>
        <v>C00000020</v>
      </c>
      <c r="F1228" s="1" t="s">
        <v>409</v>
      </c>
      <c r="G1228" s="89" t="s">
        <v>990</v>
      </c>
      <c r="H1228" s="5">
        <v>2</v>
      </c>
      <c r="I1228" s="5" t="str">
        <f>VLOOKUP(F1228,'Set up'!$A$2:$C$70,3,FALSE)</f>
        <v>Cash</v>
      </c>
      <c r="J1228" s="5">
        <f>VLOOKUP(F1228,'Set up'!$A$2:$D$70,4,FALSE)</f>
        <v>0</v>
      </c>
      <c r="K1228" s="4">
        <f t="shared" si="258"/>
        <v>44904</v>
      </c>
      <c r="L1228" s="5">
        <f t="shared" si="259"/>
        <v>12</v>
      </c>
      <c r="M1228" s="5">
        <f t="shared" si="260"/>
        <v>2022</v>
      </c>
      <c r="N1228" s="6">
        <v>2000</v>
      </c>
      <c r="O1228" s="6">
        <f>-N1228</f>
        <v>-2000</v>
      </c>
      <c r="P1228" s="6">
        <f t="shared" si="255"/>
        <v>0</v>
      </c>
      <c r="Q1228" s="7">
        <f t="shared" si="261"/>
        <v>2238340.2500000009</v>
      </c>
      <c r="R1228" s="44" t="str">
        <f>VLOOKUP(F1228,'Set up'!$A$2:$E$70,5,FALSE)</f>
        <v>Trsf</v>
      </c>
      <c r="S1228" s="1" t="s">
        <v>1693</v>
      </c>
    </row>
    <row r="1229" spans="1:19" x14ac:dyDescent="0.3">
      <c r="A1229" s="4">
        <v>44904</v>
      </c>
      <c r="B1229" s="5">
        <f t="shared" si="256"/>
        <v>12</v>
      </c>
      <c r="C1229" s="5">
        <f t="shared" si="257"/>
        <v>2022</v>
      </c>
      <c r="D1229" s="5" t="s">
        <v>1122</v>
      </c>
      <c r="E1229" s="5" t="str">
        <f>VLOOKUP(F1229,'Set up'!$A$2:$C$70,2,FALSE)</f>
        <v>C00000020</v>
      </c>
      <c r="F1229" s="1" t="s">
        <v>409</v>
      </c>
      <c r="G1229" s="89" t="s">
        <v>1074</v>
      </c>
      <c r="H1229" s="5">
        <v>6</v>
      </c>
      <c r="I1229" s="5" t="str">
        <f>VLOOKUP(F1229,'Set up'!$A$2:$C$70,3,FALSE)</f>
        <v>Cash</v>
      </c>
      <c r="J1229" s="5">
        <f>VLOOKUP(F1229,'Set up'!$A$2:$D$70,4,FALSE)</f>
        <v>0</v>
      </c>
      <c r="K1229" s="4">
        <f t="shared" si="258"/>
        <v>44904</v>
      </c>
      <c r="L1229" s="5">
        <f t="shared" si="259"/>
        <v>12</v>
      </c>
      <c r="M1229" s="5">
        <f t="shared" si="260"/>
        <v>2022</v>
      </c>
      <c r="N1229" s="6">
        <v>453.59999999999997</v>
      </c>
      <c r="O1229" s="6">
        <f>-N1229</f>
        <v>-453.59999999999997</v>
      </c>
      <c r="P1229" s="6">
        <f t="shared" si="255"/>
        <v>0</v>
      </c>
      <c r="Q1229" s="7">
        <f t="shared" si="261"/>
        <v>2238793.850000001</v>
      </c>
      <c r="R1229" s="44" t="str">
        <f>VLOOKUP(F1229,'Set up'!$A$2:$E$70,5,FALSE)</f>
        <v>Trsf</v>
      </c>
      <c r="S1229" s="1" t="s">
        <v>1693</v>
      </c>
    </row>
    <row r="1230" spans="1:19" x14ac:dyDescent="0.3">
      <c r="A1230" s="4">
        <v>44908</v>
      </c>
      <c r="B1230" s="5">
        <f t="shared" si="256"/>
        <v>12</v>
      </c>
      <c r="C1230" s="5">
        <f t="shared" si="257"/>
        <v>2022</v>
      </c>
      <c r="D1230" s="5" t="s">
        <v>1123</v>
      </c>
      <c r="E1230" s="5" t="str">
        <f>VLOOKUP(F1230,'Set up'!$A$2:$C$70,2,FALSE)</f>
        <v>C00000021</v>
      </c>
      <c r="F1230" s="1" t="s">
        <v>491</v>
      </c>
      <c r="G1230" s="89" t="s">
        <v>716</v>
      </c>
      <c r="H1230" s="5">
        <v>1</v>
      </c>
      <c r="I1230" s="5" t="str">
        <f>VLOOKUP(F1230,'Set up'!$A$2:$C$70,3,FALSE)</f>
        <v>Cash</v>
      </c>
      <c r="J1230" s="5">
        <f>VLOOKUP(F1230,'Set up'!$A$2:$D$70,4,FALSE)</f>
        <v>0</v>
      </c>
      <c r="K1230" s="4">
        <f t="shared" si="258"/>
        <v>44908</v>
      </c>
      <c r="L1230" s="5">
        <f t="shared" si="259"/>
        <v>12</v>
      </c>
      <c r="M1230" s="5">
        <f t="shared" si="260"/>
        <v>2022</v>
      </c>
      <c r="N1230" s="6">
        <v>1936</v>
      </c>
      <c r="O1230" s="6">
        <f t="shared" ref="O1230:O1232" si="262">-N1230</f>
        <v>-1936</v>
      </c>
      <c r="P1230" s="6">
        <f t="shared" si="255"/>
        <v>0</v>
      </c>
      <c r="Q1230" s="7">
        <f t="shared" si="261"/>
        <v>2240729.850000001</v>
      </c>
      <c r="R1230" s="44" t="str">
        <f>VLOOKUP(F1230,'Set up'!$A$2:$E$70,5,FALSE)</f>
        <v>PD Chq</v>
      </c>
      <c r="S1230" s="1" t="s">
        <v>1478</v>
      </c>
    </row>
    <row r="1231" spans="1:19" x14ac:dyDescent="0.3">
      <c r="A1231" s="4">
        <v>44908</v>
      </c>
      <c r="B1231" s="5">
        <f t="shared" si="256"/>
        <v>12</v>
      </c>
      <c r="C1231" s="5">
        <f t="shared" si="257"/>
        <v>2022</v>
      </c>
      <c r="D1231" s="5" t="s">
        <v>1123</v>
      </c>
      <c r="E1231" s="5" t="str">
        <f>VLOOKUP(F1231,'Set up'!$A$2:$C$70,2,FALSE)</f>
        <v>C00000021</v>
      </c>
      <c r="F1231" s="1" t="s">
        <v>491</v>
      </c>
      <c r="G1231" s="89" t="s">
        <v>654</v>
      </c>
      <c r="H1231" s="5">
        <v>3</v>
      </c>
      <c r="I1231" s="5" t="str">
        <f>VLOOKUP(F1231,'Set up'!$A$2:$C$70,3,FALSE)</f>
        <v>Cash</v>
      </c>
      <c r="J1231" s="5">
        <f>VLOOKUP(F1231,'Set up'!$A$2:$D$70,4,FALSE)</f>
        <v>0</v>
      </c>
      <c r="K1231" s="4">
        <f t="shared" si="258"/>
        <v>44908</v>
      </c>
      <c r="L1231" s="5">
        <f t="shared" si="259"/>
        <v>12</v>
      </c>
      <c r="M1231" s="5">
        <f t="shared" si="260"/>
        <v>2022</v>
      </c>
      <c r="N1231" s="6">
        <v>801</v>
      </c>
      <c r="O1231" s="6">
        <f t="shared" si="262"/>
        <v>-801</v>
      </c>
      <c r="P1231" s="6">
        <f t="shared" si="255"/>
        <v>0</v>
      </c>
      <c r="Q1231" s="7">
        <f t="shared" si="261"/>
        <v>2241530.850000001</v>
      </c>
      <c r="R1231" s="44" t="str">
        <f>VLOOKUP(F1231,'Set up'!$A$2:$E$70,5,FALSE)</f>
        <v>PD Chq</v>
      </c>
      <c r="S1231" s="1" t="s">
        <v>1478</v>
      </c>
    </row>
    <row r="1232" spans="1:19" x14ac:dyDescent="0.3">
      <c r="A1232" s="4">
        <v>44908</v>
      </c>
      <c r="B1232" s="5">
        <f t="shared" si="256"/>
        <v>12</v>
      </c>
      <c r="C1232" s="5">
        <f t="shared" si="257"/>
        <v>2022</v>
      </c>
      <c r="D1232" s="5" t="s">
        <v>1123</v>
      </c>
      <c r="E1232" s="5" t="str">
        <f>VLOOKUP(F1232,'Set up'!$A$2:$C$70,2,FALSE)</f>
        <v>C00000021</v>
      </c>
      <c r="F1232" s="1" t="s">
        <v>491</v>
      </c>
      <c r="G1232" s="89" t="s">
        <v>46</v>
      </c>
      <c r="H1232" s="5">
        <v>1</v>
      </c>
      <c r="I1232" s="5" t="str">
        <f>VLOOKUP(F1232,'Set up'!$A$2:$C$70,3,FALSE)</f>
        <v>Cash</v>
      </c>
      <c r="J1232" s="5">
        <f>VLOOKUP(F1232,'Set up'!$A$2:$D$70,4,FALSE)</f>
        <v>0</v>
      </c>
      <c r="K1232" s="4">
        <f t="shared" si="258"/>
        <v>44908</v>
      </c>
      <c r="L1232" s="5">
        <f t="shared" si="259"/>
        <v>12</v>
      </c>
      <c r="M1232" s="5">
        <f t="shared" si="260"/>
        <v>2022</v>
      </c>
      <c r="N1232" s="6">
        <v>105</v>
      </c>
      <c r="O1232" s="6">
        <f t="shared" si="262"/>
        <v>-105</v>
      </c>
      <c r="P1232" s="6">
        <f t="shared" si="255"/>
        <v>0</v>
      </c>
      <c r="Q1232" s="7">
        <f t="shared" si="261"/>
        <v>2241635.850000001</v>
      </c>
      <c r="R1232" s="44" t="str">
        <f>VLOOKUP(F1232,'Set up'!$A$2:$E$70,5,FALSE)</f>
        <v>PD Chq</v>
      </c>
      <c r="S1232" s="1" t="s">
        <v>1478</v>
      </c>
    </row>
    <row r="1233" spans="1:19" x14ac:dyDescent="0.3">
      <c r="A1233" s="4" t="s">
        <v>1124</v>
      </c>
      <c r="B1233" s="5">
        <f t="shared" si="256"/>
        <v>12</v>
      </c>
      <c r="C1233" s="5">
        <f t="shared" si="257"/>
        <v>2022</v>
      </c>
      <c r="D1233" s="5" t="s">
        <v>1125</v>
      </c>
      <c r="E1233" s="5" t="str">
        <f>VLOOKUP(F1233,'Set up'!$A$2:$C$70,2,FALSE)</f>
        <v>C00000026</v>
      </c>
      <c r="F1233" s="1" t="s">
        <v>784</v>
      </c>
      <c r="G1233" s="89" t="s">
        <v>716</v>
      </c>
      <c r="H1233" s="5">
        <v>1</v>
      </c>
      <c r="I1233" s="5" t="str">
        <f>VLOOKUP(F1233,'Set up'!$A$2:$C$70,3,FALSE)</f>
        <v>Cash</v>
      </c>
      <c r="J1233" s="5">
        <f>VLOOKUP(F1233,'Set up'!$A$2:$D$70,4,FALSE)</f>
        <v>0</v>
      </c>
      <c r="K1233" s="4">
        <f t="shared" si="258"/>
        <v>44909</v>
      </c>
      <c r="L1233" s="5">
        <f t="shared" si="259"/>
        <v>12</v>
      </c>
      <c r="M1233" s="5">
        <f t="shared" si="260"/>
        <v>2022</v>
      </c>
      <c r="N1233" s="6">
        <v>1958</v>
      </c>
      <c r="O1233" s="6">
        <f t="shared" ref="O1233:O1234" si="263">-N1233</f>
        <v>-1958</v>
      </c>
      <c r="P1233" s="6">
        <f t="shared" si="255"/>
        <v>0</v>
      </c>
      <c r="Q1233" s="7">
        <f t="shared" si="261"/>
        <v>2243593.850000001</v>
      </c>
      <c r="R1233" s="44" t="str">
        <f>VLOOKUP(F1233,'Set up'!$A$2:$E$70,5,FALSE)</f>
        <v>Trsf</v>
      </c>
      <c r="S1233" s="1" t="s">
        <v>1146</v>
      </c>
    </row>
    <row r="1234" spans="1:19" x14ac:dyDescent="0.3">
      <c r="A1234" s="4" t="s">
        <v>1124</v>
      </c>
      <c r="B1234" s="5">
        <f t="shared" si="256"/>
        <v>12</v>
      </c>
      <c r="C1234" s="5">
        <f t="shared" si="257"/>
        <v>2022</v>
      </c>
      <c r="D1234" s="5" t="s">
        <v>1125</v>
      </c>
      <c r="E1234" s="5" t="str">
        <f>VLOOKUP(F1234,'Set up'!$A$2:$C$70,2,FALSE)</f>
        <v>C00000026</v>
      </c>
      <c r="F1234" s="1" t="s">
        <v>784</v>
      </c>
      <c r="G1234" s="89" t="s">
        <v>945</v>
      </c>
      <c r="H1234" s="5">
        <v>1</v>
      </c>
      <c r="I1234" s="5" t="str">
        <f>VLOOKUP(F1234,'Set up'!$A$2:$C$70,3,FALSE)</f>
        <v>Cash</v>
      </c>
      <c r="J1234" s="5">
        <f>VLOOKUP(F1234,'Set up'!$A$2:$D$70,4,FALSE)</f>
        <v>0</v>
      </c>
      <c r="K1234" s="4">
        <f t="shared" si="258"/>
        <v>44909</v>
      </c>
      <c r="L1234" s="5">
        <f t="shared" si="259"/>
        <v>12</v>
      </c>
      <c r="M1234" s="5">
        <f t="shared" si="260"/>
        <v>2022</v>
      </c>
      <c r="N1234" s="6">
        <v>105</v>
      </c>
      <c r="O1234" s="6">
        <f t="shared" si="263"/>
        <v>-105</v>
      </c>
      <c r="P1234" s="6">
        <f t="shared" si="255"/>
        <v>0</v>
      </c>
      <c r="Q1234" s="7">
        <f t="shared" si="261"/>
        <v>2243698.850000001</v>
      </c>
      <c r="R1234" s="44" t="str">
        <f>VLOOKUP(F1234,'Set up'!$A$2:$E$70,5,FALSE)</f>
        <v>Trsf</v>
      </c>
      <c r="S1234" s="1" t="s">
        <v>1146</v>
      </c>
    </row>
    <row r="1235" spans="1:19" x14ac:dyDescent="0.3">
      <c r="A1235" s="4">
        <v>44917</v>
      </c>
      <c r="B1235" s="5">
        <f t="shared" si="256"/>
        <v>12</v>
      </c>
      <c r="C1235" s="5">
        <f t="shared" si="257"/>
        <v>2022</v>
      </c>
      <c r="D1235" s="5" t="s">
        <v>1127</v>
      </c>
      <c r="E1235" s="5" t="str">
        <f>VLOOKUP(F1235,'Set up'!$A$2:$C$70,2,FALSE)</f>
        <v>C00000020</v>
      </c>
      <c r="F1235" s="1" t="s">
        <v>409</v>
      </c>
      <c r="G1235" s="89" t="s">
        <v>719</v>
      </c>
      <c r="H1235" s="5">
        <v>9</v>
      </c>
      <c r="I1235" s="5" t="str">
        <f>VLOOKUP(F1235,'Set up'!$A$2:$C$70,3,FALSE)</f>
        <v>Cash</v>
      </c>
      <c r="J1235" s="5">
        <f>VLOOKUP(F1235,'Set up'!$A$2:$D$70,4,FALSE)</f>
        <v>0</v>
      </c>
      <c r="K1235" s="4">
        <f t="shared" si="258"/>
        <v>44917</v>
      </c>
      <c r="L1235" s="5">
        <f t="shared" si="259"/>
        <v>12</v>
      </c>
      <c r="M1235" s="5">
        <f t="shared" si="260"/>
        <v>2022</v>
      </c>
      <c r="N1235" s="6">
        <v>16236</v>
      </c>
      <c r="O1235" s="6">
        <f>-11093.7-200-4942.3</f>
        <v>-16236</v>
      </c>
      <c r="P1235" s="6">
        <f t="shared" si="255"/>
        <v>0</v>
      </c>
      <c r="Q1235" s="7">
        <f t="shared" si="261"/>
        <v>2259934.850000001</v>
      </c>
      <c r="R1235" s="44" t="str">
        <f>VLOOKUP(F1235,'Set up'!$A$2:$E$70,5,FALSE)</f>
        <v>Trsf</v>
      </c>
      <c r="S1235" s="1" t="s">
        <v>1760</v>
      </c>
    </row>
    <row r="1236" spans="1:19" x14ac:dyDescent="0.3">
      <c r="A1236" s="4">
        <v>44917</v>
      </c>
      <c r="B1236" s="5">
        <f t="shared" si="256"/>
        <v>12</v>
      </c>
      <c r="C1236" s="5">
        <f t="shared" si="257"/>
        <v>2022</v>
      </c>
      <c r="D1236" s="5" t="s">
        <v>1127</v>
      </c>
      <c r="E1236" s="5" t="str">
        <f>VLOOKUP(F1236,'Set up'!$A$2:$C$70,2,FALSE)</f>
        <v>C00000020</v>
      </c>
      <c r="F1236" s="1" t="s">
        <v>409</v>
      </c>
      <c r="G1236" s="89" t="s">
        <v>716</v>
      </c>
      <c r="H1236" s="5">
        <v>6</v>
      </c>
      <c r="I1236" s="5" t="str">
        <f>VLOOKUP(F1236,'Set up'!$A$2:$C$70,3,FALSE)</f>
        <v>Cash</v>
      </c>
      <c r="J1236" s="5">
        <f>VLOOKUP(F1236,'Set up'!$A$2:$D$70,4,FALSE)</f>
        <v>0</v>
      </c>
      <c r="K1236" s="4">
        <f t="shared" si="258"/>
        <v>44917</v>
      </c>
      <c r="L1236" s="5">
        <f t="shared" si="259"/>
        <v>12</v>
      </c>
      <c r="M1236" s="5">
        <f t="shared" si="260"/>
        <v>2022</v>
      </c>
      <c r="N1236" s="6">
        <v>10824</v>
      </c>
      <c r="O1236" s="6">
        <f>-N1236</f>
        <v>-10824</v>
      </c>
      <c r="P1236" s="6">
        <f t="shared" si="255"/>
        <v>0</v>
      </c>
      <c r="Q1236" s="7">
        <f t="shared" si="261"/>
        <v>2270758.850000001</v>
      </c>
      <c r="R1236" s="44" t="str">
        <f>VLOOKUP(F1236,'Set up'!$A$2:$E$70,5,FALSE)</f>
        <v>Trsf</v>
      </c>
      <c r="S1236" s="1" t="s">
        <v>1761</v>
      </c>
    </row>
    <row r="1237" spans="1:19" x14ac:dyDescent="0.3">
      <c r="A1237" s="4">
        <v>44917</v>
      </c>
      <c r="B1237" s="5">
        <f t="shared" si="256"/>
        <v>12</v>
      </c>
      <c r="C1237" s="5">
        <f t="shared" si="257"/>
        <v>2022</v>
      </c>
      <c r="D1237" s="5" t="s">
        <v>1127</v>
      </c>
      <c r="E1237" s="5" t="str">
        <f>VLOOKUP(F1237,'Set up'!$A$2:$C$70,2,FALSE)</f>
        <v>C00000020</v>
      </c>
      <c r="F1237" s="1" t="s">
        <v>409</v>
      </c>
      <c r="G1237" s="89" t="s">
        <v>988</v>
      </c>
      <c r="H1237" s="5">
        <v>42</v>
      </c>
      <c r="I1237" s="5" t="str">
        <f>VLOOKUP(F1237,'Set up'!$A$2:$C$70,3,FALSE)</f>
        <v>Cash</v>
      </c>
      <c r="J1237" s="5">
        <f>VLOOKUP(F1237,'Set up'!$A$2:$D$70,4,FALSE)</f>
        <v>0</v>
      </c>
      <c r="K1237" s="4">
        <f t="shared" si="258"/>
        <v>44917</v>
      </c>
      <c r="L1237" s="5">
        <f t="shared" si="259"/>
        <v>12</v>
      </c>
      <c r="M1237" s="5">
        <f t="shared" si="260"/>
        <v>2022</v>
      </c>
      <c r="N1237" s="6">
        <v>10584</v>
      </c>
      <c r="O1237" s="6">
        <f>-4233.7-6350.3</f>
        <v>-10584</v>
      </c>
      <c r="P1237" s="6">
        <f t="shared" si="255"/>
        <v>0</v>
      </c>
      <c r="Q1237" s="7">
        <f t="shared" si="261"/>
        <v>2281342.850000001</v>
      </c>
      <c r="R1237" s="44" t="str">
        <f>VLOOKUP(F1237,'Set up'!$A$2:$E$70,5,FALSE)</f>
        <v>Trsf</v>
      </c>
      <c r="S1237" s="1" t="s">
        <v>1762</v>
      </c>
    </row>
    <row r="1238" spans="1:19" x14ac:dyDescent="0.3">
      <c r="A1238" s="4">
        <v>44917</v>
      </c>
      <c r="B1238" s="5">
        <f t="shared" si="256"/>
        <v>12</v>
      </c>
      <c r="C1238" s="5">
        <f t="shared" si="257"/>
        <v>2022</v>
      </c>
      <c r="D1238" s="5" t="s">
        <v>1127</v>
      </c>
      <c r="E1238" s="5" t="str">
        <f>VLOOKUP(F1238,'Set up'!$A$2:$C$70,2,FALSE)</f>
        <v>C00000020</v>
      </c>
      <c r="F1238" s="1" t="s">
        <v>409</v>
      </c>
      <c r="G1238" s="89" t="s">
        <v>1121</v>
      </c>
      <c r="H1238" s="5">
        <v>20</v>
      </c>
      <c r="I1238" s="5" t="str">
        <f>VLOOKUP(F1238,'Set up'!$A$2:$C$70,3,FALSE)</f>
        <v>Cash</v>
      </c>
      <c r="J1238" s="5">
        <f>VLOOKUP(F1238,'Set up'!$A$2:$D$70,4,FALSE)</f>
        <v>0</v>
      </c>
      <c r="K1238" s="4">
        <f t="shared" si="258"/>
        <v>44917</v>
      </c>
      <c r="L1238" s="5">
        <f t="shared" si="259"/>
        <v>12</v>
      </c>
      <c r="M1238" s="5">
        <f t="shared" si="260"/>
        <v>2022</v>
      </c>
      <c r="N1238" s="6">
        <v>5200</v>
      </c>
      <c r="O1238" s="6">
        <f>-3649.7-1550.3</f>
        <v>-5200</v>
      </c>
      <c r="P1238" s="6">
        <f t="shared" si="255"/>
        <v>0</v>
      </c>
      <c r="Q1238" s="7">
        <f t="shared" si="261"/>
        <v>2286542.850000001</v>
      </c>
      <c r="R1238" s="44" t="str">
        <f>VLOOKUP(F1238,'Set up'!$A$2:$E$70,5,FALSE)</f>
        <v>Trsf</v>
      </c>
      <c r="S1238" s="1" t="s">
        <v>1764</v>
      </c>
    </row>
    <row r="1239" spans="1:19" x14ac:dyDescent="0.3">
      <c r="A1239" s="4">
        <v>44917</v>
      </c>
      <c r="B1239" s="5">
        <f t="shared" si="256"/>
        <v>12</v>
      </c>
      <c r="C1239" s="5">
        <f t="shared" si="257"/>
        <v>2022</v>
      </c>
      <c r="D1239" s="5" t="s">
        <v>1127</v>
      </c>
      <c r="E1239" s="5" t="str">
        <f>VLOOKUP(F1239,'Set up'!$A$2:$C$70,2,FALSE)</f>
        <v>C00000020</v>
      </c>
      <c r="F1239" s="1" t="s">
        <v>409</v>
      </c>
      <c r="G1239" s="89" t="s">
        <v>64</v>
      </c>
      <c r="H1239" s="5">
        <v>15</v>
      </c>
      <c r="I1239" s="5" t="str">
        <f>VLOOKUP(F1239,'Set up'!$A$2:$C$70,3,FALSE)</f>
        <v>Cash</v>
      </c>
      <c r="J1239" s="5">
        <f>VLOOKUP(F1239,'Set up'!$A$2:$D$70,4,FALSE)</f>
        <v>0</v>
      </c>
      <c r="K1239" s="4">
        <f t="shared" si="258"/>
        <v>44917</v>
      </c>
      <c r="L1239" s="5">
        <f t="shared" si="259"/>
        <v>12</v>
      </c>
      <c r="M1239" s="5">
        <f t="shared" si="260"/>
        <v>2022</v>
      </c>
      <c r="N1239" s="6">
        <v>937.5</v>
      </c>
      <c r="O1239" s="6">
        <f t="shared" ref="O1239:O1245" si="264">-N1239</f>
        <v>-937.5</v>
      </c>
      <c r="P1239" s="6">
        <f t="shared" si="255"/>
        <v>0</v>
      </c>
      <c r="Q1239" s="7">
        <f t="shared" si="261"/>
        <v>2287480.350000001</v>
      </c>
      <c r="R1239" s="44" t="str">
        <f>VLOOKUP(F1239,'Set up'!$A$2:$E$70,5,FALSE)</f>
        <v>Trsf</v>
      </c>
      <c r="S1239" s="1" t="s">
        <v>1765</v>
      </c>
    </row>
    <row r="1240" spans="1:19" x14ac:dyDescent="0.3">
      <c r="A1240" s="4">
        <v>44917</v>
      </c>
      <c r="B1240" s="5">
        <f t="shared" si="256"/>
        <v>12</v>
      </c>
      <c r="C1240" s="5">
        <f t="shared" si="257"/>
        <v>2022</v>
      </c>
      <c r="D1240" s="5" t="s">
        <v>1127</v>
      </c>
      <c r="E1240" s="5" t="str">
        <f>VLOOKUP(F1240,'Set up'!$A$2:$C$70,2,FALSE)</f>
        <v>C00000020</v>
      </c>
      <c r="F1240" s="1" t="s">
        <v>409</v>
      </c>
      <c r="G1240" s="89" t="s">
        <v>990</v>
      </c>
      <c r="H1240" s="5">
        <v>3</v>
      </c>
      <c r="I1240" s="5" t="str">
        <f>VLOOKUP(F1240,'Set up'!$A$2:$C$70,3,FALSE)</f>
        <v>Cash</v>
      </c>
      <c r="J1240" s="5">
        <f>VLOOKUP(F1240,'Set up'!$A$2:$D$70,4,FALSE)</f>
        <v>0</v>
      </c>
      <c r="K1240" s="4">
        <f t="shared" si="258"/>
        <v>44917</v>
      </c>
      <c r="L1240" s="5">
        <f t="shared" si="259"/>
        <v>12</v>
      </c>
      <c r="M1240" s="5">
        <f t="shared" si="260"/>
        <v>2022</v>
      </c>
      <c r="N1240" s="6">
        <v>3000</v>
      </c>
      <c r="O1240" s="6">
        <f t="shared" si="264"/>
        <v>-3000</v>
      </c>
      <c r="P1240" s="6">
        <f t="shared" si="255"/>
        <v>0</v>
      </c>
      <c r="Q1240" s="7">
        <f t="shared" si="261"/>
        <v>2290480.350000001</v>
      </c>
      <c r="R1240" s="44" t="str">
        <f>VLOOKUP(F1240,'Set up'!$A$2:$E$70,5,FALSE)</f>
        <v>Trsf</v>
      </c>
      <c r="S1240" s="1" t="s">
        <v>1766</v>
      </c>
    </row>
    <row r="1241" spans="1:19" x14ac:dyDescent="0.3">
      <c r="A1241" s="4">
        <v>44917</v>
      </c>
      <c r="B1241" s="5">
        <f t="shared" si="256"/>
        <v>12</v>
      </c>
      <c r="C1241" s="5">
        <f t="shared" si="257"/>
        <v>2022</v>
      </c>
      <c r="D1241" s="5" t="s">
        <v>1127</v>
      </c>
      <c r="E1241" s="5" t="str">
        <f>VLOOKUP(F1241,'Set up'!$A$2:$C$70,2,FALSE)</f>
        <v>C00000020</v>
      </c>
      <c r="F1241" s="1" t="s">
        <v>409</v>
      </c>
      <c r="G1241" s="89" t="s">
        <v>945</v>
      </c>
      <c r="H1241" s="5">
        <v>8</v>
      </c>
      <c r="I1241" s="5" t="str">
        <f>VLOOKUP(F1241,'Set up'!$A$2:$C$70,3,FALSE)</f>
        <v>Cash</v>
      </c>
      <c r="J1241" s="5">
        <f>VLOOKUP(F1241,'Set up'!$A$2:$D$70,4,FALSE)</f>
        <v>0</v>
      </c>
      <c r="K1241" s="4">
        <f t="shared" si="258"/>
        <v>44917</v>
      </c>
      <c r="L1241" s="5">
        <f t="shared" si="259"/>
        <v>12</v>
      </c>
      <c r="M1241" s="5">
        <f t="shared" si="260"/>
        <v>2022</v>
      </c>
      <c r="N1241" s="6">
        <v>840</v>
      </c>
      <c r="O1241" s="6">
        <f t="shared" si="264"/>
        <v>-840</v>
      </c>
      <c r="P1241" s="6">
        <f t="shared" si="255"/>
        <v>0</v>
      </c>
      <c r="Q1241" s="7">
        <f t="shared" si="261"/>
        <v>2291320.350000001</v>
      </c>
      <c r="R1241" s="44" t="str">
        <f>VLOOKUP(F1241,'Set up'!$A$2:$E$70,5,FALSE)</f>
        <v>Trsf</v>
      </c>
      <c r="S1241" s="1" t="s">
        <v>1767</v>
      </c>
    </row>
    <row r="1242" spans="1:19" x14ac:dyDescent="0.3">
      <c r="A1242" s="4">
        <v>44917</v>
      </c>
      <c r="B1242" s="5">
        <f t="shared" si="256"/>
        <v>12</v>
      </c>
      <c r="C1242" s="5">
        <f t="shared" si="257"/>
        <v>2022</v>
      </c>
      <c r="D1242" s="5" t="s">
        <v>1127</v>
      </c>
      <c r="E1242" s="5" t="str">
        <f>VLOOKUP(F1242,'Set up'!$A$2:$C$70,2,FALSE)</f>
        <v>C00000020</v>
      </c>
      <c r="F1242" s="1" t="s">
        <v>409</v>
      </c>
      <c r="G1242" s="89" t="s">
        <v>1126</v>
      </c>
      <c r="H1242" s="5">
        <v>1</v>
      </c>
      <c r="I1242" s="5" t="str">
        <f>VLOOKUP(F1242,'Set up'!$A$2:$C$70,3,FALSE)</f>
        <v>Cash</v>
      </c>
      <c r="J1242" s="5">
        <f>VLOOKUP(F1242,'Set up'!$A$2:$D$70,4,FALSE)</f>
        <v>0</v>
      </c>
      <c r="K1242" s="4">
        <f t="shared" si="258"/>
        <v>44917</v>
      </c>
      <c r="L1242" s="5">
        <f t="shared" si="259"/>
        <v>12</v>
      </c>
      <c r="M1242" s="5">
        <f t="shared" si="260"/>
        <v>2022</v>
      </c>
      <c r="N1242" s="6">
        <v>65</v>
      </c>
      <c r="O1242" s="6">
        <f t="shared" si="264"/>
        <v>-65</v>
      </c>
      <c r="P1242" s="6">
        <f t="shared" si="255"/>
        <v>0</v>
      </c>
      <c r="Q1242" s="7">
        <f t="shared" si="261"/>
        <v>2291385.350000001</v>
      </c>
      <c r="R1242" s="44" t="str">
        <f>VLOOKUP(F1242,'Set up'!$A$2:$E$70,5,FALSE)</f>
        <v>Trsf</v>
      </c>
      <c r="S1242" s="1" t="s">
        <v>1768</v>
      </c>
    </row>
    <row r="1243" spans="1:19" x14ac:dyDescent="0.3">
      <c r="A1243" s="4">
        <v>44915</v>
      </c>
      <c r="B1243" s="5">
        <f t="shared" si="256"/>
        <v>12</v>
      </c>
      <c r="C1243" s="5">
        <f t="shared" si="257"/>
        <v>2022</v>
      </c>
      <c r="D1243" s="5" t="s">
        <v>1128</v>
      </c>
      <c r="E1243" s="5" t="str">
        <f>VLOOKUP(F1243,'Set up'!$A$2:$C$70,2,FALSE)</f>
        <v>C00000001</v>
      </c>
      <c r="F1243" s="1" t="s">
        <v>7</v>
      </c>
      <c r="G1243" s="89" t="s">
        <v>716</v>
      </c>
      <c r="H1243" s="5">
        <v>1</v>
      </c>
      <c r="I1243" s="5" t="str">
        <f>VLOOKUP(F1243,'Set up'!$A$2:$C$70,3,FALSE)</f>
        <v>Cash</v>
      </c>
      <c r="J1243" s="5">
        <f>VLOOKUP(F1243,'Set up'!$A$2:$D$70,4,FALSE)</f>
        <v>0</v>
      </c>
      <c r="K1243" s="4">
        <f t="shared" si="258"/>
        <v>44915</v>
      </c>
      <c r="L1243" s="5">
        <f t="shared" si="259"/>
        <v>12</v>
      </c>
      <c r="M1243" s="5">
        <f t="shared" si="260"/>
        <v>2022</v>
      </c>
      <c r="N1243" s="6">
        <v>1892</v>
      </c>
      <c r="O1243" s="6">
        <f t="shared" si="264"/>
        <v>-1892</v>
      </c>
      <c r="P1243" s="6">
        <f t="shared" si="255"/>
        <v>0</v>
      </c>
      <c r="Q1243" s="7">
        <f t="shared" si="261"/>
        <v>2293277.350000001</v>
      </c>
      <c r="R1243" s="44" t="str">
        <f>VLOOKUP(F1243,'Set up'!$A$2:$E$70,5,FALSE)</f>
        <v>Trsf</v>
      </c>
      <c r="S1243" s="1" t="s">
        <v>1145</v>
      </c>
    </row>
    <row r="1244" spans="1:19" x14ac:dyDescent="0.3">
      <c r="A1244" s="4">
        <v>44915</v>
      </c>
      <c r="B1244" s="5">
        <f t="shared" si="256"/>
        <v>12</v>
      </c>
      <c r="C1244" s="5">
        <f t="shared" si="257"/>
        <v>2022</v>
      </c>
      <c r="D1244" s="5" t="s">
        <v>1128</v>
      </c>
      <c r="E1244" s="5" t="str">
        <f>VLOOKUP(F1244,'Set up'!$A$2:$C$70,2,FALSE)</f>
        <v>C00000001</v>
      </c>
      <c r="F1244" s="1" t="s">
        <v>7</v>
      </c>
      <c r="G1244" s="89" t="s">
        <v>988</v>
      </c>
      <c r="H1244" s="5">
        <v>4</v>
      </c>
      <c r="I1244" s="5" t="str">
        <f>VLOOKUP(F1244,'Set up'!$A$2:$C$70,3,FALSE)</f>
        <v>Cash</v>
      </c>
      <c r="J1244" s="5">
        <f>VLOOKUP(F1244,'Set up'!$A$2:$D$70,4,FALSE)</f>
        <v>0</v>
      </c>
      <c r="K1244" s="4">
        <f t="shared" si="258"/>
        <v>44915</v>
      </c>
      <c r="L1244" s="5">
        <f t="shared" si="259"/>
        <v>12</v>
      </c>
      <c r="M1244" s="5">
        <f t="shared" si="260"/>
        <v>2022</v>
      </c>
      <c r="N1244" s="6">
        <v>1020</v>
      </c>
      <c r="O1244" s="6">
        <f t="shared" si="264"/>
        <v>-1020</v>
      </c>
      <c r="P1244" s="6">
        <f t="shared" si="255"/>
        <v>0</v>
      </c>
      <c r="Q1244" s="7">
        <f t="shared" si="261"/>
        <v>2294297.350000001</v>
      </c>
      <c r="R1244" s="44" t="str">
        <f>VLOOKUP(F1244,'Set up'!$A$2:$E$70,5,FALSE)</f>
        <v>Trsf</v>
      </c>
      <c r="S1244" s="1" t="s">
        <v>1145</v>
      </c>
    </row>
    <row r="1245" spans="1:19" x14ac:dyDescent="0.3">
      <c r="A1245" s="4">
        <v>44915</v>
      </c>
      <c r="B1245" s="5">
        <f t="shared" si="256"/>
        <v>12</v>
      </c>
      <c r="C1245" s="5">
        <f t="shared" si="257"/>
        <v>2022</v>
      </c>
      <c r="D1245" s="5" t="s">
        <v>1128</v>
      </c>
      <c r="E1245" s="5" t="str">
        <f>VLOOKUP(F1245,'Set up'!$A$2:$C$70,2,FALSE)</f>
        <v>C00000001</v>
      </c>
      <c r="F1245" s="1" t="s">
        <v>7</v>
      </c>
      <c r="G1245" s="89" t="s">
        <v>46</v>
      </c>
      <c r="H1245" s="5">
        <v>4</v>
      </c>
      <c r="I1245" s="5" t="str">
        <f>VLOOKUP(F1245,'Set up'!$A$2:$C$70,3,FALSE)</f>
        <v>Cash</v>
      </c>
      <c r="J1245" s="5">
        <f>VLOOKUP(F1245,'Set up'!$A$2:$D$70,4,FALSE)</f>
        <v>0</v>
      </c>
      <c r="K1245" s="4">
        <f t="shared" si="258"/>
        <v>44915</v>
      </c>
      <c r="L1245" s="5">
        <f t="shared" si="259"/>
        <v>12</v>
      </c>
      <c r="M1245" s="5">
        <f t="shared" si="260"/>
        <v>2022</v>
      </c>
      <c r="N1245" s="6">
        <v>420</v>
      </c>
      <c r="O1245" s="6">
        <f t="shared" si="264"/>
        <v>-420</v>
      </c>
      <c r="P1245" s="6">
        <f t="shared" si="255"/>
        <v>0</v>
      </c>
      <c r="Q1245" s="7">
        <f t="shared" si="261"/>
        <v>2294717.350000001</v>
      </c>
      <c r="R1245" s="44" t="str">
        <f>VLOOKUP(F1245,'Set up'!$A$2:$E$70,5,FALSE)</f>
        <v>Trsf</v>
      </c>
      <c r="S1245" s="1" t="s">
        <v>1145</v>
      </c>
    </row>
    <row r="1246" spans="1:19" x14ac:dyDescent="0.3">
      <c r="A1246" s="4">
        <v>44917</v>
      </c>
      <c r="B1246" s="5">
        <f t="shared" si="256"/>
        <v>12</v>
      </c>
      <c r="C1246" s="5">
        <f t="shared" si="257"/>
        <v>2022</v>
      </c>
      <c r="D1246" s="5" t="s">
        <v>1130</v>
      </c>
      <c r="E1246" s="5" t="str">
        <f>VLOOKUP(F1246,'Set up'!$A$2:$C$70,2,FALSE)</f>
        <v>C00000022</v>
      </c>
      <c r="F1246" s="1" t="s">
        <v>637</v>
      </c>
      <c r="G1246" s="89" t="s">
        <v>1129</v>
      </c>
      <c r="H1246" s="5">
        <v>1</v>
      </c>
      <c r="I1246" s="5" t="str">
        <f>VLOOKUP(F1246,'Set up'!$A$2:$C$70,3,FALSE)</f>
        <v>Cash</v>
      </c>
      <c r="J1246" s="5">
        <f>VLOOKUP(F1246,'Set up'!$A$2:$D$70,4,FALSE)</f>
        <v>0</v>
      </c>
      <c r="K1246" s="4">
        <f t="shared" si="258"/>
        <v>44917</v>
      </c>
      <c r="L1246" s="5">
        <f t="shared" si="259"/>
        <v>12</v>
      </c>
      <c r="M1246" s="5">
        <f t="shared" si="260"/>
        <v>2022</v>
      </c>
      <c r="N1246" s="6">
        <v>50</v>
      </c>
      <c r="O1246" s="6">
        <f t="shared" ref="O1246" si="265">-N1246</f>
        <v>-50</v>
      </c>
      <c r="P1246" s="6">
        <f t="shared" si="255"/>
        <v>0</v>
      </c>
      <c r="Q1246" s="7">
        <f t="shared" si="261"/>
        <v>2294767.350000001</v>
      </c>
      <c r="R1246" s="44" t="str">
        <f>VLOOKUP(F1246,'Set up'!$A$2:$E$70,5,FALSE)</f>
        <v>Trsf</v>
      </c>
      <c r="S1246" s="1" t="s">
        <v>1214</v>
      </c>
    </row>
    <row r="1247" spans="1:19" x14ac:dyDescent="0.3">
      <c r="A1247" s="4" t="s">
        <v>1134</v>
      </c>
      <c r="B1247" s="5">
        <f t="shared" si="256"/>
        <v>12</v>
      </c>
      <c r="C1247" s="5">
        <f t="shared" si="257"/>
        <v>2022</v>
      </c>
      <c r="D1247" s="5" t="s">
        <v>1133</v>
      </c>
      <c r="E1247" s="5" t="str">
        <f>VLOOKUP(F1247,'Set up'!$A$2:$C$70,2,FALSE)</f>
        <v>C00000019</v>
      </c>
      <c r="F1247" s="1" t="s">
        <v>400</v>
      </c>
      <c r="G1247" s="89" t="s">
        <v>719</v>
      </c>
      <c r="H1247" s="5">
        <v>2</v>
      </c>
      <c r="I1247" s="5" t="str">
        <f>VLOOKUP(F1247,'Set up'!$A$2:$C$70,3,FALSE)</f>
        <v>Cash</v>
      </c>
      <c r="J1247" s="5">
        <f>VLOOKUP(F1247,'Set up'!$A$2:$D$70,4,FALSE)</f>
        <v>0</v>
      </c>
      <c r="K1247" s="4">
        <f t="shared" si="258"/>
        <v>44918</v>
      </c>
      <c r="L1247" s="5">
        <f t="shared" si="259"/>
        <v>12</v>
      </c>
      <c r="M1247" s="5">
        <f t="shared" si="260"/>
        <v>2022</v>
      </c>
      <c r="N1247" s="6">
        <v>3784</v>
      </c>
      <c r="O1247" s="6">
        <f>-1611.8-1500-672.2</f>
        <v>-3784</v>
      </c>
      <c r="P1247" s="6">
        <f t="shared" si="255"/>
        <v>0</v>
      </c>
      <c r="Q1247" s="7">
        <f t="shared" si="261"/>
        <v>2298551.350000001</v>
      </c>
      <c r="R1247" s="44" t="str">
        <f>VLOOKUP(F1247,'Set up'!$A$2:$E$70,5,FALSE)</f>
        <v>Trsf</v>
      </c>
      <c r="S1247" s="1" t="s">
        <v>1367</v>
      </c>
    </row>
    <row r="1248" spans="1:19" x14ac:dyDescent="0.3">
      <c r="A1248" s="4" t="s">
        <v>1134</v>
      </c>
      <c r="B1248" s="5">
        <f t="shared" si="256"/>
        <v>12</v>
      </c>
      <c r="C1248" s="5">
        <f t="shared" si="257"/>
        <v>2022</v>
      </c>
      <c r="D1248" s="5" t="s">
        <v>1133</v>
      </c>
      <c r="E1248" s="5" t="str">
        <f>VLOOKUP(F1248,'Set up'!$A$2:$C$70,2,FALSE)</f>
        <v>C00000019</v>
      </c>
      <c r="F1248" s="1" t="s">
        <v>400</v>
      </c>
      <c r="G1248" s="89" t="s">
        <v>1131</v>
      </c>
      <c r="H1248" s="5">
        <v>2</v>
      </c>
      <c r="I1248" s="5" t="str">
        <f>VLOOKUP(F1248,'Set up'!$A$2:$C$70,3,FALSE)</f>
        <v>Cash</v>
      </c>
      <c r="J1248" s="5">
        <f>VLOOKUP(F1248,'Set up'!$A$2:$D$70,4,FALSE)</f>
        <v>0</v>
      </c>
      <c r="K1248" s="4">
        <f t="shared" si="258"/>
        <v>44918</v>
      </c>
      <c r="L1248" s="5">
        <f t="shared" si="259"/>
        <v>12</v>
      </c>
      <c r="M1248" s="5">
        <f t="shared" si="260"/>
        <v>2022</v>
      </c>
      <c r="N1248" s="6">
        <v>939.6</v>
      </c>
      <c r="O1248" s="6">
        <f>-827.8-111.8</f>
        <v>-939.59999999999991</v>
      </c>
      <c r="P1248" s="6">
        <v>0</v>
      </c>
      <c r="Q1248" s="7">
        <f t="shared" si="261"/>
        <v>2299490.9500000011</v>
      </c>
      <c r="R1248" s="44" t="str">
        <f>VLOOKUP(F1248,'Set up'!$A$2:$E$70,5,FALSE)</f>
        <v>Trsf</v>
      </c>
      <c r="S1248" s="1" t="s">
        <v>1483</v>
      </c>
    </row>
    <row r="1249" spans="1:19" x14ac:dyDescent="0.3">
      <c r="A1249" s="4" t="s">
        <v>1134</v>
      </c>
      <c r="B1249" s="5">
        <f t="shared" si="256"/>
        <v>12</v>
      </c>
      <c r="C1249" s="5">
        <f t="shared" si="257"/>
        <v>2022</v>
      </c>
      <c r="D1249" s="5" t="s">
        <v>1133</v>
      </c>
      <c r="E1249" s="5" t="str">
        <f>VLOOKUP(F1249,'Set up'!$A$2:$C$70,2,FALSE)</f>
        <v>C00000019</v>
      </c>
      <c r="F1249" s="1" t="s">
        <v>400</v>
      </c>
      <c r="G1249" s="89" t="s">
        <v>64</v>
      </c>
      <c r="H1249" s="5">
        <v>5</v>
      </c>
      <c r="I1249" s="5" t="str">
        <f>VLOOKUP(F1249,'Set up'!$A$2:$C$70,3,FALSE)</f>
        <v>Cash</v>
      </c>
      <c r="J1249" s="5">
        <f>VLOOKUP(F1249,'Set up'!$A$2:$D$70,4,FALSE)</f>
        <v>0</v>
      </c>
      <c r="K1249" s="4">
        <f t="shared" si="258"/>
        <v>44918</v>
      </c>
      <c r="L1249" s="5">
        <f t="shared" si="259"/>
        <v>12</v>
      </c>
      <c r="M1249" s="5">
        <f t="shared" si="260"/>
        <v>2022</v>
      </c>
      <c r="N1249" s="6">
        <v>312.5</v>
      </c>
      <c r="O1249" s="6">
        <f t="shared" ref="O1249:O1255" si="266">-N1249</f>
        <v>-312.5</v>
      </c>
      <c r="P1249" s="6">
        <f t="shared" si="255"/>
        <v>0</v>
      </c>
      <c r="Q1249" s="7">
        <f t="shared" si="261"/>
        <v>2299803.4500000011</v>
      </c>
      <c r="R1249" s="44" t="str">
        <f>VLOOKUP(F1249,'Set up'!$A$2:$E$70,5,FALSE)</f>
        <v>Trsf</v>
      </c>
      <c r="S1249" s="1" t="s">
        <v>1484</v>
      </c>
    </row>
    <row r="1250" spans="1:19" x14ac:dyDescent="0.3">
      <c r="A1250" s="4" t="s">
        <v>1134</v>
      </c>
      <c r="B1250" s="5">
        <f t="shared" si="256"/>
        <v>12</v>
      </c>
      <c r="C1250" s="5">
        <f t="shared" si="257"/>
        <v>2022</v>
      </c>
      <c r="D1250" s="5" t="s">
        <v>1133</v>
      </c>
      <c r="E1250" s="5" t="str">
        <f>VLOOKUP(F1250,'Set up'!$A$2:$C$70,2,FALSE)</f>
        <v>C00000019</v>
      </c>
      <c r="F1250" s="1" t="s">
        <v>400</v>
      </c>
      <c r="G1250" s="89" t="s">
        <v>566</v>
      </c>
      <c r="H1250" s="5">
        <v>2</v>
      </c>
      <c r="I1250" s="5" t="str">
        <f>VLOOKUP(F1250,'Set up'!$A$2:$C$70,3,FALSE)</f>
        <v>Cash</v>
      </c>
      <c r="J1250" s="5">
        <f>VLOOKUP(F1250,'Set up'!$A$2:$D$70,4,FALSE)</f>
        <v>0</v>
      </c>
      <c r="K1250" s="4">
        <f t="shared" si="258"/>
        <v>44918</v>
      </c>
      <c r="L1250" s="5">
        <f t="shared" si="259"/>
        <v>12</v>
      </c>
      <c r="M1250" s="5">
        <f t="shared" si="260"/>
        <v>2022</v>
      </c>
      <c r="N1250" s="6">
        <v>210</v>
      </c>
      <c r="O1250" s="6">
        <f t="shared" si="266"/>
        <v>-210</v>
      </c>
      <c r="P1250" s="6">
        <f t="shared" si="255"/>
        <v>0</v>
      </c>
      <c r="Q1250" s="7">
        <f t="shared" si="261"/>
        <v>2300013.4500000011</v>
      </c>
      <c r="R1250" s="44" t="str">
        <f>VLOOKUP(F1250,'Set up'!$A$2:$E$70,5,FALSE)</f>
        <v>Trsf</v>
      </c>
      <c r="S1250" s="1" t="s">
        <v>1484</v>
      </c>
    </row>
    <row r="1251" spans="1:19" x14ac:dyDescent="0.3">
      <c r="A1251" s="4" t="s">
        <v>1134</v>
      </c>
      <c r="B1251" s="5">
        <f t="shared" si="256"/>
        <v>12</v>
      </c>
      <c r="C1251" s="5">
        <f t="shared" si="257"/>
        <v>2022</v>
      </c>
      <c r="D1251" s="5" t="s">
        <v>1133</v>
      </c>
      <c r="E1251" s="5" t="str">
        <f>VLOOKUP(F1251,'Set up'!$A$2:$C$70,2,FALSE)</f>
        <v>C00000019</v>
      </c>
      <c r="F1251" s="1" t="s">
        <v>400</v>
      </c>
      <c r="G1251" s="89" t="s">
        <v>1132</v>
      </c>
      <c r="H1251" s="5">
        <v>1</v>
      </c>
      <c r="I1251" s="5" t="str">
        <f>VLOOKUP(F1251,'Set up'!$A$2:$C$70,3,FALSE)</f>
        <v>Cash</v>
      </c>
      <c r="J1251" s="5">
        <f>VLOOKUP(F1251,'Set up'!$A$2:$D$70,4,FALSE)</f>
        <v>0</v>
      </c>
      <c r="K1251" s="4">
        <f t="shared" si="258"/>
        <v>44918</v>
      </c>
      <c r="L1251" s="5">
        <f t="shared" si="259"/>
        <v>12</v>
      </c>
      <c r="M1251" s="5">
        <f t="shared" si="260"/>
        <v>2022</v>
      </c>
      <c r="N1251" s="6">
        <v>440</v>
      </c>
      <c r="O1251" s="6">
        <f t="shared" si="266"/>
        <v>-440</v>
      </c>
      <c r="P1251" s="6">
        <f t="shared" si="255"/>
        <v>0</v>
      </c>
      <c r="Q1251" s="7">
        <f t="shared" si="261"/>
        <v>2300453.4500000011</v>
      </c>
      <c r="R1251" s="44" t="str">
        <f>VLOOKUP(F1251,'Set up'!$A$2:$E$70,5,FALSE)</f>
        <v>Trsf</v>
      </c>
      <c r="S1251" s="1" t="s">
        <v>1484</v>
      </c>
    </row>
    <row r="1252" spans="1:19" x14ac:dyDescent="0.3">
      <c r="A1252" s="4" t="s">
        <v>1134</v>
      </c>
      <c r="B1252" s="5">
        <f t="shared" si="256"/>
        <v>12</v>
      </c>
      <c r="C1252" s="5">
        <f t="shared" si="257"/>
        <v>2022</v>
      </c>
      <c r="D1252" s="5" t="s">
        <v>1133</v>
      </c>
      <c r="E1252" s="5" t="str">
        <f>VLOOKUP(F1252,'Set up'!$A$2:$C$70,2,FALSE)</f>
        <v>C00000019</v>
      </c>
      <c r="F1252" s="1" t="s">
        <v>400</v>
      </c>
      <c r="G1252" s="89" t="s">
        <v>292</v>
      </c>
      <c r="H1252" s="5">
        <v>1</v>
      </c>
      <c r="I1252" s="5" t="str">
        <f>VLOOKUP(F1252,'Set up'!$A$2:$C$70,3,FALSE)</f>
        <v>Cash</v>
      </c>
      <c r="J1252" s="5">
        <f>VLOOKUP(F1252,'Set up'!$A$2:$D$70,4,FALSE)</f>
        <v>0</v>
      </c>
      <c r="K1252" s="4">
        <f t="shared" si="258"/>
        <v>44918</v>
      </c>
      <c r="L1252" s="5">
        <f t="shared" si="259"/>
        <v>12</v>
      </c>
      <c r="M1252" s="5">
        <f t="shared" si="260"/>
        <v>2022</v>
      </c>
      <c r="N1252" s="6">
        <v>450</v>
      </c>
      <c r="O1252" s="6">
        <f t="shared" si="266"/>
        <v>-450</v>
      </c>
      <c r="P1252" s="6">
        <f t="shared" si="255"/>
        <v>0</v>
      </c>
      <c r="Q1252" s="7">
        <f t="shared" si="261"/>
        <v>2300903.4500000011</v>
      </c>
      <c r="R1252" s="44" t="str">
        <f>VLOOKUP(F1252,'Set up'!$A$2:$E$70,5,FALSE)</f>
        <v>Trsf</v>
      </c>
      <c r="S1252" s="1" t="s">
        <v>1484</v>
      </c>
    </row>
    <row r="1253" spans="1:19" x14ac:dyDescent="0.3">
      <c r="A1253" s="4">
        <v>44919</v>
      </c>
      <c r="B1253" s="5">
        <f t="shared" si="256"/>
        <v>12</v>
      </c>
      <c r="C1253" s="5">
        <f t="shared" si="257"/>
        <v>2022</v>
      </c>
      <c r="D1253" s="5" t="s">
        <v>1135</v>
      </c>
      <c r="E1253" s="5" t="str">
        <f>VLOOKUP(F1253,'Set up'!$A$2:$C$70,2,FALSE)</f>
        <v>C00000021</v>
      </c>
      <c r="F1253" s="1" t="s">
        <v>491</v>
      </c>
      <c r="G1253" s="89" t="s">
        <v>716</v>
      </c>
      <c r="H1253" s="5">
        <v>1</v>
      </c>
      <c r="I1253" s="5" t="str">
        <f>VLOOKUP(F1253,'Set up'!$A$2:$C$70,3,FALSE)</f>
        <v>Cash</v>
      </c>
      <c r="J1253" s="5">
        <f>VLOOKUP(F1253,'Set up'!$A$2:$D$70,4,FALSE)</f>
        <v>0</v>
      </c>
      <c r="K1253" s="4">
        <f t="shared" si="258"/>
        <v>44919</v>
      </c>
      <c r="L1253" s="5">
        <f t="shared" si="259"/>
        <v>12</v>
      </c>
      <c r="M1253" s="5">
        <f t="shared" si="260"/>
        <v>2022</v>
      </c>
      <c r="N1253" s="6">
        <v>1936</v>
      </c>
      <c r="O1253" s="6">
        <f t="shared" si="266"/>
        <v>-1936</v>
      </c>
      <c r="P1253" s="6">
        <f t="shared" si="255"/>
        <v>0</v>
      </c>
      <c r="Q1253" s="7">
        <f t="shared" si="261"/>
        <v>2302839.4500000011</v>
      </c>
      <c r="R1253" s="44" t="str">
        <f>VLOOKUP(F1253,'Set up'!$A$2:$E$70,5,FALSE)</f>
        <v>PD Chq</v>
      </c>
      <c r="S1253" s="1" t="s">
        <v>1525</v>
      </c>
    </row>
    <row r="1254" spans="1:19" x14ac:dyDescent="0.3">
      <c r="A1254" s="4">
        <v>44919</v>
      </c>
      <c r="B1254" s="5">
        <f t="shared" si="256"/>
        <v>12</v>
      </c>
      <c r="C1254" s="5">
        <f t="shared" si="257"/>
        <v>2022</v>
      </c>
      <c r="D1254" s="5" t="s">
        <v>1135</v>
      </c>
      <c r="E1254" s="5" t="str">
        <f>VLOOKUP(F1254,'Set up'!$A$2:$C$70,2,FALSE)</f>
        <v>C00000021</v>
      </c>
      <c r="F1254" s="1" t="s">
        <v>491</v>
      </c>
      <c r="G1254" s="89" t="s">
        <v>654</v>
      </c>
      <c r="H1254" s="5">
        <v>3</v>
      </c>
      <c r="I1254" s="5" t="str">
        <f>VLOOKUP(F1254,'Set up'!$A$2:$C$70,3,FALSE)</f>
        <v>Cash</v>
      </c>
      <c r="J1254" s="5">
        <f>VLOOKUP(F1254,'Set up'!$A$2:$D$70,4,FALSE)</f>
        <v>0</v>
      </c>
      <c r="K1254" s="4">
        <f t="shared" si="258"/>
        <v>44919</v>
      </c>
      <c r="L1254" s="5">
        <f t="shared" si="259"/>
        <v>12</v>
      </c>
      <c r="M1254" s="5">
        <f t="shared" si="260"/>
        <v>2022</v>
      </c>
      <c r="N1254" s="6">
        <v>801</v>
      </c>
      <c r="O1254" s="6">
        <f t="shared" si="266"/>
        <v>-801</v>
      </c>
      <c r="P1254" s="6">
        <f t="shared" si="255"/>
        <v>0</v>
      </c>
      <c r="Q1254" s="7">
        <f t="shared" si="261"/>
        <v>2303640.4500000011</v>
      </c>
      <c r="R1254" s="44" t="str">
        <f>VLOOKUP(F1254,'Set up'!$A$2:$E$70,5,FALSE)</f>
        <v>PD Chq</v>
      </c>
      <c r="S1254" s="1" t="s">
        <v>1525</v>
      </c>
    </row>
    <row r="1255" spans="1:19" x14ac:dyDescent="0.3">
      <c r="A1255" s="4">
        <v>44919</v>
      </c>
      <c r="B1255" s="5">
        <f t="shared" si="256"/>
        <v>12</v>
      </c>
      <c r="C1255" s="5">
        <f t="shared" si="257"/>
        <v>2022</v>
      </c>
      <c r="D1255" s="5" t="s">
        <v>1135</v>
      </c>
      <c r="E1255" s="5" t="str">
        <f>VLOOKUP(F1255,'Set up'!$A$2:$C$70,2,FALSE)</f>
        <v>C00000021</v>
      </c>
      <c r="F1255" s="1" t="s">
        <v>491</v>
      </c>
      <c r="G1255" s="89" t="s">
        <v>46</v>
      </c>
      <c r="H1255" s="5">
        <v>1</v>
      </c>
      <c r="I1255" s="5" t="str">
        <f>VLOOKUP(F1255,'Set up'!$A$2:$C$70,3,FALSE)</f>
        <v>Cash</v>
      </c>
      <c r="J1255" s="5">
        <f>VLOOKUP(F1255,'Set up'!$A$2:$D$70,4,FALSE)</f>
        <v>0</v>
      </c>
      <c r="K1255" s="4">
        <f t="shared" si="258"/>
        <v>44919</v>
      </c>
      <c r="L1255" s="5">
        <f t="shared" si="259"/>
        <v>12</v>
      </c>
      <c r="M1255" s="5">
        <f t="shared" si="260"/>
        <v>2022</v>
      </c>
      <c r="N1255" s="6">
        <v>105</v>
      </c>
      <c r="O1255" s="6">
        <f t="shared" si="266"/>
        <v>-105</v>
      </c>
      <c r="P1255" s="6">
        <f t="shared" si="255"/>
        <v>0</v>
      </c>
      <c r="Q1255" s="7">
        <f t="shared" si="261"/>
        <v>2303745.4500000011</v>
      </c>
      <c r="R1255" s="44" t="str">
        <f>VLOOKUP(F1255,'Set up'!$A$2:$E$70,5,FALSE)</f>
        <v>PD Chq</v>
      </c>
      <c r="S1255" s="1" t="s">
        <v>1525</v>
      </c>
    </row>
    <row r="1256" spans="1:19" x14ac:dyDescent="0.3">
      <c r="A1256" s="4">
        <v>44922</v>
      </c>
      <c r="B1256" s="5">
        <f t="shared" si="256"/>
        <v>12</v>
      </c>
      <c r="C1256" s="5">
        <f t="shared" si="257"/>
        <v>2022</v>
      </c>
      <c r="D1256" s="5" t="s">
        <v>1137</v>
      </c>
      <c r="E1256" s="5" t="str">
        <f>VLOOKUP(F1256,'Set up'!$A$2:$C$70,2,FALSE)</f>
        <v>C00000010</v>
      </c>
      <c r="F1256" s="1" t="s">
        <v>62</v>
      </c>
      <c r="G1256" s="89" t="s">
        <v>722</v>
      </c>
      <c r="H1256" s="5">
        <v>6</v>
      </c>
      <c r="I1256" s="5">
        <f>VLOOKUP(F1256,'Set up'!$A$2:$C$70,3,FALSE)</f>
        <v>120</v>
      </c>
      <c r="J1256" s="5">
        <f>VLOOKUP(F1256,'Set up'!$A$2:$D$70,4,FALSE)</f>
        <v>120</v>
      </c>
      <c r="K1256" s="4">
        <f t="shared" si="258"/>
        <v>45042</v>
      </c>
      <c r="L1256" s="5">
        <f t="shared" si="259"/>
        <v>4</v>
      </c>
      <c r="M1256" s="5">
        <f t="shared" si="260"/>
        <v>2023</v>
      </c>
      <c r="N1256" s="6">
        <v>10032</v>
      </c>
      <c r="O1256" s="6">
        <f t="shared" ref="O1256:O1262" si="267">-N1256</f>
        <v>-10032</v>
      </c>
      <c r="P1256" s="6">
        <f t="shared" si="255"/>
        <v>0</v>
      </c>
      <c r="Q1256" s="7">
        <f t="shared" si="261"/>
        <v>2313777.4500000011</v>
      </c>
      <c r="R1256" s="44" t="str">
        <f>VLOOKUP(F1256,'Set up'!$A$2:$E$70,5,FALSE)</f>
        <v>Trsf</v>
      </c>
      <c r="S1256" s="1" t="s">
        <v>1383</v>
      </c>
    </row>
    <row r="1257" spans="1:19" x14ac:dyDescent="0.3">
      <c r="A1257" s="4">
        <v>44922</v>
      </c>
      <c r="B1257" s="5">
        <f t="shared" si="256"/>
        <v>12</v>
      </c>
      <c r="C1257" s="5">
        <f t="shared" si="257"/>
        <v>2022</v>
      </c>
      <c r="D1257" s="5" t="s">
        <v>1137</v>
      </c>
      <c r="E1257" s="5" t="str">
        <f>VLOOKUP(F1257,'Set up'!$A$2:$C$70,2,FALSE)</f>
        <v>C00000010</v>
      </c>
      <c r="F1257" s="1" t="s">
        <v>62</v>
      </c>
      <c r="G1257" s="89" t="s">
        <v>913</v>
      </c>
      <c r="H1257" s="5">
        <v>10</v>
      </c>
      <c r="I1257" s="5">
        <f>VLOOKUP(F1257,'Set up'!$A$2:$C$70,3,FALSE)</f>
        <v>120</v>
      </c>
      <c r="J1257" s="5">
        <f>VLOOKUP(F1257,'Set up'!$A$2:$D$70,4,FALSE)</f>
        <v>120</v>
      </c>
      <c r="K1257" s="4">
        <f t="shared" si="258"/>
        <v>45042</v>
      </c>
      <c r="L1257" s="5">
        <f t="shared" si="259"/>
        <v>4</v>
      </c>
      <c r="M1257" s="5">
        <f t="shared" si="260"/>
        <v>2023</v>
      </c>
      <c r="N1257" s="6">
        <v>2250</v>
      </c>
      <c r="O1257" s="6">
        <f t="shared" si="267"/>
        <v>-2250</v>
      </c>
      <c r="P1257" s="6">
        <f t="shared" si="255"/>
        <v>0</v>
      </c>
      <c r="Q1257" s="7">
        <f t="shared" si="261"/>
        <v>2316027.4500000011</v>
      </c>
      <c r="R1257" s="44" t="str">
        <f>VLOOKUP(F1257,'Set up'!$A$2:$E$70,5,FALSE)</f>
        <v>Trsf</v>
      </c>
      <c r="S1257" s="1" t="s">
        <v>1383</v>
      </c>
    </row>
    <row r="1258" spans="1:19" x14ac:dyDescent="0.3">
      <c r="A1258" s="4">
        <v>44922</v>
      </c>
      <c r="B1258" s="5">
        <f t="shared" si="256"/>
        <v>12</v>
      </c>
      <c r="C1258" s="5">
        <f t="shared" si="257"/>
        <v>2022</v>
      </c>
      <c r="D1258" s="5" t="s">
        <v>1137</v>
      </c>
      <c r="E1258" s="5" t="str">
        <f>VLOOKUP(F1258,'Set up'!$A$2:$C$70,2,FALSE)</f>
        <v>C00000010</v>
      </c>
      <c r="F1258" s="1" t="s">
        <v>62</v>
      </c>
      <c r="G1258" s="89" t="s">
        <v>64</v>
      </c>
      <c r="H1258" s="5">
        <v>10</v>
      </c>
      <c r="I1258" s="5">
        <f>VLOOKUP(F1258,'Set up'!$A$2:$C$70,3,FALSE)</f>
        <v>120</v>
      </c>
      <c r="J1258" s="5">
        <f>VLOOKUP(F1258,'Set up'!$A$2:$D$70,4,FALSE)</f>
        <v>120</v>
      </c>
      <c r="K1258" s="4">
        <f t="shared" si="258"/>
        <v>45042</v>
      </c>
      <c r="L1258" s="5">
        <f t="shared" si="259"/>
        <v>4</v>
      </c>
      <c r="M1258" s="5">
        <f t="shared" si="260"/>
        <v>2023</v>
      </c>
      <c r="N1258" s="6">
        <v>575</v>
      </c>
      <c r="O1258" s="6">
        <f t="shared" si="267"/>
        <v>-575</v>
      </c>
      <c r="P1258" s="6">
        <f t="shared" si="255"/>
        <v>0</v>
      </c>
      <c r="Q1258" s="7">
        <f t="shared" si="261"/>
        <v>2316602.4500000011</v>
      </c>
      <c r="R1258" s="44" t="str">
        <f>VLOOKUP(F1258,'Set up'!$A$2:$E$70,5,FALSE)</f>
        <v>Trsf</v>
      </c>
      <c r="S1258" s="1" t="s">
        <v>1383</v>
      </c>
    </row>
    <row r="1259" spans="1:19" x14ac:dyDescent="0.3">
      <c r="A1259" s="4">
        <v>44922</v>
      </c>
      <c r="B1259" s="5">
        <f t="shared" si="256"/>
        <v>12</v>
      </c>
      <c r="C1259" s="5">
        <f t="shared" si="257"/>
        <v>2022</v>
      </c>
      <c r="D1259" s="5" t="s">
        <v>1137</v>
      </c>
      <c r="E1259" s="5" t="str">
        <f>VLOOKUP(F1259,'Set up'!$A$2:$C$70,2,FALSE)</f>
        <v>C00000010</v>
      </c>
      <c r="F1259" s="1" t="s">
        <v>62</v>
      </c>
      <c r="G1259" s="89" t="s">
        <v>46</v>
      </c>
      <c r="H1259" s="5">
        <v>4</v>
      </c>
      <c r="I1259" s="5">
        <f>VLOOKUP(F1259,'Set up'!$A$2:$C$70,3,FALSE)</f>
        <v>120</v>
      </c>
      <c r="J1259" s="5">
        <f>VLOOKUP(F1259,'Set up'!$A$2:$D$70,4,FALSE)</f>
        <v>120</v>
      </c>
      <c r="K1259" s="4">
        <f t="shared" si="258"/>
        <v>45042</v>
      </c>
      <c r="L1259" s="5">
        <f t="shared" si="259"/>
        <v>4</v>
      </c>
      <c r="M1259" s="5">
        <f t="shared" si="260"/>
        <v>2023</v>
      </c>
      <c r="N1259" s="6">
        <v>420</v>
      </c>
      <c r="O1259" s="6">
        <f t="shared" si="267"/>
        <v>-420</v>
      </c>
      <c r="P1259" s="6">
        <f t="shared" si="255"/>
        <v>0</v>
      </c>
      <c r="Q1259" s="7">
        <f t="shared" si="261"/>
        <v>2317022.4500000011</v>
      </c>
      <c r="R1259" s="44" t="str">
        <f>VLOOKUP(F1259,'Set up'!$A$2:$E$70,5,FALSE)</f>
        <v>Trsf</v>
      </c>
      <c r="S1259" s="1" t="s">
        <v>1383</v>
      </c>
    </row>
    <row r="1260" spans="1:19" x14ac:dyDescent="0.3">
      <c r="A1260" s="4">
        <v>44922</v>
      </c>
      <c r="B1260" s="5">
        <f t="shared" si="256"/>
        <v>12</v>
      </c>
      <c r="C1260" s="5">
        <f t="shared" si="257"/>
        <v>2022</v>
      </c>
      <c r="D1260" s="5" t="s">
        <v>1137</v>
      </c>
      <c r="E1260" s="5" t="str">
        <f>VLOOKUP(F1260,'Set up'!$A$2:$C$70,2,FALSE)</f>
        <v>C00000010</v>
      </c>
      <c r="F1260" s="1" t="s">
        <v>62</v>
      </c>
      <c r="G1260" s="89" t="s">
        <v>1093</v>
      </c>
      <c r="H1260" s="5">
        <v>4</v>
      </c>
      <c r="I1260" s="5">
        <f>VLOOKUP(F1260,'Set up'!$A$2:$C$70,3,FALSE)</f>
        <v>120</v>
      </c>
      <c r="J1260" s="5">
        <f>VLOOKUP(F1260,'Set up'!$A$2:$D$70,4,FALSE)</f>
        <v>120</v>
      </c>
      <c r="K1260" s="4">
        <f t="shared" si="258"/>
        <v>45042</v>
      </c>
      <c r="L1260" s="5">
        <f t="shared" si="259"/>
        <v>4</v>
      </c>
      <c r="M1260" s="5">
        <f t="shared" si="260"/>
        <v>2023</v>
      </c>
      <c r="N1260" s="6">
        <v>200</v>
      </c>
      <c r="O1260" s="6">
        <f t="shared" si="267"/>
        <v>-200</v>
      </c>
      <c r="P1260" s="6">
        <f t="shared" si="255"/>
        <v>0</v>
      </c>
      <c r="Q1260" s="7">
        <f t="shared" si="261"/>
        <v>2317222.4500000011</v>
      </c>
      <c r="R1260" s="44" t="str">
        <f>VLOOKUP(F1260,'Set up'!$A$2:$E$70,5,FALSE)</f>
        <v>Trsf</v>
      </c>
      <c r="S1260" s="1" t="s">
        <v>1383</v>
      </c>
    </row>
    <row r="1261" spans="1:19" x14ac:dyDescent="0.3">
      <c r="A1261" s="4">
        <v>44922</v>
      </c>
      <c r="B1261" s="5">
        <f t="shared" si="256"/>
        <v>12</v>
      </c>
      <c r="C1261" s="5">
        <f t="shared" si="257"/>
        <v>2022</v>
      </c>
      <c r="D1261" s="5" t="s">
        <v>1137</v>
      </c>
      <c r="E1261" s="5" t="str">
        <f>VLOOKUP(F1261,'Set up'!$A$2:$C$70,2,FALSE)</f>
        <v>C00000010</v>
      </c>
      <c r="F1261" s="1" t="s">
        <v>62</v>
      </c>
      <c r="G1261" s="89" t="s">
        <v>1136</v>
      </c>
      <c r="H1261" s="5">
        <v>1</v>
      </c>
      <c r="I1261" s="5">
        <f>VLOOKUP(F1261,'Set up'!$A$2:$C$70,3,FALSE)</f>
        <v>120</v>
      </c>
      <c r="J1261" s="5">
        <f>VLOOKUP(F1261,'Set up'!$A$2:$D$70,4,FALSE)</f>
        <v>120</v>
      </c>
      <c r="K1261" s="4">
        <f t="shared" si="258"/>
        <v>45042</v>
      </c>
      <c r="L1261" s="5">
        <f t="shared" si="259"/>
        <v>4</v>
      </c>
      <c r="M1261" s="5">
        <f t="shared" si="260"/>
        <v>2023</v>
      </c>
      <c r="N1261" s="6">
        <v>330</v>
      </c>
      <c r="O1261" s="6">
        <f t="shared" si="267"/>
        <v>-330</v>
      </c>
      <c r="P1261" s="6">
        <f t="shared" si="255"/>
        <v>0</v>
      </c>
      <c r="Q1261" s="7">
        <f t="shared" si="261"/>
        <v>2317552.4500000011</v>
      </c>
      <c r="R1261" s="44" t="str">
        <f>VLOOKUP(F1261,'Set up'!$A$2:$E$70,5,FALSE)</f>
        <v>Trsf</v>
      </c>
      <c r="S1261" s="1" t="s">
        <v>1383</v>
      </c>
    </row>
    <row r="1262" spans="1:19" x14ac:dyDescent="0.3">
      <c r="A1262" s="4">
        <v>44922</v>
      </c>
      <c r="B1262" s="5">
        <f t="shared" si="256"/>
        <v>12</v>
      </c>
      <c r="C1262" s="5">
        <f t="shared" si="257"/>
        <v>2022</v>
      </c>
      <c r="D1262" s="5" t="s">
        <v>1137</v>
      </c>
      <c r="E1262" s="5" t="str">
        <f>VLOOKUP(F1262,'Set up'!$A$2:$C$70,2,FALSE)</f>
        <v>C00000010</v>
      </c>
      <c r="F1262" s="1" t="s">
        <v>62</v>
      </c>
      <c r="G1262" s="89" t="s">
        <v>944</v>
      </c>
      <c r="H1262" s="5">
        <v>1</v>
      </c>
      <c r="I1262" s="5">
        <f>VLOOKUP(F1262,'Set up'!$A$2:$C$70,3,FALSE)</f>
        <v>120</v>
      </c>
      <c r="J1262" s="5">
        <f>VLOOKUP(F1262,'Set up'!$A$2:$D$70,4,FALSE)</f>
        <v>120</v>
      </c>
      <c r="K1262" s="4">
        <f t="shared" si="258"/>
        <v>45042</v>
      </c>
      <c r="L1262" s="5">
        <f t="shared" si="259"/>
        <v>4</v>
      </c>
      <c r="M1262" s="5">
        <f t="shared" si="260"/>
        <v>2023</v>
      </c>
      <c r="N1262" s="6">
        <v>420</v>
      </c>
      <c r="O1262" s="6">
        <f t="shared" si="267"/>
        <v>-420</v>
      </c>
      <c r="P1262" s="6">
        <f t="shared" si="255"/>
        <v>0</v>
      </c>
      <c r="Q1262" s="7">
        <f t="shared" si="261"/>
        <v>2317972.4500000011</v>
      </c>
      <c r="R1262" s="44" t="str">
        <f>VLOOKUP(F1262,'Set up'!$A$2:$E$70,5,FALSE)</f>
        <v>Trsf</v>
      </c>
      <c r="S1262" s="1" t="s">
        <v>1383</v>
      </c>
    </row>
    <row r="1263" spans="1:19" x14ac:dyDescent="0.3">
      <c r="A1263" s="4">
        <v>44923</v>
      </c>
      <c r="B1263" s="5">
        <f t="shared" si="256"/>
        <v>12</v>
      </c>
      <c r="C1263" s="5">
        <f t="shared" si="257"/>
        <v>2022</v>
      </c>
      <c r="D1263" s="5" t="s">
        <v>1138</v>
      </c>
      <c r="E1263" s="5" t="str">
        <f>VLOOKUP(F1263,'Set up'!$A$2:$C$70,2,FALSE)</f>
        <v>C00000020</v>
      </c>
      <c r="F1263" s="1" t="s">
        <v>409</v>
      </c>
      <c r="G1263" s="89" t="s">
        <v>988</v>
      </c>
      <c r="H1263" s="5">
        <v>4</v>
      </c>
      <c r="I1263" s="5" t="str">
        <f>VLOOKUP(F1263,'Set up'!$A$2:$C$70,3,FALSE)</f>
        <v>Cash</v>
      </c>
      <c r="J1263" s="5">
        <f>VLOOKUP(F1263,'Set up'!$A$2:$D$70,4,FALSE)</f>
        <v>0</v>
      </c>
      <c r="K1263" s="4">
        <f t="shared" si="258"/>
        <v>44923</v>
      </c>
      <c r="L1263" s="5">
        <f t="shared" si="259"/>
        <v>12</v>
      </c>
      <c r="M1263" s="5">
        <f t="shared" si="260"/>
        <v>2022</v>
      </c>
      <c r="N1263" s="6">
        <v>1008</v>
      </c>
      <c r="O1263" s="6">
        <f>-N1263</f>
        <v>-1008</v>
      </c>
      <c r="P1263" s="6">
        <f t="shared" si="255"/>
        <v>0</v>
      </c>
      <c r="Q1263" s="7">
        <f t="shared" si="261"/>
        <v>2318980.4500000011</v>
      </c>
      <c r="R1263" s="44" t="str">
        <f>VLOOKUP(F1263,'Set up'!$A$2:$E$70,5,FALSE)</f>
        <v>Trsf</v>
      </c>
      <c r="S1263" s="1" t="s">
        <v>1166</v>
      </c>
    </row>
    <row r="1264" spans="1:19" x14ac:dyDescent="0.3">
      <c r="A1264" s="4">
        <v>44925</v>
      </c>
      <c r="B1264" s="5">
        <f t="shared" si="256"/>
        <v>12</v>
      </c>
      <c r="C1264" s="5">
        <f t="shared" si="257"/>
        <v>2022</v>
      </c>
      <c r="D1264" s="5" t="s">
        <v>1139</v>
      </c>
      <c r="E1264" s="5" t="str">
        <f>VLOOKUP(F1264,'Set up'!$A$2:$C$70,2,FALSE)</f>
        <v>C00000020</v>
      </c>
      <c r="F1264" s="1" t="s">
        <v>409</v>
      </c>
      <c r="G1264" s="89" t="s">
        <v>716</v>
      </c>
      <c r="H1264" s="5">
        <v>7</v>
      </c>
      <c r="I1264" s="5" t="str">
        <f>VLOOKUP(F1264,'Set up'!$A$2:$C$70,3,FALSE)</f>
        <v>Cash</v>
      </c>
      <c r="J1264" s="5">
        <f>VLOOKUP(F1264,'Set up'!$A$2:$D$70,4,FALSE)</f>
        <v>0</v>
      </c>
      <c r="K1264" s="4">
        <f t="shared" si="258"/>
        <v>44925</v>
      </c>
      <c r="L1264" s="5">
        <f t="shared" si="259"/>
        <v>12</v>
      </c>
      <c r="M1264" s="5">
        <f t="shared" si="260"/>
        <v>2022</v>
      </c>
      <c r="N1264" s="6">
        <v>12628</v>
      </c>
      <c r="O1264" s="6">
        <f>-1607.2-7310-3710.8</f>
        <v>-12628</v>
      </c>
      <c r="P1264" s="6">
        <f t="shared" si="255"/>
        <v>0</v>
      </c>
      <c r="Q1264" s="7">
        <f t="shared" si="261"/>
        <v>2331608.4500000011</v>
      </c>
      <c r="R1264" s="44" t="str">
        <f>VLOOKUP(F1264,'Set up'!$A$2:$E$70,5,FALSE)</f>
        <v>Trsf</v>
      </c>
      <c r="S1264" s="1" t="s">
        <v>1860</v>
      </c>
    </row>
    <row r="1265" spans="1:19" x14ac:dyDescent="0.3">
      <c r="A1265" s="4">
        <v>44925</v>
      </c>
      <c r="B1265" s="5">
        <f t="shared" si="256"/>
        <v>12</v>
      </c>
      <c r="C1265" s="5">
        <f t="shared" si="257"/>
        <v>2022</v>
      </c>
      <c r="D1265" s="5" t="s">
        <v>1139</v>
      </c>
      <c r="E1265" s="5" t="str">
        <f>VLOOKUP(F1265,'Set up'!$A$2:$C$70,2,FALSE)</f>
        <v>C00000020</v>
      </c>
      <c r="F1265" s="1" t="s">
        <v>409</v>
      </c>
      <c r="G1265" s="89" t="s">
        <v>1140</v>
      </c>
      <c r="H1265" s="5">
        <v>20</v>
      </c>
      <c r="I1265" s="5" t="str">
        <f>VLOOKUP(F1265,'Set up'!$A$2:$C$70,3,FALSE)</f>
        <v>Cash</v>
      </c>
      <c r="J1265" s="5">
        <f>VLOOKUP(F1265,'Set up'!$A$2:$D$70,4,FALSE)</f>
        <v>0</v>
      </c>
      <c r="K1265" s="4">
        <f t="shared" si="258"/>
        <v>44925</v>
      </c>
      <c r="L1265" s="5">
        <f t="shared" si="259"/>
        <v>12</v>
      </c>
      <c r="M1265" s="5">
        <f t="shared" si="260"/>
        <v>2022</v>
      </c>
      <c r="N1265" s="6">
        <v>5040</v>
      </c>
      <c r="O1265" s="6">
        <f>-2147.2-2892.8</f>
        <v>-5040</v>
      </c>
      <c r="P1265" s="6">
        <f t="shared" si="255"/>
        <v>0</v>
      </c>
      <c r="Q1265" s="7">
        <f t="shared" si="261"/>
        <v>2336648.4500000011</v>
      </c>
      <c r="R1265" s="44" t="str">
        <f>VLOOKUP(F1265,'Set up'!$A$2:$E$70,5,FALSE)</f>
        <v>Trsf</v>
      </c>
      <c r="S1265" s="1" t="s">
        <v>1862</v>
      </c>
    </row>
    <row r="1266" spans="1:19" x14ac:dyDescent="0.3">
      <c r="A1266" s="4">
        <v>44925</v>
      </c>
      <c r="B1266" s="5">
        <f t="shared" si="256"/>
        <v>12</v>
      </c>
      <c r="C1266" s="5">
        <f t="shared" si="257"/>
        <v>2022</v>
      </c>
      <c r="D1266" s="5" t="s">
        <v>1139</v>
      </c>
      <c r="E1266" s="5" t="str">
        <f>VLOOKUP(F1266,'Set up'!$A$2:$C$70,2,FALSE)</f>
        <v>C00000020</v>
      </c>
      <c r="F1266" s="1" t="s">
        <v>409</v>
      </c>
      <c r="G1266" s="89" t="s">
        <v>1121</v>
      </c>
      <c r="H1266" s="5">
        <v>9</v>
      </c>
      <c r="I1266" s="5" t="str">
        <f>VLOOKUP(F1266,'Set up'!$A$2:$C$70,3,FALSE)</f>
        <v>Cash</v>
      </c>
      <c r="J1266" s="5">
        <f>VLOOKUP(F1266,'Set up'!$A$2:$D$70,4,FALSE)</f>
        <v>0</v>
      </c>
      <c r="K1266" s="4">
        <f t="shared" si="258"/>
        <v>44925</v>
      </c>
      <c r="L1266" s="5">
        <f t="shared" si="259"/>
        <v>12</v>
      </c>
      <c r="M1266" s="5">
        <f t="shared" si="260"/>
        <v>2022</v>
      </c>
      <c r="N1266" s="6">
        <v>2340</v>
      </c>
      <c r="O1266" s="6">
        <f t="shared" ref="O1266:O1269" si="268">-N1266</f>
        <v>-2340</v>
      </c>
      <c r="P1266" s="6">
        <f t="shared" si="255"/>
        <v>0</v>
      </c>
      <c r="Q1266" s="7">
        <f t="shared" si="261"/>
        <v>2338988.4500000011</v>
      </c>
      <c r="R1266" s="44" t="str">
        <f>VLOOKUP(F1266,'Set up'!$A$2:$E$70,5,FALSE)</f>
        <v>Trsf</v>
      </c>
      <c r="S1266" s="1" t="s">
        <v>1863</v>
      </c>
    </row>
    <row r="1267" spans="1:19" x14ac:dyDescent="0.3">
      <c r="A1267" s="4">
        <v>44925</v>
      </c>
      <c r="B1267" s="5">
        <f t="shared" si="256"/>
        <v>12</v>
      </c>
      <c r="C1267" s="5">
        <f t="shared" si="257"/>
        <v>2022</v>
      </c>
      <c r="D1267" s="5" t="s">
        <v>1139</v>
      </c>
      <c r="E1267" s="5" t="str">
        <f>VLOOKUP(F1267,'Set up'!$A$2:$C$70,2,FALSE)</f>
        <v>C00000020</v>
      </c>
      <c r="F1267" s="1" t="s">
        <v>409</v>
      </c>
      <c r="G1267" s="89" t="s">
        <v>54</v>
      </c>
      <c r="H1267" s="5">
        <v>5</v>
      </c>
      <c r="I1267" s="5" t="str">
        <f>VLOOKUP(F1267,'Set up'!$A$2:$C$70,3,FALSE)</f>
        <v>Cash</v>
      </c>
      <c r="J1267" s="5">
        <f>VLOOKUP(F1267,'Set up'!$A$2:$D$70,4,FALSE)</f>
        <v>0</v>
      </c>
      <c r="K1267" s="4">
        <f t="shared" si="258"/>
        <v>44925</v>
      </c>
      <c r="L1267" s="5">
        <f t="shared" si="259"/>
        <v>12</v>
      </c>
      <c r="M1267" s="5">
        <f t="shared" si="260"/>
        <v>2022</v>
      </c>
      <c r="N1267" s="6">
        <v>312.5</v>
      </c>
      <c r="O1267" s="6">
        <f t="shared" si="268"/>
        <v>-312.5</v>
      </c>
      <c r="P1267" s="6">
        <f t="shared" si="255"/>
        <v>0</v>
      </c>
      <c r="Q1267" s="7">
        <f t="shared" si="261"/>
        <v>2339300.9500000011</v>
      </c>
      <c r="R1267" s="44" t="str">
        <f>VLOOKUP(F1267,'Set up'!$A$2:$E$70,5,FALSE)</f>
        <v>Trsf</v>
      </c>
      <c r="S1267" s="1" t="s">
        <v>1864</v>
      </c>
    </row>
    <row r="1268" spans="1:19" x14ac:dyDescent="0.3">
      <c r="A1268" s="4">
        <v>44925</v>
      </c>
      <c r="B1268" s="5">
        <f t="shared" si="256"/>
        <v>12</v>
      </c>
      <c r="C1268" s="5">
        <f t="shared" si="257"/>
        <v>2022</v>
      </c>
      <c r="D1268" s="5" t="s">
        <v>1139</v>
      </c>
      <c r="E1268" s="5" t="str">
        <f>VLOOKUP(F1268,'Set up'!$A$2:$C$70,2,FALSE)</f>
        <v>C00000020</v>
      </c>
      <c r="F1268" s="1" t="s">
        <v>409</v>
      </c>
      <c r="G1268" s="89" t="s">
        <v>1073</v>
      </c>
      <c r="H1268" s="5">
        <v>1</v>
      </c>
      <c r="I1268" s="5" t="str">
        <f>VLOOKUP(F1268,'Set up'!$A$2:$C$70,3,FALSE)</f>
        <v>Cash</v>
      </c>
      <c r="J1268" s="5">
        <f>VLOOKUP(F1268,'Set up'!$A$2:$D$70,4,FALSE)</f>
        <v>0</v>
      </c>
      <c r="K1268" s="4">
        <f t="shared" si="258"/>
        <v>44925</v>
      </c>
      <c r="L1268" s="5">
        <f t="shared" si="259"/>
        <v>12</v>
      </c>
      <c r="M1268" s="5">
        <f t="shared" si="260"/>
        <v>2022</v>
      </c>
      <c r="N1268" s="6">
        <v>1000</v>
      </c>
      <c r="O1268" s="6">
        <f t="shared" si="268"/>
        <v>-1000</v>
      </c>
      <c r="P1268" s="6">
        <f t="shared" si="255"/>
        <v>0</v>
      </c>
      <c r="Q1268" s="7">
        <f t="shared" si="261"/>
        <v>2340300.9500000011</v>
      </c>
      <c r="R1268" s="44" t="str">
        <f>VLOOKUP(F1268,'Set up'!$A$2:$E$70,5,FALSE)</f>
        <v>Trsf</v>
      </c>
      <c r="S1268" s="1" t="s">
        <v>1865</v>
      </c>
    </row>
    <row r="1269" spans="1:19" x14ac:dyDescent="0.3">
      <c r="A1269" s="4">
        <v>44925</v>
      </c>
      <c r="B1269" s="5">
        <f t="shared" si="256"/>
        <v>12</v>
      </c>
      <c r="C1269" s="5">
        <f t="shared" si="257"/>
        <v>2022</v>
      </c>
      <c r="D1269" s="5" t="s">
        <v>1139</v>
      </c>
      <c r="E1269" s="5" t="str">
        <f>VLOOKUP(F1269,'Set up'!$A$2:$C$70,2,FALSE)</f>
        <v>C00000020</v>
      </c>
      <c r="F1269" s="1" t="s">
        <v>409</v>
      </c>
      <c r="G1269" s="89" t="s">
        <v>945</v>
      </c>
      <c r="H1269" s="5">
        <v>4</v>
      </c>
      <c r="I1269" s="5" t="str">
        <f>VLOOKUP(F1269,'Set up'!$A$2:$C$70,3,FALSE)</f>
        <v>Cash</v>
      </c>
      <c r="J1269" s="5">
        <f>VLOOKUP(F1269,'Set up'!$A$2:$D$70,4,FALSE)</f>
        <v>0</v>
      </c>
      <c r="K1269" s="4">
        <f t="shared" si="258"/>
        <v>44925</v>
      </c>
      <c r="L1269" s="5">
        <f t="shared" si="259"/>
        <v>12</v>
      </c>
      <c r="M1269" s="5">
        <f t="shared" si="260"/>
        <v>2022</v>
      </c>
      <c r="N1269" s="6">
        <v>420</v>
      </c>
      <c r="O1269" s="6">
        <f t="shared" si="268"/>
        <v>-420</v>
      </c>
      <c r="P1269" s="6">
        <f t="shared" si="255"/>
        <v>0</v>
      </c>
      <c r="Q1269" s="7">
        <f t="shared" si="261"/>
        <v>2340720.9500000011</v>
      </c>
      <c r="R1269" s="44" t="str">
        <f>VLOOKUP(F1269,'Set up'!$A$2:$E$70,5,FALSE)</f>
        <v>Trsf</v>
      </c>
      <c r="S1269" s="1" t="s">
        <v>1861</v>
      </c>
    </row>
    <row r="1270" spans="1:19" x14ac:dyDescent="0.3">
      <c r="A1270" s="4">
        <v>44931</v>
      </c>
      <c r="B1270" s="5">
        <f t="shared" si="256"/>
        <v>1</v>
      </c>
      <c r="C1270" s="5">
        <f t="shared" si="257"/>
        <v>2023</v>
      </c>
      <c r="D1270" s="5" t="s">
        <v>1167</v>
      </c>
      <c r="E1270" s="5" t="str">
        <f>VLOOKUP(F1270,'Set up'!$A$2:$C$70,2,FALSE)</f>
        <v>C00000020</v>
      </c>
      <c r="F1270" s="1" t="s">
        <v>409</v>
      </c>
      <c r="G1270" s="89" t="s">
        <v>722</v>
      </c>
      <c r="H1270" s="5">
        <v>10</v>
      </c>
      <c r="I1270" s="5" t="str">
        <f>VLOOKUP(F1270,'Set up'!$A$2:$C$70,3,FALSE)</f>
        <v>Cash</v>
      </c>
      <c r="J1270" s="5">
        <f>VLOOKUP(F1270,'Set up'!$A$2:$D$70,4,FALSE)</f>
        <v>0</v>
      </c>
      <c r="K1270" s="4">
        <f t="shared" si="258"/>
        <v>44931</v>
      </c>
      <c r="L1270" s="5">
        <f t="shared" si="259"/>
        <v>1</v>
      </c>
      <c r="M1270" s="5">
        <f t="shared" si="260"/>
        <v>2023</v>
      </c>
      <c r="N1270" s="6">
        <v>17380</v>
      </c>
      <c r="O1270" s="6">
        <f>-4696.7-9000-3683.3</f>
        <v>-17380</v>
      </c>
      <c r="P1270" s="6">
        <f t="shared" si="255"/>
        <v>0</v>
      </c>
      <c r="Q1270" s="7">
        <f t="shared" si="261"/>
        <v>2358100.9500000011</v>
      </c>
      <c r="R1270" s="44" t="str">
        <f>VLOOKUP(F1270,'Set up'!$A$2:$E$70,5,FALSE)</f>
        <v>Trsf</v>
      </c>
      <c r="S1270" s="1" t="s">
        <v>1866</v>
      </c>
    </row>
    <row r="1271" spans="1:19" x14ac:dyDescent="0.3">
      <c r="A1271" s="4">
        <v>44931</v>
      </c>
      <c r="B1271" s="5">
        <f t="shared" si="256"/>
        <v>1</v>
      </c>
      <c r="C1271" s="5">
        <f t="shared" si="257"/>
        <v>2023</v>
      </c>
      <c r="D1271" s="5" t="s">
        <v>1167</v>
      </c>
      <c r="E1271" s="5" t="str">
        <f>VLOOKUP(F1271,'Set up'!$A$2:$C$70,2,FALSE)</f>
        <v>C00000020</v>
      </c>
      <c r="F1271" s="1" t="s">
        <v>409</v>
      </c>
      <c r="G1271" s="89" t="s">
        <v>1140</v>
      </c>
      <c r="H1271" s="5">
        <v>30</v>
      </c>
      <c r="I1271" s="5" t="str">
        <f>VLOOKUP(F1271,'Set up'!$A$2:$C$70,3,FALSE)</f>
        <v>Cash</v>
      </c>
      <c r="J1271" s="5">
        <f>VLOOKUP(F1271,'Set up'!$A$2:$D$70,4,FALSE)</f>
        <v>0</v>
      </c>
      <c r="K1271" s="4">
        <f t="shared" si="258"/>
        <v>44931</v>
      </c>
      <c r="L1271" s="5">
        <f t="shared" si="259"/>
        <v>1</v>
      </c>
      <c r="M1271" s="5">
        <f t="shared" si="260"/>
        <v>2023</v>
      </c>
      <c r="N1271" s="6">
        <v>7020</v>
      </c>
      <c r="O1271" s="6">
        <f>-3316.7-3703.3</f>
        <v>-7020</v>
      </c>
      <c r="P1271" s="6">
        <f t="shared" si="255"/>
        <v>0</v>
      </c>
      <c r="Q1271" s="7">
        <f t="shared" si="261"/>
        <v>2365120.9500000011</v>
      </c>
      <c r="R1271" s="44" t="str">
        <f>VLOOKUP(F1271,'Set up'!$A$2:$E$70,5,FALSE)</f>
        <v>Trsf</v>
      </c>
      <c r="S1271" s="1" t="s">
        <v>1867</v>
      </c>
    </row>
    <row r="1272" spans="1:19" x14ac:dyDescent="0.3">
      <c r="A1272" s="4">
        <v>44931</v>
      </c>
      <c r="B1272" s="5">
        <f t="shared" si="256"/>
        <v>1</v>
      </c>
      <c r="C1272" s="5">
        <f t="shared" si="257"/>
        <v>2023</v>
      </c>
      <c r="D1272" s="5" t="s">
        <v>1167</v>
      </c>
      <c r="E1272" s="5" t="str">
        <f>VLOOKUP(F1272,'Set up'!$A$2:$C$70,2,FALSE)</f>
        <v>C00000020</v>
      </c>
      <c r="F1272" s="1" t="s">
        <v>409</v>
      </c>
      <c r="G1272" s="89" t="s">
        <v>1168</v>
      </c>
      <c r="H1272" s="5">
        <v>15</v>
      </c>
      <c r="I1272" s="5" t="str">
        <f>VLOOKUP(F1272,'Set up'!$A$2:$C$70,3,FALSE)</f>
        <v>Cash</v>
      </c>
      <c r="J1272" s="5">
        <f>VLOOKUP(F1272,'Set up'!$A$2:$D$70,4,FALSE)</f>
        <v>0</v>
      </c>
      <c r="K1272" s="4">
        <f t="shared" si="258"/>
        <v>44931</v>
      </c>
      <c r="L1272" s="5">
        <f t="shared" si="259"/>
        <v>1</v>
      </c>
      <c r="M1272" s="5">
        <f t="shared" si="260"/>
        <v>2023</v>
      </c>
      <c r="N1272" s="6">
        <v>4095</v>
      </c>
      <c r="O1272" s="6">
        <f>-1796.7-2298.3</f>
        <v>-4095</v>
      </c>
      <c r="P1272" s="6">
        <f t="shared" si="255"/>
        <v>0</v>
      </c>
      <c r="Q1272" s="7">
        <f t="shared" si="261"/>
        <v>2369215.9500000011</v>
      </c>
      <c r="R1272" s="44" t="str">
        <f>VLOOKUP(F1272,'Set up'!$A$2:$E$70,5,FALSE)</f>
        <v>Trsf</v>
      </c>
      <c r="S1272" s="1" t="s">
        <v>1927</v>
      </c>
    </row>
    <row r="1273" spans="1:19" x14ac:dyDescent="0.3">
      <c r="A1273" s="4">
        <v>44931</v>
      </c>
      <c r="B1273" s="5">
        <f t="shared" si="256"/>
        <v>1</v>
      </c>
      <c r="C1273" s="5">
        <f t="shared" si="257"/>
        <v>2023</v>
      </c>
      <c r="D1273" s="5" t="s">
        <v>1167</v>
      </c>
      <c r="E1273" s="5" t="str">
        <f>VLOOKUP(F1273,'Set up'!$A$2:$C$70,2,FALSE)</f>
        <v>C00000020</v>
      </c>
      <c r="F1273" s="1" t="s">
        <v>409</v>
      </c>
      <c r="G1273" s="89" t="s">
        <v>54</v>
      </c>
      <c r="H1273" s="5">
        <v>10</v>
      </c>
      <c r="I1273" s="5" t="str">
        <f>VLOOKUP(F1273,'Set up'!$A$2:$C$70,3,FALSE)</f>
        <v>Cash</v>
      </c>
      <c r="J1273" s="5">
        <f>VLOOKUP(F1273,'Set up'!$A$2:$D$70,4,FALSE)</f>
        <v>0</v>
      </c>
      <c r="K1273" s="4">
        <f t="shared" si="258"/>
        <v>44931</v>
      </c>
      <c r="L1273" s="5">
        <f t="shared" si="259"/>
        <v>1</v>
      </c>
      <c r="M1273" s="5">
        <f t="shared" si="260"/>
        <v>2023</v>
      </c>
      <c r="N1273" s="6">
        <v>625</v>
      </c>
      <c r="O1273" s="6">
        <f t="shared" ref="O1273:O1275" si="269">-N1273</f>
        <v>-625</v>
      </c>
      <c r="P1273" s="6">
        <f t="shared" si="255"/>
        <v>0</v>
      </c>
      <c r="Q1273" s="7">
        <f t="shared" si="261"/>
        <v>2369840.9500000011</v>
      </c>
      <c r="R1273" s="44" t="str">
        <f>VLOOKUP(F1273,'Set up'!$A$2:$E$70,5,FALSE)</f>
        <v>Trsf</v>
      </c>
      <c r="S1273" s="1" t="s">
        <v>1928</v>
      </c>
    </row>
    <row r="1274" spans="1:19" x14ac:dyDescent="0.3">
      <c r="A1274" s="4">
        <v>44931</v>
      </c>
      <c r="B1274" s="5">
        <f t="shared" si="256"/>
        <v>1</v>
      </c>
      <c r="C1274" s="5">
        <f t="shared" si="257"/>
        <v>2023</v>
      </c>
      <c r="D1274" s="5" t="s">
        <v>1167</v>
      </c>
      <c r="E1274" s="5" t="str">
        <f>VLOOKUP(F1274,'Set up'!$A$2:$C$70,2,FALSE)</f>
        <v>C00000020</v>
      </c>
      <c r="F1274" s="1" t="s">
        <v>409</v>
      </c>
      <c r="G1274" s="89" t="s">
        <v>666</v>
      </c>
      <c r="H1274" s="5">
        <v>4</v>
      </c>
      <c r="I1274" s="5" t="str">
        <f>VLOOKUP(F1274,'Set up'!$A$2:$C$70,3,FALSE)</f>
        <v>Cash</v>
      </c>
      <c r="J1274" s="5">
        <f>VLOOKUP(F1274,'Set up'!$A$2:$D$70,4,FALSE)</f>
        <v>0</v>
      </c>
      <c r="K1274" s="4">
        <f t="shared" si="258"/>
        <v>44931</v>
      </c>
      <c r="L1274" s="5">
        <f t="shared" si="259"/>
        <v>1</v>
      </c>
      <c r="M1274" s="5">
        <f t="shared" si="260"/>
        <v>2023</v>
      </c>
      <c r="N1274" s="6">
        <v>380</v>
      </c>
      <c r="O1274" s="6">
        <f t="shared" si="269"/>
        <v>-380</v>
      </c>
      <c r="P1274" s="6">
        <f t="shared" si="255"/>
        <v>0</v>
      </c>
      <c r="Q1274" s="7">
        <f t="shared" si="261"/>
        <v>2370220.9500000011</v>
      </c>
      <c r="R1274" s="44" t="str">
        <f>VLOOKUP(F1274,'Set up'!$A$2:$E$70,5,FALSE)</f>
        <v>Trsf</v>
      </c>
      <c r="S1274" s="1" t="s">
        <v>1929</v>
      </c>
    </row>
    <row r="1275" spans="1:19" x14ac:dyDescent="0.3">
      <c r="A1275" s="4">
        <v>44931</v>
      </c>
      <c r="B1275" s="5">
        <f t="shared" si="256"/>
        <v>1</v>
      </c>
      <c r="C1275" s="5">
        <f t="shared" si="257"/>
        <v>2023</v>
      </c>
      <c r="D1275" s="5" t="s">
        <v>1167</v>
      </c>
      <c r="E1275" s="5" t="str">
        <f>VLOOKUP(F1275,'Set up'!$A$2:$C$70,2,FALSE)</f>
        <v>C00000020</v>
      </c>
      <c r="F1275" s="1" t="s">
        <v>409</v>
      </c>
      <c r="G1275" s="89" t="s">
        <v>1073</v>
      </c>
      <c r="H1275" s="5">
        <v>2</v>
      </c>
      <c r="I1275" s="5" t="str">
        <f>VLOOKUP(F1275,'Set up'!$A$2:$C$70,3,FALSE)</f>
        <v>Cash</v>
      </c>
      <c r="J1275" s="5">
        <f>VLOOKUP(F1275,'Set up'!$A$2:$D$70,4,FALSE)</f>
        <v>0</v>
      </c>
      <c r="K1275" s="4">
        <f t="shared" si="258"/>
        <v>44931</v>
      </c>
      <c r="L1275" s="5">
        <f t="shared" si="259"/>
        <v>1</v>
      </c>
      <c r="M1275" s="5">
        <f t="shared" si="260"/>
        <v>2023</v>
      </c>
      <c r="N1275" s="6">
        <v>2000</v>
      </c>
      <c r="O1275" s="6">
        <f t="shared" si="269"/>
        <v>-2000</v>
      </c>
      <c r="P1275" s="6">
        <f t="shared" si="255"/>
        <v>0</v>
      </c>
      <c r="Q1275" s="7">
        <f t="shared" si="261"/>
        <v>2372220.9500000011</v>
      </c>
      <c r="R1275" s="44" t="str">
        <f>VLOOKUP(F1275,'Set up'!$A$2:$E$70,5,FALSE)</f>
        <v>Trsf</v>
      </c>
      <c r="S1275" s="1" t="s">
        <v>1930</v>
      </c>
    </row>
    <row r="1276" spans="1:19" x14ac:dyDescent="0.3">
      <c r="A1276" s="4">
        <v>44932</v>
      </c>
      <c r="B1276" s="5">
        <f t="shared" si="256"/>
        <v>1</v>
      </c>
      <c r="C1276" s="5">
        <f t="shared" si="257"/>
        <v>2023</v>
      </c>
      <c r="D1276" s="5" t="s">
        <v>1170</v>
      </c>
      <c r="E1276" s="5" t="str">
        <f>VLOOKUP(F1276,'Set up'!$A$2:$C$70,2,FALSE)</f>
        <v>C00000023</v>
      </c>
      <c r="F1276" s="1" t="s">
        <v>665</v>
      </c>
      <c r="G1276" s="89" t="s">
        <v>716</v>
      </c>
      <c r="H1276" s="5">
        <v>2</v>
      </c>
      <c r="I1276" s="5" t="str">
        <f>VLOOKUP(F1276,'Set up'!$A$2:$C$70,3,FALSE)</f>
        <v>Cash</v>
      </c>
      <c r="J1276" s="5">
        <f>VLOOKUP(F1276,'Set up'!$A$2:$D$70,4,FALSE)</f>
        <v>0</v>
      </c>
      <c r="K1276" s="4">
        <f t="shared" si="258"/>
        <v>44932</v>
      </c>
      <c r="L1276" s="5">
        <f t="shared" si="259"/>
        <v>1</v>
      </c>
      <c r="M1276" s="5">
        <f t="shared" si="260"/>
        <v>2023</v>
      </c>
      <c r="N1276" s="6">
        <v>3476</v>
      </c>
      <c r="O1276" s="6">
        <f t="shared" ref="O1276:O1280" si="270">-N1276</f>
        <v>-3476</v>
      </c>
      <c r="P1276" s="6">
        <f t="shared" si="255"/>
        <v>0</v>
      </c>
      <c r="Q1276" s="7">
        <f t="shared" si="261"/>
        <v>2375696.9500000011</v>
      </c>
      <c r="R1276" s="44" t="str">
        <f>VLOOKUP(F1276,'Set up'!$A$2:$E$70,5,FALSE)</f>
        <v>Trsf</v>
      </c>
      <c r="S1276" s="1" t="s">
        <v>1213</v>
      </c>
    </row>
    <row r="1277" spans="1:19" x14ac:dyDescent="0.3">
      <c r="A1277" s="4">
        <v>44932</v>
      </c>
      <c r="B1277" s="5">
        <f t="shared" si="256"/>
        <v>1</v>
      </c>
      <c r="C1277" s="5">
        <f t="shared" si="257"/>
        <v>2023</v>
      </c>
      <c r="D1277" s="5" t="s">
        <v>1170</v>
      </c>
      <c r="E1277" s="5" t="str">
        <f>VLOOKUP(F1277,'Set up'!$A$2:$C$70,2,FALSE)</f>
        <v>C00000023</v>
      </c>
      <c r="F1277" s="1" t="s">
        <v>665</v>
      </c>
      <c r="G1277" s="89" t="s">
        <v>654</v>
      </c>
      <c r="H1277" s="5">
        <v>8</v>
      </c>
      <c r="I1277" s="5" t="str">
        <f>VLOOKUP(F1277,'Set up'!$A$2:$C$70,3,FALSE)</f>
        <v>Cash</v>
      </c>
      <c r="J1277" s="5">
        <f>VLOOKUP(F1277,'Set up'!$A$2:$D$70,4,FALSE)</f>
        <v>0</v>
      </c>
      <c r="K1277" s="4">
        <f t="shared" si="258"/>
        <v>44932</v>
      </c>
      <c r="L1277" s="5">
        <f t="shared" si="259"/>
        <v>1</v>
      </c>
      <c r="M1277" s="5">
        <f t="shared" si="260"/>
        <v>2023</v>
      </c>
      <c r="N1277" s="6">
        <v>1872</v>
      </c>
      <c r="O1277" s="6">
        <f t="shared" si="270"/>
        <v>-1872</v>
      </c>
      <c r="P1277" s="6">
        <f t="shared" si="255"/>
        <v>0</v>
      </c>
      <c r="Q1277" s="7">
        <f t="shared" si="261"/>
        <v>2377568.9500000011</v>
      </c>
      <c r="R1277" s="44" t="str">
        <f>VLOOKUP(F1277,'Set up'!$A$2:$E$70,5,FALSE)</f>
        <v>Trsf</v>
      </c>
      <c r="S1277" s="1" t="s">
        <v>1213</v>
      </c>
    </row>
    <row r="1278" spans="1:19" x14ac:dyDescent="0.3">
      <c r="A1278" s="4">
        <v>44932</v>
      </c>
      <c r="B1278" s="5">
        <f t="shared" si="256"/>
        <v>1</v>
      </c>
      <c r="C1278" s="5">
        <f t="shared" si="257"/>
        <v>2023</v>
      </c>
      <c r="D1278" s="5" t="s">
        <v>1170</v>
      </c>
      <c r="E1278" s="5" t="str">
        <f>VLOOKUP(F1278,'Set up'!$A$2:$C$70,2,FALSE)</f>
        <v>C00000023</v>
      </c>
      <c r="F1278" s="1" t="s">
        <v>665</v>
      </c>
      <c r="G1278" s="89" t="s">
        <v>666</v>
      </c>
      <c r="H1278" s="5">
        <v>6</v>
      </c>
      <c r="I1278" s="5" t="str">
        <f>VLOOKUP(F1278,'Set up'!$A$2:$C$70,3,FALSE)</f>
        <v>Cash</v>
      </c>
      <c r="J1278" s="5">
        <f>VLOOKUP(F1278,'Set up'!$A$2:$D$70,4,FALSE)</f>
        <v>0</v>
      </c>
      <c r="K1278" s="4">
        <f t="shared" si="258"/>
        <v>44932</v>
      </c>
      <c r="L1278" s="5">
        <f t="shared" si="259"/>
        <v>1</v>
      </c>
      <c r="M1278" s="5">
        <f t="shared" si="260"/>
        <v>2023</v>
      </c>
      <c r="N1278" s="6">
        <v>570</v>
      </c>
      <c r="O1278" s="6">
        <f t="shared" si="270"/>
        <v>-570</v>
      </c>
      <c r="P1278" s="6">
        <f t="shared" si="255"/>
        <v>0</v>
      </c>
      <c r="Q1278" s="7">
        <f t="shared" si="261"/>
        <v>2378138.9500000011</v>
      </c>
      <c r="R1278" s="44" t="str">
        <f>VLOOKUP(F1278,'Set up'!$A$2:$E$70,5,FALSE)</f>
        <v>Trsf</v>
      </c>
      <c r="S1278" s="1" t="s">
        <v>1213</v>
      </c>
    </row>
    <row r="1279" spans="1:19" x14ac:dyDescent="0.3">
      <c r="A1279" s="4">
        <v>44932</v>
      </c>
      <c r="B1279" s="5">
        <f t="shared" si="256"/>
        <v>1</v>
      </c>
      <c r="C1279" s="5">
        <f t="shared" si="257"/>
        <v>2023</v>
      </c>
      <c r="D1279" s="5" t="s">
        <v>1170</v>
      </c>
      <c r="E1279" s="5" t="str">
        <f>VLOOKUP(F1279,'Set up'!$A$2:$C$70,2,FALSE)</f>
        <v>C00000023</v>
      </c>
      <c r="F1279" s="1" t="s">
        <v>665</v>
      </c>
      <c r="G1279" s="89" t="s">
        <v>1110</v>
      </c>
      <c r="H1279" s="5">
        <v>1</v>
      </c>
      <c r="I1279" s="5" t="str">
        <f>VLOOKUP(F1279,'Set up'!$A$2:$C$70,3,FALSE)</f>
        <v>Cash</v>
      </c>
      <c r="J1279" s="5">
        <f>VLOOKUP(F1279,'Set up'!$A$2:$D$70,4,FALSE)</f>
        <v>0</v>
      </c>
      <c r="K1279" s="4">
        <f t="shared" si="258"/>
        <v>44932</v>
      </c>
      <c r="L1279" s="5">
        <f t="shared" si="259"/>
        <v>1</v>
      </c>
      <c r="M1279" s="5">
        <f t="shared" si="260"/>
        <v>2023</v>
      </c>
      <c r="N1279" s="6">
        <v>62.5</v>
      </c>
      <c r="O1279" s="6">
        <f t="shared" si="270"/>
        <v>-62.5</v>
      </c>
      <c r="P1279" s="6">
        <f t="shared" ref="P1279:P1290" si="271">SUM(N1279+O1279)</f>
        <v>0</v>
      </c>
      <c r="Q1279" s="7">
        <f t="shared" si="261"/>
        <v>2378201.4500000011</v>
      </c>
      <c r="R1279" s="44" t="str">
        <f>VLOOKUP(F1279,'Set up'!$A$2:$E$70,5,FALSE)</f>
        <v>Trsf</v>
      </c>
      <c r="S1279" s="1" t="s">
        <v>1213</v>
      </c>
    </row>
    <row r="1280" spans="1:19" x14ac:dyDescent="0.3">
      <c r="A1280" s="4">
        <v>44932</v>
      </c>
      <c r="B1280" s="5">
        <f t="shared" si="256"/>
        <v>1</v>
      </c>
      <c r="C1280" s="5">
        <f t="shared" si="257"/>
        <v>2023</v>
      </c>
      <c r="D1280" s="5" t="s">
        <v>1170</v>
      </c>
      <c r="E1280" s="5" t="str">
        <f>VLOOKUP(F1280,'Set up'!$A$2:$C$70,2,FALSE)</f>
        <v>C00000023</v>
      </c>
      <c r="F1280" s="1" t="s">
        <v>665</v>
      </c>
      <c r="G1280" s="89" t="s">
        <v>1169</v>
      </c>
      <c r="H1280" s="5">
        <v>2</v>
      </c>
      <c r="I1280" s="5" t="str">
        <f>VLOOKUP(F1280,'Set up'!$A$2:$C$70,3,FALSE)</f>
        <v>Cash</v>
      </c>
      <c r="J1280" s="5">
        <f>VLOOKUP(F1280,'Set up'!$A$2:$D$70,4,FALSE)</f>
        <v>0</v>
      </c>
      <c r="K1280" s="4">
        <f t="shared" si="258"/>
        <v>44932</v>
      </c>
      <c r="L1280" s="5">
        <f t="shared" si="259"/>
        <v>1</v>
      </c>
      <c r="M1280" s="5">
        <f t="shared" si="260"/>
        <v>2023</v>
      </c>
      <c r="N1280" s="6">
        <v>400</v>
      </c>
      <c r="O1280" s="6">
        <f t="shared" si="270"/>
        <v>-400</v>
      </c>
      <c r="P1280" s="6">
        <f t="shared" si="271"/>
        <v>0</v>
      </c>
      <c r="Q1280" s="7">
        <f t="shared" si="261"/>
        <v>2378601.4500000011</v>
      </c>
      <c r="R1280" s="44" t="str">
        <f>VLOOKUP(F1280,'Set up'!$A$2:$E$70,5,FALSE)</f>
        <v>Trsf</v>
      </c>
      <c r="S1280" s="1" t="s">
        <v>1213</v>
      </c>
    </row>
    <row r="1281" spans="1:19" x14ac:dyDescent="0.3">
      <c r="A1281" s="4">
        <v>44933</v>
      </c>
      <c r="B1281" s="5">
        <f t="shared" si="256"/>
        <v>1</v>
      </c>
      <c r="C1281" s="5">
        <f t="shared" si="257"/>
        <v>2023</v>
      </c>
      <c r="D1281" s="5" t="s">
        <v>1171</v>
      </c>
      <c r="E1281" s="5" t="str">
        <f>VLOOKUP(F1281,'Set up'!$A$2:$C$70,2,FALSE)</f>
        <v>C00000020</v>
      </c>
      <c r="F1281" s="1" t="s">
        <v>409</v>
      </c>
      <c r="G1281" s="89" t="s">
        <v>716</v>
      </c>
      <c r="H1281" s="5">
        <v>3</v>
      </c>
      <c r="I1281" s="5" t="str">
        <f>VLOOKUP(F1281,'Set up'!$A$2:$C$70,3,FALSE)</f>
        <v>Cash</v>
      </c>
      <c r="J1281" s="5">
        <f>VLOOKUP(F1281,'Set up'!$A$2:$D$70,4,FALSE)</f>
        <v>0</v>
      </c>
      <c r="K1281" s="4">
        <f t="shared" si="258"/>
        <v>44933</v>
      </c>
      <c r="L1281" s="5">
        <f t="shared" si="259"/>
        <v>1</v>
      </c>
      <c r="M1281" s="5">
        <f t="shared" si="260"/>
        <v>2023</v>
      </c>
      <c r="N1281" s="6">
        <v>5214</v>
      </c>
      <c r="O1281" s="6">
        <f>-896.7-4317.3</f>
        <v>-5214</v>
      </c>
      <c r="P1281" s="6">
        <f t="shared" si="271"/>
        <v>0</v>
      </c>
      <c r="Q1281" s="7">
        <f t="shared" si="261"/>
        <v>2383815.4500000011</v>
      </c>
      <c r="R1281" s="44" t="str">
        <f>VLOOKUP(F1281,'Set up'!$A$2:$E$70,5,FALSE)</f>
        <v>Trsf</v>
      </c>
      <c r="S1281" s="1" t="s">
        <v>1931</v>
      </c>
    </row>
    <row r="1282" spans="1:19" x14ac:dyDescent="0.3">
      <c r="A1282" s="4">
        <v>44933</v>
      </c>
      <c r="B1282" s="5">
        <f t="shared" si="256"/>
        <v>1</v>
      </c>
      <c r="C1282" s="5">
        <f t="shared" si="257"/>
        <v>2023</v>
      </c>
      <c r="D1282" s="5" t="s">
        <v>1171</v>
      </c>
      <c r="E1282" s="5" t="str">
        <f>VLOOKUP(F1282,'Set up'!$A$2:$C$70,2,FALSE)</f>
        <v>C00000020</v>
      </c>
      <c r="F1282" s="1" t="s">
        <v>409</v>
      </c>
      <c r="G1282" s="89" t="s">
        <v>1140</v>
      </c>
      <c r="H1282" s="5">
        <v>10</v>
      </c>
      <c r="I1282" s="5" t="str">
        <f>VLOOKUP(F1282,'Set up'!$A$2:$C$70,3,FALSE)</f>
        <v>Cash</v>
      </c>
      <c r="J1282" s="5">
        <f>VLOOKUP(F1282,'Set up'!$A$2:$D$70,4,FALSE)</f>
        <v>0</v>
      </c>
      <c r="K1282" s="4">
        <f t="shared" si="258"/>
        <v>44933</v>
      </c>
      <c r="L1282" s="5">
        <f t="shared" si="259"/>
        <v>1</v>
      </c>
      <c r="M1282" s="5">
        <f t="shared" si="260"/>
        <v>2023</v>
      </c>
      <c r="N1282" s="6">
        <v>2340</v>
      </c>
      <c r="O1282" s="6">
        <f>-1682.7-657.3</f>
        <v>-2340</v>
      </c>
      <c r="P1282" s="6">
        <f t="shared" si="271"/>
        <v>0</v>
      </c>
      <c r="Q1282" s="7">
        <f t="shared" si="261"/>
        <v>2386155.4500000011</v>
      </c>
      <c r="R1282" s="44" t="str">
        <f>VLOOKUP(F1282,'Set up'!$A$2:$E$70,5,FALSE)</f>
        <v>Trsf</v>
      </c>
      <c r="S1282" s="1" t="s">
        <v>1932</v>
      </c>
    </row>
    <row r="1283" spans="1:19" x14ac:dyDescent="0.3">
      <c r="A1283" s="4">
        <v>44933</v>
      </c>
      <c r="B1283" s="5">
        <f t="shared" ref="B1283:B1346" si="272">MONTH(A1283)</f>
        <v>1</v>
      </c>
      <c r="C1283" s="5">
        <f t="shared" ref="C1283:C1346" si="273">YEAR(A1283)</f>
        <v>2023</v>
      </c>
      <c r="D1283" s="5" t="s">
        <v>1171</v>
      </c>
      <c r="E1283" s="5" t="str">
        <f>VLOOKUP(F1283,'Set up'!$A$2:$C$70,2,FALSE)</f>
        <v>C00000020</v>
      </c>
      <c r="F1283" s="1" t="s">
        <v>409</v>
      </c>
      <c r="G1283" s="89" t="s">
        <v>1168</v>
      </c>
      <c r="H1283" s="5">
        <v>4</v>
      </c>
      <c r="I1283" s="5" t="str">
        <f>VLOOKUP(F1283,'Set up'!$A$2:$C$70,3,FALSE)</f>
        <v>Cash</v>
      </c>
      <c r="J1283" s="5">
        <f>VLOOKUP(F1283,'Set up'!$A$2:$D$70,4,FALSE)</f>
        <v>0</v>
      </c>
      <c r="K1283" s="4">
        <f t="shared" ref="K1283:K1346" si="274">A1283+J1283</f>
        <v>44933</v>
      </c>
      <c r="L1283" s="5">
        <f t="shared" ref="L1283:L1346" si="275">MONTH(K1283)</f>
        <v>1</v>
      </c>
      <c r="M1283" s="5">
        <f t="shared" ref="M1283:M1346" si="276">YEAR(K1283)</f>
        <v>2023</v>
      </c>
      <c r="N1283" s="6">
        <v>1092</v>
      </c>
      <c r="O1283" s="6">
        <f t="shared" ref="O1283:O1285" si="277">-N1283</f>
        <v>-1092</v>
      </c>
      <c r="P1283" s="6">
        <f t="shared" si="271"/>
        <v>0</v>
      </c>
      <c r="Q1283" s="7">
        <f t="shared" ref="Q1283:Q1346" si="278">SUM(Q1282+N1283)</f>
        <v>2387247.4500000011</v>
      </c>
      <c r="R1283" s="44" t="str">
        <f>VLOOKUP(F1283,'Set up'!$A$2:$E$70,5,FALSE)</f>
        <v>Trsf</v>
      </c>
      <c r="S1283" s="1" t="s">
        <v>1933</v>
      </c>
    </row>
    <row r="1284" spans="1:19" x14ac:dyDescent="0.3">
      <c r="A1284" s="4">
        <v>44933</v>
      </c>
      <c r="B1284" s="5">
        <f t="shared" si="272"/>
        <v>1</v>
      </c>
      <c r="C1284" s="5">
        <f t="shared" si="273"/>
        <v>2023</v>
      </c>
      <c r="D1284" s="5" t="s">
        <v>1171</v>
      </c>
      <c r="E1284" s="5" t="str">
        <f>VLOOKUP(F1284,'Set up'!$A$2:$C$70,2,FALSE)</f>
        <v>C00000020</v>
      </c>
      <c r="F1284" s="1" t="s">
        <v>409</v>
      </c>
      <c r="G1284" s="89" t="s">
        <v>666</v>
      </c>
      <c r="H1284" s="5">
        <v>4</v>
      </c>
      <c r="I1284" s="5" t="str">
        <f>VLOOKUP(F1284,'Set up'!$A$2:$C$70,3,FALSE)</f>
        <v>Cash</v>
      </c>
      <c r="J1284" s="5">
        <f>VLOOKUP(F1284,'Set up'!$A$2:$D$70,4,FALSE)</f>
        <v>0</v>
      </c>
      <c r="K1284" s="4">
        <f t="shared" si="274"/>
        <v>44933</v>
      </c>
      <c r="L1284" s="5">
        <f t="shared" si="275"/>
        <v>1</v>
      </c>
      <c r="M1284" s="5">
        <f t="shared" si="276"/>
        <v>2023</v>
      </c>
      <c r="N1284" s="6">
        <v>380</v>
      </c>
      <c r="O1284" s="6">
        <f t="shared" si="277"/>
        <v>-380</v>
      </c>
      <c r="P1284" s="6">
        <f t="shared" si="271"/>
        <v>0</v>
      </c>
      <c r="Q1284" s="7">
        <f t="shared" si="278"/>
        <v>2387627.4500000011</v>
      </c>
      <c r="R1284" s="44" t="str">
        <f>VLOOKUP(F1284,'Set up'!$A$2:$E$70,5,FALSE)</f>
        <v>Trsf</v>
      </c>
      <c r="S1284" s="1" t="s">
        <v>1934</v>
      </c>
    </row>
    <row r="1285" spans="1:19" x14ac:dyDescent="0.3">
      <c r="A1285" s="4">
        <v>44933</v>
      </c>
      <c r="B1285" s="5">
        <f t="shared" si="272"/>
        <v>1</v>
      </c>
      <c r="C1285" s="5">
        <f t="shared" si="273"/>
        <v>2023</v>
      </c>
      <c r="D1285" s="5" t="s">
        <v>1171</v>
      </c>
      <c r="E1285" s="5" t="str">
        <f>VLOOKUP(F1285,'Set up'!$A$2:$C$70,2,FALSE)</f>
        <v>C00000020</v>
      </c>
      <c r="F1285" s="1" t="s">
        <v>409</v>
      </c>
      <c r="G1285" s="89" t="s">
        <v>1110</v>
      </c>
      <c r="H1285" s="5">
        <v>3</v>
      </c>
      <c r="I1285" s="5" t="str">
        <f>VLOOKUP(F1285,'Set up'!$A$2:$C$70,3,FALSE)</f>
        <v>Cash</v>
      </c>
      <c r="J1285" s="5">
        <f>VLOOKUP(F1285,'Set up'!$A$2:$D$70,4,FALSE)</f>
        <v>0</v>
      </c>
      <c r="K1285" s="4">
        <f t="shared" si="274"/>
        <v>44933</v>
      </c>
      <c r="L1285" s="5">
        <f t="shared" si="275"/>
        <v>1</v>
      </c>
      <c r="M1285" s="5">
        <f t="shared" si="276"/>
        <v>2023</v>
      </c>
      <c r="N1285" s="6">
        <v>187.5</v>
      </c>
      <c r="O1285" s="6">
        <f t="shared" si="277"/>
        <v>-187.5</v>
      </c>
      <c r="P1285" s="6">
        <f t="shared" si="271"/>
        <v>0</v>
      </c>
      <c r="Q1285" s="7">
        <f t="shared" si="278"/>
        <v>2387814.9500000011</v>
      </c>
      <c r="R1285" s="44" t="str">
        <f>VLOOKUP(F1285,'Set up'!$A$2:$E$70,5,FALSE)</f>
        <v>Trsf</v>
      </c>
      <c r="S1285" s="1" t="s">
        <v>1935</v>
      </c>
    </row>
    <row r="1286" spans="1:19" x14ac:dyDescent="0.3">
      <c r="A1286" s="4">
        <v>44935</v>
      </c>
      <c r="B1286" s="5">
        <f t="shared" si="272"/>
        <v>1</v>
      </c>
      <c r="C1286" s="5">
        <f t="shared" si="273"/>
        <v>2023</v>
      </c>
      <c r="D1286" s="5" t="s">
        <v>1172</v>
      </c>
      <c r="E1286" s="5" t="str">
        <f>VLOOKUP(F1286,'Set up'!$A$2:$C$70,2,FALSE)</f>
        <v>C00000021</v>
      </c>
      <c r="F1286" s="1" t="s">
        <v>491</v>
      </c>
      <c r="G1286" s="89" t="s">
        <v>716</v>
      </c>
      <c r="H1286" s="5">
        <v>1</v>
      </c>
      <c r="I1286" s="5" t="str">
        <f>VLOOKUP(F1286,'Set up'!$A$2:$C$70,3,FALSE)</f>
        <v>Cash</v>
      </c>
      <c r="J1286" s="5">
        <f>VLOOKUP(F1286,'Set up'!$A$2:$D$70,4,FALSE)</f>
        <v>0</v>
      </c>
      <c r="K1286" s="4">
        <f t="shared" si="274"/>
        <v>44935</v>
      </c>
      <c r="L1286" s="5">
        <f t="shared" si="275"/>
        <v>1</v>
      </c>
      <c r="M1286" s="5">
        <f t="shared" si="276"/>
        <v>2023</v>
      </c>
      <c r="N1286" s="96">
        <v>1870</v>
      </c>
      <c r="O1286" s="6">
        <f t="shared" ref="O1286:O1290" si="279">-N1286</f>
        <v>-1870</v>
      </c>
      <c r="P1286" s="6">
        <f t="shared" si="271"/>
        <v>0</v>
      </c>
      <c r="Q1286" s="7">
        <f t="shared" si="278"/>
        <v>2389684.9500000011</v>
      </c>
      <c r="R1286" s="44" t="str">
        <f>VLOOKUP(F1286,'Set up'!$A$2:$E$70,5,FALSE)</f>
        <v>PD Chq</v>
      </c>
      <c r="S1286" s="1" t="s">
        <v>1526</v>
      </c>
    </row>
    <row r="1287" spans="1:19" x14ac:dyDescent="0.3">
      <c r="A1287" s="4">
        <v>44935</v>
      </c>
      <c r="B1287" s="5">
        <f t="shared" si="272"/>
        <v>1</v>
      </c>
      <c r="C1287" s="5">
        <f t="shared" si="273"/>
        <v>2023</v>
      </c>
      <c r="D1287" s="5" t="s">
        <v>1172</v>
      </c>
      <c r="E1287" s="5" t="str">
        <f>VLOOKUP(F1287,'Set up'!$A$2:$C$70,2,FALSE)</f>
        <v>C00000021</v>
      </c>
      <c r="F1287" s="1" t="s">
        <v>491</v>
      </c>
      <c r="G1287" s="89" t="s">
        <v>654</v>
      </c>
      <c r="H1287" s="5">
        <v>2</v>
      </c>
      <c r="I1287" s="5" t="str">
        <f>VLOOKUP(F1287,'Set up'!$A$2:$C$70,3,FALSE)</f>
        <v>Cash</v>
      </c>
      <c r="J1287" s="5">
        <f>VLOOKUP(F1287,'Set up'!$A$2:$D$70,4,FALSE)</f>
        <v>0</v>
      </c>
      <c r="K1287" s="4">
        <f t="shared" si="274"/>
        <v>44935</v>
      </c>
      <c r="L1287" s="5">
        <f t="shared" si="275"/>
        <v>1</v>
      </c>
      <c r="M1287" s="5">
        <f t="shared" si="276"/>
        <v>2023</v>
      </c>
      <c r="N1287" s="96">
        <v>510</v>
      </c>
      <c r="O1287" s="6">
        <f t="shared" si="279"/>
        <v>-510</v>
      </c>
      <c r="P1287" s="6">
        <f t="shared" si="271"/>
        <v>0</v>
      </c>
      <c r="Q1287" s="7">
        <f t="shared" si="278"/>
        <v>2390194.9500000011</v>
      </c>
      <c r="R1287" s="44" t="str">
        <f>VLOOKUP(F1287,'Set up'!$A$2:$E$70,5,FALSE)</f>
        <v>PD Chq</v>
      </c>
      <c r="S1287" s="1" t="s">
        <v>1526</v>
      </c>
    </row>
    <row r="1288" spans="1:19" x14ac:dyDescent="0.3">
      <c r="A1288" s="4">
        <v>44935</v>
      </c>
      <c r="B1288" s="5">
        <f t="shared" si="272"/>
        <v>1</v>
      </c>
      <c r="C1288" s="5">
        <f t="shared" si="273"/>
        <v>2023</v>
      </c>
      <c r="D1288" s="5" t="s">
        <v>1172</v>
      </c>
      <c r="E1288" s="5" t="str">
        <f>VLOOKUP(F1288,'Set up'!$A$2:$C$70,2,FALSE)</f>
        <v>C00000021</v>
      </c>
      <c r="F1288" s="1" t="s">
        <v>491</v>
      </c>
      <c r="G1288" s="89" t="s">
        <v>46</v>
      </c>
      <c r="H1288" s="5">
        <v>1</v>
      </c>
      <c r="I1288" s="5" t="str">
        <f>VLOOKUP(F1288,'Set up'!$A$2:$C$70,3,FALSE)</f>
        <v>Cash</v>
      </c>
      <c r="J1288" s="5">
        <f>VLOOKUP(F1288,'Set up'!$A$2:$D$70,4,FALSE)</f>
        <v>0</v>
      </c>
      <c r="K1288" s="4">
        <f t="shared" si="274"/>
        <v>44935</v>
      </c>
      <c r="L1288" s="5">
        <f t="shared" si="275"/>
        <v>1</v>
      </c>
      <c r="M1288" s="5">
        <f t="shared" si="276"/>
        <v>2023</v>
      </c>
      <c r="N1288" s="96">
        <v>105</v>
      </c>
      <c r="O1288" s="6">
        <f t="shared" si="279"/>
        <v>-105</v>
      </c>
      <c r="P1288" s="6">
        <f t="shared" si="271"/>
        <v>0</v>
      </c>
      <c r="Q1288" s="7">
        <f t="shared" si="278"/>
        <v>2390299.9500000011</v>
      </c>
      <c r="R1288" s="44" t="str">
        <f>VLOOKUP(F1288,'Set up'!$A$2:$E$70,5,FALSE)</f>
        <v>PD Chq</v>
      </c>
      <c r="S1288" s="1" t="s">
        <v>1526</v>
      </c>
    </row>
    <row r="1289" spans="1:19" x14ac:dyDescent="0.3">
      <c r="A1289" s="4">
        <v>44935</v>
      </c>
      <c r="B1289" s="5">
        <f t="shared" si="272"/>
        <v>1</v>
      </c>
      <c r="C1289" s="5">
        <f t="shared" si="273"/>
        <v>2023</v>
      </c>
      <c r="D1289" s="5" t="s">
        <v>1172</v>
      </c>
      <c r="E1289" s="5" t="str">
        <f>VLOOKUP(F1289,'Set up'!$A$2:$C$70,2,FALSE)</f>
        <v>C00000021</v>
      </c>
      <c r="F1289" s="1" t="s">
        <v>491</v>
      </c>
      <c r="G1289" s="89" t="s">
        <v>782</v>
      </c>
      <c r="H1289" s="5">
        <v>12</v>
      </c>
      <c r="I1289" s="5" t="str">
        <f>VLOOKUP(F1289,'Set up'!$A$2:$C$70,3,FALSE)</f>
        <v>Cash</v>
      </c>
      <c r="J1289" s="5">
        <f>VLOOKUP(F1289,'Set up'!$A$2:$D$70,4,FALSE)</f>
        <v>0</v>
      </c>
      <c r="K1289" s="4">
        <f t="shared" si="274"/>
        <v>44935</v>
      </c>
      <c r="L1289" s="5">
        <f t="shared" si="275"/>
        <v>1</v>
      </c>
      <c r="M1289" s="5">
        <f t="shared" si="276"/>
        <v>2023</v>
      </c>
      <c r="N1289" s="96">
        <v>576</v>
      </c>
      <c r="O1289" s="6">
        <f t="shared" si="279"/>
        <v>-576</v>
      </c>
      <c r="P1289" s="6">
        <f t="shared" si="271"/>
        <v>0</v>
      </c>
      <c r="Q1289" s="7">
        <f t="shared" si="278"/>
        <v>2390875.9500000011</v>
      </c>
      <c r="R1289" s="44" t="str">
        <f>VLOOKUP(F1289,'Set up'!$A$2:$E$70,5,FALSE)</f>
        <v>PD Chq</v>
      </c>
      <c r="S1289" s="1" t="s">
        <v>1526</v>
      </c>
    </row>
    <row r="1290" spans="1:19" x14ac:dyDescent="0.3">
      <c r="A1290" s="4">
        <v>44935</v>
      </c>
      <c r="B1290" s="5">
        <f t="shared" si="272"/>
        <v>1</v>
      </c>
      <c r="C1290" s="5">
        <f t="shared" si="273"/>
        <v>2023</v>
      </c>
      <c r="D1290" s="5" t="s">
        <v>1172</v>
      </c>
      <c r="E1290" s="5" t="str">
        <f>VLOOKUP(F1290,'Set up'!$A$2:$C$70,2,FALSE)</f>
        <v>C00000021</v>
      </c>
      <c r="F1290" s="1" t="s">
        <v>491</v>
      </c>
      <c r="G1290" s="89" t="s">
        <v>1110</v>
      </c>
      <c r="H1290" s="5">
        <v>5</v>
      </c>
      <c r="I1290" s="5" t="str">
        <f>VLOOKUP(F1290,'Set up'!$A$2:$C$70,3,FALSE)</f>
        <v>Cash</v>
      </c>
      <c r="J1290" s="5">
        <f>VLOOKUP(F1290,'Set up'!$A$2:$D$70,4,FALSE)</f>
        <v>0</v>
      </c>
      <c r="K1290" s="4">
        <f t="shared" si="274"/>
        <v>44935</v>
      </c>
      <c r="L1290" s="5">
        <f t="shared" si="275"/>
        <v>1</v>
      </c>
      <c r="M1290" s="5">
        <f t="shared" si="276"/>
        <v>2023</v>
      </c>
      <c r="N1290" s="96">
        <v>312.5</v>
      </c>
      <c r="O1290" s="6">
        <f t="shared" si="279"/>
        <v>-312.5</v>
      </c>
      <c r="P1290" s="6">
        <f t="shared" si="271"/>
        <v>0</v>
      </c>
      <c r="Q1290" s="7">
        <f t="shared" si="278"/>
        <v>2391188.4500000011</v>
      </c>
      <c r="R1290" s="44" t="str">
        <f>VLOOKUP(F1290,'Set up'!$A$2:$E$70,5,FALSE)</f>
        <v>PD Chq</v>
      </c>
      <c r="S1290" s="1" t="s">
        <v>1526</v>
      </c>
    </row>
    <row r="1291" spans="1:19" x14ac:dyDescent="0.3">
      <c r="A1291" s="4">
        <v>44935</v>
      </c>
      <c r="B1291" s="5">
        <f t="shared" si="272"/>
        <v>1</v>
      </c>
      <c r="C1291" s="5">
        <f t="shared" si="273"/>
        <v>2023</v>
      </c>
      <c r="D1291" s="5" t="s">
        <v>1173</v>
      </c>
      <c r="E1291" s="5" t="str">
        <f>VLOOKUP(F1291,'Set up'!$A$2:$C$70,2,FALSE)</f>
        <v>C00000023</v>
      </c>
      <c r="F1291" s="1" t="s">
        <v>665</v>
      </c>
      <c r="G1291" s="89" t="s">
        <v>716</v>
      </c>
      <c r="H1291" s="5">
        <v>1</v>
      </c>
      <c r="I1291" s="5" t="str">
        <f>VLOOKUP(F1291,'Set up'!$A$2:$C$70,3,FALSE)</f>
        <v>Cash</v>
      </c>
      <c r="J1291" s="5">
        <f>VLOOKUP(F1291,'Set up'!$A$2:$D$70,4,FALSE)</f>
        <v>0</v>
      </c>
      <c r="K1291" s="4">
        <f t="shared" si="274"/>
        <v>44935</v>
      </c>
      <c r="L1291" s="5">
        <f t="shared" si="275"/>
        <v>1</v>
      </c>
      <c r="M1291" s="5">
        <f t="shared" si="276"/>
        <v>2023</v>
      </c>
      <c r="N1291" s="6">
        <v>1738</v>
      </c>
      <c r="O1291" s="6">
        <f>-N1291</f>
        <v>-1738</v>
      </c>
      <c r="P1291" s="6">
        <f t="shared" ref="P1291:P1312" si="280">SUM(N1291+O1291)</f>
        <v>0</v>
      </c>
      <c r="Q1291" s="7">
        <f t="shared" si="278"/>
        <v>2392926.4500000011</v>
      </c>
      <c r="R1291" s="44" t="str">
        <f>VLOOKUP(F1291,'Set up'!$A$2:$E$70,5,FALSE)</f>
        <v>Trsf</v>
      </c>
      <c r="S1291" s="1" t="s">
        <v>1210</v>
      </c>
    </row>
    <row r="1292" spans="1:19" x14ac:dyDescent="0.3">
      <c r="A1292" s="4">
        <v>44935</v>
      </c>
      <c r="B1292" s="5">
        <f t="shared" si="272"/>
        <v>1</v>
      </c>
      <c r="C1292" s="5">
        <f t="shared" si="273"/>
        <v>2023</v>
      </c>
      <c r="D1292" s="5" t="s">
        <v>1173</v>
      </c>
      <c r="E1292" s="5" t="str">
        <f>VLOOKUP(F1292,'Set up'!$A$2:$C$70,2,FALSE)</f>
        <v>C00000023</v>
      </c>
      <c r="F1292" s="1" t="s">
        <v>665</v>
      </c>
      <c r="G1292" s="89" t="s">
        <v>913</v>
      </c>
      <c r="H1292" s="5">
        <v>4</v>
      </c>
      <c r="I1292" s="5" t="str">
        <f>VLOOKUP(F1292,'Set up'!$A$2:$C$70,3,FALSE)</f>
        <v>Cash</v>
      </c>
      <c r="J1292" s="5">
        <f>VLOOKUP(F1292,'Set up'!$A$2:$D$70,4,FALSE)</f>
        <v>0</v>
      </c>
      <c r="K1292" s="4">
        <f t="shared" si="274"/>
        <v>44935</v>
      </c>
      <c r="L1292" s="5">
        <f t="shared" si="275"/>
        <v>1</v>
      </c>
      <c r="M1292" s="5">
        <f t="shared" si="276"/>
        <v>2023</v>
      </c>
      <c r="N1292" s="6">
        <v>936</v>
      </c>
      <c r="O1292" s="6">
        <f>-N1292</f>
        <v>-936</v>
      </c>
      <c r="P1292" s="6">
        <f t="shared" si="280"/>
        <v>0</v>
      </c>
      <c r="Q1292" s="7">
        <f t="shared" si="278"/>
        <v>2393862.4500000011</v>
      </c>
      <c r="R1292" s="44" t="str">
        <f>VLOOKUP(F1292,'Set up'!$A$2:$E$70,5,FALSE)</f>
        <v>Trsf</v>
      </c>
      <c r="S1292" s="1" t="s">
        <v>1210</v>
      </c>
    </row>
    <row r="1293" spans="1:19" x14ac:dyDescent="0.3">
      <c r="A1293" s="4">
        <v>44935</v>
      </c>
      <c r="B1293" s="5">
        <f t="shared" si="272"/>
        <v>1</v>
      </c>
      <c r="C1293" s="5">
        <f t="shared" si="273"/>
        <v>2023</v>
      </c>
      <c r="D1293" s="5" t="s">
        <v>1173</v>
      </c>
      <c r="E1293" s="5" t="str">
        <f>VLOOKUP(F1293,'Set up'!$A$2:$C$70,2,FALSE)</f>
        <v>C00000023</v>
      </c>
      <c r="F1293" s="1" t="s">
        <v>665</v>
      </c>
      <c r="G1293" s="89" t="s">
        <v>1110</v>
      </c>
      <c r="H1293" s="5">
        <v>1</v>
      </c>
      <c r="I1293" s="5" t="str">
        <f>VLOOKUP(F1293,'Set up'!$A$2:$C$70,3,FALSE)</f>
        <v>Cash</v>
      </c>
      <c r="J1293" s="5">
        <f>VLOOKUP(F1293,'Set up'!$A$2:$D$70,4,FALSE)</f>
        <v>0</v>
      </c>
      <c r="K1293" s="4">
        <f t="shared" si="274"/>
        <v>44935</v>
      </c>
      <c r="L1293" s="5">
        <f t="shared" si="275"/>
        <v>1</v>
      </c>
      <c r="M1293" s="5">
        <f t="shared" si="276"/>
        <v>2023</v>
      </c>
      <c r="N1293" s="6">
        <v>62.5</v>
      </c>
      <c r="O1293" s="6">
        <f>-N1293</f>
        <v>-62.5</v>
      </c>
      <c r="P1293" s="6">
        <f t="shared" si="280"/>
        <v>0</v>
      </c>
      <c r="Q1293" s="7">
        <f t="shared" si="278"/>
        <v>2393924.9500000011</v>
      </c>
      <c r="R1293" s="44" t="str">
        <f>VLOOKUP(F1293,'Set up'!$A$2:$E$70,5,FALSE)</f>
        <v>Trsf</v>
      </c>
      <c r="S1293" s="1" t="s">
        <v>1210</v>
      </c>
    </row>
    <row r="1294" spans="1:19" x14ac:dyDescent="0.3">
      <c r="A1294" s="4">
        <v>44935</v>
      </c>
      <c r="B1294" s="5">
        <f t="shared" si="272"/>
        <v>1</v>
      </c>
      <c r="C1294" s="5">
        <f t="shared" si="273"/>
        <v>2023</v>
      </c>
      <c r="D1294" s="5" t="s">
        <v>1173</v>
      </c>
      <c r="E1294" s="5" t="str">
        <f>VLOOKUP(F1294,'Set up'!$A$2:$C$70,2,FALSE)</f>
        <v>C00000023</v>
      </c>
      <c r="F1294" s="1" t="s">
        <v>665</v>
      </c>
      <c r="G1294" s="89" t="s">
        <v>1169</v>
      </c>
      <c r="H1294" s="5">
        <v>1</v>
      </c>
      <c r="I1294" s="5" t="str">
        <f>VLOOKUP(F1294,'Set up'!$A$2:$C$70,3,FALSE)</f>
        <v>Cash</v>
      </c>
      <c r="J1294" s="5">
        <f>VLOOKUP(F1294,'Set up'!$A$2:$D$70,4,FALSE)</f>
        <v>0</v>
      </c>
      <c r="K1294" s="4">
        <f t="shared" si="274"/>
        <v>44935</v>
      </c>
      <c r="L1294" s="5">
        <f t="shared" si="275"/>
        <v>1</v>
      </c>
      <c r="M1294" s="5">
        <f t="shared" si="276"/>
        <v>2023</v>
      </c>
      <c r="N1294" s="6">
        <v>200</v>
      </c>
      <c r="O1294" s="6">
        <f>-N1294</f>
        <v>-200</v>
      </c>
      <c r="P1294" s="6">
        <f t="shared" si="280"/>
        <v>0</v>
      </c>
      <c r="Q1294" s="7">
        <f t="shared" si="278"/>
        <v>2394124.9500000011</v>
      </c>
      <c r="R1294" s="44" t="str">
        <f>VLOOKUP(F1294,'Set up'!$A$2:$E$70,5,FALSE)</f>
        <v>Trsf</v>
      </c>
      <c r="S1294" s="1" t="s">
        <v>1210</v>
      </c>
    </row>
    <row r="1295" spans="1:19" x14ac:dyDescent="0.3">
      <c r="A1295" s="4">
        <v>44935</v>
      </c>
      <c r="B1295" s="5">
        <f t="shared" si="272"/>
        <v>1</v>
      </c>
      <c r="C1295" s="5">
        <f t="shared" si="273"/>
        <v>2023</v>
      </c>
      <c r="D1295" s="5" t="s">
        <v>1174</v>
      </c>
      <c r="E1295" s="5" t="str">
        <f>VLOOKUP(F1295,'Set up'!$A$2:$C$70,2,FALSE)</f>
        <v>C00000020</v>
      </c>
      <c r="F1295" s="1" t="s">
        <v>409</v>
      </c>
      <c r="G1295" s="89" t="s">
        <v>1175</v>
      </c>
      <c r="H1295" s="5">
        <v>1</v>
      </c>
      <c r="I1295" s="5" t="str">
        <f>VLOOKUP(F1295,'Set up'!$A$2:$C$70,3,FALSE)</f>
        <v>Cash</v>
      </c>
      <c r="J1295" s="5">
        <f>VLOOKUP(F1295,'Set up'!$A$2:$D$70,4,FALSE)</f>
        <v>0</v>
      </c>
      <c r="K1295" s="4">
        <f t="shared" si="274"/>
        <v>44935</v>
      </c>
      <c r="L1295" s="5">
        <f t="shared" si="275"/>
        <v>1</v>
      </c>
      <c r="M1295" s="5">
        <f t="shared" si="276"/>
        <v>2023</v>
      </c>
      <c r="N1295" s="6">
        <v>800</v>
      </c>
      <c r="O1295" s="6">
        <f t="shared" ref="O1295" si="281">-N1295</f>
        <v>-800</v>
      </c>
      <c r="P1295" s="6">
        <f t="shared" si="280"/>
        <v>0</v>
      </c>
      <c r="Q1295" s="7">
        <f t="shared" si="278"/>
        <v>2394924.9500000011</v>
      </c>
      <c r="R1295" s="44" t="str">
        <f>VLOOKUP(F1295,'Set up'!$A$2:$E$70,5,FALSE)</f>
        <v>Trsf</v>
      </c>
      <c r="S1295" s="1" t="s">
        <v>1936</v>
      </c>
    </row>
    <row r="1296" spans="1:19" x14ac:dyDescent="0.3">
      <c r="A1296" s="4">
        <v>44937</v>
      </c>
      <c r="B1296" s="5">
        <f t="shared" si="272"/>
        <v>1</v>
      </c>
      <c r="C1296" s="5">
        <f t="shared" si="273"/>
        <v>2023</v>
      </c>
      <c r="D1296" s="5" t="s">
        <v>1176</v>
      </c>
      <c r="E1296" s="5" t="str">
        <f>VLOOKUP(F1296,'Set up'!$A$2:$C$70,2,FALSE)</f>
        <v>C00000001</v>
      </c>
      <c r="F1296" s="1" t="s">
        <v>7</v>
      </c>
      <c r="G1296" s="11" t="s">
        <v>716</v>
      </c>
      <c r="H1296" s="5">
        <v>1</v>
      </c>
      <c r="I1296" s="5" t="str">
        <f>VLOOKUP(F1296,'Set up'!$A$2:$C$70,3,FALSE)</f>
        <v>Cash</v>
      </c>
      <c r="J1296" s="5">
        <f>VLOOKUP(F1296,'Set up'!$A$2:$D$70,4,FALSE)</f>
        <v>0</v>
      </c>
      <c r="K1296" s="4">
        <f t="shared" si="274"/>
        <v>44937</v>
      </c>
      <c r="L1296" s="5">
        <f t="shared" si="275"/>
        <v>1</v>
      </c>
      <c r="M1296" s="5">
        <f t="shared" si="276"/>
        <v>2023</v>
      </c>
      <c r="N1296" s="6">
        <v>1804</v>
      </c>
      <c r="O1296" s="6">
        <f>-N1296</f>
        <v>-1804</v>
      </c>
      <c r="P1296" s="6">
        <f t="shared" si="280"/>
        <v>0</v>
      </c>
      <c r="Q1296" s="7">
        <f t="shared" si="278"/>
        <v>2396728.9500000011</v>
      </c>
      <c r="R1296" s="44" t="str">
        <f>VLOOKUP(F1296,'Set up'!$A$2:$E$70,5,FALSE)</f>
        <v>Trsf</v>
      </c>
      <c r="S1296" s="1" t="s">
        <v>1221</v>
      </c>
    </row>
    <row r="1297" spans="1:19" x14ac:dyDescent="0.3">
      <c r="A1297" s="4">
        <v>44937</v>
      </c>
      <c r="B1297" s="5">
        <f t="shared" si="272"/>
        <v>1</v>
      </c>
      <c r="C1297" s="5">
        <f t="shared" si="273"/>
        <v>2023</v>
      </c>
      <c r="D1297" s="5" t="s">
        <v>1177</v>
      </c>
      <c r="E1297" s="5" t="str">
        <f>VLOOKUP(F1297,'Set up'!$A$2:$C$70,2,FALSE)</f>
        <v>C00000014</v>
      </c>
      <c r="F1297" s="1" t="s">
        <v>262</v>
      </c>
      <c r="G1297" s="89" t="s">
        <v>303</v>
      </c>
      <c r="H1297" s="88">
        <v>1</v>
      </c>
      <c r="I1297" s="5" t="str">
        <f>VLOOKUP(F1297,'Set up'!$A$2:$C$70,3,FALSE)</f>
        <v>Cash</v>
      </c>
      <c r="J1297" s="5">
        <f>VLOOKUP(F1297,'Set up'!$A$2:$D$70,4,FALSE)</f>
        <v>0</v>
      </c>
      <c r="K1297" s="4">
        <f t="shared" si="274"/>
        <v>44937</v>
      </c>
      <c r="L1297" s="5">
        <f t="shared" si="275"/>
        <v>1</v>
      </c>
      <c r="M1297" s="5">
        <f t="shared" si="276"/>
        <v>2023</v>
      </c>
      <c r="N1297" s="6">
        <v>1738</v>
      </c>
      <c r="O1297" s="6">
        <f t="shared" ref="O1297:O1300" si="282">-N1297</f>
        <v>-1738</v>
      </c>
      <c r="P1297" s="6">
        <f t="shared" si="280"/>
        <v>0</v>
      </c>
      <c r="Q1297" s="7">
        <f t="shared" si="278"/>
        <v>2398466.9500000011</v>
      </c>
      <c r="R1297" s="44" t="str">
        <f>VLOOKUP(F1297,'Set up'!$A$2:$E$70,5,FALSE)</f>
        <v>Cash</v>
      </c>
      <c r="S1297" s="1" t="s">
        <v>1219</v>
      </c>
    </row>
    <row r="1298" spans="1:19" x14ac:dyDescent="0.3">
      <c r="A1298" s="4">
        <v>44937</v>
      </c>
      <c r="B1298" s="5">
        <f t="shared" si="272"/>
        <v>1</v>
      </c>
      <c r="C1298" s="5">
        <f t="shared" si="273"/>
        <v>2023</v>
      </c>
      <c r="D1298" s="5" t="s">
        <v>1177</v>
      </c>
      <c r="E1298" s="5" t="str">
        <f>VLOOKUP(F1298,'Set up'!$A$2:$C$70,2,FALSE)</f>
        <v>C00000014</v>
      </c>
      <c r="F1298" s="1" t="s">
        <v>262</v>
      </c>
      <c r="G1298" s="90" t="s">
        <v>1140</v>
      </c>
      <c r="H1298" s="88">
        <v>1</v>
      </c>
      <c r="I1298" s="5" t="str">
        <f>VLOOKUP(F1298,'Set up'!$A$2:$C$70,3,FALSE)</f>
        <v>Cash</v>
      </c>
      <c r="J1298" s="5">
        <f>VLOOKUP(F1298,'Set up'!$A$2:$D$70,4,FALSE)</f>
        <v>0</v>
      </c>
      <c r="K1298" s="4">
        <f t="shared" si="274"/>
        <v>44937</v>
      </c>
      <c r="L1298" s="5">
        <f t="shared" si="275"/>
        <v>1</v>
      </c>
      <c r="M1298" s="5">
        <f t="shared" si="276"/>
        <v>2023</v>
      </c>
      <c r="N1298" s="6">
        <v>237</v>
      </c>
      <c r="O1298" s="6">
        <f t="shared" si="282"/>
        <v>-237</v>
      </c>
      <c r="P1298" s="6">
        <f t="shared" si="280"/>
        <v>0</v>
      </c>
      <c r="Q1298" s="7">
        <f t="shared" si="278"/>
        <v>2398703.9500000011</v>
      </c>
      <c r="R1298" s="44" t="str">
        <f>VLOOKUP(F1298,'Set up'!$A$2:$E$70,5,FALSE)</f>
        <v>Cash</v>
      </c>
      <c r="S1298" s="1" t="s">
        <v>1219</v>
      </c>
    </row>
    <row r="1299" spans="1:19" x14ac:dyDescent="0.3">
      <c r="A1299" s="4">
        <v>44937</v>
      </c>
      <c r="B1299" s="5">
        <f t="shared" si="272"/>
        <v>1</v>
      </c>
      <c r="C1299" s="5">
        <f t="shared" si="273"/>
        <v>2023</v>
      </c>
      <c r="D1299" s="5" t="s">
        <v>1177</v>
      </c>
      <c r="E1299" s="5" t="str">
        <f>VLOOKUP(F1299,'Set up'!$A$2:$C$70,2,FALSE)</f>
        <v>C00000014</v>
      </c>
      <c r="F1299" s="1" t="s">
        <v>262</v>
      </c>
      <c r="G1299" s="90" t="s">
        <v>666</v>
      </c>
      <c r="H1299" s="88">
        <v>1</v>
      </c>
      <c r="I1299" s="5" t="str">
        <f>VLOOKUP(F1299,'Set up'!$A$2:$C$70,3,FALSE)</f>
        <v>Cash</v>
      </c>
      <c r="J1299" s="5">
        <f>VLOOKUP(F1299,'Set up'!$A$2:$D$70,4,FALSE)</f>
        <v>0</v>
      </c>
      <c r="K1299" s="4">
        <f t="shared" si="274"/>
        <v>44937</v>
      </c>
      <c r="L1299" s="5">
        <f t="shared" si="275"/>
        <v>1</v>
      </c>
      <c r="M1299" s="5">
        <f t="shared" si="276"/>
        <v>2023</v>
      </c>
      <c r="N1299" s="6">
        <v>95</v>
      </c>
      <c r="O1299" s="6">
        <f t="shared" si="282"/>
        <v>-95</v>
      </c>
      <c r="P1299" s="6">
        <f t="shared" si="280"/>
        <v>0</v>
      </c>
      <c r="Q1299" s="7">
        <f t="shared" si="278"/>
        <v>2398798.9500000011</v>
      </c>
      <c r="R1299" s="44" t="str">
        <f>VLOOKUP(F1299,'Set up'!$A$2:$E$70,5,FALSE)</f>
        <v>Cash</v>
      </c>
      <c r="S1299" s="1" t="s">
        <v>1219</v>
      </c>
    </row>
    <row r="1300" spans="1:19" x14ac:dyDescent="0.3">
      <c r="A1300" s="4">
        <v>44937</v>
      </c>
      <c r="B1300" s="5">
        <f t="shared" si="272"/>
        <v>1</v>
      </c>
      <c r="C1300" s="5">
        <f t="shared" si="273"/>
        <v>2023</v>
      </c>
      <c r="D1300" s="5" t="s">
        <v>1177</v>
      </c>
      <c r="E1300" s="5" t="str">
        <f>VLOOKUP(F1300,'Set up'!$A$2:$C$70,2,FALSE)</f>
        <v>C00000014</v>
      </c>
      <c r="F1300" s="1" t="s">
        <v>262</v>
      </c>
      <c r="G1300" s="90" t="s">
        <v>1110</v>
      </c>
      <c r="H1300" s="88">
        <v>1</v>
      </c>
      <c r="I1300" s="5" t="str">
        <f>VLOOKUP(F1300,'Set up'!$A$2:$C$70,3,FALSE)</f>
        <v>Cash</v>
      </c>
      <c r="J1300" s="5">
        <f>VLOOKUP(F1300,'Set up'!$A$2:$D$70,4,FALSE)</f>
        <v>0</v>
      </c>
      <c r="K1300" s="4">
        <f t="shared" si="274"/>
        <v>44937</v>
      </c>
      <c r="L1300" s="5">
        <f t="shared" si="275"/>
        <v>1</v>
      </c>
      <c r="M1300" s="5">
        <f t="shared" si="276"/>
        <v>2023</v>
      </c>
      <c r="N1300" s="6">
        <v>62.5</v>
      </c>
      <c r="O1300" s="6">
        <f t="shared" si="282"/>
        <v>-62.5</v>
      </c>
      <c r="P1300" s="6">
        <f t="shared" si="280"/>
        <v>0</v>
      </c>
      <c r="Q1300" s="7">
        <f t="shared" si="278"/>
        <v>2398861.4500000011</v>
      </c>
      <c r="R1300" s="44" t="str">
        <f>VLOOKUP(F1300,'Set up'!$A$2:$E$70,5,FALSE)</f>
        <v>Cash</v>
      </c>
      <c r="S1300" s="1" t="s">
        <v>1219</v>
      </c>
    </row>
    <row r="1301" spans="1:19" x14ac:dyDescent="0.3">
      <c r="A1301" s="4">
        <v>44937</v>
      </c>
      <c r="B1301" s="5">
        <f t="shared" si="272"/>
        <v>1</v>
      </c>
      <c r="C1301" s="5">
        <f t="shared" si="273"/>
        <v>2023</v>
      </c>
      <c r="D1301" s="5" t="s">
        <v>1179</v>
      </c>
      <c r="E1301" s="5" t="str">
        <f>VLOOKUP(F1301,'Set up'!$A$2:$C$70,2,FALSE)</f>
        <v>C00000023</v>
      </c>
      <c r="F1301" s="1" t="s">
        <v>665</v>
      </c>
      <c r="G1301" s="89" t="s">
        <v>1178</v>
      </c>
      <c r="H1301" s="5">
        <v>1</v>
      </c>
      <c r="I1301" s="5" t="str">
        <f>VLOOKUP(F1301,'Set up'!$A$2:$C$70,3,FALSE)</f>
        <v>Cash</v>
      </c>
      <c r="J1301" s="5">
        <f>VLOOKUP(F1301,'Set up'!$A$2:$D$70,4,FALSE)</f>
        <v>0</v>
      </c>
      <c r="K1301" s="4">
        <f t="shared" si="274"/>
        <v>44937</v>
      </c>
      <c r="L1301" s="5">
        <f t="shared" si="275"/>
        <v>1</v>
      </c>
      <c r="M1301" s="5">
        <f t="shared" si="276"/>
        <v>2023</v>
      </c>
      <c r="N1301" s="6">
        <v>1738</v>
      </c>
      <c r="O1301" s="6">
        <f>-N1301</f>
        <v>-1738</v>
      </c>
      <c r="P1301" s="6">
        <f t="shared" si="280"/>
        <v>0</v>
      </c>
      <c r="Q1301" s="7">
        <f t="shared" si="278"/>
        <v>2400599.4500000011</v>
      </c>
      <c r="R1301" s="44" t="str">
        <f>VLOOKUP(F1301,'Set up'!$A$2:$E$70,5,FALSE)</f>
        <v>Trsf</v>
      </c>
      <c r="S1301" s="1" t="s">
        <v>1211</v>
      </c>
    </row>
    <row r="1302" spans="1:19" x14ac:dyDescent="0.3">
      <c r="A1302" s="4">
        <v>44937</v>
      </c>
      <c r="B1302" s="5">
        <f t="shared" si="272"/>
        <v>1</v>
      </c>
      <c r="C1302" s="5">
        <f t="shared" si="273"/>
        <v>2023</v>
      </c>
      <c r="D1302" s="5" t="s">
        <v>1179</v>
      </c>
      <c r="E1302" s="5" t="str">
        <f>VLOOKUP(F1302,'Set up'!$A$2:$C$70,2,FALSE)</f>
        <v>C00000023</v>
      </c>
      <c r="F1302" s="1" t="s">
        <v>665</v>
      </c>
      <c r="G1302" s="89" t="s">
        <v>913</v>
      </c>
      <c r="H1302" s="5">
        <v>3</v>
      </c>
      <c r="I1302" s="5" t="str">
        <f>VLOOKUP(F1302,'Set up'!$A$2:$C$70,3,FALSE)</f>
        <v>Cash</v>
      </c>
      <c r="J1302" s="5">
        <f>VLOOKUP(F1302,'Set up'!$A$2:$D$70,4,FALSE)</f>
        <v>0</v>
      </c>
      <c r="K1302" s="4">
        <f t="shared" si="274"/>
        <v>44937</v>
      </c>
      <c r="L1302" s="5">
        <f t="shared" si="275"/>
        <v>1</v>
      </c>
      <c r="M1302" s="5">
        <f t="shared" si="276"/>
        <v>2023</v>
      </c>
      <c r="N1302" s="6">
        <v>702</v>
      </c>
      <c r="O1302" s="6">
        <f>-N1302</f>
        <v>-702</v>
      </c>
      <c r="P1302" s="6">
        <f t="shared" si="280"/>
        <v>0</v>
      </c>
      <c r="Q1302" s="7">
        <f t="shared" si="278"/>
        <v>2401301.4500000011</v>
      </c>
      <c r="R1302" s="44" t="str">
        <f>VLOOKUP(F1302,'Set up'!$A$2:$E$70,5,FALSE)</f>
        <v>Trsf</v>
      </c>
      <c r="S1302" s="1" t="s">
        <v>1211</v>
      </c>
    </row>
    <row r="1303" spans="1:19" x14ac:dyDescent="0.3">
      <c r="A1303" s="4">
        <v>44938</v>
      </c>
      <c r="B1303" s="5">
        <f t="shared" si="272"/>
        <v>1</v>
      </c>
      <c r="C1303" s="5">
        <f t="shared" si="273"/>
        <v>2023</v>
      </c>
      <c r="D1303" s="5" t="s">
        <v>1180</v>
      </c>
      <c r="E1303" s="5" t="str">
        <f>VLOOKUP(F1303,'Set up'!$A$2:$C$70,2,FALSE)</f>
        <v>C00000010</v>
      </c>
      <c r="F1303" s="1" t="s">
        <v>62</v>
      </c>
      <c r="G1303" s="89" t="s">
        <v>1178</v>
      </c>
      <c r="H1303" s="5">
        <v>6</v>
      </c>
      <c r="I1303" s="5">
        <f>VLOOKUP(F1303,'Set up'!$A$2:$C$70,3,FALSE)</f>
        <v>120</v>
      </c>
      <c r="J1303" s="5">
        <f>VLOOKUP(F1303,'Set up'!$A$2:$D$70,4,FALSE)</f>
        <v>120</v>
      </c>
      <c r="K1303" s="4">
        <f t="shared" si="274"/>
        <v>45058</v>
      </c>
      <c r="L1303" s="5">
        <f t="shared" si="275"/>
        <v>5</v>
      </c>
      <c r="M1303" s="5">
        <f t="shared" si="276"/>
        <v>2023</v>
      </c>
      <c r="N1303" s="6">
        <v>9768</v>
      </c>
      <c r="O1303" s="6">
        <f t="shared" ref="O1303:O1309" si="283">-N1303</f>
        <v>-9768</v>
      </c>
      <c r="P1303" s="6">
        <f t="shared" si="280"/>
        <v>0</v>
      </c>
      <c r="Q1303" s="7">
        <f t="shared" si="278"/>
        <v>2411069.4500000011</v>
      </c>
      <c r="R1303" s="44" t="str">
        <f>VLOOKUP(F1303,'Set up'!$A$2:$E$70,5,FALSE)</f>
        <v>Trsf</v>
      </c>
      <c r="S1303" s="1" t="s">
        <v>1580</v>
      </c>
    </row>
    <row r="1304" spans="1:19" x14ac:dyDescent="0.3">
      <c r="A1304" s="4">
        <v>44938</v>
      </c>
      <c r="B1304" s="5">
        <f t="shared" si="272"/>
        <v>1</v>
      </c>
      <c r="C1304" s="5">
        <f t="shared" si="273"/>
        <v>2023</v>
      </c>
      <c r="D1304" s="5" t="s">
        <v>1180</v>
      </c>
      <c r="E1304" s="5" t="str">
        <f>VLOOKUP(F1304,'Set up'!$A$2:$C$70,2,FALSE)</f>
        <v>C00000010</v>
      </c>
      <c r="F1304" s="1" t="s">
        <v>62</v>
      </c>
      <c r="G1304" s="89" t="s">
        <v>913</v>
      </c>
      <c r="H1304" s="5">
        <v>10</v>
      </c>
      <c r="I1304" s="5">
        <f>VLOOKUP(F1304,'Set up'!$A$2:$C$70,3,FALSE)</f>
        <v>120</v>
      </c>
      <c r="J1304" s="5">
        <f>VLOOKUP(F1304,'Set up'!$A$2:$D$70,4,FALSE)</f>
        <v>120</v>
      </c>
      <c r="K1304" s="4">
        <f t="shared" si="274"/>
        <v>45058</v>
      </c>
      <c r="L1304" s="5">
        <f t="shared" si="275"/>
        <v>5</v>
      </c>
      <c r="M1304" s="5">
        <f t="shared" si="276"/>
        <v>2023</v>
      </c>
      <c r="N1304" s="6">
        <v>2070</v>
      </c>
      <c r="O1304" s="6">
        <f t="shared" si="283"/>
        <v>-2070</v>
      </c>
      <c r="P1304" s="6">
        <f t="shared" si="280"/>
        <v>0</v>
      </c>
      <c r="Q1304" s="7">
        <f t="shared" si="278"/>
        <v>2413139.4500000011</v>
      </c>
      <c r="R1304" s="44" t="str">
        <f>VLOOKUP(F1304,'Set up'!$A$2:$E$70,5,FALSE)</f>
        <v>Trsf</v>
      </c>
      <c r="S1304" s="1" t="s">
        <v>1580</v>
      </c>
    </row>
    <row r="1305" spans="1:19" x14ac:dyDescent="0.3">
      <c r="A1305" s="4">
        <v>44938</v>
      </c>
      <c r="B1305" s="5">
        <f t="shared" si="272"/>
        <v>1</v>
      </c>
      <c r="C1305" s="5">
        <f t="shared" si="273"/>
        <v>2023</v>
      </c>
      <c r="D1305" s="5" t="s">
        <v>1180</v>
      </c>
      <c r="E1305" s="5" t="str">
        <f>VLOOKUP(F1305,'Set up'!$A$2:$C$70,2,FALSE)</f>
        <v>C00000010</v>
      </c>
      <c r="F1305" s="1" t="s">
        <v>62</v>
      </c>
      <c r="G1305" s="89" t="s">
        <v>791</v>
      </c>
      <c r="H1305" s="5">
        <v>10</v>
      </c>
      <c r="I1305" s="5">
        <f>VLOOKUP(F1305,'Set up'!$A$2:$C$70,3,FALSE)</f>
        <v>120</v>
      </c>
      <c r="J1305" s="5">
        <f>VLOOKUP(F1305,'Set up'!$A$2:$D$70,4,FALSE)</f>
        <v>120</v>
      </c>
      <c r="K1305" s="4">
        <f t="shared" si="274"/>
        <v>45058</v>
      </c>
      <c r="L1305" s="5">
        <f t="shared" si="275"/>
        <v>5</v>
      </c>
      <c r="M1305" s="5">
        <f t="shared" si="276"/>
        <v>2023</v>
      </c>
      <c r="N1305" s="6">
        <v>575</v>
      </c>
      <c r="O1305" s="6">
        <f t="shared" si="283"/>
        <v>-575</v>
      </c>
      <c r="P1305" s="6">
        <f t="shared" si="280"/>
        <v>0</v>
      </c>
      <c r="Q1305" s="7">
        <f t="shared" si="278"/>
        <v>2413714.4500000011</v>
      </c>
      <c r="R1305" s="44" t="str">
        <f>VLOOKUP(F1305,'Set up'!$A$2:$E$70,5,FALSE)</f>
        <v>Trsf</v>
      </c>
      <c r="S1305" s="1" t="s">
        <v>1580</v>
      </c>
    </row>
    <row r="1306" spans="1:19" x14ac:dyDescent="0.3">
      <c r="A1306" s="4">
        <v>44938</v>
      </c>
      <c r="B1306" s="5">
        <f t="shared" si="272"/>
        <v>1</v>
      </c>
      <c r="C1306" s="5">
        <f t="shared" si="273"/>
        <v>2023</v>
      </c>
      <c r="D1306" s="5" t="s">
        <v>1180</v>
      </c>
      <c r="E1306" s="5" t="str">
        <f>VLOOKUP(F1306,'Set up'!$A$2:$C$70,2,FALSE)</f>
        <v>C00000010</v>
      </c>
      <c r="F1306" s="1" t="s">
        <v>62</v>
      </c>
      <c r="G1306" s="89" t="s">
        <v>46</v>
      </c>
      <c r="H1306" s="5">
        <v>8</v>
      </c>
      <c r="I1306" s="5">
        <f>VLOOKUP(F1306,'Set up'!$A$2:$C$70,3,FALSE)</f>
        <v>120</v>
      </c>
      <c r="J1306" s="5">
        <f>VLOOKUP(F1306,'Set up'!$A$2:$D$70,4,FALSE)</f>
        <v>120</v>
      </c>
      <c r="K1306" s="4">
        <f t="shared" si="274"/>
        <v>45058</v>
      </c>
      <c r="L1306" s="5">
        <f t="shared" si="275"/>
        <v>5</v>
      </c>
      <c r="M1306" s="5">
        <f t="shared" si="276"/>
        <v>2023</v>
      </c>
      <c r="N1306" s="6">
        <v>840</v>
      </c>
      <c r="O1306" s="6">
        <f t="shared" si="283"/>
        <v>-840</v>
      </c>
      <c r="P1306" s="6">
        <f t="shared" si="280"/>
        <v>0</v>
      </c>
      <c r="Q1306" s="7">
        <f t="shared" si="278"/>
        <v>2414554.4500000011</v>
      </c>
      <c r="R1306" s="44" t="str">
        <f>VLOOKUP(F1306,'Set up'!$A$2:$E$70,5,FALSE)</f>
        <v>Trsf</v>
      </c>
      <c r="S1306" s="1" t="s">
        <v>1580</v>
      </c>
    </row>
    <row r="1307" spans="1:19" x14ac:dyDescent="0.3">
      <c r="A1307" s="4">
        <v>44938</v>
      </c>
      <c r="B1307" s="5">
        <f t="shared" si="272"/>
        <v>1</v>
      </c>
      <c r="C1307" s="5">
        <f t="shared" si="273"/>
        <v>2023</v>
      </c>
      <c r="D1307" s="5" t="s">
        <v>1180</v>
      </c>
      <c r="E1307" s="5" t="str">
        <f>VLOOKUP(F1307,'Set up'!$A$2:$C$70,2,FALSE)</f>
        <v>C00000010</v>
      </c>
      <c r="F1307" s="1" t="s">
        <v>62</v>
      </c>
      <c r="G1307" s="89" t="s">
        <v>1093</v>
      </c>
      <c r="H1307" s="5">
        <v>4</v>
      </c>
      <c r="I1307" s="5">
        <f>VLOOKUP(F1307,'Set up'!$A$2:$C$70,3,FALSE)</f>
        <v>120</v>
      </c>
      <c r="J1307" s="5">
        <f>VLOOKUP(F1307,'Set up'!$A$2:$D$70,4,FALSE)</f>
        <v>120</v>
      </c>
      <c r="K1307" s="4">
        <f t="shared" si="274"/>
        <v>45058</v>
      </c>
      <c r="L1307" s="5">
        <f t="shared" si="275"/>
        <v>5</v>
      </c>
      <c r="M1307" s="5">
        <f t="shared" si="276"/>
        <v>2023</v>
      </c>
      <c r="N1307" s="6">
        <v>200</v>
      </c>
      <c r="O1307" s="6">
        <f t="shared" si="283"/>
        <v>-200</v>
      </c>
      <c r="P1307" s="6">
        <f t="shared" si="280"/>
        <v>0</v>
      </c>
      <c r="Q1307" s="7">
        <f t="shared" si="278"/>
        <v>2414754.4500000011</v>
      </c>
      <c r="R1307" s="44" t="str">
        <f>VLOOKUP(F1307,'Set up'!$A$2:$E$70,5,FALSE)</f>
        <v>Trsf</v>
      </c>
      <c r="S1307" s="1" t="s">
        <v>1580</v>
      </c>
    </row>
    <row r="1308" spans="1:19" x14ac:dyDescent="0.3">
      <c r="A1308" s="4">
        <v>44938</v>
      </c>
      <c r="B1308" s="5">
        <f t="shared" si="272"/>
        <v>1</v>
      </c>
      <c r="C1308" s="5">
        <f t="shared" si="273"/>
        <v>2023</v>
      </c>
      <c r="D1308" s="5" t="s">
        <v>1180</v>
      </c>
      <c r="E1308" s="5" t="str">
        <f>VLOOKUP(F1308,'Set up'!$A$2:$C$70,2,FALSE)</f>
        <v>C00000010</v>
      </c>
      <c r="F1308" s="1" t="s">
        <v>62</v>
      </c>
      <c r="G1308" s="89" t="s">
        <v>614</v>
      </c>
      <c r="H1308" s="5">
        <v>1</v>
      </c>
      <c r="I1308" s="5">
        <f>VLOOKUP(F1308,'Set up'!$A$2:$C$70,3,FALSE)</f>
        <v>120</v>
      </c>
      <c r="J1308" s="5">
        <f>VLOOKUP(F1308,'Set up'!$A$2:$D$70,4,FALSE)</f>
        <v>120</v>
      </c>
      <c r="K1308" s="4">
        <f t="shared" si="274"/>
        <v>45058</v>
      </c>
      <c r="L1308" s="5">
        <f t="shared" si="275"/>
        <v>5</v>
      </c>
      <c r="M1308" s="5">
        <f t="shared" si="276"/>
        <v>2023</v>
      </c>
      <c r="N1308" s="6">
        <v>395</v>
      </c>
      <c r="O1308" s="6">
        <f t="shared" si="283"/>
        <v>-395</v>
      </c>
      <c r="P1308" s="6">
        <f t="shared" si="280"/>
        <v>0</v>
      </c>
      <c r="Q1308" s="7">
        <f t="shared" si="278"/>
        <v>2415149.4500000011</v>
      </c>
      <c r="R1308" s="44" t="str">
        <f>VLOOKUP(F1308,'Set up'!$A$2:$E$70,5,FALSE)</f>
        <v>Trsf</v>
      </c>
      <c r="S1308" s="1" t="s">
        <v>1580</v>
      </c>
    </row>
    <row r="1309" spans="1:19" x14ac:dyDescent="0.3">
      <c r="A1309" s="4">
        <v>44938</v>
      </c>
      <c r="B1309" s="5">
        <f t="shared" si="272"/>
        <v>1</v>
      </c>
      <c r="C1309" s="5">
        <f t="shared" si="273"/>
        <v>2023</v>
      </c>
      <c r="D1309" s="5" t="s">
        <v>1180</v>
      </c>
      <c r="E1309" s="5" t="str">
        <f>VLOOKUP(F1309,'Set up'!$A$2:$C$70,2,FALSE)</f>
        <v>C00000010</v>
      </c>
      <c r="F1309" s="1" t="s">
        <v>62</v>
      </c>
      <c r="G1309" s="89" t="s">
        <v>944</v>
      </c>
      <c r="H1309" s="5">
        <v>1</v>
      </c>
      <c r="I1309" s="5">
        <f>VLOOKUP(F1309,'Set up'!$A$2:$C$70,3,FALSE)</f>
        <v>120</v>
      </c>
      <c r="J1309" s="5">
        <f>VLOOKUP(F1309,'Set up'!$A$2:$D$70,4,FALSE)</f>
        <v>120</v>
      </c>
      <c r="K1309" s="4">
        <f t="shared" si="274"/>
        <v>45058</v>
      </c>
      <c r="L1309" s="5">
        <f t="shared" si="275"/>
        <v>5</v>
      </c>
      <c r="M1309" s="5">
        <f t="shared" si="276"/>
        <v>2023</v>
      </c>
      <c r="N1309" s="6">
        <v>420</v>
      </c>
      <c r="O1309" s="6">
        <f t="shared" si="283"/>
        <v>-420</v>
      </c>
      <c r="P1309" s="6">
        <f t="shared" si="280"/>
        <v>0</v>
      </c>
      <c r="Q1309" s="7">
        <f t="shared" si="278"/>
        <v>2415569.4500000011</v>
      </c>
      <c r="R1309" s="44" t="str">
        <f>VLOOKUP(F1309,'Set up'!$A$2:$E$70,5,FALSE)</f>
        <v>Trsf</v>
      </c>
      <c r="S1309" s="1" t="s">
        <v>1580</v>
      </c>
    </row>
    <row r="1310" spans="1:19" x14ac:dyDescent="0.3">
      <c r="A1310" s="4">
        <v>44938</v>
      </c>
      <c r="B1310" s="5">
        <f t="shared" si="272"/>
        <v>1</v>
      </c>
      <c r="C1310" s="5">
        <f t="shared" si="273"/>
        <v>2023</v>
      </c>
      <c r="D1310" s="5" t="s">
        <v>1181</v>
      </c>
      <c r="E1310" s="5" t="str">
        <f>VLOOKUP(F1310,'Set up'!$A$2:$C$70,2,FALSE)</f>
        <v>C00000020</v>
      </c>
      <c r="F1310" s="1" t="s">
        <v>409</v>
      </c>
      <c r="G1310" s="89" t="s">
        <v>1178</v>
      </c>
      <c r="H1310" s="5">
        <v>5</v>
      </c>
      <c r="I1310" s="5" t="str">
        <f>VLOOKUP(F1310,'Set up'!$A$2:$C$70,3,FALSE)</f>
        <v>Cash</v>
      </c>
      <c r="J1310" s="5">
        <f>VLOOKUP(F1310,'Set up'!$A$2:$D$70,4,FALSE)</f>
        <v>0</v>
      </c>
      <c r="K1310" s="4">
        <f t="shared" si="274"/>
        <v>44938</v>
      </c>
      <c r="L1310" s="5">
        <f t="shared" si="275"/>
        <v>1</v>
      </c>
      <c r="M1310" s="5">
        <f t="shared" si="276"/>
        <v>2023</v>
      </c>
      <c r="N1310" s="6">
        <v>8690</v>
      </c>
      <c r="O1310" s="6">
        <f>-2383.2-5800-506.8</f>
        <v>-8690</v>
      </c>
      <c r="P1310" s="6">
        <f t="shared" si="280"/>
        <v>0</v>
      </c>
      <c r="Q1310" s="7">
        <f t="shared" si="278"/>
        <v>2424259.4500000011</v>
      </c>
      <c r="R1310" s="44" t="str">
        <f>VLOOKUP(F1310,'Set up'!$A$2:$E$70,5,FALSE)</f>
        <v>Trsf</v>
      </c>
      <c r="S1310" s="1" t="s">
        <v>1937</v>
      </c>
    </row>
    <row r="1311" spans="1:19" x14ac:dyDescent="0.3">
      <c r="A1311" s="4">
        <v>44938</v>
      </c>
      <c r="B1311" s="5">
        <f t="shared" si="272"/>
        <v>1</v>
      </c>
      <c r="C1311" s="5">
        <f t="shared" si="273"/>
        <v>2023</v>
      </c>
      <c r="D1311" s="5" t="s">
        <v>1181</v>
      </c>
      <c r="E1311" s="5" t="str">
        <f>VLOOKUP(F1311,'Set up'!$A$2:$C$70,2,FALSE)</f>
        <v>C00000020</v>
      </c>
      <c r="F1311" s="1" t="s">
        <v>409</v>
      </c>
      <c r="G1311" s="89" t="s">
        <v>913</v>
      </c>
      <c r="H1311" s="5">
        <v>15</v>
      </c>
      <c r="I1311" s="5" t="str">
        <f>VLOOKUP(F1311,'Set up'!$A$2:$C$70,3,FALSE)</f>
        <v>Cash</v>
      </c>
      <c r="J1311" s="5">
        <f>VLOOKUP(F1311,'Set up'!$A$2:$D$70,4,FALSE)</f>
        <v>0</v>
      </c>
      <c r="K1311" s="4">
        <f t="shared" si="274"/>
        <v>44938</v>
      </c>
      <c r="L1311" s="5">
        <f t="shared" si="275"/>
        <v>1</v>
      </c>
      <c r="M1311" s="5">
        <f t="shared" si="276"/>
        <v>2023</v>
      </c>
      <c r="N1311" s="6">
        <v>3510</v>
      </c>
      <c r="O1311" s="6">
        <f t="shared" ref="O1311:O1315" si="284">-N1311</f>
        <v>-3510</v>
      </c>
      <c r="P1311" s="6">
        <f t="shared" si="280"/>
        <v>0</v>
      </c>
      <c r="Q1311" s="7">
        <f t="shared" si="278"/>
        <v>2427769.4500000011</v>
      </c>
      <c r="R1311" s="44" t="str">
        <f>VLOOKUP(F1311,'Set up'!$A$2:$E$70,5,FALSE)</f>
        <v>Trsf</v>
      </c>
      <c r="S1311" s="1" t="s">
        <v>1938</v>
      </c>
    </row>
    <row r="1312" spans="1:19" x14ac:dyDescent="0.3">
      <c r="A1312" s="4">
        <v>44938</v>
      </c>
      <c r="B1312" s="5">
        <f t="shared" si="272"/>
        <v>1</v>
      </c>
      <c r="C1312" s="5">
        <f t="shared" si="273"/>
        <v>2023</v>
      </c>
      <c r="D1312" s="5" t="s">
        <v>1181</v>
      </c>
      <c r="E1312" s="5" t="str">
        <f>VLOOKUP(F1312,'Set up'!$A$2:$C$70,2,FALSE)</f>
        <v>C00000020</v>
      </c>
      <c r="F1312" s="1" t="s">
        <v>409</v>
      </c>
      <c r="G1312" s="89" t="s">
        <v>1168</v>
      </c>
      <c r="H1312" s="5">
        <v>6</v>
      </c>
      <c r="I1312" s="5" t="str">
        <f>VLOOKUP(F1312,'Set up'!$A$2:$C$70,3,FALSE)</f>
        <v>Cash</v>
      </c>
      <c r="J1312" s="5">
        <f>VLOOKUP(F1312,'Set up'!$A$2:$D$70,4,FALSE)</f>
        <v>0</v>
      </c>
      <c r="K1312" s="4">
        <f t="shared" si="274"/>
        <v>44938</v>
      </c>
      <c r="L1312" s="5">
        <f t="shared" si="275"/>
        <v>1</v>
      </c>
      <c r="M1312" s="5">
        <f t="shared" si="276"/>
        <v>2023</v>
      </c>
      <c r="N1312" s="6">
        <v>1638</v>
      </c>
      <c r="O1312" s="6">
        <f t="shared" si="284"/>
        <v>-1638</v>
      </c>
      <c r="P1312" s="6">
        <f t="shared" si="280"/>
        <v>0</v>
      </c>
      <c r="Q1312" s="7">
        <f t="shared" si="278"/>
        <v>2429407.4500000011</v>
      </c>
      <c r="R1312" s="44" t="str">
        <f>VLOOKUP(F1312,'Set up'!$A$2:$E$70,5,FALSE)</f>
        <v>Trsf</v>
      </c>
      <c r="S1312" s="1" t="s">
        <v>1939</v>
      </c>
    </row>
    <row r="1313" spans="1:19" x14ac:dyDescent="0.3">
      <c r="A1313" s="4">
        <v>44938</v>
      </c>
      <c r="B1313" s="5">
        <f t="shared" si="272"/>
        <v>1</v>
      </c>
      <c r="C1313" s="5">
        <f t="shared" si="273"/>
        <v>2023</v>
      </c>
      <c r="D1313" s="5" t="s">
        <v>1181</v>
      </c>
      <c r="E1313" s="5" t="str">
        <f>VLOOKUP(F1313,'Set up'!$A$2:$C$70,2,FALSE)</f>
        <v>C00000020</v>
      </c>
      <c r="F1313" s="1" t="s">
        <v>409</v>
      </c>
      <c r="G1313" s="89" t="s">
        <v>1073</v>
      </c>
      <c r="H1313" s="5">
        <v>1</v>
      </c>
      <c r="I1313" s="5" t="str">
        <f>VLOOKUP(F1313,'Set up'!$A$2:$C$70,3,FALSE)</f>
        <v>Cash</v>
      </c>
      <c r="J1313" s="5">
        <f>VLOOKUP(F1313,'Set up'!$A$2:$D$70,4,FALSE)</f>
        <v>0</v>
      </c>
      <c r="K1313" s="4">
        <f t="shared" si="274"/>
        <v>44938</v>
      </c>
      <c r="L1313" s="5">
        <f t="shared" si="275"/>
        <v>1</v>
      </c>
      <c r="M1313" s="5">
        <f t="shared" si="276"/>
        <v>2023</v>
      </c>
      <c r="N1313" s="6">
        <v>1000</v>
      </c>
      <c r="O1313" s="6">
        <f t="shared" si="284"/>
        <v>-1000</v>
      </c>
      <c r="P1313" s="6">
        <f t="shared" ref="P1313:P1326" si="285">SUM(N1313+O1313)</f>
        <v>0</v>
      </c>
      <c r="Q1313" s="7">
        <f t="shared" si="278"/>
        <v>2430407.4500000011</v>
      </c>
      <c r="R1313" s="44" t="str">
        <f>VLOOKUP(F1313,'Set up'!$A$2:$E$70,5,FALSE)</f>
        <v>Trsf</v>
      </c>
      <c r="S1313" s="1" t="s">
        <v>1940</v>
      </c>
    </row>
    <row r="1314" spans="1:19" x14ac:dyDescent="0.3">
      <c r="A1314" s="4">
        <v>44938</v>
      </c>
      <c r="B1314" s="5">
        <f t="shared" si="272"/>
        <v>1</v>
      </c>
      <c r="C1314" s="5">
        <f t="shared" si="273"/>
        <v>2023</v>
      </c>
      <c r="D1314" s="5" t="s">
        <v>1181</v>
      </c>
      <c r="E1314" s="5" t="str">
        <f>VLOOKUP(F1314,'Set up'!$A$2:$C$70,2,FALSE)</f>
        <v>C00000020</v>
      </c>
      <c r="F1314" s="1" t="s">
        <v>409</v>
      </c>
      <c r="G1314" s="89" t="s">
        <v>1110</v>
      </c>
      <c r="H1314" s="5">
        <v>5</v>
      </c>
      <c r="I1314" s="5" t="str">
        <f>VLOOKUP(F1314,'Set up'!$A$2:$C$70,3,FALSE)</f>
        <v>Cash</v>
      </c>
      <c r="J1314" s="5">
        <f>VLOOKUP(F1314,'Set up'!$A$2:$D$70,4,FALSE)</f>
        <v>0</v>
      </c>
      <c r="K1314" s="4">
        <f t="shared" si="274"/>
        <v>44938</v>
      </c>
      <c r="L1314" s="5">
        <f t="shared" si="275"/>
        <v>1</v>
      </c>
      <c r="M1314" s="5">
        <f t="shared" si="276"/>
        <v>2023</v>
      </c>
      <c r="N1314" s="6">
        <v>312.5</v>
      </c>
      <c r="O1314" s="6">
        <f>-45.2-267.3</f>
        <v>-312.5</v>
      </c>
      <c r="P1314" s="6">
        <f t="shared" si="285"/>
        <v>0</v>
      </c>
      <c r="Q1314" s="7">
        <f t="shared" si="278"/>
        <v>2430719.9500000011</v>
      </c>
      <c r="R1314" s="44" t="str">
        <f>VLOOKUP(F1314,'Set up'!$A$2:$E$70,5,FALSE)</f>
        <v>Trsf</v>
      </c>
      <c r="S1314" s="1" t="s">
        <v>1945</v>
      </c>
    </row>
    <row r="1315" spans="1:19" x14ac:dyDescent="0.3">
      <c r="A1315" s="4">
        <v>44938</v>
      </c>
      <c r="B1315" s="5">
        <f t="shared" si="272"/>
        <v>1</v>
      </c>
      <c r="C1315" s="5">
        <f t="shared" si="273"/>
        <v>2023</v>
      </c>
      <c r="D1315" s="5" t="s">
        <v>1181</v>
      </c>
      <c r="E1315" s="5" t="str">
        <f>VLOOKUP(F1315,'Set up'!$A$2:$C$70,2,FALSE)</f>
        <v>C00000020</v>
      </c>
      <c r="F1315" s="1" t="s">
        <v>409</v>
      </c>
      <c r="G1315" s="89" t="s">
        <v>46</v>
      </c>
      <c r="H1315" s="5">
        <v>4</v>
      </c>
      <c r="I1315" s="5" t="str">
        <f>VLOOKUP(F1315,'Set up'!$A$2:$C$70,3,FALSE)</f>
        <v>Cash</v>
      </c>
      <c r="J1315" s="5">
        <f>VLOOKUP(F1315,'Set up'!$A$2:$D$70,4,FALSE)</f>
        <v>0</v>
      </c>
      <c r="K1315" s="4">
        <f t="shared" si="274"/>
        <v>44938</v>
      </c>
      <c r="L1315" s="5">
        <f t="shared" si="275"/>
        <v>1</v>
      </c>
      <c r="M1315" s="5">
        <f t="shared" si="276"/>
        <v>2023</v>
      </c>
      <c r="N1315" s="6">
        <v>420</v>
      </c>
      <c r="O1315" s="6">
        <f t="shared" si="284"/>
        <v>-420</v>
      </c>
      <c r="P1315" s="6">
        <f t="shared" si="285"/>
        <v>0</v>
      </c>
      <c r="Q1315" s="7">
        <f t="shared" si="278"/>
        <v>2431139.9500000011</v>
      </c>
      <c r="R1315" s="44" t="str">
        <f>VLOOKUP(F1315,'Set up'!$A$2:$E$70,5,FALSE)</f>
        <v>Trsf</v>
      </c>
      <c r="S1315" s="1" t="s">
        <v>1946</v>
      </c>
    </row>
    <row r="1316" spans="1:19" x14ac:dyDescent="0.3">
      <c r="A1316" s="4">
        <v>44938</v>
      </c>
      <c r="B1316" s="5">
        <f t="shared" si="272"/>
        <v>1</v>
      </c>
      <c r="C1316" s="5">
        <f t="shared" si="273"/>
        <v>2023</v>
      </c>
      <c r="D1316" s="5" t="s">
        <v>1182</v>
      </c>
      <c r="E1316" s="5" t="str">
        <f>VLOOKUP(F1316,'Set up'!$A$2:$C$70,2,FALSE)</f>
        <v>C00000022</v>
      </c>
      <c r="F1316" s="1" t="s">
        <v>637</v>
      </c>
      <c r="G1316" s="103" t="s">
        <v>771</v>
      </c>
      <c r="H1316" s="5">
        <v>1</v>
      </c>
      <c r="I1316" s="5" t="str">
        <f>VLOOKUP(F1316,'Set up'!$A$2:$C$70,3,FALSE)</f>
        <v>Cash</v>
      </c>
      <c r="J1316" s="5">
        <f>VLOOKUP(F1316,'Set up'!$A$2:$D$70,4,FALSE)</f>
        <v>0</v>
      </c>
      <c r="K1316" s="4">
        <f t="shared" si="274"/>
        <v>44938</v>
      </c>
      <c r="L1316" s="5">
        <f t="shared" si="275"/>
        <v>1</v>
      </c>
      <c r="M1316" s="5">
        <f t="shared" si="276"/>
        <v>2023</v>
      </c>
      <c r="N1316" s="6">
        <v>256</v>
      </c>
      <c r="O1316" s="6">
        <f t="shared" ref="O1316" si="286">-N1316</f>
        <v>-256</v>
      </c>
      <c r="P1316" s="6">
        <f t="shared" si="285"/>
        <v>0</v>
      </c>
      <c r="Q1316" s="7">
        <f t="shared" si="278"/>
        <v>2431395.9500000011</v>
      </c>
      <c r="R1316" s="44" t="str">
        <f>VLOOKUP(F1316,'Set up'!$A$2:$E$70,5,FALSE)</f>
        <v>Trsf</v>
      </c>
      <c r="S1316" s="1" t="s">
        <v>1300</v>
      </c>
    </row>
    <row r="1317" spans="1:19" x14ac:dyDescent="0.3">
      <c r="A1317" s="4">
        <v>44939</v>
      </c>
      <c r="B1317" s="5">
        <f t="shared" si="272"/>
        <v>1</v>
      </c>
      <c r="C1317" s="5">
        <f t="shared" si="273"/>
        <v>2023</v>
      </c>
      <c r="D1317" s="5" t="s">
        <v>1183</v>
      </c>
      <c r="E1317" s="5" t="str">
        <f>VLOOKUP(F1317,'Set up'!$A$2:$C$70,2,FALSE)</f>
        <v>C00000023</v>
      </c>
      <c r="F1317" s="1" t="s">
        <v>665</v>
      </c>
      <c r="G1317" s="89" t="s">
        <v>1178</v>
      </c>
      <c r="H1317" s="5">
        <v>1</v>
      </c>
      <c r="I1317" s="5" t="str">
        <f>VLOOKUP(F1317,'Set up'!$A$2:$C$70,3,FALSE)</f>
        <v>Cash</v>
      </c>
      <c r="J1317" s="5">
        <f>VLOOKUP(F1317,'Set up'!$A$2:$D$70,4,FALSE)</f>
        <v>0</v>
      </c>
      <c r="K1317" s="4">
        <f t="shared" si="274"/>
        <v>44939</v>
      </c>
      <c r="L1317" s="5">
        <f t="shared" si="275"/>
        <v>1</v>
      </c>
      <c r="M1317" s="5">
        <f t="shared" si="276"/>
        <v>2023</v>
      </c>
      <c r="N1317" s="6">
        <v>1738</v>
      </c>
      <c r="O1317" s="6">
        <f>-N1317</f>
        <v>-1738</v>
      </c>
      <c r="P1317" s="6">
        <f t="shared" si="285"/>
        <v>0</v>
      </c>
      <c r="Q1317" s="7">
        <f t="shared" si="278"/>
        <v>2433133.9500000011</v>
      </c>
      <c r="R1317" s="44" t="str">
        <f>VLOOKUP(F1317,'Set up'!$A$2:$E$70,5,FALSE)</f>
        <v>Trsf</v>
      </c>
      <c r="S1317" s="1" t="s">
        <v>1212</v>
      </c>
    </row>
    <row r="1318" spans="1:19" x14ac:dyDescent="0.3">
      <c r="A1318" s="4">
        <v>44939</v>
      </c>
      <c r="B1318" s="5">
        <f t="shared" si="272"/>
        <v>1</v>
      </c>
      <c r="C1318" s="5">
        <f t="shared" si="273"/>
        <v>2023</v>
      </c>
      <c r="D1318" s="5" t="s">
        <v>1183</v>
      </c>
      <c r="E1318" s="5" t="str">
        <f>VLOOKUP(F1318,'Set up'!$A$2:$C$70,2,FALSE)</f>
        <v>C00000023</v>
      </c>
      <c r="F1318" s="1" t="s">
        <v>665</v>
      </c>
      <c r="G1318" s="89" t="s">
        <v>1110</v>
      </c>
      <c r="H1318" s="5">
        <v>1</v>
      </c>
      <c r="I1318" s="5" t="str">
        <f>VLOOKUP(F1318,'Set up'!$A$2:$C$70,3,FALSE)</f>
        <v>Cash</v>
      </c>
      <c r="J1318" s="5">
        <f>VLOOKUP(F1318,'Set up'!$A$2:$D$70,4,FALSE)</f>
        <v>0</v>
      </c>
      <c r="K1318" s="4">
        <f t="shared" si="274"/>
        <v>44939</v>
      </c>
      <c r="L1318" s="5">
        <f t="shared" si="275"/>
        <v>1</v>
      </c>
      <c r="M1318" s="5">
        <f t="shared" si="276"/>
        <v>2023</v>
      </c>
      <c r="N1318" s="6">
        <v>62.5</v>
      </c>
      <c r="O1318" s="6">
        <f>-N1318</f>
        <v>-62.5</v>
      </c>
      <c r="P1318" s="6">
        <f t="shared" si="285"/>
        <v>0</v>
      </c>
      <c r="Q1318" s="7">
        <f t="shared" si="278"/>
        <v>2433196.4500000011</v>
      </c>
      <c r="R1318" s="44" t="str">
        <f>VLOOKUP(F1318,'Set up'!$A$2:$E$70,5,FALSE)</f>
        <v>Trsf</v>
      </c>
      <c r="S1318" s="1" t="s">
        <v>1212</v>
      </c>
    </row>
    <row r="1319" spans="1:19" x14ac:dyDescent="0.3">
      <c r="A1319" s="4">
        <v>44940</v>
      </c>
      <c r="B1319" s="5">
        <f t="shared" si="272"/>
        <v>1</v>
      </c>
      <c r="C1319" s="5">
        <f t="shared" si="273"/>
        <v>2023</v>
      </c>
      <c r="D1319" s="5" t="s">
        <v>1188</v>
      </c>
      <c r="E1319" s="5" t="str">
        <f>VLOOKUP(F1319,'Set up'!$A$2:$C$70,2,FALSE)</f>
        <v>C00000029</v>
      </c>
      <c r="F1319" s="1" t="s">
        <v>958</v>
      </c>
      <c r="G1319" s="89" t="s">
        <v>64</v>
      </c>
      <c r="H1319" s="5">
        <v>4</v>
      </c>
      <c r="I1319" s="5" t="str">
        <f>VLOOKUP(F1319,'Set up'!$A$2:$C$70,3,FALSE)</f>
        <v>Cash</v>
      </c>
      <c r="J1319" s="5">
        <f>VLOOKUP(F1319,'Set up'!$A$2:$D$70,4,FALSE)</f>
        <v>0</v>
      </c>
      <c r="K1319" s="4">
        <f t="shared" si="274"/>
        <v>44940</v>
      </c>
      <c r="L1319" s="5">
        <f t="shared" si="275"/>
        <v>1</v>
      </c>
      <c r="M1319" s="5">
        <f t="shared" si="276"/>
        <v>2023</v>
      </c>
      <c r="N1319" s="6">
        <v>250</v>
      </c>
      <c r="O1319" s="6">
        <f t="shared" ref="O1319:O1323" si="287">-N1319</f>
        <v>-250</v>
      </c>
      <c r="P1319" s="6">
        <f t="shared" si="285"/>
        <v>0</v>
      </c>
      <c r="Q1319" s="7">
        <f t="shared" si="278"/>
        <v>2433446.4500000011</v>
      </c>
      <c r="R1319" s="44" t="str">
        <f>VLOOKUP(F1319,'Set up'!$A$2:$E$70,5,FALSE)</f>
        <v>Trsf</v>
      </c>
      <c r="S1319" s="1" t="s">
        <v>1220</v>
      </c>
    </row>
    <row r="1320" spans="1:19" x14ac:dyDescent="0.3">
      <c r="A1320" s="4">
        <v>44940</v>
      </c>
      <c r="B1320" s="5">
        <f t="shared" si="272"/>
        <v>1</v>
      </c>
      <c r="C1320" s="5">
        <f t="shared" si="273"/>
        <v>2023</v>
      </c>
      <c r="D1320" s="5" t="s">
        <v>1189</v>
      </c>
      <c r="E1320" s="5" t="str">
        <f>VLOOKUP(F1320,'Set up'!$A$2:$C$70,2,FALSE)</f>
        <v>C00000020</v>
      </c>
      <c r="F1320" s="1" t="s">
        <v>409</v>
      </c>
      <c r="G1320" s="89" t="s">
        <v>716</v>
      </c>
      <c r="H1320" s="5">
        <v>5</v>
      </c>
      <c r="I1320" s="5" t="str">
        <f>VLOOKUP(F1320,'Set up'!$A$2:$C$70,3,FALSE)</f>
        <v>Cash</v>
      </c>
      <c r="J1320" s="5">
        <f>VLOOKUP(F1320,'Set up'!$A$2:$D$70,4,FALSE)</f>
        <v>0</v>
      </c>
      <c r="K1320" s="4">
        <f t="shared" si="274"/>
        <v>44940</v>
      </c>
      <c r="L1320" s="5">
        <f t="shared" si="275"/>
        <v>1</v>
      </c>
      <c r="M1320" s="5">
        <f t="shared" si="276"/>
        <v>2023</v>
      </c>
      <c r="N1320" s="6">
        <v>8690</v>
      </c>
      <c r="O1320" s="6">
        <f t="shared" si="287"/>
        <v>-8690</v>
      </c>
      <c r="P1320" s="6">
        <f t="shared" si="285"/>
        <v>0</v>
      </c>
      <c r="Q1320" s="7">
        <f t="shared" si="278"/>
        <v>2442136.4500000011</v>
      </c>
      <c r="R1320" s="44" t="str">
        <f>VLOOKUP(F1320,'Set up'!$A$2:$E$70,5,FALSE)</f>
        <v>Trsf</v>
      </c>
      <c r="S1320" s="1" t="s">
        <v>1941</v>
      </c>
    </row>
    <row r="1321" spans="1:19" x14ac:dyDescent="0.3">
      <c r="A1321" s="4">
        <v>44940</v>
      </c>
      <c r="B1321" s="5">
        <f t="shared" si="272"/>
        <v>1</v>
      </c>
      <c r="C1321" s="5">
        <f t="shared" si="273"/>
        <v>2023</v>
      </c>
      <c r="D1321" s="5" t="s">
        <v>1189</v>
      </c>
      <c r="E1321" s="5" t="str">
        <f>VLOOKUP(F1321,'Set up'!$A$2:$C$70,2,FALSE)</f>
        <v>C00000020</v>
      </c>
      <c r="F1321" s="1" t="s">
        <v>409</v>
      </c>
      <c r="G1321" s="89" t="s">
        <v>913</v>
      </c>
      <c r="H1321" s="5">
        <v>15</v>
      </c>
      <c r="I1321" s="5" t="str">
        <f>VLOOKUP(F1321,'Set up'!$A$2:$C$70,3,FALSE)</f>
        <v>Cash</v>
      </c>
      <c r="J1321" s="5">
        <f>VLOOKUP(F1321,'Set up'!$A$2:$D$70,4,FALSE)</f>
        <v>0</v>
      </c>
      <c r="K1321" s="4">
        <f t="shared" si="274"/>
        <v>44940</v>
      </c>
      <c r="L1321" s="5">
        <f t="shared" si="275"/>
        <v>1</v>
      </c>
      <c r="M1321" s="5">
        <f t="shared" si="276"/>
        <v>2023</v>
      </c>
      <c r="N1321" s="6">
        <v>3510</v>
      </c>
      <c r="O1321" s="6">
        <f t="shared" si="287"/>
        <v>-3510</v>
      </c>
      <c r="P1321" s="6">
        <f t="shared" si="285"/>
        <v>0</v>
      </c>
      <c r="Q1321" s="7">
        <f t="shared" si="278"/>
        <v>2445646.4500000011</v>
      </c>
      <c r="R1321" s="44" t="str">
        <f>VLOOKUP(F1321,'Set up'!$A$2:$E$70,5,FALSE)</f>
        <v>Trsf</v>
      </c>
      <c r="S1321" s="1" t="s">
        <v>1942</v>
      </c>
    </row>
    <row r="1322" spans="1:19" x14ac:dyDescent="0.3">
      <c r="A1322" s="4">
        <v>44940</v>
      </c>
      <c r="B1322" s="5">
        <f t="shared" si="272"/>
        <v>1</v>
      </c>
      <c r="C1322" s="5">
        <f t="shared" si="273"/>
        <v>2023</v>
      </c>
      <c r="D1322" s="5" t="s">
        <v>1189</v>
      </c>
      <c r="E1322" s="5" t="str">
        <f>VLOOKUP(F1322,'Set up'!$A$2:$C$70,2,FALSE)</f>
        <v>C00000020</v>
      </c>
      <c r="F1322" s="1" t="s">
        <v>409</v>
      </c>
      <c r="G1322" s="89" t="s">
        <v>1168</v>
      </c>
      <c r="H1322" s="5">
        <v>6</v>
      </c>
      <c r="I1322" s="5" t="str">
        <f>VLOOKUP(F1322,'Set up'!$A$2:$C$70,3,FALSE)</f>
        <v>Cash</v>
      </c>
      <c r="J1322" s="5">
        <f>VLOOKUP(F1322,'Set up'!$A$2:$D$70,4,FALSE)</f>
        <v>0</v>
      </c>
      <c r="K1322" s="4">
        <f t="shared" si="274"/>
        <v>44940</v>
      </c>
      <c r="L1322" s="5">
        <f t="shared" si="275"/>
        <v>1</v>
      </c>
      <c r="M1322" s="5">
        <f t="shared" si="276"/>
        <v>2023</v>
      </c>
      <c r="N1322" s="6">
        <v>1638</v>
      </c>
      <c r="O1322" s="6">
        <f t="shared" si="287"/>
        <v>-1638</v>
      </c>
      <c r="P1322" s="6">
        <f t="shared" si="285"/>
        <v>0</v>
      </c>
      <c r="Q1322" s="7">
        <f t="shared" si="278"/>
        <v>2447284.4500000011</v>
      </c>
      <c r="R1322" s="44" t="str">
        <f>VLOOKUP(F1322,'Set up'!$A$2:$E$70,5,FALSE)</f>
        <v>Trsf</v>
      </c>
      <c r="S1322" s="1" t="s">
        <v>1943</v>
      </c>
    </row>
    <row r="1323" spans="1:19" x14ac:dyDescent="0.3">
      <c r="A1323" s="4">
        <v>44940</v>
      </c>
      <c r="B1323" s="5">
        <f t="shared" si="272"/>
        <v>1</v>
      </c>
      <c r="C1323" s="5">
        <f t="shared" si="273"/>
        <v>2023</v>
      </c>
      <c r="D1323" s="5" t="s">
        <v>1189</v>
      </c>
      <c r="E1323" s="5" t="str">
        <f>VLOOKUP(F1323,'Set up'!$A$2:$C$70,2,FALSE)</f>
        <v>C00000020</v>
      </c>
      <c r="F1323" s="1" t="s">
        <v>409</v>
      </c>
      <c r="G1323" s="89" t="s">
        <v>1110</v>
      </c>
      <c r="H1323" s="5">
        <v>5</v>
      </c>
      <c r="I1323" s="5" t="str">
        <f>VLOOKUP(F1323,'Set up'!$A$2:$C$70,3,FALSE)</f>
        <v>Cash</v>
      </c>
      <c r="J1323" s="5">
        <f>VLOOKUP(F1323,'Set up'!$A$2:$D$70,4,FALSE)</f>
        <v>0</v>
      </c>
      <c r="K1323" s="4">
        <f t="shared" si="274"/>
        <v>44940</v>
      </c>
      <c r="L1323" s="5">
        <f t="shared" si="275"/>
        <v>1</v>
      </c>
      <c r="M1323" s="5">
        <f t="shared" si="276"/>
        <v>2023</v>
      </c>
      <c r="N1323" s="6">
        <v>312.5</v>
      </c>
      <c r="O1323" s="6">
        <f t="shared" si="287"/>
        <v>-312.5</v>
      </c>
      <c r="P1323" s="6">
        <f t="shared" si="285"/>
        <v>0</v>
      </c>
      <c r="Q1323" s="7">
        <f t="shared" si="278"/>
        <v>2447596.9500000011</v>
      </c>
      <c r="R1323" s="44" t="str">
        <f>VLOOKUP(F1323,'Set up'!$A$2:$E$70,5,FALSE)</f>
        <v>Trsf</v>
      </c>
      <c r="S1323" s="1" t="s">
        <v>1944</v>
      </c>
    </row>
    <row r="1324" spans="1:19" x14ac:dyDescent="0.3">
      <c r="A1324" s="4">
        <v>44942</v>
      </c>
      <c r="B1324" s="5">
        <f t="shared" si="272"/>
        <v>1</v>
      </c>
      <c r="C1324" s="5">
        <f t="shared" si="273"/>
        <v>2023</v>
      </c>
      <c r="D1324" s="5" t="s">
        <v>1190</v>
      </c>
      <c r="E1324" s="5" t="str">
        <f>VLOOKUP(F1324,'Set up'!$A$2:$C$70,2,FALSE)</f>
        <v>C00000021</v>
      </c>
      <c r="F1324" s="1" t="s">
        <v>491</v>
      </c>
      <c r="G1324" s="89" t="s">
        <v>716</v>
      </c>
      <c r="H1324" s="5">
        <v>1</v>
      </c>
      <c r="I1324" s="5" t="str">
        <f>VLOOKUP(F1324,'Set up'!$A$2:$C$70,3,FALSE)</f>
        <v>Cash</v>
      </c>
      <c r="J1324" s="5">
        <f>VLOOKUP(F1324,'Set up'!$A$2:$D$70,4,FALSE)</f>
        <v>0</v>
      </c>
      <c r="K1324" s="4">
        <f t="shared" si="274"/>
        <v>44942</v>
      </c>
      <c r="L1324" s="5">
        <f t="shared" si="275"/>
        <v>1</v>
      </c>
      <c r="M1324" s="5">
        <f t="shared" si="276"/>
        <v>2023</v>
      </c>
      <c r="N1324" s="6">
        <v>1936</v>
      </c>
      <c r="O1324" s="6">
        <f t="shared" ref="O1324:O1326" si="288">-N1324</f>
        <v>-1936</v>
      </c>
      <c r="P1324" s="6">
        <f t="shared" si="285"/>
        <v>0</v>
      </c>
      <c r="Q1324" s="7">
        <f t="shared" si="278"/>
        <v>2449532.9500000011</v>
      </c>
      <c r="R1324" s="44" t="str">
        <f>VLOOKUP(F1324,'Set up'!$A$2:$E$70,5,FALSE)</f>
        <v>PD Chq</v>
      </c>
      <c r="S1324" s="1" t="s">
        <v>1527</v>
      </c>
    </row>
    <row r="1325" spans="1:19" x14ac:dyDescent="0.3">
      <c r="A1325" s="4">
        <v>44942</v>
      </c>
      <c r="B1325" s="5">
        <f t="shared" si="272"/>
        <v>1</v>
      </c>
      <c r="C1325" s="5">
        <f t="shared" si="273"/>
        <v>2023</v>
      </c>
      <c r="D1325" s="5" t="s">
        <v>1190</v>
      </c>
      <c r="E1325" s="5" t="str">
        <f>VLOOKUP(F1325,'Set up'!$A$2:$C$70,2,FALSE)</f>
        <v>C00000021</v>
      </c>
      <c r="F1325" s="1" t="s">
        <v>491</v>
      </c>
      <c r="G1325" s="89" t="s">
        <v>654</v>
      </c>
      <c r="H1325" s="5">
        <v>3</v>
      </c>
      <c r="I1325" s="5" t="str">
        <f>VLOOKUP(F1325,'Set up'!$A$2:$C$70,3,FALSE)</f>
        <v>Cash</v>
      </c>
      <c r="J1325" s="5">
        <f>VLOOKUP(F1325,'Set up'!$A$2:$D$70,4,FALSE)</f>
        <v>0</v>
      </c>
      <c r="K1325" s="4">
        <f t="shared" si="274"/>
        <v>44942</v>
      </c>
      <c r="L1325" s="5">
        <f t="shared" si="275"/>
        <v>1</v>
      </c>
      <c r="M1325" s="5">
        <f t="shared" si="276"/>
        <v>2023</v>
      </c>
      <c r="N1325" s="6">
        <v>801</v>
      </c>
      <c r="O1325" s="6">
        <f t="shared" si="288"/>
        <v>-801</v>
      </c>
      <c r="P1325" s="6">
        <f t="shared" si="285"/>
        <v>0</v>
      </c>
      <c r="Q1325" s="7">
        <f t="shared" si="278"/>
        <v>2450333.9500000011</v>
      </c>
      <c r="R1325" s="44" t="str">
        <f>VLOOKUP(F1325,'Set up'!$A$2:$E$70,5,FALSE)</f>
        <v>PD Chq</v>
      </c>
      <c r="S1325" s="1" t="s">
        <v>1527</v>
      </c>
    </row>
    <row r="1326" spans="1:19" x14ac:dyDescent="0.3">
      <c r="A1326" s="4">
        <v>44942</v>
      </c>
      <c r="B1326" s="5">
        <f t="shared" si="272"/>
        <v>1</v>
      </c>
      <c r="C1326" s="5">
        <f t="shared" si="273"/>
        <v>2023</v>
      </c>
      <c r="D1326" s="5" t="s">
        <v>1190</v>
      </c>
      <c r="E1326" s="5" t="str">
        <f>VLOOKUP(F1326,'Set up'!$A$2:$C$70,2,FALSE)</f>
        <v>C00000021</v>
      </c>
      <c r="F1326" s="1" t="s">
        <v>491</v>
      </c>
      <c r="G1326" s="89" t="s">
        <v>666</v>
      </c>
      <c r="H1326" s="5">
        <v>1</v>
      </c>
      <c r="I1326" s="5" t="str">
        <f>VLOOKUP(F1326,'Set up'!$A$2:$C$70,3,FALSE)</f>
        <v>Cash</v>
      </c>
      <c r="J1326" s="5">
        <f>VLOOKUP(F1326,'Set up'!$A$2:$D$70,4,FALSE)</f>
        <v>0</v>
      </c>
      <c r="K1326" s="4">
        <f t="shared" si="274"/>
        <v>44942</v>
      </c>
      <c r="L1326" s="5">
        <f t="shared" si="275"/>
        <v>1</v>
      </c>
      <c r="M1326" s="5">
        <f t="shared" si="276"/>
        <v>2023</v>
      </c>
      <c r="N1326" s="6">
        <v>95</v>
      </c>
      <c r="O1326" s="6">
        <f t="shared" si="288"/>
        <v>-95</v>
      </c>
      <c r="P1326" s="6">
        <f t="shared" si="285"/>
        <v>0</v>
      </c>
      <c r="Q1326" s="7">
        <f t="shared" si="278"/>
        <v>2450428.9500000011</v>
      </c>
      <c r="R1326" s="44" t="str">
        <f>VLOOKUP(F1326,'Set up'!$A$2:$E$70,5,FALSE)</f>
        <v>PD Chq</v>
      </c>
      <c r="S1326" s="1" t="s">
        <v>1527</v>
      </c>
    </row>
    <row r="1327" spans="1:19" x14ac:dyDescent="0.3">
      <c r="A1327" s="4">
        <v>44944</v>
      </c>
      <c r="B1327" s="5">
        <f t="shared" si="272"/>
        <v>1</v>
      </c>
      <c r="C1327" s="5">
        <f t="shared" si="273"/>
        <v>2023</v>
      </c>
      <c r="D1327" s="5" t="s">
        <v>1191</v>
      </c>
      <c r="E1327" s="5" t="str">
        <f>VLOOKUP(F1327,'Set up'!$A$2:$C$70,2,FALSE)</f>
        <v>C00000022</v>
      </c>
      <c r="F1327" s="1" t="s">
        <v>637</v>
      </c>
      <c r="G1327" s="89" t="s">
        <v>95</v>
      </c>
      <c r="H1327" s="5">
        <v>1</v>
      </c>
      <c r="I1327" s="5" t="str">
        <f>VLOOKUP(F1327,'Set up'!$A$2:$C$70,3,FALSE)</f>
        <v>Cash</v>
      </c>
      <c r="J1327" s="5">
        <f>VLOOKUP(F1327,'Set up'!$A$2:$D$70,4,FALSE)</f>
        <v>0</v>
      </c>
      <c r="K1327" s="4">
        <f t="shared" si="274"/>
        <v>44944</v>
      </c>
      <c r="L1327" s="5">
        <f t="shared" si="275"/>
        <v>1</v>
      </c>
      <c r="M1327" s="5">
        <f t="shared" si="276"/>
        <v>2023</v>
      </c>
      <c r="N1327" s="6">
        <v>1936</v>
      </c>
      <c r="O1327" s="6">
        <f>-1720-216</f>
        <v>-1936</v>
      </c>
      <c r="P1327" s="6">
        <f t="shared" ref="P1327:P1346" si="289">SUM(N1327+O1327)</f>
        <v>0</v>
      </c>
      <c r="Q1327" s="7">
        <f t="shared" si="278"/>
        <v>2452364.9500000011</v>
      </c>
      <c r="R1327" s="44" t="str">
        <f>VLOOKUP(F1327,'Set up'!$A$2:$E$70,5,FALSE)</f>
        <v>Trsf</v>
      </c>
      <c r="S1327" s="1" t="s">
        <v>1384</v>
      </c>
    </row>
    <row r="1328" spans="1:19" x14ac:dyDescent="0.3">
      <c r="A1328" s="4">
        <v>44944</v>
      </c>
      <c r="B1328" s="5">
        <f t="shared" si="272"/>
        <v>1</v>
      </c>
      <c r="C1328" s="5">
        <f t="shared" si="273"/>
        <v>2023</v>
      </c>
      <c r="D1328" s="5" t="s">
        <v>1192</v>
      </c>
      <c r="E1328" s="5" t="str">
        <f>VLOOKUP(F1328,'Set up'!$A$2:$C$70,2,FALSE)</f>
        <v>C00000010</v>
      </c>
      <c r="F1328" s="1" t="s">
        <v>62</v>
      </c>
      <c r="G1328" s="89" t="s">
        <v>1178</v>
      </c>
      <c r="H1328" s="5">
        <v>8</v>
      </c>
      <c r="I1328" s="5">
        <f>VLOOKUP(F1328,'Set up'!$A$2:$C$70,3,FALSE)</f>
        <v>120</v>
      </c>
      <c r="J1328" s="5">
        <f>VLOOKUP(F1328,'Set up'!$A$2:$D$70,4,FALSE)</f>
        <v>120</v>
      </c>
      <c r="K1328" s="4">
        <f t="shared" si="274"/>
        <v>45064</v>
      </c>
      <c r="L1328" s="5">
        <f t="shared" si="275"/>
        <v>5</v>
      </c>
      <c r="M1328" s="5">
        <f t="shared" si="276"/>
        <v>2023</v>
      </c>
      <c r="N1328" s="6">
        <v>13024</v>
      </c>
      <c r="O1328" s="6">
        <f t="shared" ref="O1328:O1333" si="290">-N1328</f>
        <v>-13024</v>
      </c>
      <c r="P1328" s="6">
        <f t="shared" si="289"/>
        <v>0</v>
      </c>
      <c r="Q1328" s="7">
        <f t="shared" si="278"/>
        <v>2465388.9500000011</v>
      </c>
      <c r="R1328" s="44" t="str">
        <f>VLOOKUP(F1328,'Set up'!$A$2:$E$70,5,FALSE)</f>
        <v>Trsf</v>
      </c>
      <c r="S1328" s="1" t="s">
        <v>1580</v>
      </c>
    </row>
    <row r="1329" spans="1:19" x14ac:dyDescent="0.3">
      <c r="A1329" s="4">
        <v>44944</v>
      </c>
      <c r="B1329" s="5">
        <f t="shared" si="272"/>
        <v>1</v>
      </c>
      <c r="C1329" s="5">
        <f t="shared" si="273"/>
        <v>2023</v>
      </c>
      <c r="D1329" s="5" t="s">
        <v>1192</v>
      </c>
      <c r="E1329" s="5" t="str">
        <f>VLOOKUP(F1329,'Set up'!$A$2:$C$70,2,FALSE)</f>
        <v>C00000010</v>
      </c>
      <c r="F1329" s="1" t="s">
        <v>62</v>
      </c>
      <c r="G1329" s="89" t="s">
        <v>913</v>
      </c>
      <c r="H1329" s="5">
        <v>10</v>
      </c>
      <c r="I1329" s="5">
        <f>VLOOKUP(F1329,'Set up'!$A$2:$C$70,3,FALSE)</f>
        <v>120</v>
      </c>
      <c r="J1329" s="5">
        <f>VLOOKUP(F1329,'Set up'!$A$2:$D$70,4,FALSE)</f>
        <v>120</v>
      </c>
      <c r="K1329" s="4">
        <f t="shared" si="274"/>
        <v>45064</v>
      </c>
      <c r="L1329" s="5">
        <f t="shared" si="275"/>
        <v>5</v>
      </c>
      <c r="M1329" s="5">
        <f t="shared" si="276"/>
        <v>2023</v>
      </c>
      <c r="N1329" s="6">
        <v>2070</v>
      </c>
      <c r="O1329" s="6">
        <f t="shared" si="290"/>
        <v>-2070</v>
      </c>
      <c r="P1329" s="6">
        <f t="shared" si="289"/>
        <v>0</v>
      </c>
      <c r="Q1329" s="7">
        <f t="shared" si="278"/>
        <v>2467458.9500000011</v>
      </c>
      <c r="R1329" s="44" t="str">
        <f>VLOOKUP(F1329,'Set up'!$A$2:$E$70,5,FALSE)</f>
        <v>Trsf</v>
      </c>
      <c r="S1329" s="1" t="s">
        <v>1580</v>
      </c>
    </row>
    <row r="1330" spans="1:19" x14ac:dyDescent="0.3">
      <c r="A1330" s="4">
        <v>44944</v>
      </c>
      <c r="B1330" s="5">
        <f t="shared" si="272"/>
        <v>1</v>
      </c>
      <c r="C1330" s="5">
        <f t="shared" si="273"/>
        <v>2023</v>
      </c>
      <c r="D1330" s="5" t="s">
        <v>1192</v>
      </c>
      <c r="E1330" s="5" t="str">
        <f>VLOOKUP(F1330,'Set up'!$A$2:$C$70,2,FALSE)</f>
        <v>C00000010</v>
      </c>
      <c r="F1330" s="1" t="s">
        <v>62</v>
      </c>
      <c r="G1330" s="89" t="s">
        <v>791</v>
      </c>
      <c r="H1330" s="5">
        <v>10</v>
      </c>
      <c r="I1330" s="5">
        <f>VLOOKUP(F1330,'Set up'!$A$2:$C$70,3,FALSE)</f>
        <v>120</v>
      </c>
      <c r="J1330" s="5">
        <f>VLOOKUP(F1330,'Set up'!$A$2:$D$70,4,FALSE)</f>
        <v>120</v>
      </c>
      <c r="K1330" s="4">
        <f t="shared" si="274"/>
        <v>45064</v>
      </c>
      <c r="L1330" s="5">
        <f t="shared" si="275"/>
        <v>5</v>
      </c>
      <c r="M1330" s="5">
        <f t="shared" si="276"/>
        <v>2023</v>
      </c>
      <c r="N1330" s="6">
        <v>575</v>
      </c>
      <c r="O1330" s="6">
        <f t="shared" si="290"/>
        <v>-575</v>
      </c>
      <c r="P1330" s="6">
        <f t="shared" si="289"/>
        <v>0</v>
      </c>
      <c r="Q1330" s="7">
        <f t="shared" si="278"/>
        <v>2468033.9500000011</v>
      </c>
      <c r="R1330" s="44" t="str">
        <f>VLOOKUP(F1330,'Set up'!$A$2:$E$70,5,FALSE)</f>
        <v>Trsf</v>
      </c>
      <c r="S1330" s="1" t="s">
        <v>1580</v>
      </c>
    </row>
    <row r="1331" spans="1:19" x14ac:dyDescent="0.3">
      <c r="A1331" s="4">
        <v>44944</v>
      </c>
      <c r="B1331" s="5">
        <f t="shared" si="272"/>
        <v>1</v>
      </c>
      <c r="C1331" s="5">
        <f t="shared" si="273"/>
        <v>2023</v>
      </c>
      <c r="D1331" s="5" t="s">
        <v>1192</v>
      </c>
      <c r="E1331" s="5" t="str">
        <f>VLOOKUP(F1331,'Set up'!$A$2:$C$70,2,FALSE)</f>
        <v>C00000010</v>
      </c>
      <c r="F1331" s="1" t="s">
        <v>62</v>
      </c>
      <c r="G1331" s="89" t="s">
        <v>46</v>
      </c>
      <c r="H1331" s="5">
        <v>8</v>
      </c>
      <c r="I1331" s="5">
        <f>VLOOKUP(F1331,'Set up'!$A$2:$C$70,3,FALSE)</f>
        <v>120</v>
      </c>
      <c r="J1331" s="5">
        <f>VLOOKUP(F1331,'Set up'!$A$2:$D$70,4,FALSE)</f>
        <v>120</v>
      </c>
      <c r="K1331" s="4">
        <f t="shared" si="274"/>
        <v>45064</v>
      </c>
      <c r="L1331" s="5">
        <f t="shared" si="275"/>
        <v>5</v>
      </c>
      <c r="M1331" s="5">
        <f t="shared" si="276"/>
        <v>2023</v>
      </c>
      <c r="N1331" s="6">
        <v>840</v>
      </c>
      <c r="O1331" s="6">
        <f t="shared" si="290"/>
        <v>-840</v>
      </c>
      <c r="P1331" s="6">
        <f t="shared" si="289"/>
        <v>0</v>
      </c>
      <c r="Q1331" s="7">
        <f t="shared" si="278"/>
        <v>2468873.9500000011</v>
      </c>
      <c r="R1331" s="44" t="str">
        <f>VLOOKUP(F1331,'Set up'!$A$2:$E$70,5,FALSE)</f>
        <v>Trsf</v>
      </c>
      <c r="S1331" s="1" t="s">
        <v>1580</v>
      </c>
    </row>
    <row r="1332" spans="1:19" x14ac:dyDescent="0.3">
      <c r="A1332" s="4">
        <v>44944</v>
      </c>
      <c r="B1332" s="5">
        <f t="shared" si="272"/>
        <v>1</v>
      </c>
      <c r="C1332" s="5">
        <f t="shared" si="273"/>
        <v>2023</v>
      </c>
      <c r="D1332" s="5" t="s">
        <v>1192</v>
      </c>
      <c r="E1332" s="5" t="str">
        <f>VLOOKUP(F1332,'Set up'!$A$2:$C$70,2,FALSE)</f>
        <v>C00000010</v>
      </c>
      <c r="F1332" s="1" t="s">
        <v>62</v>
      </c>
      <c r="G1332" s="89" t="s">
        <v>1093</v>
      </c>
      <c r="H1332" s="5">
        <v>4</v>
      </c>
      <c r="I1332" s="5">
        <f>VLOOKUP(F1332,'Set up'!$A$2:$C$70,3,FALSE)</f>
        <v>120</v>
      </c>
      <c r="J1332" s="5">
        <f>VLOOKUP(F1332,'Set up'!$A$2:$D$70,4,FALSE)</f>
        <v>120</v>
      </c>
      <c r="K1332" s="4">
        <f t="shared" si="274"/>
        <v>45064</v>
      </c>
      <c r="L1332" s="5">
        <f t="shared" si="275"/>
        <v>5</v>
      </c>
      <c r="M1332" s="5">
        <f t="shared" si="276"/>
        <v>2023</v>
      </c>
      <c r="N1332" s="6">
        <v>200</v>
      </c>
      <c r="O1332" s="6">
        <f t="shared" si="290"/>
        <v>-200</v>
      </c>
      <c r="P1332" s="6">
        <f t="shared" si="289"/>
        <v>0</v>
      </c>
      <c r="Q1332" s="7">
        <f t="shared" si="278"/>
        <v>2469073.9500000011</v>
      </c>
      <c r="R1332" s="44" t="str">
        <f>VLOOKUP(F1332,'Set up'!$A$2:$E$70,5,FALSE)</f>
        <v>Trsf</v>
      </c>
      <c r="S1332" s="1" t="s">
        <v>1580</v>
      </c>
    </row>
    <row r="1333" spans="1:19" x14ac:dyDescent="0.3">
      <c r="A1333" s="4">
        <v>44944</v>
      </c>
      <c r="B1333" s="5">
        <f t="shared" si="272"/>
        <v>1</v>
      </c>
      <c r="C1333" s="5">
        <f t="shared" si="273"/>
        <v>2023</v>
      </c>
      <c r="D1333" s="5" t="s">
        <v>1192</v>
      </c>
      <c r="E1333" s="5" t="str">
        <f>VLOOKUP(F1333,'Set up'!$A$2:$C$70,2,FALSE)</f>
        <v>C00000010</v>
      </c>
      <c r="F1333" s="1" t="s">
        <v>62</v>
      </c>
      <c r="G1333" s="89" t="s">
        <v>944</v>
      </c>
      <c r="H1333" s="5">
        <v>1</v>
      </c>
      <c r="I1333" s="5">
        <f>VLOOKUP(F1333,'Set up'!$A$2:$C$70,3,FALSE)</f>
        <v>120</v>
      </c>
      <c r="J1333" s="5">
        <f>VLOOKUP(F1333,'Set up'!$A$2:$D$70,4,FALSE)</f>
        <v>120</v>
      </c>
      <c r="K1333" s="4">
        <f t="shared" si="274"/>
        <v>45064</v>
      </c>
      <c r="L1333" s="5">
        <f t="shared" si="275"/>
        <v>5</v>
      </c>
      <c r="M1333" s="5">
        <f t="shared" si="276"/>
        <v>2023</v>
      </c>
      <c r="N1333" s="6">
        <v>420</v>
      </c>
      <c r="O1333" s="6">
        <f t="shared" si="290"/>
        <v>-420</v>
      </c>
      <c r="P1333" s="6">
        <f t="shared" si="289"/>
        <v>0</v>
      </c>
      <c r="Q1333" s="7">
        <f t="shared" si="278"/>
        <v>2469493.9500000011</v>
      </c>
      <c r="R1333" s="44" t="str">
        <f>VLOOKUP(F1333,'Set up'!$A$2:$E$70,5,FALSE)</f>
        <v>Trsf</v>
      </c>
      <c r="S1333" s="1" t="s">
        <v>1581</v>
      </c>
    </row>
    <row r="1334" spans="1:19" x14ac:dyDescent="0.3">
      <c r="A1334" s="4">
        <v>44945</v>
      </c>
      <c r="B1334" s="5">
        <f t="shared" si="272"/>
        <v>1</v>
      </c>
      <c r="C1334" s="5">
        <f t="shared" si="273"/>
        <v>2023</v>
      </c>
      <c r="D1334" s="5" t="s">
        <v>1193</v>
      </c>
      <c r="E1334" s="5" t="str">
        <f>VLOOKUP(F1334,'Set up'!$A$2:$C$70,2,FALSE)</f>
        <v>C00000020</v>
      </c>
      <c r="F1334" s="1" t="s">
        <v>409</v>
      </c>
      <c r="G1334" s="89" t="s">
        <v>95</v>
      </c>
      <c r="H1334" s="5">
        <v>5</v>
      </c>
      <c r="I1334" s="5" t="str">
        <f>VLOOKUP(F1334,'Set up'!$A$2:$C$70,3,FALSE)</f>
        <v>Cash</v>
      </c>
      <c r="J1334" s="5">
        <f>VLOOKUP(F1334,'Set up'!$A$2:$D$70,4,FALSE)</f>
        <v>0</v>
      </c>
      <c r="K1334" s="4">
        <f t="shared" si="274"/>
        <v>44945</v>
      </c>
      <c r="L1334" s="5">
        <f t="shared" si="275"/>
        <v>1</v>
      </c>
      <c r="M1334" s="5">
        <f t="shared" si="276"/>
        <v>2023</v>
      </c>
      <c r="N1334" s="6">
        <v>8690</v>
      </c>
      <c r="O1334" s="6">
        <f>-8162.2-527.8</f>
        <v>-8690</v>
      </c>
      <c r="P1334" s="6">
        <f t="shared" si="289"/>
        <v>0</v>
      </c>
      <c r="Q1334" s="7">
        <f t="shared" si="278"/>
        <v>2478183.9500000011</v>
      </c>
      <c r="R1334" s="44" t="str">
        <f>VLOOKUP(F1334,'Set up'!$A$2:$E$70,5,FALSE)</f>
        <v>Trsf</v>
      </c>
      <c r="S1334" s="1" t="s">
        <v>2038</v>
      </c>
    </row>
    <row r="1335" spans="1:19" x14ac:dyDescent="0.3">
      <c r="A1335" s="4">
        <v>44945</v>
      </c>
      <c r="B1335" s="5">
        <f t="shared" si="272"/>
        <v>1</v>
      </c>
      <c r="C1335" s="5">
        <f t="shared" si="273"/>
        <v>2023</v>
      </c>
      <c r="D1335" s="5" t="s">
        <v>1193</v>
      </c>
      <c r="E1335" s="5" t="str">
        <f>VLOOKUP(F1335,'Set up'!$A$2:$C$70,2,FALSE)</f>
        <v>C00000020</v>
      </c>
      <c r="F1335" s="1" t="s">
        <v>409</v>
      </c>
      <c r="G1335" s="89" t="s">
        <v>913</v>
      </c>
      <c r="H1335" s="5">
        <v>15</v>
      </c>
      <c r="I1335" s="5" t="str">
        <f>VLOOKUP(F1335,'Set up'!$A$2:$C$70,3,FALSE)</f>
        <v>Cash</v>
      </c>
      <c r="J1335" s="5">
        <f>VLOOKUP(F1335,'Set up'!$A$2:$D$70,4,FALSE)</f>
        <v>0</v>
      </c>
      <c r="K1335" s="4">
        <f t="shared" si="274"/>
        <v>44945</v>
      </c>
      <c r="L1335" s="5">
        <f t="shared" si="275"/>
        <v>1</v>
      </c>
      <c r="M1335" s="5">
        <f t="shared" si="276"/>
        <v>2023</v>
      </c>
      <c r="N1335" s="6">
        <v>3510</v>
      </c>
      <c r="O1335" s="6">
        <f t="shared" ref="O1335:O1337" si="291">-N1335</f>
        <v>-3510</v>
      </c>
      <c r="P1335" s="6">
        <f t="shared" si="289"/>
        <v>0</v>
      </c>
      <c r="Q1335" s="7">
        <f t="shared" si="278"/>
        <v>2481693.9500000011</v>
      </c>
      <c r="R1335" s="44" t="str">
        <f>VLOOKUP(F1335,'Set up'!$A$2:$E$70,5,FALSE)</f>
        <v>Trsf</v>
      </c>
      <c r="S1335" s="1" t="s">
        <v>2039</v>
      </c>
    </row>
    <row r="1336" spans="1:19" x14ac:dyDescent="0.3">
      <c r="A1336" s="4">
        <v>44945</v>
      </c>
      <c r="B1336" s="5">
        <f t="shared" si="272"/>
        <v>1</v>
      </c>
      <c r="C1336" s="5">
        <f t="shared" si="273"/>
        <v>2023</v>
      </c>
      <c r="D1336" s="5" t="s">
        <v>1193</v>
      </c>
      <c r="E1336" s="5" t="str">
        <f>VLOOKUP(F1336,'Set up'!$A$2:$C$70,2,FALSE)</f>
        <v>C00000020</v>
      </c>
      <c r="F1336" s="1" t="s">
        <v>409</v>
      </c>
      <c r="G1336" s="89" t="s">
        <v>1168</v>
      </c>
      <c r="H1336" s="5">
        <v>5</v>
      </c>
      <c r="I1336" s="5" t="str">
        <f>VLOOKUP(F1336,'Set up'!$A$2:$C$70,3,FALSE)</f>
        <v>Cash</v>
      </c>
      <c r="J1336" s="5">
        <f>VLOOKUP(F1336,'Set up'!$A$2:$D$70,4,FALSE)</f>
        <v>0</v>
      </c>
      <c r="K1336" s="4">
        <f t="shared" si="274"/>
        <v>44945</v>
      </c>
      <c r="L1336" s="5">
        <f t="shared" si="275"/>
        <v>1</v>
      </c>
      <c r="M1336" s="5">
        <f t="shared" si="276"/>
        <v>2023</v>
      </c>
      <c r="N1336" s="6">
        <v>1365</v>
      </c>
      <c r="O1336" s="6">
        <f t="shared" si="291"/>
        <v>-1365</v>
      </c>
      <c r="P1336" s="6">
        <f t="shared" si="289"/>
        <v>0</v>
      </c>
      <c r="Q1336" s="7">
        <f t="shared" si="278"/>
        <v>2483058.9500000011</v>
      </c>
      <c r="R1336" s="44" t="str">
        <f>VLOOKUP(F1336,'Set up'!$A$2:$E$70,5,FALSE)</f>
        <v>Trsf</v>
      </c>
      <c r="S1336" s="1" t="s">
        <v>2040</v>
      </c>
    </row>
    <row r="1337" spans="1:19" x14ac:dyDescent="0.3">
      <c r="A1337" s="4">
        <v>44945</v>
      </c>
      <c r="B1337" s="5">
        <f t="shared" si="272"/>
        <v>1</v>
      </c>
      <c r="C1337" s="5">
        <f t="shared" si="273"/>
        <v>2023</v>
      </c>
      <c r="D1337" s="5" t="s">
        <v>1193</v>
      </c>
      <c r="E1337" s="5" t="str">
        <f>VLOOKUP(F1337,'Set up'!$A$2:$C$70,2,FALSE)</f>
        <v>C00000020</v>
      </c>
      <c r="F1337" s="1" t="s">
        <v>409</v>
      </c>
      <c r="G1337" s="89" t="s">
        <v>1073</v>
      </c>
      <c r="H1337" s="5">
        <v>1</v>
      </c>
      <c r="I1337" s="5" t="str">
        <f>VLOOKUP(F1337,'Set up'!$A$2:$C$70,3,FALSE)</f>
        <v>Cash</v>
      </c>
      <c r="J1337" s="5">
        <f>VLOOKUP(F1337,'Set up'!$A$2:$D$70,4,FALSE)</f>
        <v>0</v>
      </c>
      <c r="K1337" s="4">
        <f t="shared" si="274"/>
        <v>44945</v>
      </c>
      <c r="L1337" s="5">
        <f t="shared" si="275"/>
        <v>1</v>
      </c>
      <c r="M1337" s="5">
        <f t="shared" si="276"/>
        <v>2023</v>
      </c>
      <c r="N1337" s="6">
        <v>1000</v>
      </c>
      <c r="O1337" s="6">
        <f t="shared" si="291"/>
        <v>-1000</v>
      </c>
      <c r="P1337" s="6">
        <f t="shared" si="289"/>
        <v>0</v>
      </c>
      <c r="Q1337" s="7">
        <f t="shared" si="278"/>
        <v>2484058.9500000011</v>
      </c>
      <c r="R1337" s="44" t="str">
        <f>VLOOKUP(F1337,'Set up'!$A$2:$E$70,5,FALSE)</f>
        <v>Trsf</v>
      </c>
      <c r="S1337" s="1" t="s">
        <v>2041</v>
      </c>
    </row>
    <row r="1338" spans="1:19" x14ac:dyDescent="0.3">
      <c r="A1338" s="4">
        <v>44946</v>
      </c>
      <c r="B1338" s="5">
        <f t="shared" si="272"/>
        <v>1</v>
      </c>
      <c r="C1338" s="5">
        <f t="shared" si="273"/>
        <v>2023</v>
      </c>
      <c r="D1338" s="5" t="s">
        <v>1194</v>
      </c>
      <c r="E1338" s="5" t="str">
        <f>VLOOKUP(F1338,'Set up'!$A$2:$C$70,2,FALSE)</f>
        <v>C00000019</v>
      </c>
      <c r="F1338" s="1" t="s">
        <v>400</v>
      </c>
      <c r="G1338" s="89" t="s">
        <v>719</v>
      </c>
      <c r="H1338" s="5">
        <v>2</v>
      </c>
      <c r="I1338" s="5" t="str">
        <f>VLOOKUP(F1338,'Set up'!$A$2:$C$70,3,FALSE)</f>
        <v>Cash</v>
      </c>
      <c r="J1338" s="5">
        <f>VLOOKUP(F1338,'Set up'!$A$2:$D$70,4,FALSE)</f>
        <v>0</v>
      </c>
      <c r="K1338" s="4">
        <f t="shared" si="274"/>
        <v>44946</v>
      </c>
      <c r="L1338" s="5">
        <f t="shared" si="275"/>
        <v>1</v>
      </c>
      <c r="M1338" s="5">
        <f t="shared" si="276"/>
        <v>2023</v>
      </c>
      <c r="N1338" s="6">
        <v>3476</v>
      </c>
      <c r="O1338" s="6">
        <f>-475.7-1000-1500-500.3</f>
        <v>-3476</v>
      </c>
      <c r="P1338" s="6">
        <f t="shared" si="289"/>
        <v>0</v>
      </c>
      <c r="Q1338" s="7">
        <f t="shared" si="278"/>
        <v>2487534.9500000011</v>
      </c>
      <c r="R1338" s="44" t="str">
        <f>VLOOKUP(F1338,'Set up'!$A$2:$E$70,5,FALSE)</f>
        <v>Trsf</v>
      </c>
      <c r="S1338" s="1" t="s">
        <v>1573</v>
      </c>
    </row>
    <row r="1339" spans="1:19" x14ac:dyDescent="0.3">
      <c r="A1339" s="4">
        <v>44946</v>
      </c>
      <c r="B1339" s="5">
        <f t="shared" si="272"/>
        <v>1</v>
      </c>
      <c r="C1339" s="5">
        <f t="shared" si="273"/>
        <v>2023</v>
      </c>
      <c r="D1339" s="5" t="s">
        <v>1194</v>
      </c>
      <c r="E1339" s="5" t="str">
        <f>VLOOKUP(F1339,'Set up'!$A$2:$C$70,2,FALSE)</f>
        <v>C00000019</v>
      </c>
      <c r="F1339" s="1" t="s">
        <v>400</v>
      </c>
      <c r="G1339" s="89" t="s">
        <v>1131</v>
      </c>
      <c r="H1339" s="5">
        <v>3</v>
      </c>
      <c r="I1339" s="5" t="str">
        <f>VLOOKUP(F1339,'Set up'!$A$2:$C$70,3,FALSE)</f>
        <v>Cash</v>
      </c>
      <c r="J1339" s="5">
        <f>VLOOKUP(F1339,'Set up'!$A$2:$D$70,4,FALSE)</f>
        <v>0</v>
      </c>
      <c r="K1339" s="4">
        <f t="shared" si="274"/>
        <v>44946</v>
      </c>
      <c r="L1339" s="5">
        <f t="shared" si="275"/>
        <v>1</v>
      </c>
      <c r="M1339" s="5">
        <f t="shared" si="276"/>
        <v>2023</v>
      </c>
      <c r="N1339" s="6">
        <v>1263.5999999999999</v>
      </c>
      <c r="O1339" s="6">
        <f t="shared" ref="O1339" si="292">-N1339</f>
        <v>-1263.5999999999999</v>
      </c>
      <c r="P1339" s="6">
        <f t="shared" si="289"/>
        <v>0</v>
      </c>
      <c r="Q1339" s="7">
        <f t="shared" si="278"/>
        <v>2488798.5500000012</v>
      </c>
      <c r="R1339" s="44" t="str">
        <f>VLOOKUP(F1339,'Set up'!$A$2:$E$70,5,FALSE)</f>
        <v>Trsf</v>
      </c>
      <c r="S1339" s="1" t="s">
        <v>1574</v>
      </c>
    </row>
    <row r="1340" spans="1:19" x14ac:dyDescent="0.3">
      <c r="A1340" s="4">
        <v>44946</v>
      </c>
      <c r="B1340" s="5">
        <f t="shared" si="272"/>
        <v>1</v>
      </c>
      <c r="C1340" s="5">
        <f t="shared" si="273"/>
        <v>2023</v>
      </c>
      <c r="D1340" s="5" t="s">
        <v>1194</v>
      </c>
      <c r="E1340" s="5" t="str">
        <f>VLOOKUP(F1340,'Set up'!$A$2:$C$70,2,FALSE)</f>
        <v>C00000019</v>
      </c>
      <c r="F1340" s="1" t="s">
        <v>400</v>
      </c>
      <c r="G1340" s="89" t="s">
        <v>64</v>
      </c>
      <c r="H1340" s="5">
        <v>5</v>
      </c>
      <c r="I1340" s="5" t="str">
        <f>VLOOKUP(F1340,'Set up'!$A$2:$C$70,3,FALSE)</f>
        <v>Cash</v>
      </c>
      <c r="J1340" s="5">
        <f>VLOOKUP(F1340,'Set up'!$A$2:$D$70,4,FALSE)</f>
        <v>0</v>
      </c>
      <c r="K1340" s="4">
        <f t="shared" si="274"/>
        <v>44946</v>
      </c>
      <c r="L1340" s="5">
        <f t="shared" si="275"/>
        <v>1</v>
      </c>
      <c r="M1340" s="5">
        <f t="shared" si="276"/>
        <v>2023</v>
      </c>
      <c r="N1340" s="6">
        <v>312.5</v>
      </c>
      <c r="O1340" s="6">
        <f>-236.1-76.4</f>
        <v>-312.5</v>
      </c>
      <c r="P1340" s="6">
        <f t="shared" si="289"/>
        <v>0</v>
      </c>
      <c r="Q1340" s="7">
        <f t="shared" si="278"/>
        <v>2489111.0500000012</v>
      </c>
      <c r="R1340" s="44" t="str">
        <f>VLOOKUP(F1340,'Set up'!$A$2:$E$70,5,FALSE)</f>
        <v>Trsf</v>
      </c>
      <c r="S1340" s="1" t="s">
        <v>1575</v>
      </c>
    </row>
    <row r="1341" spans="1:19" x14ac:dyDescent="0.3">
      <c r="A1341" s="4">
        <v>44946</v>
      </c>
      <c r="B1341" s="5">
        <f t="shared" si="272"/>
        <v>1</v>
      </c>
      <c r="C1341" s="5">
        <f t="shared" si="273"/>
        <v>2023</v>
      </c>
      <c r="D1341" s="5" t="s">
        <v>1194</v>
      </c>
      <c r="E1341" s="5" t="str">
        <f>VLOOKUP(F1341,'Set up'!$A$2:$C$70,2,FALSE)</f>
        <v>C00000019</v>
      </c>
      <c r="F1341" s="1" t="s">
        <v>400</v>
      </c>
      <c r="G1341" s="89" t="s">
        <v>566</v>
      </c>
      <c r="H1341" s="5">
        <v>2</v>
      </c>
      <c r="I1341" s="5" t="str">
        <f>VLOOKUP(F1341,'Set up'!$A$2:$C$70,3,FALSE)</f>
        <v>Cash</v>
      </c>
      <c r="J1341" s="5">
        <f>VLOOKUP(F1341,'Set up'!$A$2:$D$70,4,FALSE)</f>
        <v>0</v>
      </c>
      <c r="K1341" s="4">
        <f t="shared" si="274"/>
        <v>44946</v>
      </c>
      <c r="L1341" s="5">
        <f t="shared" si="275"/>
        <v>1</v>
      </c>
      <c r="M1341" s="5">
        <f t="shared" si="276"/>
        <v>2023</v>
      </c>
      <c r="N1341" s="6">
        <v>210</v>
      </c>
      <c r="O1341" s="6">
        <f t="shared" ref="O1341:O1342" si="293">-N1341</f>
        <v>-210</v>
      </c>
      <c r="P1341" s="6">
        <f t="shared" si="289"/>
        <v>0</v>
      </c>
      <c r="Q1341" s="7">
        <f t="shared" si="278"/>
        <v>2489321.0500000012</v>
      </c>
      <c r="R1341" s="44" t="str">
        <f>VLOOKUP(F1341,'Set up'!$A$2:$E$70,5,FALSE)</f>
        <v>Trsf</v>
      </c>
      <c r="S1341" s="1" t="s">
        <v>1576</v>
      </c>
    </row>
    <row r="1342" spans="1:19" x14ac:dyDescent="0.3">
      <c r="A1342" s="4">
        <v>44946</v>
      </c>
      <c r="B1342" s="5">
        <f t="shared" si="272"/>
        <v>1</v>
      </c>
      <c r="C1342" s="5">
        <f t="shared" si="273"/>
        <v>2023</v>
      </c>
      <c r="D1342" s="5" t="s">
        <v>1194</v>
      </c>
      <c r="E1342" s="5" t="str">
        <f>VLOOKUP(F1342,'Set up'!$A$2:$C$70,2,FALSE)</f>
        <v>C00000019</v>
      </c>
      <c r="F1342" s="1" t="s">
        <v>400</v>
      </c>
      <c r="G1342" s="89" t="s">
        <v>1132</v>
      </c>
      <c r="H1342" s="5">
        <v>1</v>
      </c>
      <c r="I1342" s="5" t="str">
        <f>VLOOKUP(F1342,'Set up'!$A$2:$C$70,3,FALSE)</f>
        <v>Cash</v>
      </c>
      <c r="J1342" s="5">
        <f>VLOOKUP(F1342,'Set up'!$A$2:$D$70,4,FALSE)</f>
        <v>0</v>
      </c>
      <c r="K1342" s="4">
        <f t="shared" si="274"/>
        <v>44946</v>
      </c>
      <c r="L1342" s="5">
        <f t="shared" si="275"/>
        <v>1</v>
      </c>
      <c r="M1342" s="5">
        <f t="shared" si="276"/>
        <v>2023</v>
      </c>
      <c r="N1342" s="6">
        <v>440</v>
      </c>
      <c r="O1342" s="6">
        <f t="shared" si="293"/>
        <v>-440</v>
      </c>
      <c r="P1342" s="6">
        <f t="shared" si="289"/>
        <v>0</v>
      </c>
      <c r="Q1342" s="7">
        <f t="shared" si="278"/>
        <v>2489761.0500000012</v>
      </c>
      <c r="R1342" s="44" t="str">
        <f>VLOOKUP(F1342,'Set up'!$A$2:$E$70,5,FALSE)</f>
        <v>Trsf</v>
      </c>
      <c r="S1342" s="1" t="s">
        <v>1577</v>
      </c>
    </row>
    <row r="1343" spans="1:19" x14ac:dyDescent="0.3">
      <c r="A1343" s="4">
        <v>44946</v>
      </c>
      <c r="B1343" s="5">
        <f t="shared" si="272"/>
        <v>1</v>
      </c>
      <c r="C1343" s="5">
        <f t="shared" si="273"/>
        <v>2023</v>
      </c>
      <c r="D1343" s="5" t="s">
        <v>1194</v>
      </c>
      <c r="E1343" s="5" t="str">
        <f>VLOOKUP(F1343,'Set up'!$A$2:$C$70,2,FALSE)</f>
        <v>C00000019</v>
      </c>
      <c r="F1343" s="1" t="s">
        <v>400</v>
      </c>
      <c r="G1343" s="89" t="s">
        <v>292</v>
      </c>
      <c r="H1343" s="5">
        <v>1</v>
      </c>
      <c r="I1343" s="5" t="str">
        <f>VLOOKUP(F1343,'Set up'!$A$2:$C$70,3,FALSE)</f>
        <v>Cash</v>
      </c>
      <c r="J1343" s="5">
        <f>VLOOKUP(F1343,'Set up'!$A$2:$D$70,4,FALSE)</f>
        <v>0</v>
      </c>
      <c r="K1343" s="4">
        <f t="shared" si="274"/>
        <v>44946</v>
      </c>
      <c r="L1343" s="5">
        <f t="shared" si="275"/>
        <v>1</v>
      </c>
      <c r="M1343" s="5">
        <f t="shared" si="276"/>
        <v>2023</v>
      </c>
      <c r="N1343" s="6">
        <v>450</v>
      </c>
      <c r="O1343" s="6">
        <f>-273.6-176.4</f>
        <v>-450</v>
      </c>
      <c r="P1343" s="6">
        <f t="shared" si="289"/>
        <v>0</v>
      </c>
      <c r="Q1343" s="7">
        <f t="shared" si="278"/>
        <v>2490211.0500000012</v>
      </c>
      <c r="R1343" s="44" t="str">
        <f>VLOOKUP(F1343,'Set up'!$A$2:$E$70,5,FALSE)</f>
        <v>Trsf</v>
      </c>
      <c r="S1343" s="1" t="s">
        <v>1578</v>
      </c>
    </row>
    <row r="1344" spans="1:19" x14ac:dyDescent="0.3">
      <c r="A1344" s="4">
        <v>44953</v>
      </c>
      <c r="B1344" s="5">
        <f t="shared" si="272"/>
        <v>1</v>
      </c>
      <c r="C1344" s="5">
        <f t="shared" si="273"/>
        <v>2023</v>
      </c>
      <c r="D1344" s="5" t="s">
        <v>1195</v>
      </c>
      <c r="E1344" s="5" t="str">
        <f>VLOOKUP(F1344,'Set up'!$A$2:$C$70,2,FALSE)</f>
        <v>C00000009</v>
      </c>
      <c r="F1344" s="1" t="s">
        <v>58</v>
      </c>
      <c r="G1344" s="89" t="s">
        <v>95</v>
      </c>
      <c r="H1344" s="5">
        <v>2</v>
      </c>
      <c r="I1344" s="5">
        <f>VLOOKUP(F1344,'Set up'!$A$2:$C$70,3,FALSE)</f>
        <v>60</v>
      </c>
      <c r="J1344" s="5">
        <f>VLOOKUP(F1344,'Set up'!$A$2:$D$70,4,FALSE)</f>
        <v>60</v>
      </c>
      <c r="K1344" s="4">
        <f t="shared" si="274"/>
        <v>45013</v>
      </c>
      <c r="L1344" s="5">
        <f t="shared" si="275"/>
        <v>3</v>
      </c>
      <c r="M1344" s="5">
        <f t="shared" si="276"/>
        <v>2023</v>
      </c>
      <c r="N1344" s="6">
        <v>3256</v>
      </c>
      <c r="O1344" s="6">
        <f t="shared" ref="O1344:O1346" si="294">-N1344</f>
        <v>-3256</v>
      </c>
      <c r="P1344" s="6">
        <f t="shared" si="289"/>
        <v>0</v>
      </c>
      <c r="Q1344" s="7">
        <f t="shared" si="278"/>
        <v>2493467.0500000012</v>
      </c>
      <c r="R1344" s="44" t="str">
        <f>VLOOKUP(F1344,'Set up'!$A$2:$E$70,5,FALSE)</f>
        <v>Chq</v>
      </c>
      <c r="S1344" s="1" t="s">
        <v>1499</v>
      </c>
    </row>
    <row r="1345" spans="1:19" x14ac:dyDescent="0.3">
      <c r="A1345" s="4">
        <v>44953</v>
      </c>
      <c r="B1345" s="5">
        <f t="shared" si="272"/>
        <v>1</v>
      </c>
      <c r="C1345" s="5">
        <f t="shared" si="273"/>
        <v>2023</v>
      </c>
      <c r="D1345" s="5" t="s">
        <v>1195</v>
      </c>
      <c r="E1345" s="5" t="str">
        <f>VLOOKUP(F1345,'Set up'!$A$2:$C$70,2,FALSE)</f>
        <v>C00000009</v>
      </c>
      <c r="F1345" s="1" t="s">
        <v>58</v>
      </c>
      <c r="G1345" s="89" t="s">
        <v>616</v>
      </c>
      <c r="H1345" s="5">
        <v>1</v>
      </c>
      <c r="I1345" s="5">
        <f>VLOOKUP(F1345,'Set up'!$A$2:$C$70,3,FALSE)</f>
        <v>60</v>
      </c>
      <c r="J1345" s="5">
        <f>VLOOKUP(F1345,'Set up'!$A$2:$D$70,4,FALSE)</f>
        <v>60</v>
      </c>
      <c r="K1345" s="4">
        <f t="shared" si="274"/>
        <v>45013</v>
      </c>
      <c r="L1345" s="5">
        <f t="shared" si="275"/>
        <v>3</v>
      </c>
      <c r="M1345" s="5">
        <f t="shared" si="276"/>
        <v>2023</v>
      </c>
      <c r="N1345" s="6">
        <v>1628</v>
      </c>
      <c r="O1345" s="6">
        <f t="shared" si="294"/>
        <v>-1628</v>
      </c>
      <c r="P1345" s="6">
        <f t="shared" si="289"/>
        <v>0</v>
      </c>
      <c r="Q1345" s="7">
        <f t="shared" si="278"/>
        <v>2495095.0500000012</v>
      </c>
      <c r="R1345" s="44" t="str">
        <f>VLOOKUP(F1345,'Set up'!$A$2:$E$70,5,FALSE)</f>
        <v>Chq</v>
      </c>
      <c r="S1345" s="1" t="s">
        <v>1499</v>
      </c>
    </row>
    <row r="1346" spans="1:19" x14ac:dyDescent="0.3">
      <c r="A1346" s="4">
        <v>44953</v>
      </c>
      <c r="B1346" s="5">
        <f t="shared" si="272"/>
        <v>1</v>
      </c>
      <c r="C1346" s="5">
        <f t="shared" si="273"/>
        <v>2023</v>
      </c>
      <c r="D1346" s="5" t="s">
        <v>1195</v>
      </c>
      <c r="E1346" s="5" t="str">
        <f>VLOOKUP(F1346,'Set up'!$A$2:$C$70,2,FALSE)</f>
        <v>C00000009</v>
      </c>
      <c r="F1346" s="1" t="s">
        <v>58</v>
      </c>
      <c r="G1346" s="89" t="s">
        <v>865</v>
      </c>
      <c r="H1346" s="5">
        <v>3</v>
      </c>
      <c r="I1346" s="5">
        <f>VLOOKUP(F1346,'Set up'!$A$2:$C$70,3,FALSE)</f>
        <v>60</v>
      </c>
      <c r="J1346" s="5">
        <f>VLOOKUP(F1346,'Set up'!$A$2:$D$70,4,FALSE)</f>
        <v>60</v>
      </c>
      <c r="K1346" s="4">
        <f t="shared" si="274"/>
        <v>45013</v>
      </c>
      <c r="L1346" s="5">
        <f t="shared" si="275"/>
        <v>3</v>
      </c>
      <c r="M1346" s="5">
        <f t="shared" si="276"/>
        <v>2023</v>
      </c>
      <c r="N1346" s="6">
        <v>732</v>
      </c>
      <c r="O1346" s="6">
        <f t="shared" si="294"/>
        <v>-732</v>
      </c>
      <c r="P1346" s="6">
        <f t="shared" si="289"/>
        <v>0</v>
      </c>
      <c r="Q1346" s="7">
        <f t="shared" si="278"/>
        <v>2495827.0500000012</v>
      </c>
      <c r="R1346" s="44" t="str">
        <f>VLOOKUP(F1346,'Set up'!$A$2:$E$70,5,FALSE)</f>
        <v>Chq</v>
      </c>
      <c r="S1346" s="1" t="s">
        <v>1499</v>
      </c>
    </row>
    <row r="1347" spans="1:19" x14ac:dyDescent="0.3">
      <c r="A1347" s="4">
        <v>44953</v>
      </c>
      <c r="B1347" s="5">
        <f t="shared" ref="B1347:B1410" si="295">MONTH(A1347)</f>
        <v>1</v>
      </c>
      <c r="C1347" s="5">
        <f t="shared" ref="C1347:C1410" si="296">YEAR(A1347)</f>
        <v>2023</v>
      </c>
      <c r="D1347" s="5" t="s">
        <v>1203</v>
      </c>
      <c r="E1347" s="5" t="str">
        <f>VLOOKUP(F1347,'Set up'!$A$2:$C$70,2,FALSE)</f>
        <v>C00000034</v>
      </c>
      <c r="F1347" s="1" t="s">
        <v>1196</v>
      </c>
      <c r="G1347" s="89" t="s">
        <v>1197</v>
      </c>
      <c r="H1347" s="5">
        <v>1</v>
      </c>
      <c r="I1347" s="5" t="str">
        <f>VLOOKUP(F1347,'Set up'!$A$2:$C$70,3,FALSE)</f>
        <v>Cash</v>
      </c>
      <c r="J1347" s="5">
        <f>VLOOKUP(F1347,'Set up'!$A$2:$D$70,4,FALSE)</f>
        <v>0</v>
      </c>
      <c r="K1347" s="4">
        <f t="shared" ref="K1347:K1410" si="297">A1347+J1347</f>
        <v>44953</v>
      </c>
      <c r="L1347" s="5">
        <f t="shared" ref="L1347:L1410" si="298">MONTH(K1347)</f>
        <v>1</v>
      </c>
      <c r="M1347" s="5">
        <f t="shared" ref="M1347:M1410" si="299">YEAR(K1347)</f>
        <v>2023</v>
      </c>
      <c r="N1347" s="6">
        <v>1738</v>
      </c>
      <c r="O1347" s="6">
        <f t="shared" ref="O1347:O1352" si="300">-N1347</f>
        <v>-1738</v>
      </c>
      <c r="P1347" s="6">
        <f t="shared" ref="P1347:P1362" si="301">SUM(N1347+O1347)</f>
        <v>0</v>
      </c>
      <c r="Q1347" s="7">
        <f t="shared" ref="Q1347:Q1410" si="302">SUM(Q1346+N1347)</f>
        <v>2497565.0500000012</v>
      </c>
      <c r="R1347" s="44" t="str">
        <f>VLOOKUP(F1347,'Set up'!$A$2:$E$70,5,FALSE)</f>
        <v>Trsf</v>
      </c>
      <c r="S1347" s="1" t="s">
        <v>1227</v>
      </c>
    </row>
    <row r="1348" spans="1:19" x14ac:dyDescent="0.3">
      <c r="A1348" s="4">
        <v>44953</v>
      </c>
      <c r="B1348" s="5">
        <f t="shared" si="295"/>
        <v>1</v>
      </c>
      <c r="C1348" s="5">
        <f t="shared" si="296"/>
        <v>2023</v>
      </c>
      <c r="D1348" s="5" t="s">
        <v>1203</v>
      </c>
      <c r="E1348" s="5" t="str">
        <f>VLOOKUP(F1348,'Set up'!$A$2:$C$70,2,FALSE)</f>
        <v>C00000034</v>
      </c>
      <c r="F1348" s="1" t="s">
        <v>1196</v>
      </c>
      <c r="G1348" s="89" t="s">
        <v>654</v>
      </c>
      <c r="H1348" s="5">
        <v>2</v>
      </c>
      <c r="I1348" s="5" t="str">
        <f>VLOOKUP(F1348,'Set up'!$A$2:$C$70,3,FALSE)</f>
        <v>Cash</v>
      </c>
      <c r="J1348" s="5">
        <f>VLOOKUP(F1348,'Set up'!$A$2:$D$70,4,FALSE)</f>
        <v>0</v>
      </c>
      <c r="K1348" s="4">
        <f t="shared" si="297"/>
        <v>44953</v>
      </c>
      <c r="L1348" s="5">
        <f t="shared" si="298"/>
        <v>1</v>
      </c>
      <c r="M1348" s="5">
        <f t="shared" si="299"/>
        <v>2023</v>
      </c>
      <c r="N1348" s="6">
        <v>438</v>
      </c>
      <c r="O1348" s="6">
        <f t="shared" si="300"/>
        <v>-438</v>
      </c>
      <c r="P1348" s="6">
        <f t="shared" si="301"/>
        <v>0</v>
      </c>
      <c r="Q1348" s="7">
        <f t="shared" si="302"/>
        <v>2498003.0500000012</v>
      </c>
      <c r="R1348" s="44" t="str">
        <f>VLOOKUP(F1348,'Set up'!$A$2:$E$70,5,FALSE)</f>
        <v>Trsf</v>
      </c>
      <c r="S1348" s="1" t="s">
        <v>1227</v>
      </c>
    </row>
    <row r="1349" spans="1:19" x14ac:dyDescent="0.3">
      <c r="A1349" s="4">
        <v>44953</v>
      </c>
      <c r="B1349" s="5">
        <f t="shared" si="295"/>
        <v>1</v>
      </c>
      <c r="C1349" s="5">
        <f t="shared" si="296"/>
        <v>2023</v>
      </c>
      <c r="D1349" s="5" t="s">
        <v>1203</v>
      </c>
      <c r="E1349" s="5" t="str">
        <f>VLOOKUP(F1349,'Set up'!$A$2:$C$70,2,FALSE)</f>
        <v>C00000034</v>
      </c>
      <c r="F1349" s="1" t="s">
        <v>1196</v>
      </c>
      <c r="G1349" s="89" t="s">
        <v>1198</v>
      </c>
      <c r="H1349" s="5">
        <v>1</v>
      </c>
      <c r="I1349" s="5" t="str">
        <f>VLOOKUP(F1349,'Set up'!$A$2:$C$70,3,FALSE)</f>
        <v>Cash</v>
      </c>
      <c r="J1349" s="5">
        <f>VLOOKUP(F1349,'Set up'!$A$2:$D$70,4,FALSE)</f>
        <v>0</v>
      </c>
      <c r="K1349" s="4">
        <f t="shared" si="297"/>
        <v>44953</v>
      </c>
      <c r="L1349" s="5">
        <f t="shared" si="298"/>
        <v>1</v>
      </c>
      <c r="M1349" s="5">
        <f t="shared" si="299"/>
        <v>2023</v>
      </c>
      <c r="N1349" s="6">
        <v>219</v>
      </c>
      <c r="O1349" s="6">
        <f t="shared" si="300"/>
        <v>-219</v>
      </c>
      <c r="P1349" s="6">
        <f t="shared" si="301"/>
        <v>0</v>
      </c>
      <c r="Q1349" s="7">
        <f t="shared" si="302"/>
        <v>2498222.0500000012</v>
      </c>
      <c r="R1349" s="44" t="str">
        <f>VLOOKUP(F1349,'Set up'!$A$2:$E$70,5,FALSE)</f>
        <v>Trsf</v>
      </c>
      <c r="S1349" s="1" t="s">
        <v>1227</v>
      </c>
    </row>
    <row r="1350" spans="1:19" x14ac:dyDescent="0.3">
      <c r="A1350" s="4">
        <v>44953</v>
      </c>
      <c r="B1350" s="5">
        <f t="shared" si="295"/>
        <v>1</v>
      </c>
      <c r="C1350" s="5">
        <f t="shared" si="296"/>
        <v>2023</v>
      </c>
      <c r="D1350" s="5" t="s">
        <v>1203</v>
      </c>
      <c r="E1350" s="5" t="str">
        <f>VLOOKUP(F1350,'Set up'!$A$2:$C$70,2,FALSE)</f>
        <v>C00000034</v>
      </c>
      <c r="F1350" s="1" t="s">
        <v>1196</v>
      </c>
      <c r="G1350" s="89" t="s">
        <v>1199</v>
      </c>
      <c r="H1350" s="5">
        <v>2</v>
      </c>
      <c r="I1350" s="5" t="str">
        <f>VLOOKUP(F1350,'Set up'!$A$2:$C$70,3,FALSE)</f>
        <v>Cash</v>
      </c>
      <c r="J1350" s="5">
        <f>VLOOKUP(F1350,'Set up'!$A$2:$D$70,4,FALSE)</f>
        <v>0</v>
      </c>
      <c r="K1350" s="4">
        <f t="shared" si="297"/>
        <v>44953</v>
      </c>
      <c r="L1350" s="5">
        <f t="shared" si="298"/>
        <v>1</v>
      </c>
      <c r="M1350" s="5">
        <f t="shared" si="299"/>
        <v>2023</v>
      </c>
      <c r="N1350" s="6">
        <v>394.8</v>
      </c>
      <c r="O1350" s="6">
        <f t="shared" si="300"/>
        <v>-394.8</v>
      </c>
      <c r="P1350" s="6">
        <f t="shared" si="301"/>
        <v>0</v>
      </c>
      <c r="Q1350" s="7">
        <f t="shared" si="302"/>
        <v>2498616.850000001</v>
      </c>
      <c r="R1350" s="44" t="str">
        <f>VLOOKUP(F1350,'Set up'!$A$2:$E$70,5,FALSE)</f>
        <v>Trsf</v>
      </c>
      <c r="S1350" s="1" t="s">
        <v>1227</v>
      </c>
    </row>
    <row r="1351" spans="1:19" x14ac:dyDescent="0.3">
      <c r="A1351" s="4">
        <v>44953</v>
      </c>
      <c r="B1351" s="5">
        <f t="shared" si="295"/>
        <v>1</v>
      </c>
      <c r="C1351" s="5">
        <f t="shared" si="296"/>
        <v>2023</v>
      </c>
      <c r="D1351" s="5" t="s">
        <v>1203</v>
      </c>
      <c r="E1351" s="5" t="str">
        <f>VLOOKUP(F1351,'Set up'!$A$2:$C$70,2,FALSE)</f>
        <v>C00000034</v>
      </c>
      <c r="F1351" s="1" t="s">
        <v>1196</v>
      </c>
      <c r="G1351" s="89" t="s">
        <v>1200</v>
      </c>
      <c r="H1351" s="5">
        <v>1</v>
      </c>
      <c r="I1351" s="5" t="str">
        <f>VLOOKUP(F1351,'Set up'!$A$2:$C$70,3,FALSE)</f>
        <v>Cash</v>
      </c>
      <c r="J1351" s="5">
        <f>VLOOKUP(F1351,'Set up'!$A$2:$D$70,4,FALSE)</f>
        <v>0</v>
      </c>
      <c r="K1351" s="4">
        <f t="shared" si="297"/>
        <v>44953</v>
      </c>
      <c r="L1351" s="5">
        <f t="shared" si="298"/>
        <v>1</v>
      </c>
      <c r="M1351" s="5">
        <f t="shared" si="299"/>
        <v>2023</v>
      </c>
      <c r="N1351" s="6">
        <v>64</v>
      </c>
      <c r="O1351" s="6">
        <f t="shared" si="300"/>
        <v>-64</v>
      </c>
      <c r="P1351" s="6">
        <f t="shared" si="301"/>
        <v>0</v>
      </c>
      <c r="Q1351" s="7">
        <f t="shared" si="302"/>
        <v>2498680.850000001</v>
      </c>
      <c r="R1351" s="44" t="str">
        <f>VLOOKUP(F1351,'Set up'!$A$2:$E$70,5,FALSE)</f>
        <v>Trsf</v>
      </c>
      <c r="S1351" s="1" t="s">
        <v>1227</v>
      </c>
    </row>
    <row r="1352" spans="1:19" x14ac:dyDescent="0.3">
      <c r="A1352" s="4">
        <v>44953</v>
      </c>
      <c r="B1352" s="5">
        <f t="shared" si="295"/>
        <v>1</v>
      </c>
      <c r="C1352" s="5">
        <f t="shared" si="296"/>
        <v>2023</v>
      </c>
      <c r="D1352" s="5" t="s">
        <v>1203</v>
      </c>
      <c r="E1352" s="5" t="str">
        <f>VLOOKUP(F1352,'Set up'!$A$2:$C$70,2,FALSE)</f>
        <v>C00000034</v>
      </c>
      <c r="F1352" s="1" t="s">
        <v>1196</v>
      </c>
      <c r="G1352" s="89" t="s">
        <v>1201</v>
      </c>
      <c r="H1352" s="5">
        <v>1</v>
      </c>
      <c r="I1352" s="5" t="str">
        <f>VLOOKUP(F1352,'Set up'!$A$2:$C$70,3,FALSE)</f>
        <v>Cash</v>
      </c>
      <c r="J1352" s="5">
        <f>VLOOKUP(F1352,'Set up'!$A$2:$D$70,4,FALSE)</f>
        <v>0</v>
      </c>
      <c r="K1352" s="4">
        <f t="shared" si="297"/>
        <v>44953</v>
      </c>
      <c r="L1352" s="5">
        <f t="shared" si="298"/>
        <v>1</v>
      </c>
      <c r="M1352" s="5">
        <f t="shared" si="299"/>
        <v>2023</v>
      </c>
      <c r="N1352" s="6">
        <v>64</v>
      </c>
      <c r="O1352" s="6">
        <f t="shared" si="300"/>
        <v>-64</v>
      </c>
      <c r="P1352" s="6">
        <f t="shared" si="301"/>
        <v>0</v>
      </c>
      <c r="Q1352" s="7">
        <f t="shared" si="302"/>
        <v>2498744.850000001</v>
      </c>
      <c r="R1352" s="44" t="str">
        <f>VLOOKUP(F1352,'Set up'!$A$2:$E$70,5,FALSE)</f>
        <v>Trsf</v>
      </c>
      <c r="S1352" s="1" t="s">
        <v>1227</v>
      </c>
    </row>
    <row r="1353" spans="1:19" x14ac:dyDescent="0.3">
      <c r="A1353" s="4">
        <v>44956</v>
      </c>
      <c r="B1353" s="5">
        <f t="shared" si="295"/>
        <v>1</v>
      </c>
      <c r="C1353" s="5">
        <f t="shared" si="296"/>
        <v>2023</v>
      </c>
      <c r="D1353" s="5" t="s">
        <v>1204</v>
      </c>
      <c r="E1353" s="5" t="str">
        <f>VLOOKUP(F1353,'Set up'!$A$2:$C$70,2,FALSE)</f>
        <v>C00000020</v>
      </c>
      <c r="F1353" s="1" t="s">
        <v>409</v>
      </c>
      <c r="G1353" s="89" t="s">
        <v>1178</v>
      </c>
      <c r="H1353" s="5">
        <v>5</v>
      </c>
      <c r="I1353" s="5" t="str">
        <f>VLOOKUP(F1353,'Set up'!$A$2:$C$70,3,FALSE)</f>
        <v>Cash</v>
      </c>
      <c r="J1353" s="5">
        <f>VLOOKUP(F1353,'Set up'!$A$2:$D$70,4,FALSE)</f>
        <v>0</v>
      </c>
      <c r="K1353" s="4">
        <f t="shared" si="297"/>
        <v>44956</v>
      </c>
      <c r="L1353" s="5">
        <f t="shared" si="298"/>
        <v>1</v>
      </c>
      <c r="M1353" s="5">
        <f t="shared" si="299"/>
        <v>2023</v>
      </c>
      <c r="N1353" s="6">
        <v>8690</v>
      </c>
      <c r="O1353" s="6">
        <f>-8097.2-592.8</f>
        <v>-8690</v>
      </c>
      <c r="P1353" s="6">
        <f t="shared" si="301"/>
        <v>0</v>
      </c>
      <c r="Q1353" s="7">
        <f t="shared" si="302"/>
        <v>2507434.850000001</v>
      </c>
      <c r="R1353" s="44" t="str">
        <f>VLOOKUP(F1353,'Set up'!$A$2:$E$70,5,FALSE)</f>
        <v>Trsf</v>
      </c>
      <c r="S1353" s="1" t="s">
        <v>2042</v>
      </c>
    </row>
    <row r="1354" spans="1:19" x14ac:dyDescent="0.3">
      <c r="A1354" s="4">
        <v>44956</v>
      </c>
      <c r="B1354" s="5">
        <f t="shared" si="295"/>
        <v>1</v>
      </c>
      <c r="C1354" s="5">
        <f t="shared" si="296"/>
        <v>2023</v>
      </c>
      <c r="D1354" s="5" t="s">
        <v>1204</v>
      </c>
      <c r="E1354" s="5" t="str">
        <f>VLOOKUP(F1354,'Set up'!$A$2:$C$70,2,FALSE)</f>
        <v>C00000020</v>
      </c>
      <c r="F1354" s="1" t="s">
        <v>409</v>
      </c>
      <c r="G1354" s="89" t="s">
        <v>654</v>
      </c>
      <c r="H1354" s="5">
        <v>3</v>
      </c>
      <c r="I1354" s="5" t="str">
        <f>VLOOKUP(F1354,'Set up'!$A$2:$C$70,3,FALSE)</f>
        <v>Cash</v>
      </c>
      <c r="J1354" s="5">
        <f>VLOOKUP(F1354,'Set up'!$A$2:$D$70,4,FALSE)</f>
        <v>0</v>
      </c>
      <c r="K1354" s="4">
        <f t="shared" si="297"/>
        <v>44956</v>
      </c>
      <c r="L1354" s="5">
        <f t="shared" si="298"/>
        <v>1</v>
      </c>
      <c r="M1354" s="5">
        <f t="shared" si="299"/>
        <v>2023</v>
      </c>
      <c r="N1354" s="6">
        <v>702</v>
      </c>
      <c r="O1354" s="6">
        <f t="shared" ref="O1354:O1358" si="303">-N1354</f>
        <v>-702</v>
      </c>
      <c r="P1354" s="6">
        <f t="shared" si="301"/>
        <v>0</v>
      </c>
      <c r="Q1354" s="7">
        <f t="shared" si="302"/>
        <v>2508136.850000001</v>
      </c>
      <c r="R1354" s="44" t="str">
        <f>VLOOKUP(F1354,'Set up'!$A$2:$E$70,5,FALSE)</f>
        <v>Trsf</v>
      </c>
      <c r="S1354" s="1" t="s">
        <v>2043</v>
      </c>
    </row>
    <row r="1355" spans="1:19" x14ac:dyDescent="0.3">
      <c r="A1355" s="4">
        <v>44956</v>
      </c>
      <c r="B1355" s="5">
        <f t="shared" si="295"/>
        <v>1</v>
      </c>
      <c r="C1355" s="5">
        <f t="shared" si="296"/>
        <v>2023</v>
      </c>
      <c r="D1355" s="5" t="s">
        <v>1204</v>
      </c>
      <c r="E1355" s="5" t="str">
        <f>VLOOKUP(F1355,'Set up'!$A$2:$C$70,2,FALSE)</f>
        <v>C00000020</v>
      </c>
      <c r="F1355" s="1" t="s">
        <v>409</v>
      </c>
      <c r="G1355" s="89" t="s">
        <v>707</v>
      </c>
      <c r="H1355" s="5">
        <v>4</v>
      </c>
      <c r="I1355" s="5" t="str">
        <f>VLOOKUP(F1355,'Set up'!$A$2:$C$70,3,FALSE)</f>
        <v>Cash</v>
      </c>
      <c r="J1355" s="5">
        <f>VLOOKUP(F1355,'Set up'!$A$2:$D$70,4,FALSE)</f>
        <v>0</v>
      </c>
      <c r="K1355" s="4">
        <f t="shared" si="297"/>
        <v>44956</v>
      </c>
      <c r="L1355" s="5">
        <f t="shared" si="298"/>
        <v>1</v>
      </c>
      <c r="M1355" s="5">
        <f t="shared" si="299"/>
        <v>2023</v>
      </c>
      <c r="N1355" s="6">
        <v>1684.8</v>
      </c>
      <c r="O1355" s="6">
        <f t="shared" si="303"/>
        <v>-1684.8</v>
      </c>
      <c r="P1355" s="6">
        <f t="shared" si="301"/>
        <v>0</v>
      </c>
      <c r="Q1355" s="7">
        <f t="shared" si="302"/>
        <v>2509821.6500000008</v>
      </c>
      <c r="R1355" s="44" t="str">
        <f>VLOOKUP(F1355,'Set up'!$A$2:$E$70,5,FALSE)</f>
        <v>Trsf</v>
      </c>
      <c r="S1355" s="1" t="s">
        <v>2044</v>
      </c>
    </row>
    <row r="1356" spans="1:19" x14ac:dyDescent="0.3">
      <c r="A1356" s="4">
        <v>44956</v>
      </c>
      <c r="B1356" s="5">
        <f t="shared" si="295"/>
        <v>1</v>
      </c>
      <c r="C1356" s="5">
        <f t="shared" si="296"/>
        <v>2023</v>
      </c>
      <c r="D1356" s="5" t="s">
        <v>1204</v>
      </c>
      <c r="E1356" s="5" t="str">
        <f>VLOOKUP(F1356,'Set up'!$A$2:$C$70,2,FALSE)</f>
        <v>C00000020</v>
      </c>
      <c r="F1356" s="1" t="s">
        <v>409</v>
      </c>
      <c r="G1356" s="89" t="s">
        <v>1168</v>
      </c>
      <c r="H1356" s="5">
        <v>7</v>
      </c>
      <c r="I1356" s="5" t="str">
        <f>VLOOKUP(F1356,'Set up'!$A$2:$C$70,3,FALSE)</f>
        <v>Cash</v>
      </c>
      <c r="J1356" s="5">
        <f>VLOOKUP(F1356,'Set up'!$A$2:$D$70,4,FALSE)</f>
        <v>0</v>
      </c>
      <c r="K1356" s="4">
        <f t="shared" si="297"/>
        <v>44956</v>
      </c>
      <c r="L1356" s="5">
        <f t="shared" si="298"/>
        <v>1</v>
      </c>
      <c r="M1356" s="5">
        <f t="shared" si="299"/>
        <v>2023</v>
      </c>
      <c r="N1356" s="6">
        <v>1911</v>
      </c>
      <c r="O1356" s="6">
        <f t="shared" si="303"/>
        <v>-1911</v>
      </c>
      <c r="P1356" s="6">
        <f t="shared" si="301"/>
        <v>0</v>
      </c>
      <c r="Q1356" s="7">
        <f t="shared" si="302"/>
        <v>2511732.6500000008</v>
      </c>
      <c r="R1356" s="44" t="str">
        <f>VLOOKUP(F1356,'Set up'!$A$2:$E$70,5,FALSE)</f>
        <v>Trsf</v>
      </c>
      <c r="S1356" s="1" t="s">
        <v>2045</v>
      </c>
    </row>
    <row r="1357" spans="1:19" x14ac:dyDescent="0.3">
      <c r="A1357" s="4">
        <v>44956</v>
      </c>
      <c r="B1357" s="5">
        <f t="shared" si="295"/>
        <v>1</v>
      </c>
      <c r="C1357" s="5">
        <f t="shared" si="296"/>
        <v>2023</v>
      </c>
      <c r="D1357" s="5" t="s">
        <v>1204</v>
      </c>
      <c r="E1357" s="5" t="str">
        <f>VLOOKUP(F1357,'Set up'!$A$2:$C$70,2,FALSE)</f>
        <v>C00000020</v>
      </c>
      <c r="F1357" s="1" t="s">
        <v>409</v>
      </c>
      <c r="G1357" s="89" t="s">
        <v>1073</v>
      </c>
      <c r="H1357" s="5">
        <v>1</v>
      </c>
      <c r="I1357" s="5" t="str">
        <f>VLOOKUP(F1357,'Set up'!$A$2:$C$70,3,FALSE)</f>
        <v>Cash</v>
      </c>
      <c r="J1357" s="5">
        <f>VLOOKUP(F1357,'Set up'!$A$2:$D$70,4,FALSE)</f>
        <v>0</v>
      </c>
      <c r="K1357" s="4">
        <f t="shared" si="297"/>
        <v>44956</v>
      </c>
      <c r="L1357" s="5">
        <f t="shared" si="298"/>
        <v>1</v>
      </c>
      <c r="M1357" s="5">
        <f t="shared" si="299"/>
        <v>2023</v>
      </c>
      <c r="N1357" s="6">
        <v>1000</v>
      </c>
      <c r="O1357" s="6">
        <f t="shared" si="303"/>
        <v>-1000</v>
      </c>
      <c r="P1357" s="6">
        <f t="shared" si="301"/>
        <v>0</v>
      </c>
      <c r="Q1357" s="7">
        <f t="shared" si="302"/>
        <v>2512732.6500000008</v>
      </c>
      <c r="R1357" s="44" t="str">
        <f>VLOOKUP(F1357,'Set up'!$A$2:$E$70,5,FALSE)</f>
        <v>Trsf</v>
      </c>
      <c r="S1357" s="1" t="s">
        <v>2046</v>
      </c>
    </row>
    <row r="1358" spans="1:19" x14ac:dyDescent="0.3">
      <c r="A1358" s="4">
        <v>44956</v>
      </c>
      <c r="B1358" s="5">
        <f t="shared" si="295"/>
        <v>1</v>
      </c>
      <c r="C1358" s="5">
        <f t="shared" si="296"/>
        <v>2023</v>
      </c>
      <c r="D1358" s="5" t="s">
        <v>1204</v>
      </c>
      <c r="E1358" s="5" t="str">
        <f>VLOOKUP(F1358,'Set up'!$A$2:$C$70,2,FALSE)</f>
        <v>C00000020</v>
      </c>
      <c r="F1358" s="1" t="s">
        <v>409</v>
      </c>
      <c r="G1358" s="89" t="s">
        <v>1110</v>
      </c>
      <c r="H1358" s="5">
        <v>4</v>
      </c>
      <c r="I1358" s="5" t="str">
        <f>VLOOKUP(F1358,'Set up'!$A$2:$C$70,3,FALSE)</f>
        <v>Cash</v>
      </c>
      <c r="J1358" s="5">
        <f>VLOOKUP(F1358,'Set up'!$A$2:$D$70,4,FALSE)</f>
        <v>0</v>
      </c>
      <c r="K1358" s="4">
        <f t="shared" si="297"/>
        <v>44956</v>
      </c>
      <c r="L1358" s="5">
        <f t="shared" si="298"/>
        <v>1</v>
      </c>
      <c r="M1358" s="5">
        <f t="shared" si="299"/>
        <v>2023</v>
      </c>
      <c r="N1358" s="6">
        <v>250</v>
      </c>
      <c r="O1358" s="6">
        <f t="shared" si="303"/>
        <v>-250</v>
      </c>
      <c r="P1358" s="6">
        <f t="shared" si="301"/>
        <v>0</v>
      </c>
      <c r="Q1358" s="7">
        <f t="shared" si="302"/>
        <v>2512982.6500000008</v>
      </c>
      <c r="R1358" s="44" t="str">
        <f>VLOOKUP(F1358,'Set up'!$A$2:$E$70,5,FALSE)</f>
        <v>Trsf</v>
      </c>
      <c r="S1358" s="1" t="s">
        <v>2047</v>
      </c>
    </row>
    <row r="1359" spans="1:19" x14ac:dyDescent="0.3">
      <c r="A1359" s="4">
        <v>44956</v>
      </c>
      <c r="B1359" s="5">
        <f t="shared" si="295"/>
        <v>1</v>
      </c>
      <c r="C1359" s="5">
        <f t="shared" si="296"/>
        <v>2023</v>
      </c>
      <c r="D1359" s="5" t="s">
        <v>1204</v>
      </c>
      <c r="E1359" s="5" t="str">
        <f>VLOOKUP(F1359,'Set up'!$A$2:$C$70,2,FALSE)</f>
        <v>C00000020</v>
      </c>
      <c r="F1359" s="1" t="s">
        <v>409</v>
      </c>
      <c r="G1359" s="89" t="s">
        <v>666</v>
      </c>
      <c r="H1359" s="5">
        <v>4</v>
      </c>
      <c r="I1359" s="5" t="str">
        <f>VLOOKUP(F1359,'Set up'!$A$2:$C$70,3,FALSE)</f>
        <v>Cash</v>
      </c>
      <c r="J1359" s="5">
        <f>VLOOKUP(F1359,'Set up'!$A$2:$D$70,4,FALSE)</f>
        <v>0</v>
      </c>
      <c r="K1359" s="4">
        <f t="shared" si="297"/>
        <v>44956</v>
      </c>
      <c r="L1359" s="5">
        <f t="shared" si="298"/>
        <v>1</v>
      </c>
      <c r="M1359" s="5">
        <f t="shared" si="299"/>
        <v>2023</v>
      </c>
      <c r="N1359" s="6">
        <v>380</v>
      </c>
      <c r="O1359" s="6">
        <f>-259.4-120.6</f>
        <v>-380</v>
      </c>
      <c r="P1359" s="6">
        <f t="shared" si="301"/>
        <v>0</v>
      </c>
      <c r="Q1359" s="7">
        <f t="shared" si="302"/>
        <v>2513362.6500000008</v>
      </c>
      <c r="R1359" s="44" t="str">
        <f>VLOOKUP(F1359,'Set up'!$A$2:$E$70,5,FALSE)</f>
        <v>Trsf</v>
      </c>
      <c r="S1359" s="1" t="s">
        <v>2048</v>
      </c>
    </row>
    <row r="1360" spans="1:19" x14ac:dyDescent="0.3">
      <c r="A1360" s="4">
        <v>44956</v>
      </c>
      <c r="B1360" s="5">
        <f t="shared" si="295"/>
        <v>1</v>
      </c>
      <c r="C1360" s="5">
        <f t="shared" si="296"/>
        <v>2023</v>
      </c>
      <c r="D1360" s="5" t="s">
        <v>1205</v>
      </c>
      <c r="E1360" s="5" t="str">
        <f>VLOOKUP(F1360,'Set up'!$A$2:$C$70,2,FALSE)</f>
        <v>C00000022</v>
      </c>
      <c r="F1360" s="1" t="s">
        <v>637</v>
      </c>
      <c r="G1360" s="89" t="s">
        <v>1206</v>
      </c>
      <c r="H1360" s="5">
        <v>2</v>
      </c>
      <c r="I1360" s="5" t="str">
        <f>VLOOKUP(F1360,'Set up'!$A$2:$C$70,3,FALSE)</f>
        <v>Cash</v>
      </c>
      <c r="J1360" s="5">
        <f>VLOOKUP(F1360,'Set up'!$A$2:$D$70,4,FALSE)</f>
        <v>0</v>
      </c>
      <c r="K1360" s="4">
        <f t="shared" si="297"/>
        <v>44956</v>
      </c>
      <c r="L1360" s="5">
        <f t="shared" si="298"/>
        <v>1</v>
      </c>
      <c r="M1360" s="5">
        <f t="shared" si="299"/>
        <v>2023</v>
      </c>
      <c r="N1360" s="6">
        <v>570</v>
      </c>
      <c r="O1360" s="6">
        <f t="shared" ref="O1360" si="304">-N1360</f>
        <v>-570</v>
      </c>
      <c r="P1360" s="6">
        <f t="shared" si="301"/>
        <v>0</v>
      </c>
      <c r="Q1360" s="7">
        <f t="shared" si="302"/>
        <v>2513932.6500000008</v>
      </c>
      <c r="R1360" s="44" t="str">
        <f>VLOOKUP(F1360,'Set up'!$A$2:$E$70,5,FALSE)</f>
        <v>Trsf</v>
      </c>
      <c r="S1360" s="1" t="s">
        <v>1385</v>
      </c>
    </row>
    <row r="1361" spans="1:19" x14ac:dyDescent="0.3">
      <c r="A1361" s="4">
        <v>44958</v>
      </c>
      <c r="B1361" s="5">
        <f t="shared" si="295"/>
        <v>2</v>
      </c>
      <c r="C1361" s="5">
        <f t="shared" si="296"/>
        <v>2023</v>
      </c>
      <c r="D1361" s="5" t="s">
        <v>1234</v>
      </c>
      <c r="E1361" s="5" t="str">
        <f>VLOOKUP(F1361,'Set up'!$A$2:$C$70,2,FALSE)</f>
        <v>C00000034</v>
      </c>
      <c r="F1361" s="1" t="s">
        <v>1196</v>
      </c>
      <c r="G1361" s="89" t="s">
        <v>1235</v>
      </c>
      <c r="H1361" s="5">
        <v>2</v>
      </c>
      <c r="I1361" s="5" t="str">
        <f>VLOOKUP(F1361,'Set up'!$A$2:$C$70,3,FALSE)</f>
        <v>Cash</v>
      </c>
      <c r="J1361" s="5">
        <f>VLOOKUP(F1361,'Set up'!$A$2:$D$70,4,FALSE)</f>
        <v>0</v>
      </c>
      <c r="K1361" s="4">
        <f t="shared" si="297"/>
        <v>44958</v>
      </c>
      <c r="L1361" s="5">
        <f t="shared" si="298"/>
        <v>2</v>
      </c>
      <c r="M1361" s="5">
        <f t="shared" si="299"/>
        <v>2023</v>
      </c>
      <c r="N1361" s="6">
        <v>3555</v>
      </c>
      <c r="O1361" s="6">
        <f t="shared" ref="O1361:O1364" si="305">-N1361</f>
        <v>-3555</v>
      </c>
      <c r="P1361" s="6">
        <f t="shared" si="301"/>
        <v>0</v>
      </c>
      <c r="Q1361" s="7">
        <f t="shared" si="302"/>
        <v>2517487.6500000008</v>
      </c>
      <c r="R1361" s="44" t="str">
        <f>VLOOKUP(F1361,'Set up'!$A$2:$E$70,5,FALSE)</f>
        <v>Trsf</v>
      </c>
      <c r="S1361" s="1" t="s">
        <v>1284</v>
      </c>
    </row>
    <row r="1362" spans="1:19" x14ac:dyDescent="0.3">
      <c r="A1362" s="4">
        <v>44959</v>
      </c>
      <c r="B1362" s="5">
        <f t="shared" si="295"/>
        <v>2</v>
      </c>
      <c r="C1362" s="5">
        <f t="shared" si="296"/>
        <v>2023</v>
      </c>
      <c r="D1362" s="5" t="s">
        <v>1236</v>
      </c>
      <c r="E1362" s="5" t="str">
        <f>VLOOKUP(F1362,'Set up'!$A$2:$C$70,2,FALSE)</f>
        <v>C00000021</v>
      </c>
      <c r="F1362" s="1" t="s">
        <v>491</v>
      </c>
      <c r="G1362" s="89" t="s">
        <v>716</v>
      </c>
      <c r="H1362" s="5">
        <v>1</v>
      </c>
      <c r="I1362" s="5" t="str">
        <f>VLOOKUP(F1362,'Set up'!$A$2:$C$70,3,FALSE)</f>
        <v>Cash</v>
      </c>
      <c r="J1362" s="5">
        <f>VLOOKUP(F1362,'Set up'!$A$2:$D$70,4,FALSE)</f>
        <v>0</v>
      </c>
      <c r="K1362" s="4">
        <f t="shared" si="297"/>
        <v>44959</v>
      </c>
      <c r="L1362" s="5">
        <f t="shared" si="298"/>
        <v>2</v>
      </c>
      <c r="M1362" s="5">
        <f t="shared" si="299"/>
        <v>2023</v>
      </c>
      <c r="N1362" s="6">
        <v>1870</v>
      </c>
      <c r="O1362" s="6">
        <f t="shared" si="305"/>
        <v>-1870</v>
      </c>
      <c r="P1362" s="6">
        <f t="shared" si="301"/>
        <v>0</v>
      </c>
      <c r="Q1362" s="7">
        <f t="shared" si="302"/>
        <v>2519357.6500000008</v>
      </c>
      <c r="R1362" s="44" t="str">
        <f>VLOOKUP(F1362,'Set up'!$A$2:$E$70,5,FALSE)</f>
        <v>PD Chq</v>
      </c>
      <c r="S1362" s="1" t="s">
        <v>1593</v>
      </c>
    </row>
    <row r="1363" spans="1:19" x14ac:dyDescent="0.3">
      <c r="A1363" s="4">
        <v>44959</v>
      </c>
      <c r="B1363" s="5">
        <f t="shared" si="295"/>
        <v>2</v>
      </c>
      <c r="C1363" s="5">
        <f t="shared" si="296"/>
        <v>2023</v>
      </c>
      <c r="D1363" s="5" t="s">
        <v>1236</v>
      </c>
      <c r="E1363" s="5" t="str">
        <f>VLOOKUP(F1363,'Set up'!$A$2:$C$70,2,FALSE)</f>
        <v>C00000021</v>
      </c>
      <c r="F1363" s="1" t="s">
        <v>491</v>
      </c>
      <c r="G1363" s="89" t="s">
        <v>654</v>
      </c>
      <c r="H1363" s="5">
        <v>2</v>
      </c>
      <c r="I1363" s="5" t="str">
        <f>VLOOKUP(F1363,'Set up'!$A$2:$C$70,3,FALSE)</f>
        <v>Cash</v>
      </c>
      <c r="J1363" s="5">
        <f>VLOOKUP(F1363,'Set up'!$A$2:$D$70,4,FALSE)</f>
        <v>0</v>
      </c>
      <c r="K1363" s="4">
        <f t="shared" si="297"/>
        <v>44959</v>
      </c>
      <c r="L1363" s="5">
        <f t="shared" si="298"/>
        <v>2</v>
      </c>
      <c r="M1363" s="5">
        <f t="shared" si="299"/>
        <v>2023</v>
      </c>
      <c r="N1363" s="6">
        <v>510</v>
      </c>
      <c r="O1363" s="6">
        <f t="shared" si="305"/>
        <v>-510</v>
      </c>
      <c r="P1363" s="6">
        <f t="shared" ref="P1363:P1403" si="306">SUM(N1363+O1363)</f>
        <v>0</v>
      </c>
      <c r="Q1363" s="7">
        <f t="shared" si="302"/>
        <v>2519867.6500000008</v>
      </c>
      <c r="R1363" s="44" t="str">
        <f>VLOOKUP(F1363,'Set up'!$A$2:$E$70,5,FALSE)</f>
        <v>PD Chq</v>
      </c>
      <c r="S1363" s="1" t="s">
        <v>1593</v>
      </c>
    </row>
    <row r="1364" spans="1:19" x14ac:dyDescent="0.3">
      <c r="A1364" s="4">
        <v>44959</v>
      </c>
      <c r="B1364" s="5">
        <f t="shared" si="295"/>
        <v>2</v>
      </c>
      <c r="C1364" s="5">
        <f t="shared" si="296"/>
        <v>2023</v>
      </c>
      <c r="D1364" s="5" t="s">
        <v>1236</v>
      </c>
      <c r="E1364" s="5" t="str">
        <f>VLOOKUP(F1364,'Set up'!$A$2:$C$70,2,FALSE)</f>
        <v>C00000021</v>
      </c>
      <c r="F1364" s="1" t="s">
        <v>491</v>
      </c>
      <c r="G1364" s="89" t="s">
        <v>666</v>
      </c>
      <c r="H1364" s="5">
        <v>1</v>
      </c>
      <c r="I1364" s="5" t="str">
        <f>VLOOKUP(F1364,'Set up'!$A$2:$C$70,3,FALSE)</f>
        <v>Cash</v>
      </c>
      <c r="J1364" s="5">
        <f>VLOOKUP(F1364,'Set up'!$A$2:$D$70,4,FALSE)</f>
        <v>0</v>
      </c>
      <c r="K1364" s="4">
        <f t="shared" si="297"/>
        <v>44959</v>
      </c>
      <c r="L1364" s="5">
        <f t="shared" si="298"/>
        <v>2</v>
      </c>
      <c r="M1364" s="5">
        <f t="shared" si="299"/>
        <v>2023</v>
      </c>
      <c r="N1364" s="6">
        <v>95</v>
      </c>
      <c r="O1364" s="6">
        <f t="shared" si="305"/>
        <v>-95</v>
      </c>
      <c r="P1364" s="6">
        <f t="shared" si="306"/>
        <v>0</v>
      </c>
      <c r="Q1364" s="7">
        <f t="shared" si="302"/>
        <v>2519962.6500000008</v>
      </c>
      <c r="R1364" s="44" t="str">
        <f>VLOOKUP(F1364,'Set up'!$A$2:$E$70,5,FALSE)</f>
        <v>PD Chq</v>
      </c>
      <c r="S1364" s="1" t="s">
        <v>1593</v>
      </c>
    </row>
    <row r="1365" spans="1:19" x14ac:dyDescent="0.3">
      <c r="A1365" s="4" t="s">
        <v>1238</v>
      </c>
      <c r="B1365" s="5">
        <f t="shared" si="295"/>
        <v>2</v>
      </c>
      <c r="C1365" s="5">
        <f t="shared" si="296"/>
        <v>2023</v>
      </c>
      <c r="D1365" s="5" t="s">
        <v>1237</v>
      </c>
      <c r="E1365" s="5" t="str">
        <f>VLOOKUP(F1365,'Set up'!$A$2:$C$70,2,FALSE)</f>
        <v>C00000020</v>
      </c>
      <c r="F1365" s="1" t="s">
        <v>409</v>
      </c>
      <c r="G1365" s="89" t="s">
        <v>716</v>
      </c>
      <c r="H1365" s="5">
        <v>3</v>
      </c>
      <c r="I1365" s="5" t="str">
        <f>VLOOKUP(F1365,'Set up'!$A$2:$C$70,3,FALSE)</f>
        <v>Cash</v>
      </c>
      <c r="J1365" s="5">
        <f>VLOOKUP(F1365,'Set up'!$A$2:$D$70,4,FALSE)</f>
        <v>0</v>
      </c>
      <c r="K1365" s="4">
        <f t="shared" si="297"/>
        <v>44960</v>
      </c>
      <c r="L1365" s="5">
        <f t="shared" si="298"/>
        <v>2</v>
      </c>
      <c r="M1365" s="5">
        <f t="shared" si="299"/>
        <v>2023</v>
      </c>
      <c r="N1365" s="6">
        <v>5214</v>
      </c>
      <c r="O1365" s="6">
        <f>-489.4-1025-3699.6</f>
        <v>-5214</v>
      </c>
      <c r="P1365" s="6">
        <f t="shared" si="306"/>
        <v>0</v>
      </c>
      <c r="Q1365" s="7">
        <f t="shared" si="302"/>
        <v>2525176.6500000008</v>
      </c>
      <c r="R1365" s="44" t="str">
        <f>VLOOKUP(F1365,'Set up'!$A$2:$E$70,5,FALSE)</f>
        <v>Trsf</v>
      </c>
      <c r="S1365" s="1" t="s">
        <v>2049</v>
      </c>
    </row>
    <row r="1366" spans="1:19" x14ac:dyDescent="0.3">
      <c r="A1366" s="4" t="s">
        <v>1238</v>
      </c>
      <c r="B1366" s="5">
        <f t="shared" si="295"/>
        <v>2</v>
      </c>
      <c r="C1366" s="5">
        <f t="shared" si="296"/>
        <v>2023</v>
      </c>
      <c r="D1366" s="5" t="s">
        <v>1237</v>
      </c>
      <c r="E1366" s="5" t="str">
        <f>VLOOKUP(F1366,'Set up'!$A$2:$C$70,2,FALSE)</f>
        <v>C00000020</v>
      </c>
      <c r="F1366" s="1" t="s">
        <v>409</v>
      </c>
      <c r="G1366" s="89" t="s">
        <v>913</v>
      </c>
      <c r="H1366" s="5">
        <v>3</v>
      </c>
      <c r="I1366" s="5" t="str">
        <f>VLOOKUP(F1366,'Set up'!$A$2:$C$70,3,FALSE)</f>
        <v>Cash</v>
      </c>
      <c r="J1366" s="5">
        <f>VLOOKUP(F1366,'Set up'!$A$2:$D$70,4,FALSE)</f>
        <v>0</v>
      </c>
      <c r="K1366" s="4">
        <f t="shared" si="297"/>
        <v>44960</v>
      </c>
      <c r="L1366" s="5">
        <f t="shared" si="298"/>
        <v>2</v>
      </c>
      <c r="M1366" s="5">
        <f t="shared" si="299"/>
        <v>2023</v>
      </c>
      <c r="N1366" s="6">
        <v>684</v>
      </c>
      <c r="O1366" s="6">
        <f t="shared" ref="O1366:O1369" si="307">-N1366</f>
        <v>-684</v>
      </c>
      <c r="P1366" s="6">
        <f t="shared" si="306"/>
        <v>0</v>
      </c>
      <c r="Q1366" s="7">
        <f t="shared" si="302"/>
        <v>2525860.6500000008</v>
      </c>
      <c r="R1366" s="44" t="str">
        <f>VLOOKUP(F1366,'Set up'!$A$2:$E$70,5,FALSE)</f>
        <v>Trsf</v>
      </c>
      <c r="S1366" s="1" t="s">
        <v>2050</v>
      </c>
    </row>
    <row r="1367" spans="1:19" x14ac:dyDescent="0.3">
      <c r="A1367" s="4" t="s">
        <v>1238</v>
      </c>
      <c r="B1367" s="5">
        <f t="shared" si="295"/>
        <v>2</v>
      </c>
      <c r="C1367" s="5">
        <f t="shared" si="296"/>
        <v>2023</v>
      </c>
      <c r="D1367" s="5" t="s">
        <v>1237</v>
      </c>
      <c r="E1367" s="5" t="str">
        <f>VLOOKUP(F1367,'Set up'!$A$2:$C$70,2,FALSE)</f>
        <v>C00000020</v>
      </c>
      <c r="F1367" s="1" t="s">
        <v>409</v>
      </c>
      <c r="G1367" s="89" t="s">
        <v>1168</v>
      </c>
      <c r="H1367" s="5">
        <v>3</v>
      </c>
      <c r="I1367" s="5" t="str">
        <f>VLOOKUP(F1367,'Set up'!$A$2:$C$70,3,FALSE)</f>
        <v>Cash</v>
      </c>
      <c r="J1367" s="5">
        <f>VLOOKUP(F1367,'Set up'!$A$2:$D$70,4,FALSE)</f>
        <v>0</v>
      </c>
      <c r="K1367" s="4">
        <f t="shared" si="297"/>
        <v>44960</v>
      </c>
      <c r="L1367" s="5">
        <f t="shared" si="298"/>
        <v>2</v>
      </c>
      <c r="M1367" s="5">
        <f t="shared" si="299"/>
        <v>2023</v>
      </c>
      <c r="N1367" s="6">
        <v>793.80000000000007</v>
      </c>
      <c r="O1367" s="6">
        <f t="shared" si="307"/>
        <v>-793.80000000000007</v>
      </c>
      <c r="P1367" s="6">
        <f t="shared" si="306"/>
        <v>0</v>
      </c>
      <c r="Q1367" s="7">
        <f t="shared" si="302"/>
        <v>2526654.4500000007</v>
      </c>
      <c r="R1367" s="44" t="str">
        <f>VLOOKUP(F1367,'Set up'!$A$2:$E$70,5,FALSE)</f>
        <v>Trsf</v>
      </c>
      <c r="S1367" s="1" t="s">
        <v>2051</v>
      </c>
    </row>
    <row r="1368" spans="1:19" x14ac:dyDescent="0.3">
      <c r="A1368" s="4" t="s">
        <v>1238</v>
      </c>
      <c r="B1368" s="5">
        <f t="shared" si="295"/>
        <v>2</v>
      </c>
      <c r="C1368" s="5">
        <f t="shared" si="296"/>
        <v>2023</v>
      </c>
      <c r="D1368" s="5" t="s">
        <v>1237</v>
      </c>
      <c r="E1368" s="5" t="str">
        <f>VLOOKUP(F1368,'Set up'!$A$2:$C$70,2,FALSE)</f>
        <v>C00000020</v>
      </c>
      <c r="F1368" s="1" t="s">
        <v>409</v>
      </c>
      <c r="G1368" s="89" t="s">
        <v>666</v>
      </c>
      <c r="H1368" s="5">
        <v>3</v>
      </c>
      <c r="I1368" s="5" t="str">
        <f>VLOOKUP(F1368,'Set up'!$A$2:$C$70,3,FALSE)</f>
        <v>Cash</v>
      </c>
      <c r="J1368" s="5">
        <f>VLOOKUP(F1368,'Set up'!$A$2:$D$70,4,FALSE)</f>
        <v>0</v>
      </c>
      <c r="K1368" s="4">
        <f t="shared" si="297"/>
        <v>44960</v>
      </c>
      <c r="L1368" s="5">
        <f t="shared" si="298"/>
        <v>2</v>
      </c>
      <c r="M1368" s="5">
        <f t="shared" si="299"/>
        <v>2023</v>
      </c>
      <c r="N1368" s="6">
        <v>285</v>
      </c>
      <c r="O1368" s="6">
        <f t="shared" si="307"/>
        <v>-285</v>
      </c>
      <c r="P1368" s="6">
        <f t="shared" si="306"/>
        <v>0</v>
      </c>
      <c r="Q1368" s="7">
        <f t="shared" si="302"/>
        <v>2526939.4500000007</v>
      </c>
      <c r="R1368" s="44" t="str">
        <f>VLOOKUP(F1368,'Set up'!$A$2:$E$70,5,FALSE)</f>
        <v>Trsf</v>
      </c>
      <c r="S1368" s="1" t="s">
        <v>2052</v>
      </c>
    </row>
    <row r="1369" spans="1:19" x14ac:dyDescent="0.3">
      <c r="A1369" s="4" t="s">
        <v>1238</v>
      </c>
      <c r="B1369" s="5">
        <f t="shared" si="295"/>
        <v>2</v>
      </c>
      <c r="C1369" s="5">
        <f t="shared" si="296"/>
        <v>2023</v>
      </c>
      <c r="D1369" s="5" t="s">
        <v>1237</v>
      </c>
      <c r="E1369" s="5" t="str">
        <f>VLOOKUP(F1369,'Set up'!$A$2:$C$70,2,FALSE)</f>
        <v>C00000020</v>
      </c>
      <c r="F1369" s="1" t="s">
        <v>409</v>
      </c>
      <c r="G1369" s="89" t="s">
        <v>566</v>
      </c>
      <c r="H1369" s="5">
        <v>1</v>
      </c>
      <c r="I1369" s="5" t="str">
        <f>VLOOKUP(F1369,'Set up'!$A$2:$C$70,3,FALSE)</f>
        <v>Cash</v>
      </c>
      <c r="J1369" s="5">
        <f>VLOOKUP(F1369,'Set up'!$A$2:$D$70,4,FALSE)</f>
        <v>0</v>
      </c>
      <c r="K1369" s="4">
        <f t="shared" si="297"/>
        <v>44960</v>
      </c>
      <c r="L1369" s="5">
        <f t="shared" si="298"/>
        <v>2</v>
      </c>
      <c r="M1369" s="5">
        <f t="shared" si="299"/>
        <v>2023</v>
      </c>
      <c r="N1369" s="6">
        <v>105</v>
      </c>
      <c r="O1369" s="6">
        <f t="shared" si="307"/>
        <v>-105</v>
      </c>
      <c r="P1369" s="6">
        <f t="shared" si="306"/>
        <v>0</v>
      </c>
      <c r="Q1369" s="7">
        <f t="shared" si="302"/>
        <v>2527044.4500000007</v>
      </c>
      <c r="R1369" s="44" t="str">
        <f>VLOOKUP(F1369,'Set up'!$A$2:$E$70,5,FALSE)</f>
        <v>Trsf</v>
      </c>
      <c r="S1369" s="1" t="s">
        <v>2053</v>
      </c>
    </row>
    <row r="1370" spans="1:19" x14ac:dyDescent="0.3">
      <c r="A1370" s="4" t="s">
        <v>1240</v>
      </c>
      <c r="B1370" s="5">
        <f t="shared" si="295"/>
        <v>2</v>
      </c>
      <c r="C1370" s="5">
        <f t="shared" si="296"/>
        <v>2023</v>
      </c>
      <c r="D1370" s="5" t="s">
        <v>1239</v>
      </c>
      <c r="E1370" s="5" t="str">
        <f>VLOOKUP(F1370,'Set up'!$A$2:$C$70,2,FALSE)</f>
        <v>C00000022</v>
      </c>
      <c r="F1370" s="1" t="s">
        <v>637</v>
      </c>
      <c r="G1370" s="89" t="s">
        <v>95</v>
      </c>
      <c r="H1370" s="5">
        <v>1</v>
      </c>
      <c r="I1370" s="5" t="str">
        <f>VLOOKUP(F1370,'Set up'!$A$2:$C$70,3,FALSE)</f>
        <v>Cash</v>
      </c>
      <c r="J1370" s="5">
        <f>VLOOKUP(F1370,'Set up'!$A$2:$D$70,4,FALSE)</f>
        <v>0</v>
      </c>
      <c r="K1370" s="4">
        <f t="shared" si="297"/>
        <v>44965</v>
      </c>
      <c r="L1370" s="5">
        <f t="shared" si="298"/>
        <v>2</v>
      </c>
      <c r="M1370" s="5">
        <f t="shared" si="299"/>
        <v>2023</v>
      </c>
      <c r="N1370" s="6">
        <v>1936</v>
      </c>
      <c r="O1370" s="6">
        <f>-714-1222</f>
        <v>-1936</v>
      </c>
      <c r="P1370" s="6">
        <f t="shared" si="306"/>
        <v>0</v>
      </c>
      <c r="Q1370" s="7">
        <f t="shared" si="302"/>
        <v>2528980.4500000007</v>
      </c>
      <c r="R1370" s="44" t="str">
        <f>VLOOKUP(F1370,'Set up'!$A$2:$E$70,5,FALSE)</f>
        <v>Trsf</v>
      </c>
      <c r="S1370" s="1" t="s">
        <v>1486</v>
      </c>
    </row>
    <row r="1371" spans="1:19" x14ac:dyDescent="0.3">
      <c r="A1371" s="4" t="s">
        <v>1240</v>
      </c>
      <c r="B1371" s="5">
        <f t="shared" si="295"/>
        <v>2</v>
      </c>
      <c r="C1371" s="5">
        <f t="shared" si="296"/>
        <v>2023</v>
      </c>
      <c r="D1371" s="5" t="s">
        <v>1239</v>
      </c>
      <c r="E1371" s="5" t="str">
        <f>VLOOKUP(F1371,'Set up'!$A$2:$C$70,2,FALSE)</f>
        <v>C00000022</v>
      </c>
      <c r="F1371" s="1" t="s">
        <v>637</v>
      </c>
      <c r="G1371" s="89" t="s">
        <v>1206</v>
      </c>
      <c r="H1371" s="5">
        <v>2</v>
      </c>
      <c r="I1371" s="5" t="str">
        <f>VLOOKUP(F1371,'Set up'!$A$2:$C$70,3,FALSE)</f>
        <v>Cash</v>
      </c>
      <c r="J1371" s="5">
        <f>VLOOKUP(F1371,'Set up'!$A$2:$D$70,4,FALSE)</f>
        <v>0</v>
      </c>
      <c r="K1371" s="4">
        <f t="shared" si="297"/>
        <v>44965</v>
      </c>
      <c r="L1371" s="5">
        <f t="shared" si="298"/>
        <v>2</v>
      </c>
      <c r="M1371" s="5">
        <f t="shared" si="299"/>
        <v>2023</v>
      </c>
      <c r="N1371" s="6">
        <v>570</v>
      </c>
      <c r="O1371" s="6">
        <f t="shared" ref="O1371" si="308">-N1371</f>
        <v>-570</v>
      </c>
      <c r="P1371" s="6">
        <f t="shared" si="306"/>
        <v>0</v>
      </c>
      <c r="Q1371" s="7">
        <f t="shared" si="302"/>
        <v>2529550.4500000007</v>
      </c>
      <c r="R1371" s="44" t="str">
        <f>VLOOKUP(F1371,'Set up'!$A$2:$E$70,5,FALSE)</f>
        <v>Trsf</v>
      </c>
      <c r="S1371" s="1" t="s">
        <v>1487</v>
      </c>
    </row>
    <row r="1372" spans="1:19" x14ac:dyDescent="0.3">
      <c r="A1372" s="4" t="s">
        <v>1240</v>
      </c>
      <c r="B1372" s="5">
        <f t="shared" si="295"/>
        <v>2</v>
      </c>
      <c r="C1372" s="5">
        <f t="shared" si="296"/>
        <v>2023</v>
      </c>
      <c r="D1372" s="5" t="s">
        <v>1239</v>
      </c>
      <c r="E1372" s="5" t="str">
        <f>VLOOKUP(F1372,'Set up'!$A$2:$C$70,2,FALSE)</f>
        <v>C00000022</v>
      </c>
      <c r="F1372" s="1" t="s">
        <v>637</v>
      </c>
      <c r="G1372" s="89" t="s">
        <v>292</v>
      </c>
      <c r="H1372" s="5">
        <v>1</v>
      </c>
      <c r="I1372" s="5" t="str">
        <f>VLOOKUP(F1372,'Set up'!$A$2:$C$70,3,FALSE)</f>
        <v>Cash</v>
      </c>
      <c r="J1372" s="5">
        <f>VLOOKUP(F1372,'Set up'!$A$2:$D$70,4,FALSE)</f>
        <v>0</v>
      </c>
      <c r="K1372" s="4">
        <f t="shared" si="297"/>
        <v>44965</v>
      </c>
      <c r="L1372" s="5">
        <f t="shared" si="298"/>
        <v>2</v>
      </c>
      <c r="M1372" s="5">
        <f t="shared" si="299"/>
        <v>2023</v>
      </c>
      <c r="N1372" s="6">
        <v>450</v>
      </c>
      <c r="O1372" s="6">
        <f>-208-242</f>
        <v>-450</v>
      </c>
      <c r="P1372" s="6">
        <f t="shared" si="306"/>
        <v>0</v>
      </c>
      <c r="Q1372" s="7">
        <f t="shared" si="302"/>
        <v>2530000.4500000007</v>
      </c>
      <c r="R1372" s="44" t="str">
        <f>VLOOKUP(F1372,'Set up'!$A$2:$E$70,5,FALSE)</f>
        <v>Trsf</v>
      </c>
      <c r="S1372" s="1" t="s">
        <v>1684</v>
      </c>
    </row>
    <row r="1373" spans="1:19" x14ac:dyDescent="0.3">
      <c r="A1373" s="4" t="s">
        <v>1240</v>
      </c>
      <c r="B1373" s="5">
        <f t="shared" si="295"/>
        <v>2</v>
      </c>
      <c r="C1373" s="5">
        <f t="shared" si="296"/>
        <v>2023</v>
      </c>
      <c r="D1373" s="5" t="s">
        <v>1244</v>
      </c>
      <c r="E1373" s="5" t="str">
        <f>VLOOKUP(F1373,'Set up'!$A$2:$C$70,2,FALSE)</f>
        <v>C00000034</v>
      </c>
      <c r="F1373" s="1" t="s">
        <v>1196</v>
      </c>
      <c r="G1373" s="89" t="s">
        <v>654</v>
      </c>
      <c r="H1373" s="5">
        <v>8</v>
      </c>
      <c r="I1373" s="5" t="str">
        <f>VLOOKUP(F1373,'Set up'!$A$2:$C$70,3,FALSE)</f>
        <v>Cash</v>
      </c>
      <c r="J1373" s="5">
        <f>VLOOKUP(F1373,'Set up'!$A$2:$D$70,4,FALSE)</f>
        <v>0</v>
      </c>
      <c r="K1373" s="4">
        <f t="shared" si="297"/>
        <v>44965</v>
      </c>
      <c r="L1373" s="5">
        <f t="shared" si="298"/>
        <v>2</v>
      </c>
      <c r="M1373" s="5">
        <f t="shared" si="299"/>
        <v>2023</v>
      </c>
      <c r="N1373" s="6">
        <v>1752</v>
      </c>
      <c r="O1373" s="6">
        <f t="shared" ref="O1373:O1379" si="309">-N1373</f>
        <v>-1752</v>
      </c>
      <c r="P1373" s="6">
        <f t="shared" si="306"/>
        <v>0</v>
      </c>
      <c r="Q1373" s="7">
        <f t="shared" si="302"/>
        <v>2531752.4500000007</v>
      </c>
      <c r="R1373" s="44" t="str">
        <f>VLOOKUP(F1373,'Set up'!$A$2:$E$70,5,FALSE)</f>
        <v>Trsf</v>
      </c>
      <c r="S1373" s="1" t="s">
        <v>1289</v>
      </c>
    </row>
    <row r="1374" spans="1:19" x14ac:dyDescent="0.3">
      <c r="A1374" s="4" t="s">
        <v>1240</v>
      </c>
      <c r="B1374" s="5">
        <f t="shared" si="295"/>
        <v>2</v>
      </c>
      <c r="C1374" s="5">
        <f t="shared" si="296"/>
        <v>2023</v>
      </c>
      <c r="D1374" s="5" t="s">
        <v>1244</v>
      </c>
      <c r="E1374" s="5" t="str">
        <f>VLOOKUP(F1374,'Set up'!$A$2:$C$70,2,FALSE)</f>
        <v>C00000034</v>
      </c>
      <c r="F1374" s="1" t="s">
        <v>1196</v>
      </c>
      <c r="G1374" s="89" t="s">
        <v>1198</v>
      </c>
      <c r="H1374" s="5">
        <v>4</v>
      </c>
      <c r="I1374" s="5" t="str">
        <f>VLOOKUP(F1374,'Set up'!$A$2:$C$70,3,FALSE)</f>
        <v>Cash</v>
      </c>
      <c r="J1374" s="5">
        <f>VLOOKUP(F1374,'Set up'!$A$2:$D$70,4,FALSE)</f>
        <v>0</v>
      </c>
      <c r="K1374" s="4">
        <f t="shared" si="297"/>
        <v>44965</v>
      </c>
      <c r="L1374" s="5">
        <f t="shared" si="298"/>
        <v>2</v>
      </c>
      <c r="M1374" s="5">
        <f t="shared" si="299"/>
        <v>2023</v>
      </c>
      <c r="N1374" s="6">
        <v>876</v>
      </c>
      <c r="O1374" s="6">
        <f t="shared" si="309"/>
        <v>-876</v>
      </c>
      <c r="P1374" s="6">
        <f t="shared" si="306"/>
        <v>0</v>
      </c>
      <c r="Q1374" s="7">
        <f t="shared" si="302"/>
        <v>2532628.4500000007</v>
      </c>
      <c r="R1374" s="44" t="str">
        <f>VLOOKUP(F1374,'Set up'!$A$2:$E$70,5,FALSE)</f>
        <v>Trsf</v>
      </c>
      <c r="S1374" s="1" t="s">
        <v>1289</v>
      </c>
    </row>
    <row r="1375" spans="1:19" x14ac:dyDescent="0.3">
      <c r="A1375" s="4" t="s">
        <v>1240</v>
      </c>
      <c r="B1375" s="5">
        <f t="shared" si="295"/>
        <v>2</v>
      </c>
      <c r="C1375" s="5">
        <f t="shared" si="296"/>
        <v>2023</v>
      </c>
      <c r="D1375" s="5" t="s">
        <v>1244</v>
      </c>
      <c r="E1375" s="5" t="str">
        <f>VLOOKUP(F1375,'Set up'!$A$2:$C$70,2,FALSE)</f>
        <v>C00000034</v>
      </c>
      <c r="F1375" s="1" t="s">
        <v>1196</v>
      </c>
      <c r="G1375" s="89" t="s">
        <v>1241</v>
      </c>
      <c r="H1375" s="5">
        <v>5</v>
      </c>
      <c r="I1375" s="5" t="str">
        <f>VLOOKUP(F1375,'Set up'!$A$2:$C$70,3,FALSE)</f>
        <v>Cash</v>
      </c>
      <c r="J1375" s="5">
        <f>VLOOKUP(F1375,'Set up'!$A$2:$D$70,4,FALSE)</f>
        <v>0</v>
      </c>
      <c r="K1375" s="4">
        <f t="shared" si="297"/>
        <v>44965</v>
      </c>
      <c r="L1375" s="5">
        <f t="shared" si="298"/>
        <v>2</v>
      </c>
      <c r="M1375" s="5">
        <f t="shared" si="299"/>
        <v>2023</v>
      </c>
      <c r="N1375" s="6">
        <v>987</v>
      </c>
      <c r="O1375" s="6">
        <f t="shared" si="309"/>
        <v>-987</v>
      </c>
      <c r="P1375" s="6">
        <f t="shared" si="306"/>
        <v>0</v>
      </c>
      <c r="Q1375" s="7">
        <f t="shared" si="302"/>
        <v>2533615.4500000007</v>
      </c>
      <c r="R1375" s="44" t="str">
        <f>VLOOKUP(F1375,'Set up'!$A$2:$E$70,5,FALSE)</f>
        <v>Trsf</v>
      </c>
      <c r="S1375" s="1" t="s">
        <v>1289</v>
      </c>
    </row>
    <row r="1376" spans="1:19" x14ac:dyDescent="0.3">
      <c r="A1376" s="4" t="s">
        <v>1240</v>
      </c>
      <c r="B1376" s="5">
        <f t="shared" si="295"/>
        <v>2</v>
      </c>
      <c r="C1376" s="5">
        <f t="shared" si="296"/>
        <v>2023</v>
      </c>
      <c r="D1376" s="5" t="s">
        <v>1244</v>
      </c>
      <c r="E1376" s="5" t="str">
        <f>VLOOKUP(F1376,'Set up'!$A$2:$C$70,2,FALSE)</f>
        <v>C00000034</v>
      </c>
      <c r="F1376" s="1" t="s">
        <v>1196</v>
      </c>
      <c r="G1376" s="89" t="s">
        <v>666</v>
      </c>
      <c r="H1376" s="5">
        <v>4</v>
      </c>
      <c r="I1376" s="5" t="str">
        <f>VLOOKUP(F1376,'Set up'!$A$2:$C$70,3,FALSE)</f>
        <v>Cash</v>
      </c>
      <c r="J1376" s="5">
        <f>VLOOKUP(F1376,'Set up'!$A$2:$D$70,4,FALSE)</f>
        <v>0</v>
      </c>
      <c r="K1376" s="4">
        <f t="shared" si="297"/>
        <v>44965</v>
      </c>
      <c r="L1376" s="5">
        <f t="shared" si="298"/>
        <v>2</v>
      </c>
      <c r="M1376" s="5">
        <f t="shared" si="299"/>
        <v>2023</v>
      </c>
      <c r="N1376" s="6">
        <v>350</v>
      </c>
      <c r="O1376" s="6">
        <f t="shared" si="309"/>
        <v>-350</v>
      </c>
      <c r="P1376" s="6">
        <f t="shared" si="306"/>
        <v>0</v>
      </c>
      <c r="Q1376" s="7">
        <f t="shared" si="302"/>
        <v>2533965.4500000007</v>
      </c>
      <c r="R1376" s="44" t="str">
        <f>VLOOKUP(F1376,'Set up'!$A$2:$E$70,5,FALSE)</f>
        <v>Trsf</v>
      </c>
      <c r="S1376" s="1" t="s">
        <v>1289</v>
      </c>
    </row>
    <row r="1377" spans="1:19" x14ac:dyDescent="0.3">
      <c r="A1377" s="4" t="s">
        <v>1240</v>
      </c>
      <c r="B1377" s="5">
        <f t="shared" si="295"/>
        <v>2</v>
      </c>
      <c r="C1377" s="5">
        <f t="shared" si="296"/>
        <v>2023</v>
      </c>
      <c r="D1377" s="5" t="s">
        <v>1244</v>
      </c>
      <c r="E1377" s="5" t="str">
        <f>VLOOKUP(F1377,'Set up'!$A$2:$C$70,2,FALSE)</f>
        <v>C00000034</v>
      </c>
      <c r="F1377" s="1" t="s">
        <v>1196</v>
      </c>
      <c r="G1377" s="89" t="s">
        <v>1242</v>
      </c>
      <c r="H1377" s="5">
        <v>18</v>
      </c>
      <c r="I1377" s="5" t="str">
        <f>VLOOKUP(F1377,'Set up'!$A$2:$C$70,3,FALSE)</f>
        <v>Cash</v>
      </c>
      <c r="J1377" s="5">
        <f>VLOOKUP(F1377,'Set up'!$A$2:$D$70,4,FALSE)</f>
        <v>0</v>
      </c>
      <c r="K1377" s="4">
        <f t="shared" si="297"/>
        <v>44965</v>
      </c>
      <c r="L1377" s="5">
        <f t="shared" si="298"/>
        <v>2</v>
      </c>
      <c r="M1377" s="5">
        <f t="shared" si="299"/>
        <v>2023</v>
      </c>
      <c r="N1377" s="6">
        <v>2268</v>
      </c>
      <c r="O1377" s="6">
        <f t="shared" si="309"/>
        <v>-2268</v>
      </c>
      <c r="P1377" s="6">
        <f t="shared" si="306"/>
        <v>0</v>
      </c>
      <c r="Q1377" s="7">
        <f t="shared" si="302"/>
        <v>2536233.4500000007</v>
      </c>
      <c r="R1377" s="44" t="str">
        <f>VLOOKUP(F1377,'Set up'!$A$2:$E$70,5,FALSE)</f>
        <v>Trsf</v>
      </c>
      <c r="S1377" s="1" t="s">
        <v>1289</v>
      </c>
    </row>
    <row r="1378" spans="1:19" x14ac:dyDescent="0.3">
      <c r="A1378" s="4" t="s">
        <v>1240</v>
      </c>
      <c r="B1378" s="5">
        <f t="shared" si="295"/>
        <v>2</v>
      </c>
      <c r="C1378" s="5">
        <f t="shared" si="296"/>
        <v>2023</v>
      </c>
      <c r="D1378" s="5" t="s">
        <v>1244</v>
      </c>
      <c r="E1378" s="5" t="str">
        <f>VLOOKUP(F1378,'Set up'!$A$2:$C$70,2,FALSE)</f>
        <v>C00000034</v>
      </c>
      <c r="F1378" s="1" t="s">
        <v>1196</v>
      </c>
      <c r="G1378" s="89" t="s">
        <v>1243</v>
      </c>
      <c r="H1378" s="5">
        <v>6</v>
      </c>
      <c r="I1378" s="5" t="str">
        <f>VLOOKUP(F1378,'Set up'!$A$2:$C$70,3,FALSE)</f>
        <v>Cash</v>
      </c>
      <c r="J1378" s="5">
        <f>VLOOKUP(F1378,'Set up'!$A$2:$D$70,4,FALSE)</f>
        <v>0</v>
      </c>
      <c r="K1378" s="4">
        <f t="shared" si="297"/>
        <v>44965</v>
      </c>
      <c r="L1378" s="5">
        <f t="shared" si="298"/>
        <v>2</v>
      </c>
      <c r="M1378" s="5">
        <f t="shared" si="299"/>
        <v>2023</v>
      </c>
      <c r="N1378" s="6">
        <v>714</v>
      </c>
      <c r="O1378" s="6">
        <f t="shared" si="309"/>
        <v>-714</v>
      </c>
      <c r="P1378" s="6">
        <f t="shared" si="306"/>
        <v>0</v>
      </c>
      <c r="Q1378" s="7">
        <f t="shared" si="302"/>
        <v>2536947.4500000007</v>
      </c>
      <c r="R1378" s="44" t="str">
        <f>VLOOKUP(F1378,'Set up'!$A$2:$E$70,5,FALSE)</f>
        <v>Trsf</v>
      </c>
      <c r="S1378" s="1" t="s">
        <v>1289</v>
      </c>
    </row>
    <row r="1379" spans="1:19" x14ac:dyDescent="0.3">
      <c r="A1379" s="4" t="s">
        <v>1246</v>
      </c>
      <c r="B1379" s="5">
        <f t="shared" si="295"/>
        <v>2</v>
      </c>
      <c r="C1379" s="5">
        <f t="shared" si="296"/>
        <v>2023</v>
      </c>
      <c r="D1379" s="5" t="s">
        <v>1245</v>
      </c>
      <c r="E1379" s="5" t="str">
        <f>VLOOKUP(F1379,'Set up'!$A$2:$C$70,2,FALSE)</f>
        <v>C00000020</v>
      </c>
      <c r="F1379" s="1" t="s">
        <v>409</v>
      </c>
      <c r="G1379" s="89" t="s">
        <v>716</v>
      </c>
      <c r="H1379" s="5">
        <v>4</v>
      </c>
      <c r="I1379" s="5" t="str">
        <f>VLOOKUP(F1379,'Set up'!$A$2:$C$70,3,FALSE)</f>
        <v>Cash</v>
      </c>
      <c r="J1379" s="5">
        <f>VLOOKUP(F1379,'Set up'!$A$2:$D$70,4,FALSE)</f>
        <v>0</v>
      </c>
      <c r="K1379" s="4">
        <f t="shared" si="297"/>
        <v>44966</v>
      </c>
      <c r="L1379" s="5">
        <f t="shared" si="298"/>
        <v>2</v>
      </c>
      <c r="M1379" s="5">
        <f t="shared" si="299"/>
        <v>2023</v>
      </c>
      <c r="N1379" s="6">
        <v>6952</v>
      </c>
      <c r="O1379" s="6">
        <f t="shared" si="309"/>
        <v>-6952</v>
      </c>
      <c r="P1379" s="6">
        <f t="shared" si="306"/>
        <v>0</v>
      </c>
      <c r="Q1379" s="7">
        <f t="shared" si="302"/>
        <v>2543899.4500000007</v>
      </c>
      <c r="R1379" s="44" t="str">
        <f>VLOOKUP(F1379,'Set up'!$A$2:$E$70,5,FALSE)</f>
        <v>Trsf</v>
      </c>
      <c r="S1379" s="1" t="s">
        <v>2054</v>
      </c>
    </row>
    <row r="1380" spans="1:19" x14ac:dyDescent="0.3">
      <c r="A1380" s="4" t="s">
        <v>1246</v>
      </c>
      <c r="B1380" s="5">
        <f t="shared" si="295"/>
        <v>2</v>
      </c>
      <c r="C1380" s="5">
        <f t="shared" si="296"/>
        <v>2023</v>
      </c>
      <c r="D1380" s="5" t="s">
        <v>1245</v>
      </c>
      <c r="E1380" s="5" t="str">
        <f>VLOOKUP(F1380,'Set up'!$A$2:$C$70,2,FALSE)</f>
        <v>C00000020</v>
      </c>
      <c r="F1380" s="1" t="s">
        <v>409</v>
      </c>
      <c r="G1380" s="89" t="s">
        <v>654</v>
      </c>
      <c r="H1380" s="5">
        <v>15</v>
      </c>
      <c r="I1380" s="5" t="str">
        <f>VLOOKUP(F1380,'Set up'!$A$2:$C$70,3,FALSE)</f>
        <v>Cash</v>
      </c>
      <c r="J1380" s="5">
        <f>VLOOKUP(F1380,'Set up'!$A$2:$D$70,4,FALSE)</f>
        <v>0</v>
      </c>
      <c r="K1380" s="4">
        <f t="shared" si="297"/>
        <v>44966</v>
      </c>
      <c r="L1380" s="5">
        <f t="shared" si="298"/>
        <v>2</v>
      </c>
      <c r="M1380" s="5">
        <f t="shared" si="299"/>
        <v>2023</v>
      </c>
      <c r="N1380" s="6">
        <v>3420</v>
      </c>
      <c r="O1380" s="6">
        <f>-2480.6-939.4</f>
        <v>-3420</v>
      </c>
      <c r="P1380" s="6">
        <f t="shared" si="306"/>
        <v>0</v>
      </c>
      <c r="Q1380" s="7">
        <f t="shared" si="302"/>
        <v>2547319.4500000007</v>
      </c>
      <c r="R1380" s="44" t="str">
        <f>VLOOKUP(F1380,'Set up'!$A$2:$E$70,5,FALSE)</f>
        <v>Trsf</v>
      </c>
      <c r="S1380" s="1" t="s">
        <v>2055</v>
      </c>
    </row>
    <row r="1381" spans="1:19" x14ac:dyDescent="0.3">
      <c r="A1381" s="4" t="s">
        <v>1246</v>
      </c>
      <c r="B1381" s="5">
        <f t="shared" si="295"/>
        <v>2</v>
      </c>
      <c r="C1381" s="5">
        <f t="shared" si="296"/>
        <v>2023</v>
      </c>
      <c r="D1381" s="5" t="s">
        <v>1245</v>
      </c>
      <c r="E1381" s="5" t="str">
        <f>VLOOKUP(F1381,'Set up'!$A$2:$C$70,2,FALSE)</f>
        <v>C00000020</v>
      </c>
      <c r="F1381" s="1" t="s">
        <v>409</v>
      </c>
      <c r="G1381" s="89" t="s">
        <v>1168</v>
      </c>
      <c r="H1381" s="5">
        <v>8</v>
      </c>
      <c r="I1381" s="5" t="str">
        <f>VLOOKUP(F1381,'Set up'!$A$2:$C$70,3,FALSE)</f>
        <v>Cash</v>
      </c>
      <c r="J1381" s="5">
        <f>VLOOKUP(F1381,'Set up'!$A$2:$D$70,4,FALSE)</f>
        <v>0</v>
      </c>
      <c r="K1381" s="4">
        <f t="shared" si="297"/>
        <v>44966</v>
      </c>
      <c r="L1381" s="5">
        <f t="shared" si="298"/>
        <v>2</v>
      </c>
      <c r="M1381" s="5">
        <f t="shared" si="299"/>
        <v>2023</v>
      </c>
      <c r="N1381" s="6">
        <v>2116.8000000000002</v>
      </c>
      <c r="O1381" s="6">
        <f>-2060.6-56.2</f>
        <v>-2116.7999999999997</v>
      </c>
      <c r="P1381" s="6">
        <f t="shared" si="306"/>
        <v>4.5474735088646412E-13</v>
      </c>
      <c r="Q1381" s="7">
        <f t="shared" si="302"/>
        <v>2549436.2500000005</v>
      </c>
      <c r="R1381" s="44" t="str">
        <f>VLOOKUP(F1381,'Set up'!$A$2:$E$70,5,FALSE)</f>
        <v>Trsf</v>
      </c>
      <c r="S1381" s="1" t="s">
        <v>2056</v>
      </c>
    </row>
    <row r="1382" spans="1:19" x14ac:dyDescent="0.3">
      <c r="A1382" s="4" t="s">
        <v>1246</v>
      </c>
      <c r="B1382" s="5">
        <f t="shared" si="295"/>
        <v>2</v>
      </c>
      <c r="C1382" s="5">
        <f t="shared" si="296"/>
        <v>2023</v>
      </c>
      <c r="D1382" s="5" t="s">
        <v>1245</v>
      </c>
      <c r="E1382" s="5" t="str">
        <f>VLOOKUP(F1382,'Set up'!$A$2:$C$70,2,FALSE)</f>
        <v>C00000020</v>
      </c>
      <c r="F1382" s="1" t="s">
        <v>409</v>
      </c>
      <c r="G1382" s="89" t="s">
        <v>666</v>
      </c>
      <c r="H1382" s="5">
        <v>4</v>
      </c>
      <c r="I1382" s="5" t="str">
        <f>VLOOKUP(F1382,'Set up'!$A$2:$C$70,3,FALSE)</f>
        <v>Cash</v>
      </c>
      <c r="J1382" s="5">
        <f>VLOOKUP(F1382,'Set up'!$A$2:$D$70,4,FALSE)</f>
        <v>0</v>
      </c>
      <c r="K1382" s="4">
        <f t="shared" si="297"/>
        <v>44966</v>
      </c>
      <c r="L1382" s="5">
        <f t="shared" si="298"/>
        <v>2</v>
      </c>
      <c r="M1382" s="5">
        <f t="shared" si="299"/>
        <v>2023</v>
      </c>
      <c r="N1382" s="6">
        <v>380</v>
      </c>
      <c r="O1382" s="6">
        <f t="shared" ref="O1382:O1384" si="310">-N1382</f>
        <v>-380</v>
      </c>
      <c r="P1382" s="6">
        <f t="shared" si="306"/>
        <v>0</v>
      </c>
      <c r="Q1382" s="7">
        <f t="shared" si="302"/>
        <v>2549816.2500000005</v>
      </c>
      <c r="R1382" s="44" t="str">
        <f>VLOOKUP(F1382,'Set up'!$A$2:$E$70,5,FALSE)</f>
        <v>Trsf</v>
      </c>
      <c r="S1382" s="1" t="s">
        <v>2057</v>
      </c>
    </row>
    <row r="1383" spans="1:19" x14ac:dyDescent="0.3">
      <c r="A1383" s="4" t="s">
        <v>1246</v>
      </c>
      <c r="B1383" s="5">
        <f t="shared" si="295"/>
        <v>2</v>
      </c>
      <c r="C1383" s="5">
        <f t="shared" si="296"/>
        <v>2023</v>
      </c>
      <c r="D1383" s="5" t="s">
        <v>1245</v>
      </c>
      <c r="E1383" s="5" t="str">
        <f>VLOOKUP(F1383,'Set up'!$A$2:$C$70,2,FALSE)</f>
        <v>C00000020</v>
      </c>
      <c r="F1383" s="1" t="s">
        <v>409</v>
      </c>
      <c r="G1383" s="89" t="s">
        <v>1073</v>
      </c>
      <c r="H1383" s="5">
        <v>1</v>
      </c>
      <c r="I1383" s="5" t="str">
        <f>VLOOKUP(F1383,'Set up'!$A$2:$C$70,3,FALSE)</f>
        <v>Cash</v>
      </c>
      <c r="J1383" s="5">
        <f>VLOOKUP(F1383,'Set up'!$A$2:$D$70,4,FALSE)</f>
        <v>0</v>
      </c>
      <c r="K1383" s="4">
        <f t="shared" si="297"/>
        <v>44966</v>
      </c>
      <c r="L1383" s="5">
        <f t="shared" si="298"/>
        <v>2</v>
      </c>
      <c r="M1383" s="5">
        <f t="shared" si="299"/>
        <v>2023</v>
      </c>
      <c r="N1383" s="6">
        <v>1000</v>
      </c>
      <c r="O1383" s="6">
        <f t="shared" si="310"/>
        <v>-1000</v>
      </c>
      <c r="P1383" s="6">
        <f t="shared" si="306"/>
        <v>0</v>
      </c>
      <c r="Q1383" s="7">
        <f t="shared" si="302"/>
        <v>2550816.2500000005</v>
      </c>
      <c r="R1383" s="44" t="str">
        <f>VLOOKUP(F1383,'Set up'!$A$2:$E$70,5,FALSE)</f>
        <v>Trsf</v>
      </c>
      <c r="S1383" s="1" t="s">
        <v>2058</v>
      </c>
    </row>
    <row r="1384" spans="1:19" x14ac:dyDescent="0.3">
      <c r="A1384" s="4" t="s">
        <v>1246</v>
      </c>
      <c r="B1384" s="5">
        <f t="shared" si="295"/>
        <v>2</v>
      </c>
      <c r="C1384" s="5">
        <f t="shared" si="296"/>
        <v>2023</v>
      </c>
      <c r="D1384" s="5" t="s">
        <v>1247</v>
      </c>
      <c r="E1384" s="5" t="str">
        <f>VLOOKUP(F1384,'Set up'!$A$2:$C$70,2,FALSE)</f>
        <v>C00000020</v>
      </c>
      <c r="F1384" s="1" t="s">
        <v>409</v>
      </c>
      <c r="G1384" s="89" t="s">
        <v>1110</v>
      </c>
      <c r="H1384" s="5">
        <v>4</v>
      </c>
      <c r="I1384" s="5" t="str">
        <f>VLOOKUP(F1384,'Set up'!$A$2:$C$70,3,FALSE)</f>
        <v>Cash</v>
      </c>
      <c r="J1384" s="5">
        <f>VLOOKUP(F1384,'Set up'!$A$2:$D$70,4,FALSE)</f>
        <v>0</v>
      </c>
      <c r="K1384" s="4">
        <f t="shared" si="297"/>
        <v>44966</v>
      </c>
      <c r="L1384" s="5">
        <f t="shared" si="298"/>
        <v>2</v>
      </c>
      <c r="M1384" s="5">
        <f t="shared" si="299"/>
        <v>2023</v>
      </c>
      <c r="N1384" s="6">
        <v>250</v>
      </c>
      <c r="O1384" s="6">
        <f t="shared" si="310"/>
        <v>-250</v>
      </c>
      <c r="P1384" s="6">
        <f t="shared" si="306"/>
        <v>0</v>
      </c>
      <c r="Q1384" s="7">
        <f t="shared" si="302"/>
        <v>2551066.2500000005</v>
      </c>
      <c r="R1384" s="44" t="str">
        <f>VLOOKUP(F1384,'Set up'!$A$2:$E$70,5,FALSE)</f>
        <v>Trsf</v>
      </c>
      <c r="S1384" s="1" t="s">
        <v>2059</v>
      </c>
    </row>
    <row r="1385" spans="1:19" x14ac:dyDescent="0.3">
      <c r="A1385" s="4" t="s">
        <v>1246</v>
      </c>
      <c r="B1385" s="5">
        <f t="shared" si="295"/>
        <v>2</v>
      </c>
      <c r="C1385" s="5">
        <f t="shared" si="296"/>
        <v>2023</v>
      </c>
      <c r="D1385" s="5" t="s">
        <v>1248</v>
      </c>
      <c r="E1385" s="5" t="str">
        <f>VLOOKUP(F1385,'Set up'!$A$2:$C$70,2,FALSE)</f>
        <v>C00000022</v>
      </c>
      <c r="F1385" s="1" t="s">
        <v>637</v>
      </c>
      <c r="G1385" s="89" t="s">
        <v>566</v>
      </c>
      <c r="H1385" s="5">
        <v>1</v>
      </c>
      <c r="I1385" s="5" t="str">
        <f>VLOOKUP(F1385,'Set up'!$A$2:$C$70,3,FALSE)</f>
        <v>Cash</v>
      </c>
      <c r="J1385" s="5">
        <f>VLOOKUP(F1385,'Set up'!$A$2:$D$70,4,FALSE)</f>
        <v>0</v>
      </c>
      <c r="K1385" s="4">
        <f t="shared" si="297"/>
        <v>44966</v>
      </c>
      <c r="L1385" s="5">
        <f t="shared" si="298"/>
        <v>2</v>
      </c>
      <c r="M1385" s="5">
        <f t="shared" si="299"/>
        <v>2023</v>
      </c>
      <c r="N1385" s="6">
        <v>110</v>
      </c>
      <c r="O1385" s="6">
        <f t="shared" ref="O1385:O1388" si="311">-N1385</f>
        <v>-110</v>
      </c>
      <c r="P1385" s="6">
        <f t="shared" si="306"/>
        <v>0</v>
      </c>
      <c r="Q1385" s="7">
        <f t="shared" si="302"/>
        <v>2551176.2500000005</v>
      </c>
      <c r="R1385" s="44" t="str">
        <f>VLOOKUP(F1385,'Set up'!$A$2:$E$70,5,FALSE)</f>
        <v>Trsf</v>
      </c>
      <c r="S1385" s="1" t="s">
        <v>1685</v>
      </c>
    </row>
    <row r="1386" spans="1:19" x14ac:dyDescent="0.3">
      <c r="A1386" s="4" t="s">
        <v>1250</v>
      </c>
      <c r="B1386" s="5">
        <f t="shared" si="295"/>
        <v>2</v>
      </c>
      <c r="C1386" s="5">
        <f t="shared" si="296"/>
        <v>2023</v>
      </c>
      <c r="D1386" s="5" t="s">
        <v>1249</v>
      </c>
      <c r="E1386" s="5" t="str">
        <f>VLOOKUP(F1386,'Set up'!$A$2:$C$70,2,FALSE)</f>
        <v>C00000021</v>
      </c>
      <c r="F1386" s="1" t="s">
        <v>491</v>
      </c>
      <c r="G1386" s="89" t="s">
        <v>716</v>
      </c>
      <c r="H1386" s="5">
        <v>1</v>
      </c>
      <c r="I1386" s="5" t="str">
        <f>VLOOKUP(F1386,'Set up'!$A$2:$C$70,3,FALSE)</f>
        <v>Cash</v>
      </c>
      <c r="J1386" s="5">
        <f>VLOOKUP(F1386,'Set up'!$A$2:$D$70,4,FALSE)</f>
        <v>0</v>
      </c>
      <c r="K1386" s="4">
        <f t="shared" si="297"/>
        <v>44967</v>
      </c>
      <c r="L1386" s="5">
        <f t="shared" si="298"/>
        <v>2</v>
      </c>
      <c r="M1386" s="5">
        <f t="shared" si="299"/>
        <v>2023</v>
      </c>
      <c r="N1386" s="6">
        <v>1870</v>
      </c>
      <c r="O1386" s="6">
        <f t="shared" si="311"/>
        <v>-1870</v>
      </c>
      <c r="P1386" s="6">
        <f t="shared" si="306"/>
        <v>0</v>
      </c>
      <c r="Q1386" s="7">
        <f t="shared" si="302"/>
        <v>2553046.2500000005</v>
      </c>
      <c r="R1386" s="44" t="str">
        <f>VLOOKUP(F1386,'Set up'!$A$2:$E$70,5,FALSE)</f>
        <v>PD Chq</v>
      </c>
      <c r="S1386" s="1" t="s">
        <v>1779</v>
      </c>
    </row>
    <row r="1387" spans="1:19" x14ac:dyDescent="0.3">
      <c r="A1387" s="4" t="s">
        <v>1250</v>
      </c>
      <c r="B1387" s="5">
        <f t="shared" si="295"/>
        <v>2</v>
      </c>
      <c r="C1387" s="5">
        <f t="shared" si="296"/>
        <v>2023</v>
      </c>
      <c r="D1387" s="5" t="s">
        <v>1249</v>
      </c>
      <c r="E1387" s="5" t="str">
        <f>VLOOKUP(F1387,'Set up'!$A$2:$C$70,2,FALSE)</f>
        <v>C00000021</v>
      </c>
      <c r="F1387" s="1" t="s">
        <v>491</v>
      </c>
      <c r="G1387" s="89" t="s">
        <v>654</v>
      </c>
      <c r="H1387" s="5">
        <v>3</v>
      </c>
      <c r="I1387" s="5" t="str">
        <f>VLOOKUP(F1387,'Set up'!$A$2:$C$70,3,FALSE)</f>
        <v>Cash</v>
      </c>
      <c r="J1387" s="5">
        <f>VLOOKUP(F1387,'Set up'!$A$2:$D$70,4,FALSE)</f>
        <v>0</v>
      </c>
      <c r="K1387" s="4">
        <f t="shared" si="297"/>
        <v>44967</v>
      </c>
      <c r="L1387" s="5">
        <f t="shared" si="298"/>
        <v>2</v>
      </c>
      <c r="M1387" s="5">
        <f t="shared" si="299"/>
        <v>2023</v>
      </c>
      <c r="N1387" s="6">
        <v>765</v>
      </c>
      <c r="O1387" s="6">
        <f t="shared" si="311"/>
        <v>-765</v>
      </c>
      <c r="P1387" s="6">
        <f t="shared" si="306"/>
        <v>0</v>
      </c>
      <c r="Q1387" s="7">
        <f t="shared" si="302"/>
        <v>2553811.2500000005</v>
      </c>
      <c r="R1387" s="44" t="str">
        <f>VLOOKUP(F1387,'Set up'!$A$2:$E$70,5,FALSE)</f>
        <v>PD Chq</v>
      </c>
      <c r="S1387" s="1" t="s">
        <v>1779</v>
      </c>
    </row>
    <row r="1388" spans="1:19" x14ac:dyDescent="0.3">
      <c r="A1388" s="4" t="s">
        <v>1250</v>
      </c>
      <c r="B1388" s="5">
        <f t="shared" si="295"/>
        <v>2</v>
      </c>
      <c r="C1388" s="5">
        <f t="shared" si="296"/>
        <v>2023</v>
      </c>
      <c r="D1388" s="5" t="s">
        <v>1249</v>
      </c>
      <c r="E1388" s="5" t="str">
        <f>VLOOKUP(F1388,'Set up'!$A$2:$C$70,2,FALSE)</f>
        <v>C00000021</v>
      </c>
      <c r="F1388" s="1" t="s">
        <v>491</v>
      </c>
      <c r="G1388" s="89" t="s">
        <v>666</v>
      </c>
      <c r="H1388" s="5">
        <v>1</v>
      </c>
      <c r="I1388" s="5" t="str">
        <f>VLOOKUP(F1388,'Set up'!$A$2:$C$70,3,FALSE)</f>
        <v>Cash</v>
      </c>
      <c r="J1388" s="5">
        <f>VLOOKUP(F1388,'Set up'!$A$2:$D$70,4,FALSE)</f>
        <v>0</v>
      </c>
      <c r="K1388" s="4">
        <f t="shared" si="297"/>
        <v>44967</v>
      </c>
      <c r="L1388" s="5">
        <f t="shared" si="298"/>
        <v>2</v>
      </c>
      <c r="M1388" s="5">
        <f t="shared" si="299"/>
        <v>2023</v>
      </c>
      <c r="N1388" s="6">
        <v>95</v>
      </c>
      <c r="O1388" s="6">
        <f t="shared" si="311"/>
        <v>-95</v>
      </c>
      <c r="P1388" s="6">
        <f t="shared" si="306"/>
        <v>0</v>
      </c>
      <c r="Q1388" s="7">
        <f t="shared" si="302"/>
        <v>2553906.2500000005</v>
      </c>
      <c r="R1388" s="44" t="str">
        <f>VLOOKUP(F1388,'Set up'!$A$2:$E$70,5,FALSE)</f>
        <v>PD Chq</v>
      </c>
      <c r="S1388" s="1" t="s">
        <v>1779</v>
      </c>
    </row>
    <row r="1389" spans="1:19" x14ac:dyDescent="0.3">
      <c r="A1389" s="4" t="s">
        <v>1250</v>
      </c>
      <c r="B1389" s="5">
        <f t="shared" si="295"/>
        <v>2</v>
      </c>
      <c r="C1389" s="5">
        <f t="shared" si="296"/>
        <v>2023</v>
      </c>
      <c r="D1389" s="5" t="s">
        <v>1251</v>
      </c>
      <c r="E1389" s="5" t="str">
        <f>VLOOKUP(F1389,'Set up'!$A$2:$C$70,2,FALSE)</f>
        <v>C00000010</v>
      </c>
      <c r="F1389" s="1" t="s">
        <v>62</v>
      </c>
      <c r="G1389" s="89" t="s">
        <v>1178</v>
      </c>
      <c r="H1389" s="5">
        <v>5</v>
      </c>
      <c r="I1389" s="5">
        <f>VLOOKUP(F1389,'Set up'!$A$2:$C$70,3,FALSE)</f>
        <v>120</v>
      </c>
      <c r="J1389" s="5">
        <f>VLOOKUP(F1389,'Set up'!$A$2:$D$70,4,FALSE)</f>
        <v>120</v>
      </c>
      <c r="K1389" s="4">
        <f t="shared" si="297"/>
        <v>45087</v>
      </c>
      <c r="L1389" s="5">
        <f t="shared" si="298"/>
        <v>6</v>
      </c>
      <c r="M1389" s="5">
        <f t="shared" si="299"/>
        <v>2023</v>
      </c>
      <c r="N1389" s="6">
        <v>8140</v>
      </c>
      <c r="O1389" s="6">
        <f t="shared" ref="O1389:O1393" si="312">-N1389</f>
        <v>-8140</v>
      </c>
      <c r="P1389" s="6">
        <f t="shared" si="306"/>
        <v>0</v>
      </c>
      <c r="Q1389" s="7">
        <f t="shared" si="302"/>
        <v>2562046.2500000005</v>
      </c>
      <c r="R1389" s="44" t="str">
        <f>VLOOKUP(F1389,'Set up'!$A$2:$E$70,5,FALSE)</f>
        <v>Trsf</v>
      </c>
      <c r="S1389" s="1" t="s">
        <v>1581</v>
      </c>
    </row>
    <row r="1390" spans="1:19" x14ac:dyDescent="0.3">
      <c r="A1390" s="4" t="s">
        <v>1250</v>
      </c>
      <c r="B1390" s="5">
        <f t="shared" si="295"/>
        <v>2</v>
      </c>
      <c r="C1390" s="5">
        <f t="shared" si="296"/>
        <v>2023</v>
      </c>
      <c r="D1390" s="5" t="s">
        <v>1251</v>
      </c>
      <c r="E1390" s="5" t="str">
        <f>VLOOKUP(F1390,'Set up'!$A$2:$C$70,2,FALSE)</f>
        <v>C00000010</v>
      </c>
      <c r="F1390" s="1" t="s">
        <v>62</v>
      </c>
      <c r="G1390" s="89" t="s">
        <v>1252</v>
      </c>
      <c r="H1390" s="5">
        <v>5</v>
      </c>
      <c r="I1390" s="5">
        <f>VLOOKUP(F1390,'Set up'!$A$2:$C$70,3,FALSE)</f>
        <v>120</v>
      </c>
      <c r="J1390" s="5">
        <f>VLOOKUP(F1390,'Set up'!$A$2:$D$70,4,FALSE)</f>
        <v>120</v>
      </c>
      <c r="K1390" s="4">
        <f t="shared" si="297"/>
        <v>45087</v>
      </c>
      <c r="L1390" s="5">
        <f t="shared" si="298"/>
        <v>6</v>
      </c>
      <c r="M1390" s="5">
        <f t="shared" si="299"/>
        <v>2023</v>
      </c>
      <c r="N1390" s="6">
        <v>1035</v>
      </c>
      <c r="O1390" s="6">
        <f t="shared" si="312"/>
        <v>-1035</v>
      </c>
      <c r="P1390" s="6">
        <f t="shared" si="306"/>
        <v>0</v>
      </c>
      <c r="Q1390" s="7">
        <f t="shared" si="302"/>
        <v>2563081.2500000005</v>
      </c>
      <c r="R1390" s="44" t="str">
        <f>VLOOKUP(F1390,'Set up'!$A$2:$E$70,5,FALSE)</f>
        <v>Trsf</v>
      </c>
      <c r="S1390" s="1" t="s">
        <v>1581</v>
      </c>
    </row>
    <row r="1391" spans="1:19" x14ac:dyDescent="0.3">
      <c r="A1391" s="4" t="s">
        <v>1250</v>
      </c>
      <c r="B1391" s="5">
        <f t="shared" si="295"/>
        <v>2</v>
      </c>
      <c r="C1391" s="5">
        <f t="shared" si="296"/>
        <v>2023</v>
      </c>
      <c r="D1391" s="5" t="s">
        <v>1251</v>
      </c>
      <c r="E1391" s="5" t="str">
        <f>VLOOKUP(F1391,'Set up'!$A$2:$C$70,2,FALSE)</f>
        <v>C00000010</v>
      </c>
      <c r="F1391" s="1" t="s">
        <v>62</v>
      </c>
      <c r="G1391" s="89" t="s">
        <v>791</v>
      </c>
      <c r="H1391" s="5">
        <v>10</v>
      </c>
      <c r="I1391" s="5">
        <f>VLOOKUP(F1391,'Set up'!$A$2:$C$70,3,FALSE)</f>
        <v>120</v>
      </c>
      <c r="J1391" s="5">
        <f>VLOOKUP(F1391,'Set up'!$A$2:$D$70,4,FALSE)</f>
        <v>120</v>
      </c>
      <c r="K1391" s="4">
        <f t="shared" si="297"/>
        <v>45087</v>
      </c>
      <c r="L1391" s="5">
        <f t="shared" si="298"/>
        <v>6</v>
      </c>
      <c r="M1391" s="5">
        <f t="shared" si="299"/>
        <v>2023</v>
      </c>
      <c r="N1391" s="6">
        <v>575</v>
      </c>
      <c r="O1391" s="6">
        <f t="shared" si="312"/>
        <v>-575</v>
      </c>
      <c r="P1391" s="6">
        <f t="shared" si="306"/>
        <v>0</v>
      </c>
      <c r="Q1391" s="7">
        <f t="shared" si="302"/>
        <v>2563656.2500000005</v>
      </c>
      <c r="R1391" s="44" t="str">
        <f>VLOOKUP(F1391,'Set up'!$A$2:$E$70,5,FALSE)</f>
        <v>Trsf</v>
      </c>
      <c r="S1391" s="1" t="s">
        <v>1581</v>
      </c>
    </row>
    <row r="1392" spans="1:19" x14ac:dyDescent="0.3">
      <c r="A1392" s="4" t="s">
        <v>1250</v>
      </c>
      <c r="B1392" s="5">
        <f t="shared" si="295"/>
        <v>2</v>
      </c>
      <c r="C1392" s="5">
        <f t="shared" si="296"/>
        <v>2023</v>
      </c>
      <c r="D1392" s="5" t="s">
        <v>1251</v>
      </c>
      <c r="E1392" s="5" t="str">
        <f>VLOOKUP(F1392,'Set up'!$A$2:$C$70,2,FALSE)</f>
        <v>C00000010</v>
      </c>
      <c r="F1392" s="1" t="s">
        <v>62</v>
      </c>
      <c r="G1392" s="89" t="s">
        <v>46</v>
      </c>
      <c r="H1392" s="5">
        <v>4</v>
      </c>
      <c r="I1392" s="5">
        <f>VLOOKUP(F1392,'Set up'!$A$2:$C$70,3,FALSE)</f>
        <v>120</v>
      </c>
      <c r="J1392" s="5">
        <f>VLOOKUP(F1392,'Set up'!$A$2:$D$70,4,FALSE)</f>
        <v>120</v>
      </c>
      <c r="K1392" s="4">
        <f t="shared" si="297"/>
        <v>45087</v>
      </c>
      <c r="L1392" s="5">
        <f t="shared" si="298"/>
        <v>6</v>
      </c>
      <c r="M1392" s="5">
        <f t="shared" si="299"/>
        <v>2023</v>
      </c>
      <c r="N1392" s="6">
        <v>420</v>
      </c>
      <c r="O1392" s="6">
        <f t="shared" si="312"/>
        <v>-420</v>
      </c>
      <c r="P1392" s="6">
        <f t="shared" si="306"/>
        <v>0</v>
      </c>
      <c r="Q1392" s="7">
        <f t="shared" si="302"/>
        <v>2564076.2500000005</v>
      </c>
      <c r="R1392" s="44" t="str">
        <f>VLOOKUP(F1392,'Set up'!$A$2:$E$70,5,FALSE)</f>
        <v>Trsf</v>
      </c>
      <c r="S1392" s="1" t="s">
        <v>1581</v>
      </c>
    </row>
    <row r="1393" spans="1:19" x14ac:dyDescent="0.3">
      <c r="A1393" s="4" t="s">
        <v>1250</v>
      </c>
      <c r="B1393" s="5">
        <f t="shared" si="295"/>
        <v>2</v>
      </c>
      <c r="C1393" s="5">
        <f t="shared" si="296"/>
        <v>2023</v>
      </c>
      <c r="D1393" s="5" t="s">
        <v>1251</v>
      </c>
      <c r="E1393" s="5" t="str">
        <f>VLOOKUP(F1393,'Set up'!$A$2:$C$70,2,FALSE)</f>
        <v>C00000010</v>
      </c>
      <c r="F1393" s="1" t="s">
        <v>62</v>
      </c>
      <c r="G1393" s="89" t="s">
        <v>1253</v>
      </c>
      <c r="H1393" s="5">
        <v>2</v>
      </c>
      <c r="I1393" s="5">
        <f>VLOOKUP(F1393,'Set up'!$A$2:$C$70,3,FALSE)</f>
        <v>120</v>
      </c>
      <c r="J1393" s="5">
        <f>VLOOKUP(F1393,'Set up'!$A$2:$D$70,4,FALSE)</f>
        <v>120</v>
      </c>
      <c r="K1393" s="4">
        <f t="shared" si="297"/>
        <v>45087</v>
      </c>
      <c r="L1393" s="5">
        <f t="shared" si="298"/>
        <v>6</v>
      </c>
      <c r="M1393" s="5">
        <f t="shared" si="299"/>
        <v>2023</v>
      </c>
      <c r="N1393" s="6">
        <v>595</v>
      </c>
      <c r="O1393" s="6">
        <f t="shared" si="312"/>
        <v>-595</v>
      </c>
      <c r="P1393" s="6">
        <f t="shared" si="306"/>
        <v>0</v>
      </c>
      <c r="Q1393" s="7">
        <f t="shared" si="302"/>
        <v>2564671.2500000005</v>
      </c>
      <c r="R1393" s="44" t="str">
        <f>VLOOKUP(F1393,'Set up'!$A$2:$E$70,5,FALSE)</f>
        <v>Trsf</v>
      </c>
      <c r="S1393" s="1" t="s">
        <v>1581</v>
      </c>
    </row>
    <row r="1394" spans="1:19" x14ac:dyDescent="0.3">
      <c r="A1394" s="4">
        <v>44968</v>
      </c>
      <c r="B1394" s="5">
        <f t="shared" si="295"/>
        <v>2</v>
      </c>
      <c r="C1394" s="5">
        <f t="shared" si="296"/>
        <v>2023</v>
      </c>
      <c r="D1394" s="5" t="s">
        <v>1254</v>
      </c>
      <c r="E1394" s="5" t="str">
        <f>VLOOKUP(F1394,'Set up'!$A$2:$C$70,2,FALSE)</f>
        <v>C00000020</v>
      </c>
      <c r="F1394" s="1" t="s">
        <v>409</v>
      </c>
      <c r="G1394" s="89" t="s">
        <v>716</v>
      </c>
      <c r="H1394" s="5">
        <v>5</v>
      </c>
      <c r="I1394" s="5" t="str">
        <f>VLOOKUP(F1394,'Set up'!$A$2:$C$70,3,FALSE)</f>
        <v>Cash</v>
      </c>
      <c r="J1394" s="5">
        <f>VLOOKUP(F1394,'Set up'!$A$2:$D$70,4,FALSE)</f>
        <v>0</v>
      </c>
      <c r="K1394" s="4">
        <f t="shared" si="297"/>
        <v>44968</v>
      </c>
      <c r="L1394" s="5">
        <f t="shared" si="298"/>
        <v>2</v>
      </c>
      <c r="M1394" s="5">
        <f t="shared" si="299"/>
        <v>2023</v>
      </c>
      <c r="N1394" s="6">
        <v>8690</v>
      </c>
      <c r="O1394" s="6">
        <f>-6613.8-1100-976.2</f>
        <v>-8690</v>
      </c>
      <c r="P1394" s="6">
        <f t="shared" si="306"/>
        <v>0</v>
      </c>
      <c r="Q1394" s="7">
        <f t="shared" si="302"/>
        <v>2573361.2500000005</v>
      </c>
      <c r="R1394" s="44" t="str">
        <f>VLOOKUP(F1394,'Set up'!$A$2:$E$70,5,FALSE)</f>
        <v>Trsf</v>
      </c>
      <c r="S1394" s="1" t="s">
        <v>2068</v>
      </c>
    </row>
    <row r="1395" spans="1:19" x14ac:dyDescent="0.3">
      <c r="A1395" s="4">
        <v>44968</v>
      </c>
      <c r="B1395" s="5">
        <f t="shared" si="295"/>
        <v>2</v>
      </c>
      <c r="C1395" s="5">
        <f t="shared" si="296"/>
        <v>2023</v>
      </c>
      <c r="D1395" s="5" t="s">
        <v>1254</v>
      </c>
      <c r="E1395" s="5" t="str">
        <f>VLOOKUP(F1395,'Set up'!$A$2:$C$70,2,FALSE)</f>
        <v>C00000020</v>
      </c>
      <c r="F1395" s="1" t="s">
        <v>409</v>
      </c>
      <c r="G1395" s="89" t="s">
        <v>654</v>
      </c>
      <c r="H1395" s="5">
        <v>15</v>
      </c>
      <c r="I1395" s="5" t="str">
        <f>VLOOKUP(F1395,'Set up'!$A$2:$C$70,3,FALSE)</f>
        <v>Cash</v>
      </c>
      <c r="J1395" s="5">
        <f>VLOOKUP(F1395,'Set up'!$A$2:$D$70,4,FALSE)</f>
        <v>0</v>
      </c>
      <c r="K1395" s="4">
        <f t="shared" si="297"/>
        <v>44968</v>
      </c>
      <c r="L1395" s="5">
        <f t="shared" si="298"/>
        <v>2</v>
      </c>
      <c r="M1395" s="5">
        <f t="shared" si="299"/>
        <v>2023</v>
      </c>
      <c r="N1395" s="6">
        <v>3420</v>
      </c>
      <c r="O1395" s="6">
        <f t="shared" ref="O1395:O1398" si="313">-N1395</f>
        <v>-3420</v>
      </c>
      <c r="P1395" s="6">
        <f t="shared" si="306"/>
        <v>0</v>
      </c>
      <c r="Q1395" s="7">
        <f t="shared" si="302"/>
        <v>2576781.2500000005</v>
      </c>
      <c r="R1395" s="44" t="str">
        <f>VLOOKUP(F1395,'Set up'!$A$2:$E$70,5,FALSE)</f>
        <v>Trsf</v>
      </c>
      <c r="S1395" s="1" t="s">
        <v>2060</v>
      </c>
    </row>
    <row r="1396" spans="1:19" x14ac:dyDescent="0.3">
      <c r="A1396" s="4">
        <v>44968</v>
      </c>
      <c r="B1396" s="5">
        <f t="shared" si="295"/>
        <v>2</v>
      </c>
      <c r="C1396" s="5">
        <f t="shared" si="296"/>
        <v>2023</v>
      </c>
      <c r="D1396" s="5" t="s">
        <v>1254</v>
      </c>
      <c r="E1396" s="5" t="str">
        <f>VLOOKUP(F1396,'Set up'!$A$2:$C$70,2,FALSE)</f>
        <v>C00000020</v>
      </c>
      <c r="F1396" s="1" t="s">
        <v>409</v>
      </c>
      <c r="G1396" s="89" t="s">
        <v>1168</v>
      </c>
      <c r="H1396" s="5">
        <v>8</v>
      </c>
      <c r="I1396" s="5" t="str">
        <f>VLOOKUP(F1396,'Set up'!$A$2:$C$70,3,FALSE)</f>
        <v>Cash</v>
      </c>
      <c r="J1396" s="5">
        <f>VLOOKUP(F1396,'Set up'!$A$2:$D$70,4,FALSE)</f>
        <v>0</v>
      </c>
      <c r="K1396" s="4">
        <f t="shared" si="297"/>
        <v>44968</v>
      </c>
      <c r="L1396" s="5">
        <f t="shared" si="298"/>
        <v>2</v>
      </c>
      <c r="M1396" s="5">
        <f t="shared" si="299"/>
        <v>2023</v>
      </c>
      <c r="N1396" s="6">
        <v>2116.8000000000002</v>
      </c>
      <c r="O1396" s="6">
        <f t="shared" si="313"/>
        <v>-2116.8000000000002</v>
      </c>
      <c r="P1396" s="6">
        <f t="shared" si="306"/>
        <v>0</v>
      </c>
      <c r="Q1396" s="7">
        <f t="shared" si="302"/>
        <v>2578898.0500000003</v>
      </c>
      <c r="R1396" s="44" t="str">
        <f>VLOOKUP(F1396,'Set up'!$A$2:$E$70,5,FALSE)</f>
        <v>Trsf</v>
      </c>
      <c r="S1396" s="1" t="s">
        <v>2061</v>
      </c>
    </row>
    <row r="1397" spans="1:19" x14ac:dyDescent="0.3">
      <c r="A1397" s="4">
        <v>44968</v>
      </c>
      <c r="B1397" s="5">
        <f t="shared" si="295"/>
        <v>2</v>
      </c>
      <c r="C1397" s="5">
        <f t="shared" si="296"/>
        <v>2023</v>
      </c>
      <c r="D1397" s="5" t="s">
        <v>1254</v>
      </c>
      <c r="E1397" s="5" t="str">
        <f>VLOOKUP(F1397,'Set up'!$A$2:$C$70,2,FALSE)</f>
        <v>C00000020</v>
      </c>
      <c r="F1397" s="1" t="s">
        <v>409</v>
      </c>
      <c r="G1397" s="89" t="s">
        <v>1073</v>
      </c>
      <c r="H1397" s="5">
        <v>1</v>
      </c>
      <c r="I1397" s="5" t="str">
        <f>VLOOKUP(F1397,'Set up'!$A$2:$C$70,3,FALSE)</f>
        <v>Cash</v>
      </c>
      <c r="J1397" s="5">
        <f>VLOOKUP(F1397,'Set up'!$A$2:$D$70,4,FALSE)</f>
        <v>0</v>
      </c>
      <c r="K1397" s="4">
        <f t="shared" si="297"/>
        <v>44968</v>
      </c>
      <c r="L1397" s="5">
        <f t="shared" si="298"/>
        <v>2</v>
      </c>
      <c r="M1397" s="5">
        <f t="shared" si="299"/>
        <v>2023</v>
      </c>
      <c r="N1397" s="6">
        <v>1000</v>
      </c>
      <c r="O1397" s="6">
        <f t="shared" si="313"/>
        <v>-1000</v>
      </c>
      <c r="P1397" s="6">
        <f t="shared" si="306"/>
        <v>0</v>
      </c>
      <c r="Q1397" s="7">
        <f t="shared" si="302"/>
        <v>2579898.0500000003</v>
      </c>
      <c r="R1397" s="44" t="str">
        <f>VLOOKUP(F1397,'Set up'!$A$2:$E$70,5,FALSE)</f>
        <v>Trsf</v>
      </c>
      <c r="S1397" s="1" t="s">
        <v>2062</v>
      </c>
    </row>
    <row r="1398" spans="1:19" x14ac:dyDescent="0.3">
      <c r="A1398" s="4">
        <v>44968</v>
      </c>
      <c r="B1398" s="5">
        <f t="shared" si="295"/>
        <v>2</v>
      </c>
      <c r="C1398" s="5">
        <f t="shared" si="296"/>
        <v>2023</v>
      </c>
      <c r="D1398" s="5" t="s">
        <v>1255</v>
      </c>
      <c r="E1398" s="5" t="str">
        <f>VLOOKUP(F1398,'Set up'!$A$2:$C$70,2,FALSE)</f>
        <v>C00000020</v>
      </c>
      <c r="F1398" s="1" t="s">
        <v>409</v>
      </c>
      <c r="G1398" s="89" t="s">
        <v>1110</v>
      </c>
      <c r="H1398" s="5">
        <v>5</v>
      </c>
      <c r="I1398" s="5" t="str">
        <f>VLOOKUP(F1398,'Set up'!$A$2:$C$70,3,FALSE)</f>
        <v>Cash</v>
      </c>
      <c r="J1398" s="5">
        <f>VLOOKUP(F1398,'Set up'!$A$2:$D$70,4,FALSE)</f>
        <v>0</v>
      </c>
      <c r="K1398" s="4">
        <f t="shared" si="297"/>
        <v>44968</v>
      </c>
      <c r="L1398" s="5">
        <f t="shared" si="298"/>
        <v>2</v>
      </c>
      <c r="M1398" s="5">
        <f t="shared" si="299"/>
        <v>2023</v>
      </c>
      <c r="N1398" s="6">
        <v>312.5</v>
      </c>
      <c r="O1398" s="6">
        <f t="shared" si="313"/>
        <v>-312.5</v>
      </c>
      <c r="P1398" s="6">
        <f t="shared" si="306"/>
        <v>0</v>
      </c>
      <c r="Q1398" s="7">
        <f t="shared" si="302"/>
        <v>2580210.5500000003</v>
      </c>
      <c r="R1398" s="44" t="str">
        <f>VLOOKUP(F1398,'Set up'!$A$2:$E$70,5,FALSE)</f>
        <v>Trsf</v>
      </c>
      <c r="S1398" s="1" t="s">
        <v>2327</v>
      </c>
    </row>
    <row r="1399" spans="1:19" x14ac:dyDescent="0.3">
      <c r="A1399" s="4">
        <v>44968</v>
      </c>
      <c r="B1399" s="5">
        <f t="shared" si="295"/>
        <v>2</v>
      </c>
      <c r="C1399" s="5">
        <f t="shared" si="296"/>
        <v>2023</v>
      </c>
      <c r="D1399" s="5" t="s">
        <v>1256</v>
      </c>
      <c r="E1399" s="5" t="str">
        <f>VLOOKUP(F1399,'Set up'!$A$2:$C$70,2,FALSE)</f>
        <v>C00000019</v>
      </c>
      <c r="F1399" s="1" t="s">
        <v>400</v>
      </c>
      <c r="G1399" s="89" t="s">
        <v>292</v>
      </c>
      <c r="H1399" s="5">
        <v>1</v>
      </c>
      <c r="I1399" s="5" t="str">
        <f>VLOOKUP(F1399,'Set up'!$A$2:$C$70,3,FALSE)</f>
        <v>Cash</v>
      </c>
      <c r="J1399" s="5">
        <f>VLOOKUP(F1399,'Set up'!$A$2:$D$70,4,FALSE)</f>
        <v>0</v>
      </c>
      <c r="K1399" s="4">
        <f t="shared" si="297"/>
        <v>44968</v>
      </c>
      <c r="L1399" s="5">
        <f t="shared" si="298"/>
        <v>2</v>
      </c>
      <c r="M1399" s="5">
        <f t="shared" si="299"/>
        <v>2023</v>
      </c>
      <c r="N1399" s="6">
        <v>450</v>
      </c>
      <c r="O1399" s="6">
        <f t="shared" ref="O1399" si="314">-N1399</f>
        <v>-450</v>
      </c>
      <c r="P1399" s="6">
        <f t="shared" si="306"/>
        <v>0</v>
      </c>
      <c r="Q1399" s="7">
        <f t="shared" si="302"/>
        <v>2580660.5500000003</v>
      </c>
      <c r="R1399" s="44" t="str">
        <f>VLOOKUP(F1399,'Set up'!$A$2:$E$70,5,FALSE)</f>
        <v>Trsf</v>
      </c>
      <c r="S1399" s="1" t="s">
        <v>1579</v>
      </c>
    </row>
    <row r="1400" spans="1:19" x14ac:dyDescent="0.3">
      <c r="A1400" s="4">
        <v>44972</v>
      </c>
      <c r="B1400" s="5">
        <f t="shared" si="295"/>
        <v>2</v>
      </c>
      <c r="C1400" s="5">
        <f t="shared" si="296"/>
        <v>2023</v>
      </c>
      <c r="D1400" s="5" t="s">
        <v>1262</v>
      </c>
      <c r="E1400" s="5" t="str">
        <f>VLOOKUP(F1400,'Set up'!$A$2:$C$70,2,FALSE)</f>
        <v>C00000035</v>
      </c>
      <c r="F1400" s="1" t="s">
        <v>1257</v>
      </c>
      <c r="G1400" s="89" t="s">
        <v>1258</v>
      </c>
      <c r="H1400" s="5">
        <v>1</v>
      </c>
      <c r="I1400" s="5" t="str">
        <f>VLOOKUP(F1400,'Set up'!$A$2:$C$70,3,FALSE)</f>
        <v>Cash</v>
      </c>
      <c r="J1400" s="5">
        <f>VLOOKUP(F1400,'Set up'!$A$2:$D$70,4,FALSE)</f>
        <v>0</v>
      </c>
      <c r="K1400" s="4">
        <f t="shared" si="297"/>
        <v>44972</v>
      </c>
      <c r="L1400" s="5">
        <f t="shared" si="298"/>
        <v>2</v>
      </c>
      <c r="M1400" s="5">
        <f t="shared" si="299"/>
        <v>2023</v>
      </c>
      <c r="N1400" s="6">
        <v>260</v>
      </c>
      <c r="O1400" s="6">
        <f t="shared" ref="O1400:O1405" si="315">-N1400</f>
        <v>-260</v>
      </c>
      <c r="P1400" s="6">
        <f t="shared" si="306"/>
        <v>0</v>
      </c>
      <c r="Q1400" s="7">
        <f t="shared" si="302"/>
        <v>2580920.5500000003</v>
      </c>
      <c r="R1400" s="44" t="str">
        <f>VLOOKUP(F1400,'Set up'!$A$2:$E$70,5,FALSE)</f>
        <v>Trsf</v>
      </c>
      <c r="S1400" s="1" t="s">
        <v>1294</v>
      </c>
    </row>
    <row r="1401" spans="1:19" x14ac:dyDescent="0.3">
      <c r="A1401" s="4">
        <v>44972</v>
      </c>
      <c r="B1401" s="5">
        <f t="shared" si="295"/>
        <v>2</v>
      </c>
      <c r="C1401" s="5">
        <f t="shared" si="296"/>
        <v>2023</v>
      </c>
      <c r="D1401" s="5" t="s">
        <v>1262</v>
      </c>
      <c r="E1401" s="5" t="str">
        <f>VLOOKUP(F1401,'Set up'!$A$2:$C$70,2,FALSE)</f>
        <v>C00000035</v>
      </c>
      <c r="F1401" s="1" t="s">
        <v>1257</v>
      </c>
      <c r="G1401" s="89" t="s">
        <v>654</v>
      </c>
      <c r="H1401" s="5">
        <v>1</v>
      </c>
      <c r="I1401" s="5" t="str">
        <f>VLOOKUP(F1401,'Set up'!$A$2:$C$70,3,FALSE)</f>
        <v>Cash</v>
      </c>
      <c r="J1401" s="5">
        <f>VLOOKUP(F1401,'Set up'!$A$2:$D$70,4,FALSE)</f>
        <v>0</v>
      </c>
      <c r="K1401" s="4">
        <f t="shared" si="297"/>
        <v>44972</v>
      </c>
      <c r="L1401" s="5">
        <f t="shared" si="298"/>
        <v>2</v>
      </c>
      <c r="M1401" s="5">
        <f t="shared" si="299"/>
        <v>2023</v>
      </c>
      <c r="N1401" s="6">
        <v>228</v>
      </c>
      <c r="O1401" s="6">
        <f t="shared" si="315"/>
        <v>-228</v>
      </c>
      <c r="P1401" s="6">
        <f t="shared" si="306"/>
        <v>0</v>
      </c>
      <c r="Q1401" s="7">
        <f t="shared" si="302"/>
        <v>2581148.5500000003</v>
      </c>
      <c r="R1401" s="44" t="str">
        <f>VLOOKUP(F1401,'Set up'!$A$2:$E$70,5,FALSE)</f>
        <v>Trsf</v>
      </c>
      <c r="S1401" s="1" t="s">
        <v>1294</v>
      </c>
    </row>
    <row r="1402" spans="1:19" x14ac:dyDescent="0.3">
      <c r="A1402" s="4">
        <v>44972</v>
      </c>
      <c r="B1402" s="5">
        <f t="shared" si="295"/>
        <v>2</v>
      </c>
      <c r="C1402" s="5">
        <f t="shared" si="296"/>
        <v>2023</v>
      </c>
      <c r="D1402" s="5" t="s">
        <v>1262</v>
      </c>
      <c r="E1402" s="5" t="str">
        <f>VLOOKUP(F1402,'Set up'!$A$2:$C$70,2,FALSE)</f>
        <v>C00000035</v>
      </c>
      <c r="F1402" s="1" t="s">
        <v>1257</v>
      </c>
      <c r="G1402" s="89" t="s">
        <v>1259</v>
      </c>
      <c r="H1402" s="5">
        <v>1</v>
      </c>
      <c r="I1402" s="5" t="str">
        <f>VLOOKUP(F1402,'Set up'!$A$2:$C$70,3,FALSE)</f>
        <v>Cash</v>
      </c>
      <c r="J1402" s="5">
        <f>VLOOKUP(F1402,'Set up'!$A$2:$D$70,4,FALSE)</f>
        <v>0</v>
      </c>
      <c r="K1402" s="4">
        <f t="shared" si="297"/>
        <v>44972</v>
      </c>
      <c r="L1402" s="5">
        <f t="shared" si="298"/>
        <v>2</v>
      </c>
      <c r="M1402" s="5">
        <f t="shared" si="299"/>
        <v>2023</v>
      </c>
      <c r="N1402" s="6">
        <v>105</v>
      </c>
      <c r="O1402" s="6">
        <f t="shared" si="315"/>
        <v>-105</v>
      </c>
      <c r="P1402" s="6">
        <f t="shared" si="306"/>
        <v>0</v>
      </c>
      <c r="Q1402" s="7">
        <f t="shared" si="302"/>
        <v>2581253.5500000003</v>
      </c>
      <c r="R1402" s="44" t="str">
        <f>VLOOKUP(F1402,'Set up'!$A$2:$E$70,5,FALSE)</f>
        <v>Trsf</v>
      </c>
      <c r="S1402" s="1" t="s">
        <v>1294</v>
      </c>
    </row>
    <row r="1403" spans="1:19" x14ac:dyDescent="0.3">
      <c r="A1403" s="4">
        <v>44972</v>
      </c>
      <c r="B1403" s="5">
        <f t="shared" si="295"/>
        <v>2</v>
      </c>
      <c r="C1403" s="5">
        <f t="shared" si="296"/>
        <v>2023</v>
      </c>
      <c r="D1403" s="5" t="s">
        <v>1262</v>
      </c>
      <c r="E1403" s="5" t="str">
        <f>VLOOKUP(F1403,'Set up'!$A$2:$C$70,2,FALSE)</f>
        <v>C00000035</v>
      </c>
      <c r="F1403" s="1" t="s">
        <v>1257</v>
      </c>
      <c r="G1403" s="89" t="s">
        <v>864</v>
      </c>
      <c r="H1403" s="5">
        <v>1</v>
      </c>
      <c r="I1403" s="5" t="str">
        <f>VLOOKUP(F1403,'Set up'!$A$2:$C$70,3,FALSE)</f>
        <v>Cash</v>
      </c>
      <c r="J1403" s="5">
        <f>VLOOKUP(F1403,'Set up'!$A$2:$D$70,4,FALSE)</f>
        <v>0</v>
      </c>
      <c r="K1403" s="4">
        <f t="shared" si="297"/>
        <v>44972</v>
      </c>
      <c r="L1403" s="5">
        <f t="shared" si="298"/>
        <v>2</v>
      </c>
      <c r="M1403" s="5">
        <f t="shared" si="299"/>
        <v>2023</v>
      </c>
      <c r="N1403" s="6">
        <v>170</v>
      </c>
      <c r="O1403" s="6">
        <f t="shared" si="315"/>
        <v>-170</v>
      </c>
      <c r="P1403" s="6">
        <f t="shared" si="306"/>
        <v>0</v>
      </c>
      <c r="Q1403" s="7">
        <f t="shared" si="302"/>
        <v>2581423.5500000003</v>
      </c>
      <c r="R1403" s="44" t="str">
        <f>VLOOKUP(F1403,'Set up'!$A$2:$E$70,5,FALSE)</f>
        <v>Trsf</v>
      </c>
      <c r="S1403" s="1" t="s">
        <v>1294</v>
      </c>
    </row>
    <row r="1404" spans="1:19" x14ac:dyDescent="0.3">
      <c r="A1404" s="4">
        <v>44972</v>
      </c>
      <c r="B1404" s="5">
        <f t="shared" si="295"/>
        <v>2</v>
      </c>
      <c r="C1404" s="5">
        <f t="shared" si="296"/>
        <v>2023</v>
      </c>
      <c r="D1404" s="5" t="s">
        <v>1262</v>
      </c>
      <c r="E1404" s="5" t="str">
        <f>VLOOKUP(F1404,'Set up'!$A$2:$C$70,2,FALSE)</f>
        <v>C00000035</v>
      </c>
      <c r="F1404" s="1" t="s">
        <v>1257</v>
      </c>
      <c r="G1404" s="89" t="s">
        <v>949</v>
      </c>
      <c r="H1404" s="5">
        <v>1</v>
      </c>
      <c r="I1404" s="5" t="str">
        <f>VLOOKUP(F1404,'Set up'!$A$2:$C$70,3,FALSE)</f>
        <v>Cash</v>
      </c>
      <c r="J1404" s="5">
        <f>VLOOKUP(F1404,'Set up'!$A$2:$D$70,4,FALSE)</f>
        <v>0</v>
      </c>
      <c r="K1404" s="4">
        <f t="shared" si="297"/>
        <v>44972</v>
      </c>
      <c r="L1404" s="5">
        <f t="shared" si="298"/>
        <v>2</v>
      </c>
      <c r="M1404" s="5">
        <f t="shared" si="299"/>
        <v>2023</v>
      </c>
      <c r="N1404" s="6">
        <v>50</v>
      </c>
      <c r="O1404" s="6">
        <f t="shared" si="315"/>
        <v>-50</v>
      </c>
      <c r="P1404" s="6">
        <f t="shared" ref="P1404:P1428" si="316">SUM(N1404+O1404)</f>
        <v>0</v>
      </c>
      <c r="Q1404" s="7">
        <f t="shared" si="302"/>
        <v>2581473.5500000003</v>
      </c>
      <c r="R1404" s="44" t="str">
        <f>VLOOKUP(F1404,'Set up'!$A$2:$E$70,5,FALSE)</f>
        <v>Trsf</v>
      </c>
      <c r="S1404" s="1" t="s">
        <v>1294</v>
      </c>
    </row>
    <row r="1405" spans="1:19" x14ac:dyDescent="0.3">
      <c r="A1405" s="4">
        <v>44972</v>
      </c>
      <c r="B1405" s="5">
        <f t="shared" si="295"/>
        <v>2</v>
      </c>
      <c r="C1405" s="5">
        <f t="shared" si="296"/>
        <v>2023</v>
      </c>
      <c r="D1405" s="5" t="s">
        <v>1262</v>
      </c>
      <c r="E1405" s="5" t="str">
        <f>VLOOKUP(F1405,'Set up'!$A$2:$C$70,2,FALSE)</f>
        <v>C00000035</v>
      </c>
      <c r="F1405" s="1" t="s">
        <v>1257</v>
      </c>
      <c r="G1405" s="89" t="s">
        <v>1260</v>
      </c>
      <c r="H1405" s="5">
        <v>1</v>
      </c>
      <c r="I1405" s="5" t="str">
        <f>VLOOKUP(F1405,'Set up'!$A$2:$C$70,3,FALSE)</f>
        <v>Cash</v>
      </c>
      <c r="J1405" s="5">
        <f>VLOOKUP(F1405,'Set up'!$A$2:$D$70,4,FALSE)</f>
        <v>0</v>
      </c>
      <c r="K1405" s="4">
        <f t="shared" si="297"/>
        <v>44972</v>
      </c>
      <c r="L1405" s="5">
        <f t="shared" si="298"/>
        <v>2</v>
      </c>
      <c r="M1405" s="5">
        <f t="shared" si="299"/>
        <v>2023</v>
      </c>
      <c r="N1405" s="6">
        <v>48</v>
      </c>
      <c r="O1405" s="6">
        <f t="shared" si="315"/>
        <v>-48</v>
      </c>
      <c r="P1405" s="6">
        <f t="shared" si="316"/>
        <v>0</v>
      </c>
      <c r="Q1405" s="7">
        <f t="shared" si="302"/>
        <v>2581521.5500000003</v>
      </c>
      <c r="R1405" s="44" t="str">
        <f>VLOOKUP(F1405,'Set up'!$A$2:$E$70,5,FALSE)</f>
        <v>Trsf</v>
      </c>
      <c r="S1405" s="1" t="s">
        <v>1294</v>
      </c>
    </row>
    <row r="1406" spans="1:19" x14ac:dyDescent="0.3">
      <c r="A1406" s="4" t="s">
        <v>1264</v>
      </c>
      <c r="B1406" s="5">
        <f t="shared" si="295"/>
        <v>2</v>
      </c>
      <c r="C1406" s="5">
        <f t="shared" si="296"/>
        <v>2023</v>
      </c>
      <c r="D1406" s="5" t="s">
        <v>1263</v>
      </c>
      <c r="E1406" s="5" t="str">
        <f>VLOOKUP(F1406,'Set up'!$A$2:$C$70,2,FALSE)</f>
        <v>C00000020</v>
      </c>
      <c r="F1406" s="1" t="s">
        <v>409</v>
      </c>
      <c r="G1406" s="89" t="s">
        <v>716</v>
      </c>
      <c r="H1406" s="5">
        <v>3</v>
      </c>
      <c r="I1406" s="5" t="str">
        <f>VLOOKUP(F1406,'Set up'!$A$2:$C$70,3,FALSE)</f>
        <v>Cash</v>
      </c>
      <c r="J1406" s="5">
        <f>VLOOKUP(F1406,'Set up'!$A$2:$D$70,4,FALSE)</f>
        <v>0</v>
      </c>
      <c r="K1406" s="4">
        <f t="shared" si="297"/>
        <v>44973</v>
      </c>
      <c r="L1406" s="5">
        <f t="shared" si="298"/>
        <v>2</v>
      </c>
      <c r="M1406" s="5">
        <f t="shared" si="299"/>
        <v>2023</v>
      </c>
      <c r="N1406" s="6">
        <v>5214</v>
      </c>
      <c r="O1406" s="6">
        <f>-1174.5-4039.5</f>
        <v>-5214</v>
      </c>
      <c r="P1406" s="6">
        <f t="shared" si="316"/>
        <v>0</v>
      </c>
      <c r="Q1406" s="7">
        <f t="shared" si="302"/>
        <v>2586735.5500000003</v>
      </c>
      <c r="R1406" s="44" t="str">
        <f>VLOOKUP(F1406,'Set up'!$A$2:$E$70,5,FALSE)</f>
        <v>Trsf</v>
      </c>
      <c r="S1406" s="1" t="s">
        <v>2329</v>
      </c>
    </row>
    <row r="1407" spans="1:19" x14ac:dyDescent="0.3">
      <c r="A1407" s="4" t="s">
        <v>1264</v>
      </c>
      <c r="B1407" s="5">
        <f t="shared" si="295"/>
        <v>2</v>
      </c>
      <c r="C1407" s="5">
        <f t="shared" si="296"/>
        <v>2023</v>
      </c>
      <c r="D1407" s="5" t="s">
        <v>1263</v>
      </c>
      <c r="E1407" s="5" t="str">
        <f>VLOOKUP(F1407,'Set up'!$A$2:$C$70,2,FALSE)</f>
        <v>C00000020</v>
      </c>
      <c r="F1407" s="1" t="s">
        <v>409</v>
      </c>
      <c r="G1407" s="89" t="s">
        <v>654</v>
      </c>
      <c r="H1407" s="5">
        <v>20</v>
      </c>
      <c r="I1407" s="5" t="str">
        <f>VLOOKUP(F1407,'Set up'!$A$2:$C$70,3,FALSE)</f>
        <v>Cash</v>
      </c>
      <c r="J1407" s="5">
        <f>VLOOKUP(F1407,'Set up'!$A$2:$D$70,4,FALSE)</f>
        <v>0</v>
      </c>
      <c r="K1407" s="4">
        <f t="shared" si="297"/>
        <v>44973</v>
      </c>
      <c r="L1407" s="5">
        <f t="shared" si="298"/>
        <v>2</v>
      </c>
      <c r="M1407" s="5">
        <f t="shared" si="299"/>
        <v>2023</v>
      </c>
      <c r="N1407" s="6">
        <v>4560</v>
      </c>
      <c r="O1407" s="6">
        <f t="shared" ref="O1407:O1412" si="317">-N1407</f>
        <v>-4560</v>
      </c>
      <c r="P1407" s="6">
        <f t="shared" si="316"/>
        <v>0</v>
      </c>
      <c r="Q1407" s="7">
        <f t="shared" si="302"/>
        <v>2591295.5500000003</v>
      </c>
      <c r="R1407" s="44" t="str">
        <f>VLOOKUP(F1407,'Set up'!$A$2:$E$70,5,FALSE)</f>
        <v>Trsf</v>
      </c>
      <c r="S1407" s="1" t="s">
        <v>2328</v>
      </c>
    </row>
    <row r="1408" spans="1:19" x14ac:dyDescent="0.3">
      <c r="A1408" s="4" t="s">
        <v>1264</v>
      </c>
      <c r="B1408" s="5">
        <f t="shared" si="295"/>
        <v>2</v>
      </c>
      <c r="C1408" s="5">
        <f t="shared" si="296"/>
        <v>2023</v>
      </c>
      <c r="D1408" s="5" t="s">
        <v>1263</v>
      </c>
      <c r="E1408" s="5" t="str">
        <f>VLOOKUP(F1408,'Set up'!$A$2:$C$70,2,FALSE)</f>
        <v>C00000020</v>
      </c>
      <c r="F1408" s="1" t="s">
        <v>409</v>
      </c>
      <c r="G1408" s="89" t="s">
        <v>1168</v>
      </c>
      <c r="H1408" s="5">
        <v>6</v>
      </c>
      <c r="I1408" s="5" t="str">
        <f>VLOOKUP(F1408,'Set up'!$A$2:$C$70,3,FALSE)</f>
        <v>Cash</v>
      </c>
      <c r="J1408" s="5">
        <f>VLOOKUP(F1408,'Set up'!$A$2:$D$70,4,FALSE)</f>
        <v>0</v>
      </c>
      <c r="K1408" s="4">
        <f t="shared" si="297"/>
        <v>44973</v>
      </c>
      <c r="L1408" s="5">
        <f t="shared" si="298"/>
        <v>2</v>
      </c>
      <c r="M1408" s="5">
        <f t="shared" si="299"/>
        <v>2023</v>
      </c>
      <c r="N1408" s="6">
        <v>1587.6000000000001</v>
      </c>
      <c r="O1408" s="6">
        <f t="shared" si="317"/>
        <v>-1587.6000000000001</v>
      </c>
      <c r="P1408" s="6">
        <f t="shared" si="316"/>
        <v>0</v>
      </c>
      <c r="Q1408" s="7">
        <f t="shared" si="302"/>
        <v>2592883.1500000004</v>
      </c>
      <c r="R1408" s="44" t="str">
        <f>VLOOKUP(F1408,'Set up'!$A$2:$E$70,5,FALSE)</f>
        <v>Trsf</v>
      </c>
      <c r="S1408" s="1" t="s">
        <v>2106</v>
      </c>
    </row>
    <row r="1409" spans="1:19" x14ac:dyDescent="0.3">
      <c r="A1409" s="4" t="s">
        <v>1264</v>
      </c>
      <c r="B1409" s="5">
        <f t="shared" si="295"/>
        <v>2</v>
      </c>
      <c r="C1409" s="5">
        <f t="shared" si="296"/>
        <v>2023</v>
      </c>
      <c r="D1409" s="5" t="s">
        <v>1263</v>
      </c>
      <c r="E1409" s="5" t="str">
        <f>VLOOKUP(F1409,'Set up'!$A$2:$C$70,2,FALSE)</f>
        <v>C00000020</v>
      </c>
      <c r="F1409" s="1" t="s">
        <v>409</v>
      </c>
      <c r="G1409" s="89" t="s">
        <v>778</v>
      </c>
      <c r="H1409" s="5">
        <v>4</v>
      </c>
      <c r="I1409" s="5" t="str">
        <f>VLOOKUP(F1409,'Set up'!$A$2:$C$70,3,FALSE)</f>
        <v>Cash</v>
      </c>
      <c r="J1409" s="5">
        <f>VLOOKUP(F1409,'Set up'!$A$2:$D$70,4,FALSE)</f>
        <v>0</v>
      </c>
      <c r="K1409" s="4">
        <f t="shared" si="297"/>
        <v>44973</v>
      </c>
      <c r="L1409" s="5">
        <f t="shared" si="298"/>
        <v>2</v>
      </c>
      <c r="M1409" s="5">
        <f t="shared" si="299"/>
        <v>2023</v>
      </c>
      <c r="N1409" s="6">
        <v>1008</v>
      </c>
      <c r="O1409" s="6">
        <f t="shared" si="317"/>
        <v>-1008</v>
      </c>
      <c r="P1409" s="6">
        <f t="shared" si="316"/>
        <v>0</v>
      </c>
      <c r="Q1409" s="7">
        <f t="shared" si="302"/>
        <v>2593891.1500000004</v>
      </c>
      <c r="R1409" s="44" t="str">
        <f>VLOOKUP(F1409,'Set up'!$A$2:$E$70,5,FALSE)</f>
        <v>Trsf</v>
      </c>
      <c r="S1409" s="1" t="s">
        <v>2107</v>
      </c>
    </row>
    <row r="1410" spans="1:19" x14ac:dyDescent="0.3">
      <c r="A1410" s="4" t="s">
        <v>1264</v>
      </c>
      <c r="B1410" s="5">
        <f t="shared" si="295"/>
        <v>2</v>
      </c>
      <c r="C1410" s="5">
        <f t="shared" si="296"/>
        <v>2023</v>
      </c>
      <c r="D1410" s="5" t="s">
        <v>1263</v>
      </c>
      <c r="E1410" s="5" t="str">
        <f>VLOOKUP(F1410,'Set up'!$A$2:$C$70,2,FALSE)</f>
        <v>C00000020</v>
      </c>
      <c r="F1410" s="1" t="s">
        <v>409</v>
      </c>
      <c r="G1410" s="89" t="s">
        <v>1073</v>
      </c>
      <c r="H1410" s="5">
        <v>1</v>
      </c>
      <c r="I1410" s="5" t="str">
        <f>VLOOKUP(F1410,'Set up'!$A$2:$C$70,3,FALSE)</f>
        <v>Cash</v>
      </c>
      <c r="J1410" s="5">
        <f>VLOOKUP(F1410,'Set up'!$A$2:$D$70,4,FALSE)</f>
        <v>0</v>
      </c>
      <c r="K1410" s="4">
        <f t="shared" si="297"/>
        <v>44973</v>
      </c>
      <c r="L1410" s="5">
        <f t="shared" si="298"/>
        <v>2</v>
      </c>
      <c r="M1410" s="5">
        <f t="shared" si="299"/>
        <v>2023</v>
      </c>
      <c r="N1410" s="6">
        <v>1000</v>
      </c>
      <c r="O1410" s="6">
        <f t="shared" si="317"/>
        <v>-1000</v>
      </c>
      <c r="P1410" s="6">
        <f t="shared" si="316"/>
        <v>0</v>
      </c>
      <c r="Q1410" s="7">
        <f t="shared" si="302"/>
        <v>2594891.1500000004</v>
      </c>
      <c r="R1410" s="44" t="str">
        <f>VLOOKUP(F1410,'Set up'!$A$2:$E$70,5,FALSE)</f>
        <v>Trsf</v>
      </c>
      <c r="S1410" s="1" t="s">
        <v>2108</v>
      </c>
    </row>
    <row r="1411" spans="1:19" x14ac:dyDescent="0.3">
      <c r="A1411" s="4" t="s">
        <v>1264</v>
      </c>
      <c r="B1411" s="5">
        <f t="shared" ref="B1411:B1474" si="318">MONTH(A1411)</f>
        <v>2</v>
      </c>
      <c r="C1411" s="5">
        <f t="shared" ref="C1411:C1474" si="319">YEAR(A1411)</f>
        <v>2023</v>
      </c>
      <c r="D1411" s="5" t="s">
        <v>1266</v>
      </c>
      <c r="E1411" s="5" t="str">
        <f>VLOOKUP(F1411,'Set up'!$A$2:$C$70,2,FALSE)</f>
        <v>C00000020</v>
      </c>
      <c r="F1411" s="1" t="s">
        <v>409</v>
      </c>
      <c r="G1411" s="89" t="s">
        <v>1110</v>
      </c>
      <c r="H1411" s="5">
        <v>7</v>
      </c>
      <c r="I1411" s="5" t="str">
        <f>VLOOKUP(F1411,'Set up'!$A$2:$C$70,3,FALSE)</f>
        <v>Cash</v>
      </c>
      <c r="J1411" s="5">
        <f>VLOOKUP(F1411,'Set up'!$A$2:$D$70,4,FALSE)</f>
        <v>0</v>
      </c>
      <c r="K1411" s="4">
        <f t="shared" ref="K1411:K1474" si="320">A1411+J1411</f>
        <v>44973</v>
      </c>
      <c r="L1411" s="5">
        <f t="shared" ref="L1411:L1474" si="321">MONTH(K1411)</f>
        <v>2</v>
      </c>
      <c r="M1411" s="5">
        <f t="shared" ref="M1411:M1474" si="322">YEAR(K1411)</f>
        <v>2023</v>
      </c>
      <c r="N1411" s="6">
        <v>437.5</v>
      </c>
      <c r="O1411" s="6">
        <f t="shared" si="317"/>
        <v>-437.5</v>
      </c>
      <c r="P1411" s="6">
        <f t="shared" si="316"/>
        <v>0</v>
      </c>
      <c r="Q1411" s="7">
        <f t="shared" ref="Q1411:Q1474" si="323">SUM(Q1410+N1411)</f>
        <v>2595328.6500000004</v>
      </c>
      <c r="R1411" s="44" t="str">
        <f>VLOOKUP(F1411,'Set up'!$A$2:$E$70,5,FALSE)</f>
        <v>Trsf</v>
      </c>
      <c r="S1411" s="1" t="s">
        <v>2109</v>
      </c>
    </row>
    <row r="1412" spans="1:19" x14ac:dyDescent="0.3">
      <c r="A1412" s="4" t="s">
        <v>1264</v>
      </c>
      <c r="B1412" s="5">
        <f t="shared" si="318"/>
        <v>2</v>
      </c>
      <c r="C1412" s="5">
        <f t="shared" si="319"/>
        <v>2023</v>
      </c>
      <c r="D1412" s="5" t="s">
        <v>1267</v>
      </c>
      <c r="E1412" s="5" t="str">
        <f>VLOOKUP(F1412,'Set up'!$A$2:$C$70,2,FALSE)</f>
        <v>C00000020</v>
      </c>
      <c r="F1412" s="1" t="s">
        <v>409</v>
      </c>
      <c r="G1412" s="89" t="s">
        <v>716</v>
      </c>
      <c r="H1412" s="5">
        <v>2</v>
      </c>
      <c r="I1412" s="5" t="str">
        <f>VLOOKUP(F1412,'Set up'!$A$2:$C$70,3,FALSE)</f>
        <v>Cash</v>
      </c>
      <c r="J1412" s="5">
        <f>VLOOKUP(F1412,'Set up'!$A$2:$D$70,4,FALSE)</f>
        <v>0</v>
      </c>
      <c r="K1412" s="4">
        <f t="shared" si="320"/>
        <v>44973</v>
      </c>
      <c r="L1412" s="5">
        <f t="shared" si="321"/>
        <v>2</v>
      </c>
      <c r="M1412" s="5">
        <f t="shared" si="322"/>
        <v>2023</v>
      </c>
      <c r="N1412" s="6">
        <v>3476</v>
      </c>
      <c r="O1412" s="6">
        <f t="shared" si="317"/>
        <v>-3476</v>
      </c>
      <c r="P1412" s="6">
        <f t="shared" si="316"/>
        <v>0</v>
      </c>
      <c r="Q1412" s="7">
        <f t="shared" si="323"/>
        <v>2598804.6500000004</v>
      </c>
      <c r="R1412" s="44" t="str">
        <f>VLOOKUP(F1412,'Set up'!$A$2:$E$70,5,FALSE)</f>
        <v>Trsf</v>
      </c>
      <c r="S1412" s="1" t="s">
        <v>2110</v>
      </c>
    </row>
    <row r="1413" spans="1:19" x14ac:dyDescent="0.3">
      <c r="A1413" s="4" t="s">
        <v>1264</v>
      </c>
      <c r="B1413" s="5">
        <f t="shared" si="318"/>
        <v>2</v>
      </c>
      <c r="C1413" s="5">
        <f t="shared" si="319"/>
        <v>2023</v>
      </c>
      <c r="D1413" s="5" t="s">
        <v>1267</v>
      </c>
      <c r="E1413" s="5" t="str">
        <f>VLOOKUP(F1413,'Set up'!$A$2:$C$70,2,FALSE)</f>
        <v>C00000020</v>
      </c>
      <c r="F1413" s="1" t="s">
        <v>409</v>
      </c>
      <c r="G1413" s="89" t="s">
        <v>1265</v>
      </c>
      <c r="H1413" s="5">
        <v>2</v>
      </c>
      <c r="I1413" s="5" t="str">
        <f>VLOOKUP(F1413,'Set up'!$A$2:$C$70,3,FALSE)</f>
        <v>Cash</v>
      </c>
      <c r="J1413" s="5">
        <f>VLOOKUP(F1413,'Set up'!$A$2:$D$70,4,FALSE)</f>
        <v>0</v>
      </c>
      <c r="K1413" s="4">
        <f t="shared" si="320"/>
        <v>44973</v>
      </c>
      <c r="L1413" s="5">
        <f t="shared" si="321"/>
        <v>2</v>
      </c>
      <c r="M1413" s="5">
        <f t="shared" si="322"/>
        <v>2023</v>
      </c>
      <c r="N1413" s="6">
        <v>3828</v>
      </c>
      <c r="O1413" s="6">
        <f>-3391.4-436.6</f>
        <v>-3828</v>
      </c>
      <c r="P1413" s="6">
        <f t="shared" si="316"/>
        <v>0</v>
      </c>
      <c r="Q1413" s="7">
        <f t="shared" si="323"/>
        <v>2602632.6500000004</v>
      </c>
      <c r="R1413" s="44" t="str">
        <f>VLOOKUP(F1413,'Set up'!$A$2:$E$70,5,FALSE)</f>
        <v>Trsf</v>
      </c>
      <c r="S1413" s="1" t="s">
        <v>2111</v>
      </c>
    </row>
    <row r="1414" spans="1:19" x14ac:dyDescent="0.3">
      <c r="A1414" s="4" t="s">
        <v>1264</v>
      </c>
      <c r="B1414" s="5">
        <f t="shared" si="318"/>
        <v>2</v>
      </c>
      <c r="C1414" s="5">
        <f t="shared" si="319"/>
        <v>2023</v>
      </c>
      <c r="D1414" s="5" t="s">
        <v>1268</v>
      </c>
      <c r="E1414" s="5" t="str">
        <f>VLOOKUP(F1414,'Set up'!$A$2:$C$70,2,FALSE)</f>
        <v>C00000022</v>
      </c>
      <c r="F1414" s="1" t="s">
        <v>637</v>
      </c>
      <c r="G1414" s="89" t="s">
        <v>1269</v>
      </c>
      <c r="H1414" s="5">
        <v>1</v>
      </c>
      <c r="I1414" s="5" t="str">
        <f>VLOOKUP(F1414,'Set up'!$A$2:$C$70,3,FALSE)</f>
        <v>Cash</v>
      </c>
      <c r="J1414" s="5">
        <f>VLOOKUP(F1414,'Set up'!$A$2:$D$70,4,FALSE)</f>
        <v>0</v>
      </c>
      <c r="K1414" s="4">
        <f t="shared" si="320"/>
        <v>44973</v>
      </c>
      <c r="L1414" s="5">
        <f t="shared" si="321"/>
        <v>2</v>
      </c>
      <c r="M1414" s="5">
        <f t="shared" si="322"/>
        <v>2023</v>
      </c>
      <c r="N1414" s="6">
        <v>100</v>
      </c>
      <c r="O1414" s="6">
        <f t="shared" ref="O1414:O1420" si="324">-N1414</f>
        <v>-100</v>
      </c>
      <c r="P1414" s="6">
        <f t="shared" si="316"/>
        <v>0</v>
      </c>
      <c r="Q1414" s="7">
        <f t="shared" si="323"/>
        <v>2602732.6500000004</v>
      </c>
      <c r="R1414" s="44" t="str">
        <f>VLOOKUP(F1414,'Set up'!$A$2:$E$70,5,FALSE)</f>
        <v>Trsf</v>
      </c>
      <c r="S1414" s="1" t="s">
        <v>1686</v>
      </c>
    </row>
    <row r="1415" spans="1:19" x14ac:dyDescent="0.3">
      <c r="A1415" s="4" t="s">
        <v>1264</v>
      </c>
      <c r="B1415" s="5">
        <f t="shared" si="318"/>
        <v>2</v>
      </c>
      <c r="C1415" s="5">
        <f t="shared" si="319"/>
        <v>2023</v>
      </c>
      <c r="D1415" s="5" t="s">
        <v>1268</v>
      </c>
      <c r="E1415" s="5" t="str">
        <f>VLOOKUP(F1415,'Set up'!$A$2:$C$70,2,FALSE)</f>
        <v>C00000022</v>
      </c>
      <c r="F1415" s="1" t="s">
        <v>637</v>
      </c>
      <c r="G1415" s="89" t="s">
        <v>1270</v>
      </c>
      <c r="H1415" s="5">
        <v>1</v>
      </c>
      <c r="I1415" s="5" t="str">
        <f>VLOOKUP(F1415,'Set up'!$A$2:$C$70,3,FALSE)</f>
        <v>Cash</v>
      </c>
      <c r="J1415" s="5">
        <f>VLOOKUP(F1415,'Set up'!$A$2:$D$70,4,FALSE)</f>
        <v>0</v>
      </c>
      <c r="K1415" s="4">
        <f t="shared" si="320"/>
        <v>44973</v>
      </c>
      <c r="L1415" s="5">
        <f t="shared" si="321"/>
        <v>2</v>
      </c>
      <c r="M1415" s="5">
        <f t="shared" si="322"/>
        <v>2023</v>
      </c>
      <c r="N1415" s="6">
        <v>102</v>
      </c>
      <c r="O1415" s="6">
        <f t="shared" si="324"/>
        <v>-102</v>
      </c>
      <c r="P1415" s="6">
        <f t="shared" si="316"/>
        <v>0</v>
      </c>
      <c r="Q1415" s="7">
        <f t="shared" si="323"/>
        <v>2602834.6500000004</v>
      </c>
      <c r="R1415" s="44" t="str">
        <f>VLOOKUP(F1415,'Set up'!$A$2:$E$70,5,FALSE)</f>
        <v>Trsf</v>
      </c>
      <c r="S1415" s="1" t="s">
        <v>1687</v>
      </c>
    </row>
    <row r="1416" spans="1:19" x14ac:dyDescent="0.3">
      <c r="A1416" s="4" t="s">
        <v>1272</v>
      </c>
      <c r="B1416" s="5">
        <f t="shared" si="318"/>
        <v>2</v>
      </c>
      <c r="C1416" s="5">
        <f t="shared" si="319"/>
        <v>2023</v>
      </c>
      <c r="D1416" s="5" t="s">
        <v>1271</v>
      </c>
      <c r="E1416" s="5" t="str">
        <f>VLOOKUP(F1416,'Set up'!$A$2:$C$70,2,FALSE)</f>
        <v>C00000021</v>
      </c>
      <c r="F1416" s="1" t="s">
        <v>491</v>
      </c>
      <c r="G1416" s="89" t="s">
        <v>716</v>
      </c>
      <c r="H1416" s="5">
        <v>1</v>
      </c>
      <c r="I1416" s="5" t="str">
        <f>VLOOKUP(F1416,'Set up'!$A$2:$C$70,3,FALSE)</f>
        <v>Cash</v>
      </c>
      <c r="J1416" s="5">
        <f>VLOOKUP(F1416,'Set up'!$A$2:$D$70,4,FALSE)</f>
        <v>0</v>
      </c>
      <c r="K1416" s="4">
        <f t="shared" si="320"/>
        <v>44975</v>
      </c>
      <c r="L1416" s="5">
        <f t="shared" si="321"/>
        <v>2</v>
      </c>
      <c r="M1416" s="5">
        <f t="shared" si="322"/>
        <v>2023</v>
      </c>
      <c r="N1416" s="6">
        <v>1870</v>
      </c>
      <c r="O1416" s="6">
        <f t="shared" si="324"/>
        <v>-1870</v>
      </c>
      <c r="P1416" s="6">
        <f t="shared" si="316"/>
        <v>0</v>
      </c>
      <c r="Q1416" s="7">
        <f t="shared" si="323"/>
        <v>2604704.6500000004</v>
      </c>
      <c r="R1416" s="44" t="str">
        <f>VLOOKUP(F1416,'Set up'!$A$2:$E$70,5,FALSE)</f>
        <v>PD Chq</v>
      </c>
      <c r="S1416" s="1" t="s">
        <v>1690</v>
      </c>
    </row>
    <row r="1417" spans="1:19" x14ac:dyDescent="0.3">
      <c r="A1417" s="4" t="s">
        <v>1272</v>
      </c>
      <c r="B1417" s="5">
        <f t="shared" si="318"/>
        <v>2</v>
      </c>
      <c r="C1417" s="5">
        <f t="shared" si="319"/>
        <v>2023</v>
      </c>
      <c r="D1417" s="5" t="s">
        <v>1271</v>
      </c>
      <c r="E1417" s="5" t="str">
        <f>VLOOKUP(F1417,'Set up'!$A$2:$C$70,2,FALSE)</f>
        <v>C00000021</v>
      </c>
      <c r="F1417" s="1" t="s">
        <v>491</v>
      </c>
      <c r="G1417" s="89" t="s">
        <v>654</v>
      </c>
      <c r="H1417" s="5">
        <v>2</v>
      </c>
      <c r="I1417" s="5" t="str">
        <f>VLOOKUP(F1417,'Set up'!$A$2:$C$70,3,FALSE)</f>
        <v>Cash</v>
      </c>
      <c r="J1417" s="5">
        <f>VLOOKUP(F1417,'Set up'!$A$2:$D$70,4,FALSE)</f>
        <v>0</v>
      </c>
      <c r="K1417" s="4">
        <f t="shared" si="320"/>
        <v>44975</v>
      </c>
      <c r="L1417" s="5">
        <f t="shared" si="321"/>
        <v>2</v>
      </c>
      <c r="M1417" s="5">
        <f t="shared" si="322"/>
        <v>2023</v>
      </c>
      <c r="N1417" s="6">
        <v>510</v>
      </c>
      <c r="O1417" s="6">
        <f t="shared" si="324"/>
        <v>-510</v>
      </c>
      <c r="P1417" s="6">
        <f t="shared" si="316"/>
        <v>0</v>
      </c>
      <c r="Q1417" s="7">
        <f t="shared" si="323"/>
        <v>2605214.6500000004</v>
      </c>
      <c r="R1417" s="44" t="str">
        <f>VLOOKUP(F1417,'Set up'!$A$2:$E$70,5,FALSE)</f>
        <v>PD Chq</v>
      </c>
      <c r="S1417" s="1" t="s">
        <v>1690</v>
      </c>
    </row>
    <row r="1418" spans="1:19" x14ac:dyDescent="0.3">
      <c r="A1418" s="4" t="s">
        <v>1272</v>
      </c>
      <c r="B1418" s="5">
        <f t="shared" si="318"/>
        <v>2</v>
      </c>
      <c r="C1418" s="5">
        <f t="shared" si="319"/>
        <v>2023</v>
      </c>
      <c r="D1418" s="5" t="s">
        <v>1271</v>
      </c>
      <c r="E1418" s="5" t="str">
        <f>VLOOKUP(F1418,'Set up'!$A$2:$C$70,2,FALSE)</f>
        <v>C00000021</v>
      </c>
      <c r="F1418" s="1" t="s">
        <v>491</v>
      </c>
      <c r="G1418" s="89" t="s">
        <v>666</v>
      </c>
      <c r="H1418" s="5">
        <v>1</v>
      </c>
      <c r="I1418" s="5" t="str">
        <f>VLOOKUP(F1418,'Set up'!$A$2:$C$70,3,FALSE)</f>
        <v>Cash</v>
      </c>
      <c r="J1418" s="5">
        <f>VLOOKUP(F1418,'Set up'!$A$2:$D$70,4,FALSE)</f>
        <v>0</v>
      </c>
      <c r="K1418" s="4">
        <f t="shared" si="320"/>
        <v>44975</v>
      </c>
      <c r="L1418" s="5">
        <f t="shared" si="321"/>
        <v>2</v>
      </c>
      <c r="M1418" s="5">
        <f t="shared" si="322"/>
        <v>2023</v>
      </c>
      <c r="N1418" s="6">
        <v>95</v>
      </c>
      <c r="O1418" s="6">
        <f t="shared" si="324"/>
        <v>-95</v>
      </c>
      <c r="P1418" s="6">
        <f t="shared" si="316"/>
        <v>0</v>
      </c>
      <c r="Q1418" s="7">
        <f t="shared" si="323"/>
        <v>2605309.6500000004</v>
      </c>
      <c r="R1418" s="44" t="str">
        <f>VLOOKUP(F1418,'Set up'!$A$2:$E$70,5,FALSE)</f>
        <v>PD Chq</v>
      </c>
      <c r="S1418" s="1" t="s">
        <v>1690</v>
      </c>
    </row>
    <row r="1419" spans="1:19" x14ac:dyDescent="0.3">
      <c r="A1419" s="4">
        <v>44978</v>
      </c>
      <c r="B1419" s="5">
        <f t="shared" si="318"/>
        <v>2</v>
      </c>
      <c r="C1419" s="5">
        <f t="shared" si="319"/>
        <v>2023</v>
      </c>
      <c r="D1419" s="5" t="s">
        <v>1273</v>
      </c>
      <c r="E1419" s="5" t="str">
        <f>VLOOKUP(F1419,'Set up'!$A$2:$C$70,2,FALSE)</f>
        <v>C00000004</v>
      </c>
      <c r="F1419" s="1" t="s">
        <v>23</v>
      </c>
      <c r="G1419" s="89" t="s">
        <v>707</v>
      </c>
      <c r="H1419" s="5">
        <v>5</v>
      </c>
      <c r="I1419" s="5">
        <f>VLOOKUP(F1419,'Set up'!$A$2:$C$70,3,FALSE)</f>
        <v>120</v>
      </c>
      <c r="J1419" s="5">
        <f>VLOOKUP(F1419,'Set up'!$A$2:$D$70,4,FALSE)</f>
        <v>120</v>
      </c>
      <c r="K1419" s="4">
        <f t="shared" si="320"/>
        <v>45098</v>
      </c>
      <c r="L1419" s="5">
        <f t="shared" si="321"/>
        <v>6</v>
      </c>
      <c r="M1419" s="5">
        <f t="shared" si="322"/>
        <v>2023</v>
      </c>
      <c r="N1419" s="6">
        <v>1620</v>
      </c>
      <c r="O1419" s="6">
        <f t="shared" si="324"/>
        <v>-1620</v>
      </c>
      <c r="P1419" s="6">
        <f t="shared" si="316"/>
        <v>0</v>
      </c>
      <c r="Q1419" s="7">
        <f t="shared" si="323"/>
        <v>2606929.6500000004</v>
      </c>
      <c r="R1419" s="44" t="str">
        <f>VLOOKUP(F1419,'Set up'!$A$2:$E$70,5,FALSE)</f>
        <v>Chq</v>
      </c>
      <c r="S1419" s="1" t="s">
        <v>1784</v>
      </c>
    </row>
    <row r="1420" spans="1:19" x14ac:dyDescent="0.3">
      <c r="A1420" s="4">
        <v>44978</v>
      </c>
      <c r="B1420" s="5">
        <f t="shared" si="318"/>
        <v>2</v>
      </c>
      <c r="C1420" s="5">
        <f t="shared" si="319"/>
        <v>2023</v>
      </c>
      <c r="D1420" s="5" t="s">
        <v>1274</v>
      </c>
      <c r="E1420" s="5" t="str">
        <f>VLOOKUP(F1420,'Set up'!$A$2:$C$70,2,FALSE)</f>
        <v>C00000020</v>
      </c>
      <c r="F1420" s="1" t="s">
        <v>409</v>
      </c>
      <c r="G1420" s="89" t="s">
        <v>1110</v>
      </c>
      <c r="H1420" s="5">
        <v>12</v>
      </c>
      <c r="I1420" s="5" t="str">
        <f>VLOOKUP(F1420,'Set up'!$A$2:$C$70,3,FALSE)</f>
        <v>Cash</v>
      </c>
      <c r="J1420" s="5">
        <f>VLOOKUP(F1420,'Set up'!$A$2:$D$70,4,FALSE)</f>
        <v>0</v>
      </c>
      <c r="K1420" s="4">
        <f t="shared" si="320"/>
        <v>44978</v>
      </c>
      <c r="L1420" s="5">
        <f t="shared" si="321"/>
        <v>2</v>
      </c>
      <c r="M1420" s="5">
        <f t="shared" si="322"/>
        <v>2023</v>
      </c>
      <c r="N1420" s="6">
        <v>750</v>
      </c>
      <c r="O1420" s="6">
        <f t="shared" si="324"/>
        <v>-750</v>
      </c>
      <c r="P1420" s="6">
        <f t="shared" si="316"/>
        <v>0</v>
      </c>
      <c r="Q1420" s="7">
        <f t="shared" si="323"/>
        <v>2607679.6500000004</v>
      </c>
      <c r="R1420" s="44" t="str">
        <f>VLOOKUP(F1420,'Set up'!$A$2:$E$70,5,FALSE)</f>
        <v>Trsf</v>
      </c>
      <c r="S1420" s="1" t="s">
        <v>2112</v>
      </c>
    </row>
    <row r="1421" spans="1:19" x14ac:dyDescent="0.3">
      <c r="A1421" s="4">
        <v>44978</v>
      </c>
      <c r="B1421" s="5">
        <f t="shared" si="318"/>
        <v>2</v>
      </c>
      <c r="C1421" s="5">
        <f t="shared" si="319"/>
        <v>2023</v>
      </c>
      <c r="D1421" s="5" t="s">
        <v>1275</v>
      </c>
      <c r="E1421" s="5" t="str">
        <f>VLOOKUP(F1421,'Set up'!$A$2:$C$70,2,FALSE)</f>
        <v>C00000020</v>
      </c>
      <c r="F1421" s="1" t="s">
        <v>409</v>
      </c>
      <c r="G1421" s="89" t="s">
        <v>716</v>
      </c>
      <c r="H1421" s="5">
        <v>5</v>
      </c>
      <c r="I1421" s="5" t="str">
        <f>VLOOKUP(F1421,'Set up'!$A$2:$C$70,3,FALSE)</f>
        <v>Cash</v>
      </c>
      <c r="J1421" s="5">
        <f>VLOOKUP(F1421,'Set up'!$A$2:$D$70,4,FALSE)</f>
        <v>0</v>
      </c>
      <c r="K1421" s="4">
        <f t="shared" si="320"/>
        <v>44978</v>
      </c>
      <c r="L1421" s="5">
        <f t="shared" si="321"/>
        <v>2</v>
      </c>
      <c r="M1421" s="5">
        <f t="shared" si="322"/>
        <v>2023</v>
      </c>
      <c r="N1421" s="6">
        <v>8690</v>
      </c>
      <c r="O1421" s="6">
        <f>-6613.4-2076.6</f>
        <v>-8690</v>
      </c>
      <c r="P1421" s="6">
        <f t="shared" si="316"/>
        <v>0</v>
      </c>
      <c r="Q1421" s="7">
        <f t="shared" si="323"/>
        <v>2616369.6500000004</v>
      </c>
      <c r="R1421" s="44" t="str">
        <f>VLOOKUP(F1421,'Set up'!$A$2:$E$70,5,FALSE)</f>
        <v>Trsf</v>
      </c>
      <c r="S1421" s="1" t="s">
        <v>2113</v>
      </c>
    </row>
    <row r="1422" spans="1:19" x14ac:dyDescent="0.3">
      <c r="A1422" s="4">
        <v>44978</v>
      </c>
      <c r="B1422" s="5">
        <f t="shared" si="318"/>
        <v>2</v>
      </c>
      <c r="C1422" s="5">
        <f t="shared" si="319"/>
        <v>2023</v>
      </c>
      <c r="D1422" s="5" t="s">
        <v>1275</v>
      </c>
      <c r="E1422" s="5" t="str">
        <f>VLOOKUP(F1422,'Set up'!$A$2:$C$70,2,FALSE)</f>
        <v>C00000020</v>
      </c>
      <c r="F1422" s="1" t="s">
        <v>409</v>
      </c>
      <c r="G1422" s="89" t="s">
        <v>1054</v>
      </c>
      <c r="H1422" s="5">
        <v>10</v>
      </c>
      <c r="I1422" s="5" t="str">
        <f>VLOOKUP(F1422,'Set up'!$A$2:$C$70,3,FALSE)</f>
        <v>Cash</v>
      </c>
      <c r="J1422" s="5">
        <f>VLOOKUP(F1422,'Set up'!$A$2:$D$70,4,FALSE)</f>
        <v>0</v>
      </c>
      <c r="K1422" s="4">
        <f t="shared" si="320"/>
        <v>44978</v>
      </c>
      <c r="L1422" s="5">
        <f t="shared" si="321"/>
        <v>2</v>
      </c>
      <c r="M1422" s="5">
        <f t="shared" si="322"/>
        <v>2023</v>
      </c>
      <c r="N1422" s="6">
        <v>17380</v>
      </c>
      <c r="O1422" s="6">
        <f>-923.4-3500-9500-3456.6</f>
        <v>-17380</v>
      </c>
      <c r="P1422" s="6">
        <f t="shared" si="316"/>
        <v>0</v>
      </c>
      <c r="Q1422" s="7">
        <f t="shared" si="323"/>
        <v>2633749.6500000004</v>
      </c>
      <c r="R1422" s="44" t="str">
        <f>VLOOKUP(F1422,'Set up'!$A$2:$E$70,5,FALSE)</f>
        <v>Trsf</v>
      </c>
      <c r="S1422" s="1" t="s">
        <v>2114</v>
      </c>
    </row>
    <row r="1423" spans="1:19" x14ac:dyDescent="0.3">
      <c r="A1423" s="4">
        <v>44978</v>
      </c>
      <c r="B1423" s="5">
        <f t="shared" si="318"/>
        <v>2</v>
      </c>
      <c r="C1423" s="5">
        <f t="shared" si="319"/>
        <v>2023</v>
      </c>
      <c r="D1423" s="5" t="s">
        <v>1275</v>
      </c>
      <c r="E1423" s="5" t="str">
        <f>VLOOKUP(F1423,'Set up'!$A$2:$C$70,2,FALSE)</f>
        <v>C00000020</v>
      </c>
      <c r="F1423" s="1" t="s">
        <v>409</v>
      </c>
      <c r="G1423" s="89" t="s">
        <v>654</v>
      </c>
      <c r="H1423" s="5">
        <v>45</v>
      </c>
      <c r="I1423" s="5" t="str">
        <f>VLOOKUP(F1423,'Set up'!$A$2:$C$70,3,FALSE)</f>
        <v>Cash</v>
      </c>
      <c r="J1423" s="5">
        <f>VLOOKUP(F1423,'Set up'!$A$2:$D$70,4,FALSE)</f>
        <v>0</v>
      </c>
      <c r="K1423" s="4">
        <f t="shared" si="320"/>
        <v>44978</v>
      </c>
      <c r="L1423" s="5">
        <f t="shared" si="321"/>
        <v>2</v>
      </c>
      <c r="M1423" s="5">
        <f t="shared" si="322"/>
        <v>2023</v>
      </c>
      <c r="N1423" s="6">
        <v>10260</v>
      </c>
      <c r="O1423" s="6">
        <f>-5043.4-5000-216.6</f>
        <v>-10260</v>
      </c>
      <c r="P1423" s="6">
        <f t="shared" si="316"/>
        <v>0</v>
      </c>
      <c r="Q1423" s="7">
        <f t="shared" si="323"/>
        <v>2644009.6500000004</v>
      </c>
      <c r="R1423" s="44" t="str">
        <f>VLOOKUP(F1423,'Set up'!$A$2:$E$70,5,FALSE)</f>
        <v>Trsf</v>
      </c>
      <c r="S1423" s="1" t="s">
        <v>2225</v>
      </c>
    </row>
    <row r="1424" spans="1:19" x14ac:dyDescent="0.3">
      <c r="A1424" s="4">
        <v>44978</v>
      </c>
      <c r="B1424" s="5">
        <f t="shared" si="318"/>
        <v>2</v>
      </c>
      <c r="C1424" s="5">
        <f t="shared" si="319"/>
        <v>2023</v>
      </c>
      <c r="D1424" s="5" t="s">
        <v>1275</v>
      </c>
      <c r="E1424" s="5" t="str">
        <f>VLOOKUP(F1424,'Set up'!$A$2:$C$70,2,FALSE)</f>
        <v>C00000020</v>
      </c>
      <c r="F1424" s="1" t="s">
        <v>409</v>
      </c>
      <c r="G1424" s="89" t="s">
        <v>778</v>
      </c>
      <c r="H1424" s="5">
        <v>20</v>
      </c>
      <c r="I1424" s="5" t="str">
        <f>VLOOKUP(F1424,'Set up'!$A$2:$C$70,3,FALSE)</f>
        <v>Cash</v>
      </c>
      <c r="J1424" s="5">
        <f>VLOOKUP(F1424,'Set up'!$A$2:$D$70,4,FALSE)</f>
        <v>0</v>
      </c>
      <c r="K1424" s="4">
        <f t="shared" si="320"/>
        <v>44978</v>
      </c>
      <c r="L1424" s="5">
        <f t="shared" si="321"/>
        <v>2</v>
      </c>
      <c r="M1424" s="5">
        <f t="shared" si="322"/>
        <v>2023</v>
      </c>
      <c r="N1424" s="6">
        <v>5040</v>
      </c>
      <c r="O1424" s="6">
        <f t="shared" ref="O1424:O1426" si="325">-N1424</f>
        <v>-5040</v>
      </c>
      <c r="P1424" s="6">
        <f t="shared" si="316"/>
        <v>0</v>
      </c>
      <c r="Q1424" s="7">
        <f t="shared" si="323"/>
        <v>2649049.6500000004</v>
      </c>
      <c r="R1424" s="44" t="str">
        <f>VLOOKUP(F1424,'Set up'!$A$2:$E$70,5,FALSE)</f>
        <v>Trsf</v>
      </c>
      <c r="S1424" s="1" t="s">
        <v>2226</v>
      </c>
    </row>
    <row r="1425" spans="1:19" x14ac:dyDescent="0.3">
      <c r="A1425" s="4">
        <v>44978</v>
      </c>
      <c r="B1425" s="5">
        <f t="shared" si="318"/>
        <v>2</v>
      </c>
      <c r="C1425" s="5">
        <f t="shared" si="319"/>
        <v>2023</v>
      </c>
      <c r="D1425" s="5" t="s">
        <v>1275</v>
      </c>
      <c r="E1425" s="5" t="str">
        <f>VLOOKUP(F1425,'Set up'!$A$2:$C$70,2,FALSE)</f>
        <v>C00000020</v>
      </c>
      <c r="F1425" s="1" t="s">
        <v>409</v>
      </c>
      <c r="G1425" s="89" t="s">
        <v>666</v>
      </c>
      <c r="H1425" s="5">
        <v>4</v>
      </c>
      <c r="I1425" s="5" t="str">
        <f>VLOOKUP(F1425,'Set up'!$A$2:$C$70,3,FALSE)</f>
        <v>Cash</v>
      </c>
      <c r="J1425" s="5">
        <f>VLOOKUP(F1425,'Set up'!$A$2:$D$70,4,FALSE)</f>
        <v>0</v>
      </c>
      <c r="K1425" s="4">
        <f t="shared" si="320"/>
        <v>44978</v>
      </c>
      <c r="L1425" s="5">
        <f t="shared" si="321"/>
        <v>2</v>
      </c>
      <c r="M1425" s="5">
        <f t="shared" si="322"/>
        <v>2023</v>
      </c>
      <c r="N1425" s="6">
        <v>380</v>
      </c>
      <c r="O1425" s="6">
        <f t="shared" si="325"/>
        <v>-380</v>
      </c>
      <c r="P1425" s="6">
        <f t="shared" si="316"/>
        <v>0</v>
      </c>
      <c r="Q1425" s="7">
        <f t="shared" si="323"/>
        <v>2649429.6500000004</v>
      </c>
      <c r="R1425" s="44" t="str">
        <f>VLOOKUP(F1425,'Set up'!$A$2:$E$70,5,FALSE)</f>
        <v>Trsf</v>
      </c>
      <c r="S1425" s="1" t="s">
        <v>2227</v>
      </c>
    </row>
    <row r="1426" spans="1:19" x14ac:dyDescent="0.3">
      <c r="A1426" s="4">
        <v>44978</v>
      </c>
      <c r="B1426" s="5">
        <f t="shared" si="318"/>
        <v>2</v>
      </c>
      <c r="C1426" s="5">
        <f t="shared" si="319"/>
        <v>2023</v>
      </c>
      <c r="D1426" s="5" t="s">
        <v>1275</v>
      </c>
      <c r="E1426" s="5" t="str">
        <f>VLOOKUP(F1426,'Set up'!$A$2:$C$70,2,FALSE)</f>
        <v>C00000020</v>
      </c>
      <c r="F1426" s="1" t="s">
        <v>409</v>
      </c>
      <c r="G1426" s="89" t="s">
        <v>1073</v>
      </c>
      <c r="H1426" s="5">
        <v>2</v>
      </c>
      <c r="I1426" s="5" t="str">
        <f>VLOOKUP(F1426,'Set up'!$A$2:$C$70,3,FALSE)</f>
        <v>Cash</v>
      </c>
      <c r="J1426" s="5">
        <f>VLOOKUP(F1426,'Set up'!$A$2:$D$70,4,FALSE)</f>
        <v>0</v>
      </c>
      <c r="K1426" s="4">
        <f t="shared" si="320"/>
        <v>44978</v>
      </c>
      <c r="L1426" s="5">
        <f t="shared" si="321"/>
        <v>2</v>
      </c>
      <c r="M1426" s="5">
        <f t="shared" si="322"/>
        <v>2023</v>
      </c>
      <c r="N1426" s="6">
        <v>2000</v>
      </c>
      <c r="O1426" s="6">
        <f t="shared" si="325"/>
        <v>-2000</v>
      </c>
      <c r="P1426" s="6">
        <f t="shared" si="316"/>
        <v>0</v>
      </c>
      <c r="Q1426" s="7">
        <f t="shared" si="323"/>
        <v>2651429.6500000004</v>
      </c>
      <c r="R1426" s="44" t="str">
        <f>VLOOKUP(F1426,'Set up'!$A$2:$E$70,5,FALSE)</f>
        <v>Trsf</v>
      </c>
      <c r="S1426" s="1" t="s">
        <v>2228</v>
      </c>
    </row>
    <row r="1427" spans="1:19" x14ac:dyDescent="0.3">
      <c r="A1427" s="4" t="s">
        <v>1278</v>
      </c>
      <c r="B1427" s="5">
        <f t="shared" si="318"/>
        <v>2</v>
      </c>
      <c r="C1427" s="5">
        <f t="shared" si="319"/>
        <v>2023</v>
      </c>
      <c r="D1427" s="5" t="s">
        <v>1276</v>
      </c>
      <c r="E1427" s="5" t="str">
        <f>VLOOKUP(F1427,'Set up'!$A$2:$C$70,2,FALSE)</f>
        <v>C00000027</v>
      </c>
      <c r="F1427" s="1" t="s">
        <v>859</v>
      </c>
      <c r="G1427" s="89" t="s">
        <v>658</v>
      </c>
      <c r="H1427" s="5">
        <v>1</v>
      </c>
      <c r="I1427" s="5" t="str">
        <f>VLOOKUP(F1427,'Set up'!$A$2:$C$70,3,FALSE)</f>
        <v>Cash</v>
      </c>
      <c r="J1427" s="5">
        <f>VLOOKUP(F1427,'Set up'!$A$2:$D$70,4,FALSE)</f>
        <v>0</v>
      </c>
      <c r="K1427" s="4">
        <f t="shared" si="320"/>
        <v>44981</v>
      </c>
      <c r="L1427" s="5">
        <f t="shared" si="321"/>
        <v>2</v>
      </c>
      <c r="M1427" s="5">
        <f t="shared" si="322"/>
        <v>2023</v>
      </c>
      <c r="N1427" s="6">
        <v>1059.5</v>
      </c>
      <c r="O1427" s="6">
        <f t="shared" ref="O1427:O1430" si="326">-N1427</f>
        <v>-1059.5</v>
      </c>
      <c r="P1427" s="6">
        <f t="shared" si="316"/>
        <v>0</v>
      </c>
      <c r="Q1427" s="7">
        <f t="shared" si="323"/>
        <v>2652489.1500000004</v>
      </c>
      <c r="R1427" s="44" t="str">
        <f>VLOOKUP(F1427,'Set up'!$A$2:$E$70,5,FALSE)</f>
        <v>Trsf</v>
      </c>
      <c r="S1427" s="1" t="s">
        <v>2065</v>
      </c>
    </row>
    <row r="1428" spans="1:19" x14ac:dyDescent="0.3">
      <c r="A1428" s="4" t="s">
        <v>1279</v>
      </c>
      <c r="B1428" s="5">
        <f t="shared" si="318"/>
        <v>2</v>
      </c>
      <c r="C1428" s="5">
        <f t="shared" si="319"/>
        <v>2023</v>
      </c>
      <c r="D1428" s="5" t="s">
        <v>1277</v>
      </c>
      <c r="E1428" s="5" t="str">
        <f>VLOOKUP(F1428,'Set up'!$A$2:$C$70,2,FALSE)</f>
        <v>C00000020</v>
      </c>
      <c r="F1428" s="1" t="s">
        <v>409</v>
      </c>
      <c r="G1428" s="89" t="s">
        <v>1110</v>
      </c>
      <c r="H1428" s="5">
        <v>3</v>
      </c>
      <c r="I1428" s="5" t="str">
        <f>VLOOKUP(F1428,'Set up'!$A$2:$C$70,3,FALSE)</f>
        <v>Cash</v>
      </c>
      <c r="J1428" s="5">
        <f>VLOOKUP(F1428,'Set up'!$A$2:$D$70,4,FALSE)</f>
        <v>0</v>
      </c>
      <c r="K1428" s="4">
        <f t="shared" si="320"/>
        <v>44982</v>
      </c>
      <c r="L1428" s="5">
        <f t="shared" si="321"/>
        <v>2</v>
      </c>
      <c r="M1428" s="5">
        <f t="shared" si="322"/>
        <v>2023</v>
      </c>
      <c r="N1428" s="6">
        <v>187.5</v>
      </c>
      <c r="O1428" s="6">
        <f t="shared" si="326"/>
        <v>-187.5</v>
      </c>
      <c r="P1428" s="6">
        <f t="shared" si="316"/>
        <v>0</v>
      </c>
      <c r="Q1428" s="7">
        <f t="shared" si="323"/>
        <v>2652676.6500000004</v>
      </c>
      <c r="R1428" s="44" t="str">
        <f>VLOOKUP(F1428,'Set up'!$A$2:$E$70,5,FALSE)</f>
        <v>Trsf</v>
      </c>
      <c r="S1428" s="1" t="s">
        <v>2229</v>
      </c>
    </row>
    <row r="1429" spans="1:19" x14ac:dyDescent="0.3">
      <c r="A1429" s="4" t="s">
        <v>1279</v>
      </c>
      <c r="B1429" s="5">
        <f t="shared" si="318"/>
        <v>2</v>
      </c>
      <c r="C1429" s="5">
        <f t="shared" si="319"/>
        <v>2023</v>
      </c>
      <c r="D1429" s="5" t="s">
        <v>1277</v>
      </c>
      <c r="E1429" s="5" t="str">
        <f>VLOOKUP(F1429,'Set up'!$A$2:$C$70,2,FALSE)</f>
        <v>C00000020</v>
      </c>
      <c r="F1429" s="1" t="s">
        <v>409</v>
      </c>
      <c r="G1429" s="89" t="s">
        <v>666</v>
      </c>
      <c r="H1429" s="5">
        <v>4</v>
      </c>
      <c r="I1429" s="5" t="str">
        <f>VLOOKUP(F1429,'Set up'!$A$2:$C$70,3,FALSE)</f>
        <v>Cash</v>
      </c>
      <c r="J1429" s="5">
        <f>VLOOKUP(F1429,'Set up'!$A$2:$D$70,4,FALSE)</f>
        <v>0</v>
      </c>
      <c r="K1429" s="4">
        <f t="shared" si="320"/>
        <v>44982</v>
      </c>
      <c r="L1429" s="5">
        <f t="shared" si="321"/>
        <v>2</v>
      </c>
      <c r="M1429" s="5">
        <f t="shared" si="322"/>
        <v>2023</v>
      </c>
      <c r="N1429" s="6">
        <v>380</v>
      </c>
      <c r="O1429" s="6">
        <f t="shared" si="326"/>
        <v>-380</v>
      </c>
      <c r="P1429" s="6">
        <f t="shared" ref="P1429:P1432" si="327">SUM(N1429+O1429)</f>
        <v>0</v>
      </c>
      <c r="Q1429" s="7">
        <f t="shared" si="323"/>
        <v>2653056.6500000004</v>
      </c>
      <c r="R1429" s="44" t="str">
        <f>VLOOKUP(F1429,'Set up'!$A$2:$E$70,5,FALSE)</f>
        <v>Trsf</v>
      </c>
      <c r="S1429" s="1" t="s">
        <v>2227</v>
      </c>
    </row>
    <row r="1430" spans="1:19" x14ac:dyDescent="0.3">
      <c r="A1430" s="4" t="s">
        <v>1279</v>
      </c>
      <c r="B1430" s="5">
        <f t="shared" si="318"/>
        <v>2</v>
      </c>
      <c r="C1430" s="5">
        <f t="shared" si="319"/>
        <v>2023</v>
      </c>
      <c r="D1430" s="5" t="s">
        <v>1277</v>
      </c>
      <c r="E1430" s="5" t="str">
        <f>VLOOKUP(F1430,'Set up'!$A$2:$C$70,2,FALSE)</f>
        <v>C00000020</v>
      </c>
      <c r="F1430" s="1" t="s">
        <v>409</v>
      </c>
      <c r="G1430" s="89" t="s">
        <v>1073</v>
      </c>
      <c r="H1430" s="5">
        <v>1</v>
      </c>
      <c r="I1430" s="5" t="str">
        <f>VLOOKUP(F1430,'Set up'!$A$2:$C$70,3,FALSE)</f>
        <v>Cash</v>
      </c>
      <c r="J1430" s="5">
        <f>VLOOKUP(F1430,'Set up'!$A$2:$D$70,4,FALSE)</f>
        <v>0</v>
      </c>
      <c r="K1430" s="4">
        <f t="shared" si="320"/>
        <v>44982</v>
      </c>
      <c r="L1430" s="5">
        <f t="shared" si="321"/>
        <v>2</v>
      </c>
      <c r="M1430" s="5">
        <f t="shared" si="322"/>
        <v>2023</v>
      </c>
      <c r="N1430" s="6">
        <v>1000</v>
      </c>
      <c r="O1430" s="6">
        <f t="shared" si="326"/>
        <v>-1000</v>
      </c>
      <c r="P1430" s="6">
        <f t="shared" si="327"/>
        <v>0</v>
      </c>
      <c r="Q1430" s="7">
        <f t="shared" si="323"/>
        <v>2654056.6500000004</v>
      </c>
      <c r="R1430" s="44" t="str">
        <f>VLOOKUP(F1430,'Set up'!$A$2:$E$70,5,FALSE)</f>
        <v>Trsf</v>
      </c>
      <c r="S1430" s="1" t="s">
        <v>2230</v>
      </c>
    </row>
    <row r="1431" spans="1:19" x14ac:dyDescent="0.3">
      <c r="A1431" s="4" t="s">
        <v>1279</v>
      </c>
      <c r="B1431" s="5">
        <f t="shared" si="318"/>
        <v>2</v>
      </c>
      <c r="C1431" s="5">
        <f t="shared" si="319"/>
        <v>2023</v>
      </c>
      <c r="D1431" s="5" t="s">
        <v>1280</v>
      </c>
      <c r="E1431" s="5" t="str">
        <f>VLOOKUP(F1431,'Set up'!$A$2:$C$70,2,FALSE)</f>
        <v>C00000019</v>
      </c>
      <c r="F1431" s="1" t="s">
        <v>400</v>
      </c>
      <c r="G1431" s="89" t="s">
        <v>1131</v>
      </c>
      <c r="H1431" s="5">
        <v>2</v>
      </c>
      <c r="I1431" s="5" t="str">
        <f>VLOOKUP(F1431,'Set up'!$A$2:$C$70,3,FALSE)</f>
        <v>Cash</v>
      </c>
      <c r="J1431" s="5">
        <f>VLOOKUP(F1431,'Set up'!$A$2:$D$70,4,FALSE)</f>
        <v>0</v>
      </c>
      <c r="K1431" s="4">
        <f t="shared" si="320"/>
        <v>44982</v>
      </c>
      <c r="L1431" s="5">
        <f t="shared" si="321"/>
        <v>2</v>
      </c>
      <c r="M1431" s="5">
        <f t="shared" si="322"/>
        <v>2023</v>
      </c>
      <c r="N1431" s="6">
        <v>842.4</v>
      </c>
      <c r="O1431" s="6">
        <f>-373.6-468.8</f>
        <v>-842.40000000000009</v>
      </c>
      <c r="P1431" s="109">
        <v>0</v>
      </c>
      <c r="Q1431" s="7">
        <f t="shared" si="323"/>
        <v>2654899.0500000003</v>
      </c>
      <c r="R1431" s="44" t="str">
        <f>VLOOKUP(F1431,'Set up'!$A$2:$E$70,5,FALSE)</f>
        <v>Trsf</v>
      </c>
      <c r="S1431" s="1" t="s">
        <v>1667</v>
      </c>
    </row>
    <row r="1432" spans="1:19" x14ac:dyDescent="0.3">
      <c r="A1432" s="4" t="s">
        <v>1283</v>
      </c>
      <c r="B1432" s="5">
        <f t="shared" si="318"/>
        <v>2</v>
      </c>
      <c r="C1432" s="5">
        <f t="shared" si="319"/>
        <v>2023</v>
      </c>
      <c r="D1432" s="5" t="s">
        <v>1281</v>
      </c>
      <c r="E1432" s="5" t="str">
        <f>VLOOKUP(F1432,'Set up'!$A$2:$C$70,2,FALSE)</f>
        <v>C00000019</v>
      </c>
      <c r="F1432" s="1" t="s">
        <v>400</v>
      </c>
      <c r="G1432" s="89" t="s">
        <v>791</v>
      </c>
      <c r="H1432" s="5">
        <v>5</v>
      </c>
      <c r="I1432" s="5" t="str">
        <f>VLOOKUP(F1432,'Set up'!$A$2:$C$70,3,FALSE)</f>
        <v>Cash</v>
      </c>
      <c r="J1432" s="5">
        <f>VLOOKUP(F1432,'Set up'!$A$2:$D$70,4,FALSE)</f>
        <v>0</v>
      </c>
      <c r="K1432" s="4">
        <f t="shared" si="320"/>
        <v>44985</v>
      </c>
      <c r="L1432" s="5">
        <f t="shared" si="321"/>
        <v>2</v>
      </c>
      <c r="M1432" s="5">
        <f t="shared" si="322"/>
        <v>2023</v>
      </c>
      <c r="N1432" s="6">
        <v>312.5</v>
      </c>
      <c r="O1432" s="6">
        <f t="shared" ref="O1432" si="328">-N1432</f>
        <v>-312.5</v>
      </c>
      <c r="P1432" s="6">
        <f t="shared" si="327"/>
        <v>0</v>
      </c>
      <c r="Q1432" s="7">
        <f t="shared" si="323"/>
        <v>2655211.5500000003</v>
      </c>
      <c r="R1432" s="44" t="str">
        <f>VLOOKUP(F1432,'Set up'!$A$2:$E$70,5,FALSE)</f>
        <v>Trsf</v>
      </c>
      <c r="S1432" s="1" t="s">
        <v>1668</v>
      </c>
    </row>
    <row r="1433" spans="1:19" x14ac:dyDescent="0.3">
      <c r="A1433" s="4" t="s">
        <v>1301</v>
      </c>
      <c r="B1433" s="5">
        <f t="shared" si="318"/>
        <v>3</v>
      </c>
      <c r="C1433" s="5">
        <f t="shared" si="319"/>
        <v>2023</v>
      </c>
      <c r="D1433" s="5" t="s">
        <v>1282</v>
      </c>
      <c r="E1433" s="5" t="str">
        <f>VLOOKUP(F1433,'Set up'!$A$2:$C$70,2,FALSE)</f>
        <v>C00000022</v>
      </c>
      <c r="F1433" s="1" t="s">
        <v>637</v>
      </c>
      <c r="G1433" s="89" t="s">
        <v>95</v>
      </c>
      <c r="H1433" s="5">
        <v>1</v>
      </c>
      <c r="I1433" s="5" t="str">
        <f>VLOOKUP(F1433,'Set up'!$A$2:$C$70,3,FALSE)</f>
        <v>Cash</v>
      </c>
      <c r="J1433" s="5">
        <f>VLOOKUP(F1433,'Set up'!$A$2:$D$70,4,FALSE)</f>
        <v>0</v>
      </c>
      <c r="K1433" s="4">
        <f t="shared" si="320"/>
        <v>44986</v>
      </c>
      <c r="L1433" s="5">
        <f t="shared" si="321"/>
        <v>3</v>
      </c>
      <c r="M1433" s="5">
        <f t="shared" si="322"/>
        <v>2023</v>
      </c>
      <c r="N1433" s="6">
        <v>1936</v>
      </c>
      <c r="O1433" s="6">
        <f>-946-990</f>
        <v>-1936</v>
      </c>
      <c r="P1433" s="6">
        <f t="shared" ref="P1433:P1470" si="329">SUM(N1433+O1433)</f>
        <v>0</v>
      </c>
      <c r="Q1433" s="7">
        <f t="shared" si="323"/>
        <v>2657147.5500000003</v>
      </c>
      <c r="R1433" s="44" t="str">
        <f>VLOOKUP(F1433,'Set up'!$A$2:$E$70,5,FALSE)</f>
        <v>Trsf</v>
      </c>
      <c r="S1433" s="1" t="s">
        <v>1983</v>
      </c>
    </row>
    <row r="1434" spans="1:19" x14ac:dyDescent="0.3">
      <c r="A1434" s="4" t="s">
        <v>1303</v>
      </c>
      <c r="B1434" s="5">
        <f t="shared" si="318"/>
        <v>3</v>
      </c>
      <c r="C1434" s="5">
        <f t="shared" si="319"/>
        <v>2023</v>
      </c>
      <c r="D1434" s="5" t="s">
        <v>1302</v>
      </c>
      <c r="E1434" s="5" t="str">
        <f>VLOOKUP(F1434,'Set up'!$A$2:$C$70,2,FALSE)</f>
        <v>C00000001</v>
      </c>
      <c r="F1434" s="1" t="s">
        <v>7</v>
      </c>
      <c r="G1434" s="89" t="s">
        <v>716</v>
      </c>
      <c r="H1434" s="5">
        <v>1</v>
      </c>
      <c r="I1434" s="5" t="str">
        <f>VLOOKUP(F1434,'Set up'!$A$2:$C$70,3,FALSE)</f>
        <v>Cash</v>
      </c>
      <c r="J1434" s="5">
        <f>VLOOKUP(F1434,'Set up'!$A$2:$D$70,4,FALSE)</f>
        <v>0</v>
      </c>
      <c r="K1434" s="4">
        <f t="shared" si="320"/>
        <v>44987</v>
      </c>
      <c r="L1434" s="5">
        <f t="shared" si="321"/>
        <v>3</v>
      </c>
      <c r="M1434" s="5">
        <f t="shared" si="322"/>
        <v>2023</v>
      </c>
      <c r="N1434" s="6">
        <v>1804</v>
      </c>
      <c r="O1434" s="6">
        <f>-N1434</f>
        <v>-1804</v>
      </c>
      <c r="P1434" s="6">
        <f t="shared" si="329"/>
        <v>0</v>
      </c>
      <c r="Q1434" s="7">
        <f t="shared" si="323"/>
        <v>2658951.5500000003</v>
      </c>
      <c r="R1434" s="44" t="str">
        <f>VLOOKUP(F1434,'Set up'!$A$2:$E$70,5,FALSE)</f>
        <v>Trsf</v>
      </c>
      <c r="S1434" s="1" t="s">
        <v>1368</v>
      </c>
    </row>
    <row r="1435" spans="1:19" x14ac:dyDescent="0.3">
      <c r="A1435" s="4" t="s">
        <v>1303</v>
      </c>
      <c r="B1435" s="5">
        <f t="shared" si="318"/>
        <v>3</v>
      </c>
      <c r="C1435" s="5">
        <f t="shared" si="319"/>
        <v>2023</v>
      </c>
      <c r="D1435" s="5" t="s">
        <v>1302</v>
      </c>
      <c r="E1435" s="5" t="str">
        <f>VLOOKUP(F1435,'Set up'!$A$2:$C$70,2,FALSE)</f>
        <v>C00000001</v>
      </c>
      <c r="F1435" s="1" t="s">
        <v>7</v>
      </c>
      <c r="G1435" s="89" t="s">
        <v>654</v>
      </c>
      <c r="H1435" s="5">
        <v>4</v>
      </c>
      <c r="I1435" s="5" t="str">
        <f>VLOOKUP(F1435,'Set up'!$A$2:$C$70,3,FALSE)</f>
        <v>Cash</v>
      </c>
      <c r="J1435" s="5">
        <f>VLOOKUP(F1435,'Set up'!$A$2:$D$70,4,FALSE)</f>
        <v>0</v>
      </c>
      <c r="K1435" s="4">
        <f t="shared" si="320"/>
        <v>44987</v>
      </c>
      <c r="L1435" s="5">
        <f t="shared" si="321"/>
        <v>3</v>
      </c>
      <c r="M1435" s="5">
        <f t="shared" si="322"/>
        <v>2023</v>
      </c>
      <c r="N1435" s="6">
        <v>912</v>
      </c>
      <c r="O1435" s="6">
        <f>-N1435</f>
        <v>-912</v>
      </c>
      <c r="P1435" s="6">
        <f t="shared" si="329"/>
        <v>0</v>
      </c>
      <c r="Q1435" s="7">
        <f t="shared" si="323"/>
        <v>2659863.5500000003</v>
      </c>
      <c r="R1435" s="44" t="str">
        <f>VLOOKUP(F1435,'Set up'!$A$2:$E$70,5,FALSE)</f>
        <v>Trsf</v>
      </c>
      <c r="S1435" s="1" t="s">
        <v>1368</v>
      </c>
    </row>
    <row r="1436" spans="1:19" x14ac:dyDescent="0.3">
      <c r="A1436" s="4" t="s">
        <v>1303</v>
      </c>
      <c r="B1436" s="5">
        <f t="shared" si="318"/>
        <v>3</v>
      </c>
      <c r="C1436" s="5">
        <f t="shared" si="319"/>
        <v>2023</v>
      </c>
      <c r="D1436" s="5" t="s">
        <v>1306</v>
      </c>
      <c r="E1436" s="5" t="str">
        <f>VLOOKUP(F1436,'Set up'!$A$2:$C$70,2,FALSE)</f>
        <v>C00000036</v>
      </c>
      <c r="F1436" s="1" t="s">
        <v>1304</v>
      </c>
      <c r="G1436" s="89" t="s">
        <v>771</v>
      </c>
      <c r="H1436" s="5">
        <v>1</v>
      </c>
      <c r="I1436" s="5" t="str">
        <f>VLOOKUP(F1436,'Set up'!$A$2:$C$70,3,FALSE)</f>
        <v>Cash</v>
      </c>
      <c r="J1436" s="5">
        <f>VLOOKUP(F1436,'Set up'!$A$2:$D$70,4,FALSE)</f>
        <v>0</v>
      </c>
      <c r="K1436" s="4">
        <f t="shared" si="320"/>
        <v>44987</v>
      </c>
      <c r="L1436" s="5">
        <f t="shared" si="321"/>
        <v>3</v>
      </c>
      <c r="M1436" s="5">
        <f t="shared" si="322"/>
        <v>2023</v>
      </c>
      <c r="N1436" s="6">
        <v>256</v>
      </c>
      <c r="O1436" s="6">
        <f t="shared" ref="O1436:O1438" si="330">-N1436</f>
        <v>-256</v>
      </c>
      <c r="P1436" s="6">
        <f t="shared" si="329"/>
        <v>0</v>
      </c>
      <c r="Q1436" s="7">
        <f t="shared" si="323"/>
        <v>2660119.5500000003</v>
      </c>
      <c r="R1436" s="44" t="str">
        <f>VLOOKUP(F1436,'Set up'!$A$2:$E$70,5,FALSE)</f>
        <v>Trsf</v>
      </c>
      <c r="S1436" s="1" t="s">
        <v>1369</v>
      </c>
    </row>
    <row r="1437" spans="1:19" x14ac:dyDescent="0.3">
      <c r="A1437" s="4" t="s">
        <v>1303</v>
      </c>
      <c r="B1437" s="5">
        <f t="shared" si="318"/>
        <v>3</v>
      </c>
      <c r="C1437" s="5">
        <f t="shared" si="319"/>
        <v>2023</v>
      </c>
      <c r="D1437" s="5" t="s">
        <v>1306</v>
      </c>
      <c r="E1437" s="5" t="str">
        <f>VLOOKUP(F1437,'Set up'!$A$2:$C$70,2,FALSE)</f>
        <v>C00000036</v>
      </c>
      <c r="F1437" s="1" t="s">
        <v>1304</v>
      </c>
      <c r="G1437" s="89" t="s">
        <v>46</v>
      </c>
      <c r="H1437" s="5">
        <v>1</v>
      </c>
      <c r="I1437" s="5" t="str">
        <f>VLOOKUP(F1437,'Set up'!$A$2:$C$70,3,FALSE)</f>
        <v>Cash</v>
      </c>
      <c r="J1437" s="5">
        <f>VLOOKUP(F1437,'Set up'!$A$2:$D$70,4,FALSE)</f>
        <v>0</v>
      </c>
      <c r="K1437" s="4">
        <f t="shared" si="320"/>
        <v>44987</v>
      </c>
      <c r="L1437" s="5">
        <f t="shared" si="321"/>
        <v>3</v>
      </c>
      <c r="M1437" s="5">
        <f t="shared" si="322"/>
        <v>2023</v>
      </c>
      <c r="N1437" s="6">
        <v>110</v>
      </c>
      <c r="O1437" s="6">
        <f t="shared" si="330"/>
        <v>-110</v>
      </c>
      <c r="P1437" s="6">
        <f t="shared" si="329"/>
        <v>0</v>
      </c>
      <c r="Q1437" s="7">
        <f t="shared" si="323"/>
        <v>2660229.5500000003</v>
      </c>
      <c r="R1437" s="44" t="str">
        <f>VLOOKUP(F1437,'Set up'!$A$2:$E$70,5,FALSE)</f>
        <v>Trsf</v>
      </c>
      <c r="S1437" s="1" t="s">
        <v>1369</v>
      </c>
    </row>
    <row r="1438" spans="1:19" x14ac:dyDescent="0.3">
      <c r="A1438" s="4" t="s">
        <v>1308</v>
      </c>
      <c r="B1438" s="5">
        <f t="shared" si="318"/>
        <v>3</v>
      </c>
      <c r="C1438" s="5">
        <f t="shared" si="319"/>
        <v>2023</v>
      </c>
      <c r="D1438" s="5" t="s">
        <v>1307</v>
      </c>
      <c r="E1438" s="5" t="str">
        <f>VLOOKUP(F1438,'Set up'!$A$2:$C$70,2,FALSE)</f>
        <v>C00000020</v>
      </c>
      <c r="F1438" s="1" t="s">
        <v>409</v>
      </c>
      <c r="G1438" s="89" t="s">
        <v>1110</v>
      </c>
      <c r="H1438" s="5">
        <v>15</v>
      </c>
      <c r="I1438" s="5" t="str">
        <f>VLOOKUP(F1438,'Set up'!$A$2:$C$70,3,FALSE)</f>
        <v>Cash</v>
      </c>
      <c r="J1438" s="5">
        <f>VLOOKUP(F1438,'Set up'!$A$2:$D$70,4,FALSE)</f>
        <v>0</v>
      </c>
      <c r="K1438" s="4">
        <f t="shared" si="320"/>
        <v>44988</v>
      </c>
      <c r="L1438" s="5">
        <f t="shared" si="321"/>
        <v>3</v>
      </c>
      <c r="M1438" s="5">
        <f t="shared" si="322"/>
        <v>2023</v>
      </c>
      <c r="N1438" s="6">
        <v>937.5</v>
      </c>
      <c r="O1438" s="6">
        <f t="shared" si="330"/>
        <v>-937.5</v>
      </c>
      <c r="P1438" s="6">
        <f t="shared" si="329"/>
        <v>0</v>
      </c>
      <c r="Q1438" s="7">
        <f t="shared" si="323"/>
        <v>2661167.0500000003</v>
      </c>
      <c r="R1438" s="44" t="str">
        <f>VLOOKUP(F1438,'Set up'!$A$2:$E$70,5,FALSE)</f>
        <v>Trsf</v>
      </c>
      <c r="S1438" s="1" t="s">
        <v>2231</v>
      </c>
    </row>
    <row r="1439" spans="1:19" x14ac:dyDescent="0.3">
      <c r="A1439" s="4" t="s">
        <v>1308</v>
      </c>
      <c r="B1439" s="5">
        <f t="shared" si="318"/>
        <v>3</v>
      </c>
      <c r="C1439" s="5">
        <f t="shared" si="319"/>
        <v>2023</v>
      </c>
      <c r="D1439" s="5" t="s">
        <v>1311</v>
      </c>
      <c r="E1439" s="5" t="str">
        <f>VLOOKUP(F1439,'Set up'!$A$2:$C$70,2,FALSE)</f>
        <v>C00000020</v>
      </c>
      <c r="F1439" s="1" t="s">
        <v>409</v>
      </c>
      <c r="G1439" s="89" t="s">
        <v>716</v>
      </c>
      <c r="H1439" s="5">
        <v>10</v>
      </c>
      <c r="I1439" s="5" t="str">
        <f>VLOOKUP(F1439,'Set up'!$A$2:$C$70,3,FALSE)</f>
        <v>Cash</v>
      </c>
      <c r="J1439" s="5">
        <f>VLOOKUP(F1439,'Set up'!$A$2:$D$70,4,FALSE)</f>
        <v>0</v>
      </c>
      <c r="K1439" s="4">
        <f t="shared" si="320"/>
        <v>44988</v>
      </c>
      <c r="L1439" s="5">
        <f t="shared" si="321"/>
        <v>3</v>
      </c>
      <c r="M1439" s="5">
        <f t="shared" si="322"/>
        <v>2023</v>
      </c>
      <c r="N1439" s="6">
        <v>17380</v>
      </c>
      <c r="O1439" s="6">
        <f>-1858.4-12000-3521.6</f>
        <v>-17380</v>
      </c>
      <c r="P1439" s="6">
        <f t="shared" si="329"/>
        <v>0</v>
      </c>
      <c r="Q1439" s="7">
        <f t="shared" si="323"/>
        <v>2678547.0500000003</v>
      </c>
      <c r="R1439" s="44" t="str">
        <f>VLOOKUP(F1439,'Set up'!$A$2:$E$70,5,FALSE)</f>
        <v>Trsf</v>
      </c>
      <c r="S1439" s="1" t="s">
        <v>2232</v>
      </c>
    </row>
    <row r="1440" spans="1:19" x14ac:dyDescent="0.3">
      <c r="A1440" s="4" t="s">
        <v>1308</v>
      </c>
      <c r="B1440" s="5">
        <f t="shared" si="318"/>
        <v>3</v>
      </c>
      <c r="C1440" s="5">
        <f t="shared" si="319"/>
        <v>2023</v>
      </c>
      <c r="D1440" s="5" t="s">
        <v>1311</v>
      </c>
      <c r="E1440" s="5" t="str">
        <f>VLOOKUP(F1440,'Set up'!$A$2:$C$70,2,FALSE)</f>
        <v>C00000020</v>
      </c>
      <c r="F1440" s="1" t="s">
        <v>409</v>
      </c>
      <c r="G1440" s="89" t="s">
        <v>719</v>
      </c>
      <c r="H1440" s="5">
        <v>5</v>
      </c>
      <c r="I1440" s="5" t="str">
        <f>VLOOKUP(F1440,'Set up'!$A$2:$C$70,3,FALSE)</f>
        <v>Cash</v>
      </c>
      <c r="J1440" s="5">
        <f>VLOOKUP(F1440,'Set up'!$A$2:$D$70,4,FALSE)</f>
        <v>0</v>
      </c>
      <c r="K1440" s="4">
        <f t="shared" si="320"/>
        <v>44988</v>
      </c>
      <c r="L1440" s="5">
        <f t="shared" si="321"/>
        <v>3</v>
      </c>
      <c r="M1440" s="5">
        <f t="shared" si="322"/>
        <v>2023</v>
      </c>
      <c r="N1440" s="6">
        <v>8690</v>
      </c>
      <c r="O1440" s="6">
        <f>-3478.4-5211.6</f>
        <v>-8690</v>
      </c>
      <c r="P1440" s="6">
        <f t="shared" si="329"/>
        <v>0</v>
      </c>
      <c r="Q1440" s="7">
        <f t="shared" si="323"/>
        <v>2687237.0500000003</v>
      </c>
      <c r="R1440" s="44" t="str">
        <f>VLOOKUP(F1440,'Set up'!$A$2:$E$70,5,FALSE)</f>
        <v>Trsf</v>
      </c>
      <c r="S1440" s="1" t="s">
        <v>2233</v>
      </c>
    </row>
    <row r="1441" spans="1:19" x14ac:dyDescent="0.3">
      <c r="A1441" s="4" t="s">
        <v>1308</v>
      </c>
      <c r="B1441" s="5">
        <f t="shared" si="318"/>
        <v>3</v>
      </c>
      <c r="C1441" s="5">
        <f t="shared" si="319"/>
        <v>2023</v>
      </c>
      <c r="D1441" s="5" t="s">
        <v>1311</v>
      </c>
      <c r="E1441" s="5" t="str">
        <f>VLOOKUP(F1441,'Set up'!$A$2:$C$70,2,FALSE)</f>
        <v>C00000020</v>
      </c>
      <c r="F1441" s="1" t="s">
        <v>409</v>
      </c>
      <c r="G1441" s="89" t="s">
        <v>654</v>
      </c>
      <c r="H1441" s="5">
        <v>40</v>
      </c>
      <c r="I1441" s="5" t="str">
        <f>VLOOKUP(F1441,'Set up'!$A$2:$C$70,3,FALSE)</f>
        <v>Cash</v>
      </c>
      <c r="J1441" s="5">
        <f>VLOOKUP(F1441,'Set up'!$A$2:$D$70,4,FALSE)</f>
        <v>0</v>
      </c>
      <c r="K1441" s="4">
        <f t="shared" si="320"/>
        <v>44988</v>
      </c>
      <c r="L1441" s="5">
        <f t="shared" si="321"/>
        <v>3</v>
      </c>
      <c r="M1441" s="5">
        <f t="shared" si="322"/>
        <v>2023</v>
      </c>
      <c r="N1441" s="6">
        <v>9120</v>
      </c>
      <c r="O1441" s="6">
        <f>-5788.4-3331.6</f>
        <v>-9120</v>
      </c>
      <c r="P1441" s="6">
        <f t="shared" si="329"/>
        <v>0</v>
      </c>
      <c r="Q1441" s="7">
        <f t="shared" si="323"/>
        <v>2696357.0500000003</v>
      </c>
      <c r="R1441" s="44" t="str">
        <f>VLOOKUP(F1441,'Set up'!$A$2:$E$70,5,FALSE)</f>
        <v>Trsf</v>
      </c>
      <c r="S1441" s="1" t="s">
        <v>2234</v>
      </c>
    </row>
    <row r="1442" spans="1:19" x14ac:dyDescent="0.3">
      <c r="A1442" s="4" t="s">
        <v>1308</v>
      </c>
      <c r="B1442" s="5">
        <f t="shared" si="318"/>
        <v>3</v>
      </c>
      <c r="C1442" s="5">
        <f t="shared" si="319"/>
        <v>2023</v>
      </c>
      <c r="D1442" s="5" t="s">
        <v>1311</v>
      </c>
      <c r="E1442" s="5" t="str">
        <f>VLOOKUP(F1442,'Set up'!$A$2:$C$70,2,FALSE)</f>
        <v>C00000020</v>
      </c>
      <c r="F1442" s="1" t="s">
        <v>409</v>
      </c>
      <c r="G1442" s="89" t="s">
        <v>778</v>
      </c>
      <c r="H1442" s="5">
        <v>20</v>
      </c>
      <c r="I1442" s="5" t="str">
        <f>VLOOKUP(F1442,'Set up'!$A$2:$C$70,3,FALSE)</f>
        <v>Cash</v>
      </c>
      <c r="J1442" s="5">
        <f>VLOOKUP(F1442,'Set up'!$A$2:$D$70,4,FALSE)</f>
        <v>0</v>
      </c>
      <c r="K1442" s="4">
        <f t="shared" si="320"/>
        <v>44988</v>
      </c>
      <c r="L1442" s="5">
        <f t="shared" si="321"/>
        <v>3</v>
      </c>
      <c r="M1442" s="5">
        <f t="shared" si="322"/>
        <v>2023</v>
      </c>
      <c r="N1442" s="6">
        <v>5040</v>
      </c>
      <c r="O1442" s="6">
        <f t="shared" ref="O1442:O1444" si="331">-N1442</f>
        <v>-5040</v>
      </c>
      <c r="P1442" s="6">
        <f t="shared" si="329"/>
        <v>0</v>
      </c>
      <c r="Q1442" s="7">
        <f t="shared" si="323"/>
        <v>2701397.0500000003</v>
      </c>
      <c r="R1442" s="44" t="str">
        <f>VLOOKUP(F1442,'Set up'!$A$2:$E$70,5,FALSE)</f>
        <v>Trsf</v>
      </c>
      <c r="S1442" s="1" t="s">
        <v>2235</v>
      </c>
    </row>
    <row r="1443" spans="1:19" x14ac:dyDescent="0.3">
      <c r="A1443" s="4" t="s">
        <v>1308</v>
      </c>
      <c r="B1443" s="5">
        <f t="shared" si="318"/>
        <v>3</v>
      </c>
      <c r="C1443" s="5">
        <f t="shared" si="319"/>
        <v>2023</v>
      </c>
      <c r="D1443" s="5" t="s">
        <v>1311</v>
      </c>
      <c r="E1443" s="5" t="str">
        <f>VLOOKUP(F1443,'Set up'!$A$2:$C$70,2,FALSE)</f>
        <v>C00000020</v>
      </c>
      <c r="F1443" s="1" t="s">
        <v>409</v>
      </c>
      <c r="G1443" s="89" t="s">
        <v>666</v>
      </c>
      <c r="H1443" s="5">
        <v>4</v>
      </c>
      <c r="I1443" s="5" t="str">
        <f>VLOOKUP(F1443,'Set up'!$A$2:$C$70,3,FALSE)</f>
        <v>Cash</v>
      </c>
      <c r="J1443" s="5">
        <f>VLOOKUP(F1443,'Set up'!$A$2:$D$70,4,FALSE)</f>
        <v>0</v>
      </c>
      <c r="K1443" s="4">
        <f t="shared" si="320"/>
        <v>44988</v>
      </c>
      <c r="L1443" s="5">
        <f t="shared" si="321"/>
        <v>3</v>
      </c>
      <c r="M1443" s="5">
        <f t="shared" si="322"/>
        <v>2023</v>
      </c>
      <c r="N1443" s="6">
        <v>380</v>
      </c>
      <c r="O1443" s="6">
        <f t="shared" si="331"/>
        <v>-380</v>
      </c>
      <c r="P1443" s="6">
        <f t="shared" si="329"/>
        <v>0</v>
      </c>
      <c r="Q1443" s="7">
        <f t="shared" si="323"/>
        <v>2701777.0500000003</v>
      </c>
      <c r="R1443" s="44" t="str">
        <f>VLOOKUP(F1443,'Set up'!$A$2:$E$70,5,FALSE)</f>
        <v>Trsf</v>
      </c>
      <c r="S1443" s="1" t="s">
        <v>2236</v>
      </c>
    </row>
    <row r="1444" spans="1:19" x14ac:dyDescent="0.3">
      <c r="A1444" s="4" t="s">
        <v>1308</v>
      </c>
      <c r="B1444" s="5">
        <f t="shared" si="318"/>
        <v>3</v>
      </c>
      <c r="C1444" s="5">
        <f t="shared" si="319"/>
        <v>2023</v>
      </c>
      <c r="D1444" s="5" t="s">
        <v>1311</v>
      </c>
      <c r="E1444" s="5" t="str">
        <f>VLOOKUP(F1444,'Set up'!$A$2:$C$70,2,FALSE)</f>
        <v>C00000020</v>
      </c>
      <c r="F1444" s="1" t="s">
        <v>409</v>
      </c>
      <c r="G1444" s="89" t="s">
        <v>1073</v>
      </c>
      <c r="H1444" s="5">
        <v>2</v>
      </c>
      <c r="I1444" s="5" t="str">
        <f>VLOOKUP(F1444,'Set up'!$A$2:$C$70,3,FALSE)</f>
        <v>Cash</v>
      </c>
      <c r="J1444" s="5">
        <f>VLOOKUP(F1444,'Set up'!$A$2:$D$70,4,FALSE)</f>
        <v>0</v>
      </c>
      <c r="K1444" s="4">
        <f t="shared" si="320"/>
        <v>44988</v>
      </c>
      <c r="L1444" s="5">
        <f t="shared" si="321"/>
        <v>3</v>
      </c>
      <c r="M1444" s="5">
        <f t="shared" si="322"/>
        <v>2023</v>
      </c>
      <c r="N1444" s="6">
        <v>2000</v>
      </c>
      <c r="O1444" s="6">
        <f t="shared" si="331"/>
        <v>-2000</v>
      </c>
      <c r="P1444" s="6">
        <f t="shared" si="329"/>
        <v>0</v>
      </c>
      <c r="Q1444" s="7">
        <f t="shared" si="323"/>
        <v>2703777.0500000003</v>
      </c>
      <c r="R1444" s="44" t="str">
        <f>VLOOKUP(F1444,'Set up'!$A$2:$E$70,5,FALSE)</f>
        <v>Trsf</v>
      </c>
      <c r="S1444" s="1" t="s">
        <v>2237</v>
      </c>
    </row>
    <row r="1445" spans="1:19" x14ac:dyDescent="0.3">
      <c r="A1445" s="4" t="s">
        <v>1308</v>
      </c>
      <c r="B1445" s="5">
        <f t="shared" si="318"/>
        <v>3</v>
      </c>
      <c r="C1445" s="5">
        <f t="shared" si="319"/>
        <v>2023</v>
      </c>
      <c r="D1445" s="5" t="s">
        <v>1312</v>
      </c>
      <c r="E1445" s="5" t="str">
        <f>VLOOKUP(F1445,'Set up'!$A$2:$C$70,2,FALSE)</f>
        <v>C00000037</v>
      </c>
      <c r="F1445" s="1" t="s">
        <v>1309</v>
      </c>
      <c r="G1445" s="89" t="s">
        <v>719</v>
      </c>
      <c r="H1445" s="5">
        <v>2</v>
      </c>
      <c r="I1445" s="5">
        <f>VLOOKUP(F1445,'Set up'!$A$2:$C$70,3,FALSE)</f>
        <v>30</v>
      </c>
      <c r="J1445" s="5">
        <f>VLOOKUP(F1445,'Set up'!$A$2:$D$70,4,FALSE)</f>
        <v>30</v>
      </c>
      <c r="K1445" s="4">
        <f t="shared" si="320"/>
        <v>45018</v>
      </c>
      <c r="L1445" s="5">
        <f t="shared" si="321"/>
        <v>4</v>
      </c>
      <c r="M1445" s="5">
        <f t="shared" si="322"/>
        <v>2023</v>
      </c>
      <c r="N1445" s="6">
        <v>3608</v>
      </c>
      <c r="O1445" s="6">
        <f t="shared" ref="O1445:O1448" si="332">-N1445</f>
        <v>-3608</v>
      </c>
      <c r="P1445" s="6">
        <f t="shared" si="329"/>
        <v>0</v>
      </c>
      <c r="Q1445" s="7">
        <f t="shared" si="323"/>
        <v>2707385.0500000003</v>
      </c>
      <c r="R1445" s="44" t="str">
        <f>VLOOKUP(F1445,'Set up'!$A$2:$E$70,5,FALSE)</f>
        <v>Chq</v>
      </c>
      <c r="S1445" s="1" t="s">
        <v>1376</v>
      </c>
    </row>
    <row r="1446" spans="1:19" x14ac:dyDescent="0.3">
      <c r="A1446" s="4" t="s">
        <v>1308</v>
      </c>
      <c r="B1446" s="5">
        <f t="shared" si="318"/>
        <v>3</v>
      </c>
      <c r="C1446" s="5">
        <f t="shared" si="319"/>
        <v>2023</v>
      </c>
      <c r="D1446" s="5" t="s">
        <v>1312</v>
      </c>
      <c r="E1446" s="5" t="str">
        <f>VLOOKUP(F1446,'Set up'!$A$2:$C$70,2,FALSE)</f>
        <v>C00000037</v>
      </c>
      <c r="F1446" s="1" t="s">
        <v>1309</v>
      </c>
      <c r="G1446" s="89" t="s">
        <v>707</v>
      </c>
      <c r="H1446" s="5">
        <v>2</v>
      </c>
      <c r="I1446" s="5">
        <f>VLOOKUP(F1446,'Set up'!$A$2:$C$70,3,FALSE)</f>
        <v>30</v>
      </c>
      <c r="J1446" s="5">
        <f>VLOOKUP(F1446,'Set up'!$A$2:$D$70,4,FALSE)</f>
        <v>30</v>
      </c>
      <c r="K1446" s="4">
        <f t="shared" si="320"/>
        <v>45018</v>
      </c>
      <c r="L1446" s="5">
        <f t="shared" si="321"/>
        <v>4</v>
      </c>
      <c r="M1446" s="5">
        <f t="shared" si="322"/>
        <v>2023</v>
      </c>
      <c r="N1446" s="6">
        <v>842.4</v>
      </c>
      <c r="O1446" s="6">
        <f t="shared" si="332"/>
        <v>-842.4</v>
      </c>
      <c r="P1446" s="6">
        <f t="shared" si="329"/>
        <v>0</v>
      </c>
      <c r="Q1446" s="7">
        <f t="shared" si="323"/>
        <v>2708227.45</v>
      </c>
      <c r="R1446" s="44" t="str">
        <f>VLOOKUP(F1446,'Set up'!$A$2:$E$70,5,FALSE)</f>
        <v>Chq</v>
      </c>
      <c r="S1446" s="1" t="s">
        <v>1376</v>
      </c>
    </row>
    <row r="1447" spans="1:19" x14ac:dyDescent="0.3">
      <c r="A1447" s="4" t="s">
        <v>1308</v>
      </c>
      <c r="B1447" s="5">
        <f t="shared" si="318"/>
        <v>3</v>
      </c>
      <c r="C1447" s="5">
        <f t="shared" si="319"/>
        <v>2023</v>
      </c>
      <c r="D1447" s="5" t="s">
        <v>1312</v>
      </c>
      <c r="E1447" s="5" t="str">
        <f>VLOOKUP(F1447,'Set up'!$A$2:$C$70,2,FALSE)</f>
        <v>C00000037</v>
      </c>
      <c r="F1447" s="1" t="s">
        <v>1309</v>
      </c>
      <c r="G1447" s="89" t="s">
        <v>666</v>
      </c>
      <c r="H1447" s="5">
        <v>2</v>
      </c>
      <c r="I1447" s="5">
        <f>VLOOKUP(F1447,'Set up'!$A$2:$C$70,3,FALSE)</f>
        <v>30</v>
      </c>
      <c r="J1447" s="5">
        <f>VLOOKUP(F1447,'Set up'!$A$2:$D$70,4,FALSE)</f>
        <v>30</v>
      </c>
      <c r="K1447" s="4">
        <f t="shared" si="320"/>
        <v>45018</v>
      </c>
      <c r="L1447" s="5">
        <f t="shared" si="321"/>
        <v>4</v>
      </c>
      <c r="M1447" s="5">
        <f t="shared" si="322"/>
        <v>2023</v>
      </c>
      <c r="N1447" s="6">
        <v>190</v>
      </c>
      <c r="O1447" s="6">
        <f t="shared" si="332"/>
        <v>-190</v>
      </c>
      <c r="P1447" s="6">
        <f t="shared" si="329"/>
        <v>0</v>
      </c>
      <c r="Q1447" s="7">
        <f t="shared" si="323"/>
        <v>2708417.45</v>
      </c>
      <c r="R1447" s="44" t="str">
        <f>VLOOKUP(F1447,'Set up'!$A$2:$E$70,5,FALSE)</f>
        <v>Chq</v>
      </c>
      <c r="S1447" s="1" t="s">
        <v>1376</v>
      </c>
    </row>
    <row r="1448" spans="1:19" x14ac:dyDescent="0.3">
      <c r="A1448" s="4" t="s">
        <v>1308</v>
      </c>
      <c r="B1448" s="5">
        <f t="shared" si="318"/>
        <v>3</v>
      </c>
      <c r="C1448" s="5">
        <f t="shared" si="319"/>
        <v>2023</v>
      </c>
      <c r="D1448" s="5" t="s">
        <v>1312</v>
      </c>
      <c r="E1448" s="5" t="str">
        <f>VLOOKUP(F1448,'Set up'!$A$2:$C$70,2,FALSE)</f>
        <v>C00000037</v>
      </c>
      <c r="F1448" s="1" t="s">
        <v>1309</v>
      </c>
      <c r="G1448" s="89" t="s">
        <v>782</v>
      </c>
      <c r="H1448" s="5">
        <v>3</v>
      </c>
      <c r="I1448" s="5">
        <f>VLOOKUP(F1448,'Set up'!$A$2:$C$70,3,FALSE)</f>
        <v>30</v>
      </c>
      <c r="J1448" s="5">
        <f>VLOOKUP(F1448,'Set up'!$A$2:$D$70,4,FALSE)</f>
        <v>30</v>
      </c>
      <c r="K1448" s="4">
        <f t="shared" si="320"/>
        <v>45018</v>
      </c>
      <c r="L1448" s="5">
        <f t="shared" si="321"/>
        <v>4</v>
      </c>
      <c r="M1448" s="5">
        <f t="shared" si="322"/>
        <v>2023</v>
      </c>
      <c r="N1448" s="6">
        <v>144</v>
      </c>
      <c r="O1448" s="6">
        <f t="shared" si="332"/>
        <v>-144</v>
      </c>
      <c r="P1448" s="6">
        <f t="shared" si="329"/>
        <v>0</v>
      </c>
      <c r="Q1448" s="7">
        <f t="shared" si="323"/>
        <v>2708561.45</v>
      </c>
      <c r="R1448" s="44" t="str">
        <f>VLOOKUP(F1448,'Set up'!$A$2:$E$70,5,FALSE)</f>
        <v>Chq</v>
      </c>
      <c r="S1448" s="1" t="s">
        <v>1376</v>
      </c>
    </row>
    <row r="1449" spans="1:19" x14ac:dyDescent="0.3">
      <c r="A1449" s="4" t="s">
        <v>1317</v>
      </c>
      <c r="B1449" s="5">
        <f t="shared" si="318"/>
        <v>3</v>
      </c>
      <c r="C1449" s="5">
        <f t="shared" si="319"/>
        <v>2023</v>
      </c>
      <c r="D1449" s="5" t="s">
        <v>1313</v>
      </c>
      <c r="E1449" s="5" t="str">
        <f>VLOOKUP(F1449,'Set up'!$A$2:$C$70,2,FALSE)</f>
        <v>C00000036</v>
      </c>
      <c r="F1449" s="1" t="s">
        <v>1304</v>
      </c>
      <c r="G1449" s="89" t="s">
        <v>1314</v>
      </c>
      <c r="H1449" s="5">
        <v>1</v>
      </c>
      <c r="I1449" s="5" t="str">
        <f>VLOOKUP(F1449,'Set up'!$A$2:$C$70,3,FALSE)</f>
        <v>Cash</v>
      </c>
      <c r="J1449" s="5">
        <f>VLOOKUP(F1449,'Set up'!$A$2:$D$70,4,FALSE)</f>
        <v>0</v>
      </c>
      <c r="K1449" s="4">
        <f t="shared" si="320"/>
        <v>44991</v>
      </c>
      <c r="L1449" s="5">
        <f t="shared" si="321"/>
        <v>3</v>
      </c>
      <c r="M1449" s="5">
        <f t="shared" si="322"/>
        <v>2023</v>
      </c>
      <c r="N1449" s="6">
        <v>950</v>
      </c>
      <c r="O1449" s="6">
        <f t="shared" ref="O1449:O1454" si="333">-N1449</f>
        <v>-950</v>
      </c>
      <c r="P1449" s="6">
        <f t="shared" si="329"/>
        <v>0</v>
      </c>
      <c r="Q1449" s="7">
        <f t="shared" si="323"/>
        <v>2709511.45</v>
      </c>
      <c r="R1449" s="44" t="str">
        <f>VLOOKUP(F1449,'Set up'!$A$2:$E$70,5,FALSE)</f>
        <v>Trsf</v>
      </c>
      <c r="S1449" s="1" t="s">
        <v>1370</v>
      </c>
    </row>
    <row r="1450" spans="1:19" x14ac:dyDescent="0.3">
      <c r="A1450" s="4" t="s">
        <v>1317</v>
      </c>
      <c r="B1450" s="5">
        <f t="shared" si="318"/>
        <v>3</v>
      </c>
      <c r="C1450" s="5">
        <f t="shared" si="319"/>
        <v>2023</v>
      </c>
      <c r="D1450" s="5" t="s">
        <v>1313</v>
      </c>
      <c r="E1450" s="5" t="str">
        <f>VLOOKUP(F1450,'Set up'!$A$2:$C$70,2,FALSE)</f>
        <v>C00000036</v>
      </c>
      <c r="F1450" s="1" t="s">
        <v>1304</v>
      </c>
      <c r="G1450" s="89" t="s">
        <v>1315</v>
      </c>
      <c r="H1450" s="5">
        <v>1</v>
      </c>
      <c r="I1450" s="5" t="str">
        <f>VLOOKUP(F1450,'Set up'!$A$2:$C$70,3,FALSE)</f>
        <v>Cash</v>
      </c>
      <c r="J1450" s="5">
        <f>VLOOKUP(F1450,'Set up'!$A$2:$D$70,4,FALSE)</f>
        <v>0</v>
      </c>
      <c r="K1450" s="4">
        <f t="shared" si="320"/>
        <v>44991</v>
      </c>
      <c r="L1450" s="5">
        <f t="shared" si="321"/>
        <v>3</v>
      </c>
      <c r="M1450" s="5">
        <f t="shared" si="322"/>
        <v>2023</v>
      </c>
      <c r="N1450" s="6">
        <v>475</v>
      </c>
      <c r="O1450" s="6">
        <f t="shared" si="333"/>
        <v>-475</v>
      </c>
      <c r="P1450" s="6">
        <f t="shared" si="329"/>
        <v>0</v>
      </c>
      <c r="Q1450" s="7">
        <f t="shared" si="323"/>
        <v>2709986.45</v>
      </c>
      <c r="R1450" s="44" t="str">
        <f>VLOOKUP(F1450,'Set up'!$A$2:$E$70,5,FALSE)</f>
        <v>Trsf</v>
      </c>
      <c r="S1450" s="1" t="s">
        <v>1370</v>
      </c>
    </row>
    <row r="1451" spans="1:19" x14ac:dyDescent="0.3">
      <c r="A1451" s="4" t="s">
        <v>1317</v>
      </c>
      <c r="B1451" s="5">
        <f t="shared" si="318"/>
        <v>3</v>
      </c>
      <c r="C1451" s="5">
        <f t="shared" si="319"/>
        <v>2023</v>
      </c>
      <c r="D1451" s="5" t="s">
        <v>1313</v>
      </c>
      <c r="E1451" s="5" t="str">
        <f>VLOOKUP(F1451,'Set up'!$A$2:$C$70,2,FALSE)</f>
        <v>C00000036</v>
      </c>
      <c r="F1451" s="1" t="s">
        <v>1304</v>
      </c>
      <c r="G1451" s="89" t="s">
        <v>1316</v>
      </c>
      <c r="H1451" s="5">
        <v>2</v>
      </c>
      <c r="I1451" s="5" t="str">
        <f>VLOOKUP(F1451,'Set up'!$A$2:$C$70,3,FALSE)</f>
        <v>Cash</v>
      </c>
      <c r="J1451" s="5">
        <f>VLOOKUP(F1451,'Set up'!$A$2:$D$70,4,FALSE)</f>
        <v>0</v>
      </c>
      <c r="K1451" s="4">
        <f t="shared" si="320"/>
        <v>44991</v>
      </c>
      <c r="L1451" s="5">
        <f t="shared" si="321"/>
        <v>3</v>
      </c>
      <c r="M1451" s="5">
        <f t="shared" si="322"/>
        <v>2023</v>
      </c>
      <c r="N1451" s="6">
        <v>0</v>
      </c>
      <c r="O1451" s="6">
        <f t="shared" si="333"/>
        <v>0</v>
      </c>
      <c r="P1451" s="6">
        <f t="shared" si="329"/>
        <v>0</v>
      </c>
      <c r="Q1451" s="7">
        <f t="shared" si="323"/>
        <v>2709986.45</v>
      </c>
      <c r="R1451" s="44" t="str">
        <f>VLOOKUP(F1451,'Set up'!$A$2:$E$70,5,FALSE)</f>
        <v>Trsf</v>
      </c>
      <c r="S1451" s="1" t="s">
        <v>1370</v>
      </c>
    </row>
    <row r="1452" spans="1:19" x14ac:dyDescent="0.3">
      <c r="A1452" s="4" t="s">
        <v>1317</v>
      </c>
      <c r="B1452" s="5">
        <f t="shared" si="318"/>
        <v>3</v>
      </c>
      <c r="C1452" s="5">
        <f t="shared" si="319"/>
        <v>2023</v>
      </c>
      <c r="D1452" s="5" t="s">
        <v>1318</v>
      </c>
      <c r="E1452" s="5" t="str">
        <f>VLOOKUP(F1452,'Set up'!$A$2:$C$70,2,FALSE)</f>
        <v>C00000021</v>
      </c>
      <c r="F1452" s="1" t="s">
        <v>491</v>
      </c>
      <c r="G1452" s="89" t="s">
        <v>716</v>
      </c>
      <c r="H1452" s="5">
        <v>1</v>
      </c>
      <c r="I1452" s="5" t="str">
        <f>VLOOKUP(F1452,'Set up'!$A$2:$C$70,3,FALSE)</f>
        <v>Cash</v>
      </c>
      <c r="J1452" s="5">
        <f>VLOOKUP(F1452,'Set up'!$A$2:$D$70,4,FALSE)</f>
        <v>0</v>
      </c>
      <c r="K1452" s="4">
        <f t="shared" si="320"/>
        <v>44991</v>
      </c>
      <c r="L1452" s="5">
        <f t="shared" si="321"/>
        <v>3</v>
      </c>
      <c r="M1452" s="5">
        <f t="shared" si="322"/>
        <v>2023</v>
      </c>
      <c r="N1452" s="6">
        <v>1870</v>
      </c>
      <c r="O1452" s="6">
        <f t="shared" si="333"/>
        <v>-1870</v>
      </c>
      <c r="P1452" s="6">
        <f t="shared" si="329"/>
        <v>0</v>
      </c>
      <c r="Q1452" s="7">
        <f t="shared" si="323"/>
        <v>2711856.45</v>
      </c>
      <c r="R1452" s="44" t="str">
        <f>VLOOKUP(F1452,'Set up'!$A$2:$E$70,5,FALSE)</f>
        <v>PD Chq</v>
      </c>
      <c r="S1452" s="1" t="s">
        <v>1780</v>
      </c>
    </row>
    <row r="1453" spans="1:19" x14ac:dyDescent="0.3">
      <c r="A1453" s="4" t="s">
        <v>1317</v>
      </c>
      <c r="B1453" s="5">
        <f t="shared" si="318"/>
        <v>3</v>
      </c>
      <c r="C1453" s="5">
        <f t="shared" si="319"/>
        <v>2023</v>
      </c>
      <c r="D1453" s="5" t="s">
        <v>1318</v>
      </c>
      <c r="E1453" s="5" t="str">
        <f>VLOOKUP(F1453,'Set up'!$A$2:$C$70,2,FALSE)</f>
        <v>C00000021</v>
      </c>
      <c r="F1453" s="1" t="s">
        <v>491</v>
      </c>
      <c r="G1453" s="89" t="s">
        <v>654</v>
      </c>
      <c r="H1453" s="5">
        <v>2</v>
      </c>
      <c r="I1453" s="5" t="str">
        <f>VLOOKUP(F1453,'Set up'!$A$2:$C$70,3,FALSE)</f>
        <v>Cash</v>
      </c>
      <c r="J1453" s="5">
        <f>VLOOKUP(F1453,'Set up'!$A$2:$D$70,4,FALSE)</f>
        <v>0</v>
      </c>
      <c r="K1453" s="4">
        <f t="shared" si="320"/>
        <v>44991</v>
      </c>
      <c r="L1453" s="5">
        <f t="shared" si="321"/>
        <v>3</v>
      </c>
      <c r="M1453" s="5">
        <f t="shared" si="322"/>
        <v>2023</v>
      </c>
      <c r="N1453" s="6">
        <v>510</v>
      </c>
      <c r="O1453" s="6">
        <f t="shared" si="333"/>
        <v>-510</v>
      </c>
      <c r="P1453" s="6">
        <f t="shared" si="329"/>
        <v>0</v>
      </c>
      <c r="Q1453" s="7">
        <f t="shared" si="323"/>
        <v>2712366.45</v>
      </c>
      <c r="R1453" s="44" t="str">
        <f>VLOOKUP(F1453,'Set up'!$A$2:$E$70,5,FALSE)</f>
        <v>PD Chq</v>
      </c>
      <c r="S1453" s="1" t="s">
        <v>1780</v>
      </c>
    </row>
    <row r="1454" spans="1:19" x14ac:dyDescent="0.3">
      <c r="A1454" s="4" t="s">
        <v>1317</v>
      </c>
      <c r="B1454" s="5">
        <f t="shared" si="318"/>
        <v>3</v>
      </c>
      <c r="C1454" s="5">
        <f t="shared" si="319"/>
        <v>2023</v>
      </c>
      <c r="D1454" s="5" t="s">
        <v>1318</v>
      </c>
      <c r="E1454" s="5" t="str">
        <f>VLOOKUP(F1454,'Set up'!$A$2:$C$70,2,FALSE)</f>
        <v>C00000021</v>
      </c>
      <c r="F1454" s="1" t="s">
        <v>491</v>
      </c>
      <c r="G1454" s="89" t="s">
        <v>666</v>
      </c>
      <c r="H1454" s="5">
        <v>1</v>
      </c>
      <c r="I1454" s="5" t="str">
        <f>VLOOKUP(F1454,'Set up'!$A$2:$C$70,3,FALSE)</f>
        <v>Cash</v>
      </c>
      <c r="J1454" s="5">
        <f>VLOOKUP(F1454,'Set up'!$A$2:$D$70,4,FALSE)</f>
        <v>0</v>
      </c>
      <c r="K1454" s="4">
        <f t="shared" si="320"/>
        <v>44991</v>
      </c>
      <c r="L1454" s="5">
        <f t="shared" si="321"/>
        <v>3</v>
      </c>
      <c r="M1454" s="5">
        <f t="shared" si="322"/>
        <v>2023</v>
      </c>
      <c r="N1454" s="6">
        <v>95</v>
      </c>
      <c r="O1454" s="6">
        <f t="shared" si="333"/>
        <v>-95</v>
      </c>
      <c r="P1454" s="6">
        <f t="shared" si="329"/>
        <v>0</v>
      </c>
      <c r="Q1454" s="7">
        <f t="shared" si="323"/>
        <v>2712461.45</v>
      </c>
      <c r="R1454" s="44" t="str">
        <f>VLOOKUP(F1454,'Set up'!$A$2:$E$70,5,FALSE)</f>
        <v>PD Chq</v>
      </c>
      <c r="S1454" s="1" t="s">
        <v>1780</v>
      </c>
    </row>
    <row r="1455" spans="1:19" x14ac:dyDescent="0.3">
      <c r="A1455" s="4" t="s">
        <v>1321</v>
      </c>
      <c r="B1455" s="5">
        <f t="shared" si="318"/>
        <v>3</v>
      </c>
      <c r="C1455" s="5">
        <f t="shared" si="319"/>
        <v>2023</v>
      </c>
      <c r="D1455" s="5" t="s">
        <v>1319</v>
      </c>
      <c r="E1455" s="5" t="str">
        <f>VLOOKUP(F1455,'Set up'!$A$2:$C$70,2,FALSE)</f>
        <v>C00000019</v>
      </c>
      <c r="F1455" s="1" t="s">
        <v>400</v>
      </c>
      <c r="G1455" s="89" t="s">
        <v>719</v>
      </c>
      <c r="H1455" s="5">
        <v>2</v>
      </c>
      <c r="I1455" s="5" t="str">
        <f>VLOOKUP(F1455,'Set up'!$A$2:$C$70,3,FALSE)</f>
        <v>Cash</v>
      </c>
      <c r="J1455" s="5">
        <f>VLOOKUP(F1455,'Set up'!$A$2:$D$70,4,FALSE)</f>
        <v>0</v>
      </c>
      <c r="K1455" s="4">
        <f t="shared" si="320"/>
        <v>44992</v>
      </c>
      <c r="L1455" s="5">
        <f t="shared" si="321"/>
        <v>3</v>
      </c>
      <c r="M1455" s="5">
        <f t="shared" si="322"/>
        <v>2023</v>
      </c>
      <c r="N1455" s="6">
        <v>3564</v>
      </c>
      <c r="O1455" s="6">
        <f>-718.7-1000-1845.3</f>
        <v>-3564</v>
      </c>
      <c r="P1455" s="6">
        <f t="shared" si="329"/>
        <v>0</v>
      </c>
      <c r="Q1455" s="7">
        <f t="shared" si="323"/>
        <v>2716025.45</v>
      </c>
      <c r="R1455" s="44" t="str">
        <f>VLOOKUP(F1455,'Set up'!$A$2:$E$70,5,FALSE)</f>
        <v>Trsf</v>
      </c>
      <c r="S1455" s="1" t="s">
        <v>1669</v>
      </c>
    </row>
    <row r="1456" spans="1:19" x14ac:dyDescent="0.3">
      <c r="A1456" s="4" t="s">
        <v>1321</v>
      </c>
      <c r="B1456" s="5">
        <f t="shared" si="318"/>
        <v>3</v>
      </c>
      <c r="C1456" s="5">
        <f t="shared" si="319"/>
        <v>2023</v>
      </c>
      <c r="D1456" s="5" t="s">
        <v>1319</v>
      </c>
      <c r="E1456" s="5" t="str">
        <f>VLOOKUP(F1456,'Set up'!$A$2:$C$70,2,FALSE)</f>
        <v>C00000019</v>
      </c>
      <c r="F1456" s="1" t="s">
        <v>400</v>
      </c>
      <c r="G1456" s="89" t="s">
        <v>707</v>
      </c>
      <c r="H1456" s="5">
        <v>2</v>
      </c>
      <c r="I1456" s="5" t="str">
        <f>VLOOKUP(F1456,'Set up'!$A$2:$C$70,3,FALSE)</f>
        <v>Cash</v>
      </c>
      <c r="J1456" s="5">
        <f>VLOOKUP(F1456,'Set up'!$A$2:$D$70,4,FALSE)</f>
        <v>0</v>
      </c>
      <c r="K1456" s="4">
        <f t="shared" si="320"/>
        <v>44992</v>
      </c>
      <c r="L1456" s="5">
        <f t="shared" si="321"/>
        <v>3</v>
      </c>
      <c r="M1456" s="5">
        <f t="shared" si="322"/>
        <v>2023</v>
      </c>
      <c r="N1456" s="6">
        <v>842.4</v>
      </c>
      <c r="O1456" s="6">
        <f>-154.7-500-187.7</f>
        <v>-842.40000000000009</v>
      </c>
      <c r="P1456" s="6">
        <f t="shared" si="329"/>
        <v>-1.1368683772161603E-13</v>
      </c>
      <c r="Q1456" s="7">
        <f t="shared" si="323"/>
        <v>2716867.85</v>
      </c>
      <c r="R1456" s="44" t="str">
        <f>VLOOKUP(F1456,'Set up'!$A$2:$E$70,5,FALSE)</f>
        <v>Trsf</v>
      </c>
      <c r="S1456" s="1" t="s">
        <v>1769</v>
      </c>
    </row>
    <row r="1457" spans="1:19" x14ac:dyDescent="0.3">
      <c r="A1457" s="4" t="s">
        <v>1324</v>
      </c>
      <c r="B1457" s="5">
        <f t="shared" si="318"/>
        <v>3</v>
      </c>
      <c r="C1457" s="5">
        <f t="shared" si="319"/>
        <v>2023</v>
      </c>
      <c r="D1457" s="5" t="s">
        <v>1320</v>
      </c>
      <c r="E1457" s="5" t="str">
        <f>VLOOKUP(F1457,'Set up'!$A$2:$C$70,2,FALSE)</f>
        <v>C00000019</v>
      </c>
      <c r="F1457" s="1" t="s">
        <v>400</v>
      </c>
      <c r="G1457" s="89" t="s">
        <v>791</v>
      </c>
      <c r="H1457" s="5">
        <v>5</v>
      </c>
      <c r="I1457" s="5" t="str">
        <f>VLOOKUP(F1457,'Set up'!$A$2:$C$70,3,FALSE)</f>
        <v>Cash</v>
      </c>
      <c r="J1457" s="5">
        <f>VLOOKUP(F1457,'Set up'!$A$2:$D$70,4,FALSE)</f>
        <v>0</v>
      </c>
      <c r="K1457" s="4">
        <f t="shared" si="320"/>
        <v>44993</v>
      </c>
      <c r="L1457" s="5">
        <f t="shared" si="321"/>
        <v>3</v>
      </c>
      <c r="M1457" s="5">
        <f t="shared" si="322"/>
        <v>2023</v>
      </c>
      <c r="N1457" s="6">
        <v>312.5</v>
      </c>
      <c r="O1457" s="6">
        <f t="shared" ref="O1457:O1460" si="334">-N1457</f>
        <v>-312.5</v>
      </c>
      <c r="P1457" s="6">
        <f t="shared" si="329"/>
        <v>0</v>
      </c>
      <c r="Q1457" s="7">
        <f t="shared" si="323"/>
        <v>2717180.35</v>
      </c>
      <c r="R1457" s="44" t="str">
        <f>VLOOKUP(F1457,'Set up'!$A$2:$E$70,5,FALSE)</f>
        <v>Trsf</v>
      </c>
      <c r="S1457" s="1" t="s">
        <v>1770</v>
      </c>
    </row>
    <row r="1458" spans="1:19" x14ac:dyDescent="0.3">
      <c r="A1458" s="4" t="s">
        <v>1324</v>
      </c>
      <c r="B1458" s="5">
        <f t="shared" si="318"/>
        <v>3</v>
      </c>
      <c r="C1458" s="5">
        <f t="shared" si="319"/>
        <v>2023</v>
      </c>
      <c r="D1458" s="5" t="s">
        <v>1320</v>
      </c>
      <c r="E1458" s="5" t="str">
        <f>VLOOKUP(F1458,'Set up'!$A$2:$C$70,2,FALSE)</f>
        <v>C00000019</v>
      </c>
      <c r="F1458" s="1" t="s">
        <v>400</v>
      </c>
      <c r="G1458" s="89" t="s">
        <v>1322</v>
      </c>
      <c r="H1458" s="5">
        <v>1</v>
      </c>
      <c r="I1458" s="5" t="str">
        <f>VLOOKUP(F1458,'Set up'!$A$2:$C$70,3,FALSE)</f>
        <v>Cash</v>
      </c>
      <c r="J1458" s="5">
        <f>VLOOKUP(F1458,'Set up'!$A$2:$D$70,4,FALSE)</f>
        <v>0</v>
      </c>
      <c r="K1458" s="4">
        <f t="shared" si="320"/>
        <v>44993</v>
      </c>
      <c r="L1458" s="5">
        <f t="shared" si="321"/>
        <v>3</v>
      </c>
      <c r="M1458" s="5">
        <f t="shared" si="322"/>
        <v>2023</v>
      </c>
      <c r="N1458" s="6">
        <v>625</v>
      </c>
      <c r="O1458" s="6">
        <f>-499.8-125.2</f>
        <v>-625</v>
      </c>
      <c r="P1458" s="6">
        <f t="shared" si="329"/>
        <v>0</v>
      </c>
      <c r="Q1458" s="7">
        <f t="shared" si="323"/>
        <v>2717805.35</v>
      </c>
      <c r="R1458" s="44" t="str">
        <f>VLOOKUP(F1458,'Set up'!$A$2:$E$70,5,FALSE)</f>
        <v>Trsf</v>
      </c>
      <c r="S1458" s="1" t="s">
        <v>1771</v>
      </c>
    </row>
    <row r="1459" spans="1:19" x14ac:dyDescent="0.3">
      <c r="A1459" s="4" t="s">
        <v>1324</v>
      </c>
      <c r="B1459" s="5">
        <f t="shared" si="318"/>
        <v>3</v>
      </c>
      <c r="C1459" s="5">
        <f t="shared" si="319"/>
        <v>2023</v>
      </c>
      <c r="D1459" s="5" t="s">
        <v>1320</v>
      </c>
      <c r="E1459" s="5" t="str">
        <f>VLOOKUP(F1459,'Set up'!$A$2:$C$70,2,FALSE)</f>
        <v>C00000019</v>
      </c>
      <c r="F1459" s="1" t="s">
        <v>400</v>
      </c>
      <c r="G1459" s="89" t="s">
        <v>1323</v>
      </c>
      <c r="H1459" s="5">
        <v>1</v>
      </c>
      <c r="I1459" s="5" t="str">
        <f>VLOOKUP(F1459,'Set up'!$A$2:$C$70,3,FALSE)</f>
        <v>Cash</v>
      </c>
      <c r="J1459" s="5">
        <f>VLOOKUP(F1459,'Set up'!$A$2:$D$70,4,FALSE)</f>
        <v>0</v>
      </c>
      <c r="K1459" s="4">
        <f t="shared" si="320"/>
        <v>44993</v>
      </c>
      <c r="L1459" s="5">
        <f t="shared" si="321"/>
        <v>3</v>
      </c>
      <c r="M1459" s="5">
        <f t="shared" si="322"/>
        <v>2023</v>
      </c>
      <c r="N1459" s="6">
        <v>38</v>
      </c>
      <c r="O1459" s="6">
        <f t="shared" si="334"/>
        <v>-38</v>
      </c>
      <c r="P1459" s="6">
        <f t="shared" si="329"/>
        <v>0</v>
      </c>
      <c r="Q1459" s="7">
        <f t="shared" si="323"/>
        <v>2717843.35</v>
      </c>
      <c r="R1459" s="44" t="str">
        <f>VLOOKUP(F1459,'Set up'!$A$2:$E$70,5,FALSE)</f>
        <v>Trsf</v>
      </c>
      <c r="S1459" s="1" t="s">
        <v>1772</v>
      </c>
    </row>
    <row r="1460" spans="1:19" x14ac:dyDescent="0.3">
      <c r="A1460" s="4" t="s">
        <v>1324</v>
      </c>
      <c r="B1460" s="5">
        <f t="shared" si="318"/>
        <v>3</v>
      </c>
      <c r="C1460" s="5">
        <f t="shared" si="319"/>
        <v>2023</v>
      </c>
      <c r="D1460" s="5" t="s">
        <v>1320</v>
      </c>
      <c r="E1460" s="5" t="str">
        <f>VLOOKUP(F1460,'Set up'!$A$2:$C$70,2,FALSE)</f>
        <v>C00000019</v>
      </c>
      <c r="F1460" s="1" t="s">
        <v>400</v>
      </c>
      <c r="G1460" s="89" t="s">
        <v>1118</v>
      </c>
      <c r="H1460" s="5">
        <v>1</v>
      </c>
      <c r="I1460" s="5" t="str">
        <f>VLOOKUP(F1460,'Set up'!$A$2:$C$70,3,FALSE)</f>
        <v>Cash</v>
      </c>
      <c r="J1460" s="5">
        <f>VLOOKUP(F1460,'Set up'!$A$2:$D$70,4,FALSE)</f>
        <v>0</v>
      </c>
      <c r="K1460" s="4">
        <f t="shared" si="320"/>
        <v>44993</v>
      </c>
      <c r="L1460" s="5">
        <f t="shared" si="321"/>
        <v>3</v>
      </c>
      <c r="M1460" s="5">
        <f t="shared" si="322"/>
        <v>2023</v>
      </c>
      <c r="N1460" s="6">
        <v>45</v>
      </c>
      <c r="O1460" s="6">
        <f t="shared" si="334"/>
        <v>-45</v>
      </c>
      <c r="P1460" s="6">
        <f t="shared" si="329"/>
        <v>0</v>
      </c>
      <c r="Q1460" s="7">
        <f t="shared" si="323"/>
        <v>2717888.35</v>
      </c>
      <c r="R1460" s="44" t="str">
        <f>VLOOKUP(F1460,'Set up'!$A$2:$E$70,5,FALSE)</f>
        <v>Trsf</v>
      </c>
      <c r="S1460" s="1" t="s">
        <v>1773</v>
      </c>
    </row>
    <row r="1461" spans="1:19" x14ac:dyDescent="0.3">
      <c r="A1461" s="4" t="s">
        <v>1330</v>
      </c>
      <c r="B1461" s="5">
        <f t="shared" si="318"/>
        <v>3</v>
      </c>
      <c r="C1461" s="5">
        <f t="shared" si="319"/>
        <v>2023</v>
      </c>
      <c r="D1461" s="5" t="s">
        <v>1329</v>
      </c>
      <c r="E1461" s="5" t="str">
        <f>VLOOKUP(F1461,'Set up'!$A$2:$C$70,2,FALSE)</f>
        <v>C00000014</v>
      </c>
      <c r="F1461" s="1" t="s">
        <v>262</v>
      </c>
      <c r="G1461" s="89" t="s">
        <v>303</v>
      </c>
      <c r="H1461" s="5">
        <v>1</v>
      </c>
      <c r="I1461" s="5" t="str">
        <f>VLOOKUP(F1461,'Set up'!$A$2:$C$70,3,FALSE)</f>
        <v>Cash</v>
      </c>
      <c r="J1461" s="5">
        <f>VLOOKUP(F1461,'Set up'!$A$2:$D$70,4,FALSE)</f>
        <v>0</v>
      </c>
      <c r="K1461" s="4">
        <f t="shared" si="320"/>
        <v>44995</v>
      </c>
      <c r="L1461" s="5">
        <f t="shared" si="321"/>
        <v>3</v>
      </c>
      <c r="M1461" s="5">
        <f t="shared" si="322"/>
        <v>2023</v>
      </c>
      <c r="N1461" s="6">
        <v>1804</v>
      </c>
      <c r="O1461" s="6">
        <f t="shared" ref="O1461:O1468" si="335">-N1461</f>
        <v>-1804</v>
      </c>
      <c r="P1461" s="6">
        <f t="shared" si="329"/>
        <v>0</v>
      </c>
      <c r="Q1461" s="7">
        <f t="shared" si="323"/>
        <v>2719692.35</v>
      </c>
      <c r="R1461" s="44" t="str">
        <f>VLOOKUP(F1461,'Set up'!$A$2:$E$70,5,FALSE)</f>
        <v>Cash</v>
      </c>
      <c r="S1461" s="1" t="s">
        <v>1371</v>
      </c>
    </row>
    <row r="1462" spans="1:19" x14ac:dyDescent="0.3">
      <c r="A1462" s="4" t="s">
        <v>1330</v>
      </c>
      <c r="B1462" s="5">
        <f t="shared" si="318"/>
        <v>3</v>
      </c>
      <c r="C1462" s="5">
        <f t="shared" si="319"/>
        <v>2023</v>
      </c>
      <c r="D1462" s="5" t="s">
        <v>1329</v>
      </c>
      <c r="E1462" s="5" t="str">
        <f>VLOOKUP(F1462,'Set up'!$A$2:$C$70,2,FALSE)</f>
        <v>C00000014</v>
      </c>
      <c r="F1462" s="1" t="s">
        <v>262</v>
      </c>
      <c r="G1462" s="89" t="s">
        <v>1140</v>
      </c>
      <c r="H1462" s="5">
        <v>1</v>
      </c>
      <c r="I1462" s="5" t="str">
        <f>VLOOKUP(F1462,'Set up'!$A$2:$C$70,3,FALSE)</f>
        <v>Cash</v>
      </c>
      <c r="J1462" s="5">
        <f>VLOOKUP(F1462,'Set up'!$A$2:$D$70,4,FALSE)</f>
        <v>0</v>
      </c>
      <c r="K1462" s="4">
        <f t="shared" si="320"/>
        <v>44995</v>
      </c>
      <c r="L1462" s="5">
        <f t="shared" si="321"/>
        <v>3</v>
      </c>
      <c r="M1462" s="5">
        <f t="shared" si="322"/>
        <v>2023</v>
      </c>
      <c r="N1462" s="6">
        <v>237</v>
      </c>
      <c r="O1462" s="6">
        <f t="shared" si="335"/>
        <v>-237</v>
      </c>
      <c r="P1462" s="6">
        <f t="shared" si="329"/>
        <v>0</v>
      </c>
      <c r="Q1462" s="7">
        <f t="shared" si="323"/>
        <v>2719929.35</v>
      </c>
      <c r="R1462" s="44" t="str">
        <f>VLOOKUP(F1462,'Set up'!$A$2:$E$70,5,FALSE)</f>
        <v>Cash</v>
      </c>
      <c r="S1462" s="1" t="s">
        <v>1371</v>
      </c>
    </row>
    <row r="1463" spans="1:19" x14ac:dyDescent="0.3">
      <c r="A1463" s="4" t="s">
        <v>1330</v>
      </c>
      <c r="B1463" s="5">
        <f t="shared" si="318"/>
        <v>3</v>
      </c>
      <c r="C1463" s="5">
        <f t="shared" si="319"/>
        <v>2023</v>
      </c>
      <c r="D1463" s="5" t="s">
        <v>1329</v>
      </c>
      <c r="E1463" s="5" t="str">
        <f>VLOOKUP(F1463,'Set up'!$A$2:$C$70,2,FALSE)</f>
        <v>C00000014</v>
      </c>
      <c r="F1463" s="1" t="s">
        <v>262</v>
      </c>
      <c r="G1463" s="89" t="s">
        <v>1325</v>
      </c>
      <c r="H1463" s="5">
        <v>1</v>
      </c>
      <c r="I1463" s="5" t="str">
        <f>VLOOKUP(F1463,'Set up'!$A$2:$C$70,3,FALSE)</f>
        <v>Cash</v>
      </c>
      <c r="J1463" s="5">
        <f>VLOOKUP(F1463,'Set up'!$A$2:$D$70,4,FALSE)</f>
        <v>0</v>
      </c>
      <c r="K1463" s="4">
        <f t="shared" si="320"/>
        <v>44995</v>
      </c>
      <c r="L1463" s="5">
        <f t="shared" si="321"/>
        <v>3</v>
      </c>
      <c r="M1463" s="5">
        <f t="shared" si="322"/>
        <v>2023</v>
      </c>
      <c r="N1463" s="6">
        <v>64</v>
      </c>
      <c r="O1463" s="6">
        <f t="shared" si="335"/>
        <v>-64</v>
      </c>
      <c r="P1463" s="6">
        <f t="shared" si="329"/>
        <v>0</v>
      </c>
      <c r="Q1463" s="7">
        <f t="shared" si="323"/>
        <v>2719993.35</v>
      </c>
      <c r="R1463" s="44" t="str">
        <f>VLOOKUP(F1463,'Set up'!$A$2:$E$70,5,FALSE)</f>
        <v>Cash</v>
      </c>
      <c r="S1463" s="1" t="s">
        <v>1371</v>
      </c>
    </row>
    <row r="1464" spans="1:19" x14ac:dyDescent="0.3">
      <c r="A1464" s="4" t="s">
        <v>1330</v>
      </c>
      <c r="B1464" s="5">
        <f t="shared" si="318"/>
        <v>3</v>
      </c>
      <c r="C1464" s="5">
        <f t="shared" si="319"/>
        <v>2023</v>
      </c>
      <c r="D1464" s="5" t="s">
        <v>1329</v>
      </c>
      <c r="E1464" s="5" t="str">
        <f>VLOOKUP(F1464,'Set up'!$A$2:$C$70,2,FALSE)</f>
        <v>C00000014</v>
      </c>
      <c r="F1464" s="1" t="s">
        <v>262</v>
      </c>
      <c r="G1464" s="89" t="s">
        <v>1326</v>
      </c>
      <c r="H1464" s="5">
        <v>1</v>
      </c>
      <c r="I1464" s="5" t="str">
        <f>VLOOKUP(F1464,'Set up'!$A$2:$C$70,3,FALSE)</f>
        <v>Cash</v>
      </c>
      <c r="J1464" s="5">
        <f>VLOOKUP(F1464,'Set up'!$A$2:$D$70,4,FALSE)</f>
        <v>0</v>
      </c>
      <c r="K1464" s="4">
        <f t="shared" si="320"/>
        <v>44995</v>
      </c>
      <c r="L1464" s="5">
        <f t="shared" si="321"/>
        <v>3</v>
      </c>
      <c r="M1464" s="5">
        <f t="shared" si="322"/>
        <v>2023</v>
      </c>
      <c r="N1464" s="6">
        <v>66</v>
      </c>
      <c r="O1464" s="6">
        <f t="shared" si="335"/>
        <v>-66</v>
      </c>
      <c r="P1464" s="6">
        <f t="shared" si="329"/>
        <v>0</v>
      </c>
      <c r="Q1464" s="7">
        <f t="shared" si="323"/>
        <v>2720059.35</v>
      </c>
      <c r="R1464" s="44" t="str">
        <f>VLOOKUP(F1464,'Set up'!$A$2:$E$70,5,FALSE)</f>
        <v>Cash</v>
      </c>
      <c r="S1464" s="1" t="s">
        <v>1371</v>
      </c>
    </row>
    <row r="1465" spans="1:19" x14ac:dyDescent="0.3">
      <c r="A1465" s="4" t="s">
        <v>1330</v>
      </c>
      <c r="B1465" s="5">
        <f t="shared" si="318"/>
        <v>3</v>
      </c>
      <c r="C1465" s="5">
        <f t="shared" si="319"/>
        <v>2023</v>
      </c>
      <c r="D1465" s="5" t="s">
        <v>1329</v>
      </c>
      <c r="E1465" s="5" t="str">
        <f>VLOOKUP(F1465,'Set up'!$A$2:$C$70,2,FALSE)</f>
        <v>C00000014</v>
      </c>
      <c r="F1465" s="1" t="s">
        <v>262</v>
      </c>
      <c r="G1465" s="89" t="s">
        <v>1327</v>
      </c>
      <c r="H1465" s="5">
        <v>1</v>
      </c>
      <c r="I1465" s="5" t="str">
        <f>VLOOKUP(F1465,'Set up'!$A$2:$C$70,3,FALSE)</f>
        <v>Cash</v>
      </c>
      <c r="J1465" s="5">
        <f>VLOOKUP(F1465,'Set up'!$A$2:$D$70,4,FALSE)</f>
        <v>0</v>
      </c>
      <c r="K1465" s="4">
        <f t="shared" si="320"/>
        <v>44995</v>
      </c>
      <c r="L1465" s="5">
        <f t="shared" si="321"/>
        <v>3</v>
      </c>
      <c r="M1465" s="5">
        <f t="shared" si="322"/>
        <v>2023</v>
      </c>
      <c r="N1465" s="6">
        <v>116</v>
      </c>
      <c r="O1465" s="6">
        <f t="shared" si="335"/>
        <v>-116</v>
      </c>
      <c r="P1465" s="6">
        <f t="shared" si="329"/>
        <v>0</v>
      </c>
      <c r="Q1465" s="7">
        <f t="shared" si="323"/>
        <v>2720175.35</v>
      </c>
      <c r="R1465" s="44" t="str">
        <f>VLOOKUP(F1465,'Set up'!$A$2:$E$70,5,FALSE)</f>
        <v>Cash</v>
      </c>
      <c r="S1465" s="1" t="s">
        <v>1371</v>
      </c>
    </row>
    <row r="1466" spans="1:19" x14ac:dyDescent="0.3">
      <c r="A1466" s="4" t="s">
        <v>1330</v>
      </c>
      <c r="B1466" s="5">
        <f t="shared" si="318"/>
        <v>3</v>
      </c>
      <c r="C1466" s="5">
        <f t="shared" si="319"/>
        <v>2023</v>
      </c>
      <c r="D1466" s="5" t="s">
        <v>1329</v>
      </c>
      <c r="E1466" s="5" t="str">
        <f>VLOOKUP(F1466,'Set up'!$A$2:$C$70,2,FALSE)</f>
        <v>C00000014</v>
      </c>
      <c r="F1466" s="1" t="s">
        <v>262</v>
      </c>
      <c r="G1466" s="89" t="s">
        <v>1328</v>
      </c>
      <c r="H1466" s="5">
        <v>1</v>
      </c>
      <c r="I1466" s="5" t="str">
        <f>VLOOKUP(F1466,'Set up'!$A$2:$C$70,3,FALSE)</f>
        <v>Cash</v>
      </c>
      <c r="J1466" s="5">
        <f>VLOOKUP(F1466,'Set up'!$A$2:$D$70,4,FALSE)</f>
        <v>0</v>
      </c>
      <c r="K1466" s="4">
        <f t="shared" si="320"/>
        <v>44995</v>
      </c>
      <c r="L1466" s="5">
        <f t="shared" si="321"/>
        <v>3</v>
      </c>
      <c r="M1466" s="5">
        <f t="shared" si="322"/>
        <v>2023</v>
      </c>
      <c r="N1466" s="6">
        <v>258</v>
      </c>
      <c r="O1466" s="6">
        <f t="shared" si="335"/>
        <v>-258</v>
      </c>
      <c r="P1466" s="6">
        <f t="shared" si="329"/>
        <v>0</v>
      </c>
      <c r="Q1466" s="7">
        <f t="shared" si="323"/>
        <v>2720433.35</v>
      </c>
      <c r="R1466" s="44" t="str">
        <f>VLOOKUP(F1466,'Set up'!$A$2:$E$70,5,FALSE)</f>
        <v>Cash</v>
      </c>
      <c r="S1466" s="1" t="s">
        <v>1371</v>
      </c>
    </row>
    <row r="1467" spans="1:19" x14ac:dyDescent="0.3">
      <c r="A1467" s="4" t="s">
        <v>1332</v>
      </c>
      <c r="B1467" s="5">
        <f t="shared" si="318"/>
        <v>3</v>
      </c>
      <c r="C1467" s="5">
        <f t="shared" si="319"/>
        <v>2023</v>
      </c>
      <c r="D1467" s="5" t="s">
        <v>1331</v>
      </c>
      <c r="E1467" s="5" t="str">
        <f>VLOOKUP(F1467,'Set up'!$A$2:$C$70,2,FALSE)</f>
        <v>C00000020</v>
      </c>
      <c r="F1467" s="1" t="s">
        <v>409</v>
      </c>
      <c r="G1467" s="89" t="s">
        <v>666</v>
      </c>
      <c r="H1467" s="5">
        <v>1</v>
      </c>
      <c r="I1467" s="5" t="str">
        <f>VLOOKUP(F1467,'Set up'!$A$2:$C$70,3,FALSE)</f>
        <v>Cash</v>
      </c>
      <c r="J1467" s="5">
        <f>VLOOKUP(F1467,'Set up'!$A$2:$D$70,4,FALSE)</f>
        <v>0</v>
      </c>
      <c r="K1467" s="4">
        <f t="shared" si="320"/>
        <v>44996</v>
      </c>
      <c r="L1467" s="5">
        <f t="shared" si="321"/>
        <v>3</v>
      </c>
      <c r="M1467" s="5">
        <f t="shared" si="322"/>
        <v>2023</v>
      </c>
      <c r="N1467" s="6">
        <v>95</v>
      </c>
      <c r="O1467" s="6">
        <f t="shared" si="335"/>
        <v>-95</v>
      </c>
      <c r="P1467" s="6">
        <f t="shared" si="329"/>
        <v>0</v>
      </c>
      <c r="Q1467" s="7">
        <f t="shared" si="323"/>
        <v>2720528.35</v>
      </c>
      <c r="R1467" s="44" t="str">
        <f>VLOOKUP(F1467,'Set up'!$A$2:$E$70,5,FALSE)</f>
        <v>Trsf</v>
      </c>
      <c r="S1467" s="1" t="s">
        <v>2238</v>
      </c>
    </row>
    <row r="1468" spans="1:19" x14ac:dyDescent="0.3">
      <c r="A1468" s="4" t="s">
        <v>1332</v>
      </c>
      <c r="B1468" s="5">
        <f t="shared" si="318"/>
        <v>3</v>
      </c>
      <c r="C1468" s="5">
        <f t="shared" si="319"/>
        <v>2023</v>
      </c>
      <c r="D1468" s="5" t="s">
        <v>1331</v>
      </c>
      <c r="E1468" s="5" t="str">
        <f>VLOOKUP(F1468,'Set up'!$A$2:$C$70,2,FALSE)</f>
        <v>C00000020</v>
      </c>
      <c r="F1468" s="1" t="s">
        <v>409</v>
      </c>
      <c r="G1468" s="89" t="s">
        <v>46</v>
      </c>
      <c r="H1468" s="5">
        <v>1</v>
      </c>
      <c r="I1468" s="5" t="str">
        <f>VLOOKUP(F1468,'Set up'!$A$2:$C$70,3,FALSE)</f>
        <v>Cash</v>
      </c>
      <c r="J1468" s="5">
        <f>VLOOKUP(F1468,'Set up'!$A$2:$D$70,4,FALSE)</f>
        <v>0</v>
      </c>
      <c r="K1468" s="4">
        <f t="shared" si="320"/>
        <v>44996</v>
      </c>
      <c r="L1468" s="5">
        <f t="shared" si="321"/>
        <v>3</v>
      </c>
      <c r="M1468" s="5">
        <f t="shared" si="322"/>
        <v>2023</v>
      </c>
      <c r="N1468" s="6">
        <v>105</v>
      </c>
      <c r="O1468" s="6">
        <f t="shared" si="335"/>
        <v>-105</v>
      </c>
      <c r="P1468" s="6">
        <f t="shared" si="329"/>
        <v>0</v>
      </c>
      <c r="Q1468" s="7">
        <f t="shared" si="323"/>
        <v>2720633.35</v>
      </c>
      <c r="R1468" s="44" t="str">
        <f>VLOOKUP(F1468,'Set up'!$A$2:$E$70,5,FALSE)</f>
        <v>Trsf</v>
      </c>
      <c r="S1468" s="1" t="s">
        <v>2239</v>
      </c>
    </row>
    <row r="1469" spans="1:19" x14ac:dyDescent="0.3">
      <c r="A1469" s="4" t="s">
        <v>1334</v>
      </c>
      <c r="B1469" s="5">
        <f t="shared" si="318"/>
        <v>3</v>
      </c>
      <c r="C1469" s="5">
        <f t="shared" si="319"/>
        <v>2023</v>
      </c>
      <c r="D1469" s="5" t="s">
        <v>1333</v>
      </c>
      <c r="E1469" s="5" t="str">
        <f>VLOOKUP(F1469,'Set up'!$A$2:$C$70,2,FALSE)</f>
        <v>C00000010</v>
      </c>
      <c r="F1469" s="1" t="s">
        <v>62</v>
      </c>
      <c r="G1469" s="89" t="s">
        <v>1178</v>
      </c>
      <c r="H1469" s="5">
        <v>6</v>
      </c>
      <c r="I1469" s="5">
        <f>VLOOKUP(F1469,'Set up'!$A$2:$C$70,3,FALSE)</f>
        <v>120</v>
      </c>
      <c r="J1469" s="5">
        <f>VLOOKUP(F1469,'Set up'!$A$2:$D$70,4,FALSE)</f>
        <v>120</v>
      </c>
      <c r="K1469" s="4">
        <f t="shared" si="320"/>
        <v>45119</v>
      </c>
      <c r="L1469" s="5">
        <f t="shared" si="321"/>
        <v>7</v>
      </c>
      <c r="M1469" s="5">
        <f t="shared" si="322"/>
        <v>2023</v>
      </c>
      <c r="N1469" s="6">
        <v>9768</v>
      </c>
      <c r="O1469" s="6">
        <f t="shared" ref="O1469:O1476" si="336">-N1469</f>
        <v>-9768</v>
      </c>
      <c r="P1469" s="6">
        <f t="shared" si="329"/>
        <v>0</v>
      </c>
      <c r="Q1469" s="7">
        <f t="shared" si="323"/>
        <v>2730401.35</v>
      </c>
      <c r="R1469" s="44" t="str">
        <f>VLOOKUP(F1469,'Set up'!$A$2:$E$70,5,FALSE)</f>
        <v>Trsf</v>
      </c>
      <c r="S1469" s="1" t="s">
        <v>1694</v>
      </c>
    </row>
    <row r="1470" spans="1:19" x14ac:dyDescent="0.3">
      <c r="A1470" s="4" t="s">
        <v>1334</v>
      </c>
      <c r="B1470" s="5">
        <f t="shared" si="318"/>
        <v>3</v>
      </c>
      <c r="C1470" s="5">
        <f t="shared" si="319"/>
        <v>2023</v>
      </c>
      <c r="D1470" s="5" t="s">
        <v>1333</v>
      </c>
      <c r="E1470" s="5" t="str">
        <f>VLOOKUP(F1470,'Set up'!$A$2:$C$70,2,FALSE)</f>
        <v>C00000010</v>
      </c>
      <c r="F1470" s="1" t="s">
        <v>62</v>
      </c>
      <c r="G1470" s="89" t="s">
        <v>1252</v>
      </c>
      <c r="H1470" s="5">
        <v>10</v>
      </c>
      <c r="I1470" s="5">
        <f>VLOOKUP(F1470,'Set up'!$A$2:$C$70,3,FALSE)</f>
        <v>120</v>
      </c>
      <c r="J1470" s="5">
        <f>VLOOKUP(F1470,'Set up'!$A$2:$D$70,4,FALSE)</f>
        <v>120</v>
      </c>
      <c r="K1470" s="4">
        <f t="shared" si="320"/>
        <v>45119</v>
      </c>
      <c r="L1470" s="5">
        <f t="shared" si="321"/>
        <v>7</v>
      </c>
      <c r="M1470" s="5">
        <f t="shared" si="322"/>
        <v>2023</v>
      </c>
      <c r="N1470" s="6">
        <v>2070</v>
      </c>
      <c r="O1470" s="6">
        <f t="shared" si="336"/>
        <v>-2070</v>
      </c>
      <c r="P1470" s="6">
        <f t="shared" si="329"/>
        <v>0</v>
      </c>
      <c r="Q1470" s="7">
        <f t="shared" si="323"/>
        <v>2732471.35</v>
      </c>
      <c r="R1470" s="44" t="str">
        <f>VLOOKUP(F1470,'Set up'!$A$2:$E$70,5,FALSE)</f>
        <v>Trsf</v>
      </c>
      <c r="S1470" s="1" t="s">
        <v>1694</v>
      </c>
    </row>
    <row r="1471" spans="1:19" x14ac:dyDescent="0.3">
      <c r="A1471" s="4" t="s">
        <v>1334</v>
      </c>
      <c r="B1471" s="5">
        <f t="shared" si="318"/>
        <v>3</v>
      </c>
      <c r="C1471" s="5">
        <f t="shared" si="319"/>
        <v>2023</v>
      </c>
      <c r="D1471" s="5" t="s">
        <v>1333</v>
      </c>
      <c r="E1471" s="5" t="str">
        <f>VLOOKUP(F1471,'Set up'!$A$2:$C$70,2,FALSE)</f>
        <v>C00000010</v>
      </c>
      <c r="F1471" s="1" t="s">
        <v>62</v>
      </c>
      <c r="G1471" s="89" t="s">
        <v>944</v>
      </c>
      <c r="H1471" s="5">
        <v>2</v>
      </c>
      <c r="I1471" s="5">
        <f>VLOOKUP(F1471,'Set up'!$A$2:$C$70,3,FALSE)</f>
        <v>120</v>
      </c>
      <c r="J1471" s="5">
        <f>VLOOKUP(F1471,'Set up'!$A$2:$D$70,4,FALSE)</f>
        <v>120</v>
      </c>
      <c r="K1471" s="4">
        <f t="shared" si="320"/>
        <v>45119</v>
      </c>
      <c r="L1471" s="5">
        <f t="shared" si="321"/>
        <v>7</v>
      </c>
      <c r="M1471" s="5">
        <f t="shared" si="322"/>
        <v>2023</v>
      </c>
      <c r="N1471" s="6">
        <v>840</v>
      </c>
      <c r="O1471" s="6">
        <f t="shared" si="336"/>
        <v>-840</v>
      </c>
      <c r="P1471" s="6">
        <f t="shared" ref="P1471:P1489" si="337">SUM(N1471+O1471)</f>
        <v>0</v>
      </c>
      <c r="Q1471" s="7">
        <f t="shared" si="323"/>
        <v>2733311.35</v>
      </c>
      <c r="R1471" s="44" t="str">
        <f>VLOOKUP(F1471,'Set up'!$A$2:$E$70,5,FALSE)</f>
        <v>Trsf</v>
      </c>
      <c r="S1471" s="1" t="s">
        <v>1694</v>
      </c>
    </row>
    <row r="1472" spans="1:19" x14ac:dyDescent="0.3">
      <c r="A1472" s="4" t="s">
        <v>1334</v>
      </c>
      <c r="B1472" s="5">
        <f t="shared" si="318"/>
        <v>3</v>
      </c>
      <c r="C1472" s="5">
        <f t="shared" si="319"/>
        <v>2023</v>
      </c>
      <c r="D1472" s="5" t="s">
        <v>1335</v>
      </c>
      <c r="E1472" s="5" t="str">
        <f>VLOOKUP(F1472,'Set up'!$A$2:$C$70,2,FALSE)</f>
        <v>C00000020</v>
      </c>
      <c r="F1472" s="1" t="s">
        <v>409</v>
      </c>
      <c r="G1472" s="89" t="s">
        <v>1110</v>
      </c>
      <c r="H1472" s="5">
        <v>10</v>
      </c>
      <c r="I1472" s="5" t="str">
        <f>VLOOKUP(F1472,'Set up'!$A$2:$C$70,3,FALSE)</f>
        <v>Cash</v>
      </c>
      <c r="J1472" s="5">
        <f>VLOOKUP(F1472,'Set up'!$A$2:$D$70,4,FALSE)</f>
        <v>0</v>
      </c>
      <c r="K1472" s="4">
        <f t="shared" si="320"/>
        <v>44999</v>
      </c>
      <c r="L1472" s="5">
        <f t="shared" si="321"/>
        <v>3</v>
      </c>
      <c r="M1472" s="5">
        <f t="shared" si="322"/>
        <v>2023</v>
      </c>
      <c r="N1472" s="6">
        <v>625</v>
      </c>
      <c r="O1472" s="6">
        <f t="shared" si="336"/>
        <v>-625</v>
      </c>
      <c r="P1472" s="6">
        <f t="shared" si="337"/>
        <v>0</v>
      </c>
      <c r="Q1472" s="7">
        <f t="shared" si="323"/>
        <v>2733936.35</v>
      </c>
      <c r="R1472" s="44" t="str">
        <f>VLOOKUP(F1472,'Set up'!$A$2:$E$70,5,FALSE)</f>
        <v>Trsf</v>
      </c>
      <c r="S1472" s="1" t="s">
        <v>2240</v>
      </c>
    </row>
    <row r="1473" spans="1:19" x14ac:dyDescent="0.3">
      <c r="A1473" s="4" t="s">
        <v>1334</v>
      </c>
      <c r="B1473" s="5">
        <f t="shared" si="318"/>
        <v>3</v>
      </c>
      <c r="C1473" s="5">
        <f t="shared" si="319"/>
        <v>2023</v>
      </c>
      <c r="D1473" s="5" t="s">
        <v>1336</v>
      </c>
      <c r="E1473" s="5" t="str">
        <f>VLOOKUP(F1473,'Set up'!$A$2:$C$70,2,FALSE)</f>
        <v>C00000020</v>
      </c>
      <c r="F1473" s="1" t="s">
        <v>409</v>
      </c>
      <c r="G1473" s="89" t="s">
        <v>67</v>
      </c>
      <c r="H1473" s="5">
        <v>10</v>
      </c>
      <c r="I1473" s="5" t="str">
        <f>VLOOKUP(F1473,'Set up'!$A$2:$C$70,3,FALSE)</f>
        <v>Cash</v>
      </c>
      <c r="J1473" s="5">
        <f>VLOOKUP(F1473,'Set up'!$A$2:$D$70,4,FALSE)</f>
        <v>0</v>
      </c>
      <c r="K1473" s="4">
        <f t="shared" si="320"/>
        <v>44999</v>
      </c>
      <c r="L1473" s="5">
        <f t="shared" si="321"/>
        <v>3</v>
      </c>
      <c r="M1473" s="5">
        <f t="shared" si="322"/>
        <v>2023</v>
      </c>
      <c r="N1473" s="6">
        <v>17380</v>
      </c>
      <c r="O1473" s="6">
        <f>-723.4-13000-3656.6</f>
        <v>-17380</v>
      </c>
      <c r="P1473" s="6">
        <f t="shared" si="337"/>
        <v>0</v>
      </c>
      <c r="Q1473" s="7">
        <f t="shared" si="323"/>
        <v>2751316.35</v>
      </c>
      <c r="R1473" s="44" t="str">
        <f>VLOOKUP(F1473,'Set up'!$A$2:$E$70,5,FALSE)</f>
        <v>Trsf</v>
      </c>
      <c r="S1473" s="1" t="s">
        <v>2308</v>
      </c>
    </row>
    <row r="1474" spans="1:19" x14ac:dyDescent="0.3">
      <c r="A1474" s="4" t="s">
        <v>1334</v>
      </c>
      <c r="B1474" s="5">
        <f t="shared" si="318"/>
        <v>3</v>
      </c>
      <c r="C1474" s="5">
        <f t="shared" si="319"/>
        <v>2023</v>
      </c>
      <c r="D1474" s="5" t="s">
        <v>1336</v>
      </c>
      <c r="E1474" s="5" t="str">
        <f>VLOOKUP(F1474,'Set up'!$A$2:$C$70,2,FALSE)</f>
        <v>C00000020</v>
      </c>
      <c r="F1474" s="1" t="s">
        <v>409</v>
      </c>
      <c r="G1474" s="89" t="s">
        <v>654</v>
      </c>
      <c r="H1474" s="5">
        <v>28</v>
      </c>
      <c r="I1474" s="5" t="str">
        <f>VLOOKUP(F1474,'Set up'!$A$2:$C$70,3,FALSE)</f>
        <v>Cash</v>
      </c>
      <c r="J1474" s="5">
        <f>VLOOKUP(F1474,'Set up'!$A$2:$D$70,4,FALSE)</f>
        <v>0</v>
      </c>
      <c r="K1474" s="4">
        <f t="shared" si="320"/>
        <v>44999</v>
      </c>
      <c r="L1474" s="5">
        <f t="shared" si="321"/>
        <v>3</v>
      </c>
      <c r="M1474" s="5">
        <f t="shared" si="322"/>
        <v>2023</v>
      </c>
      <c r="N1474" s="6">
        <v>6384</v>
      </c>
      <c r="O1474" s="6">
        <f t="shared" si="336"/>
        <v>-6384</v>
      </c>
      <c r="P1474" s="6">
        <f t="shared" si="337"/>
        <v>0</v>
      </c>
      <c r="Q1474" s="7">
        <f t="shared" si="323"/>
        <v>2757700.35</v>
      </c>
      <c r="R1474" s="44" t="str">
        <f>VLOOKUP(F1474,'Set up'!$A$2:$E$70,5,FALSE)</f>
        <v>Trsf</v>
      </c>
      <c r="S1474" s="1" t="s">
        <v>2309</v>
      </c>
    </row>
    <row r="1475" spans="1:19" x14ac:dyDescent="0.3">
      <c r="A1475" s="4" t="s">
        <v>1334</v>
      </c>
      <c r="B1475" s="5">
        <f t="shared" ref="B1475:B1538" si="338">MONTH(A1475)</f>
        <v>3</v>
      </c>
      <c r="C1475" s="5">
        <f t="shared" ref="C1475:C1538" si="339">YEAR(A1475)</f>
        <v>2023</v>
      </c>
      <c r="D1475" s="5" t="s">
        <v>1336</v>
      </c>
      <c r="E1475" s="5" t="str">
        <f>VLOOKUP(F1475,'Set up'!$A$2:$C$70,2,FALSE)</f>
        <v>C00000020</v>
      </c>
      <c r="F1475" s="1" t="s">
        <v>409</v>
      </c>
      <c r="G1475" s="89" t="s">
        <v>778</v>
      </c>
      <c r="H1475" s="5">
        <v>12</v>
      </c>
      <c r="I1475" s="5" t="str">
        <f>VLOOKUP(F1475,'Set up'!$A$2:$C$70,3,FALSE)</f>
        <v>Cash</v>
      </c>
      <c r="J1475" s="5">
        <f>VLOOKUP(F1475,'Set up'!$A$2:$D$70,4,FALSE)</f>
        <v>0</v>
      </c>
      <c r="K1475" s="4">
        <f t="shared" ref="K1475:K1538" si="340">A1475+J1475</f>
        <v>44999</v>
      </c>
      <c r="L1475" s="5">
        <f t="shared" ref="L1475:L1538" si="341">MONTH(K1475)</f>
        <v>3</v>
      </c>
      <c r="M1475" s="5">
        <f t="shared" ref="M1475:M1538" si="342">YEAR(K1475)</f>
        <v>2023</v>
      </c>
      <c r="N1475" s="6">
        <v>3024</v>
      </c>
      <c r="O1475" s="6">
        <f t="shared" si="336"/>
        <v>-3024</v>
      </c>
      <c r="P1475" s="6">
        <f t="shared" si="337"/>
        <v>0</v>
      </c>
      <c r="Q1475" s="7">
        <f t="shared" ref="Q1475:Q1538" si="343">SUM(Q1474+N1475)</f>
        <v>2760724.35</v>
      </c>
      <c r="R1475" s="44" t="str">
        <f>VLOOKUP(F1475,'Set up'!$A$2:$E$70,5,FALSE)</f>
        <v>Trsf</v>
      </c>
      <c r="S1475" s="1" t="s">
        <v>2310</v>
      </c>
    </row>
    <row r="1476" spans="1:19" x14ac:dyDescent="0.3">
      <c r="A1476" s="4" t="s">
        <v>1334</v>
      </c>
      <c r="B1476" s="5">
        <f t="shared" si="338"/>
        <v>3</v>
      </c>
      <c r="C1476" s="5">
        <f t="shared" si="339"/>
        <v>2023</v>
      </c>
      <c r="D1476" s="5" t="s">
        <v>1336</v>
      </c>
      <c r="E1476" s="5" t="str">
        <f>VLOOKUP(F1476,'Set up'!$A$2:$C$70,2,FALSE)</f>
        <v>C00000020</v>
      </c>
      <c r="F1476" s="1" t="s">
        <v>409</v>
      </c>
      <c r="G1476" s="89" t="s">
        <v>666</v>
      </c>
      <c r="H1476" s="5">
        <v>4</v>
      </c>
      <c r="I1476" s="5" t="str">
        <f>VLOOKUP(F1476,'Set up'!$A$2:$C$70,3,FALSE)</f>
        <v>Cash</v>
      </c>
      <c r="J1476" s="5">
        <f>VLOOKUP(F1476,'Set up'!$A$2:$D$70,4,FALSE)</f>
        <v>0</v>
      </c>
      <c r="K1476" s="4">
        <f t="shared" si="340"/>
        <v>44999</v>
      </c>
      <c r="L1476" s="5">
        <f t="shared" si="341"/>
        <v>3</v>
      </c>
      <c r="M1476" s="5">
        <f t="shared" si="342"/>
        <v>2023</v>
      </c>
      <c r="N1476" s="6">
        <v>380</v>
      </c>
      <c r="O1476" s="6">
        <f t="shared" si="336"/>
        <v>-380</v>
      </c>
      <c r="P1476" s="6">
        <f t="shared" si="337"/>
        <v>0</v>
      </c>
      <c r="Q1476" s="7">
        <f t="shared" si="343"/>
        <v>2761104.35</v>
      </c>
      <c r="R1476" s="44" t="str">
        <f>VLOOKUP(F1476,'Set up'!$A$2:$E$70,5,FALSE)</f>
        <v>Trsf</v>
      </c>
      <c r="S1476" s="1" t="s">
        <v>2311</v>
      </c>
    </row>
    <row r="1477" spans="1:19" x14ac:dyDescent="0.3">
      <c r="A1477" s="4" t="s">
        <v>1334</v>
      </c>
      <c r="B1477" s="5">
        <f t="shared" si="338"/>
        <v>3</v>
      </c>
      <c r="C1477" s="5">
        <f t="shared" si="339"/>
        <v>2023</v>
      </c>
      <c r="D1477" s="5" t="s">
        <v>1336</v>
      </c>
      <c r="E1477" s="5" t="str">
        <f>VLOOKUP(F1477,'Set up'!$A$2:$C$70,2,FALSE)</f>
        <v>C00000020</v>
      </c>
      <c r="F1477" s="1" t="s">
        <v>409</v>
      </c>
      <c r="G1477" s="89" t="s">
        <v>1073</v>
      </c>
      <c r="H1477" s="5">
        <v>2</v>
      </c>
      <c r="I1477" s="5" t="str">
        <f>VLOOKUP(F1477,'Set up'!$A$2:$C$70,3,FALSE)</f>
        <v>Cash</v>
      </c>
      <c r="J1477" s="5">
        <f>VLOOKUP(F1477,'Set up'!$A$2:$D$70,4,FALSE)</f>
        <v>0</v>
      </c>
      <c r="K1477" s="4">
        <f t="shared" si="340"/>
        <v>44999</v>
      </c>
      <c r="L1477" s="5">
        <f t="shared" si="341"/>
        <v>3</v>
      </c>
      <c r="M1477" s="5">
        <f t="shared" si="342"/>
        <v>2023</v>
      </c>
      <c r="N1477" s="6">
        <v>2000</v>
      </c>
      <c r="O1477" s="6">
        <f>-1555.4-444.6</f>
        <v>-2000</v>
      </c>
      <c r="P1477" s="6">
        <f t="shared" si="337"/>
        <v>0</v>
      </c>
      <c r="Q1477" s="7">
        <f t="shared" si="343"/>
        <v>2763104.35</v>
      </c>
      <c r="R1477" s="44" t="str">
        <f>VLOOKUP(F1477,'Set up'!$A$2:$E$70,5,FALSE)</f>
        <v>Trsf</v>
      </c>
      <c r="S1477" s="1" t="s">
        <v>2312</v>
      </c>
    </row>
    <row r="1478" spans="1:19" x14ac:dyDescent="0.3">
      <c r="A1478" s="4" t="s">
        <v>1334</v>
      </c>
      <c r="B1478" s="5">
        <f t="shared" si="338"/>
        <v>3</v>
      </c>
      <c r="C1478" s="5">
        <f t="shared" si="339"/>
        <v>2023</v>
      </c>
      <c r="D1478" s="5" t="s">
        <v>1337</v>
      </c>
      <c r="E1478" s="5" t="str">
        <f>VLOOKUP(F1478,'Set up'!$A$2:$C$70,2,FALSE)</f>
        <v>C00000019</v>
      </c>
      <c r="F1478" s="1" t="s">
        <v>400</v>
      </c>
      <c r="G1478" s="89" t="s">
        <v>949</v>
      </c>
      <c r="H1478" s="5">
        <v>4</v>
      </c>
      <c r="I1478" s="5" t="str">
        <f>VLOOKUP(F1478,'Set up'!$A$2:$C$70,3,FALSE)</f>
        <v>Cash</v>
      </c>
      <c r="J1478" s="5">
        <f>VLOOKUP(F1478,'Set up'!$A$2:$D$70,4,FALSE)</f>
        <v>0</v>
      </c>
      <c r="K1478" s="4">
        <f t="shared" si="340"/>
        <v>44999</v>
      </c>
      <c r="L1478" s="5">
        <f t="shared" si="341"/>
        <v>3</v>
      </c>
      <c r="M1478" s="5">
        <f t="shared" si="342"/>
        <v>2023</v>
      </c>
      <c r="N1478" s="6">
        <v>200</v>
      </c>
      <c r="O1478" s="6">
        <f t="shared" ref="O1478:O1482" si="344">-N1478</f>
        <v>-200</v>
      </c>
      <c r="P1478" s="6">
        <f t="shared" si="337"/>
        <v>0</v>
      </c>
      <c r="Q1478" s="7">
        <f t="shared" si="343"/>
        <v>2763304.35</v>
      </c>
      <c r="R1478" s="44" t="str">
        <f>VLOOKUP(F1478,'Set up'!$A$2:$E$70,5,FALSE)</f>
        <v>Trsf</v>
      </c>
      <c r="S1478" s="1" t="s">
        <v>1774</v>
      </c>
    </row>
    <row r="1479" spans="1:19" x14ac:dyDescent="0.3">
      <c r="A1479" s="4" t="s">
        <v>1334</v>
      </c>
      <c r="B1479" s="5">
        <f t="shared" si="338"/>
        <v>3</v>
      </c>
      <c r="C1479" s="5">
        <f t="shared" si="339"/>
        <v>2023</v>
      </c>
      <c r="D1479" s="5" t="s">
        <v>1337</v>
      </c>
      <c r="E1479" s="5" t="str">
        <f>VLOOKUP(F1479,'Set up'!$A$2:$C$70,2,FALSE)</f>
        <v>C00000019</v>
      </c>
      <c r="F1479" s="1" t="s">
        <v>400</v>
      </c>
      <c r="G1479" s="89" t="s">
        <v>1132</v>
      </c>
      <c r="H1479" s="5">
        <v>1</v>
      </c>
      <c r="I1479" s="5" t="str">
        <f>VLOOKUP(F1479,'Set up'!$A$2:$C$70,3,FALSE)</f>
        <v>Cash</v>
      </c>
      <c r="J1479" s="5">
        <f>VLOOKUP(F1479,'Set up'!$A$2:$D$70,4,FALSE)</f>
        <v>0</v>
      </c>
      <c r="K1479" s="4">
        <f t="shared" si="340"/>
        <v>44999</v>
      </c>
      <c r="L1479" s="5">
        <f t="shared" si="341"/>
        <v>3</v>
      </c>
      <c r="M1479" s="5">
        <f t="shared" si="342"/>
        <v>2023</v>
      </c>
      <c r="N1479" s="6">
        <v>440</v>
      </c>
      <c r="O1479" s="6">
        <f t="shared" si="344"/>
        <v>-440</v>
      </c>
      <c r="P1479" s="6">
        <f t="shared" si="337"/>
        <v>0</v>
      </c>
      <c r="Q1479" s="7">
        <f t="shared" si="343"/>
        <v>2763744.35</v>
      </c>
      <c r="R1479" s="44" t="str">
        <f>VLOOKUP(F1479,'Set up'!$A$2:$E$70,5,FALSE)</f>
        <v>Trsf</v>
      </c>
      <c r="S1479" s="1" t="s">
        <v>1775</v>
      </c>
    </row>
    <row r="1480" spans="1:19" x14ac:dyDescent="0.3">
      <c r="A1480" s="4" t="s">
        <v>1334</v>
      </c>
      <c r="B1480" s="5">
        <f t="shared" si="338"/>
        <v>3</v>
      </c>
      <c r="C1480" s="5">
        <f t="shared" si="339"/>
        <v>2023</v>
      </c>
      <c r="D1480" s="5" t="s">
        <v>1338</v>
      </c>
      <c r="E1480" s="5" t="str">
        <f>VLOOKUP(F1480,'Set up'!$A$2:$C$70,2,FALSE)</f>
        <v>C00000009</v>
      </c>
      <c r="F1480" s="1" t="s">
        <v>58</v>
      </c>
      <c r="G1480" s="89" t="s">
        <v>95</v>
      </c>
      <c r="H1480" s="5">
        <v>2</v>
      </c>
      <c r="I1480" s="5">
        <f>VLOOKUP(F1480,'Set up'!$A$2:$C$70,3,FALSE)</f>
        <v>60</v>
      </c>
      <c r="J1480" s="5">
        <f>VLOOKUP(F1480,'Set up'!$A$2:$D$70,4,FALSE)</f>
        <v>60</v>
      </c>
      <c r="K1480" s="4">
        <f t="shared" si="340"/>
        <v>45059</v>
      </c>
      <c r="L1480" s="5">
        <f t="shared" si="341"/>
        <v>5</v>
      </c>
      <c r="M1480" s="5">
        <f t="shared" si="342"/>
        <v>2023</v>
      </c>
      <c r="N1480" s="6">
        <v>3344</v>
      </c>
      <c r="O1480" s="6">
        <f t="shared" si="344"/>
        <v>-3344</v>
      </c>
      <c r="P1480" s="6">
        <f t="shared" si="337"/>
        <v>0</v>
      </c>
      <c r="Q1480" s="7">
        <f t="shared" si="343"/>
        <v>2767088.35</v>
      </c>
      <c r="R1480" s="44" t="str">
        <f>VLOOKUP(F1480,'Set up'!$A$2:$E$70,5,FALSE)</f>
        <v>Chq</v>
      </c>
      <c r="S1480" s="1" t="s">
        <v>2088</v>
      </c>
    </row>
    <row r="1481" spans="1:19" x14ac:dyDescent="0.3">
      <c r="A1481" s="4" t="s">
        <v>1334</v>
      </c>
      <c r="B1481" s="5">
        <f t="shared" si="338"/>
        <v>3</v>
      </c>
      <c r="C1481" s="5">
        <f t="shared" si="339"/>
        <v>2023</v>
      </c>
      <c r="D1481" s="5" t="s">
        <v>1338</v>
      </c>
      <c r="E1481" s="5" t="str">
        <f>VLOOKUP(F1481,'Set up'!$A$2:$C$70,2,FALSE)</f>
        <v>C00000009</v>
      </c>
      <c r="F1481" s="1" t="s">
        <v>58</v>
      </c>
      <c r="G1481" s="89" t="s">
        <v>707</v>
      </c>
      <c r="H1481" s="5">
        <v>2</v>
      </c>
      <c r="I1481" s="5">
        <f>VLOOKUP(F1481,'Set up'!$A$2:$C$70,3,FALSE)</f>
        <v>60</v>
      </c>
      <c r="J1481" s="5">
        <f>VLOOKUP(F1481,'Set up'!$A$2:$D$70,4,FALSE)</f>
        <v>60</v>
      </c>
      <c r="K1481" s="4">
        <f t="shared" si="340"/>
        <v>45059</v>
      </c>
      <c r="L1481" s="5">
        <f t="shared" si="341"/>
        <v>5</v>
      </c>
      <c r="M1481" s="5">
        <f t="shared" si="342"/>
        <v>2023</v>
      </c>
      <c r="N1481" s="6">
        <v>745.2</v>
      </c>
      <c r="O1481" s="6">
        <f t="shared" si="344"/>
        <v>-745.2</v>
      </c>
      <c r="P1481" s="6">
        <f t="shared" si="337"/>
        <v>0</v>
      </c>
      <c r="Q1481" s="7">
        <f t="shared" si="343"/>
        <v>2767833.5500000003</v>
      </c>
      <c r="R1481" s="44" t="str">
        <f>VLOOKUP(F1481,'Set up'!$A$2:$E$70,5,FALSE)</f>
        <v>Chq</v>
      </c>
      <c r="S1481" s="1" t="s">
        <v>2088</v>
      </c>
    </row>
    <row r="1482" spans="1:19" x14ac:dyDescent="0.3">
      <c r="A1482" s="4" t="s">
        <v>1334</v>
      </c>
      <c r="B1482" s="5">
        <f t="shared" si="338"/>
        <v>3</v>
      </c>
      <c r="C1482" s="5">
        <f t="shared" si="339"/>
        <v>2023</v>
      </c>
      <c r="D1482" s="5" t="s">
        <v>1338</v>
      </c>
      <c r="E1482" s="5" t="str">
        <f>VLOOKUP(F1482,'Set up'!$A$2:$C$70,2,FALSE)</f>
        <v>C00000009</v>
      </c>
      <c r="F1482" s="1" t="s">
        <v>58</v>
      </c>
      <c r="G1482" s="89" t="s">
        <v>1007</v>
      </c>
      <c r="H1482" s="5">
        <v>1</v>
      </c>
      <c r="I1482" s="5">
        <f>VLOOKUP(F1482,'Set up'!$A$2:$C$70,3,FALSE)</f>
        <v>60</v>
      </c>
      <c r="J1482" s="5">
        <f>VLOOKUP(F1482,'Set up'!$A$2:$D$70,4,FALSE)</f>
        <v>60</v>
      </c>
      <c r="K1482" s="4">
        <f t="shared" si="340"/>
        <v>45059</v>
      </c>
      <c r="L1482" s="5">
        <f t="shared" si="341"/>
        <v>5</v>
      </c>
      <c r="M1482" s="5">
        <f t="shared" si="342"/>
        <v>2023</v>
      </c>
      <c r="N1482" s="6">
        <v>372.6</v>
      </c>
      <c r="O1482" s="6">
        <f t="shared" si="344"/>
        <v>-372.6</v>
      </c>
      <c r="P1482" s="6">
        <f t="shared" si="337"/>
        <v>0</v>
      </c>
      <c r="Q1482" s="7">
        <f t="shared" si="343"/>
        <v>2768206.1500000004</v>
      </c>
      <c r="R1482" s="44" t="str">
        <f>VLOOKUP(F1482,'Set up'!$A$2:$E$70,5,FALSE)</f>
        <v>Chq</v>
      </c>
      <c r="S1482" s="1" t="s">
        <v>2088</v>
      </c>
    </row>
    <row r="1483" spans="1:19" x14ac:dyDescent="0.3">
      <c r="A1483" s="4" t="s">
        <v>1340</v>
      </c>
      <c r="B1483" s="5">
        <f t="shared" si="338"/>
        <v>3</v>
      </c>
      <c r="C1483" s="5">
        <f t="shared" si="339"/>
        <v>2023</v>
      </c>
      <c r="D1483" s="5" t="s">
        <v>1339</v>
      </c>
      <c r="E1483" s="5" t="str">
        <f>VLOOKUP(F1483,'Set up'!$A$2:$C$70,2,FALSE)</f>
        <v>C00000021</v>
      </c>
      <c r="F1483" s="1" t="s">
        <v>491</v>
      </c>
      <c r="G1483" s="89" t="s">
        <v>716</v>
      </c>
      <c r="H1483" s="5">
        <v>1</v>
      </c>
      <c r="I1483" s="5" t="str">
        <f>VLOOKUP(F1483,'Set up'!$A$2:$C$70,3,FALSE)</f>
        <v>Cash</v>
      </c>
      <c r="J1483" s="5">
        <f>VLOOKUP(F1483,'Set up'!$A$2:$D$70,4,FALSE)</f>
        <v>0</v>
      </c>
      <c r="K1483" s="4">
        <f t="shared" si="340"/>
        <v>45001</v>
      </c>
      <c r="L1483" s="5">
        <f t="shared" si="341"/>
        <v>3</v>
      </c>
      <c r="M1483" s="5">
        <f t="shared" si="342"/>
        <v>2023</v>
      </c>
      <c r="N1483" s="6">
        <v>1870</v>
      </c>
      <c r="O1483" s="6">
        <f t="shared" ref="O1483:O1485" si="345">-N1483</f>
        <v>-1870</v>
      </c>
      <c r="P1483" s="6">
        <f t="shared" si="337"/>
        <v>0</v>
      </c>
      <c r="Q1483" s="7">
        <f t="shared" si="343"/>
        <v>2770076.1500000004</v>
      </c>
      <c r="R1483" s="44" t="str">
        <f>VLOOKUP(F1483,'Set up'!$A$2:$E$70,5,FALSE)</f>
        <v>PD Chq</v>
      </c>
      <c r="S1483" s="1" t="s">
        <v>1858</v>
      </c>
    </row>
    <row r="1484" spans="1:19" x14ac:dyDescent="0.3">
      <c r="A1484" s="4" t="s">
        <v>1340</v>
      </c>
      <c r="B1484" s="5">
        <f t="shared" si="338"/>
        <v>3</v>
      </c>
      <c r="C1484" s="5">
        <f t="shared" si="339"/>
        <v>2023</v>
      </c>
      <c r="D1484" s="5" t="s">
        <v>1339</v>
      </c>
      <c r="E1484" s="5" t="str">
        <f>VLOOKUP(F1484,'Set up'!$A$2:$C$70,2,FALSE)</f>
        <v>C00000021</v>
      </c>
      <c r="F1484" s="1" t="s">
        <v>491</v>
      </c>
      <c r="G1484" s="89" t="s">
        <v>654</v>
      </c>
      <c r="H1484" s="5">
        <v>2</v>
      </c>
      <c r="I1484" s="5" t="str">
        <f>VLOOKUP(F1484,'Set up'!$A$2:$C$70,3,FALSE)</f>
        <v>Cash</v>
      </c>
      <c r="J1484" s="5">
        <f>VLOOKUP(F1484,'Set up'!$A$2:$D$70,4,FALSE)</f>
        <v>0</v>
      </c>
      <c r="K1484" s="4">
        <f t="shared" si="340"/>
        <v>45001</v>
      </c>
      <c r="L1484" s="5">
        <f t="shared" si="341"/>
        <v>3</v>
      </c>
      <c r="M1484" s="5">
        <f t="shared" si="342"/>
        <v>2023</v>
      </c>
      <c r="N1484" s="6">
        <v>510</v>
      </c>
      <c r="O1484" s="6">
        <f t="shared" si="345"/>
        <v>-510</v>
      </c>
      <c r="P1484" s="6">
        <f t="shared" si="337"/>
        <v>0</v>
      </c>
      <c r="Q1484" s="7">
        <f t="shared" si="343"/>
        <v>2770586.1500000004</v>
      </c>
      <c r="R1484" s="44" t="str">
        <f>VLOOKUP(F1484,'Set up'!$A$2:$E$70,5,FALSE)</f>
        <v>PD Chq</v>
      </c>
      <c r="S1484" s="1" t="s">
        <v>1858</v>
      </c>
    </row>
    <row r="1485" spans="1:19" x14ac:dyDescent="0.3">
      <c r="A1485" s="4" t="s">
        <v>1340</v>
      </c>
      <c r="B1485" s="5">
        <f t="shared" si="338"/>
        <v>3</v>
      </c>
      <c r="C1485" s="5">
        <f t="shared" si="339"/>
        <v>2023</v>
      </c>
      <c r="D1485" s="5" t="s">
        <v>1339</v>
      </c>
      <c r="E1485" s="5" t="str">
        <f>VLOOKUP(F1485,'Set up'!$A$2:$C$70,2,FALSE)</f>
        <v>C00000021</v>
      </c>
      <c r="F1485" s="1" t="s">
        <v>491</v>
      </c>
      <c r="G1485" s="89" t="s">
        <v>666</v>
      </c>
      <c r="H1485" s="5">
        <v>1</v>
      </c>
      <c r="I1485" s="5" t="str">
        <f>VLOOKUP(F1485,'Set up'!$A$2:$C$70,3,FALSE)</f>
        <v>Cash</v>
      </c>
      <c r="J1485" s="5">
        <f>VLOOKUP(F1485,'Set up'!$A$2:$D$70,4,FALSE)</f>
        <v>0</v>
      </c>
      <c r="K1485" s="4">
        <f t="shared" si="340"/>
        <v>45001</v>
      </c>
      <c r="L1485" s="5">
        <f t="shared" si="341"/>
        <v>3</v>
      </c>
      <c r="M1485" s="5">
        <f t="shared" si="342"/>
        <v>2023</v>
      </c>
      <c r="N1485" s="6">
        <v>95</v>
      </c>
      <c r="O1485" s="6">
        <f t="shared" si="345"/>
        <v>-95</v>
      </c>
      <c r="P1485" s="6">
        <f t="shared" si="337"/>
        <v>0</v>
      </c>
      <c r="Q1485" s="7">
        <f t="shared" si="343"/>
        <v>2770681.1500000004</v>
      </c>
      <c r="R1485" s="44" t="str">
        <f>VLOOKUP(F1485,'Set up'!$A$2:$E$70,5,FALSE)</f>
        <v>PD Chq</v>
      </c>
      <c r="S1485" s="1" t="s">
        <v>1858</v>
      </c>
    </row>
    <row r="1486" spans="1:19" x14ac:dyDescent="0.3">
      <c r="A1486" s="4" t="s">
        <v>1340</v>
      </c>
      <c r="B1486" s="5">
        <f t="shared" si="338"/>
        <v>3</v>
      </c>
      <c r="C1486" s="5">
        <f t="shared" si="339"/>
        <v>2023</v>
      </c>
      <c r="D1486" s="5" t="s">
        <v>1341</v>
      </c>
      <c r="E1486" s="5" t="str">
        <f>VLOOKUP(F1486,'Set up'!$A$2:$C$70,2,FALSE)</f>
        <v>C00000014</v>
      </c>
      <c r="F1486" s="1" t="s">
        <v>262</v>
      </c>
      <c r="G1486" s="89" t="s">
        <v>303</v>
      </c>
      <c r="H1486" s="5">
        <v>2</v>
      </c>
      <c r="I1486" s="5" t="str">
        <f>VLOOKUP(F1486,'Set up'!$A$2:$C$70,3,FALSE)</f>
        <v>Cash</v>
      </c>
      <c r="J1486" s="5">
        <f>VLOOKUP(F1486,'Set up'!$A$2:$D$70,4,FALSE)</f>
        <v>0</v>
      </c>
      <c r="K1486" s="4">
        <f t="shared" si="340"/>
        <v>45001</v>
      </c>
      <c r="L1486" s="5">
        <f t="shared" si="341"/>
        <v>3</v>
      </c>
      <c r="M1486" s="5">
        <f t="shared" si="342"/>
        <v>2023</v>
      </c>
      <c r="N1486" s="6">
        <v>3608</v>
      </c>
      <c r="O1486" s="6">
        <f t="shared" ref="O1486:O1493" si="346">-N1486</f>
        <v>-3608</v>
      </c>
      <c r="P1486" s="6">
        <f t="shared" si="337"/>
        <v>0</v>
      </c>
      <c r="Q1486" s="7">
        <f t="shared" si="343"/>
        <v>2774289.1500000004</v>
      </c>
      <c r="R1486" s="44" t="str">
        <f>VLOOKUP(F1486,'Set up'!$A$2:$E$70,5,FALSE)</f>
        <v>Cash</v>
      </c>
      <c r="S1486" s="1" t="s">
        <v>1378</v>
      </c>
    </row>
    <row r="1487" spans="1:19" x14ac:dyDescent="0.3">
      <c r="A1487" s="4" t="s">
        <v>1340</v>
      </c>
      <c r="B1487" s="5">
        <f t="shared" si="338"/>
        <v>3</v>
      </c>
      <c r="C1487" s="5">
        <f t="shared" si="339"/>
        <v>2023</v>
      </c>
      <c r="D1487" s="5" t="s">
        <v>1341</v>
      </c>
      <c r="E1487" s="5" t="str">
        <f>VLOOKUP(F1487,'Set up'!$A$2:$C$70,2,FALSE)</f>
        <v>C00000014</v>
      </c>
      <c r="F1487" s="1" t="s">
        <v>262</v>
      </c>
      <c r="G1487" s="89" t="s">
        <v>988</v>
      </c>
      <c r="H1487" s="5">
        <v>8</v>
      </c>
      <c r="I1487" s="5" t="str">
        <f>VLOOKUP(F1487,'Set up'!$A$2:$C$70,3,FALSE)</f>
        <v>Cash</v>
      </c>
      <c r="J1487" s="5">
        <f>VLOOKUP(F1487,'Set up'!$A$2:$D$70,4,FALSE)</f>
        <v>0</v>
      </c>
      <c r="K1487" s="4">
        <f t="shared" si="340"/>
        <v>45001</v>
      </c>
      <c r="L1487" s="5">
        <f t="shared" si="341"/>
        <v>3</v>
      </c>
      <c r="M1487" s="5">
        <f t="shared" si="342"/>
        <v>2023</v>
      </c>
      <c r="N1487" s="6">
        <v>1896</v>
      </c>
      <c r="O1487" s="6">
        <f t="shared" si="346"/>
        <v>-1896</v>
      </c>
      <c r="P1487" s="6">
        <f t="shared" si="337"/>
        <v>0</v>
      </c>
      <c r="Q1487" s="7">
        <f t="shared" si="343"/>
        <v>2776185.1500000004</v>
      </c>
      <c r="R1487" s="44" t="str">
        <f>VLOOKUP(F1487,'Set up'!$A$2:$E$70,5,FALSE)</f>
        <v>Cash</v>
      </c>
      <c r="S1487" s="1" t="s">
        <v>1378</v>
      </c>
    </row>
    <row r="1488" spans="1:19" x14ac:dyDescent="0.3">
      <c r="A1488" s="4" t="s">
        <v>1340</v>
      </c>
      <c r="B1488" s="5">
        <f t="shared" si="338"/>
        <v>3</v>
      </c>
      <c r="C1488" s="5">
        <f t="shared" si="339"/>
        <v>2023</v>
      </c>
      <c r="D1488" s="5" t="s">
        <v>1341</v>
      </c>
      <c r="E1488" s="5" t="str">
        <f>VLOOKUP(F1488,'Set up'!$A$2:$C$70,2,FALSE)</f>
        <v>C00000014</v>
      </c>
      <c r="F1488" s="1" t="s">
        <v>262</v>
      </c>
      <c r="G1488" s="89" t="s">
        <v>894</v>
      </c>
      <c r="H1488" s="5">
        <v>1</v>
      </c>
      <c r="I1488" s="5" t="str">
        <f>VLOOKUP(F1488,'Set up'!$A$2:$C$70,3,FALSE)</f>
        <v>Cash</v>
      </c>
      <c r="J1488" s="5">
        <f>VLOOKUP(F1488,'Set up'!$A$2:$D$70,4,FALSE)</f>
        <v>0</v>
      </c>
      <c r="K1488" s="4">
        <f t="shared" si="340"/>
        <v>45001</v>
      </c>
      <c r="L1488" s="5">
        <f t="shared" si="341"/>
        <v>3</v>
      </c>
      <c r="M1488" s="5">
        <f t="shared" si="342"/>
        <v>2023</v>
      </c>
      <c r="N1488" s="6">
        <v>160</v>
      </c>
      <c r="O1488" s="6">
        <f t="shared" si="346"/>
        <v>-160</v>
      </c>
      <c r="P1488" s="6">
        <f t="shared" si="337"/>
        <v>0</v>
      </c>
      <c r="Q1488" s="7">
        <f t="shared" si="343"/>
        <v>2776345.1500000004</v>
      </c>
      <c r="R1488" s="44" t="str">
        <f>VLOOKUP(F1488,'Set up'!$A$2:$E$70,5,FALSE)</f>
        <v>Cash</v>
      </c>
      <c r="S1488" s="1" t="s">
        <v>1378</v>
      </c>
    </row>
    <row r="1489" spans="1:19" x14ac:dyDescent="0.3">
      <c r="A1489" s="4" t="s">
        <v>1340</v>
      </c>
      <c r="B1489" s="5">
        <f t="shared" si="338"/>
        <v>3</v>
      </c>
      <c r="C1489" s="5">
        <f t="shared" si="339"/>
        <v>2023</v>
      </c>
      <c r="D1489" s="5" t="s">
        <v>1341</v>
      </c>
      <c r="E1489" s="5" t="str">
        <f>VLOOKUP(F1489,'Set up'!$A$2:$C$70,2,FALSE)</f>
        <v>C00000014</v>
      </c>
      <c r="F1489" s="1" t="s">
        <v>262</v>
      </c>
      <c r="G1489" s="89" t="s">
        <v>1342</v>
      </c>
      <c r="H1489" s="5">
        <v>1</v>
      </c>
      <c r="I1489" s="5" t="str">
        <f>VLOOKUP(F1489,'Set up'!$A$2:$C$70,3,FALSE)</f>
        <v>Cash</v>
      </c>
      <c r="J1489" s="5">
        <f>VLOOKUP(F1489,'Set up'!$A$2:$D$70,4,FALSE)</f>
        <v>0</v>
      </c>
      <c r="K1489" s="4">
        <f t="shared" si="340"/>
        <v>45001</v>
      </c>
      <c r="L1489" s="5">
        <f t="shared" si="341"/>
        <v>3</v>
      </c>
      <c r="M1489" s="5">
        <f t="shared" si="342"/>
        <v>2023</v>
      </c>
      <c r="N1489" s="6">
        <v>165</v>
      </c>
      <c r="O1489" s="6">
        <f t="shared" si="346"/>
        <v>-165</v>
      </c>
      <c r="P1489" s="6">
        <f t="shared" si="337"/>
        <v>0</v>
      </c>
      <c r="Q1489" s="7">
        <f t="shared" si="343"/>
        <v>2776510.1500000004</v>
      </c>
      <c r="R1489" s="44" t="str">
        <f>VLOOKUP(F1489,'Set up'!$A$2:$E$70,5,FALSE)</f>
        <v>Cash</v>
      </c>
      <c r="S1489" s="1" t="s">
        <v>1378</v>
      </c>
    </row>
    <row r="1490" spans="1:19" x14ac:dyDescent="0.3">
      <c r="A1490" s="4" t="s">
        <v>1340</v>
      </c>
      <c r="B1490" s="5">
        <f t="shared" si="338"/>
        <v>3</v>
      </c>
      <c r="C1490" s="5">
        <f t="shared" si="339"/>
        <v>2023</v>
      </c>
      <c r="D1490" s="5" t="s">
        <v>1341</v>
      </c>
      <c r="E1490" s="5" t="str">
        <f>VLOOKUP(F1490,'Set up'!$A$2:$C$70,2,FALSE)</f>
        <v>C00000014</v>
      </c>
      <c r="F1490" s="1" t="s">
        <v>262</v>
      </c>
      <c r="G1490" s="89" t="s">
        <v>1343</v>
      </c>
      <c r="H1490" s="5">
        <v>1</v>
      </c>
      <c r="I1490" s="5" t="str">
        <f>VLOOKUP(F1490,'Set up'!$A$2:$C$70,3,FALSE)</f>
        <v>Cash</v>
      </c>
      <c r="J1490" s="5">
        <f>VLOOKUP(F1490,'Set up'!$A$2:$D$70,4,FALSE)</f>
        <v>0</v>
      </c>
      <c r="K1490" s="4">
        <f t="shared" si="340"/>
        <v>45001</v>
      </c>
      <c r="L1490" s="5">
        <f t="shared" si="341"/>
        <v>3</v>
      </c>
      <c r="M1490" s="5">
        <f t="shared" si="342"/>
        <v>2023</v>
      </c>
      <c r="N1490" s="6">
        <v>290</v>
      </c>
      <c r="O1490" s="6">
        <f t="shared" si="346"/>
        <v>-290</v>
      </c>
      <c r="P1490" s="6">
        <f t="shared" ref="P1490:P1509" si="347">SUM(N1490+O1490)</f>
        <v>0</v>
      </c>
      <c r="Q1490" s="7">
        <f t="shared" si="343"/>
        <v>2776800.1500000004</v>
      </c>
      <c r="R1490" s="44" t="str">
        <f>VLOOKUP(F1490,'Set up'!$A$2:$E$70,5,FALSE)</f>
        <v>Cash</v>
      </c>
      <c r="S1490" s="1" t="s">
        <v>1378</v>
      </c>
    </row>
    <row r="1491" spans="1:19" x14ac:dyDescent="0.3">
      <c r="A1491" s="4" t="s">
        <v>1340</v>
      </c>
      <c r="B1491" s="5">
        <f t="shared" si="338"/>
        <v>3</v>
      </c>
      <c r="C1491" s="5">
        <f t="shared" si="339"/>
        <v>2023</v>
      </c>
      <c r="D1491" s="5" t="s">
        <v>1341</v>
      </c>
      <c r="E1491" s="5" t="str">
        <f>VLOOKUP(F1491,'Set up'!$A$2:$C$70,2,FALSE)</f>
        <v>C00000014</v>
      </c>
      <c r="F1491" s="1" t="s">
        <v>262</v>
      </c>
      <c r="G1491" s="89" t="s">
        <v>865</v>
      </c>
      <c r="H1491" s="5">
        <v>2</v>
      </c>
      <c r="I1491" s="5" t="str">
        <f>VLOOKUP(F1491,'Set up'!$A$2:$C$70,3,FALSE)</f>
        <v>Cash</v>
      </c>
      <c r="J1491" s="5">
        <f>VLOOKUP(F1491,'Set up'!$A$2:$D$70,4,FALSE)</f>
        <v>0</v>
      </c>
      <c r="K1491" s="4">
        <f t="shared" si="340"/>
        <v>45001</v>
      </c>
      <c r="L1491" s="5">
        <f t="shared" si="341"/>
        <v>3</v>
      </c>
      <c r="M1491" s="5">
        <f t="shared" si="342"/>
        <v>2023</v>
      </c>
      <c r="N1491" s="6">
        <v>516</v>
      </c>
      <c r="O1491" s="6">
        <f t="shared" si="346"/>
        <v>-516</v>
      </c>
      <c r="P1491" s="6">
        <f t="shared" si="347"/>
        <v>0</v>
      </c>
      <c r="Q1491" s="7">
        <f t="shared" si="343"/>
        <v>2777316.1500000004</v>
      </c>
      <c r="R1491" s="44" t="str">
        <f>VLOOKUP(F1491,'Set up'!$A$2:$E$70,5,FALSE)</f>
        <v>Cash</v>
      </c>
      <c r="S1491" s="1" t="s">
        <v>1378</v>
      </c>
    </row>
    <row r="1492" spans="1:19" x14ac:dyDescent="0.3">
      <c r="A1492" s="4" t="s">
        <v>1340</v>
      </c>
      <c r="B1492" s="5">
        <f t="shared" si="338"/>
        <v>3</v>
      </c>
      <c r="C1492" s="5">
        <f t="shared" si="339"/>
        <v>2023</v>
      </c>
      <c r="D1492" s="5" t="s">
        <v>1341</v>
      </c>
      <c r="E1492" s="5" t="str">
        <f>VLOOKUP(F1492,'Set up'!$A$2:$C$70,2,FALSE)</f>
        <v>C00000014</v>
      </c>
      <c r="F1492" s="1" t="s">
        <v>262</v>
      </c>
      <c r="G1492" s="89" t="s">
        <v>666</v>
      </c>
      <c r="H1492" s="5">
        <v>2</v>
      </c>
      <c r="I1492" s="5" t="str">
        <f>VLOOKUP(F1492,'Set up'!$A$2:$C$70,3,FALSE)</f>
        <v>Cash</v>
      </c>
      <c r="J1492" s="5">
        <f>VLOOKUP(F1492,'Set up'!$A$2:$D$70,4,FALSE)</f>
        <v>0</v>
      </c>
      <c r="K1492" s="4">
        <f t="shared" si="340"/>
        <v>45001</v>
      </c>
      <c r="L1492" s="5">
        <f t="shared" si="341"/>
        <v>3</v>
      </c>
      <c r="M1492" s="5">
        <f t="shared" si="342"/>
        <v>2023</v>
      </c>
      <c r="N1492" s="6">
        <v>190</v>
      </c>
      <c r="O1492" s="6">
        <f t="shared" si="346"/>
        <v>-190</v>
      </c>
      <c r="P1492" s="6">
        <f t="shared" si="347"/>
        <v>0</v>
      </c>
      <c r="Q1492" s="7">
        <f t="shared" si="343"/>
        <v>2777506.1500000004</v>
      </c>
      <c r="R1492" s="44" t="str">
        <f>VLOOKUP(F1492,'Set up'!$A$2:$E$70,5,FALSE)</f>
        <v>Cash</v>
      </c>
      <c r="S1492" s="1" t="s">
        <v>1378</v>
      </c>
    </row>
    <row r="1493" spans="1:19" x14ac:dyDescent="0.3">
      <c r="A1493" s="4" t="s">
        <v>1340</v>
      </c>
      <c r="B1493" s="5">
        <f t="shared" si="338"/>
        <v>3</v>
      </c>
      <c r="C1493" s="5">
        <f t="shared" si="339"/>
        <v>2023</v>
      </c>
      <c r="D1493" s="5" t="s">
        <v>1341</v>
      </c>
      <c r="E1493" s="5" t="str">
        <f>VLOOKUP(F1493,'Set up'!$A$2:$C$70,2,FALSE)</f>
        <v>C00000014</v>
      </c>
      <c r="F1493" s="1" t="s">
        <v>262</v>
      </c>
      <c r="G1493" s="89" t="s">
        <v>949</v>
      </c>
      <c r="H1493" s="5">
        <v>4</v>
      </c>
      <c r="I1493" s="5" t="str">
        <f>VLOOKUP(F1493,'Set up'!$A$2:$C$70,3,FALSE)</f>
        <v>Cash</v>
      </c>
      <c r="J1493" s="5">
        <f>VLOOKUP(F1493,'Set up'!$A$2:$D$70,4,FALSE)</f>
        <v>0</v>
      </c>
      <c r="K1493" s="4">
        <f t="shared" si="340"/>
        <v>45001</v>
      </c>
      <c r="L1493" s="5">
        <f t="shared" si="341"/>
        <v>3</v>
      </c>
      <c r="M1493" s="5">
        <f t="shared" si="342"/>
        <v>2023</v>
      </c>
      <c r="N1493" s="6">
        <v>200</v>
      </c>
      <c r="O1493" s="6">
        <f t="shared" si="346"/>
        <v>-200</v>
      </c>
      <c r="P1493" s="6">
        <f t="shared" si="347"/>
        <v>0</v>
      </c>
      <c r="Q1493" s="7">
        <f t="shared" si="343"/>
        <v>2777706.1500000004</v>
      </c>
      <c r="R1493" s="44" t="str">
        <f>VLOOKUP(F1493,'Set up'!$A$2:$E$70,5,FALSE)</f>
        <v>Cash</v>
      </c>
      <c r="S1493" s="1" t="s">
        <v>1378</v>
      </c>
    </row>
    <row r="1494" spans="1:19" x14ac:dyDescent="0.3">
      <c r="A1494" s="4" t="s">
        <v>1345</v>
      </c>
      <c r="B1494" s="5">
        <f t="shared" si="338"/>
        <v>3</v>
      </c>
      <c r="C1494" s="5">
        <f t="shared" si="339"/>
        <v>2023</v>
      </c>
      <c r="D1494" s="5" t="s">
        <v>1344</v>
      </c>
      <c r="E1494" s="5" t="str">
        <f>VLOOKUP(F1494,'Set up'!$A$2:$C$70,2,FALSE)</f>
        <v>C00000037</v>
      </c>
      <c r="F1494" s="1" t="s">
        <v>1309</v>
      </c>
      <c r="G1494" s="89" t="s">
        <v>719</v>
      </c>
      <c r="H1494" s="5">
        <v>2</v>
      </c>
      <c r="I1494" s="5">
        <f>VLOOKUP(F1494,'Set up'!$A$2:$C$70,3,FALSE)</f>
        <v>30</v>
      </c>
      <c r="J1494" s="5">
        <f>VLOOKUP(F1494,'Set up'!$A$2:$D$70,4,FALSE)</f>
        <v>30</v>
      </c>
      <c r="K1494" s="4">
        <f t="shared" si="340"/>
        <v>45035</v>
      </c>
      <c r="L1494" s="5">
        <f t="shared" si="341"/>
        <v>4</v>
      </c>
      <c r="M1494" s="5">
        <f t="shared" si="342"/>
        <v>2023</v>
      </c>
      <c r="N1494" s="6">
        <v>3608</v>
      </c>
      <c r="O1494" s="6">
        <f t="shared" ref="O1494:O1500" si="348">-N1494</f>
        <v>-3608</v>
      </c>
      <c r="P1494" s="6">
        <f t="shared" si="347"/>
        <v>0</v>
      </c>
      <c r="Q1494" s="7">
        <f t="shared" si="343"/>
        <v>2781314.1500000004</v>
      </c>
      <c r="R1494" s="44" t="str">
        <f>VLOOKUP(F1494,'Set up'!$A$2:$E$70,5,FALSE)</f>
        <v>Chq</v>
      </c>
      <c r="S1494" s="1" t="s">
        <v>1377</v>
      </c>
    </row>
    <row r="1495" spans="1:19" x14ac:dyDescent="0.3">
      <c r="A1495" s="4" t="s">
        <v>1345</v>
      </c>
      <c r="B1495" s="5">
        <f t="shared" si="338"/>
        <v>3</v>
      </c>
      <c r="C1495" s="5">
        <f t="shared" si="339"/>
        <v>2023</v>
      </c>
      <c r="D1495" s="5" t="s">
        <v>1344</v>
      </c>
      <c r="E1495" s="5" t="str">
        <f>VLOOKUP(F1495,'Set up'!$A$2:$C$70,2,FALSE)</f>
        <v>C00000037</v>
      </c>
      <c r="F1495" s="1" t="s">
        <v>1309</v>
      </c>
      <c r="G1495" s="89" t="s">
        <v>707</v>
      </c>
      <c r="H1495" s="5">
        <v>2</v>
      </c>
      <c r="I1495" s="5">
        <f>VLOOKUP(F1495,'Set up'!$A$2:$C$70,3,FALSE)</f>
        <v>30</v>
      </c>
      <c r="J1495" s="5">
        <f>VLOOKUP(F1495,'Set up'!$A$2:$D$70,4,FALSE)</f>
        <v>30</v>
      </c>
      <c r="K1495" s="4">
        <f t="shared" si="340"/>
        <v>45035</v>
      </c>
      <c r="L1495" s="5">
        <f t="shared" si="341"/>
        <v>4</v>
      </c>
      <c r="M1495" s="5">
        <f t="shared" si="342"/>
        <v>2023</v>
      </c>
      <c r="N1495" s="6">
        <v>842.4</v>
      </c>
      <c r="O1495" s="6">
        <f t="shared" si="348"/>
        <v>-842.4</v>
      </c>
      <c r="P1495" s="6">
        <f t="shared" si="347"/>
        <v>0</v>
      </c>
      <c r="Q1495" s="7">
        <f t="shared" si="343"/>
        <v>2782156.5500000003</v>
      </c>
      <c r="R1495" s="44" t="str">
        <f>VLOOKUP(F1495,'Set up'!$A$2:$E$70,5,FALSE)</f>
        <v>Chq</v>
      </c>
      <c r="S1495" s="1" t="s">
        <v>1377</v>
      </c>
    </row>
    <row r="1496" spans="1:19" x14ac:dyDescent="0.3">
      <c r="A1496" s="4" t="s">
        <v>1348</v>
      </c>
      <c r="B1496" s="5">
        <f t="shared" si="338"/>
        <v>3</v>
      </c>
      <c r="C1496" s="5">
        <f t="shared" si="339"/>
        <v>2023</v>
      </c>
      <c r="D1496" s="5" t="s">
        <v>1346</v>
      </c>
      <c r="E1496" s="5" t="str">
        <f>VLOOKUP(F1496,'Set up'!$A$2:$C$70,2,FALSE)</f>
        <v>C00000020</v>
      </c>
      <c r="F1496" s="1" t="s">
        <v>409</v>
      </c>
      <c r="G1496" s="89" t="s">
        <v>1110</v>
      </c>
      <c r="H1496" s="5">
        <v>5</v>
      </c>
      <c r="I1496" s="5" t="str">
        <f>VLOOKUP(F1496,'Set up'!$A$2:$C$70,3,FALSE)</f>
        <v>Cash</v>
      </c>
      <c r="J1496" s="5">
        <f>VLOOKUP(F1496,'Set up'!$A$2:$D$70,4,FALSE)</f>
        <v>0</v>
      </c>
      <c r="K1496" s="4">
        <f t="shared" si="340"/>
        <v>45008</v>
      </c>
      <c r="L1496" s="5">
        <f t="shared" si="341"/>
        <v>3</v>
      </c>
      <c r="M1496" s="5">
        <f t="shared" si="342"/>
        <v>2023</v>
      </c>
      <c r="N1496" s="6">
        <v>312.5</v>
      </c>
      <c r="O1496" s="6">
        <f t="shared" si="348"/>
        <v>-312.5</v>
      </c>
      <c r="P1496" s="6">
        <f t="shared" si="347"/>
        <v>0</v>
      </c>
      <c r="Q1496" s="7">
        <f t="shared" si="343"/>
        <v>2782469.0500000003</v>
      </c>
      <c r="R1496" s="44" t="str">
        <f>VLOOKUP(F1496,'Set up'!$A$2:$E$70,5,FALSE)</f>
        <v>Trsf</v>
      </c>
      <c r="S1496" s="1" t="s">
        <v>2313</v>
      </c>
    </row>
    <row r="1497" spans="1:19" x14ac:dyDescent="0.3">
      <c r="A1497" s="4" t="s">
        <v>1348</v>
      </c>
      <c r="B1497" s="5">
        <f t="shared" si="338"/>
        <v>3</v>
      </c>
      <c r="C1497" s="5">
        <f t="shared" si="339"/>
        <v>2023</v>
      </c>
      <c r="D1497" s="5" t="s">
        <v>1347</v>
      </c>
      <c r="E1497" s="5" t="str">
        <f>VLOOKUP(F1497,'Set up'!$A$2:$C$70,2,FALSE)</f>
        <v>C00000020</v>
      </c>
      <c r="F1497" s="1" t="s">
        <v>409</v>
      </c>
      <c r="G1497" s="89" t="s">
        <v>95</v>
      </c>
      <c r="H1497" s="5">
        <v>5</v>
      </c>
      <c r="I1497" s="5" t="str">
        <f>VLOOKUP(F1497,'Set up'!$A$2:$C$70,3,FALSE)</f>
        <v>Cash</v>
      </c>
      <c r="J1497" s="5">
        <f>VLOOKUP(F1497,'Set up'!$A$2:$D$70,4,FALSE)</f>
        <v>0</v>
      </c>
      <c r="K1497" s="4">
        <f t="shared" si="340"/>
        <v>45008</v>
      </c>
      <c r="L1497" s="5">
        <f t="shared" si="341"/>
        <v>3</v>
      </c>
      <c r="M1497" s="5">
        <f t="shared" si="342"/>
        <v>2023</v>
      </c>
      <c r="N1497" s="6">
        <v>8690</v>
      </c>
      <c r="O1497" s="6">
        <f t="shared" si="348"/>
        <v>-8690</v>
      </c>
      <c r="P1497" s="6">
        <f t="shared" si="347"/>
        <v>0</v>
      </c>
      <c r="Q1497" s="7">
        <f t="shared" si="343"/>
        <v>2791159.0500000003</v>
      </c>
      <c r="R1497" s="44" t="str">
        <f>VLOOKUP(F1497,'Set up'!$A$2:$E$70,5,FALSE)</f>
        <v>Trsf</v>
      </c>
      <c r="S1497" s="1" t="s">
        <v>2314</v>
      </c>
    </row>
    <row r="1498" spans="1:19" x14ac:dyDescent="0.3">
      <c r="A1498" s="4" t="s">
        <v>1348</v>
      </c>
      <c r="B1498" s="5">
        <f t="shared" si="338"/>
        <v>3</v>
      </c>
      <c r="C1498" s="5">
        <f t="shared" si="339"/>
        <v>2023</v>
      </c>
      <c r="D1498" s="5" t="s">
        <v>1347</v>
      </c>
      <c r="E1498" s="5" t="str">
        <f>VLOOKUP(F1498,'Set up'!$A$2:$C$70,2,FALSE)</f>
        <v>C00000020</v>
      </c>
      <c r="F1498" s="1" t="s">
        <v>409</v>
      </c>
      <c r="G1498" s="89" t="s">
        <v>654</v>
      </c>
      <c r="H1498" s="5">
        <v>15</v>
      </c>
      <c r="I1498" s="5" t="str">
        <f>VLOOKUP(F1498,'Set up'!$A$2:$C$70,3,FALSE)</f>
        <v>Cash</v>
      </c>
      <c r="J1498" s="5">
        <f>VLOOKUP(F1498,'Set up'!$A$2:$D$70,4,FALSE)</f>
        <v>0</v>
      </c>
      <c r="K1498" s="4">
        <f t="shared" si="340"/>
        <v>45008</v>
      </c>
      <c r="L1498" s="5">
        <f t="shared" si="341"/>
        <v>3</v>
      </c>
      <c r="M1498" s="5">
        <f t="shared" si="342"/>
        <v>2023</v>
      </c>
      <c r="N1498" s="6">
        <v>3420</v>
      </c>
      <c r="O1498" s="6">
        <f t="shared" si="348"/>
        <v>-3420</v>
      </c>
      <c r="P1498" s="6">
        <f t="shared" si="347"/>
        <v>0</v>
      </c>
      <c r="Q1498" s="7">
        <f t="shared" si="343"/>
        <v>2794579.0500000003</v>
      </c>
      <c r="R1498" s="44" t="str">
        <f>VLOOKUP(F1498,'Set up'!$A$2:$E$70,5,FALSE)</f>
        <v>Trsf</v>
      </c>
      <c r="S1498" s="1" t="s">
        <v>2315</v>
      </c>
    </row>
    <row r="1499" spans="1:19" x14ac:dyDescent="0.3">
      <c r="A1499" s="4" t="s">
        <v>1348</v>
      </c>
      <c r="B1499" s="5">
        <f t="shared" si="338"/>
        <v>3</v>
      </c>
      <c r="C1499" s="5">
        <f t="shared" si="339"/>
        <v>2023</v>
      </c>
      <c r="D1499" s="5" t="s">
        <v>1347</v>
      </c>
      <c r="E1499" s="5" t="str">
        <f>VLOOKUP(F1499,'Set up'!$A$2:$C$70,2,FALSE)</f>
        <v>C00000020</v>
      </c>
      <c r="F1499" s="1" t="s">
        <v>409</v>
      </c>
      <c r="G1499" s="89" t="s">
        <v>778</v>
      </c>
      <c r="H1499" s="5">
        <v>8</v>
      </c>
      <c r="I1499" s="5" t="str">
        <f>VLOOKUP(F1499,'Set up'!$A$2:$C$70,3,FALSE)</f>
        <v>Cash</v>
      </c>
      <c r="J1499" s="5">
        <f>VLOOKUP(F1499,'Set up'!$A$2:$D$70,4,FALSE)</f>
        <v>0</v>
      </c>
      <c r="K1499" s="4">
        <f t="shared" si="340"/>
        <v>45008</v>
      </c>
      <c r="L1499" s="5">
        <f t="shared" si="341"/>
        <v>3</v>
      </c>
      <c r="M1499" s="5">
        <f t="shared" si="342"/>
        <v>2023</v>
      </c>
      <c r="N1499" s="6">
        <v>2016</v>
      </c>
      <c r="O1499" s="6">
        <f t="shared" si="348"/>
        <v>-2016</v>
      </c>
      <c r="P1499" s="6">
        <f t="shared" si="347"/>
        <v>0</v>
      </c>
      <c r="Q1499" s="7">
        <f t="shared" si="343"/>
        <v>2796595.0500000003</v>
      </c>
      <c r="R1499" s="44" t="str">
        <f>VLOOKUP(F1499,'Set up'!$A$2:$E$70,5,FALSE)</f>
        <v>Trsf</v>
      </c>
      <c r="S1499" s="1" t="s">
        <v>2316</v>
      </c>
    </row>
    <row r="1500" spans="1:19" x14ac:dyDescent="0.3">
      <c r="A1500" s="4" t="s">
        <v>1348</v>
      </c>
      <c r="B1500" s="5">
        <f t="shared" si="338"/>
        <v>3</v>
      </c>
      <c r="C1500" s="5">
        <f t="shared" si="339"/>
        <v>2023</v>
      </c>
      <c r="D1500" s="5" t="s">
        <v>1347</v>
      </c>
      <c r="E1500" s="5" t="str">
        <f>VLOOKUP(F1500,'Set up'!$A$2:$C$70,2,FALSE)</f>
        <v>C00000020</v>
      </c>
      <c r="F1500" s="1" t="s">
        <v>409</v>
      </c>
      <c r="G1500" s="89" t="s">
        <v>666</v>
      </c>
      <c r="H1500" s="5">
        <v>4</v>
      </c>
      <c r="I1500" s="5" t="str">
        <f>VLOOKUP(F1500,'Set up'!$A$2:$C$70,3,FALSE)</f>
        <v>Cash</v>
      </c>
      <c r="J1500" s="5">
        <f>VLOOKUP(F1500,'Set up'!$A$2:$D$70,4,FALSE)</f>
        <v>0</v>
      </c>
      <c r="K1500" s="4">
        <f t="shared" si="340"/>
        <v>45008</v>
      </c>
      <c r="L1500" s="5">
        <f t="shared" si="341"/>
        <v>3</v>
      </c>
      <c r="M1500" s="5">
        <f t="shared" si="342"/>
        <v>2023</v>
      </c>
      <c r="N1500" s="6">
        <v>380</v>
      </c>
      <c r="O1500" s="6">
        <f t="shared" si="348"/>
        <v>-380</v>
      </c>
      <c r="P1500" s="6">
        <f t="shared" si="347"/>
        <v>0</v>
      </c>
      <c r="Q1500" s="7">
        <f t="shared" si="343"/>
        <v>2796975.0500000003</v>
      </c>
      <c r="R1500" s="44" t="str">
        <f>VLOOKUP(F1500,'Set up'!$A$2:$E$70,5,FALSE)</f>
        <v>Trsf</v>
      </c>
      <c r="S1500" s="1" t="s">
        <v>2317</v>
      </c>
    </row>
    <row r="1501" spans="1:19" x14ac:dyDescent="0.3">
      <c r="A1501" s="4" t="s">
        <v>1348</v>
      </c>
      <c r="B1501" s="5">
        <f t="shared" si="338"/>
        <v>3</v>
      </c>
      <c r="C1501" s="5">
        <f t="shared" si="339"/>
        <v>2023</v>
      </c>
      <c r="D1501" s="5" t="s">
        <v>1347</v>
      </c>
      <c r="E1501" s="5" t="str">
        <f>VLOOKUP(F1501,'Set up'!$A$2:$C$70,2,FALSE)</f>
        <v>C00000020</v>
      </c>
      <c r="F1501" s="1" t="s">
        <v>409</v>
      </c>
      <c r="G1501" s="89" t="s">
        <v>1073</v>
      </c>
      <c r="H1501" s="5">
        <v>1</v>
      </c>
      <c r="I1501" s="5" t="str">
        <f>VLOOKUP(F1501,'Set up'!$A$2:$C$70,3,FALSE)</f>
        <v>Cash</v>
      </c>
      <c r="J1501" s="5">
        <f>VLOOKUP(F1501,'Set up'!$A$2:$D$70,4,FALSE)</f>
        <v>0</v>
      </c>
      <c r="K1501" s="4">
        <f t="shared" si="340"/>
        <v>45008</v>
      </c>
      <c r="L1501" s="5">
        <f t="shared" si="341"/>
        <v>3</v>
      </c>
      <c r="M1501" s="5">
        <f t="shared" si="342"/>
        <v>2023</v>
      </c>
      <c r="N1501" s="6">
        <v>1000</v>
      </c>
      <c r="O1501" s="6">
        <f>-436.9-563.1</f>
        <v>-1000</v>
      </c>
      <c r="P1501" s="6">
        <f t="shared" si="347"/>
        <v>0</v>
      </c>
      <c r="Q1501" s="7">
        <f t="shared" si="343"/>
        <v>2797975.0500000003</v>
      </c>
      <c r="R1501" s="44" t="str">
        <f>VLOOKUP(F1501,'Set up'!$A$2:$E$70,5,FALSE)</f>
        <v>Trsf</v>
      </c>
      <c r="S1501" s="1" t="s">
        <v>2325</v>
      </c>
    </row>
    <row r="1502" spans="1:19" x14ac:dyDescent="0.3">
      <c r="A1502" s="4" t="s">
        <v>1350</v>
      </c>
      <c r="B1502" s="5">
        <f t="shared" si="338"/>
        <v>3</v>
      </c>
      <c r="C1502" s="5">
        <f t="shared" si="339"/>
        <v>2023</v>
      </c>
      <c r="D1502" s="5" t="s">
        <v>1349</v>
      </c>
      <c r="E1502" s="5" t="str">
        <f>VLOOKUP(F1502,'Set up'!$A$2:$C$70,2,FALSE)</f>
        <v>C00000021</v>
      </c>
      <c r="F1502" s="1" t="s">
        <v>491</v>
      </c>
      <c r="G1502" s="89" t="s">
        <v>716</v>
      </c>
      <c r="H1502" s="5">
        <v>1</v>
      </c>
      <c r="I1502" s="5" t="str">
        <f>VLOOKUP(F1502,'Set up'!$A$2:$C$70,3,FALSE)</f>
        <v>Cash</v>
      </c>
      <c r="J1502" s="5">
        <f>VLOOKUP(F1502,'Set up'!$A$2:$D$70,4,FALSE)</f>
        <v>0</v>
      </c>
      <c r="K1502" s="4">
        <f t="shared" si="340"/>
        <v>45010</v>
      </c>
      <c r="L1502" s="5">
        <f t="shared" si="341"/>
        <v>3</v>
      </c>
      <c r="M1502" s="5">
        <f t="shared" si="342"/>
        <v>2023</v>
      </c>
      <c r="N1502" s="6">
        <v>1870</v>
      </c>
      <c r="O1502" s="6">
        <f t="shared" ref="O1502:O1504" si="349">-N1502</f>
        <v>-1870</v>
      </c>
      <c r="P1502" s="6">
        <f t="shared" si="347"/>
        <v>0</v>
      </c>
      <c r="Q1502" s="7">
        <f t="shared" si="343"/>
        <v>2799845.0500000003</v>
      </c>
      <c r="R1502" s="44" t="str">
        <f>VLOOKUP(F1502,'Set up'!$A$2:$E$70,5,FALSE)</f>
        <v>PD Chq</v>
      </c>
      <c r="S1502" s="1" t="s">
        <v>2082</v>
      </c>
    </row>
    <row r="1503" spans="1:19" x14ac:dyDescent="0.3">
      <c r="A1503" s="4" t="s">
        <v>1350</v>
      </c>
      <c r="B1503" s="5">
        <f t="shared" si="338"/>
        <v>3</v>
      </c>
      <c r="C1503" s="5">
        <f t="shared" si="339"/>
        <v>2023</v>
      </c>
      <c r="D1503" s="5" t="s">
        <v>1349</v>
      </c>
      <c r="E1503" s="5" t="str">
        <f>VLOOKUP(F1503,'Set up'!$A$2:$C$70,2,FALSE)</f>
        <v>C00000021</v>
      </c>
      <c r="F1503" s="1" t="s">
        <v>491</v>
      </c>
      <c r="G1503" s="89" t="s">
        <v>654</v>
      </c>
      <c r="H1503" s="5">
        <v>5</v>
      </c>
      <c r="I1503" s="5" t="str">
        <f>VLOOKUP(F1503,'Set up'!$A$2:$C$70,3,FALSE)</f>
        <v>Cash</v>
      </c>
      <c r="J1503" s="5">
        <f>VLOOKUP(F1503,'Set up'!$A$2:$D$70,4,FALSE)</f>
        <v>0</v>
      </c>
      <c r="K1503" s="4">
        <f t="shared" si="340"/>
        <v>45010</v>
      </c>
      <c r="L1503" s="5">
        <f t="shared" si="341"/>
        <v>3</v>
      </c>
      <c r="M1503" s="5">
        <f t="shared" si="342"/>
        <v>2023</v>
      </c>
      <c r="N1503" s="6">
        <v>1275</v>
      </c>
      <c r="O1503" s="6">
        <f t="shared" si="349"/>
        <v>-1275</v>
      </c>
      <c r="P1503" s="6">
        <f t="shared" si="347"/>
        <v>0</v>
      </c>
      <c r="Q1503" s="7">
        <f t="shared" si="343"/>
        <v>2801120.0500000003</v>
      </c>
      <c r="R1503" s="44" t="str">
        <f>VLOOKUP(F1503,'Set up'!$A$2:$E$70,5,FALSE)</f>
        <v>PD Chq</v>
      </c>
      <c r="S1503" s="1" t="s">
        <v>2082</v>
      </c>
    </row>
    <row r="1504" spans="1:19" x14ac:dyDescent="0.3">
      <c r="A1504" s="4" t="s">
        <v>1350</v>
      </c>
      <c r="B1504" s="5">
        <f t="shared" si="338"/>
        <v>3</v>
      </c>
      <c r="C1504" s="5">
        <f t="shared" si="339"/>
        <v>2023</v>
      </c>
      <c r="D1504" s="5" t="s">
        <v>1349</v>
      </c>
      <c r="E1504" s="5" t="str">
        <f>VLOOKUP(F1504,'Set up'!$A$2:$C$70,2,FALSE)</f>
        <v>C00000021</v>
      </c>
      <c r="F1504" s="1" t="s">
        <v>491</v>
      </c>
      <c r="G1504" s="89" t="s">
        <v>666</v>
      </c>
      <c r="H1504" s="5">
        <v>1</v>
      </c>
      <c r="I1504" s="5" t="str">
        <f>VLOOKUP(F1504,'Set up'!$A$2:$C$70,3,FALSE)</f>
        <v>Cash</v>
      </c>
      <c r="J1504" s="5">
        <f>VLOOKUP(F1504,'Set up'!$A$2:$D$70,4,FALSE)</f>
        <v>0</v>
      </c>
      <c r="K1504" s="4">
        <f t="shared" si="340"/>
        <v>45010</v>
      </c>
      <c r="L1504" s="5">
        <f t="shared" si="341"/>
        <v>3</v>
      </c>
      <c r="M1504" s="5">
        <f t="shared" si="342"/>
        <v>2023</v>
      </c>
      <c r="N1504" s="6">
        <v>95</v>
      </c>
      <c r="O1504" s="6">
        <f t="shared" si="349"/>
        <v>-95</v>
      </c>
      <c r="P1504" s="6">
        <f t="shared" si="347"/>
        <v>0</v>
      </c>
      <c r="Q1504" s="7">
        <f t="shared" si="343"/>
        <v>2801215.0500000003</v>
      </c>
      <c r="R1504" s="44" t="str">
        <f>VLOOKUP(F1504,'Set up'!$A$2:$E$70,5,FALSE)</f>
        <v>PD Chq</v>
      </c>
      <c r="S1504" s="1" t="s">
        <v>2082</v>
      </c>
    </row>
    <row r="1505" spans="1:19" x14ac:dyDescent="0.3">
      <c r="A1505" s="4" t="s">
        <v>1350</v>
      </c>
      <c r="B1505" s="5">
        <f t="shared" si="338"/>
        <v>3</v>
      </c>
      <c r="C1505" s="5">
        <f t="shared" si="339"/>
        <v>2023</v>
      </c>
      <c r="D1505" s="5" t="s">
        <v>1353</v>
      </c>
      <c r="E1505" s="5" t="str">
        <f>VLOOKUP(F1505,'Set up'!$A$2:$C$70,2,FALSE)</f>
        <v>C00000034</v>
      </c>
      <c r="F1505" s="1" t="s">
        <v>1196</v>
      </c>
      <c r="G1505" s="89" t="s">
        <v>1351</v>
      </c>
      <c r="H1505" s="5">
        <v>10</v>
      </c>
      <c r="I1505" s="5" t="str">
        <f>VLOOKUP(F1505,'Set up'!$A$2:$C$70,3,FALSE)</f>
        <v>Cash</v>
      </c>
      <c r="J1505" s="5">
        <f>VLOOKUP(F1505,'Set up'!$A$2:$D$70,4,FALSE)</f>
        <v>0</v>
      </c>
      <c r="K1505" s="4">
        <f t="shared" si="340"/>
        <v>45010</v>
      </c>
      <c r="L1505" s="5">
        <f t="shared" si="341"/>
        <v>3</v>
      </c>
      <c r="M1505" s="5">
        <f t="shared" si="342"/>
        <v>2023</v>
      </c>
      <c r="N1505" s="6">
        <v>1350</v>
      </c>
      <c r="O1505" s="6">
        <f t="shared" ref="O1505:O1510" si="350">-N1505</f>
        <v>-1350</v>
      </c>
      <c r="P1505" s="6">
        <f t="shared" si="347"/>
        <v>0</v>
      </c>
      <c r="Q1505" s="7">
        <f t="shared" si="343"/>
        <v>2802565.0500000003</v>
      </c>
      <c r="R1505" s="44" t="str">
        <f>VLOOKUP(F1505,'Set up'!$A$2:$E$70,5,FALSE)</f>
        <v>Trsf</v>
      </c>
      <c r="S1505" s="1" t="s">
        <v>1379</v>
      </c>
    </row>
    <row r="1506" spans="1:19" x14ac:dyDescent="0.3">
      <c r="A1506" s="4" t="s">
        <v>1350</v>
      </c>
      <c r="B1506" s="5">
        <f t="shared" si="338"/>
        <v>3</v>
      </c>
      <c r="C1506" s="5">
        <f t="shared" si="339"/>
        <v>2023</v>
      </c>
      <c r="D1506" s="5" t="s">
        <v>1353</v>
      </c>
      <c r="E1506" s="5" t="str">
        <f>VLOOKUP(F1506,'Set up'!$A$2:$C$70,2,FALSE)</f>
        <v>C00000034</v>
      </c>
      <c r="F1506" s="1" t="s">
        <v>1196</v>
      </c>
      <c r="G1506" s="89" t="s">
        <v>1352</v>
      </c>
      <c r="H1506" s="5">
        <v>1</v>
      </c>
      <c r="I1506" s="5" t="str">
        <f>VLOOKUP(F1506,'Set up'!$A$2:$C$70,3,FALSE)</f>
        <v>Cash</v>
      </c>
      <c r="J1506" s="5">
        <f>VLOOKUP(F1506,'Set up'!$A$2:$D$70,4,FALSE)</f>
        <v>0</v>
      </c>
      <c r="K1506" s="4">
        <f t="shared" si="340"/>
        <v>45010</v>
      </c>
      <c r="L1506" s="5">
        <f t="shared" si="341"/>
        <v>3</v>
      </c>
      <c r="M1506" s="5">
        <f t="shared" si="342"/>
        <v>2023</v>
      </c>
      <c r="N1506" s="6">
        <v>225</v>
      </c>
      <c r="O1506" s="6">
        <f t="shared" si="350"/>
        <v>-225</v>
      </c>
      <c r="P1506" s="6">
        <f t="shared" si="347"/>
        <v>0</v>
      </c>
      <c r="Q1506" s="7">
        <f t="shared" si="343"/>
        <v>2802790.0500000003</v>
      </c>
      <c r="R1506" s="44" t="str">
        <f>VLOOKUP(F1506,'Set up'!$A$2:$E$70,5,FALSE)</f>
        <v>Trsf</v>
      </c>
      <c r="S1506" s="1" t="s">
        <v>1379</v>
      </c>
    </row>
    <row r="1507" spans="1:19" x14ac:dyDescent="0.3">
      <c r="A1507" s="4" t="s">
        <v>1355</v>
      </c>
      <c r="B1507" s="5">
        <f t="shared" si="338"/>
        <v>3</v>
      </c>
      <c r="C1507" s="5">
        <f t="shared" si="339"/>
        <v>2023</v>
      </c>
      <c r="D1507" s="5" t="s">
        <v>1354</v>
      </c>
      <c r="E1507" s="5" t="str">
        <f>VLOOKUP(F1507,'Set up'!$A$2:$C$70,2,FALSE)</f>
        <v>C00000034</v>
      </c>
      <c r="F1507" s="1" t="s">
        <v>1196</v>
      </c>
      <c r="G1507" s="89" t="s">
        <v>1356</v>
      </c>
      <c r="H1507" s="5">
        <v>2</v>
      </c>
      <c r="I1507" s="5" t="str">
        <f>VLOOKUP(F1507,'Set up'!$A$2:$C$70,3,FALSE)</f>
        <v>Cash</v>
      </c>
      <c r="J1507" s="5">
        <f>VLOOKUP(F1507,'Set up'!$A$2:$D$70,4,FALSE)</f>
        <v>0</v>
      </c>
      <c r="K1507" s="4">
        <f t="shared" si="340"/>
        <v>45012</v>
      </c>
      <c r="L1507" s="5">
        <f t="shared" si="341"/>
        <v>3</v>
      </c>
      <c r="M1507" s="5">
        <f t="shared" si="342"/>
        <v>2023</v>
      </c>
      <c r="N1507" s="6">
        <v>3608</v>
      </c>
      <c r="O1507" s="6">
        <f t="shared" si="350"/>
        <v>-3608</v>
      </c>
      <c r="P1507" s="6">
        <f t="shared" si="347"/>
        <v>0</v>
      </c>
      <c r="Q1507" s="7">
        <f t="shared" si="343"/>
        <v>2806398.0500000003</v>
      </c>
      <c r="R1507" s="44" t="str">
        <f>VLOOKUP(F1507,'Set up'!$A$2:$E$70,5,FALSE)</f>
        <v>Trsf</v>
      </c>
      <c r="S1507" s="1" t="s">
        <v>1380</v>
      </c>
    </row>
    <row r="1508" spans="1:19" x14ac:dyDescent="0.3">
      <c r="A1508" s="4" t="s">
        <v>1355</v>
      </c>
      <c r="B1508" s="5">
        <f t="shared" si="338"/>
        <v>3</v>
      </c>
      <c r="C1508" s="5">
        <f t="shared" si="339"/>
        <v>2023</v>
      </c>
      <c r="D1508" s="5" t="s">
        <v>1354</v>
      </c>
      <c r="E1508" s="5" t="str">
        <f>VLOOKUP(F1508,'Set up'!$A$2:$C$70,2,FALSE)</f>
        <v>C00000034</v>
      </c>
      <c r="F1508" s="1" t="s">
        <v>1196</v>
      </c>
      <c r="G1508" s="89" t="s">
        <v>1357</v>
      </c>
      <c r="H1508" s="5">
        <v>2</v>
      </c>
      <c r="I1508" s="5" t="str">
        <f>VLOOKUP(F1508,'Set up'!$A$2:$C$70,3,FALSE)</f>
        <v>Cash</v>
      </c>
      <c r="J1508" s="5">
        <f>VLOOKUP(F1508,'Set up'!$A$2:$D$70,4,FALSE)</f>
        <v>0</v>
      </c>
      <c r="K1508" s="4">
        <f t="shared" si="340"/>
        <v>45012</v>
      </c>
      <c r="L1508" s="5">
        <f t="shared" si="341"/>
        <v>3</v>
      </c>
      <c r="M1508" s="5">
        <f t="shared" si="342"/>
        <v>2023</v>
      </c>
      <c r="N1508" s="6">
        <v>450</v>
      </c>
      <c r="O1508" s="6">
        <f t="shared" si="350"/>
        <v>-450</v>
      </c>
      <c r="P1508" s="6">
        <f t="shared" si="347"/>
        <v>0</v>
      </c>
      <c r="Q1508" s="7">
        <f t="shared" si="343"/>
        <v>2806848.0500000003</v>
      </c>
      <c r="R1508" s="44" t="str">
        <f>VLOOKUP(F1508,'Set up'!$A$2:$E$70,5,FALSE)</f>
        <v>Trsf</v>
      </c>
      <c r="S1508" s="1" t="s">
        <v>1380</v>
      </c>
    </row>
    <row r="1509" spans="1:19" x14ac:dyDescent="0.3">
      <c r="A1509" s="4" t="s">
        <v>1355</v>
      </c>
      <c r="B1509" s="5">
        <f t="shared" si="338"/>
        <v>3</v>
      </c>
      <c r="C1509" s="5">
        <f t="shared" si="339"/>
        <v>2023</v>
      </c>
      <c r="D1509" s="5" t="s">
        <v>1354</v>
      </c>
      <c r="E1509" s="5" t="str">
        <f>VLOOKUP(F1509,'Set up'!$A$2:$C$70,2,FALSE)</f>
        <v>C00000034</v>
      </c>
      <c r="F1509" s="1" t="s">
        <v>1196</v>
      </c>
      <c r="G1509" s="89" t="s">
        <v>655</v>
      </c>
      <c r="H1509" s="5">
        <v>2</v>
      </c>
      <c r="I1509" s="5" t="str">
        <f>VLOOKUP(F1509,'Set up'!$A$2:$C$70,3,FALSE)</f>
        <v>Cash</v>
      </c>
      <c r="J1509" s="5">
        <f>VLOOKUP(F1509,'Set up'!$A$2:$D$70,4,FALSE)</f>
        <v>0</v>
      </c>
      <c r="K1509" s="4">
        <f t="shared" si="340"/>
        <v>45012</v>
      </c>
      <c r="L1509" s="5">
        <f t="shared" si="341"/>
        <v>3</v>
      </c>
      <c r="M1509" s="5">
        <f t="shared" si="342"/>
        <v>2023</v>
      </c>
      <c r="N1509" s="6">
        <v>472</v>
      </c>
      <c r="O1509" s="6">
        <f t="shared" si="350"/>
        <v>-472</v>
      </c>
      <c r="P1509" s="6">
        <f t="shared" si="347"/>
        <v>0</v>
      </c>
      <c r="Q1509" s="7">
        <f t="shared" si="343"/>
        <v>2807320.0500000003</v>
      </c>
      <c r="R1509" s="44" t="str">
        <f>VLOOKUP(F1509,'Set up'!$A$2:$E$70,5,FALSE)</f>
        <v>Trsf</v>
      </c>
      <c r="S1509" s="1" t="s">
        <v>1380</v>
      </c>
    </row>
    <row r="1510" spans="1:19" x14ac:dyDescent="0.3">
      <c r="A1510" s="4" t="s">
        <v>1359</v>
      </c>
      <c r="B1510" s="5">
        <f t="shared" si="338"/>
        <v>3</v>
      </c>
      <c r="C1510" s="5">
        <f t="shared" si="339"/>
        <v>2023</v>
      </c>
      <c r="D1510" s="5" t="s">
        <v>1358</v>
      </c>
      <c r="E1510" s="5" t="str">
        <f>VLOOKUP(F1510,'Set up'!$A$2:$C$70,2,FALSE)</f>
        <v>C00000026</v>
      </c>
      <c r="F1510" s="1" t="s">
        <v>784</v>
      </c>
      <c r="G1510" s="89" t="s">
        <v>716</v>
      </c>
      <c r="H1510" s="5">
        <v>1</v>
      </c>
      <c r="I1510" s="5" t="str">
        <f>VLOOKUP(F1510,'Set up'!$A$2:$C$70,3,FALSE)</f>
        <v>Cash</v>
      </c>
      <c r="J1510" s="5">
        <f>VLOOKUP(F1510,'Set up'!$A$2:$D$70,4,FALSE)</f>
        <v>0</v>
      </c>
      <c r="K1510" s="4">
        <f t="shared" si="340"/>
        <v>45013</v>
      </c>
      <c r="L1510" s="5">
        <f t="shared" si="341"/>
        <v>3</v>
      </c>
      <c r="M1510" s="5">
        <f t="shared" si="342"/>
        <v>2023</v>
      </c>
      <c r="N1510" s="6">
        <v>1870</v>
      </c>
      <c r="O1510" s="6">
        <f t="shared" si="350"/>
        <v>-1870</v>
      </c>
      <c r="P1510" s="6">
        <f t="shared" ref="P1510:P1526" si="351">SUM(N1510+O1510)</f>
        <v>0</v>
      </c>
      <c r="Q1510" s="7">
        <f t="shared" si="343"/>
        <v>2809190.0500000003</v>
      </c>
      <c r="R1510" s="44" t="str">
        <f>VLOOKUP(F1510,'Set up'!$A$2:$E$70,5,FALSE)</f>
        <v>Trsf</v>
      </c>
      <c r="S1510" s="1" t="s">
        <v>1386</v>
      </c>
    </row>
    <row r="1511" spans="1:19" x14ac:dyDescent="0.3">
      <c r="A1511" s="4" t="s">
        <v>1359</v>
      </c>
      <c r="B1511" s="5">
        <f t="shared" si="338"/>
        <v>3</v>
      </c>
      <c r="C1511" s="5">
        <f t="shared" si="339"/>
        <v>2023</v>
      </c>
      <c r="D1511" s="5" t="s">
        <v>1358</v>
      </c>
      <c r="E1511" s="5" t="str">
        <f>VLOOKUP(F1511,'Set up'!$A$2:$C$70,2,FALSE)</f>
        <v>C00000026</v>
      </c>
      <c r="F1511" s="1" t="s">
        <v>784</v>
      </c>
      <c r="G1511" s="89" t="s">
        <v>707</v>
      </c>
      <c r="H1511" s="5">
        <v>1</v>
      </c>
      <c r="I1511" s="5" t="str">
        <f>VLOOKUP(F1511,'Set up'!$A$2:$C$70,3,FALSE)</f>
        <v>Cash</v>
      </c>
      <c r="J1511" s="5">
        <f>VLOOKUP(F1511,'Set up'!$A$2:$D$70,4,FALSE)</f>
        <v>0</v>
      </c>
      <c r="K1511" s="4">
        <f t="shared" si="340"/>
        <v>45013</v>
      </c>
      <c r="L1511" s="5">
        <f t="shared" si="341"/>
        <v>3</v>
      </c>
      <c r="M1511" s="5">
        <f t="shared" si="342"/>
        <v>2023</v>
      </c>
      <c r="N1511" s="6">
        <v>448.2</v>
      </c>
      <c r="O1511" s="6">
        <f>-130-318.2</f>
        <v>-448.2</v>
      </c>
      <c r="P1511" s="6">
        <f t="shared" si="351"/>
        <v>0</v>
      </c>
      <c r="Q1511" s="7">
        <f t="shared" si="343"/>
        <v>2809638.2500000005</v>
      </c>
      <c r="R1511" s="44" t="str">
        <f>VLOOKUP(F1511,'Set up'!$A$2:$E$70,5,FALSE)</f>
        <v>Trsf</v>
      </c>
      <c r="S1511" s="1" t="s">
        <v>1480</v>
      </c>
    </row>
    <row r="1512" spans="1:19" x14ac:dyDescent="0.3">
      <c r="A1512" s="4" t="s">
        <v>1359</v>
      </c>
      <c r="B1512" s="5">
        <f t="shared" si="338"/>
        <v>3</v>
      </c>
      <c r="C1512" s="5">
        <f t="shared" si="339"/>
        <v>2023</v>
      </c>
      <c r="D1512" s="5" t="s">
        <v>1358</v>
      </c>
      <c r="E1512" s="5" t="str">
        <f>VLOOKUP(F1512,'Set up'!$A$2:$C$70,2,FALSE)</f>
        <v>C00000026</v>
      </c>
      <c r="F1512" s="1" t="s">
        <v>784</v>
      </c>
      <c r="G1512" s="89" t="s">
        <v>865</v>
      </c>
      <c r="H1512" s="5">
        <v>1</v>
      </c>
      <c r="I1512" s="5" t="str">
        <f>VLOOKUP(F1512,'Set up'!$A$2:$C$70,3,FALSE)</f>
        <v>Cash</v>
      </c>
      <c r="J1512" s="5">
        <f>VLOOKUP(F1512,'Set up'!$A$2:$D$70,4,FALSE)</f>
        <v>0</v>
      </c>
      <c r="K1512" s="4">
        <f t="shared" si="340"/>
        <v>45013</v>
      </c>
      <c r="L1512" s="5">
        <f t="shared" si="341"/>
        <v>3</v>
      </c>
      <c r="M1512" s="5">
        <f t="shared" si="342"/>
        <v>2023</v>
      </c>
      <c r="N1512" s="6">
        <v>258</v>
      </c>
      <c r="O1512" s="6">
        <f t="shared" ref="O1512:O1519" si="352">-N1512</f>
        <v>-258</v>
      </c>
      <c r="P1512" s="6">
        <f t="shared" si="351"/>
        <v>0</v>
      </c>
      <c r="Q1512" s="7">
        <f t="shared" si="343"/>
        <v>2809896.2500000005</v>
      </c>
      <c r="R1512" s="44" t="str">
        <f>VLOOKUP(F1512,'Set up'!$A$2:$E$70,5,FALSE)</f>
        <v>Trsf</v>
      </c>
      <c r="S1512" s="1" t="s">
        <v>1481</v>
      </c>
    </row>
    <row r="1513" spans="1:19" x14ac:dyDescent="0.3">
      <c r="A1513" s="4" t="s">
        <v>1359</v>
      </c>
      <c r="B1513" s="5">
        <f t="shared" si="338"/>
        <v>3</v>
      </c>
      <c r="C1513" s="5">
        <f t="shared" si="339"/>
        <v>2023</v>
      </c>
      <c r="D1513" s="5" t="s">
        <v>1358</v>
      </c>
      <c r="E1513" s="5" t="str">
        <f>VLOOKUP(F1513,'Set up'!$A$2:$C$70,2,FALSE)</f>
        <v>C00000026</v>
      </c>
      <c r="F1513" s="1" t="s">
        <v>784</v>
      </c>
      <c r="G1513" s="89" t="s">
        <v>292</v>
      </c>
      <c r="H1513" s="5">
        <v>1</v>
      </c>
      <c r="I1513" s="5" t="str">
        <f>VLOOKUP(F1513,'Set up'!$A$2:$C$70,3,FALSE)</f>
        <v>Cash</v>
      </c>
      <c r="J1513" s="5">
        <f>VLOOKUP(F1513,'Set up'!$A$2:$D$70,4,FALSE)</f>
        <v>0</v>
      </c>
      <c r="K1513" s="4">
        <f t="shared" si="340"/>
        <v>45013</v>
      </c>
      <c r="L1513" s="5">
        <f t="shared" si="341"/>
        <v>3</v>
      </c>
      <c r="M1513" s="5">
        <f t="shared" si="342"/>
        <v>2023</v>
      </c>
      <c r="N1513" s="6">
        <v>450</v>
      </c>
      <c r="O1513" s="6">
        <f t="shared" si="352"/>
        <v>-450</v>
      </c>
      <c r="P1513" s="6">
        <f t="shared" si="351"/>
        <v>0</v>
      </c>
      <c r="Q1513" s="7">
        <f t="shared" si="343"/>
        <v>2810346.2500000005</v>
      </c>
      <c r="R1513" s="44" t="str">
        <f>VLOOKUP(F1513,'Set up'!$A$2:$E$70,5,FALSE)</f>
        <v>Trsf</v>
      </c>
      <c r="S1513" s="1" t="s">
        <v>1482</v>
      </c>
    </row>
    <row r="1514" spans="1:19" x14ac:dyDescent="0.3">
      <c r="A1514" s="4" t="s">
        <v>1362</v>
      </c>
      <c r="B1514" s="5">
        <f t="shared" si="338"/>
        <v>3</v>
      </c>
      <c r="C1514" s="5">
        <f t="shared" si="339"/>
        <v>2023</v>
      </c>
      <c r="D1514" s="5" t="s">
        <v>1361</v>
      </c>
      <c r="E1514" s="5" t="str">
        <f>VLOOKUP(F1514,'Set up'!$A$2:$C$70,2,FALSE)</f>
        <v>C00000037</v>
      </c>
      <c r="F1514" s="1" t="s">
        <v>1309</v>
      </c>
      <c r="G1514" s="89" t="s">
        <v>719</v>
      </c>
      <c r="H1514" s="5">
        <v>2</v>
      </c>
      <c r="I1514" s="5">
        <f>VLOOKUP(F1514,'Set up'!$A$2:$C$70,3,FALSE)</f>
        <v>30</v>
      </c>
      <c r="J1514" s="5">
        <f>VLOOKUP(F1514,'Set up'!$A$2:$D$70,4,FALSE)</f>
        <v>30</v>
      </c>
      <c r="K1514" s="4">
        <f t="shared" si="340"/>
        <v>45045</v>
      </c>
      <c r="L1514" s="5">
        <f t="shared" si="341"/>
        <v>4</v>
      </c>
      <c r="M1514" s="5">
        <f t="shared" si="342"/>
        <v>2023</v>
      </c>
      <c r="N1514" s="6">
        <v>3608</v>
      </c>
      <c r="O1514" s="6">
        <f t="shared" si="352"/>
        <v>-3608</v>
      </c>
      <c r="P1514" s="6">
        <f t="shared" si="351"/>
        <v>0</v>
      </c>
      <c r="Q1514" s="7">
        <f t="shared" si="343"/>
        <v>2813954.2500000005</v>
      </c>
      <c r="R1514" s="44" t="str">
        <f>VLOOKUP(F1514,'Set up'!$A$2:$E$70,5,FALSE)</f>
        <v>Chq</v>
      </c>
      <c r="S1514" s="1" t="s">
        <v>1566</v>
      </c>
    </row>
    <row r="1515" spans="1:19" x14ac:dyDescent="0.3">
      <c r="A1515" s="4" t="s">
        <v>1362</v>
      </c>
      <c r="B1515" s="5">
        <f t="shared" si="338"/>
        <v>3</v>
      </c>
      <c r="C1515" s="5">
        <f t="shared" si="339"/>
        <v>2023</v>
      </c>
      <c r="D1515" s="5" t="s">
        <v>1361</v>
      </c>
      <c r="E1515" s="5" t="str">
        <f>VLOOKUP(F1515,'Set up'!$A$2:$C$70,2,FALSE)</f>
        <v>C00000037</v>
      </c>
      <c r="F1515" s="1" t="s">
        <v>1309</v>
      </c>
      <c r="G1515" s="89" t="s">
        <v>707</v>
      </c>
      <c r="H1515" s="5">
        <v>3</v>
      </c>
      <c r="I1515" s="5">
        <f>VLOOKUP(F1515,'Set up'!$A$2:$C$70,3,FALSE)</f>
        <v>30</v>
      </c>
      <c r="J1515" s="5">
        <f>VLOOKUP(F1515,'Set up'!$A$2:$D$70,4,FALSE)</f>
        <v>30</v>
      </c>
      <c r="K1515" s="4">
        <f t="shared" si="340"/>
        <v>45045</v>
      </c>
      <c r="L1515" s="5">
        <f t="shared" si="341"/>
        <v>4</v>
      </c>
      <c r="M1515" s="5">
        <f t="shared" si="342"/>
        <v>2023</v>
      </c>
      <c r="N1515" s="6">
        <v>1263.5999999999999</v>
      </c>
      <c r="O1515" s="6">
        <f t="shared" si="352"/>
        <v>-1263.5999999999999</v>
      </c>
      <c r="P1515" s="6">
        <f t="shared" si="351"/>
        <v>0</v>
      </c>
      <c r="Q1515" s="7">
        <f t="shared" si="343"/>
        <v>2815217.8500000006</v>
      </c>
      <c r="R1515" s="44" t="str">
        <f>VLOOKUP(F1515,'Set up'!$A$2:$E$70,5,FALSE)</f>
        <v>Chq</v>
      </c>
      <c r="S1515" s="1" t="s">
        <v>1566</v>
      </c>
    </row>
    <row r="1516" spans="1:19" x14ac:dyDescent="0.3">
      <c r="A1516" s="4" t="s">
        <v>1362</v>
      </c>
      <c r="B1516" s="5">
        <f t="shared" si="338"/>
        <v>3</v>
      </c>
      <c r="C1516" s="5">
        <f t="shared" si="339"/>
        <v>2023</v>
      </c>
      <c r="D1516" s="5" t="s">
        <v>1361</v>
      </c>
      <c r="E1516" s="5" t="str">
        <f>VLOOKUP(F1516,'Set up'!$A$2:$C$70,2,FALSE)</f>
        <v>C00000037</v>
      </c>
      <c r="F1516" s="1" t="s">
        <v>1309</v>
      </c>
      <c r="G1516" s="89" t="s">
        <v>666</v>
      </c>
      <c r="H1516" s="5">
        <v>2</v>
      </c>
      <c r="I1516" s="5">
        <f>VLOOKUP(F1516,'Set up'!$A$2:$C$70,3,FALSE)</f>
        <v>30</v>
      </c>
      <c r="J1516" s="5">
        <f>VLOOKUP(F1516,'Set up'!$A$2:$D$70,4,FALSE)</f>
        <v>30</v>
      </c>
      <c r="K1516" s="4">
        <f t="shared" si="340"/>
        <v>45045</v>
      </c>
      <c r="L1516" s="5">
        <f t="shared" si="341"/>
        <v>4</v>
      </c>
      <c r="M1516" s="5">
        <f t="shared" si="342"/>
        <v>2023</v>
      </c>
      <c r="N1516" s="6">
        <v>190</v>
      </c>
      <c r="O1516" s="6">
        <f t="shared" si="352"/>
        <v>-190</v>
      </c>
      <c r="P1516" s="6">
        <f t="shared" si="351"/>
        <v>0</v>
      </c>
      <c r="Q1516" s="7">
        <f t="shared" si="343"/>
        <v>2815407.8500000006</v>
      </c>
      <c r="R1516" s="44" t="str">
        <f>VLOOKUP(F1516,'Set up'!$A$2:$E$70,5,FALSE)</f>
        <v>Chq</v>
      </c>
      <c r="S1516" s="1" t="s">
        <v>1566</v>
      </c>
    </row>
    <row r="1517" spans="1:19" x14ac:dyDescent="0.3">
      <c r="A1517" s="4" t="s">
        <v>1362</v>
      </c>
      <c r="B1517" s="5">
        <f t="shared" si="338"/>
        <v>3</v>
      </c>
      <c r="C1517" s="5">
        <f t="shared" si="339"/>
        <v>2023</v>
      </c>
      <c r="D1517" s="5" t="s">
        <v>1361</v>
      </c>
      <c r="E1517" s="5" t="str">
        <f>VLOOKUP(F1517,'Set up'!$A$2:$C$70,2,FALSE)</f>
        <v>C00000037</v>
      </c>
      <c r="F1517" s="1" t="s">
        <v>1309</v>
      </c>
      <c r="G1517" s="89" t="s">
        <v>865</v>
      </c>
      <c r="H1517" s="5">
        <v>2</v>
      </c>
      <c r="I1517" s="5">
        <f>VLOOKUP(F1517,'Set up'!$A$2:$C$70,3,FALSE)</f>
        <v>30</v>
      </c>
      <c r="J1517" s="5">
        <f>VLOOKUP(F1517,'Set up'!$A$2:$D$70,4,FALSE)</f>
        <v>30</v>
      </c>
      <c r="K1517" s="4">
        <f t="shared" si="340"/>
        <v>45045</v>
      </c>
      <c r="L1517" s="5">
        <f t="shared" si="341"/>
        <v>4</v>
      </c>
      <c r="M1517" s="5">
        <f t="shared" si="342"/>
        <v>2023</v>
      </c>
      <c r="N1517" s="6">
        <v>520</v>
      </c>
      <c r="O1517" s="6">
        <f t="shared" si="352"/>
        <v>-520</v>
      </c>
      <c r="P1517" s="6">
        <f t="shared" si="351"/>
        <v>0</v>
      </c>
      <c r="Q1517" s="7">
        <f t="shared" si="343"/>
        <v>2815927.8500000006</v>
      </c>
      <c r="R1517" s="44" t="str">
        <f>VLOOKUP(F1517,'Set up'!$A$2:$E$70,5,FALSE)</f>
        <v>Chq</v>
      </c>
      <c r="S1517" s="1" t="s">
        <v>1566</v>
      </c>
    </row>
    <row r="1518" spans="1:19" x14ac:dyDescent="0.3">
      <c r="A1518" s="4" t="s">
        <v>1362</v>
      </c>
      <c r="B1518" s="5">
        <f t="shared" si="338"/>
        <v>3</v>
      </c>
      <c r="C1518" s="5">
        <f t="shared" si="339"/>
        <v>2023</v>
      </c>
      <c r="D1518" s="5" t="s">
        <v>1361</v>
      </c>
      <c r="E1518" s="5" t="str">
        <f>VLOOKUP(F1518,'Set up'!$A$2:$C$70,2,FALSE)</f>
        <v>C00000037</v>
      </c>
      <c r="F1518" s="1" t="s">
        <v>1309</v>
      </c>
      <c r="G1518" s="89" t="s">
        <v>1360</v>
      </c>
      <c r="H1518" s="5">
        <v>1</v>
      </c>
      <c r="I1518" s="5">
        <f>VLOOKUP(F1518,'Set up'!$A$2:$C$70,3,FALSE)</f>
        <v>30</v>
      </c>
      <c r="J1518" s="5">
        <f>VLOOKUP(F1518,'Set up'!$A$2:$D$70,4,FALSE)</f>
        <v>30</v>
      </c>
      <c r="K1518" s="4">
        <f t="shared" si="340"/>
        <v>45045</v>
      </c>
      <c r="L1518" s="5">
        <f t="shared" si="341"/>
        <v>4</v>
      </c>
      <c r="M1518" s="5">
        <f t="shared" si="342"/>
        <v>2023</v>
      </c>
      <c r="N1518" s="6">
        <v>875</v>
      </c>
      <c r="O1518" s="6">
        <f t="shared" si="352"/>
        <v>-875</v>
      </c>
      <c r="P1518" s="6">
        <f t="shared" si="351"/>
        <v>0</v>
      </c>
      <c r="Q1518" s="7">
        <f t="shared" si="343"/>
        <v>2816802.8500000006</v>
      </c>
      <c r="R1518" s="44" t="str">
        <f>VLOOKUP(F1518,'Set up'!$A$2:$E$70,5,FALSE)</f>
        <v>Chq</v>
      </c>
      <c r="S1518" s="1" t="s">
        <v>1566</v>
      </c>
    </row>
    <row r="1519" spans="1:19" x14ac:dyDescent="0.3">
      <c r="A1519" s="4" t="s">
        <v>1362</v>
      </c>
      <c r="B1519" s="5">
        <f t="shared" si="338"/>
        <v>3</v>
      </c>
      <c r="C1519" s="5">
        <f t="shared" si="339"/>
        <v>2023</v>
      </c>
      <c r="D1519" s="5" t="s">
        <v>1361</v>
      </c>
      <c r="E1519" s="5" t="str">
        <f>VLOOKUP(F1519,'Set up'!$A$2:$C$70,2,FALSE)</f>
        <v>C00000037</v>
      </c>
      <c r="F1519" s="1" t="s">
        <v>1309</v>
      </c>
      <c r="G1519" s="89" t="s">
        <v>1110</v>
      </c>
      <c r="H1519" s="5">
        <v>3</v>
      </c>
      <c r="I1519" s="5">
        <f>VLOOKUP(F1519,'Set up'!$A$2:$C$70,3,FALSE)</f>
        <v>30</v>
      </c>
      <c r="J1519" s="5">
        <f>VLOOKUP(F1519,'Set up'!$A$2:$D$70,4,FALSE)</f>
        <v>30</v>
      </c>
      <c r="K1519" s="4">
        <f t="shared" si="340"/>
        <v>45045</v>
      </c>
      <c r="L1519" s="5">
        <f t="shared" si="341"/>
        <v>4</v>
      </c>
      <c r="M1519" s="5">
        <f t="shared" si="342"/>
        <v>2023</v>
      </c>
      <c r="N1519" s="6">
        <v>187.5</v>
      </c>
      <c r="O1519" s="6">
        <f t="shared" si="352"/>
        <v>-187.5</v>
      </c>
      <c r="P1519" s="6">
        <f t="shared" si="351"/>
        <v>0</v>
      </c>
      <c r="Q1519" s="7">
        <f t="shared" si="343"/>
        <v>2816990.3500000006</v>
      </c>
      <c r="R1519" s="44" t="str">
        <f>VLOOKUP(F1519,'Set up'!$A$2:$E$70,5,FALSE)</f>
        <v>Chq</v>
      </c>
      <c r="S1519" s="1" t="s">
        <v>1566</v>
      </c>
    </row>
    <row r="1520" spans="1:19" x14ac:dyDescent="0.3">
      <c r="A1520" s="4" t="s">
        <v>1362</v>
      </c>
      <c r="B1520" s="5">
        <f t="shared" si="338"/>
        <v>3</v>
      </c>
      <c r="C1520" s="5">
        <f t="shared" si="339"/>
        <v>2023</v>
      </c>
      <c r="D1520" s="5" t="s">
        <v>1363</v>
      </c>
      <c r="E1520" s="5" t="str">
        <f>VLOOKUP(F1520,'Set up'!$A$2:$C$70,2,FALSE)</f>
        <v>C00000034</v>
      </c>
      <c r="F1520" s="1" t="s">
        <v>1196</v>
      </c>
      <c r="G1520" s="89" t="s">
        <v>666</v>
      </c>
      <c r="H1520" s="5">
        <v>3</v>
      </c>
      <c r="I1520" s="5" t="str">
        <f>VLOOKUP(F1520,'Set up'!$A$2:$C$70,3,FALSE)</f>
        <v>Cash</v>
      </c>
      <c r="J1520" s="5">
        <f>VLOOKUP(F1520,'Set up'!$A$2:$D$70,4,FALSE)</f>
        <v>0</v>
      </c>
      <c r="K1520" s="4">
        <f t="shared" si="340"/>
        <v>45015</v>
      </c>
      <c r="L1520" s="5">
        <f t="shared" si="341"/>
        <v>3</v>
      </c>
      <c r="M1520" s="5">
        <f t="shared" si="342"/>
        <v>2023</v>
      </c>
      <c r="N1520" s="6">
        <v>300</v>
      </c>
      <c r="O1520" s="6">
        <f t="shared" ref="O1520:O1526" si="353">-N1520</f>
        <v>-300</v>
      </c>
      <c r="P1520" s="6">
        <f t="shared" si="351"/>
        <v>0</v>
      </c>
      <c r="Q1520" s="7">
        <f t="shared" si="343"/>
        <v>2817290.3500000006</v>
      </c>
      <c r="R1520" s="44" t="str">
        <f>VLOOKUP(F1520,'Set up'!$A$2:$E$70,5,FALSE)</f>
        <v>Trsf</v>
      </c>
      <c r="S1520" s="1" t="s">
        <v>1381</v>
      </c>
    </row>
    <row r="1521" spans="1:19" x14ac:dyDescent="0.3">
      <c r="A1521" s="4" t="s">
        <v>1362</v>
      </c>
      <c r="B1521" s="5">
        <f t="shared" si="338"/>
        <v>3</v>
      </c>
      <c r="C1521" s="5">
        <f t="shared" si="339"/>
        <v>2023</v>
      </c>
      <c r="D1521" s="5" t="s">
        <v>1364</v>
      </c>
      <c r="E1521" s="5" t="str">
        <f>VLOOKUP(F1521,'Set up'!$A$2:$C$70,2,FALSE)</f>
        <v>C00000034</v>
      </c>
      <c r="F1521" s="1" t="s">
        <v>1196</v>
      </c>
      <c r="G1521" s="89" t="s">
        <v>1110</v>
      </c>
      <c r="H1521" s="5">
        <v>3</v>
      </c>
      <c r="I1521" s="5" t="str">
        <f>VLOOKUP(F1521,'Set up'!$A$2:$C$70,3,FALSE)</f>
        <v>Cash</v>
      </c>
      <c r="J1521" s="5">
        <f>VLOOKUP(F1521,'Set up'!$A$2:$D$70,4,FALSE)</f>
        <v>0</v>
      </c>
      <c r="K1521" s="4">
        <f t="shared" si="340"/>
        <v>45015</v>
      </c>
      <c r="L1521" s="5">
        <f t="shared" si="341"/>
        <v>3</v>
      </c>
      <c r="M1521" s="5">
        <f t="shared" si="342"/>
        <v>2023</v>
      </c>
      <c r="N1521" s="6">
        <v>187.5</v>
      </c>
      <c r="O1521" s="6">
        <f t="shared" si="353"/>
        <v>-187.5</v>
      </c>
      <c r="P1521" s="6">
        <f t="shared" si="351"/>
        <v>0</v>
      </c>
      <c r="Q1521" s="7">
        <f t="shared" si="343"/>
        <v>2817477.8500000006</v>
      </c>
      <c r="R1521" s="44" t="str">
        <f>VLOOKUP(F1521,'Set up'!$A$2:$E$70,5,FALSE)</f>
        <v>Trsf</v>
      </c>
      <c r="S1521" s="1" t="s">
        <v>1381</v>
      </c>
    </row>
    <row r="1522" spans="1:19" x14ac:dyDescent="0.3">
      <c r="A1522" s="4" t="s">
        <v>1362</v>
      </c>
      <c r="B1522" s="5">
        <f t="shared" si="338"/>
        <v>3</v>
      </c>
      <c r="C1522" s="5">
        <f t="shared" si="339"/>
        <v>2023</v>
      </c>
      <c r="D1522" s="5" t="s">
        <v>1365</v>
      </c>
      <c r="E1522" s="5" t="str">
        <f>VLOOKUP(F1522,'Set up'!$A$2:$C$70,2,FALSE)</f>
        <v>C00000020</v>
      </c>
      <c r="F1522" s="1" t="s">
        <v>409</v>
      </c>
      <c r="G1522" s="89" t="s">
        <v>1110</v>
      </c>
      <c r="H1522" s="5">
        <v>5</v>
      </c>
      <c r="I1522" s="5" t="str">
        <f>VLOOKUP(F1522,'Set up'!$A$2:$C$70,3,FALSE)</f>
        <v>Cash</v>
      </c>
      <c r="J1522" s="5">
        <f>VLOOKUP(F1522,'Set up'!$A$2:$D$70,4,FALSE)</f>
        <v>0</v>
      </c>
      <c r="K1522" s="4">
        <f t="shared" si="340"/>
        <v>45015</v>
      </c>
      <c r="L1522" s="5">
        <f t="shared" si="341"/>
        <v>3</v>
      </c>
      <c r="M1522" s="5">
        <f t="shared" si="342"/>
        <v>2023</v>
      </c>
      <c r="N1522" s="6">
        <v>312.5</v>
      </c>
      <c r="O1522" s="6">
        <f t="shared" si="353"/>
        <v>-312.5</v>
      </c>
      <c r="P1522" s="6">
        <f t="shared" si="351"/>
        <v>0</v>
      </c>
      <c r="Q1522" s="7">
        <f t="shared" si="343"/>
        <v>2817790.3500000006</v>
      </c>
      <c r="R1522" s="44" t="str">
        <f>VLOOKUP(F1522,'Set up'!$A$2:$E$70,5,FALSE)</f>
        <v>Trsf</v>
      </c>
      <c r="S1522" s="1" t="s">
        <v>2319</v>
      </c>
    </row>
    <row r="1523" spans="1:19" x14ac:dyDescent="0.3">
      <c r="A1523" s="4" t="s">
        <v>1362</v>
      </c>
      <c r="B1523" s="5">
        <f t="shared" si="338"/>
        <v>3</v>
      </c>
      <c r="C1523" s="5">
        <f t="shared" si="339"/>
        <v>2023</v>
      </c>
      <c r="D1523" s="5" t="s">
        <v>1366</v>
      </c>
      <c r="E1523" s="5" t="str">
        <f>VLOOKUP(F1523,'Set up'!$A$2:$C$70,2,FALSE)</f>
        <v>C00000020</v>
      </c>
      <c r="F1523" s="1" t="s">
        <v>409</v>
      </c>
      <c r="G1523" s="89" t="s">
        <v>95</v>
      </c>
      <c r="H1523" s="5">
        <v>5</v>
      </c>
      <c r="I1523" s="5" t="str">
        <f>VLOOKUP(F1523,'Set up'!$A$2:$C$70,3,FALSE)</f>
        <v>Cash</v>
      </c>
      <c r="J1523" s="5">
        <f>VLOOKUP(F1523,'Set up'!$A$2:$D$70,4,FALSE)</f>
        <v>0</v>
      </c>
      <c r="K1523" s="4">
        <f t="shared" si="340"/>
        <v>45015</v>
      </c>
      <c r="L1523" s="5">
        <f t="shared" si="341"/>
        <v>3</v>
      </c>
      <c r="M1523" s="5">
        <f t="shared" si="342"/>
        <v>2023</v>
      </c>
      <c r="N1523" s="6">
        <v>8690</v>
      </c>
      <c r="O1523" s="6">
        <f t="shared" si="353"/>
        <v>-8690</v>
      </c>
      <c r="P1523" s="6">
        <f t="shared" si="351"/>
        <v>0</v>
      </c>
      <c r="Q1523" s="7">
        <f t="shared" si="343"/>
        <v>2826480.3500000006</v>
      </c>
      <c r="R1523" s="44" t="str">
        <f>VLOOKUP(F1523,'Set up'!$A$2:$E$70,5,FALSE)</f>
        <v>Trsf</v>
      </c>
      <c r="S1523" s="1" t="s">
        <v>2323</v>
      </c>
    </row>
    <row r="1524" spans="1:19" x14ac:dyDescent="0.3">
      <c r="A1524" s="4" t="s">
        <v>1362</v>
      </c>
      <c r="B1524" s="5">
        <f t="shared" si="338"/>
        <v>3</v>
      </c>
      <c r="C1524" s="5">
        <f t="shared" si="339"/>
        <v>2023</v>
      </c>
      <c r="D1524" s="5" t="s">
        <v>1366</v>
      </c>
      <c r="E1524" s="5" t="str">
        <f>VLOOKUP(F1524,'Set up'!$A$2:$C$70,2,FALSE)</f>
        <v>C00000020</v>
      </c>
      <c r="F1524" s="1" t="s">
        <v>409</v>
      </c>
      <c r="G1524" s="89" t="s">
        <v>654</v>
      </c>
      <c r="H1524" s="5">
        <v>10</v>
      </c>
      <c r="I1524" s="5" t="str">
        <f>VLOOKUP(F1524,'Set up'!$A$2:$C$70,3,FALSE)</f>
        <v>Cash</v>
      </c>
      <c r="J1524" s="5">
        <f>VLOOKUP(F1524,'Set up'!$A$2:$D$70,4,FALSE)</f>
        <v>0</v>
      </c>
      <c r="K1524" s="4">
        <f t="shared" si="340"/>
        <v>45015</v>
      </c>
      <c r="L1524" s="5">
        <f t="shared" si="341"/>
        <v>3</v>
      </c>
      <c r="M1524" s="5">
        <f t="shared" si="342"/>
        <v>2023</v>
      </c>
      <c r="N1524" s="6">
        <v>2280</v>
      </c>
      <c r="O1524" s="6">
        <f t="shared" si="353"/>
        <v>-2280</v>
      </c>
      <c r="P1524" s="6">
        <f t="shared" si="351"/>
        <v>0</v>
      </c>
      <c r="Q1524" s="7">
        <f t="shared" si="343"/>
        <v>2828760.3500000006</v>
      </c>
      <c r="R1524" s="44" t="str">
        <f>VLOOKUP(F1524,'Set up'!$A$2:$E$70,5,FALSE)</f>
        <v>Trsf</v>
      </c>
      <c r="S1524" s="1" t="s">
        <v>2326</v>
      </c>
    </row>
    <row r="1525" spans="1:19" x14ac:dyDescent="0.3">
      <c r="A1525" s="4" t="s">
        <v>1362</v>
      </c>
      <c r="B1525" s="5">
        <f t="shared" si="338"/>
        <v>3</v>
      </c>
      <c r="C1525" s="5">
        <f t="shared" si="339"/>
        <v>2023</v>
      </c>
      <c r="D1525" s="5" t="s">
        <v>1366</v>
      </c>
      <c r="E1525" s="5" t="str">
        <f>VLOOKUP(F1525,'Set up'!$A$2:$C$70,2,FALSE)</f>
        <v>C00000020</v>
      </c>
      <c r="F1525" s="1" t="s">
        <v>409</v>
      </c>
      <c r="G1525" s="89" t="s">
        <v>778</v>
      </c>
      <c r="H1525" s="5">
        <v>5</v>
      </c>
      <c r="I1525" s="5" t="str">
        <f>VLOOKUP(F1525,'Set up'!$A$2:$C$70,3,FALSE)</f>
        <v>Cash</v>
      </c>
      <c r="J1525" s="5">
        <f>VLOOKUP(F1525,'Set up'!$A$2:$D$70,4,FALSE)</f>
        <v>0</v>
      </c>
      <c r="K1525" s="4">
        <f t="shared" si="340"/>
        <v>45015</v>
      </c>
      <c r="L1525" s="5">
        <f t="shared" si="341"/>
        <v>3</v>
      </c>
      <c r="M1525" s="5">
        <f t="shared" si="342"/>
        <v>2023</v>
      </c>
      <c r="N1525" s="6">
        <v>1260</v>
      </c>
      <c r="O1525" s="6">
        <f t="shared" si="353"/>
        <v>-1260</v>
      </c>
      <c r="P1525" s="6">
        <f t="shared" si="351"/>
        <v>0</v>
      </c>
      <c r="Q1525" s="7">
        <f t="shared" si="343"/>
        <v>2830020.3500000006</v>
      </c>
      <c r="R1525" s="44" t="str">
        <f>VLOOKUP(F1525,'Set up'!$A$2:$E$70,5,FALSE)</f>
        <v>Trsf</v>
      </c>
      <c r="S1525" s="1" t="s">
        <v>2320</v>
      </c>
    </row>
    <row r="1526" spans="1:19" x14ac:dyDescent="0.3">
      <c r="A1526" s="4" t="s">
        <v>1362</v>
      </c>
      <c r="B1526" s="5">
        <f t="shared" si="338"/>
        <v>3</v>
      </c>
      <c r="C1526" s="5">
        <f t="shared" si="339"/>
        <v>2023</v>
      </c>
      <c r="D1526" s="5" t="s">
        <v>1366</v>
      </c>
      <c r="E1526" s="5" t="str">
        <f>VLOOKUP(F1526,'Set up'!$A$2:$C$70,2,FALSE)</f>
        <v>C00000020</v>
      </c>
      <c r="F1526" s="1" t="s">
        <v>409</v>
      </c>
      <c r="G1526" s="89" t="s">
        <v>666</v>
      </c>
      <c r="H1526" s="5">
        <v>4</v>
      </c>
      <c r="I1526" s="5" t="str">
        <f>VLOOKUP(F1526,'Set up'!$A$2:$C$70,3,FALSE)</f>
        <v>Cash</v>
      </c>
      <c r="J1526" s="5">
        <f>VLOOKUP(F1526,'Set up'!$A$2:$D$70,4,FALSE)</f>
        <v>0</v>
      </c>
      <c r="K1526" s="4">
        <f t="shared" si="340"/>
        <v>45015</v>
      </c>
      <c r="L1526" s="5">
        <f t="shared" si="341"/>
        <v>3</v>
      </c>
      <c r="M1526" s="5">
        <f t="shared" si="342"/>
        <v>2023</v>
      </c>
      <c r="N1526" s="6">
        <v>380</v>
      </c>
      <c r="O1526" s="6">
        <f t="shared" si="353"/>
        <v>-380</v>
      </c>
      <c r="P1526" s="6">
        <f t="shared" si="351"/>
        <v>0</v>
      </c>
      <c r="Q1526" s="7">
        <f t="shared" si="343"/>
        <v>2830400.3500000006</v>
      </c>
      <c r="R1526" s="44" t="str">
        <f>VLOOKUP(F1526,'Set up'!$A$2:$E$70,5,FALSE)</f>
        <v>Trsf</v>
      </c>
      <c r="S1526" s="1" t="s">
        <v>2321</v>
      </c>
    </row>
    <row r="1527" spans="1:19" x14ac:dyDescent="0.3">
      <c r="A1527" s="4">
        <v>45019</v>
      </c>
      <c r="B1527" s="5">
        <f t="shared" si="338"/>
        <v>4</v>
      </c>
      <c r="C1527" s="5">
        <f t="shared" si="339"/>
        <v>2023</v>
      </c>
      <c r="D1527" s="5" t="s">
        <v>1391</v>
      </c>
      <c r="E1527" s="5" t="str">
        <f>VLOOKUP(F1527,'Set up'!$A$2:$C$70,2,FALSE)</f>
        <v>C00000022</v>
      </c>
      <c r="F1527" s="1" t="s">
        <v>637</v>
      </c>
      <c r="G1527" s="89" t="s">
        <v>1390</v>
      </c>
      <c r="H1527" s="5">
        <v>1</v>
      </c>
      <c r="I1527" s="5" t="str">
        <f>VLOOKUP(F1527,'Set up'!$A$2:$C$70,3,FALSE)</f>
        <v>Cash</v>
      </c>
      <c r="J1527" s="5">
        <f>VLOOKUP(F1527,'Set up'!$A$2:$D$70,4,FALSE)</f>
        <v>0</v>
      </c>
      <c r="K1527" s="4">
        <f t="shared" si="340"/>
        <v>45019</v>
      </c>
      <c r="L1527" s="5">
        <f t="shared" si="341"/>
        <v>4</v>
      </c>
      <c r="M1527" s="5">
        <f t="shared" si="342"/>
        <v>2023</v>
      </c>
      <c r="N1527" s="6">
        <v>475.2</v>
      </c>
      <c r="O1527" s="6">
        <f t="shared" ref="O1527" si="354">-N1527</f>
        <v>-475.2</v>
      </c>
      <c r="P1527" s="6">
        <f t="shared" ref="P1527:P1577" si="355">SUM(N1527+O1527)</f>
        <v>0</v>
      </c>
      <c r="Q1527" s="7">
        <f t="shared" si="343"/>
        <v>2830875.5500000007</v>
      </c>
      <c r="R1527" s="44" t="str">
        <f>VLOOKUP(F1527,'Set up'!$A$2:$E$70,5,FALSE)</f>
        <v>Trsf</v>
      </c>
      <c r="S1527" s="1" t="s">
        <v>1984</v>
      </c>
    </row>
    <row r="1528" spans="1:19" x14ac:dyDescent="0.3">
      <c r="A1528" s="4">
        <v>45019</v>
      </c>
      <c r="B1528" s="5">
        <f t="shared" si="338"/>
        <v>4</v>
      </c>
      <c r="C1528" s="5">
        <f t="shared" si="339"/>
        <v>2023</v>
      </c>
      <c r="D1528" s="5" t="s">
        <v>1394</v>
      </c>
      <c r="E1528" s="5" t="str">
        <f>VLOOKUP(F1528,'Set up'!$A$2:$C$70,2,FALSE)</f>
        <v>C00000034</v>
      </c>
      <c r="F1528" s="1" t="s">
        <v>1196</v>
      </c>
      <c r="G1528" s="89" t="s">
        <v>1356</v>
      </c>
      <c r="H1528" s="5">
        <v>1</v>
      </c>
      <c r="I1528" s="5" t="str">
        <f>VLOOKUP(F1528,'Set up'!$A$2:$C$70,3,FALSE)</f>
        <v>Cash</v>
      </c>
      <c r="J1528" s="5">
        <f>VLOOKUP(F1528,'Set up'!$A$2:$D$70,4,FALSE)</f>
        <v>0</v>
      </c>
      <c r="K1528" s="4">
        <f t="shared" si="340"/>
        <v>45019</v>
      </c>
      <c r="L1528" s="5">
        <f t="shared" si="341"/>
        <v>4</v>
      </c>
      <c r="M1528" s="5">
        <f t="shared" si="342"/>
        <v>2023</v>
      </c>
      <c r="N1528" s="6">
        <v>1848</v>
      </c>
      <c r="O1528" s="6">
        <f t="shared" ref="O1528:O1545" si="356">-N1528</f>
        <v>-1848</v>
      </c>
      <c r="P1528" s="6">
        <f t="shared" si="355"/>
        <v>0</v>
      </c>
      <c r="Q1528" s="7">
        <f t="shared" si="343"/>
        <v>2832723.5500000007</v>
      </c>
      <c r="R1528" s="44" t="str">
        <f>VLOOKUP(F1528,'Set up'!$A$2:$E$70,5,FALSE)</f>
        <v>Trsf</v>
      </c>
      <c r="S1528" s="1" t="s">
        <v>1470</v>
      </c>
    </row>
    <row r="1529" spans="1:19" x14ac:dyDescent="0.3">
      <c r="A1529" s="4">
        <v>45019</v>
      </c>
      <c r="B1529" s="5">
        <f t="shared" si="338"/>
        <v>4</v>
      </c>
      <c r="C1529" s="5">
        <f t="shared" si="339"/>
        <v>2023</v>
      </c>
      <c r="D1529" s="5" t="s">
        <v>1394</v>
      </c>
      <c r="E1529" s="5" t="str">
        <f>VLOOKUP(F1529,'Set up'!$A$2:$C$70,2,FALSE)</f>
        <v>C00000034</v>
      </c>
      <c r="F1529" s="1" t="s">
        <v>1196</v>
      </c>
      <c r="G1529" s="89" t="s">
        <v>1392</v>
      </c>
      <c r="H1529" s="5">
        <v>5</v>
      </c>
      <c r="I1529" s="5" t="str">
        <f>VLOOKUP(F1529,'Set up'!$A$2:$C$70,3,FALSE)</f>
        <v>Cash</v>
      </c>
      <c r="J1529" s="5">
        <f>VLOOKUP(F1529,'Set up'!$A$2:$D$70,4,FALSE)</f>
        <v>0</v>
      </c>
      <c r="K1529" s="4">
        <f t="shared" si="340"/>
        <v>45019</v>
      </c>
      <c r="L1529" s="5">
        <f t="shared" si="341"/>
        <v>4</v>
      </c>
      <c r="M1529" s="5">
        <f t="shared" si="342"/>
        <v>2023</v>
      </c>
      <c r="N1529" s="6">
        <v>1125</v>
      </c>
      <c r="O1529" s="6">
        <f t="shared" si="356"/>
        <v>-1125</v>
      </c>
      <c r="P1529" s="6">
        <f t="shared" si="355"/>
        <v>0</v>
      </c>
      <c r="Q1529" s="7">
        <f t="shared" si="343"/>
        <v>2833848.5500000007</v>
      </c>
      <c r="R1529" s="44" t="str">
        <f>VLOOKUP(F1529,'Set up'!$A$2:$E$70,5,FALSE)</f>
        <v>Trsf</v>
      </c>
      <c r="S1529" s="1" t="s">
        <v>1471</v>
      </c>
    </row>
    <row r="1530" spans="1:19" x14ac:dyDescent="0.3">
      <c r="A1530" s="4">
        <v>45019</v>
      </c>
      <c r="B1530" s="5">
        <f t="shared" si="338"/>
        <v>4</v>
      </c>
      <c r="C1530" s="5">
        <f t="shared" si="339"/>
        <v>2023</v>
      </c>
      <c r="D1530" s="5" t="s">
        <v>1394</v>
      </c>
      <c r="E1530" s="5" t="str">
        <f>VLOOKUP(F1530,'Set up'!$A$2:$C$70,2,FALSE)</f>
        <v>C00000034</v>
      </c>
      <c r="F1530" s="1" t="s">
        <v>1196</v>
      </c>
      <c r="G1530" s="89" t="s">
        <v>1393</v>
      </c>
      <c r="H1530" s="5">
        <v>1</v>
      </c>
      <c r="I1530" s="5" t="str">
        <f>VLOOKUP(F1530,'Set up'!$A$2:$C$70,3,FALSE)</f>
        <v>Cash</v>
      </c>
      <c r="J1530" s="5">
        <f>VLOOKUP(F1530,'Set up'!$A$2:$D$70,4,FALSE)</f>
        <v>0</v>
      </c>
      <c r="K1530" s="4">
        <f t="shared" si="340"/>
        <v>45019</v>
      </c>
      <c r="L1530" s="5">
        <f t="shared" si="341"/>
        <v>4</v>
      </c>
      <c r="M1530" s="5">
        <f t="shared" si="342"/>
        <v>2023</v>
      </c>
      <c r="N1530" s="6">
        <v>225</v>
      </c>
      <c r="O1530" s="6">
        <f t="shared" si="356"/>
        <v>-225</v>
      </c>
      <c r="P1530" s="6">
        <f t="shared" si="355"/>
        <v>0</v>
      </c>
      <c r="Q1530" s="7">
        <f t="shared" si="343"/>
        <v>2834073.5500000007</v>
      </c>
      <c r="R1530" s="44" t="str">
        <f>VLOOKUP(F1530,'Set up'!$A$2:$E$70,5,FALSE)</f>
        <v>Trsf</v>
      </c>
      <c r="S1530" s="1" t="s">
        <v>1472</v>
      </c>
    </row>
    <row r="1531" spans="1:19" x14ac:dyDescent="0.3">
      <c r="A1531" s="4">
        <v>45019</v>
      </c>
      <c r="B1531" s="5">
        <f t="shared" si="338"/>
        <v>4</v>
      </c>
      <c r="C1531" s="5">
        <f t="shared" si="339"/>
        <v>2023</v>
      </c>
      <c r="D1531" s="5" t="s">
        <v>1394</v>
      </c>
      <c r="E1531" s="5" t="str">
        <f>VLOOKUP(F1531,'Set up'!$A$2:$C$70,2,FALSE)</f>
        <v>C00000034</v>
      </c>
      <c r="F1531" s="1" t="s">
        <v>1196</v>
      </c>
      <c r="G1531" s="89" t="s">
        <v>655</v>
      </c>
      <c r="H1531" s="5">
        <v>2</v>
      </c>
      <c r="I1531" s="5" t="str">
        <f>VLOOKUP(F1531,'Set up'!$A$2:$C$70,3,FALSE)</f>
        <v>Cash</v>
      </c>
      <c r="J1531" s="5">
        <f>VLOOKUP(F1531,'Set up'!$A$2:$D$70,4,FALSE)</f>
        <v>0</v>
      </c>
      <c r="K1531" s="4">
        <f t="shared" si="340"/>
        <v>45019</v>
      </c>
      <c r="L1531" s="5">
        <f t="shared" si="341"/>
        <v>4</v>
      </c>
      <c r="M1531" s="5">
        <f t="shared" si="342"/>
        <v>2023</v>
      </c>
      <c r="N1531" s="6">
        <v>472</v>
      </c>
      <c r="O1531" s="6">
        <f t="shared" si="356"/>
        <v>-472</v>
      </c>
      <c r="P1531" s="6">
        <f t="shared" si="355"/>
        <v>0</v>
      </c>
      <c r="Q1531" s="7">
        <f t="shared" si="343"/>
        <v>2834545.5500000007</v>
      </c>
      <c r="R1531" s="44" t="str">
        <f>VLOOKUP(F1531,'Set up'!$A$2:$E$70,5,FALSE)</f>
        <v>Trsf</v>
      </c>
      <c r="S1531" s="1" t="s">
        <v>1473</v>
      </c>
    </row>
    <row r="1532" spans="1:19" x14ac:dyDescent="0.3">
      <c r="A1532" s="4">
        <v>45019</v>
      </c>
      <c r="B1532" s="5">
        <f t="shared" si="338"/>
        <v>4</v>
      </c>
      <c r="C1532" s="5">
        <f t="shared" si="339"/>
        <v>2023</v>
      </c>
      <c r="D1532" s="5" t="s">
        <v>1394</v>
      </c>
      <c r="E1532" s="5" t="str">
        <f>VLOOKUP(F1532,'Set up'!$A$2:$C$70,2,FALSE)</f>
        <v>C00000034</v>
      </c>
      <c r="F1532" s="1" t="s">
        <v>1196</v>
      </c>
      <c r="G1532" s="89" t="s">
        <v>666</v>
      </c>
      <c r="H1532" s="5">
        <v>1</v>
      </c>
      <c r="I1532" s="5" t="str">
        <f>VLOOKUP(F1532,'Set up'!$A$2:$C$70,3,FALSE)</f>
        <v>Cash</v>
      </c>
      <c r="J1532" s="5">
        <f>VLOOKUP(F1532,'Set up'!$A$2:$D$70,4,FALSE)</f>
        <v>0</v>
      </c>
      <c r="K1532" s="4">
        <f t="shared" si="340"/>
        <v>45019</v>
      </c>
      <c r="L1532" s="5">
        <f t="shared" si="341"/>
        <v>4</v>
      </c>
      <c r="M1532" s="5">
        <f t="shared" si="342"/>
        <v>2023</v>
      </c>
      <c r="N1532" s="6">
        <v>100</v>
      </c>
      <c r="O1532" s="6">
        <f t="shared" si="356"/>
        <v>-100</v>
      </c>
      <c r="P1532" s="6">
        <f t="shared" si="355"/>
        <v>0</v>
      </c>
      <c r="Q1532" s="7">
        <f t="shared" si="343"/>
        <v>2834645.5500000007</v>
      </c>
      <c r="R1532" s="44" t="str">
        <f>VLOOKUP(F1532,'Set up'!$A$2:$E$70,5,FALSE)</f>
        <v>Trsf</v>
      </c>
      <c r="S1532" s="1" t="s">
        <v>1474</v>
      </c>
    </row>
    <row r="1533" spans="1:19" x14ac:dyDescent="0.3">
      <c r="A1533" s="4">
        <v>45019</v>
      </c>
      <c r="B1533" s="5">
        <f t="shared" si="338"/>
        <v>4</v>
      </c>
      <c r="C1533" s="5">
        <f t="shared" si="339"/>
        <v>2023</v>
      </c>
      <c r="D1533" s="5" t="s">
        <v>1394</v>
      </c>
      <c r="E1533" s="5" t="str">
        <f>VLOOKUP(F1533,'Set up'!$A$2:$C$70,2,FALSE)</f>
        <v>C00000034</v>
      </c>
      <c r="F1533" s="1" t="s">
        <v>1196</v>
      </c>
      <c r="G1533" s="89" t="s">
        <v>944</v>
      </c>
      <c r="H1533" s="5">
        <v>1</v>
      </c>
      <c r="I1533" s="5" t="str">
        <f>VLOOKUP(F1533,'Set up'!$A$2:$C$70,3,FALSE)</f>
        <v>Cash</v>
      </c>
      <c r="J1533" s="5">
        <f>VLOOKUP(F1533,'Set up'!$A$2:$D$70,4,FALSE)</f>
        <v>0</v>
      </c>
      <c r="K1533" s="4">
        <f t="shared" si="340"/>
        <v>45019</v>
      </c>
      <c r="L1533" s="5">
        <f t="shared" si="341"/>
        <v>4</v>
      </c>
      <c r="M1533" s="5">
        <f t="shared" si="342"/>
        <v>2023</v>
      </c>
      <c r="N1533" s="6">
        <v>420</v>
      </c>
      <c r="O1533" s="6">
        <f t="shared" si="356"/>
        <v>-420</v>
      </c>
      <c r="P1533" s="6">
        <f t="shared" si="355"/>
        <v>0</v>
      </c>
      <c r="Q1533" s="7">
        <f t="shared" si="343"/>
        <v>2835065.5500000007</v>
      </c>
      <c r="R1533" s="44" t="str">
        <f>VLOOKUP(F1533,'Set up'!$A$2:$E$70,5,FALSE)</f>
        <v>Trsf</v>
      </c>
      <c r="S1533" s="1" t="s">
        <v>1475</v>
      </c>
    </row>
    <row r="1534" spans="1:19" x14ac:dyDescent="0.3">
      <c r="A1534" s="4">
        <v>45019</v>
      </c>
      <c r="B1534" s="5">
        <f t="shared" si="338"/>
        <v>4</v>
      </c>
      <c r="C1534" s="5">
        <f t="shared" si="339"/>
        <v>2023</v>
      </c>
      <c r="D1534" s="5" t="s">
        <v>1394</v>
      </c>
      <c r="E1534" s="5" t="str">
        <f>VLOOKUP(F1534,'Set up'!$A$2:$C$70,2,FALSE)</f>
        <v>C00000034</v>
      </c>
      <c r="F1534" s="1" t="s">
        <v>1196</v>
      </c>
      <c r="G1534" s="89" t="s">
        <v>1110</v>
      </c>
      <c r="H1534" s="5">
        <v>4</v>
      </c>
      <c r="I1534" s="5" t="str">
        <f>VLOOKUP(F1534,'Set up'!$A$2:$C$70,3,FALSE)</f>
        <v>Cash</v>
      </c>
      <c r="J1534" s="5">
        <f>VLOOKUP(F1534,'Set up'!$A$2:$D$70,4,FALSE)</f>
        <v>0</v>
      </c>
      <c r="K1534" s="4">
        <f t="shared" si="340"/>
        <v>45019</v>
      </c>
      <c r="L1534" s="5">
        <f t="shared" si="341"/>
        <v>4</v>
      </c>
      <c r="M1534" s="5">
        <f t="shared" si="342"/>
        <v>2023</v>
      </c>
      <c r="N1534" s="6">
        <v>250</v>
      </c>
      <c r="O1534" s="6">
        <f t="shared" si="356"/>
        <v>-250</v>
      </c>
      <c r="P1534" s="6">
        <f t="shared" si="355"/>
        <v>0</v>
      </c>
      <c r="Q1534" s="7">
        <f t="shared" si="343"/>
        <v>2835315.5500000007</v>
      </c>
      <c r="R1534" s="44" t="str">
        <f>VLOOKUP(F1534,'Set up'!$A$2:$E$70,5,FALSE)</f>
        <v>Trsf</v>
      </c>
      <c r="S1534" s="1" t="s">
        <v>1476</v>
      </c>
    </row>
    <row r="1535" spans="1:19" x14ac:dyDescent="0.3">
      <c r="A1535" s="4" t="s">
        <v>1398</v>
      </c>
      <c r="B1535" s="5">
        <f t="shared" si="338"/>
        <v>4</v>
      </c>
      <c r="C1535" s="5">
        <f t="shared" si="339"/>
        <v>2023</v>
      </c>
      <c r="D1535" s="5" t="s">
        <v>1395</v>
      </c>
      <c r="E1535" s="5" t="str">
        <f>VLOOKUP(F1535,'Set up'!$A$2:$C$70,2,FALSE)</f>
        <v>C00000035</v>
      </c>
      <c r="F1535" s="1" t="s">
        <v>1257</v>
      </c>
      <c r="G1535" s="89" t="s">
        <v>865</v>
      </c>
      <c r="H1535" s="5">
        <v>1</v>
      </c>
      <c r="I1535" s="5" t="str">
        <f>VLOOKUP(F1535,'Set up'!$A$2:$C$70,3,FALSE)</f>
        <v>Cash</v>
      </c>
      <c r="J1535" s="5">
        <f>VLOOKUP(F1535,'Set up'!$A$2:$D$70,4,FALSE)</f>
        <v>0</v>
      </c>
      <c r="K1535" s="4">
        <f t="shared" si="340"/>
        <v>45019</v>
      </c>
      <c r="L1535" s="5">
        <f t="shared" si="341"/>
        <v>4</v>
      </c>
      <c r="M1535" s="5">
        <f t="shared" si="342"/>
        <v>2023</v>
      </c>
      <c r="N1535" s="6">
        <v>264</v>
      </c>
      <c r="O1535" s="6">
        <f t="shared" si="356"/>
        <v>-264</v>
      </c>
      <c r="P1535" s="6">
        <f t="shared" si="355"/>
        <v>0</v>
      </c>
      <c r="Q1535" s="7">
        <f t="shared" si="343"/>
        <v>2835579.5500000007</v>
      </c>
      <c r="R1535" s="44" t="str">
        <f>VLOOKUP(F1535,'Set up'!$A$2:$E$70,5,FALSE)</f>
        <v>Trsf</v>
      </c>
      <c r="S1535" s="1" t="s">
        <v>1479</v>
      </c>
    </row>
    <row r="1536" spans="1:19" x14ac:dyDescent="0.3">
      <c r="A1536" s="4" t="s">
        <v>1398</v>
      </c>
      <c r="B1536" s="5">
        <f t="shared" si="338"/>
        <v>4</v>
      </c>
      <c r="C1536" s="5">
        <f t="shared" si="339"/>
        <v>2023</v>
      </c>
      <c r="D1536" s="5" t="s">
        <v>1395</v>
      </c>
      <c r="E1536" s="5" t="str">
        <f>VLOOKUP(F1536,'Set up'!$A$2:$C$70,2,FALSE)</f>
        <v>C00000035</v>
      </c>
      <c r="F1536" s="1" t="s">
        <v>1257</v>
      </c>
      <c r="G1536" s="89" t="s">
        <v>1396</v>
      </c>
      <c r="H1536" s="5">
        <v>1</v>
      </c>
      <c r="I1536" s="5" t="str">
        <f>VLOOKUP(F1536,'Set up'!$A$2:$C$70,3,FALSE)</f>
        <v>Cash</v>
      </c>
      <c r="J1536" s="5">
        <f>VLOOKUP(F1536,'Set up'!$A$2:$D$70,4,FALSE)</f>
        <v>0</v>
      </c>
      <c r="K1536" s="4">
        <f t="shared" si="340"/>
        <v>45019</v>
      </c>
      <c r="L1536" s="5">
        <f t="shared" si="341"/>
        <v>4</v>
      </c>
      <c r="M1536" s="5">
        <f t="shared" si="342"/>
        <v>2023</v>
      </c>
      <c r="N1536" s="6">
        <v>70</v>
      </c>
      <c r="O1536" s="6">
        <f t="shared" si="356"/>
        <v>-70</v>
      </c>
      <c r="P1536" s="6">
        <f t="shared" si="355"/>
        <v>0</v>
      </c>
      <c r="Q1536" s="7">
        <f t="shared" si="343"/>
        <v>2835649.5500000007</v>
      </c>
      <c r="R1536" s="44" t="str">
        <f>VLOOKUP(F1536,'Set up'!$A$2:$E$70,5,FALSE)</f>
        <v>Trsf</v>
      </c>
      <c r="S1536" s="1" t="s">
        <v>1479</v>
      </c>
    </row>
    <row r="1537" spans="1:19" x14ac:dyDescent="0.3">
      <c r="A1537" s="4" t="s">
        <v>1398</v>
      </c>
      <c r="B1537" s="5">
        <f t="shared" si="338"/>
        <v>4</v>
      </c>
      <c r="C1537" s="5">
        <f t="shared" si="339"/>
        <v>2023</v>
      </c>
      <c r="D1537" s="5" t="s">
        <v>1395</v>
      </c>
      <c r="E1537" s="5" t="str">
        <f>VLOOKUP(F1537,'Set up'!$A$2:$C$70,2,FALSE)</f>
        <v>C00000035</v>
      </c>
      <c r="F1537" s="1" t="s">
        <v>1257</v>
      </c>
      <c r="G1537" s="89" t="s">
        <v>1397</v>
      </c>
      <c r="H1537" s="5">
        <v>1</v>
      </c>
      <c r="I1537" s="5" t="str">
        <f>VLOOKUP(F1537,'Set up'!$A$2:$C$70,3,FALSE)</f>
        <v>Cash</v>
      </c>
      <c r="J1537" s="5">
        <f>VLOOKUP(F1537,'Set up'!$A$2:$D$70,4,FALSE)</f>
        <v>0</v>
      </c>
      <c r="K1537" s="4">
        <f t="shared" si="340"/>
        <v>45019</v>
      </c>
      <c r="L1537" s="5">
        <f t="shared" si="341"/>
        <v>4</v>
      </c>
      <c r="M1537" s="5">
        <f t="shared" si="342"/>
        <v>2023</v>
      </c>
      <c r="N1537" s="6">
        <v>118</v>
      </c>
      <c r="O1537" s="6">
        <f t="shared" si="356"/>
        <v>-118</v>
      </c>
      <c r="P1537" s="6">
        <f t="shared" si="355"/>
        <v>0</v>
      </c>
      <c r="Q1537" s="7">
        <f t="shared" si="343"/>
        <v>2835767.5500000007</v>
      </c>
      <c r="R1537" s="44" t="str">
        <f>VLOOKUP(F1537,'Set up'!$A$2:$E$70,5,FALSE)</f>
        <v>Trsf</v>
      </c>
      <c r="S1537" s="1" t="s">
        <v>1479</v>
      </c>
    </row>
    <row r="1538" spans="1:19" x14ac:dyDescent="0.3">
      <c r="A1538" s="4">
        <v>45020</v>
      </c>
      <c r="B1538" s="5">
        <f t="shared" si="338"/>
        <v>4</v>
      </c>
      <c r="C1538" s="5">
        <f t="shared" si="339"/>
        <v>2023</v>
      </c>
      <c r="D1538" s="5" t="s">
        <v>1400</v>
      </c>
      <c r="E1538" s="5" t="str">
        <f>VLOOKUP(F1538,'Set up'!$A$2:$C$70,2,FALSE)</f>
        <v>C00000027</v>
      </c>
      <c r="F1538" s="1" t="s">
        <v>859</v>
      </c>
      <c r="G1538" s="89" t="s">
        <v>716</v>
      </c>
      <c r="H1538" s="5">
        <v>4</v>
      </c>
      <c r="I1538" s="5" t="str">
        <f>VLOOKUP(F1538,'Set up'!$A$2:$C$70,3,FALSE)</f>
        <v>Cash</v>
      </c>
      <c r="J1538" s="5">
        <f>VLOOKUP(F1538,'Set up'!$A$2:$D$70,4,FALSE)</f>
        <v>0</v>
      </c>
      <c r="K1538" s="4">
        <f t="shared" si="340"/>
        <v>45020</v>
      </c>
      <c r="L1538" s="5">
        <f t="shared" si="341"/>
        <v>4</v>
      </c>
      <c r="M1538" s="5">
        <f t="shared" si="342"/>
        <v>2023</v>
      </c>
      <c r="N1538" s="6">
        <v>7480</v>
      </c>
      <c r="O1538" s="6">
        <f t="shared" si="356"/>
        <v>-7480</v>
      </c>
      <c r="P1538" s="6">
        <f t="shared" si="355"/>
        <v>0</v>
      </c>
      <c r="Q1538" s="7">
        <f t="shared" si="343"/>
        <v>2843247.5500000007</v>
      </c>
      <c r="R1538" s="44" t="str">
        <f>VLOOKUP(F1538,'Set up'!$A$2:$E$70,5,FALSE)</f>
        <v>Trsf</v>
      </c>
      <c r="S1538" s="1" t="s">
        <v>2066</v>
      </c>
    </row>
    <row r="1539" spans="1:19" x14ac:dyDescent="0.3">
      <c r="A1539" s="4" t="s">
        <v>1401</v>
      </c>
      <c r="B1539" s="5">
        <f t="shared" ref="B1539:B1602" si="357">MONTH(A1539)</f>
        <v>4</v>
      </c>
      <c r="C1539" s="5">
        <f t="shared" ref="C1539:C1602" si="358">YEAR(A1539)</f>
        <v>2023</v>
      </c>
      <c r="D1539" s="5" t="s">
        <v>1400</v>
      </c>
      <c r="E1539" s="5" t="str">
        <f>VLOOKUP(F1539,'Set up'!$A$2:$C$70,2,FALSE)</f>
        <v>C00000027</v>
      </c>
      <c r="F1539" s="1" t="s">
        <v>859</v>
      </c>
      <c r="G1539" s="89" t="s">
        <v>707</v>
      </c>
      <c r="H1539" s="5">
        <v>3</v>
      </c>
      <c r="I1539" s="5" t="str">
        <f>VLOOKUP(F1539,'Set up'!$A$2:$C$70,3,FALSE)</f>
        <v>Cash</v>
      </c>
      <c r="J1539" s="5">
        <f>VLOOKUP(F1539,'Set up'!$A$2:$D$70,4,FALSE)</f>
        <v>0</v>
      </c>
      <c r="K1539" s="4">
        <f t="shared" ref="K1539:K1602" si="359">A1539+J1539</f>
        <v>45020</v>
      </c>
      <c r="L1539" s="5">
        <f t="shared" ref="L1539:L1602" si="360">MONTH(K1539)</f>
        <v>4</v>
      </c>
      <c r="M1539" s="5">
        <f t="shared" ref="M1539:M1602" si="361">YEAR(K1539)</f>
        <v>2023</v>
      </c>
      <c r="N1539" s="6">
        <v>1263.5999999999999</v>
      </c>
      <c r="O1539" s="6">
        <f t="shared" si="356"/>
        <v>-1263.5999999999999</v>
      </c>
      <c r="P1539" s="6">
        <f t="shared" si="355"/>
        <v>0</v>
      </c>
      <c r="Q1539" s="7">
        <f t="shared" ref="Q1539:Q1602" si="362">SUM(Q1538+N1539)</f>
        <v>2844511.1500000008</v>
      </c>
      <c r="R1539" s="44" t="str">
        <f>VLOOKUP(F1539,'Set up'!$A$2:$E$70,5,FALSE)</f>
        <v>Trsf</v>
      </c>
      <c r="S1539" s="1" t="s">
        <v>2067</v>
      </c>
    </row>
    <row r="1540" spans="1:19" x14ac:dyDescent="0.3">
      <c r="A1540" s="4" t="s">
        <v>1401</v>
      </c>
      <c r="B1540" s="5">
        <f t="shared" si="357"/>
        <v>4</v>
      </c>
      <c r="C1540" s="5">
        <f t="shared" si="358"/>
        <v>2023</v>
      </c>
      <c r="D1540" s="5" t="s">
        <v>1400</v>
      </c>
      <c r="E1540" s="5" t="str">
        <f>VLOOKUP(F1540,'Set up'!$A$2:$C$70,2,FALSE)</f>
        <v>C00000027</v>
      </c>
      <c r="F1540" s="1" t="s">
        <v>859</v>
      </c>
      <c r="G1540" s="89" t="s">
        <v>1007</v>
      </c>
      <c r="H1540" s="5">
        <v>5</v>
      </c>
      <c r="I1540" s="5" t="str">
        <f>VLOOKUP(F1540,'Set up'!$A$2:$C$70,3,FALSE)</f>
        <v>Cash</v>
      </c>
      <c r="J1540" s="5">
        <f>VLOOKUP(F1540,'Set up'!$A$2:$D$70,4,FALSE)</f>
        <v>0</v>
      </c>
      <c r="K1540" s="4">
        <f t="shared" si="359"/>
        <v>45020</v>
      </c>
      <c r="L1540" s="5">
        <f t="shared" si="360"/>
        <v>4</v>
      </c>
      <c r="M1540" s="5">
        <f t="shared" si="361"/>
        <v>2023</v>
      </c>
      <c r="N1540" s="6">
        <v>2106</v>
      </c>
      <c r="O1540" s="6">
        <f>-196.9-1909.1</f>
        <v>-2106</v>
      </c>
      <c r="P1540" s="6">
        <f t="shared" si="355"/>
        <v>0</v>
      </c>
      <c r="Q1540" s="7">
        <f t="shared" si="362"/>
        <v>2846617.1500000008</v>
      </c>
      <c r="R1540" s="44" t="str">
        <f>VLOOKUP(F1540,'Set up'!$A$2:$E$70,5,FALSE)</f>
        <v>Trsf</v>
      </c>
      <c r="S1540" s="1" t="s">
        <v>2786</v>
      </c>
    </row>
    <row r="1541" spans="1:19" x14ac:dyDescent="0.3">
      <c r="A1541" s="4" t="s">
        <v>1401</v>
      </c>
      <c r="B1541" s="5">
        <f t="shared" si="357"/>
        <v>4</v>
      </c>
      <c r="C1541" s="5">
        <f t="shared" si="358"/>
        <v>2023</v>
      </c>
      <c r="D1541" s="5" t="s">
        <v>1400</v>
      </c>
      <c r="E1541" s="5" t="str">
        <f>VLOOKUP(F1541,'Set up'!$A$2:$C$70,2,FALSE)</f>
        <v>C00000027</v>
      </c>
      <c r="F1541" s="1" t="s">
        <v>859</v>
      </c>
      <c r="G1541" s="89" t="s">
        <v>1121</v>
      </c>
      <c r="H1541" s="5">
        <v>1</v>
      </c>
      <c r="I1541" s="5" t="str">
        <f>VLOOKUP(F1541,'Set up'!$A$2:$C$70,3,FALSE)</f>
        <v>Cash</v>
      </c>
      <c r="J1541" s="5">
        <f>VLOOKUP(F1541,'Set up'!$A$2:$D$70,4,FALSE)</f>
        <v>0</v>
      </c>
      <c r="K1541" s="4">
        <f t="shared" si="359"/>
        <v>45020</v>
      </c>
      <c r="L1541" s="5">
        <f t="shared" si="360"/>
        <v>4</v>
      </c>
      <c r="M1541" s="5">
        <f t="shared" si="361"/>
        <v>2023</v>
      </c>
      <c r="N1541" s="6">
        <v>260</v>
      </c>
      <c r="O1541" s="6">
        <f t="shared" si="356"/>
        <v>-260</v>
      </c>
      <c r="P1541" s="6">
        <f t="shared" si="355"/>
        <v>0</v>
      </c>
      <c r="Q1541" s="7">
        <f t="shared" si="362"/>
        <v>2846877.1500000008</v>
      </c>
      <c r="R1541" s="44" t="str">
        <f>VLOOKUP(F1541,'Set up'!$A$2:$E$70,5,FALSE)</f>
        <v>Trsf</v>
      </c>
      <c r="S1541" s="1" t="s">
        <v>2787</v>
      </c>
    </row>
    <row r="1542" spans="1:19" x14ac:dyDescent="0.3">
      <c r="A1542" s="4" t="s">
        <v>1401</v>
      </c>
      <c r="B1542" s="5">
        <f t="shared" si="357"/>
        <v>4</v>
      </c>
      <c r="C1542" s="5">
        <f t="shared" si="358"/>
        <v>2023</v>
      </c>
      <c r="D1542" s="5" t="s">
        <v>1400</v>
      </c>
      <c r="E1542" s="5" t="str">
        <f>VLOOKUP(F1542,'Set up'!$A$2:$C$70,2,FALSE)</f>
        <v>C00000027</v>
      </c>
      <c r="F1542" s="1" t="s">
        <v>859</v>
      </c>
      <c r="G1542" s="89" t="s">
        <v>1399</v>
      </c>
      <c r="H1542" s="5">
        <v>4</v>
      </c>
      <c r="I1542" s="5" t="str">
        <f>VLOOKUP(F1542,'Set up'!$A$2:$C$70,3,FALSE)</f>
        <v>Cash</v>
      </c>
      <c r="J1542" s="5">
        <f>VLOOKUP(F1542,'Set up'!$A$2:$D$70,4,FALSE)</f>
        <v>0</v>
      </c>
      <c r="K1542" s="4">
        <f t="shared" si="359"/>
        <v>45020</v>
      </c>
      <c r="L1542" s="5">
        <f t="shared" si="360"/>
        <v>4</v>
      </c>
      <c r="M1542" s="5">
        <f t="shared" si="361"/>
        <v>2023</v>
      </c>
      <c r="N1542" s="6">
        <v>640</v>
      </c>
      <c r="O1542" s="6">
        <f t="shared" si="356"/>
        <v>-640</v>
      </c>
      <c r="P1542" s="6">
        <f t="shared" si="355"/>
        <v>0</v>
      </c>
      <c r="Q1542" s="7">
        <f t="shared" si="362"/>
        <v>2847517.1500000008</v>
      </c>
      <c r="R1542" s="44" t="str">
        <f>VLOOKUP(F1542,'Set up'!$A$2:$E$70,5,FALSE)</f>
        <v>Trsf</v>
      </c>
      <c r="S1542" s="1" t="s">
        <v>2788</v>
      </c>
    </row>
    <row r="1543" spans="1:19" x14ac:dyDescent="0.3">
      <c r="A1543" s="4" t="s">
        <v>1401</v>
      </c>
      <c r="B1543" s="5">
        <f t="shared" si="357"/>
        <v>4</v>
      </c>
      <c r="C1543" s="5">
        <f t="shared" si="358"/>
        <v>2023</v>
      </c>
      <c r="D1543" s="5" t="s">
        <v>1400</v>
      </c>
      <c r="E1543" s="5" t="str">
        <f>VLOOKUP(F1543,'Set up'!$A$2:$C$70,2,FALSE)</f>
        <v>C00000027</v>
      </c>
      <c r="F1543" s="1" t="s">
        <v>859</v>
      </c>
      <c r="G1543" s="89" t="s">
        <v>666</v>
      </c>
      <c r="H1543" s="5">
        <v>4</v>
      </c>
      <c r="I1543" s="5" t="str">
        <f>VLOOKUP(F1543,'Set up'!$A$2:$C$70,3,FALSE)</f>
        <v>Cash</v>
      </c>
      <c r="J1543" s="5">
        <f>VLOOKUP(F1543,'Set up'!$A$2:$D$70,4,FALSE)</f>
        <v>0</v>
      </c>
      <c r="K1543" s="4">
        <f t="shared" si="359"/>
        <v>45020</v>
      </c>
      <c r="L1543" s="5">
        <f t="shared" si="360"/>
        <v>4</v>
      </c>
      <c r="M1543" s="5">
        <f t="shared" si="361"/>
        <v>2023</v>
      </c>
      <c r="N1543" s="6">
        <v>380</v>
      </c>
      <c r="O1543" s="6">
        <f t="shared" si="356"/>
        <v>-380</v>
      </c>
      <c r="P1543" s="6">
        <f t="shared" si="355"/>
        <v>0</v>
      </c>
      <c r="Q1543" s="7">
        <f t="shared" si="362"/>
        <v>2847897.1500000008</v>
      </c>
      <c r="R1543" s="44" t="str">
        <f>VLOOKUP(F1543,'Set up'!$A$2:$E$70,5,FALSE)</f>
        <v>Trsf</v>
      </c>
      <c r="S1543" s="1" t="s">
        <v>2789</v>
      </c>
    </row>
    <row r="1544" spans="1:19" x14ac:dyDescent="0.3">
      <c r="A1544" s="4" t="s">
        <v>1401</v>
      </c>
      <c r="B1544" s="5">
        <f t="shared" si="357"/>
        <v>4</v>
      </c>
      <c r="C1544" s="5">
        <f t="shared" si="358"/>
        <v>2023</v>
      </c>
      <c r="D1544" s="5" t="s">
        <v>1400</v>
      </c>
      <c r="E1544" s="5" t="str">
        <f>VLOOKUP(F1544,'Set up'!$A$2:$C$70,2,FALSE)</f>
        <v>C00000027</v>
      </c>
      <c r="F1544" s="1" t="s">
        <v>859</v>
      </c>
      <c r="G1544" s="89" t="s">
        <v>863</v>
      </c>
      <c r="H1544" s="5">
        <v>12</v>
      </c>
      <c r="I1544" s="5" t="str">
        <f>VLOOKUP(F1544,'Set up'!$A$2:$C$70,3,FALSE)</f>
        <v>Cash</v>
      </c>
      <c r="J1544" s="5">
        <f>VLOOKUP(F1544,'Set up'!$A$2:$D$70,4,FALSE)</f>
        <v>0</v>
      </c>
      <c r="K1544" s="4">
        <f t="shared" si="359"/>
        <v>45020</v>
      </c>
      <c r="L1544" s="5">
        <f t="shared" si="360"/>
        <v>4</v>
      </c>
      <c r="M1544" s="5">
        <f t="shared" si="361"/>
        <v>2023</v>
      </c>
      <c r="N1544" s="6">
        <v>540</v>
      </c>
      <c r="O1544" s="6">
        <f t="shared" si="356"/>
        <v>-540</v>
      </c>
      <c r="P1544" s="6">
        <f t="shared" si="355"/>
        <v>0</v>
      </c>
      <c r="Q1544" s="7">
        <f t="shared" si="362"/>
        <v>2848437.1500000008</v>
      </c>
      <c r="R1544" s="44" t="str">
        <f>VLOOKUP(F1544,'Set up'!$A$2:$E$70,5,FALSE)</f>
        <v>Trsf</v>
      </c>
      <c r="S1544" s="1" t="s">
        <v>2790</v>
      </c>
    </row>
    <row r="1545" spans="1:19" x14ac:dyDescent="0.3">
      <c r="A1545" s="4" t="s">
        <v>1401</v>
      </c>
      <c r="B1545" s="5">
        <f t="shared" si="357"/>
        <v>4</v>
      </c>
      <c r="C1545" s="5">
        <f t="shared" si="358"/>
        <v>2023</v>
      </c>
      <c r="D1545" s="5" t="s">
        <v>1400</v>
      </c>
      <c r="E1545" s="5" t="str">
        <f>VLOOKUP(F1545,'Set up'!$A$2:$C$70,2,FALSE)</f>
        <v>C00000027</v>
      </c>
      <c r="F1545" s="1" t="s">
        <v>859</v>
      </c>
      <c r="G1545" s="89" t="s">
        <v>865</v>
      </c>
      <c r="H1545" s="5">
        <v>5</v>
      </c>
      <c r="I1545" s="5" t="str">
        <f>VLOOKUP(F1545,'Set up'!$A$2:$C$70,3,FALSE)</f>
        <v>Cash</v>
      </c>
      <c r="J1545" s="5">
        <f>VLOOKUP(F1545,'Set up'!$A$2:$D$70,4,FALSE)</f>
        <v>0</v>
      </c>
      <c r="K1545" s="4">
        <f t="shared" si="359"/>
        <v>45020</v>
      </c>
      <c r="L1545" s="5">
        <f t="shared" si="360"/>
        <v>4</v>
      </c>
      <c r="M1545" s="5">
        <f t="shared" si="361"/>
        <v>2023</v>
      </c>
      <c r="N1545" s="6">
        <v>1270</v>
      </c>
      <c r="O1545" s="6">
        <f t="shared" si="356"/>
        <v>-1270</v>
      </c>
      <c r="P1545" s="6">
        <f t="shared" si="355"/>
        <v>0</v>
      </c>
      <c r="Q1545" s="7">
        <f t="shared" si="362"/>
        <v>2849707.1500000008</v>
      </c>
      <c r="R1545" s="44" t="str">
        <f>VLOOKUP(F1545,'Set up'!$A$2:$E$70,5,FALSE)</f>
        <v>Trsf</v>
      </c>
      <c r="S1545" s="1" t="s">
        <v>2791</v>
      </c>
    </row>
    <row r="1546" spans="1:19" x14ac:dyDescent="0.3">
      <c r="A1546" s="4" t="s">
        <v>1401</v>
      </c>
      <c r="B1546" s="5">
        <f t="shared" si="357"/>
        <v>4</v>
      </c>
      <c r="C1546" s="5">
        <f t="shared" si="358"/>
        <v>2023</v>
      </c>
      <c r="D1546" s="5" t="s">
        <v>1400</v>
      </c>
      <c r="E1546" s="5" t="str">
        <f>VLOOKUP(F1546,'Set up'!$A$2:$C$70,2,FALSE)</f>
        <v>C00000027</v>
      </c>
      <c r="F1546" s="1" t="s">
        <v>859</v>
      </c>
      <c r="G1546" s="89" t="s">
        <v>658</v>
      </c>
      <c r="H1546" s="5">
        <v>1</v>
      </c>
      <c r="I1546" s="5" t="str">
        <f>VLOOKUP(F1546,'Set up'!$A$2:$C$70,3,FALSE)</f>
        <v>Cash</v>
      </c>
      <c r="J1546" s="5">
        <f>VLOOKUP(F1546,'Set up'!$A$2:$D$70,4,FALSE)</f>
        <v>0</v>
      </c>
      <c r="K1546" s="4">
        <f t="shared" si="359"/>
        <v>45020</v>
      </c>
      <c r="L1546" s="5">
        <f t="shared" si="360"/>
        <v>4</v>
      </c>
      <c r="M1546" s="5">
        <f t="shared" si="361"/>
        <v>2023</v>
      </c>
      <c r="N1546" s="6">
        <v>1059.5</v>
      </c>
      <c r="O1546" s="6">
        <f>-0.9-1058.6</f>
        <v>-1059.5</v>
      </c>
      <c r="P1546" s="6">
        <f t="shared" si="355"/>
        <v>0</v>
      </c>
      <c r="Q1546" s="7">
        <f t="shared" si="362"/>
        <v>2850766.6500000008</v>
      </c>
      <c r="R1546" s="44" t="str">
        <f>VLOOKUP(F1546,'Set up'!$A$2:$E$70,5,FALSE)</f>
        <v>Trsf</v>
      </c>
      <c r="S1546" s="1" t="s">
        <v>2792</v>
      </c>
    </row>
    <row r="1547" spans="1:19" x14ac:dyDescent="0.3">
      <c r="A1547" s="4" t="s">
        <v>1403</v>
      </c>
      <c r="B1547" s="5">
        <f t="shared" si="357"/>
        <v>4</v>
      </c>
      <c r="C1547" s="5">
        <f t="shared" si="358"/>
        <v>2023</v>
      </c>
      <c r="D1547" s="5" t="s">
        <v>1404</v>
      </c>
      <c r="E1547" s="5" t="str">
        <f>VLOOKUP(F1547,'Set up'!$A$2:$C$70,2,FALSE)</f>
        <v>C00000010</v>
      </c>
      <c r="F1547" s="1" t="s">
        <v>62</v>
      </c>
      <c r="G1547" s="89" t="s">
        <v>1402</v>
      </c>
      <c r="H1547" s="5">
        <v>6</v>
      </c>
      <c r="I1547" s="5">
        <f>VLOOKUP(F1547,'Set up'!$A$2:$C$70,3,FALSE)</f>
        <v>120</v>
      </c>
      <c r="J1547" s="5">
        <f>VLOOKUP(F1547,'Set up'!$A$2:$D$70,4,FALSE)</f>
        <v>120</v>
      </c>
      <c r="K1547" s="4">
        <f t="shared" si="359"/>
        <v>45142</v>
      </c>
      <c r="L1547" s="5">
        <f t="shared" si="360"/>
        <v>8</v>
      </c>
      <c r="M1547" s="5">
        <f t="shared" si="361"/>
        <v>2023</v>
      </c>
      <c r="N1547" s="6">
        <v>9900</v>
      </c>
      <c r="O1547" s="6">
        <f t="shared" ref="O1547:O1551" si="363">-N1547</f>
        <v>-9900</v>
      </c>
      <c r="P1547" s="6">
        <f t="shared" si="355"/>
        <v>0</v>
      </c>
      <c r="Q1547" s="7">
        <f t="shared" si="362"/>
        <v>2860666.6500000008</v>
      </c>
      <c r="R1547" s="44" t="str">
        <f>VLOOKUP(F1547,'Set up'!$A$2:$E$70,5,FALSE)</f>
        <v>Trsf</v>
      </c>
      <c r="S1547" s="1" t="s">
        <v>1787</v>
      </c>
    </row>
    <row r="1548" spans="1:19" x14ac:dyDescent="0.3">
      <c r="A1548" s="4" t="s">
        <v>1403</v>
      </c>
      <c r="B1548" s="5">
        <f t="shared" si="357"/>
        <v>4</v>
      </c>
      <c r="C1548" s="5">
        <f t="shared" si="358"/>
        <v>2023</v>
      </c>
      <c r="D1548" s="5" t="s">
        <v>1404</v>
      </c>
      <c r="E1548" s="5" t="str">
        <f>VLOOKUP(F1548,'Set up'!$A$2:$C$70,2,FALSE)</f>
        <v>C00000010</v>
      </c>
      <c r="F1548" s="1" t="s">
        <v>62</v>
      </c>
      <c r="G1548" s="89" t="s">
        <v>1392</v>
      </c>
      <c r="H1548" s="5">
        <v>10</v>
      </c>
      <c r="I1548" s="5">
        <f>VLOOKUP(F1548,'Set up'!$A$2:$C$70,3,FALSE)</f>
        <v>120</v>
      </c>
      <c r="J1548" s="5">
        <f>VLOOKUP(F1548,'Set up'!$A$2:$D$70,4,FALSE)</f>
        <v>120</v>
      </c>
      <c r="K1548" s="4">
        <f t="shared" si="359"/>
        <v>45142</v>
      </c>
      <c r="L1548" s="5">
        <f t="shared" si="360"/>
        <v>8</v>
      </c>
      <c r="M1548" s="5">
        <f t="shared" si="361"/>
        <v>2023</v>
      </c>
      <c r="N1548" s="6">
        <v>2070</v>
      </c>
      <c r="O1548" s="6">
        <f t="shared" si="363"/>
        <v>-2070</v>
      </c>
      <c r="P1548" s="6">
        <f t="shared" si="355"/>
        <v>0</v>
      </c>
      <c r="Q1548" s="7">
        <f t="shared" si="362"/>
        <v>2862736.6500000008</v>
      </c>
      <c r="R1548" s="44" t="str">
        <f>VLOOKUP(F1548,'Set up'!$A$2:$E$70,5,FALSE)</f>
        <v>Trsf</v>
      </c>
      <c r="S1548" s="1" t="s">
        <v>1787</v>
      </c>
    </row>
    <row r="1549" spans="1:19" x14ac:dyDescent="0.3">
      <c r="A1549" s="4" t="s">
        <v>1403</v>
      </c>
      <c r="B1549" s="5">
        <f t="shared" si="357"/>
        <v>4</v>
      </c>
      <c r="C1549" s="5">
        <f t="shared" si="358"/>
        <v>2023</v>
      </c>
      <c r="D1549" s="5" t="s">
        <v>1404</v>
      </c>
      <c r="E1549" s="5" t="str">
        <f>VLOOKUP(F1549,'Set up'!$A$2:$C$70,2,FALSE)</f>
        <v>C00000010</v>
      </c>
      <c r="F1549" s="1" t="s">
        <v>62</v>
      </c>
      <c r="G1549" s="89" t="s">
        <v>791</v>
      </c>
      <c r="H1549" s="5">
        <v>5</v>
      </c>
      <c r="I1549" s="5">
        <f>VLOOKUP(F1549,'Set up'!$A$2:$C$70,3,FALSE)</f>
        <v>120</v>
      </c>
      <c r="J1549" s="5">
        <f>VLOOKUP(F1549,'Set up'!$A$2:$D$70,4,FALSE)</f>
        <v>120</v>
      </c>
      <c r="K1549" s="4">
        <f t="shared" si="359"/>
        <v>45142</v>
      </c>
      <c r="L1549" s="5">
        <f t="shared" si="360"/>
        <v>8</v>
      </c>
      <c r="M1549" s="5">
        <f t="shared" si="361"/>
        <v>2023</v>
      </c>
      <c r="N1549" s="6">
        <v>287.5</v>
      </c>
      <c r="O1549" s="6">
        <f t="shared" si="363"/>
        <v>-287.5</v>
      </c>
      <c r="P1549" s="6">
        <f t="shared" si="355"/>
        <v>0</v>
      </c>
      <c r="Q1549" s="7">
        <f t="shared" si="362"/>
        <v>2863024.1500000008</v>
      </c>
      <c r="R1549" s="44" t="str">
        <f>VLOOKUP(F1549,'Set up'!$A$2:$E$70,5,FALSE)</f>
        <v>Trsf</v>
      </c>
      <c r="S1549" s="1" t="s">
        <v>1787</v>
      </c>
    </row>
    <row r="1550" spans="1:19" x14ac:dyDescent="0.3">
      <c r="A1550" s="4" t="s">
        <v>1403</v>
      </c>
      <c r="B1550" s="5">
        <f t="shared" si="357"/>
        <v>4</v>
      </c>
      <c r="C1550" s="5">
        <f t="shared" si="358"/>
        <v>2023</v>
      </c>
      <c r="D1550" s="5" t="s">
        <v>1404</v>
      </c>
      <c r="E1550" s="5" t="str">
        <f>VLOOKUP(F1550,'Set up'!$A$2:$C$70,2,FALSE)</f>
        <v>C00000010</v>
      </c>
      <c r="F1550" s="1" t="s">
        <v>62</v>
      </c>
      <c r="G1550" s="89" t="s">
        <v>46</v>
      </c>
      <c r="H1550" s="5">
        <v>4</v>
      </c>
      <c r="I1550" s="5">
        <f>VLOOKUP(F1550,'Set up'!$A$2:$C$70,3,FALSE)</f>
        <v>120</v>
      </c>
      <c r="J1550" s="5">
        <f>VLOOKUP(F1550,'Set up'!$A$2:$D$70,4,FALSE)</f>
        <v>120</v>
      </c>
      <c r="K1550" s="4">
        <f t="shared" si="359"/>
        <v>45142</v>
      </c>
      <c r="L1550" s="5">
        <f t="shared" si="360"/>
        <v>8</v>
      </c>
      <c r="M1550" s="5">
        <f t="shared" si="361"/>
        <v>2023</v>
      </c>
      <c r="N1550" s="6">
        <v>420</v>
      </c>
      <c r="O1550" s="6">
        <f t="shared" si="363"/>
        <v>-420</v>
      </c>
      <c r="P1550" s="6">
        <f t="shared" si="355"/>
        <v>0</v>
      </c>
      <c r="Q1550" s="7">
        <f t="shared" si="362"/>
        <v>2863444.1500000008</v>
      </c>
      <c r="R1550" s="44" t="str">
        <f>VLOOKUP(F1550,'Set up'!$A$2:$E$70,5,FALSE)</f>
        <v>Trsf</v>
      </c>
      <c r="S1550" s="1" t="s">
        <v>1787</v>
      </c>
    </row>
    <row r="1551" spans="1:19" x14ac:dyDescent="0.3">
      <c r="A1551" s="4" t="s">
        <v>1403</v>
      </c>
      <c r="B1551" s="5">
        <f t="shared" si="357"/>
        <v>4</v>
      </c>
      <c r="C1551" s="5">
        <f t="shared" si="358"/>
        <v>2023</v>
      </c>
      <c r="D1551" s="5" t="s">
        <v>1404</v>
      </c>
      <c r="E1551" s="5" t="str">
        <f>VLOOKUP(F1551,'Set up'!$A$2:$C$70,2,FALSE)</f>
        <v>C00000010</v>
      </c>
      <c r="F1551" s="1" t="s">
        <v>62</v>
      </c>
      <c r="G1551" s="89" t="s">
        <v>944</v>
      </c>
      <c r="H1551" s="5">
        <v>1</v>
      </c>
      <c r="I1551" s="5">
        <f>VLOOKUP(F1551,'Set up'!$A$2:$C$70,3,FALSE)</f>
        <v>120</v>
      </c>
      <c r="J1551" s="5">
        <f>VLOOKUP(F1551,'Set up'!$A$2:$D$70,4,FALSE)</f>
        <v>120</v>
      </c>
      <c r="K1551" s="4">
        <f t="shared" si="359"/>
        <v>45142</v>
      </c>
      <c r="L1551" s="5">
        <f t="shared" si="360"/>
        <v>8</v>
      </c>
      <c r="M1551" s="5">
        <f t="shared" si="361"/>
        <v>2023</v>
      </c>
      <c r="N1551" s="6">
        <v>420</v>
      </c>
      <c r="O1551" s="6">
        <f t="shared" si="363"/>
        <v>-420</v>
      </c>
      <c r="P1551" s="6">
        <f t="shared" si="355"/>
        <v>0</v>
      </c>
      <c r="Q1551" s="7">
        <f t="shared" si="362"/>
        <v>2863864.1500000008</v>
      </c>
      <c r="R1551" s="44" t="str">
        <f>VLOOKUP(F1551,'Set up'!$A$2:$E$70,5,FALSE)</f>
        <v>Trsf</v>
      </c>
      <c r="S1551" s="1" t="s">
        <v>1787</v>
      </c>
    </row>
    <row r="1552" spans="1:19" x14ac:dyDescent="0.3">
      <c r="A1552" s="4" t="s">
        <v>1403</v>
      </c>
      <c r="B1552" s="5">
        <f t="shared" si="357"/>
        <v>4</v>
      </c>
      <c r="C1552" s="5">
        <f t="shared" si="358"/>
        <v>2023</v>
      </c>
      <c r="D1552" s="5" t="s">
        <v>1404</v>
      </c>
      <c r="E1552" s="5" t="str">
        <f>VLOOKUP(F1552,'Set up'!$A$2:$C$70,2,FALSE)</f>
        <v>C00000010</v>
      </c>
      <c r="F1552" s="1" t="s">
        <v>62</v>
      </c>
      <c r="G1552" s="89" t="s">
        <v>1093</v>
      </c>
      <c r="H1552" s="5">
        <v>4</v>
      </c>
      <c r="I1552" s="5">
        <f>VLOOKUP(F1552,'Set up'!$A$2:$C$70,3,FALSE)</f>
        <v>120</v>
      </c>
      <c r="J1552" s="5">
        <f>VLOOKUP(F1552,'Set up'!$A$2:$D$70,4,FALSE)</f>
        <v>120</v>
      </c>
      <c r="K1552" s="4">
        <f t="shared" si="359"/>
        <v>45142</v>
      </c>
      <c r="L1552" s="5">
        <f t="shared" si="360"/>
        <v>8</v>
      </c>
      <c r="M1552" s="5">
        <f t="shared" si="361"/>
        <v>2023</v>
      </c>
      <c r="N1552" s="6">
        <v>200</v>
      </c>
      <c r="O1552" s="6">
        <f>-N1552</f>
        <v>-200</v>
      </c>
      <c r="P1552" s="6">
        <f t="shared" ref="P1552:P1557" si="364">SUM(N1552+O1552)</f>
        <v>0</v>
      </c>
      <c r="Q1552" s="7">
        <f t="shared" si="362"/>
        <v>2864064.1500000008</v>
      </c>
      <c r="R1552" s="44" t="str">
        <f>VLOOKUP(F1552,'Set up'!$A$2:$E$70,5,FALSE)</f>
        <v>Trsf</v>
      </c>
      <c r="S1552" s="1" t="s">
        <v>1787</v>
      </c>
    </row>
    <row r="1553" spans="1:19" x14ac:dyDescent="0.3">
      <c r="A1553" s="4" t="s">
        <v>1403</v>
      </c>
      <c r="B1553" s="5">
        <f t="shared" si="357"/>
        <v>4</v>
      </c>
      <c r="C1553" s="5">
        <f t="shared" si="358"/>
        <v>2023</v>
      </c>
      <c r="D1553" s="5" t="s">
        <v>1406</v>
      </c>
      <c r="E1553" s="5" t="str">
        <f>VLOOKUP(F1553,'Set up'!$A$2:$C$70,2,FALSE)</f>
        <v>C00000021</v>
      </c>
      <c r="F1553" s="1" t="s">
        <v>491</v>
      </c>
      <c r="G1553" s="89" t="s">
        <v>716</v>
      </c>
      <c r="H1553" s="5">
        <v>1</v>
      </c>
      <c r="I1553" s="5" t="str">
        <f>VLOOKUP(F1553,'Set up'!$A$2:$C$70,3,FALSE)</f>
        <v>Cash</v>
      </c>
      <c r="J1553" s="5">
        <f>VLOOKUP(F1553,'Set up'!$A$2:$D$70,4,FALSE)</f>
        <v>0</v>
      </c>
      <c r="K1553" s="4">
        <f t="shared" si="359"/>
        <v>45022</v>
      </c>
      <c r="L1553" s="5">
        <f t="shared" si="360"/>
        <v>4</v>
      </c>
      <c r="M1553" s="5">
        <f t="shared" si="361"/>
        <v>2023</v>
      </c>
      <c r="N1553" s="6">
        <v>1870</v>
      </c>
      <c r="O1553" s="6">
        <f t="shared" ref="O1553:O1558" si="365">-N1553</f>
        <v>-1870</v>
      </c>
      <c r="P1553" s="6">
        <f t="shared" si="364"/>
        <v>0</v>
      </c>
      <c r="Q1553" s="7">
        <f t="shared" si="362"/>
        <v>2865934.1500000008</v>
      </c>
      <c r="R1553" s="44" t="str">
        <f>VLOOKUP(F1553,'Set up'!$A$2:$E$70,5,FALSE)</f>
        <v>PD Chq</v>
      </c>
      <c r="S1553" s="1" t="s">
        <v>2084</v>
      </c>
    </row>
    <row r="1554" spans="1:19" x14ac:dyDescent="0.3">
      <c r="A1554" s="4" t="s">
        <v>1403</v>
      </c>
      <c r="B1554" s="5">
        <f t="shared" si="357"/>
        <v>4</v>
      </c>
      <c r="C1554" s="5">
        <f t="shared" si="358"/>
        <v>2023</v>
      </c>
      <c r="D1554" s="5" t="s">
        <v>1406</v>
      </c>
      <c r="E1554" s="5" t="str">
        <f>VLOOKUP(F1554,'Set up'!$A$2:$C$70,2,FALSE)</f>
        <v>C00000021</v>
      </c>
      <c r="F1554" s="1" t="s">
        <v>491</v>
      </c>
      <c r="G1554" s="89" t="s">
        <v>666</v>
      </c>
      <c r="H1554" s="5">
        <v>1</v>
      </c>
      <c r="I1554" s="5" t="str">
        <f>VLOOKUP(F1554,'Set up'!$A$2:$C$70,3,FALSE)</f>
        <v>Cash</v>
      </c>
      <c r="J1554" s="5">
        <f>VLOOKUP(F1554,'Set up'!$A$2:$D$70,4,FALSE)</f>
        <v>0</v>
      </c>
      <c r="K1554" s="4">
        <f t="shared" si="359"/>
        <v>45022</v>
      </c>
      <c r="L1554" s="5">
        <f t="shared" si="360"/>
        <v>4</v>
      </c>
      <c r="M1554" s="5">
        <f t="shared" si="361"/>
        <v>2023</v>
      </c>
      <c r="N1554" s="6">
        <v>95</v>
      </c>
      <c r="O1554" s="6">
        <f t="shared" si="365"/>
        <v>-95</v>
      </c>
      <c r="P1554" s="6">
        <f t="shared" si="364"/>
        <v>0</v>
      </c>
      <c r="Q1554" s="7">
        <f t="shared" si="362"/>
        <v>2866029.1500000008</v>
      </c>
      <c r="R1554" s="44" t="str">
        <f>VLOOKUP(F1554,'Set up'!$A$2:$E$70,5,FALSE)</f>
        <v>PD Chq</v>
      </c>
      <c r="S1554" s="1" t="s">
        <v>2083</v>
      </c>
    </row>
    <row r="1555" spans="1:19" x14ac:dyDescent="0.3">
      <c r="A1555" s="4" t="s">
        <v>1403</v>
      </c>
      <c r="B1555" s="5">
        <f t="shared" si="357"/>
        <v>4</v>
      </c>
      <c r="C1555" s="5">
        <f t="shared" si="358"/>
        <v>2023</v>
      </c>
      <c r="D1555" s="5" t="s">
        <v>1406</v>
      </c>
      <c r="E1555" s="5" t="str">
        <f>VLOOKUP(F1555,'Set up'!$A$2:$C$70,2,FALSE)</f>
        <v>C00000021</v>
      </c>
      <c r="F1555" s="1" t="s">
        <v>491</v>
      </c>
      <c r="G1555" s="89" t="s">
        <v>1110</v>
      </c>
      <c r="H1555" s="5">
        <v>5</v>
      </c>
      <c r="I1555" s="5" t="str">
        <f>VLOOKUP(F1555,'Set up'!$A$2:$C$70,3,FALSE)</f>
        <v>Cash</v>
      </c>
      <c r="J1555" s="5">
        <f>VLOOKUP(F1555,'Set up'!$A$2:$D$70,4,FALSE)</f>
        <v>0</v>
      </c>
      <c r="K1555" s="4">
        <f t="shared" si="359"/>
        <v>45022</v>
      </c>
      <c r="L1555" s="5">
        <f t="shared" si="360"/>
        <v>4</v>
      </c>
      <c r="M1555" s="5">
        <f t="shared" si="361"/>
        <v>2023</v>
      </c>
      <c r="N1555" s="6">
        <v>312.5</v>
      </c>
      <c r="O1555" s="6">
        <f t="shared" si="365"/>
        <v>-312.5</v>
      </c>
      <c r="P1555" s="6">
        <f t="shared" si="364"/>
        <v>0</v>
      </c>
      <c r="Q1555" s="7">
        <f t="shared" si="362"/>
        <v>2866341.6500000008</v>
      </c>
      <c r="R1555" s="44" t="str">
        <f>VLOOKUP(F1555,'Set up'!$A$2:$E$70,5,FALSE)</f>
        <v>PD Chq</v>
      </c>
      <c r="S1555" s="1" t="s">
        <v>2083</v>
      </c>
    </row>
    <row r="1556" spans="1:19" x14ac:dyDescent="0.3">
      <c r="A1556" s="4" t="s">
        <v>1403</v>
      </c>
      <c r="B1556" s="5">
        <f t="shared" si="357"/>
        <v>4</v>
      </c>
      <c r="C1556" s="5">
        <f t="shared" si="358"/>
        <v>2023</v>
      </c>
      <c r="D1556" s="5" t="s">
        <v>1406</v>
      </c>
      <c r="E1556" s="5" t="str">
        <f>VLOOKUP(F1556,'Set up'!$A$2:$C$70,2,FALSE)</f>
        <v>C00000021</v>
      </c>
      <c r="F1556" s="1" t="s">
        <v>491</v>
      </c>
      <c r="G1556" s="89" t="s">
        <v>800</v>
      </c>
      <c r="H1556" s="5">
        <v>1</v>
      </c>
      <c r="I1556" s="5" t="str">
        <f>VLOOKUP(F1556,'Set up'!$A$2:$C$70,3,FALSE)</f>
        <v>Cash</v>
      </c>
      <c r="J1556" s="5">
        <f>VLOOKUP(F1556,'Set up'!$A$2:$D$70,4,FALSE)</f>
        <v>0</v>
      </c>
      <c r="K1556" s="4">
        <f t="shared" si="359"/>
        <v>45022</v>
      </c>
      <c r="L1556" s="5">
        <f t="shared" si="360"/>
        <v>4</v>
      </c>
      <c r="M1556" s="5">
        <f t="shared" si="361"/>
        <v>2023</v>
      </c>
      <c r="N1556" s="6">
        <v>225</v>
      </c>
      <c r="O1556" s="6">
        <f t="shared" si="365"/>
        <v>-225</v>
      </c>
      <c r="P1556" s="6">
        <f t="shared" si="364"/>
        <v>0</v>
      </c>
      <c r="Q1556" s="7">
        <f t="shared" si="362"/>
        <v>2866566.6500000008</v>
      </c>
      <c r="R1556" s="44" t="str">
        <f>VLOOKUP(F1556,'Set up'!$A$2:$E$70,5,FALSE)</f>
        <v>PD Chq</v>
      </c>
      <c r="S1556" s="1" t="s">
        <v>2083</v>
      </c>
    </row>
    <row r="1557" spans="1:19" x14ac:dyDescent="0.3">
      <c r="A1557" s="4" t="s">
        <v>1403</v>
      </c>
      <c r="B1557" s="5">
        <f t="shared" si="357"/>
        <v>4</v>
      </c>
      <c r="C1557" s="5">
        <f t="shared" si="358"/>
        <v>2023</v>
      </c>
      <c r="D1557" s="5" t="s">
        <v>1406</v>
      </c>
      <c r="E1557" s="5" t="str">
        <f>VLOOKUP(F1557,'Set up'!$A$2:$C$70,2,FALSE)</f>
        <v>C00000021</v>
      </c>
      <c r="F1557" s="1" t="s">
        <v>491</v>
      </c>
      <c r="G1557" s="89" t="s">
        <v>1405</v>
      </c>
      <c r="H1557" s="5">
        <v>12</v>
      </c>
      <c r="I1557" s="5" t="str">
        <f>VLOOKUP(F1557,'Set up'!$A$2:$C$70,3,FALSE)</f>
        <v>Cash</v>
      </c>
      <c r="J1557" s="5">
        <f>VLOOKUP(F1557,'Set up'!$A$2:$D$70,4,FALSE)</f>
        <v>0</v>
      </c>
      <c r="K1557" s="4">
        <f t="shared" si="359"/>
        <v>45022</v>
      </c>
      <c r="L1557" s="5">
        <f t="shared" si="360"/>
        <v>4</v>
      </c>
      <c r="M1557" s="5">
        <f t="shared" si="361"/>
        <v>2023</v>
      </c>
      <c r="N1557" s="6">
        <v>576</v>
      </c>
      <c r="O1557" s="6">
        <f t="shared" si="365"/>
        <v>-576</v>
      </c>
      <c r="P1557" s="6">
        <f t="shared" si="364"/>
        <v>0</v>
      </c>
      <c r="Q1557" s="7">
        <f t="shared" si="362"/>
        <v>2867142.6500000008</v>
      </c>
      <c r="R1557" s="44" t="str">
        <f>VLOOKUP(F1557,'Set up'!$A$2:$E$70,5,FALSE)</f>
        <v>PD Chq</v>
      </c>
      <c r="S1557" s="1" t="s">
        <v>2083</v>
      </c>
    </row>
    <row r="1558" spans="1:19" x14ac:dyDescent="0.3">
      <c r="A1558" s="4" t="s">
        <v>1409</v>
      </c>
      <c r="B1558" s="5">
        <f t="shared" si="357"/>
        <v>4</v>
      </c>
      <c r="C1558" s="5">
        <f t="shared" si="358"/>
        <v>2023</v>
      </c>
      <c r="D1558" s="5" t="s">
        <v>1407</v>
      </c>
      <c r="E1558" s="5" t="str">
        <f>VLOOKUP(F1558,'Set up'!$A$2:$C$70,2,FALSE)</f>
        <v>C00000020</v>
      </c>
      <c r="F1558" s="1" t="s">
        <v>409</v>
      </c>
      <c r="G1558" s="89" t="s">
        <v>1110</v>
      </c>
      <c r="H1558" s="5">
        <v>10</v>
      </c>
      <c r="I1558" s="5" t="str">
        <f>VLOOKUP(F1558,'Set up'!$A$2:$C$70,3,FALSE)</f>
        <v>Cash</v>
      </c>
      <c r="J1558" s="5">
        <f>VLOOKUP(F1558,'Set up'!$A$2:$D$70,4,FALSE)</f>
        <v>0</v>
      </c>
      <c r="K1558" s="4">
        <f t="shared" si="359"/>
        <v>45023</v>
      </c>
      <c r="L1558" s="5">
        <f t="shared" si="360"/>
        <v>4</v>
      </c>
      <c r="M1558" s="5">
        <f t="shared" si="361"/>
        <v>2023</v>
      </c>
      <c r="N1558" s="6">
        <v>625</v>
      </c>
      <c r="O1558" s="6">
        <f t="shared" si="365"/>
        <v>-625</v>
      </c>
      <c r="P1558" s="6">
        <f t="shared" si="355"/>
        <v>0</v>
      </c>
      <c r="Q1558" s="7">
        <f t="shared" si="362"/>
        <v>2867767.6500000008</v>
      </c>
      <c r="R1558" s="44" t="str">
        <f>VLOOKUP(F1558,'Set up'!$A$2:$E$70,5,FALSE)</f>
        <v>Trsf</v>
      </c>
      <c r="S1558" s="1" t="s">
        <v>2322</v>
      </c>
    </row>
    <row r="1559" spans="1:19" x14ac:dyDescent="0.3">
      <c r="A1559" s="4" t="s">
        <v>1409</v>
      </c>
      <c r="B1559" s="5">
        <f t="shared" si="357"/>
        <v>4</v>
      </c>
      <c r="C1559" s="5">
        <f t="shared" si="358"/>
        <v>2023</v>
      </c>
      <c r="D1559" s="5" t="s">
        <v>1407</v>
      </c>
      <c r="E1559" s="5" t="str">
        <f>VLOOKUP(F1559,'Set up'!$A$2:$C$70,2,FALSE)</f>
        <v>C00000020</v>
      </c>
      <c r="F1559" s="1" t="s">
        <v>409</v>
      </c>
      <c r="G1559" s="89" t="s">
        <v>1408</v>
      </c>
      <c r="H1559" s="5">
        <v>10</v>
      </c>
      <c r="I1559" s="5" t="str">
        <f>VLOOKUP(F1559,'Set up'!$A$2:$C$70,3,FALSE)</f>
        <v>Cash</v>
      </c>
      <c r="J1559" s="5">
        <f>VLOOKUP(F1559,'Set up'!$A$2:$D$70,4,FALSE)</f>
        <v>0</v>
      </c>
      <c r="K1559" s="4">
        <f t="shared" si="359"/>
        <v>45023</v>
      </c>
      <c r="L1559" s="5">
        <f t="shared" si="360"/>
        <v>4</v>
      </c>
      <c r="M1559" s="5">
        <f t="shared" si="361"/>
        <v>2023</v>
      </c>
      <c r="N1559" s="6">
        <v>17820</v>
      </c>
      <c r="O1559" s="6">
        <f>-1389.4-7000-9430.6</f>
        <v>-17820</v>
      </c>
      <c r="P1559" s="6">
        <f t="shared" si="355"/>
        <v>0</v>
      </c>
      <c r="Q1559" s="7">
        <f t="shared" si="362"/>
        <v>2885587.6500000008</v>
      </c>
      <c r="R1559" s="44" t="str">
        <f>VLOOKUP(F1559,'Set up'!$A$2:$E$70,5,FALSE)</f>
        <v>Trsf</v>
      </c>
      <c r="S1559" s="1" t="s">
        <v>2324</v>
      </c>
    </row>
    <row r="1560" spans="1:19" x14ac:dyDescent="0.3">
      <c r="A1560" s="4" t="s">
        <v>1409</v>
      </c>
      <c r="B1560" s="5">
        <f t="shared" si="357"/>
        <v>4</v>
      </c>
      <c r="C1560" s="5">
        <f t="shared" si="358"/>
        <v>2023</v>
      </c>
      <c r="D1560" s="5" t="s">
        <v>1407</v>
      </c>
      <c r="E1560" s="5" t="str">
        <f>VLOOKUP(F1560,'Set up'!$A$2:$C$70,2,FALSE)</f>
        <v>C00000020</v>
      </c>
      <c r="F1560" s="1" t="s">
        <v>409</v>
      </c>
      <c r="G1560" s="89" t="s">
        <v>654</v>
      </c>
      <c r="H1560" s="5">
        <v>30</v>
      </c>
      <c r="I1560" s="5" t="str">
        <f>VLOOKUP(F1560,'Set up'!$A$2:$C$70,3,FALSE)</f>
        <v>Cash</v>
      </c>
      <c r="J1560" s="5">
        <f>VLOOKUP(F1560,'Set up'!$A$2:$D$70,4,FALSE)</f>
        <v>0</v>
      </c>
      <c r="K1560" s="4">
        <f t="shared" si="359"/>
        <v>45023</v>
      </c>
      <c r="L1560" s="5">
        <f t="shared" si="360"/>
        <v>4</v>
      </c>
      <c r="M1560" s="5">
        <f t="shared" si="361"/>
        <v>2023</v>
      </c>
      <c r="N1560" s="6">
        <v>6840</v>
      </c>
      <c r="O1560" s="6">
        <f t="shared" ref="O1560" si="366">-N1560</f>
        <v>-6840</v>
      </c>
      <c r="P1560" s="6">
        <f t="shared" si="355"/>
        <v>0</v>
      </c>
      <c r="Q1560" s="7">
        <f t="shared" si="362"/>
        <v>2892427.6500000008</v>
      </c>
      <c r="R1560" s="44" t="str">
        <f>VLOOKUP(F1560,'Set up'!$A$2:$E$70,5,FALSE)</f>
        <v>Trsf</v>
      </c>
      <c r="S1560" s="1" t="s">
        <v>2318</v>
      </c>
    </row>
    <row r="1561" spans="1:19" x14ac:dyDescent="0.3">
      <c r="A1561" s="4" t="s">
        <v>1409</v>
      </c>
      <c r="B1561" s="5">
        <f t="shared" si="357"/>
        <v>4</v>
      </c>
      <c r="C1561" s="5">
        <f t="shared" si="358"/>
        <v>2023</v>
      </c>
      <c r="D1561" s="5" t="s">
        <v>1407</v>
      </c>
      <c r="E1561" s="5" t="str">
        <f>VLOOKUP(F1561,'Set up'!$A$2:$C$70,2,FALSE)</f>
        <v>C00000020</v>
      </c>
      <c r="F1561" s="1" t="s">
        <v>409</v>
      </c>
      <c r="G1561" s="89" t="s">
        <v>655</v>
      </c>
      <c r="H1561" s="5">
        <v>15</v>
      </c>
      <c r="I1561" s="5" t="str">
        <f>VLOOKUP(F1561,'Set up'!$A$2:$C$70,3,FALSE)</f>
        <v>Cash</v>
      </c>
      <c r="J1561" s="5">
        <f>VLOOKUP(F1561,'Set up'!$A$2:$D$70,4,FALSE)</f>
        <v>0</v>
      </c>
      <c r="K1561" s="4">
        <f t="shared" si="359"/>
        <v>45023</v>
      </c>
      <c r="L1561" s="5">
        <f t="shared" si="360"/>
        <v>4</v>
      </c>
      <c r="M1561" s="5">
        <f t="shared" si="361"/>
        <v>2023</v>
      </c>
      <c r="N1561" s="6">
        <v>3780</v>
      </c>
      <c r="O1561" s="6">
        <f>-729.4-3050.6</f>
        <v>-3780</v>
      </c>
      <c r="P1561" s="6">
        <f t="shared" si="355"/>
        <v>0</v>
      </c>
      <c r="Q1561" s="7">
        <f t="shared" si="362"/>
        <v>2896207.6500000008</v>
      </c>
      <c r="R1561" s="44" t="str">
        <f>VLOOKUP(F1561,'Set up'!$A$2:$E$70,5,FALSE)</f>
        <v>Trsf</v>
      </c>
      <c r="S1561" s="1" t="s">
        <v>2387</v>
      </c>
    </row>
    <row r="1562" spans="1:19" x14ac:dyDescent="0.3">
      <c r="A1562" s="4" t="s">
        <v>1409</v>
      </c>
      <c r="B1562" s="5">
        <f t="shared" si="357"/>
        <v>4</v>
      </c>
      <c r="C1562" s="5">
        <f t="shared" si="358"/>
        <v>2023</v>
      </c>
      <c r="D1562" s="5" t="s">
        <v>1407</v>
      </c>
      <c r="E1562" s="5" t="str">
        <f>VLOOKUP(F1562,'Set up'!$A$2:$C$70,2,FALSE)</f>
        <v>C00000020</v>
      </c>
      <c r="F1562" s="1" t="s">
        <v>409</v>
      </c>
      <c r="G1562" s="89" t="s">
        <v>666</v>
      </c>
      <c r="H1562" s="5">
        <v>4</v>
      </c>
      <c r="I1562" s="5" t="str">
        <f>VLOOKUP(F1562,'Set up'!$A$2:$C$70,3,FALSE)</f>
        <v>Cash</v>
      </c>
      <c r="J1562" s="5">
        <f>VLOOKUP(F1562,'Set up'!$A$2:$D$70,4,FALSE)</f>
        <v>0</v>
      </c>
      <c r="K1562" s="4">
        <f t="shared" si="359"/>
        <v>45023</v>
      </c>
      <c r="L1562" s="5">
        <f t="shared" si="360"/>
        <v>4</v>
      </c>
      <c r="M1562" s="5">
        <f t="shared" si="361"/>
        <v>2023</v>
      </c>
      <c r="N1562" s="6">
        <v>380</v>
      </c>
      <c r="O1562" s="6">
        <f t="shared" ref="O1562:O1563" si="367">-N1562</f>
        <v>-380</v>
      </c>
      <c r="P1562" s="6">
        <f t="shared" si="355"/>
        <v>0</v>
      </c>
      <c r="Q1562" s="7">
        <f t="shared" si="362"/>
        <v>2896587.6500000008</v>
      </c>
      <c r="R1562" s="44" t="str">
        <f>VLOOKUP(F1562,'Set up'!$A$2:$E$70,5,FALSE)</f>
        <v>Trsf</v>
      </c>
      <c r="S1562" s="1" t="s">
        <v>2388</v>
      </c>
    </row>
    <row r="1563" spans="1:19" x14ac:dyDescent="0.3">
      <c r="A1563" s="4" t="s">
        <v>1409</v>
      </c>
      <c r="B1563" s="5">
        <f t="shared" si="357"/>
        <v>4</v>
      </c>
      <c r="C1563" s="5">
        <f t="shared" si="358"/>
        <v>2023</v>
      </c>
      <c r="D1563" s="5" t="s">
        <v>1407</v>
      </c>
      <c r="E1563" s="5" t="str">
        <f>VLOOKUP(F1563,'Set up'!$A$2:$C$70,2,FALSE)</f>
        <v>C00000020</v>
      </c>
      <c r="F1563" s="1" t="s">
        <v>409</v>
      </c>
      <c r="G1563" s="89" t="s">
        <v>1073</v>
      </c>
      <c r="H1563" s="5">
        <v>1</v>
      </c>
      <c r="I1563" s="5" t="str">
        <f>VLOOKUP(F1563,'Set up'!$A$2:$C$70,3,FALSE)</f>
        <v>Cash</v>
      </c>
      <c r="J1563" s="5">
        <f>VLOOKUP(F1563,'Set up'!$A$2:$D$70,4,FALSE)</f>
        <v>0</v>
      </c>
      <c r="K1563" s="4">
        <f t="shared" si="359"/>
        <v>45023</v>
      </c>
      <c r="L1563" s="5">
        <f t="shared" si="360"/>
        <v>4</v>
      </c>
      <c r="M1563" s="5">
        <f t="shared" si="361"/>
        <v>2023</v>
      </c>
      <c r="N1563" s="6">
        <v>1000</v>
      </c>
      <c r="O1563" s="6">
        <f t="shared" si="367"/>
        <v>-1000</v>
      </c>
      <c r="P1563" s="6">
        <f t="shared" si="355"/>
        <v>0</v>
      </c>
      <c r="Q1563" s="7">
        <f t="shared" si="362"/>
        <v>2897587.6500000008</v>
      </c>
      <c r="R1563" s="44" t="str">
        <f>VLOOKUP(F1563,'Set up'!$A$2:$E$70,5,FALSE)</f>
        <v>Trsf</v>
      </c>
      <c r="S1563" s="1" t="s">
        <v>2389</v>
      </c>
    </row>
    <row r="1564" spans="1:19" x14ac:dyDescent="0.3">
      <c r="A1564" s="4" t="s">
        <v>1403</v>
      </c>
      <c r="B1564" s="5">
        <f t="shared" si="357"/>
        <v>4</v>
      </c>
      <c r="C1564" s="5">
        <f t="shared" si="358"/>
        <v>2023</v>
      </c>
      <c r="D1564" s="5" t="s">
        <v>1410</v>
      </c>
      <c r="E1564" s="5" t="str">
        <f>VLOOKUP(F1564,'Set up'!$A$2:$C$70,2,FALSE)</f>
        <v>C00000009</v>
      </c>
      <c r="F1564" s="1" t="s">
        <v>58</v>
      </c>
      <c r="G1564" s="89" t="s">
        <v>46</v>
      </c>
      <c r="H1564" s="5">
        <v>2</v>
      </c>
      <c r="I1564" s="5">
        <f>VLOOKUP(F1564,'Set up'!$A$2:$C$70,3,FALSE)</f>
        <v>60</v>
      </c>
      <c r="J1564" s="5">
        <f>VLOOKUP(F1564,'Set up'!$A$2:$D$70,4,FALSE)</f>
        <v>60</v>
      </c>
      <c r="K1564" s="4">
        <f t="shared" si="359"/>
        <v>45082</v>
      </c>
      <c r="L1564" s="5">
        <f t="shared" si="360"/>
        <v>6</v>
      </c>
      <c r="M1564" s="5">
        <f t="shared" si="361"/>
        <v>2023</v>
      </c>
      <c r="N1564" s="6">
        <v>220</v>
      </c>
      <c r="O1564" s="6">
        <f t="shared" ref="O1564" si="368">-N1564</f>
        <v>-220</v>
      </c>
      <c r="P1564" s="6">
        <f t="shared" si="355"/>
        <v>0</v>
      </c>
      <c r="Q1564" s="7">
        <f t="shared" si="362"/>
        <v>2897807.6500000008</v>
      </c>
      <c r="R1564" s="44" t="str">
        <f>VLOOKUP(F1564,'Set up'!$A$2:$E$70,5,FALSE)</f>
        <v>Chq</v>
      </c>
      <c r="S1564" s="1" t="s">
        <v>1845</v>
      </c>
    </row>
    <row r="1565" spans="1:19" x14ac:dyDescent="0.3">
      <c r="A1565" s="4">
        <v>45023</v>
      </c>
      <c r="B1565" s="5">
        <f t="shared" si="357"/>
        <v>4</v>
      </c>
      <c r="C1565" s="5">
        <f t="shared" si="358"/>
        <v>2023</v>
      </c>
      <c r="D1565" s="5" t="s">
        <v>1412</v>
      </c>
      <c r="E1565" s="5" t="str">
        <f>VLOOKUP(F1565,'Set up'!$A$2:$C$70,2,FALSE)</f>
        <v>C00000019</v>
      </c>
      <c r="F1565" s="1" t="s">
        <v>400</v>
      </c>
      <c r="G1565" s="89" t="s">
        <v>719</v>
      </c>
      <c r="H1565" s="5">
        <v>2</v>
      </c>
      <c r="I1565" s="5" t="str">
        <f>VLOOKUP(F1565,'Set up'!$A$2:$C$70,3,FALSE)</f>
        <v>Cash</v>
      </c>
      <c r="J1565" s="5">
        <f>VLOOKUP(F1565,'Set up'!$A$2:$D$70,4,FALSE)</f>
        <v>0</v>
      </c>
      <c r="K1565" s="4">
        <f t="shared" si="359"/>
        <v>45023</v>
      </c>
      <c r="L1565" s="5">
        <f t="shared" si="360"/>
        <v>4</v>
      </c>
      <c r="M1565" s="5">
        <f t="shared" si="361"/>
        <v>2023</v>
      </c>
      <c r="N1565" s="6">
        <v>3608</v>
      </c>
      <c r="O1565" s="6">
        <f>-151.8-1000-1000-1000-456.2</f>
        <v>-3608</v>
      </c>
      <c r="P1565" s="6">
        <f t="shared" si="355"/>
        <v>0</v>
      </c>
      <c r="Q1565" s="7">
        <f t="shared" si="362"/>
        <v>2901415.6500000008</v>
      </c>
      <c r="R1565" s="44" t="str">
        <f>VLOOKUP(F1565,'Set up'!$A$2:$E$70,5,FALSE)</f>
        <v>Trsf</v>
      </c>
      <c r="S1565" s="1" t="s">
        <v>1836</v>
      </c>
    </row>
    <row r="1566" spans="1:19" x14ac:dyDescent="0.3">
      <c r="A1566" s="4">
        <v>45023</v>
      </c>
      <c r="B1566" s="5">
        <f t="shared" si="357"/>
        <v>4</v>
      </c>
      <c r="C1566" s="5">
        <f t="shared" si="358"/>
        <v>2023</v>
      </c>
      <c r="D1566" s="5" t="s">
        <v>1412</v>
      </c>
      <c r="E1566" s="5" t="str">
        <f>VLOOKUP(F1566,'Set up'!$A$2:$C$70,2,FALSE)</f>
        <v>C00000019</v>
      </c>
      <c r="F1566" s="1" t="s">
        <v>400</v>
      </c>
      <c r="G1566" s="89" t="s">
        <v>1411</v>
      </c>
      <c r="H1566" s="5">
        <v>2</v>
      </c>
      <c r="I1566" s="5" t="str">
        <f>VLOOKUP(F1566,'Set up'!$A$2:$C$70,3,FALSE)</f>
        <v>Cash</v>
      </c>
      <c r="J1566" s="5">
        <f>VLOOKUP(F1566,'Set up'!$A$2:$D$70,4,FALSE)</f>
        <v>0</v>
      </c>
      <c r="K1566" s="4">
        <f t="shared" si="359"/>
        <v>45023</v>
      </c>
      <c r="L1566" s="5">
        <f t="shared" si="360"/>
        <v>4</v>
      </c>
      <c r="M1566" s="5">
        <f t="shared" si="361"/>
        <v>2023</v>
      </c>
      <c r="N1566" s="6">
        <v>842.4</v>
      </c>
      <c r="O1566" s="6">
        <f t="shared" ref="O1566:O1571" si="369">-N1566</f>
        <v>-842.4</v>
      </c>
      <c r="P1566" s="6">
        <f t="shared" si="355"/>
        <v>0</v>
      </c>
      <c r="Q1566" s="7">
        <f t="shared" si="362"/>
        <v>2902258.0500000007</v>
      </c>
      <c r="R1566" s="44" t="str">
        <f>VLOOKUP(F1566,'Set up'!$A$2:$E$70,5,FALSE)</f>
        <v>Trsf</v>
      </c>
      <c r="S1566" s="1" t="s">
        <v>1837</v>
      </c>
    </row>
    <row r="1567" spans="1:19" x14ac:dyDescent="0.3">
      <c r="A1567" s="4">
        <v>45023</v>
      </c>
      <c r="B1567" s="5">
        <f t="shared" si="357"/>
        <v>4</v>
      </c>
      <c r="C1567" s="5">
        <f t="shared" si="358"/>
        <v>2023</v>
      </c>
      <c r="D1567" s="5" t="s">
        <v>1412</v>
      </c>
      <c r="E1567" s="5" t="str">
        <f>VLOOKUP(F1567,'Set up'!$A$2:$C$70,2,FALSE)</f>
        <v>C00000019</v>
      </c>
      <c r="F1567" s="1" t="s">
        <v>400</v>
      </c>
      <c r="G1567" s="89" t="s">
        <v>46</v>
      </c>
      <c r="H1567" s="5">
        <v>1</v>
      </c>
      <c r="I1567" s="5" t="str">
        <f>VLOOKUP(F1567,'Set up'!$A$2:$C$70,3,FALSE)</f>
        <v>Cash</v>
      </c>
      <c r="J1567" s="5">
        <f>VLOOKUP(F1567,'Set up'!$A$2:$D$70,4,FALSE)</f>
        <v>0</v>
      </c>
      <c r="K1567" s="4">
        <f t="shared" si="359"/>
        <v>45023</v>
      </c>
      <c r="L1567" s="5">
        <f t="shared" si="360"/>
        <v>4</v>
      </c>
      <c r="M1567" s="5">
        <f t="shared" si="361"/>
        <v>2023</v>
      </c>
      <c r="N1567" s="6">
        <v>105</v>
      </c>
      <c r="O1567" s="6">
        <f t="shared" si="369"/>
        <v>-105</v>
      </c>
      <c r="P1567" s="6">
        <f t="shared" si="355"/>
        <v>0</v>
      </c>
      <c r="Q1567" s="7">
        <f t="shared" si="362"/>
        <v>2902363.0500000007</v>
      </c>
      <c r="R1567" s="44" t="str">
        <f>VLOOKUP(F1567,'Set up'!$A$2:$E$70,5,FALSE)</f>
        <v>Trsf</v>
      </c>
      <c r="S1567" s="1" t="s">
        <v>1838</v>
      </c>
    </row>
    <row r="1568" spans="1:19" x14ac:dyDescent="0.3">
      <c r="A1568" s="4">
        <v>45023</v>
      </c>
      <c r="B1568" s="5">
        <f t="shared" si="357"/>
        <v>4</v>
      </c>
      <c r="C1568" s="5">
        <f t="shared" si="358"/>
        <v>2023</v>
      </c>
      <c r="D1568" s="5" t="s">
        <v>1412</v>
      </c>
      <c r="E1568" s="5" t="str">
        <f>VLOOKUP(F1568,'Set up'!$A$2:$C$70,2,FALSE)</f>
        <v>C00000019</v>
      </c>
      <c r="F1568" s="1" t="s">
        <v>400</v>
      </c>
      <c r="G1568" s="89" t="s">
        <v>292</v>
      </c>
      <c r="H1568" s="5">
        <v>1</v>
      </c>
      <c r="I1568" s="5" t="str">
        <f>VLOOKUP(F1568,'Set up'!$A$2:$C$70,3,FALSE)</f>
        <v>Cash</v>
      </c>
      <c r="J1568" s="5">
        <f>VLOOKUP(F1568,'Set up'!$A$2:$D$70,4,FALSE)</f>
        <v>0</v>
      </c>
      <c r="K1568" s="4">
        <f t="shared" si="359"/>
        <v>45023</v>
      </c>
      <c r="L1568" s="5">
        <f t="shared" si="360"/>
        <v>4</v>
      </c>
      <c r="M1568" s="5">
        <f t="shared" si="361"/>
        <v>2023</v>
      </c>
      <c r="N1568" s="6">
        <v>450</v>
      </c>
      <c r="O1568" s="6">
        <f t="shared" si="369"/>
        <v>-450</v>
      </c>
      <c r="P1568" s="6">
        <f t="shared" si="355"/>
        <v>0</v>
      </c>
      <c r="Q1568" s="7">
        <f t="shared" si="362"/>
        <v>2902813.0500000007</v>
      </c>
      <c r="R1568" s="44" t="str">
        <f>VLOOKUP(F1568,'Set up'!$A$2:$E$70,5,FALSE)</f>
        <v>Trsf</v>
      </c>
      <c r="S1568" s="1" t="s">
        <v>1839</v>
      </c>
    </row>
    <row r="1569" spans="1:19" x14ac:dyDescent="0.3">
      <c r="A1569" s="4">
        <v>45023</v>
      </c>
      <c r="B1569" s="5">
        <f t="shared" si="357"/>
        <v>4</v>
      </c>
      <c r="C1569" s="5">
        <f t="shared" si="358"/>
        <v>2023</v>
      </c>
      <c r="D1569" s="5" t="s">
        <v>1412</v>
      </c>
      <c r="E1569" s="5" t="str">
        <f>VLOOKUP(F1569,'Set up'!$A$2:$C$70,2,FALSE)</f>
        <v>C00000019</v>
      </c>
      <c r="F1569" s="1" t="s">
        <v>400</v>
      </c>
      <c r="G1569" s="89" t="s">
        <v>787</v>
      </c>
      <c r="H1569" s="5">
        <v>1</v>
      </c>
      <c r="I1569" s="5" t="str">
        <f>VLOOKUP(F1569,'Set up'!$A$2:$C$70,3,FALSE)</f>
        <v>Cash</v>
      </c>
      <c r="J1569" s="5">
        <f>VLOOKUP(F1569,'Set up'!$A$2:$D$70,4,FALSE)</f>
        <v>0</v>
      </c>
      <c r="K1569" s="4">
        <f t="shared" si="359"/>
        <v>45023</v>
      </c>
      <c r="L1569" s="5">
        <f t="shared" si="360"/>
        <v>4</v>
      </c>
      <c r="M1569" s="5">
        <f t="shared" si="361"/>
        <v>2023</v>
      </c>
      <c r="N1569" s="6">
        <v>440</v>
      </c>
      <c r="O1569" s="6">
        <f t="shared" si="369"/>
        <v>-440</v>
      </c>
      <c r="P1569" s="6">
        <f t="shared" si="355"/>
        <v>0</v>
      </c>
      <c r="Q1569" s="7">
        <f t="shared" si="362"/>
        <v>2903253.0500000007</v>
      </c>
      <c r="R1569" s="44" t="str">
        <f>VLOOKUP(F1569,'Set up'!$A$2:$E$70,5,FALSE)</f>
        <v>Trsf</v>
      </c>
      <c r="S1569" s="1" t="s">
        <v>1840</v>
      </c>
    </row>
    <row r="1570" spans="1:19" x14ac:dyDescent="0.3">
      <c r="A1570" s="4">
        <v>45023</v>
      </c>
      <c r="B1570" s="5">
        <f t="shared" si="357"/>
        <v>4</v>
      </c>
      <c r="C1570" s="5">
        <f t="shared" si="358"/>
        <v>2023</v>
      </c>
      <c r="D1570" s="5" t="s">
        <v>1412</v>
      </c>
      <c r="E1570" s="5" t="str">
        <f>VLOOKUP(F1570,'Set up'!$A$2:$C$70,2,FALSE)</f>
        <v>C00000019</v>
      </c>
      <c r="F1570" s="1" t="s">
        <v>400</v>
      </c>
      <c r="G1570" s="89" t="s">
        <v>791</v>
      </c>
      <c r="H1570" s="5">
        <v>3</v>
      </c>
      <c r="I1570" s="5" t="str">
        <f>VLOOKUP(F1570,'Set up'!$A$2:$C$70,3,FALSE)</f>
        <v>Cash</v>
      </c>
      <c r="J1570" s="5">
        <f>VLOOKUP(F1570,'Set up'!$A$2:$D$70,4,FALSE)</f>
        <v>0</v>
      </c>
      <c r="K1570" s="4">
        <f t="shared" si="359"/>
        <v>45023</v>
      </c>
      <c r="L1570" s="5">
        <f t="shared" si="360"/>
        <v>4</v>
      </c>
      <c r="M1570" s="5">
        <f t="shared" si="361"/>
        <v>2023</v>
      </c>
      <c r="N1570" s="6">
        <v>187.5</v>
      </c>
      <c r="O1570" s="6">
        <f t="shared" si="369"/>
        <v>-187.5</v>
      </c>
      <c r="P1570" s="6">
        <f t="shared" si="355"/>
        <v>0</v>
      </c>
      <c r="Q1570" s="7">
        <f t="shared" si="362"/>
        <v>2903440.5500000007</v>
      </c>
      <c r="R1570" s="44" t="str">
        <f>VLOOKUP(F1570,'Set up'!$A$2:$E$70,5,FALSE)</f>
        <v>Trsf</v>
      </c>
      <c r="S1570" s="1" t="s">
        <v>1841</v>
      </c>
    </row>
    <row r="1571" spans="1:19" x14ac:dyDescent="0.3">
      <c r="A1571" s="4" t="s">
        <v>1414</v>
      </c>
      <c r="B1571" s="5">
        <f t="shared" si="357"/>
        <v>4</v>
      </c>
      <c r="C1571" s="5">
        <f t="shared" si="358"/>
        <v>2023</v>
      </c>
      <c r="D1571" s="5" t="s">
        <v>1413</v>
      </c>
      <c r="E1571" s="5" t="str">
        <f>VLOOKUP(F1571,'Set up'!$A$2:$C$70,2,FALSE)</f>
        <v>C00000022</v>
      </c>
      <c r="F1571" s="1" t="s">
        <v>637</v>
      </c>
      <c r="G1571" s="89" t="s">
        <v>719</v>
      </c>
      <c r="H1571" s="5">
        <v>1</v>
      </c>
      <c r="I1571" s="5" t="str">
        <f>VLOOKUP(F1571,'Set up'!$A$2:$C$70,3,FALSE)</f>
        <v>Cash</v>
      </c>
      <c r="J1571" s="5">
        <f>VLOOKUP(F1571,'Set up'!$A$2:$D$70,4,FALSE)</f>
        <v>0</v>
      </c>
      <c r="K1571" s="4">
        <f t="shared" si="359"/>
        <v>45024</v>
      </c>
      <c r="L1571" s="5">
        <f t="shared" si="360"/>
        <v>4</v>
      </c>
      <c r="M1571" s="5">
        <f t="shared" si="361"/>
        <v>2023</v>
      </c>
      <c r="N1571" s="6">
        <v>1892</v>
      </c>
      <c r="O1571" s="6">
        <f t="shared" si="369"/>
        <v>-1892</v>
      </c>
      <c r="P1571" s="6">
        <f t="shared" si="355"/>
        <v>0</v>
      </c>
      <c r="Q1571" s="7">
        <f t="shared" si="362"/>
        <v>2905332.5500000007</v>
      </c>
      <c r="R1571" s="44" t="str">
        <f>VLOOKUP(F1571,'Set up'!$A$2:$E$70,5,FALSE)</f>
        <v>Trsf</v>
      </c>
      <c r="S1571" s="1" t="s">
        <v>1985</v>
      </c>
    </row>
    <row r="1572" spans="1:19" x14ac:dyDescent="0.3">
      <c r="A1572" s="4" t="s">
        <v>1414</v>
      </c>
      <c r="B1572" s="5">
        <f t="shared" si="357"/>
        <v>4</v>
      </c>
      <c r="C1572" s="5">
        <f t="shared" si="358"/>
        <v>2023</v>
      </c>
      <c r="D1572" s="5" t="s">
        <v>1415</v>
      </c>
      <c r="E1572" s="5" t="str">
        <f>VLOOKUP(F1572,'Set up'!$A$2:$C$70,2,FALSE)</f>
        <v>C00000006</v>
      </c>
      <c r="F1572" s="1" t="s">
        <v>43</v>
      </c>
      <c r="G1572" s="89" t="s">
        <v>719</v>
      </c>
      <c r="H1572" s="5">
        <v>1</v>
      </c>
      <c r="I1572" s="5" t="str">
        <f>VLOOKUP(F1572,'Set up'!$A$2:$C$70,3,FALSE)</f>
        <v>Cash</v>
      </c>
      <c r="J1572" s="5">
        <f>VLOOKUP(F1572,'Set up'!$A$2:$D$70,4,FALSE)</f>
        <v>0</v>
      </c>
      <c r="K1572" s="4">
        <f t="shared" si="359"/>
        <v>45024</v>
      </c>
      <c r="L1572" s="5">
        <f t="shared" si="360"/>
        <v>4</v>
      </c>
      <c r="M1572" s="5">
        <f t="shared" si="361"/>
        <v>2023</v>
      </c>
      <c r="N1572" s="6">
        <v>1870</v>
      </c>
      <c r="O1572" s="6">
        <f>-N1572</f>
        <v>-1870</v>
      </c>
      <c r="P1572" s="6">
        <f t="shared" si="355"/>
        <v>0</v>
      </c>
      <c r="Q1572" s="7">
        <f t="shared" si="362"/>
        <v>2907202.5500000007</v>
      </c>
      <c r="R1572" s="44" t="str">
        <f>VLOOKUP(F1572,'Set up'!$A$2:$E$70,5,FALSE)</f>
        <v>Chq</v>
      </c>
      <c r="S1572" s="1" t="s">
        <v>1683</v>
      </c>
    </row>
    <row r="1573" spans="1:19" x14ac:dyDescent="0.3">
      <c r="A1573" s="4" t="s">
        <v>1414</v>
      </c>
      <c r="B1573" s="5">
        <f t="shared" si="357"/>
        <v>4</v>
      </c>
      <c r="C1573" s="5">
        <f t="shared" si="358"/>
        <v>2023</v>
      </c>
      <c r="D1573" s="5" t="s">
        <v>1415</v>
      </c>
      <c r="E1573" s="5" t="str">
        <f>VLOOKUP(F1573,'Set up'!$A$2:$C$70,2,FALSE)</f>
        <v>C00000006</v>
      </c>
      <c r="F1573" s="1" t="s">
        <v>43</v>
      </c>
      <c r="G1573" s="89" t="s">
        <v>1352</v>
      </c>
      <c r="H1573" s="5">
        <v>1</v>
      </c>
      <c r="I1573" s="5" t="str">
        <f>VLOOKUP(F1573,'Set up'!$A$2:$C$70,3,FALSE)</f>
        <v>Cash</v>
      </c>
      <c r="J1573" s="5">
        <f>VLOOKUP(F1573,'Set up'!$A$2:$D$70,4,FALSE)</f>
        <v>0</v>
      </c>
      <c r="K1573" s="4">
        <f t="shared" si="359"/>
        <v>45024</v>
      </c>
      <c r="L1573" s="5">
        <f t="shared" si="360"/>
        <v>4</v>
      </c>
      <c r="M1573" s="5">
        <f t="shared" si="361"/>
        <v>2023</v>
      </c>
      <c r="N1573" s="6">
        <v>234</v>
      </c>
      <c r="O1573" s="6">
        <f>-N1573</f>
        <v>-234</v>
      </c>
      <c r="P1573" s="6">
        <f t="shared" si="355"/>
        <v>0</v>
      </c>
      <c r="Q1573" s="7">
        <f t="shared" si="362"/>
        <v>2907436.5500000007</v>
      </c>
      <c r="R1573" s="44" t="str">
        <f>VLOOKUP(F1573,'Set up'!$A$2:$E$70,5,FALSE)</f>
        <v>Chq</v>
      </c>
      <c r="S1573" s="1" t="s">
        <v>1683</v>
      </c>
    </row>
    <row r="1574" spans="1:19" x14ac:dyDescent="0.3">
      <c r="A1574" s="4" t="s">
        <v>1417</v>
      </c>
      <c r="B1574" s="5">
        <f t="shared" si="357"/>
        <v>4</v>
      </c>
      <c r="C1574" s="5">
        <f t="shared" si="358"/>
        <v>2023</v>
      </c>
      <c r="D1574" s="5" t="s">
        <v>1416</v>
      </c>
      <c r="E1574" s="5" t="str">
        <f>VLOOKUP(F1574,'Set up'!$A$2:$C$70,2,FALSE)</f>
        <v>C00000034</v>
      </c>
      <c r="F1574" s="1" t="s">
        <v>1196</v>
      </c>
      <c r="G1574" s="89" t="s">
        <v>1351</v>
      </c>
      <c r="H1574" s="5">
        <v>13</v>
      </c>
      <c r="I1574" s="5" t="str">
        <f>VLOOKUP(F1574,'Set up'!$A$2:$C$70,3,FALSE)</f>
        <v>Cash</v>
      </c>
      <c r="J1574" s="5">
        <f>VLOOKUP(F1574,'Set up'!$A$2:$D$70,4,FALSE)</f>
        <v>0</v>
      </c>
      <c r="K1574" s="4">
        <f t="shared" si="359"/>
        <v>45026</v>
      </c>
      <c r="L1574" s="5">
        <f t="shared" si="360"/>
        <v>4</v>
      </c>
      <c r="M1574" s="5">
        <f t="shared" si="361"/>
        <v>2023</v>
      </c>
      <c r="N1574" s="6">
        <v>1755</v>
      </c>
      <c r="O1574" s="6">
        <f t="shared" ref="O1574:O1578" si="370">-N1574</f>
        <v>-1755</v>
      </c>
      <c r="P1574" s="6">
        <f t="shared" si="355"/>
        <v>0</v>
      </c>
      <c r="Q1574" s="7">
        <f t="shared" si="362"/>
        <v>2909191.5500000007</v>
      </c>
      <c r="R1574" s="44" t="str">
        <f>VLOOKUP(F1574,'Set up'!$A$2:$E$70,5,FALSE)</f>
        <v>Trsf</v>
      </c>
      <c r="S1574" s="1" t="s">
        <v>1524</v>
      </c>
    </row>
    <row r="1575" spans="1:19" x14ac:dyDescent="0.3">
      <c r="A1575" s="4" t="s">
        <v>1417</v>
      </c>
      <c r="B1575" s="5">
        <f t="shared" si="357"/>
        <v>4</v>
      </c>
      <c r="C1575" s="5">
        <f t="shared" si="358"/>
        <v>2023</v>
      </c>
      <c r="D1575" s="5" t="s">
        <v>1416</v>
      </c>
      <c r="E1575" s="5" t="str">
        <f>VLOOKUP(F1575,'Set up'!$A$2:$C$70,2,FALSE)</f>
        <v>C00000034</v>
      </c>
      <c r="F1575" s="1" t="s">
        <v>1196</v>
      </c>
      <c r="G1575" s="89" t="s">
        <v>1356</v>
      </c>
      <c r="H1575" s="5">
        <v>2</v>
      </c>
      <c r="I1575" s="5" t="str">
        <f>VLOOKUP(F1575,'Set up'!$A$2:$C$70,3,FALSE)</f>
        <v>Cash</v>
      </c>
      <c r="J1575" s="5">
        <f>VLOOKUP(F1575,'Set up'!$A$2:$D$70,4,FALSE)</f>
        <v>0</v>
      </c>
      <c r="K1575" s="4">
        <f t="shared" si="359"/>
        <v>45026</v>
      </c>
      <c r="L1575" s="5">
        <f t="shared" si="360"/>
        <v>4</v>
      </c>
      <c r="M1575" s="5">
        <f t="shared" si="361"/>
        <v>2023</v>
      </c>
      <c r="N1575" s="6">
        <v>3696</v>
      </c>
      <c r="O1575" s="6">
        <f t="shared" si="370"/>
        <v>-3696</v>
      </c>
      <c r="P1575" s="6">
        <f t="shared" si="355"/>
        <v>0</v>
      </c>
      <c r="Q1575" s="7">
        <f t="shared" si="362"/>
        <v>2912887.5500000007</v>
      </c>
      <c r="R1575" s="44" t="str">
        <f>VLOOKUP(F1575,'Set up'!$A$2:$E$70,5,FALSE)</f>
        <v>Trsf</v>
      </c>
      <c r="S1575" s="1" t="s">
        <v>1524</v>
      </c>
    </row>
    <row r="1576" spans="1:19" x14ac:dyDescent="0.3">
      <c r="A1576" s="4" t="s">
        <v>1417</v>
      </c>
      <c r="B1576" s="5">
        <f t="shared" si="357"/>
        <v>4</v>
      </c>
      <c r="C1576" s="5">
        <f t="shared" si="358"/>
        <v>2023</v>
      </c>
      <c r="D1576" s="5" t="s">
        <v>1416</v>
      </c>
      <c r="E1576" s="5" t="str">
        <f>VLOOKUP(F1576,'Set up'!$A$2:$C$70,2,FALSE)</f>
        <v>C00000034</v>
      </c>
      <c r="F1576" s="1" t="s">
        <v>1196</v>
      </c>
      <c r="G1576" s="89" t="s">
        <v>1110</v>
      </c>
      <c r="H1576" s="5">
        <v>4</v>
      </c>
      <c r="I1576" s="5" t="str">
        <f>VLOOKUP(F1576,'Set up'!$A$2:$C$70,3,FALSE)</f>
        <v>Cash</v>
      </c>
      <c r="J1576" s="5">
        <f>VLOOKUP(F1576,'Set up'!$A$2:$D$70,4,FALSE)</f>
        <v>0</v>
      </c>
      <c r="K1576" s="4">
        <f t="shared" si="359"/>
        <v>45026</v>
      </c>
      <c r="L1576" s="5">
        <f t="shared" si="360"/>
        <v>4</v>
      </c>
      <c r="M1576" s="5">
        <f t="shared" si="361"/>
        <v>2023</v>
      </c>
      <c r="N1576" s="6">
        <v>250</v>
      </c>
      <c r="O1576" s="6">
        <f t="shared" si="370"/>
        <v>-250</v>
      </c>
      <c r="P1576" s="6">
        <f t="shared" si="355"/>
        <v>0</v>
      </c>
      <c r="Q1576" s="7">
        <f t="shared" si="362"/>
        <v>2913137.5500000007</v>
      </c>
      <c r="R1576" s="44" t="str">
        <f>VLOOKUP(F1576,'Set up'!$A$2:$E$70,5,FALSE)</f>
        <v>Trsf</v>
      </c>
      <c r="S1576" s="1" t="s">
        <v>1524</v>
      </c>
    </row>
    <row r="1577" spans="1:19" x14ac:dyDescent="0.3">
      <c r="A1577" s="4" t="s">
        <v>1417</v>
      </c>
      <c r="B1577" s="5">
        <f t="shared" si="357"/>
        <v>4</v>
      </c>
      <c r="C1577" s="5">
        <f t="shared" si="358"/>
        <v>2023</v>
      </c>
      <c r="D1577" s="5" t="s">
        <v>1416</v>
      </c>
      <c r="E1577" s="5" t="str">
        <f>VLOOKUP(F1577,'Set up'!$A$2:$C$70,2,FALSE)</f>
        <v>C00000034</v>
      </c>
      <c r="F1577" s="1" t="s">
        <v>1196</v>
      </c>
      <c r="G1577" s="89" t="s">
        <v>666</v>
      </c>
      <c r="H1577" s="5">
        <v>1</v>
      </c>
      <c r="I1577" s="5" t="str">
        <f>VLOOKUP(F1577,'Set up'!$A$2:$C$70,3,FALSE)</f>
        <v>Cash</v>
      </c>
      <c r="J1577" s="5">
        <f>VLOOKUP(F1577,'Set up'!$A$2:$D$70,4,FALSE)</f>
        <v>0</v>
      </c>
      <c r="K1577" s="4">
        <f t="shared" si="359"/>
        <v>45026</v>
      </c>
      <c r="L1577" s="5">
        <f t="shared" si="360"/>
        <v>4</v>
      </c>
      <c r="M1577" s="5">
        <f t="shared" si="361"/>
        <v>2023</v>
      </c>
      <c r="N1577" s="6">
        <v>100</v>
      </c>
      <c r="O1577" s="6">
        <f t="shared" si="370"/>
        <v>-100</v>
      </c>
      <c r="P1577" s="6">
        <f t="shared" si="355"/>
        <v>0</v>
      </c>
      <c r="Q1577" s="7">
        <f t="shared" si="362"/>
        <v>2913237.5500000007</v>
      </c>
      <c r="R1577" s="44" t="str">
        <f>VLOOKUP(F1577,'Set up'!$A$2:$E$70,5,FALSE)</f>
        <v>Trsf</v>
      </c>
      <c r="S1577" s="1" t="s">
        <v>1524</v>
      </c>
    </row>
    <row r="1578" spans="1:19" x14ac:dyDescent="0.3">
      <c r="A1578" s="4" t="s">
        <v>1419</v>
      </c>
      <c r="B1578" s="5">
        <f t="shared" si="357"/>
        <v>4</v>
      </c>
      <c r="C1578" s="5">
        <f t="shared" si="358"/>
        <v>2023</v>
      </c>
      <c r="D1578" s="5" t="s">
        <v>1418</v>
      </c>
      <c r="E1578" s="5" t="str">
        <f>VLOOKUP(F1578,'Set up'!$A$2:$C$70,2,FALSE)</f>
        <v>C00000020</v>
      </c>
      <c r="F1578" s="1" t="s">
        <v>409</v>
      </c>
      <c r="G1578" s="89" t="s">
        <v>1073</v>
      </c>
      <c r="H1578" s="5">
        <v>1</v>
      </c>
      <c r="I1578" s="5" t="str">
        <f>VLOOKUP(F1578,'Set up'!$A$2:$C$70,3,FALSE)</f>
        <v>Cash</v>
      </c>
      <c r="J1578" s="5">
        <f>VLOOKUP(F1578,'Set up'!$A$2:$D$70,4,FALSE)</f>
        <v>0</v>
      </c>
      <c r="K1578" s="4">
        <f t="shared" si="359"/>
        <v>45025</v>
      </c>
      <c r="L1578" s="5">
        <f t="shared" si="360"/>
        <v>4</v>
      </c>
      <c r="M1578" s="5">
        <f t="shared" si="361"/>
        <v>2023</v>
      </c>
      <c r="N1578" s="6">
        <v>1000</v>
      </c>
      <c r="O1578" s="6">
        <f t="shared" si="370"/>
        <v>-1000</v>
      </c>
      <c r="P1578" s="6">
        <f t="shared" ref="P1578:P1595" si="371">SUM(N1578+O1578)</f>
        <v>0</v>
      </c>
      <c r="Q1578" s="7">
        <f t="shared" si="362"/>
        <v>2914237.5500000007</v>
      </c>
      <c r="R1578" s="44" t="str">
        <f>VLOOKUP(F1578,'Set up'!$A$2:$E$70,5,FALSE)</f>
        <v>Trsf</v>
      </c>
      <c r="S1578" s="1" t="s">
        <v>2389</v>
      </c>
    </row>
    <row r="1579" spans="1:19" x14ac:dyDescent="0.3">
      <c r="A1579" s="4" t="s">
        <v>1426</v>
      </c>
      <c r="B1579" s="5">
        <f t="shared" si="357"/>
        <v>4</v>
      </c>
      <c r="C1579" s="5">
        <f t="shared" si="358"/>
        <v>2023</v>
      </c>
      <c r="D1579" s="5" t="s">
        <v>1422</v>
      </c>
      <c r="E1579" s="5" t="str">
        <f>VLOOKUP(F1579,'Set up'!$A$2:$C$70,2,FALSE)</f>
        <v>C00000038</v>
      </c>
      <c r="F1579" s="1" t="s">
        <v>1420</v>
      </c>
      <c r="G1579" s="89" t="s">
        <v>1423</v>
      </c>
      <c r="H1579" s="5">
        <v>1</v>
      </c>
      <c r="I1579" s="5" t="str">
        <f>VLOOKUP(F1579,'Set up'!$A$2:$C$70,3,FALSE)</f>
        <v>Cash</v>
      </c>
      <c r="J1579" s="5">
        <f>VLOOKUP(F1579,'Set up'!$A$2:$D$70,4,FALSE)</f>
        <v>0</v>
      </c>
      <c r="K1579" s="4">
        <f t="shared" si="359"/>
        <v>45027</v>
      </c>
      <c r="L1579" s="5">
        <f t="shared" si="360"/>
        <v>4</v>
      </c>
      <c r="M1579" s="5">
        <f t="shared" si="361"/>
        <v>2023</v>
      </c>
      <c r="N1579" s="6">
        <v>267</v>
      </c>
      <c r="O1579" s="6">
        <f t="shared" ref="O1579:O1585" si="372">-N1579</f>
        <v>-267</v>
      </c>
      <c r="P1579" s="6">
        <f t="shared" si="371"/>
        <v>0</v>
      </c>
      <c r="Q1579" s="7">
        <f t="shared" si="362"/>
        <v>2914504.5500000007</v>
      </c>
      <c r="R1579" s="44" t="str">
        <f>VLOOKUP(F1579,'Set up'!$A$2:$E$70,5,FALSE)</f>
        <v>Trsf</v>
      </c>
      <c r="S1579" s="1" t="s">
        <v>1485</v>
      </c>
    </row>
    <row r="1580" spans="1:19" x14ac:dyDescent="0.3">
      <c r="A1580" s="4" t="s">
        <v>1426</v>
      </c>
      <c r="B1580" s="5">
        <f t="shared" si="357"/>
        <v>4</v>
      </c>
      <c r="C1580" s="5">
        <f t="shared" si="358"/>
        <v>2023</v>
      </c>
      <c r="D1580" s="5" t="s">
        <v>1422</v>
      </c>
      <c r="E1580" s="5" t="str">
        <f>VLOOKUP(F1580,'Set up'!$A$2:$C$70,2,FALSE)</f>
        <v>C00000038</v>
      </c>
      <c r="F1580" s="1" t="s">
        <v>1420</v>
      </c>
      <c r="G1580" s="89" t="s">
        <v>1060</v>
      </c>
      <c r="H1580" s="5">
        <v>1</v>
      </c>
      <c r="I1580" s="5" t="str">
        <f>VLOOKUP(F1580,'Set up'!$A$2:$C$70,3,FALSE)</f>
        <v>Cash</v>
      </c>
      <c r="J1580" s="5">
        <f>VLOOKUP(F1580,'Set up'!$A$2:$D$70,4,FALSE)</f>
        <v>0</v>
      </c>
      <c r="K1580" s="4">
        <f t="shared" si="359"/>
        <v>45027</v>
      </c>
      <c r="L1580" s="5">
        <f t="shared" si="360"/>
        <v>4</v>
      </c>
      <c r="M1580" s="5">
        <f t="shared" si="361"/>
        <v>2023</v>
      </c>
      <c r="N1580" s="6">
        <v>258</v>
      </c>
      <c r="O1580" s="6">
        <f t="shared" si="372"/>
        <v>-258</v>
      </c>
      <c r="P1580" s="6">
        <f t="shared" si="371"/>
        <v>0</v>
      </c>
      <c r="Q1580" s="7">
        <f t="shared" si="362"/>
        <v>2914762.5500000007</v>
      </c>
      <c r="R1580" s="44" t="str">
        <f>VLOOKUP(F1580,'Set up'!$A$2:$E$70,5,FALSE)</f>
        <v>Trsf</v>
      </c>
      <c r="S1580" s="1" t="s">
        <v>1485</v>
      </c>
    </row>
    <row r="1581" spans="1:19" x14ac:dyDescent="0.3">
      <c r="A1581" s="4" t="s">
        <v>1426</v>
      </c>
      <c r="B1581" s="5">
        <f t="shared" si="357"/>
        <v>4</v>
      </c>
      <c r="C1581" s="5">
        <f t="shared" si="358"/>
        <v>2023</v>
      </c>
      <c r="D1581" s="5" t="s">
        <v>1422</v>
      </c>
      <c r="E1581" s="5" t="str">
        <f>VLOOKUP(F1581,'Set up'!$A$2:$C$70,2,FALSE)</f>
        <v>C00000038</v>
      </c>
      <c r="F1581" s="1" t="s">
        <v>1420</v>
      </c>
      <c r="G1581" s="89" t="s">
        <v>1424</v>
      </c>
      <c r="H1581" s="5">
        <v>1</v>
      </c>
      <c r="I1581" s="5" t="str">
        <f>VLOOKUP(F1581,'Set up'!$A$2:$C$70,3,FALSE)</f>
        <v>Cash</v>
      </c>
      <c r="J1581" s="5">
        <f>VLOOKUP(F1581,'Set up'!$A$2:$D$70,4,FALSE)</f>
        <v>0</v>
      </c>
      <c r="K1581" s="4">
        <f t="shared" si="359"/>
        <v>45027</v>
      </c>
      <c r="L1581" s="5">
        <f t="shared" si="360"/>
        <v>4</v>
      </c>
      <c r="M1581" s="5">
        <f t="shared" si="361"/>
        <v>2023</v>
      </c>
      <c r="N1581" s="6">
        <v>95</v>
      </c>
      <c r="O1581" s="6">
        <f t="shared" si="372"/>
        <v>-95</v>
      </c>
      <c r="P1581" s="6">
        <f t="shared" si="371"/>
        <v>0</v>
      </c>
      <c r="Q1581" s="7">
        <f t="shared" si="362"/>
        <v>2914857.5500000007</v>
      </c>
      <c r="R1581" s="44" t="str">
        <f>VLOOKUP(F1581,'Set up'!$A$2:$E$70,5,FALSE)</f>
        <v>Trsf</v>
      </c>
      <c r="S1581" s="1" t="s">
        <v>1485</v>
      </c>
    </row>
    <row r="1582" spans="1:19" x14ac:dyDescent="0.3">
      <c r="A1582" s="4" t="s">
        <v>1426</v>
      </c>
      <c r="B1582" s="5">
        <f t="shared" si="357"/>
        <v>4</v>
      </c>
      <c r="C1582" s="5">
        <f t="shared" si="358"/>
        <v>2023</v>
      </c>
      <c r="D1582" s="5" t="s">
        <v>1422</v>
      </c>
      <c r="E1582" s="5" t="str">
        <f>VLOOKUP(F1582,'Set up'!$A$2:$C$70,2,FALSE)</f>
        <v>C00000038</v>
      </c>
      <c r="F1582" s="1" t="s">
        <v>1420</v>
      </c>
      <c r="G1582" s="89" t="s">
        <v>1425</v>
      </c>
      <c r="H1582" s="5">
        <v>1</v>
      </c>
      <c r="I1582" s="5" t="str">
        <f>VLOOKUP(F1582,'Set up'!$A$2:$C$70,3,FALSE)</f>
        <v>Cash</v>
      </c>
      <c r="J1582" s="5">
        <f>VLOOKUP(F1582,'Set up'!$A$2:$D$70,4,FALSE)</f>
        <v>0</v>
      </c>
      <c r="K1582" s="4">
        <f t="shared" si="359"/>
        <v>45027</v>
      </c>
      <c r="L1582" s="5">
        <f t="shared" si="360"/>
        <v>4</v>
      </c>
      <c r="M1582" s="5">
        <f t="shared" si="361"/>
        <v>2023</v>
      </c>
      <c r="N1582" s="6">
        <v>50</v>
      </c>
      <c r="O1582" s="6">
        <f t="shared" si="372"/>
        <v>-50</v>
      </c>
      <c r="P1582" s="6">
        <f t="shared" si="371"/>
        <v>0</v>
      </c>
      <c r="Q1582" s="7">
        <f t="shared" si="362"/>
        <v>2914907.5500000007</v>
      </c>
      <c r="R1582" s="44" t="str">
        <f>VLOOKUP(F1582,'Set up'!$A$2:$E$70,5,FALSE)</f>
        <v>Trsf</v>
      </c>
      <c r="S1582" s="1" t="s">
        <v>1485</v>
      </c>
    </row>
    <row r="1583" spans="1:19" x14ac:dyDescent="0.3">
      <c r="A1583" s="4" t="s">
        <v>1428</v>
      </c>
      <c r="B1583" s="5">
        <f t="shared" si="357"/>
        <v>4</v>
      </c>
      <c r="C1583" s="5">
        <f t="shared" si="358"/>
        <v>2023</v>
      </c>
      <c r="D1583" s="5" t="s">
        <v>1427</v>
      </c>
      <c r="E1583" s="5" t="str">
        <f>VLOOKUP(F1583,'Set up'!$A$2:$C$70,2,FALSE)</f>
        <v>C00000021</v>
      </c>
      <c r="F1583" s="1" t="s">
        <v>491</v>
      </c>
      <c r="G1583" s="89" t="s">
        <v>716</v>
      </c>
      <c r="H1583" s="5">
        <v>1</v>
      </c>
      <c r="I1583" s="5" t="str">
        <f>VLOOKUP(F1583,'Set up'!$A$2:$C$70,3,FALSE)</f>
        <v>Cash</v>
      </c>
      <c r="J1583" s="5">
        <f>VLOOKUP(F1583,'Set up'!$A$2:$D$70,4,FALSE)</f>
        <v>0</v>
      </c>
      <c r="K1583" s="4">
        <f t="shared" si="359"/>
        <v>45028</v>
      </c>
      <c r="L1583" s="5">
        <f t="shared" si="360"/>
        <v>4</v>
      </c>
      <c r="M1583" s="5">
        <f t="shared" si="361"/>
        <v>2023</v>
      </c>
      <c r="N1583" s="6">
        <v>1870</v>
      </c>
      <c r="O1583" s="6">
        <f t="shared" si="372"/>
        <v>-1870</v>
      </c>
      <c r="P1583" s="6">
        <f t="shared" si="371"/>
        <v>0</v>
      </c>
      <c r="Q1583" s="7">
        <f t="shared" si="362"/>
        <v>2916777.5500000007</v>
      </c>
      <c r="R1583" s="44" t="str">
        <f>VLOOKUP(F1583,'Set up'!$A$2:$E$70,5,FALSE)</f>
        <v>PD Chq</v>
      </c>
      <c r="S1583" s="1" t="s">
        <v>2115</v>
      </c>
    </row>
    <row r="1584" spans="1:19" x14ac:dyDescent="0.3">
      <c r="A1584" s="4" t="s">
        <v>1428</v>
      </c>
      <c r="B1584" s="5">
        <f t="shared" si="357"/>
        <v>4</v>
      </c>
      <c r="C1584" s="5">
        <f t="shared" si="358"/>
        <v>2023</v>
      </c>
      <c r="D1584" s="5" t="s">
        <v>1427</v>
      </c>
      <c r="E1584" s="5" t="str">
        <f>VLOOKUP(F1584,'Set up'!$A$2:$C$70,2,FALSE)</f>
        <v>C00000021</v>
      </c>
      <c r="F1584" s="1" t="s">
        <v>491</v>
      </c>
      <c r="G1584" s="89" t="s">
        <v>654</v>
      </c>
      <c r="H1584" s="5">
        <v>3</v>
      </c>
      <c r="I1584" s="5" t="str">
        <f>VLOOKUP(F1584,'Set up'!$A$2:$C$70,3,FALSE)</f>
        <v>Cash</v>
      </c>
      <c r="J1584" s="5">
        <f>VLOOKUP(F1584,'Set up'!$A$2:$D$70,4,FALSE)</f>
        <v>0</v>
      </c>
      <c r="K1584" s="4">
        <f t="shared" si="359"/>
        <v>45028</v>
      </c>
      <c r="L1584" s="5">
        <f t="shared" si="360"/>
        <v>4</v>
      </c>
      <c r="M1584" s="5">
        <f t="shared" si="361"/>
        <v>2023</v>
      </c>
      <c r="N1584" s="6">
        <v>765</v>
      </c>
      <c r="O1584" s="6">
        <f t="shared" si="372"/>
        <v>-765</v>
      </c>
      <c r="P1584" s="6">
        <f t="shared" si="371"/>
        <v>0</v>
      </c>
      <c r="Q1584" s="7">
        <f t="shared" si="362"/>
        <v>2917542.5500000007</v>
      </c>
      <c r="R1584" s="44" t="str">
        <f>VLOOKUP(F1584,'Set up'!$A$2:$E$70,5,FALSE)</f>
        <v>PD Chq</v>
      </c>
      <c r="S1584" s="1" t="s">
        <v>2115</v>
      </c>
    </row>
    <row r="1585" spans="1:19" x14ac:dyDescent="0.3">
      <c r="A1585" s="4" t="s">
        <v>1428</v>
      </c>
      <c r="B1585" s="5">
        <f t="shared" si="357"/>
        <v>4</v>
      </c>
      <c r="C1585" s="5">
        <f t="shared" si="358"/>
        <v>2023</v>
      </c>
      <c r="D1585" s="5" t="s">
        <v>1427</v>
      </c>
      <c r="E1585" s="5" t="str">
        <f>VLOOKUP(F1585,'Set up'!$A$2:$C$70,2,FALSE)</f>
        <v>C00000021</v>
      </c>
      <c r="F1585" s="1" t="s">
        <v>491</v>
      </c>
      <c r="G1585" s="89" t="s">
        <v>1110</v>
      </c>
      <c r="H1585" s="5">
        <v>5</v>
      </c>
      <c r="I1585" s="5" t="str">
        <f>VLOOKUP(F1585,'Set up'!$A$2:$C$70,3,FALSE)</f>
        <v>Cash</v>
      </c>
      <c r="J1585" s="5">
        <f>VLOOKUP(F1585,'Set up'!$A$2:$D$70,4,FALSE)</f>
        <v>0</v>
      </c>
      <c r="K1585" s="4">
        <f t="shared" si="359"/>
        <v>45028</v>
      </c>
      <c r="L1585" s="5">
        <f t="shared" si="360"/>
        <v>4</v>
      </c>
      <c r="M1585" s="5">
        <f t="shared" si="361"/>
        <v>2023</v>
      </c>
      <c r="N1585" s="6">
        <v>312.5</v>
      </c>
      <c r="O1585" s="6">
        <f t="shared" si="372"/>
        <v>-312.5</v>
      </c>
      <c r="P1585" s="6">
        <f t="shared" si="371"/>
        <v>0</v>
      </c>
      <c r="Q1585" s="7">
        <f t="shared" si="362"/>
        <v>2917855.0500000007</v>
      </c>
      <c r="R1585" s="44" t="str">
        <f>VLOOKUP(F1585,'Set up'!$A$2:$E$70,5,FALSE)</f>
        <v>PD Chq</v>
      </c>
      <c r="S1585" s="1" t="s">
        <v>2115</v>
      </c>
    </row>
    <row r="1586" spans="1:19" x14ac:dyDescent="0.3">
      <c r="A1586" s="4" t="s">
        <v>1430</v>
      </c>
      <c r="B1586" s="5">
        <f t="shared" si="357"/>
        <v>4</v>
      </c>
      <c r="C1586" s="5">
        <f t="shared" si="358"/>
        <v>2023</v>
      </c>
      <c r="D1586" s="5" t="s">
        <v>1429</v>
      </c>
      <c r="E1586" s="5" t="str">
        <f>VLOOKUP(F1586,'Set up'!$A$2:$C$70,2,FALSE)</f>
        <v>C00000037</v>
      </c>
      <c r="F1586" s="1" t="s">
        <v>1309</v>
      </c>
      <c r="G1586" s="89" t="s">
        <v>719</v>
      </c>
      <c r="H1586" s="5">
        <v>2</v>
      </c>
      <c r="I1586" s="5">
        <f>VLOOKUP(F1586,'Set up'!$A$2:$C$70,3,FALSE)</f>
        <v>30</v>
      </c>
      <c r="J1586" s="5">
        <f>VLOOKUP(F1586,'Set up'!$A$2:$D$70,4,FALSE)</f>
        <v>30</v>
      </c>
      <c r="K1586" s="4">
        <f t="shared" si="359"/>
        <v>45059</v>
      </c>
      <c r="L1586" s="5">
        <f t="shared" si="360"/>
        <v>5</v>
      </c>
      <c r="M1586" s="5">
        <f t="shared" si="361"/>
        <v>2023</v>
      </c>
      <c r="N1586" s="6">
        <v>3696</v>
      </c>
      <c r="O1586" s="6">
        <f t="shared" ref="O1586:O1587" si="373">-N1586</f>
        <v>-3696</v>
      </c>
      <c r="P1586" s="6">
        <f t="shared" si="371"/>
        <v>0</v>
      </c>
      <c r="Q1586" s="7">
        <f t="shared" si="362"/>
        <v>2921551.0500000007</v>
      </c>
      <c r="R1586" s="44" t="str">
        <f>VLOOKUP(F1586,'Set up'!$A$2:$E$70,5,FALSE)</f>
        <v>Chq</v>
      </c>
      <c r="S1586" s="1" t="s">
        <v>1568</v>
      </c>
    </row>
    <row r="1587" spans="1:19" x14ac:dyDescent="0.3">
      <c r="A1587" s="4" t="s">
        <v>1430</v>
      </c>
      <c r="B1587" s="5">
        <f t="shared" si="357"/>
        <v>4</v>
      </c>
      <c r="C1587" s="5">
        <f t="shared" si="358"/>
        <v>2023</v>
      </c>
      <c r="D1587" s="5" t="s">
        <v>1429</v>
      </c>
      <c r="E1587" s="5" t="str">
        <f>VLOOKUP(F1587,'Set up'!$A$2:$C$70,2,FALSE)</f>
        <v>C00000037</v>
      </c>
      <c r="F1587" s="1" t="s">
        <v>1309</v>
      </c>
      <c r="G1587" s="89" t="s">
        <v>707</v>
      </c>
      <c r="H1587" s="5">
        <v>3</v>
      </c>
      <c r="I1587" s="5">
        <f>VLOOKUP(F1587,'Set up'!$A$2:$C$70,3,FALSE)</f>
        <v>30</v>
      </c>
      <c r="J1587" s="5">
        <f>VLOOKUP(F1587,'Set up'!$A$2:$D$70,4,FALSE)</f>
        <v>30</v>
      </c>
      <c r="K1587" s="4">
        <f t="shared" si="359"/>
        <v>45059</v>
      </c>
      <c r="L1587" s="5">
        <f t="shared" si="360"/>
        <v>5</v>
      </c>
      <c r="M1587" s="5">
        <f t="shared" si="361"/>
        <v>2023</v>
      </c>
      <c r="N1587" s="6">
        <v>1263.5999999999999</v>
      </c>
      <c r="O1587" s="6">
        <f t="shared" si="373"/>
        <v>-1263.5999999999999</v>
      </c>
      <c r="P1587" s="6">
        <f t="shared" si="371"/>
        <v>0</v>
      </c>
      <c r="Q1587" s="7">
        <f t="shared" si="362"/>
        <v>2922814.6500000008</v>
      </c>
      <c r="R1587" s="44" t="str">
        <f>VLOOKUP(F1587,'Set up'!$A$2:$E$70,5,FALSE)</f>
        <v>Chq</v>
      </c>
      <c r="S1587" s="1" t="s">
        <v>1568</v>
      </c>
    </row>
    <row r="1588" spans="1:19" x14ac:dyDescent="0.3">
      <c r="A1588" s="4">
        <v>45030</v>
      </c>
      <c r="B1588" s="5">
        <f t="shared" si="357"/>
        <v>4</v>
      </c>
      <c r="C1588" s="5">
        <f t="shared" si="358"/>
        <v>2023</v>
      </c>
      <c r="D1588" s="5" t="s">
        <v>1432</v>
      </c>
      <c r="E1588" s="5" t="str">
        <f>VLOOKUP(F1588,'Set up'!$A$2:$C$70,2,FALSE)</f>
        <v>C00000022</v>
      </c>
      <c r="F1588" s="1" t="s">
        <v>637</v>
      </c>
      <c r="G1588" s="89" t="s">
        <v>719</v>
      </c>
      <c r="H1588" s="5">
        <v>1</v>
      </c>
      <c r="I1588" s="5" t="str">
        <f>VLOOKUP(F1588,'Set up'!$A$2:$C$70,3,FALSE)</f>
        <v>Cash</v>
      </c>
      <c r="J1588" s="5">
        <f>VLOOKUP(F1588,'Set up'!$A$2:$D$70,4,FALSE)</f>
        <v>0</v>
      </c>
      <c r="K1588" s="4">
        <f t="shared" si="359"/>
        <v>45030</v>
      </c>
      <c r="L1588" s="5">
        <f t="shared" si="360"/>
        <v>4</v>
      </c>
      <c r="M1588" s="5">
        <f t="shared" si="361"/>
        <v>2023</v>
      </c>
      <c r="N1588" s="6">
        <v>1892</v>
      </c>
      <c r="O1588" s="6">
        <f>-1642.8-249.2</f>
        <v>-1892</v>
      </c>
      <c r="P1588" s="6">
        <f t="shared" si="371"/>
        <v>0</v>
      </c>
      <c r="Q1588" s="7">
        <f t="shared" si="362"/>
        <v>2924706.6500000008</v>
      </c>
      <c r="R1588" s="44" t="str">
        <f>VLOOKUP(F1588,'Set up'!$A$2:$E$70,5,FALSE)</f>
        <v>Trsf</v>
      </c>
      <c r="S1588" s="1" t="s">
        <v>2241</v>
      </c>
    </row>
    <row r="1589" spans="1:19" x14ac:dyDescent="0.3">
      <c r="A1589" s="4">
        <v>45030</v>
      </c>
      <c r="B1589" s="5">
        <f t="shared" si="357"/>
        <v>4</v>
      </c>
      <c r="C1589" s="5">
        <f t="shared" si="358"/>
        <v>2023</v>
      </c>
      <c r="D1589" s="5" t="s">
        <v>1432</v>
      </c>
      <c r="E1589" s="5" t="str">
        <f>VLOOKUP(F1589,'Set up'!$A$2:$C$70,2,FALSE)</f>
        <v>C00000022</v>
      </c>
      <c r="F1589" s="1" t="s">
        <v>637</v>
      </c>
      <c r="G1589" s="89" t="s">
        <v>1431</v>
      </c>
      <c r="H1589" s="5">
        <v>1</v>
      </c>
      <c r="I1589" s="5" t="str">
        <f>VLOOKUP(F1589,'Set up'!$A$2:$C$70,3,FALSE)</f>
        <v>Cash</v>
      </c>
      <c r="J1589" s="5">
        <f>VLOOKUP(F1589,'Set up'!$A$2:$D$70,4,FALSE)</f>
        <v>0</v>
      </c>
      <c r="K1589" s="4">
        <f t="shared" si="359"/>
        <v>45030</v>
      </c>
      <c r="L1589" s="5">
        <f t="shared" si="360"/>
        <v>4</v>
      </c>
      <c r="M1589" s="5">
        <f t="shared" si="361"/>
        <v>2023</v>
      </c>
      <c r="N1589" s="6">
        <v>258</v>
      </c>
      <c r="O1589" s="6">
        <f t="shared" ref="O1589:O1591" si="374">-N1589</f>
        <v>-258</v>
      </c>
      <c r="P1589" s="6">
        <f t="shared" si="371"/>
        <v>0</v>
      </c>
      <c r="Q1589" s="7">
        <f t="shared" si="362"/>
        <v>2924964.6500000008</v>
      </c>
      <c r="R1589" s="44" t="str">
        <f>VLOOKUP(F1589,'Set up'!$A$2:$E$70,5,FALSE)</f>
        <v>Trsf</v>
      </c>
      <c r="S1589" s="1" t="s">
        <v>2243</v>
      </c>
    </row>
    <row r="1590" spans="1:19" x14ac:dyDescent="0.3">
      <c r="A1590" s="4">
        <v>45030</v>
      </c>
      <c r="B1590" s="5">
        <f t="shared" si="357"/>
        <v>4</v>
      </c>
      <c r="C1590" s="5">
        <f t="shared" si="358"/>
        <v>2023</v>
      </c>
      <c r="D1590" s="5" t="s">
        <v>1432</v>
      </c>
      <c r="E1590" s="5" t="str">
        <f>VLOOKUP(F1590,'Set up'!$A$2:$C$70,2,FALSE)</f>
        <v>C00000022</v>
      </c>
      <c r="F1590" s="1" t="s">
        <v>637</v>
      </c>
      <c r="G1590" s="89" t="s">
        <v>566</v>
      </c>
      <c r="H1590" s="5">
        <v>1</v>
      </c>
      <c r="I1590" s="5" t="str">
        <f>VLOOKUP(F1590,'Set up'!$A$2:$C$70,3,FALSE)</f>
        <v>Cash</v>
      </c>
      <c r="J1590" s="5">
        <f>VLOOKUP(F1590,'Set up'!$A$2:$D$70,4,FALSE)</f>
        <v>0</v>
      </c>
      <c r="K1590" s="4">
        <f t="shared" si="359"/>
        <v>45030</v>
      </c>
      <c r="L1590" s="5">
        <f t="shared" si="360"/>
        <v>4</v>
      </c>
      <c r="M1590" s="5">
        <f t="shared" si="361"/>
        <v>2023</v>
      </c>
      <c r="N1590" s="6">
        <v>110</v>
      </c>
      <c r="O1590" s="6">
        <f t="shared" si="374"/>
        <v>-110</v>
      </c>
      <c r="P1590" s="6">
        <f t="shared" si="371"/>
        <v>0</v>
      </c>
      <c r="Q1590" s="7">
        <f t="shared" si="362"/>
        <v>2925074.6500000008</v>
      </c>
      <c r="R1590" s="44" t="str">
        <f>VLOOKUP(F1590,'Set up'!$A$2:$E$70,5,FALSE)</f>
        <v>Trsf</v>
      </c>
      <c r="S1590" s="1" t="s">
        <v>2242</v>
      </c>
    </row>
    <row r="1591" spans="1:19" x14ac:dyDescent="0.3">
      <c r="A1591" s="4" t="s">
        <v>1435</v>
      </c>
      <c r="B1591" s="5">
        <f t="shared" si="357"/>
        <v>4</v>
      </c>
      <c r="C1591" s="5">
        <f t="shared" si="358"/>
        <v>2023</v>
      </c>
      <c r="D1591" s="5" t="s">
        <v>1433</v>
      </c>
      <c r="E1591" s="5" t="str">
        <f>VLOOKUP(F1591,'Set up'!$A$2:$C$70,2,FALSE)</f>
        <v>C00000020</v>
      </c>
      <c r="F1591" s="1" t="s">
        <v>409</v>
      </c>
      <c r="G1591" s="89" t="s">
        <v>1110</v>
      </c>
      <c r="H1591" s="5">
        <v>5</v>
      </c>
      <c r="I1591" s="5" t="str">
        <f>VLOOKUP(F1591,'Set up'!$A$2:$C$70,3,FALSE)</f>
        <v>Cash</v>
      </c>
      <c r="J1591" s="5">
        <f>VLOOKUP(F1591,'Set up'!$A$2:$D$70,4,FALSE)</f>
        <v>0</v>
      </c>
      <c r="K1591" s="4">
        <f t="shared" si="359"/>
        <v>45031</v>
      </c>
      <c r="L1591" s="5">
        <f t="shared" si="360"/>
        <v>4</v>
      </c>
      <c r="M1591" s="5">
        <f t="shared" si="361"/>
        <v>2023</v>
      </c>
      <c r="N1591" s="6">
        <v>312.5</v>
      </c>
      <c r="O1591" s="6">
        <f t="shared" si="374"/>
        <v>-312.5</v>
      </c>
      <c r="P1591" s="6">
        <f t="shared" si="371"/>
        <v>0</v>
      </c>
      <c r="Q1591" s="7">
        <f t="shared" si="362"/>
        <v>2925387.1500000008</v>
      </c>
      <c r="R1591" s="44" t="str">
        <f>VLOOKUP(F1591,'Set up'!$A$2:$E$70,5,FALSE)</f>
        <v>Trsf</v>
      </c>
      <c r="S1591" s="1" t="s">
        <v>2390</v>
      </c>
    </row>
    <row r="1592" spans="1:19" x14ac:dyDescent="0.3">
      <c r="A1592" s="4" t="s">
        <v>1435</v>
      </c>
      <c r="B1592" s="5">
        <f t="shared" si="357"/>
        <v>4</v>
      </c>
      <c r="C1592" s="5">
        <f t="shared" si="358"/>
        <v>2023</v>
      </c>
      <c r="D1592" s="5" t="s">
        <v>1434</v>
      </c>
      <c r="E1592" s="5" t="str">
        <f>VLOOKUP(F1592,'Set up'!$A$2:$C$70,2,FALSE)</f>
        <v>C00000020</v>
      </c>
      <c r="F1592" s="1" t="s">
        <v>409</v>
      </c>
      <c r="G1592" s="89" t="s">
        <v>1408</v>
      </c>
      <c r="H1592" s="5">
        <v>5</v>
      </c>
      <c r="I1592" s="5" t="str">
        <f>VLOOKUP(F1592,'Set up'!$A$2:$C$70,3,FALSE)</f>
        <v>Cash</v>
      </c>
      <c r="J1592" s="5">
        <f>VLOOKUP(F1592,'Set up'!$A$2:$D$70,4,FALSE)</f>
        <v>0</v>
      </c>
      <c r="K1592" s="4">
        <f t="shared" si="359"/>
        <v>45031</v>
      </c>
      <c r="L1592" s="5">
        <f t="shared" si="360"/>
        <v>4</v>
      </c>
      <c r="M1592" s="5">
        <f t="shared" si="361"/>
        <v>2023</v>
      </c>
      <c r="N1592" s="6">
        <v>8910</v>
      </c>
      <c r="O1592" s="6">
        <f>-5756.9-3153.1</f>
        <v>-8910</v>
      </c>
      <c r="P1592" s="6">
        <f t="shared" si="371"/>
        <v>0</v>
      </c>
      <c r="Q1592" s="7">
        <f t="shared" si="362"/>
        <v>2934297.1500000008</v>
      </c>
      <c r="R1592" s="44" t="str">
        <f>VLOOKUP(F1592,'Set up'!$A$2:$E$70,5,FALSE)</f>
        <v>Trsf</v>
      </c>
      <c r="S1592" s="1" t="s">
        <v>2391</v>
      </c>
    </row>
    <row r="1593" spans="1:19" x14ac:dyDescent="0.3">
      <c r="A1593" s="4" t="s">
        <v>1435</v>
      </c>
      <c r="B1593" s="5">
        <f t="shared" si="357"/>
        <v>4</v>
      </c>
      <c r="C1593" s="5">
        <f t="shared" si="358"/>
        <v>2023</v>
      </c>
      <c r="D1593" s="5" t="s">
        <v>1434</v>
      </c>
      <c r="E1593" s="5" t="str">
        <f>VLOOKUP(F1593,'Set up'!$A$2:$C$70,2,FALSE)</f>
        <v>C00000020</v>
      </c>
      <c r="F1593" s="1" t="s">
        <v>409</v>
      </c>
      <c r="G1593" s="89" t="s">
        <v>654</v>
      </c>
      <c r="H1593" s="5">
        <v>15</v>
      </c>
      <c r="I1593" s="5" t="str">
        <f>VLOOKUP(F1593,'Set up'!$A$2:$C$70,3,FALSE)</f>
        <v>Cash</v>
      </c>
      <c r="J1593" s="5">
        <f>VLOOKUP(F1593,'Set up'!$A$2:$D$70,4,FALSE)</f>
        <v>0</v>
      </c>
      <c r="K1593" s="4">
        <f t="shared" si="359"/>
        <v>45031</v>
      </c>
      <c r="L1593" s="5">
        <f t="shared" si="360"/>
        <v>4</v>
      </c>
      <c r="M1593" s="5">
        <f t="shared" si="361"/>
        <v>2023</v>
      </c>
      <c r="N1593" s="6">
        <v>3420</v>
      </c>
      <c r="O1593" s="6">
        <f t="shared" ref="O1593:O1595" si="375">-N1593</f>
        <v>-3420</v>
      </c>
      <c r="P1593" s="6">
        <f t="shared" si="371"/>
        <v>0</v>
      </c>
      <c r="Q1593" s="7">
        <f t="shared" si="362"/>
        <v>2937717.1500000008</v>
      </c>
      <c r="R1593" s="44" t="str">
        <f>VLOOKUP(F1593,'Set up'!$A$2:$E$70,5,FALSE)</f>
        <v>Trsf</v>
      </c>
      <c r="S1593" s="1" t="s">
        <v>2392</v>
      </c>
    </row>
    <row r="1594" spans="1:19" x14ac:dyDescent="0.3">
      <c r="A1594" s="4" t="s">
        <v>1435</v>
      </c>
      <c r="B1594" s="5">
        <f t="shared" si="357"/>
        <v>4</v>
      </c>
      <c r="C1594" s="5">
        <f t="shared" si="358"/>
        <v>2023</v>
      </c>
      <c r="D1594" s="5" t="s">
        <v>1434</v>
      </c>
      <c r="E1594" s="5" t="str">
        <f>VLOOKUP(F1594,'Set up'!$A$2:$C$70,2,FALSE)</f>
        <v>C00000020</v>
      </c>
      <c r="F1594" s="1" t="s">
        <v>409</v>
      </c>
      <c r="G1594" s="89" t="s">
        <v>1437</v>
      </c>
      <c r="H1594" s="5">
        <v>7</v>
      </c>
      <c r="I1594" s="5" t="str">
        <f>VLOOKUP(F1594,'Set up'!$A$2:$C$70,3,FALSE)</f>
        <v>Cash</v>
      </c>
      <c r="J1594" s="5">
        <f>VLOOKUP(F1594,'Set up'!$A$2:$D$70,4,FALSE)</f>
        <v>0</v>
      </c>
      <c r="K1594" s="4">
        <f t="shared" si="359"/>
        <v>45031</v>
      </c>
      <c r="L1594" s="5">
        <f t="shared" si="360"/>
        <v>4</v>
      </c>
      <c r="M1594" s="5">
        <f t="shared" si="361"/>
        <v>2023</v>
      </c>
      <c r="N1594" s="6">
        <v>1852.2000000000003</v>
      </c>
      <c r="O1594" s="6">
        <f t="shared" si="375"/>
        <v>-1852.2000000000003</v>
      </c>
      <c r="P1594" s="6">
        <f t="shared" si="371"/>
        <v>0</v>
      </c>
      <c r="Q1594" s="7">
        <f t="shared" si="362"/>
        <v>2939569.350000001</v>
      </c>
      <c r="R1594" s="44" t="str">
        <f>VLOOKUP(F1594,'Set up'!$A$2:$E$70,5,FALSE)</f>
        <v>Trsf</v>
      </c>
      <c r="S1594" s="1" t="s">
        <v>2393</v>
      </c>
    </row>
    <row r="1595" spans="1:19" x14ac:dyDescent="0.3">
      <c r="A1595" s="4" t="s">
        <v>1435</v>
      </c>
      <c r="B1595" s="5">
        <f t="shared" si="357"/>
        <v>4</v>
      </c>
      <c r="C1595" s="5">
        <f t="shared" si="358"/>
        <v>2023</v>
      </c>
      <c r="D1595" s="5" t="s">
        <v>1434</v>
      </c>
      <c r="E1595" s="5" t="str">
        <f>VLOOKUP(F1595,'Set up'!$A$2:$C$70,2,FALSE)</f>
        <v>C00000020</v>
      </c>
      <c r="F1595" s="1" t="s">
        <v>409</v>
      </c>
      <c r="G1595" s="89" t="s">
        <v>1073</v>
      </c>
      <c r="H1595" s="5">
        <v>1</v>
      </c>
      <c r="I1595" s="5" t="str">
        <f>VLOOKUP(F1595,'Set up'!$A$2:$C$70,3,FALSE)</f>
        <v>Cash</v>
      </c>
      <c r="J1595" s="5">
        <f>VLOOKUP(F1595,'Set up'!$A$2:$D$70,4,FALSE)</f>
        <v>0</v>
      </c>
      <c r="K1595" s="4">
        <f t="shared" si="359"/>
        <v>45031</v>
      </c>
      <c r="L1595" s="5">
        <f t="shared" si="360"/>
        <v>4</v>
      </c>
      <c r="M1595" s="5">
        <f t="shared" si="361"/>
        <v>2023</v>
      </c>
      <c r="N1595" s="6">
        <v>1000</v>
      </c>
      <c r="O1595" s="6">
        <f t="shared" si="375"/>
        <v>-1000</v>
      </c>
      <c r="P1595" s="6">
        <f t="shared" si="371"/>
        <v>0</v>
      </c>
      <c r="Q1595" s="7">
        <f t="shared" si="362"/>
        <v>2940569.350000001</v>
      </c>
      <c r="R1595" s="44" t="str">
        <f>VLOOKUP(F1595,'Set up'!$A$2:$E$70,5,FALSE)</f>
        <v>Trsf</v>
      </c>
      <c r="S1595" s="1" t="s">
        <v>2394</v>
      </c>
    </row>
    <row r="1596" spans="1:19" x14ac:dyDescent="0.3">
      <c r="A1596" s="4" t="s">
        <v>1439</v>
      </c>
      <c r="B1596" s="5">
        <f t="shared" si="357"/>
        <v>4</v>
      </c>
      <c r="C1596" s="5">
        <f t="shared" si="358"/>
        <v>2023</v>
      </c>
      <c r="D1596" s="5" t="s">
        <v>1438</v>
      </c>
      <c r="E1596" s="5" t="str">
        <f>VLOOKUP(F1596,'Set up'!$A$2:$C$70,2,FALSE)</f>
        <v>C00000021</v>
      </c>
      <c r="F1596" s="1" t="s">
        <v>491</v>
      </c>
      <c r="G1596" s="89" t="s">
        <v>716</v>
      </c>
      <c r="H1596" s="5">
        <v>1</v>
      </c>
      <c r="I1596" s="5" t="str">
        <f>VLOOKUP(F1596,'Set up'!$A$2:$C$70,3,FALSE)</f>
        <v>Cash</v>
      </c>
      <c r="J1596" s="5">
        <f>VLOOKUP(F1596,'Set up'!$A$2:$D$70,4,FALSE)</f>
        <v>0</v>
      </c>
      <c r="K1596" s="4">
        <f t="shared" si="359"/>
        <v>45034</v>
      </c>
      <c r="L1596" s="5">
        <f t="shared" si="360"/>
        <v>4</v>
      </c>
      <c r="M1596" s="5">
        <f t="shared" si="361"/>
        <v>2023</v>
      </c>
      <c r="N1596" s="6">
        <v>1870</v>
      </c>
      <c r="O1596" s="6">
        <f t="shared" ref="O1596:O1599" si="376">-N1596</f>
        <v>-1870</v>
      </c>
      <c r="P1596" s="6">
        <f t="shared" ref="P1596:P1620" si="377">SUM(N1596+O1596)</f>
        <v>0</v>
      </c>
      <c r="Q1596" s="7">
        <f t="shared" si="362"/>
        <v>2942439.350000001</v>
      </c>
      <c r="R1596" s="44" t="str">
        <f>VLOOKUP(F1596,'Set up'!$A$2:$E$70,5,FALSE)</f>
        <v>PD Chq</v>
      </c>
      <c r="S1596" s="1" t="s">
        <v>2116</v>
      </c>
    </row>
    <row r="1597" spans="1:19" x14ac:dyDescent="0.3">
      <c r="A1597" s="4" t="s">
        <v>1439</v>
      </c>
      <c r="B1597" s="5">
        <f t="shared" si="357"/>
        <v>4</v>
      </c>
      <c r="C1597" s="5">
        <f t="shared" si="358"/>
        <v>2023</v>
      </c>
      <c r="D1597" s="5" t="s">
        <v>1438</v>
      </c>
      <c r="E1597" s="5" t="str">
        <f>VLOOKUP(F1597,'Set up'!$A$2:$C$70,2,FALSE)</f>
        <v>C00000021</v>
      </c>
      <c r="F1597" s="1" t="s">
        <v>491</v>
      </c>
      <c r="G1597" s="89" t="s">
        <v>654</v>
      </c>
      <c r="H1597" s="5">
        <v>3</v>
      </c>
      <c r="I1597" s="5" t="str">
        <f>VLOOKUP(F1597,'Set up'!$A$2:$C$70,3,FALSE)</f>
        <v>Cash</v>
      </c>
      <c r="J1597" s="5">
        <f>VLOOKUP(F1597,'Set up'!$A$2:$D$70,4,FALSE)</f>
        <v>0</v>
      </c>
      <c r="K1597" s="4">
        <f t="shared" si="359"/>
        <v>45034</v>
      </c>
      <c r="L1597" s="5">
        <f t="shared" si="360"/>
        <v>4</v>
      </c>
      <c r="M1597" s="5">
        <f t="shared" si="361"/>
        <v>2023</v>
      </c>
      <c r="N1597" s="6">
        <v>765</v>
      </c>
      <c r="O1597" s="6">
        <f t="shared" si="376"/>
        <v>-765</v>
      </c>
      <c r="P1597" s="6">
        <f t="shared" si="377"/>
        <v>0</v>
      </c>
      <c r="Q1597" s="7">
        <f t="shared" si="362"/>
        <v>2943204.350000001</v>
      </c>
      <c r="R1597" s="44" t="str">
        <f>VLOOKUP(F1597,'Set up'!$A$2:$E$70,5,FALSE)</f>
        <v>PD Chq</v>
      </c>
      <c r="S1597" s="1" t="s">
        <v>2116</v>
      </c>
    </row>
    <row r="1598" spans="1:19" x14ac:dyDescent="0.3">
      <c r="A1598" s="4" t="s">
        <v>1439</v>
      </c>
      <c r="B1598" s="5">
        <f t="shared" si="357"/>
        <v>4</v>
      </c>
      <c r="C1598" s="5">
        <f t="shared" si="358"/>
        <v>2023</v>
      </c>
      <c r="D1598" s="5" t="s">
        <v>1438</v>
      </c>
      <c r="E1598" s="5" t="str">
        <f>VLOOKUP(F1598,'Set up'!$A$2:$C$70,2,FALSE)</f>
        <v>C00000021</v>
      </c>
      <c r="F1598" s="1" t="s">
        <v>491</v>
      </c>
      <c r="G1598" s="89" t="s">
        <v>1110</v>
      </c>
      <c r="H1598" s="5">
        <v>5</v>
      </c>
      <c r="I1598" s="5" t="str">
        <f>VLOOKUP(F1598,'Set up'!$A$2:$C$70,3,FALSE)</f>
        <v>Cash</v>
      </c>
      <c r="J1598" s="5">
        <f>VLOOKUP(F1598,'Set up'!$A$2:$D$70,4,FALSE)</f>
        <v>0</v>
      </c>
      <c r="K1598" s="4">
        <f t="shared" si="359"/>
        <v>45034</v>
      </c>
      <c r="L1598" s="5">
        <f t="shared" si="360"/>
        <v>4</v>
      </c>
      <c r="M1598" s="5">
        <f t="shared" si="361"/>
        <v>2023</v>
      </c>
      <c r="N1598" s="6">
        <v>312.5</v>
      </c>
      <c r="O1598" s="6">
        <f t="shared" si="376"/>
        <v>-312.5</v>
      </c>
      <c r="P1598" s="6">
        <f t="shared" si="377"/>
        <v>0</v>
      </c>
      <c r="Q1598" s="7">
        <f t="shared" si="362"/>
        <v>2943516.850000001</v>
      </c>
      <c r="R1598" s="44" t="str">
        <f>VLOOKUP(F1598,'Set up'!$A$2:$E$70,5,FALSE)</f>
        <v>PD Chq</v>
      </c>
      <c r="S1598" s="1" t="s">
        <v>2116</v>
      </c>
    </row>
    <row r="1599" spans="1:19" x14ac:dyDescent="0.3">
      <c r="A1599" s="4" t="s">
        <v>1439</v>
      </c>
      <c r="B1599" s="5">
        <f t="shared" si="357"/>
        <v>4</v>
      </c>
      <c r="C1599" s="5">
        <f t="shared" si="358"/>
        <v>2023</v>
      </c>
      <c r="D1599" s="5" t="s">
        <v>1438</v>
      </c>
      <c r="E1599" s="5" t="str">
        <f>VLOOKUP(F1599,'Set up'!$A$2:$C$70,2,FALSE)</f>
        <v>C00000021</v>
      </c>
      <c r="F1599" s="1" t="s">
        <v>491</v>
      </c>
      <c r="G1599" s="89" t="s">
        <v>666</v>
      </c>
      <c r="H1599" s="5">
        <v>2</v>
      </c>
      <c r="I1599" s="5" t="str">
        <f>VLOOKUP(F1599,'Set up'!$A$2:$C$70,3,FALSE)</f>
        <v>Cash</v>
      </c>
      <c r="J1599" s="5">
        <f>VLOOKUP(F1599,'Set up'!$A$2:$D$70,4,FALSE)</f>
        <v>0</v>
      </c>
      <c r="K1599" s="4">
        <f t="shared" si="359"/>
        <v>45034</v>
      </c>
      <c r="L1599" s="5">
        <f t="shared" si="360"/>
        <v>4</v>
      </c>
      <c r="M1599" s="5">
        <f t="shared" si="361"/>
        <v>2023</v>
      </c>
      <c r="N1599" s="6">
        <v>190</v>
      </c>
      <c r="O1599" s="6">
        <f t="shared" si="376"/>
        <v>-190</v>
      </c>
      <c r="P1599" s="6">
        <f t="shared" si="377"/>
        <v>0</v>
      </c>
      <c r="Q1599" s="7">
        <f t="shared" si="362"/>
        <v>2943706.850000001</v>
      </c>
      <c r="R1599" s="44" t="str">
        <f>VLOOKUP(F1599,'Set up'!$A$2:$E$70,5,FALSE)</f>
        <v>PD Chq</v>
      </c>
      <c r="S1599" s="1" t="s">
        <v>2116</v>
      </c>
    </row>
    <row r="1600" spans="1:19" x14ac:dyDescent="0.3">
      <c r="A1600" s="4" t="s">
        <v>1441</v>
      </c>
      <c r="B1600" s="5">
        <f t="shared" si="357"/>
        <v>4</v>
      </c>
      <c r="C1600" s="5">
        <f t="shared" si="358"/>
        <v>2023</v>
      </c>
      <c r="D1600" s="5" t="s">
        <v>1440</v>
      </c>
      <c r="E1600" s="5" t="str">
        <f>VLOOKUP(F1600,'Set up'!$A$2:$C$70,2,FALSE)</f>
        <v>C00000009</v>
      </c>
      <c r="F1600" s="1" t="s">
        <v>58</v>
      </c>
      <c r="G1600" s="11" t="s">
        <v>95</v>
      </c>
      <c r="H1600" s="5">
        <v>2</v>
      </c>
      <c r="I1600" s="5">
        <f>VLOOKUP(F1600,'Set up'!$A$2:$C$70,3,FALSE)</f>
        <v>60</v>
      </c>
      <c r="J1600" s="5">
        <f>VLOOKUP(F1600,'Set up'!$A$2:$D$70,4,FALSE)</f>
        <v>60</v>
      </c>
      <c r="K1600" s="4">
        <f t="shared" si="359"/>
        <v>45095</v>
      </c>
      <c r="L1600" s="5">
        <f t="shared" si="360"/>
        <v>6</v>
      </c>
      <c r="M1600" s="5">
        <f t="shared" si="361"/>
        <v>2023</v>
      </c>
      <c r="N1600" s="6">
        <v>3388</v>
      </c>
      <c r="O1600" s="6">
        <f t="shared" ref="O1600:O1602" si="378">-N1600</f>
        <v>-3388</v>
      </c>
      <c r="P1600" s="6">
        <f t="shared" si="377"/>
        <v>0</v>
      </c>
      <c r="Q1600" s="7">
        <f t="shared" si="362"/>
        <v>2947094.850000001</v>
      </c>
      <c r="R1600" s="44" t="str">
        <f>VLOOKUP(F1600,'Set up'!$A$2:$E$70,5,FALSE)</f>
        <v>Chq</v>
      </c>
      <c r="S1600" s="1" t="s">
        <v>1845</v>
      </c>
    </row>
    <row r="1601" spans="1:19" x14ac:dyDescent="0.3">
      <c r="A1601" s="4" t="s">
        <v>1441</v>
      </c>
      <c r="B1601" s="5">
        <f t="shared" si="357"/>
        <v>4</v>
      </c>
      <c r="C1601" s="5">
        <f t="shared" si="358"/>
        <v>2023</v>
      </c>
      <c r="D1601" s="5" t="s">
        <v>1440</v>
      </c>
      <c r="E1601" s="5" t="str">
        <f>VLOOKUP(F1601,'Set up'!$A$2:$C$70,2,FALSE)</f>
        <v>C00000009</v>
      </c>
      <c r="F1601" s="1" t="s">
        <v>58</v>
      </c>
      <c r="G1601" s="11" t="s">
        <v>707</v>
      </c>
      <c r="H1601" s="5">
        <v>2</v>
      </c>
      <c r="I1601" s="5">
        <f>VLOOKUP(F1601,'Set up'!$A$2:$C$70,3,FALSE)</f>
        <v>60</v>
      </c>
      <c r="J1601" s="5">
        <f>VLOOKUP(F1601,'Set up'!$A$2:$D$70,4,FALSE)</f>
        <v>60</v>
      </c>
      <c r="K1601" s="4">
        <f t="shared" si="359"/>
        <v>45095</v>
      </c>
      <c r="L1601" s="5">
        <f t="shared" si="360"/>
        <v>6</v>
      </c>
      <c r="M1601" s="5">
        <f t="shared" si="361"/>
        <v>2023</v>
      </c>
      <c r="N1601" s="6">
        <v>745.2</v>
      </c>
      <c r="O1601" s="6">
        <f t="shared" si="378"/>
        <v>-745.2</v>
      </c>
      <c r="P1601" s="6">
        <f t="shared" si="377"/>
        <v>0</v>
      </c>
      <c r="Q1601" s="7">
        <f t="shared" si="362"/>
        <v>2947840.0500000012</v>
      </c>
      <c r="R1601" s="44" t="str">
        <f>VLOOKUP(F1601,'Set up'!$A$2:$E$70,5,FALSE)</f>
        <v>Chq</v>
      </c>
      <c r="S1601" s="1" t="s">
        <v>1845</v>
      </c>
    </row>
    <row r="1602" spans="1:19" x14ac:dyDescent="0.3">
      <c r="A1602" s="4" t="s">
        <v>1441</v>
      </c>
      <c r="B1602" s="5">
        <f t="shared" si="357"/>
        <v>4</v>
      </c>
      <c r="C1602" s="5">
        <f t="shared" si="358"/>
        <v>2023</v>
      </c>
      <c r="D1602" s="5" t="s">
        <v>1440</v>
      </c>
      <c r="E1602" s="5" t="str">
        <f>VLOOKUP(F1602,'Set up'!$A$2:$C$70,2,FALSE)</f>
        <v>C00000009</v>
      </c>
      <c r="F1602" s="1" t="s">
        <v>58</v>
      </c>
      <c r="G1602" s="89" t="s">
        <v>1007</v>
      </c>
      <c r="H1602" s="5">
        <v>2</v>
      </c>
      <c r="I1602" s="5">
        <f>VLOOKUP(F1602,'Set up'!$A$2:$C$70,3,FALSE)</f>
        <v>60</v>
      </c>
      <c r="J1602" s="5">
        <f>VLOOKUP(F1602,'Set up'!$A$2:$D$70,4,FALSE)</f>
        <v>60</v>
      </c>
      <c r="K1602" s="4">
        <f t="shared" si="359"/>
        <v>45095</v>
      </c>
      <c r="L1602" s="5">
        <f t="shared" si="360"/>
        <v>6</v>
      </c>
      <c r="M1602" s="5">
        <f t="shared" si="361"/>
        <v>2023</v>
      </c>
      <c r="N1602" s="6">
        <v>745.2</v>
      </c>
      <c r="O1602" s="6">
        <f t="shared" si="378"/>
        <v>-745.2</v>
      </c>
      <c r="P1602" s="6">
        <f t="shared" si="377"/>
        <v>0</v>
      </c>
      <c r="Q1602" s="7">
        <f t="shared" si="362"/>
        <v>2948585.2500000014</v>
      </c>
      <c r="R1602" s="44" t="str">
        <f>VLOOKUP(F1602,'Set up'!$A$2:$E$70,5,FALSE)</f>
        <v>Chq</v>
      </c>
      <c r="S1602" s="1" t="s">
        <v>1845</v>
      </c>
    </row>
    <row r="1603" spans="1:19" x14ac:dyDescent="0.3">
      <c r="A1603" s="4" t="s">
        <v>1455</v>
      </c>
      <c r="B1603" s="5">
        <f t="shared" ref="B1603:B1666" si="379">MONTH(A1603)</f>
        <v>4</v>
      </c>
      <c r="C1603" s="5">
        <f t="shared" ref="C1603:C1666" si="380">YEAR(A1603)</f>
        <v>2023</v>
      </c>
      <c r="D1603" s="5" t="s">
        <v>1454</v>
      </c>
      <c r="E1603" s="5" t="str">
        <f>VLOOKUP(F1603,'Set up'!$A$2:$C$70,2,FALSE)</f>
        <v>C00000013a</v>
      </c>
      <c r="F1603" s="1" t="s">
        <v>1453</v>
      </c>
      <c r="G1603" s="89" t="s">
        <v>1442</v>
      </c>
      <c r="H1603" s="5">
        <v>3</v>
      </c>
      <c r="I1603" s="5" t="str">
        <f>VLOOKUP(F1603,'Set up'!$A$2:$C$70,3,FALSE)</f>
        <v>Cash</v>
      </c>
      <c r="J1603" s="5">
        <f>VLOOKUP(F1603,'Set up'!$A$2:$D$70,4,FALSE)</f>
        <v>0</v>
      </c>
      <c r="K1603" s="4">
        <f t="shared" ref="K1603:K1666" si="381">A1603+J1603</f>
        <v>45036</v>
      </c>
      <c r="L1603" s="5">
        <f t="shared" ref="L1603:L1666" si="382">MONTH(K1603)</f>
        <v>4</v>
      </c>
      <c r="M1603" s="5">
        <f t="shared" ref="M1603:M1666" si="383">YEAR(K1603)</f>
        <v>2023</v>
      </c>
      <c r="N1603" s="6">
        <v>5478</v>
      </c>
      <c r="O1603" s="6">
        <f t="shared" ref="O1603:O1612" si="384">-N1603</f>
        <v>-5478</v>
      </c>
      <c r="P1603" s="6">
        <f t="shared" si="377"/>
        <v>0</v>
      </c>
      <c r="Q1603" s="7">
        <f t="shared" ref="Q1603:Q1666" si="385">SUM(Q1602+N1603)</f>
        <v>2954063.2500000014</v>
      </c>
      <c r="R1603" s="44" t="str">
        <f>VLOOKUP(F1603,'Set up'!$A$2:$E$70,5,FALSE)</f>
        <v>Chq</v>
      </c>
      <c r="S1603" s="1" t="s">
        <v>1488</v>
      </c>
    </row>
    <row r="1604" spans="1:19" x14ac:dyDescent="0.3">
      <c r="A1604" s="4" t="s">
        <v>1455</v>
      </c>
      <c r="B1604" s="5">
        <f t="shared" si="379"/>
        <v>4</v>
      </c>
      <c r="C1604" s="5">
        <f t="shared" si="380"/>
        <v>2023</v>
      </c>
      <c r="D1604" s="5" t="s">
        <v>1454</v>
      </c>
      <c r="E1604" s="5" t="str">
        <f>VLOOKUP(F1604,'Set up'!$A$2:$C$70,2,FALSE)</f>
        <v>C00000013a</v>
      </c>
      <c r="F1604" s="1" t="s">
        <v>1453</v>
      </c>
      <c r="G1604" s="89" t="s">
        <v>1443</v>
      </c>
      <c r="H1604" s="5">
        <v>5</v>
      </c>
      <c r="I1604" s="5" t="str">
        <f>VLOOKUP(F1604,'Set up'!$A$2:$C$70,3,FALSE)</f>
        <v>Cash</v>
      </c>
      <c r="J1604" s="5">
        <f>VLOOKUP(F1604,'Set up'!$A$2:$D$70,4,FALSE)</f>
        <v>0</v>
      </c>
      <c r="K1604" s="4">
        <f t="shared" si="381"/>
        <v>45036</v>
      </c>
      <c r="L1604" s="5">
        <f t="shared" si="382"/>
        <v>4</v>
      </c>
      <c r="M1604" s="5">
        <f t="shared" si="383"/>
        <v>2023</v>
      </c>
      <c r="N1604" s="6">
        <v>2133</v>
      </c>
      <c r="O1604" s="6">
        <f t="shared" si="384"/>
        <v>-2133</v>
      </c>
      <c r="P1604" s="6">
        <f t="shared" si="377"/>
        <v>0</v>
      </c>
      <c r="Q1604" s="7">
        <f t="shared" si="385"/>
        <v>2956196.2500000014</v>
      </c>
      <c r="R1604" s="44" t="str">
        <f>VLOOKUP(F1604,'Set up'!$A$2:$E$70,5,FALSE)</f>
        <v>Chq</v>
      </c>
      <c r="S1604" s="1" t="s">
        <v>1489</v>
      </c>
    </row>
    <row r="1605" spans="1:19" x14ac:dyDescent="0.3">
      <c r="A1605" s="4" t="s">
        <v>1455</v>
      </c>
      <c r="B1605" s="5">
        <f t="shared" si="379"/>
        <v>4</v>
      </c>
      <c r="C1605" s="5">
        <f t="shared" si="380"/>
        <v>2023</v>
      </c>
      <c r="D1605" s="5" t="s">
        <v>1454</v>
      </c>
      <c r="E1605" s="5" t="str">
        <f>VLOOKUP(F1605,'Set up'!$A$2:$C$70,2,FALSE)</f>
        <v>C00000013a</v>
      </c>
      <c r="F1605" s="1" t="s">
        <v>1453</v>
      </c>
      <c r="G1605" s="89" t="s">
        <v>1444</v>
      </c>
      <c r="H1605" s="5">
        <v>3</v>
      </c>
      <c r="I1605" s="5" t="str">
        <f>VLOOKUP(F1605,'Set up'!$A$2:$C$70,3,FALSE)</f>
        <v>Cash</v>
      </c>
      <c r="J1605" s="5">
        <f>VLOOKUP(F1605,'Set up'!$A$2:$D$70,4,FALSE)</f>
        <v>0</v>
      </c>
      <c r="K1605" s="4">
        <f t="shared" si="381"/>
        <v>45036</v>
      </c>
      <c r="L1605" s="5">
        <f t="shared" si="382"/>
        <v>4</v>
      </c>
      <c r="M1605" s="5">
        <f t="shared" si="383"/>
        <v>2023</v>
      </c>
      <c r="N1605" s="6">
        <v>1279.8000000000002</v>
      </c>
      <c r="O1605" s="6">
        <f t="shared" si="384"/>
        <v>-1279.8000000000002</v>
      </c>
      <c r="P1605" s="6">
        <f t="shared" si="377"/>
        <v>0</v>
      </c>
      <c r="Q1605" s="7">
        <f t="shared" si="385"/>
        <v>2957476.0500000012</v>
      </c>
      <c r="R1605" s="44" t="str">
        <f>VLOOKUP(F1605,'Set up'!$A$2:$E$70,5,FALSE)</f>
        <v>Chq</v>
      </c>
      <c r="S1605" s="1" t="s">
        <v>1490</v>
      </c>
    </row>
    <row r="1606" spans="1:19" x14ac:dyDescent="0.3">
      <c r="A1606" s="4" t="s">
        <v>1455</v>
      </c>
      <c r="B1606" s="5">
        <f t="shared" si="379"/>
        <v>4</v>
      </c>
      <c r="C1606" s="5">
        <f t="shared" si="380"/>
        <v>2023</v>
      </c>
      <c r="D1606" s="5" t="s">
        <v>1454</v>
      </c>
      <c r="E1606" s="5" t="str">
        <f>VLOOKUP(F1606,'Set up'!$A$2:$C$70,2,FALSE)</f>
        <v>C00000013a</v>
      </c>
      <c r="F1606" s="1" t="s">
        <v>1453</v>
      </c>
      <c r="G1606" s="89" t="s">
        <v>1445</v>
      </c>
      <c r="H1606" s="5">
        <v>5</v>
      </c>
      <c r="I1606" s="5" t="str">
        <f>VLOOKUP(F1606,'Set up'!$A$2:$C$70,3,FALSE)</f>
        <v>Cash</v>
      </c>
      <c r="J1606" s="5">
        <f>VLOOKUP(F1606,'Set up'!$A$2:$D$70,4,FALSE)</f>
        <v>0</v>
      </c>
      <c r="K1606" s="4">
        <f t="shared" si="381"/>
        <v>45036</v>
      </c>
      <c r="L1606" s="5">
        <f t="shared" si="382"/>
        <v>4</v>
      </c>
      <c r="M1606" s="5">
        <f t="shared" si="383"/>
        <v>2023</v>
      </c>
      <c r="N1606" s="6">
        <v>1290</v>
      </c>
      <c r="O1606" s="6">
        <f t="shared" si="384"/>
        <v>-1290</v>
      </c>
      <c r="P1606" s="6">
        <f t="shared" si="377"/>
        <v>0</v>
      </c>
      <c r="Q1606" s="7">
        <f t="shared" si="385"/>
        <v>2958766.0500000012</v>
      </c>
      <c r="R1606" s="44" t="str">
        <f>VLOOKUP(F1606,'Set up'!$A$2:$E$70,5,FALSE)</f>
        <v>Chq</v>
      </c>
      <c r="S1606" s="1" t="s">
        <v>1491</v>
      </c>
    </row>
    <row r="1607" spans="1:19" x14ac:dyDescent="0.3">
      <c r="A1607" s="4" t="s">
        <v>1455</v>
      </c>
      <c r="B1607" s="5">
        <f t="shared" si="379"/>
        <v>4</v>
      </c>
      <c r="C1607" s="5">
        <f t="shared" si="380"/>
        <v>2023</v>
      </c>
      <c r="D1607" s="5" t="s">
        <v>1454</v>
      </c>
      <c r="E1607" s="5" t="str">
        <f>VLOOKUP(F1607,'Set up'!$A$2:$C$70,2,FALSE)</f>
        <v>C00000013a</v>
      </c>
      <c r="F1607" s="1" t="s">
        <v>1453</v>
      </c>
      <c r="G1607" s="89" t="s">
        <v>1446</v>
      </c>
      <c r="H1607" s="5">
        <v>12</v>
      </c>
      <c r="I1607" s="5" t="str">
        <f>VLOOKUP(F1607,'Set up'!$A$2:$C$70,3,FALSE)</f>
        <v>Cash</v>
      </c>
      <c r="J1607" s="5">
        <f>VLOOKUP(F1607,'Set up'!$A$2:$D$70,4,FALSE)</f>
        <v>0</v>
      </c>
      <c r="K1607" s="4">
        <f t="shared" si="381"/>
        <v>45036</v>
      </c>
      <c r="L1607" s="5">
        <f t="shared" si="382"/>
        <v>4</v>
      </c>
      <c r="M1607" s="5">
        <f t="shared" si="383"/>
        <v>2023</v>
      </c>
      <c r="N1607" s="6">
        <v>600</v>
      </c>
      <c r="O1607" s="6">
        <f t="shared" si="384"/>
        <v>-600</v>
      </c>
      <c r="P1607" s="6">
        <f t="shared" si="377"/>
        <v>0</v>
      </c>
      <c r="Q1607" s="7">
        <f t="shared" si="385"/>
        <v>2959366.0500000012</v>
      </c>
      <c r="R1607" s="44" t="str">
        <f>VLOOKUP(F1607,'Set up'!$A$2:$E$70,5,FALSE)</f>
        <v>Chq</v>
      </c>
      <c r="S1607" s="1" t="s">
        <v>1492</v>
      </c>
    </row>
    <row r="1608" spans="1:19" x14ac:dyDescent="0.3">
      <c r="A1608" s="4" t="s">
        <v>1455</v>
      </c>
      <c r="B1608" s="5">
        <f t="shared" si="379"/>
        <v>4</v>
      </c>
      <c r="C1608" s="5">
        <f t="shared" si="380"/>
        <v>2023</v>
      </c>
      <c r="D1608" s="5" t="s">
        <v>1454</v>
      </c>
      <c r="E1608" s="5" t="str">
        <f>VLOOKUP(F1608,'Set up'!$A$2:$C$70,2,FALSE)</f>
        <v>C00000013a</v>
      </c>
      <c r="F1608" s="1" t="s">
        <v>1453</v>
      </c>
      <c r="G1608" s="89" t="s">
        <v>1447</v>
      </c>
      <c r="H1608" s="5">
        <v>1</v>
      </c>
      <c r="I1608" s="5" t="str">
        <f>VLOOKUP(F1608,'Set up'!$A$2:$C$70,3,FALSE)</f>
        <v>Cash</v>
      </c>
      <c r="J1608" s="5">
        <f>VLOOKUP(F1608,'Set up'!$A$2:$D$70,4,FALSE)</f>
        <v>0</v>
      </c>
      <c r="K1608" s="4">
        <f t="shared" si="381"/>
        <v>45036</v>
      </c>
      <c r="L1608" s="5">
        <f t="shared" si="382"/>
        <v>4</v>
      </c>
      <c r="M1608" s="5">
        <f t="shared" si="383"/>
        <v>2023</v>
      </c>
      <c r="N1608" s="6">
        <v>800</v>
      </c>
      <c r="O1608" s="6">
        <f t="shared" si="384"/>
        <v>-800</v>
      </c>
      <c r="P1608" s="6">
        <f t="shared" si="377"/>
        <v>0</v>
      </c>
      <c r="Q1608" s="7">
        <f t="shared" si="385"/>
        <v>2960166.0500000012</v>
      </c>
      <c r="R1608" s="44" t="str">
        <f>VLOOKUP(F1608,'Set up'!$A$2:$E$70,5,FALSE)</f>
        <v>Chq</v>
      </c>
      <c r="S1608" s="1" t="s">
        <v>1493</v>
      </c>
    </row>
    <row r="1609" spans="1:19" x14ac:dyDescent="0.3">
      <c r="A1609" s="4" t="s">
        <v>1455</v>
      </c>
      <c r="B1609" s="5">
        <f t="shared" si="379"/>
        <v>4</v>
      </c>
      <c r="C1609" s="5">
        <f t="shared" si="380"/>
        <v>2023</v>
      </c>
      <c r="D1609" s="5" t="s">
        <v>1454</v>
      </c>
      <c r="E1609" s="5" t="str">
        <f>VLOOKUP(F1609,'Set up'!$A$2:$C$70,2,FALSE)</f>
        <v>C00000013a</v>
      </c>
      <c r="F1609" s="1" t="s">
        <v>1453</v>
      </c>
      <c r="G1609" s="89" t="s">
        <v>1448</v>
      </c>
      <c r="H1609" s="5">
        <v>2</v>
      </c>
      <c r="I1609" s="5" t="str">
        <f>VLOOKUP(F1609,'Set up'!$A$2:$C$70,3,FALSE)</f>
        <v>Cash</v>
      </c>
      <c r="J1609" s="5">
        <f>VLOOKUP(F1609,'Set up'!$A$2:$D$70,4,FALSE)</f>
        <v>0</v>
      </c>
      <c r="K1609" s="4">
        <f t="shared" si="381"/>
        <v>45036</v>
      </c>
      <c r="L1609" s="5">
        <f t="shared" si="382"/>
        <v>4</v>
      </c>
      <c r="M1609" s="5">
        <f t="shared" si="383"/>
        <v>2023</v>
      </c>
      <c r="N1609" s="6">
        <v>860</v>
      </c>
      <c r="O1609" s="6">
        <f t="shared" si="384"/>
        <v>-860</v>
      </c>
      <c r="P1609" s="6">
        <f t="shared" si="377"/>
        <v>0</v>
      </c>
      <c r="Q1609" s="7">
        <f t="shared" si="385"/>
        <v>2961026.0500000012</v>
      </c>
      <c r="R1609" s="44" t="str">
        <f>VLOOKUP(F1609,'Set up'!$A$2:$E$70,5,FALSE)</f>
        <v>Chq</v>
      </c>
      <c r="S1609" s="1" t="s">
        <v>1494</v>
      </c>
    </row>
    <row r="1610" spans="1:19" x14ac:dyDescent="0.3">
      <c r="A1610" s="4" t="s">
        <v>1455</v>
      </c>
      <c r="B1610" s="5">
        <f t="shared" si="379"/>
        <v>4</v>
      </c>
      <c r="C1610" s="5">
        <f t="shared" si="380"/>
        <v>2023</v>
      </c>
      <c r="D1610" s="5" t="s">
        <v>1454</v>
      </c>
      <c r="E1610" s="5" t="str">
        <f>VLOOKUP(F1610,'Set up'!$A$2:$C$70,2,FALSE)</f>
        <v>C00000013a</v>
      </c>
      <c r="F1610" s="1" t="s">
        <v>1453</v>
      </c>
      <c r="G1610" s="89" t="s">
        <v>1449</v>
      </c>
      <c r="H1610" s="5">
        <v>4</v>
      </c>
      <c r="I1610" s="5" t="str">
        <f>VLOOKUP(F1610,'Set up'!$A$2:$C$70,3,FALSE)</f>
        <v>Cash</v>
      </c>
      <c r="J1610" s="5">
        <f>VLOOKUP(F1610,'Set up'!$A$2:$D$70,4,FALSE)</f>
        <v>0</v>
      </c>
      <c r="K1610" s="4">
        <f t="shared" si="381"/>
        <v>45036</v>
      </c>
      <c r="L1610" s="5">
        <f t="shared" si="382"/>
        <v>4</v>
      </c>
      <c r="M1610" s="5">
        <f t="shared" si="383"/>
        <v>2023</v>
      </c>
      <c r="N1610" s="6">
        <v>440</v>
      </c>
      <c r="O1610" s="6">
        <f t="shared" si="384"/>
        <v>-440</v>
      </c>
      <c r="P1610" s="6">
        <f t="shared" si="377"/>
        <v>0</v>
      </c>
      <c r="Q1610" s="7">
        <f t="shared" si="385"/>
        <v>2961466.0500000012</v>
      </c>
      <c r="R1610" s="44" t="str">
        <f>VLOOKUP(F1610,'Set up'!$A$2:$E$70,5,FALSE)</f>
        <v>Chq</v>
      </c>
      <c r="S1610" s="1" t="s">
        <v>1495</v>
      </c>
    </row>
    <row r="1611" spans="1:19" x14ac:dyDescent="0.3">
      <c r="A1611" s="4" t="s">
        <v>1455</v>
      </c>
      <c r="B1611" s="5">
        <f t="shared" si="379"/>
        <v>4</v>
      </c>
      <c r="C1611" s="5">
        <f t="shared" si="380"/>
        <v>2023</v>
      </c>
      <c r="D1611" s="5" t="s">
        <v>1454</v>
      </c>
      <c r="E1611" s="5" t="str">
        <f>VLOOKUP(F1611,'Set up'!$A$2:$C$70,2,FALSE)</f>
        <v>C00000013a</v>
      </c>
      <c r="F1611" s="1" t="s">
        <v>1453</v>
      </c>
      <c r="G1611" s="89" t="s">
        <v>1450</v>
      </c>
      <c r="H1611" s="5">
        <v>3</v>
      </c>
      <c r="I1611" s="5" t="str">
        <f>VLOOKUP(F1611,'Set up'!$A$2:$C$70,3,FALSE)</f>
        <v>Cash</v>
      </c>
      <c r="J1611" s="5">
        <f>VLOOKUP(F1611,'Set up'!$A$2:$D$70,4,FALSE)</f>
        <v>0</v>
      </c>
      <c r="K1611" s="4">
        <f t="shared" si="381"/>
        <v>45036</v>
      </c>
      <c r="L1611" s="5">
        <f t="shared" si="382"/>
        <v>4</v>
      </c>
      <c r="M1611" s="5">
        <f t="shared" si="383"/>
        <v>2023</v>
      </c>
      <c r="N1611" s="6">
        <v>180</v>
      </c>
      <c r="O1611" s="6">
        <f t="shared" si="384"/>
        <v>-180</v>
      </c>
      <c r="P1611" s="6">
        <f t="shared" si="377"/>
        <v>0</v>
      </c>
      <c r="Q1611" s="7">
        <f t="shared" si="385"/>
        <v>2961646.0500000012</v>
      </c>
      <c r="R1611" s="44" t="str">
        <f>VLOOKUP(F1611,'Set up'!$A$2:$E$70,5,FALSE)</f>
        <v>Chq</v>
      </c>
      <c r="S1611" s="1" t="s">
        <v>1496</v>
      </c>
    </row>
    <row r="1612" spans="1:19" x14ac:dyDescent="0.3">
      <c r="A1612" s="4" t="s">
        <v>1455</v>
      </c>
      <c r="B1612" s="5">
        <f t="shared" si="379"/>
        <v>4</v>
      </c>
      <c r="C1612" s="5">
        <f t="shared" si="380"/>
        <v>2023</v>
      </c>
      <c r="D1612" s="5" t="s">
        <v>1454</v>
      </c>
      <c r="E1612" s="5" t="str">
        <f>VLOOKUP(F1612,'Set up'!$A$2:$C$70,2,FALSE)</f>
        <v>C00000013a</v>
      </c>
      <c r="F1612" s="1" t="s">
        <v>1453</v>
      </c>
      <c r="G1612" s="89" t="s">
        <v>1451</v>
      </c>
      <c r="H1612" s="5">
        <v>2</v>
      </c>
      <c r="I1612" s="5" t="str">
        <f>VLOOKUP(F1612,'Set up'!$A$2:$C$70,3,FALSE)</f>
        <v>Cash</v>
      </c>
      <c r="J1612" s="5">
        <f>VLOOKUP(F1612,'Set up'!$A$2:$D$70,4,FALSE)</f>
        <v>0</v>
      </c>
      <c r="K1612" s="4">
        <f t="shared" si="381"/>
        <v>45036</v>
      </c>
      <c r="L1612" s="5">
        <f t="shared" si="382"/>
        <v>4</v>
      </c>
      <c r="M1612" s="5">
        <f t="shared" si="383"/>
        <v>2023</v>
      </c>
      <c r="N1612" s="6">
        <v>110.4</v>
      </c>
      <c r="O1612" s="6">
        <f t="shared" si="384"/>
        <v>-110.4</v>
      </c>
      <c r="P1612" s="6">
        <f t="shared" si="377"/>
        <v>0</v>
      </c>
      <c r="Q1612" s="7">
        <f t="shared" si="385"/>
        <v>2961756.4500000011</v>
      </c>
      <c r="R1612" s="44" t="str">
        <f>VLOOKUP(F1612,'Set up'!$A$2:$E$70,5,FALSE)</f>
        <v>Chq</v>
      </c>
      <c r="S1612" s="1" t="s">
        <v>1497</v>
      </c>
    </row>
    <row r="1613" spans="1:19" x14ac:dyDescent="0.3">
      <c r="A1613" s="4" t="s">
        <v>1455</v>
      </c>
      <c r="B1613" s="5">
        <f t="shared" si="379"/>
        <v>4</v>
      </c>
      <c r="C1613" s="5">
        <f t="shared" si="380"/>
        <v>2023</v>
      </c>
      <c r="D1613" s="5" t="s">
        <v>1454</v>
      </c>
      <c r="E1613" s="5" t="str">
        <f>VLOOKUP(F1613,'Set up'!$A$2:$C$70,2,FALSE)</f>
        <v>C00000013a</v>
      </c>
      <c r="F1613" s="1" t="s">
        <v>1453</v>
      </c>
      <c r="G1613" s="89" t="s">
        <v>1452</v>
      </c>
      <c r="H1613" s="5">
        <v>1</v>
      </c>
      <c r="I1613" s="5" t="str">
        <f>VLOOKUP(F1613,'Set up'!$A$2:$C$70,3,FALSE)</f>
        <v>Cash</v>
      </c>
      <c r="J1613" s="5">
        <f>VLOOKUP(F1613,'Set up'!$A$2:$D$70,4,FALSE)</f>
        <v>0</v>
      </c>
      <c r="K1613" s="4">
        <f t="shared" si="381"/>
        <v>45036</v>
      </c>
      <c r="L1613" s="5">
        <f t="shared" si="382"/>
        <v>4</v>
      </c>
      <c r="M1613" s="5">
        <f t="shared" si="383"/>
        <v>2023</v>
      </c>
      <c r="N1613" s="6">
        <v>1108.4000000000001</v>
      </c>
      <c r="O1613" s="6">
        <f>-828.8-279.6</f>
        <v>-1108.4000000000001</v>
      </c>
      <c r="P1613" s="6">
        <f t="shared" si="377"/>
        <v>0</v>
      </c>
      <c r="Q1613" s="7">
        <f t="shared" si="385"/>
        <v>2962864.850000001</v>
      </c>
      <c r="R1613" s="44" t="str">
        <f>VLOOKUP(F1613,'Set up'!$A$2:$E$70,5,FALSE)</f>
        <v>Chq</v>
      </c>
      <c r="S1613" s="1" t="s">
        <v>1597</v>
      </c>
    </row>
    <row r="1614" spans="1:19" x14ac:dyDescent="0.3">
      <c r="A1614" s="4" t="s">
        <v>1458</v>
      </c>
      <c r="B1614" s="5">
        <f t="shared" si="379"/>
        <v>4</v>
      </c>
      <c r="C1614" s="5">
        <f t="shared" si="380"/>
        <v>2023</v>
      </c>
      <c r="D1614" s="5" t="s">
        <v>1456</v>
      </c>
      <c r="E1614" s="5" t="str">
        <f>VLOOKUP(F1614,'Set up'!$A$2:$C$70,2,FALSE)</f>
        <v>C00000014</v>
      </c>
      <c r="F1614" s="1" t="s">
        <v>262</v>
      </c>
      <c r="G1614" s="89" t="s">
        <v>303</v>
      </c>
      <c r="H1614" s="5">
        <v>2</v>
      </c>
      <c r="I1614" s="5" t="str">
        <f>VLOOKUP(F1614,'Set up'!$A$2:$C$70,3,FALSE)</f>
        <v>Cash</v>
      </c>
      <c r="J1614" s="5">
        <f>VLOOKUP(F1614,'Set up'!$A$2:$D$70,4,FALSE)</f>
        <v>0</v>
      </c>
      <c r="K1614" s="4">
        <f t="shared" si="381"/>
        <v>45042</v>
      </c>
      <c r="L1614" s="5">
        <f t="shared" si="382"/>
        <v>4</v>
      </c>
      <c r="M1614" s="5">
        <f t="shared" si="383"/>
        <v>2023</v>
      </c>
      <c r="N1614" s="6">
        <v>3608</v>
      </c>
      <c r="O1614" s="6">
        <f t="shared" ref="O1614:O1622" si="386">-N1614</f>
        <v>-3608</v>
      </c>
      <c r="P1614" s="6">
        <f t="shared" si="377"/>
        <v>0</v>
      </c>
      <c r="Q1614" s="7">
        <f t="shared" si="385"/>
        <v>2966472.850000001</v>
      </c>
      <c r="R1614" s="44" t="str">
        <f>VLOOKUP(F1614,'Set up'!$A$2:$E$70,5,FALSE)</f>
        <v>Cash</v>
      </c>
      <c r="S1614" s="1" t="s">
        <v>1498</v>
      </c>
    </row>
    <row r="1615" spans="1:19" x14ac:dyDescent="0.3">
      <c r="A1615" s="4" t="s">
        <v>1458</v>
      </c>
      <c r="B1615" s="5">
        <f t="shared" si="379"/>
        <v>4</v>
      </c>
      <c r="C1615" s="5">
        <f t="shared" si="380"/>
        <v>2023</v>
      </c>
      <c r="D1615" s="5" t="s">
        <v>1456</v>
      </c>
      <c r="E1615" s="5" t="str">
        <f>VLOOKUP(F1615,'Set up'!$A$2:$C$70,2,FALSE)</f>
        <v>C00000014</v>
      </c>
      <c r="F1615" s="1" t="s">
        <v>262</v>
      </c>
      <c r="G1615" s="89" t="s">
        <v>988</v>
      </c>
      <c r="H1615" s="5">
        <v>8</v>
      </c>
      <c r="I1615" s="5" t="str">
        <f>VLOOKUP(F1615,'Set up'!$A$2:$C$70,3,FALSE)</f>
        <v>Cash</v>
      </c>
      <c r="J1615" s="5">
        <f>VLOOKUP(F1615,'Set up'!$A$2:$D$70,4,FALSE)</f>
        <v>0</v>
      </c>
      <c r="K1615" s="4">
        <f t="shared" si="381"/>
        <v>45042</v>
      </c>
      <c r="L1615" s="5">
        <f t="shared" si="382"/>
        <v>4</v>
      </c>
      <c r="M1615" s="5">
        <f t="shared" si="383"/>
        <v>2023</v>
      </c>
      <c r="N1615" s="6">
        <v>1896</v>
      </c>
      <c r="O1615" s="6">
        <f t="shared" si="386"/>
        <v>-1896</v>
      </c>
      <c r="P1615" s="6">
        <f t="shared" si="377"/>
        <v>0</v>
      </c>
      <c r="Q1615" s="7">
        <f t="shared" si="385"/>
        <v>2968368.850000001</v>
      </c>
      <c r="R1615" s="44" t="str">
        <f>VLOOKUP(F1615,'Set up'!$A$2:$E$70,5,FALSE)</f>
        <v>Cash</v>
      </c>
      <c r="S1615" s="1" t="s">
        <v>1498</v>
      </c>
    </row>
    <row r="1616" spans="1:19" x14ac:dyDescent="0.3">
      <c r="A1616" s="4" t="s">
        <v>1458</v>
      </c>
      <c r="B1616" s="5">
        <f t="shared" si="379"/>
        <v>4</v>
      </c>
      <c r="C1616" s="5">
        <f t="shared" si="380"/>
        <v>2023</v>
      </c>
      <c r="D1616" s="5" t="s">
        <v>1456</v>
      </c>
      <c r="E1616" s="5" t="str">
        <f>VLOOKUP(F1616,'Set up'!$A$2:$C$70,2,FALSE)</f>
        <v>C00000014</v>
      </c>
      <c r="F1616" s="1" t="s">
        <v>262</v>
      </c>
      <c r="G1616" s="89" t="s">
        <v>894</v>
      </c>
      <c r="H1616" s="5">
        <v>2</v>
      </c>
      <c r="I1616" s="5" t="str">
        <f>VLOOKUP(F1616,'Set up'!$A$2:$C$70,3,FALSE)</f>
        <v>Cash</v>
      </c>
      <c r="J1616" s="5">
        <f>VLOOKUP(F1616,'Set up'!$A$2:$D$70,4,FALSE)</f>
        <v>0</v>
      </c>
      <c r="K1616" s="4">
        <f t="shared" si="381"/>
        <v>45042</v>
      </c>
      <c r="L1616" s="5">
        <f t="shared" si="382"/>
        <v>4</v>
      </c>
      <c r="M1616" s="5">
        <f t="shared" si="383"/>
        <v>2023</v>
      </c>
      <c r="N1616" s="6">
        <v>320</v>
      </c>
      <c r="O1616" s="6">
        <f t="shared" si="386"/>
        <v>-320</v>
      </c>
      <c r="P1616" s="6">
        <f t="shared" si="377"/>
        <v>0</v>
      </c>
      <c r="Q1616" s="7">
        <f t="shared" si="385"/>
        <v>2968688.850000001</v>
      </c>
      <c r="R1616" s="44" t="str">
        <f>VLOOKUP(F1616,'Set up'!$A$2:$E$70,5,FALSE)</f>
        <v>Cash</v>
      </c>
      <c r="S1616" s="1" t="s">
        <v>1498</v>
      </c>
    </row>
    <row r="1617" spans="1:19" x14ac:dyDescent="0.3">
      <c r="A1617" s="4" t="s">
        <v>1458</v>
      </c>
      <c r="B1617" s="5">
        <f t="shared" si="379"/>
        <v>4</v>
      </c>
      <c r="C1617" s="5">
        <f t="shared" si="380"/>
        <v>2023</v>
      </c>
      <c r="D1617" s="5" t="s">
        <v>1456</v>
      </c>
      <c r="E1617" s="5" t="str">
        <f>VLOOKUP(F1617,'Set up'!$A$2:$C$70,2,FALSE)</f>
        <v>C00000014</v>
      </c>
      <c r="F1617" s="1" t="s">
        <v>262</v>
      </c>
      <c r="G1617" s="89" t="s">
        <v>1110</v>
      </c>
      <c r="H1617" s="5">
        <v>1</v>
      </c>
      <c r="I1617" s="5" t="str">
        <f>VLOOKUP(F1617,'Set up'!$A$2:$C$70,3,FALSE)</f>
        <v>Cash</v>
      </c>
      <c r="J1617" s="5">
        <f>VLOOKUP(F1617,'Set up'!$A$2:$D$70,4,FALSE)</f>
        <v>0</v>
      </c>
      <c r="K1617" s="4">
        <f t="shared" si="381"/>
        <v>45042</v>
      </c>
      <c r="L1617" s="5">
        <f t="shared" si="382"/>
        <v>4</v>
      </c>
      <c r="M1617" s="5">
        <f t="shared" si="383"/>
        <v>2023</v>
      </c>
      <c r="N1617" s="6">
        <v>62.5</v>
      </c>
      <c r="O1617" s="6">
        <f t="shared" si="386"/>
        <v>-62.5</v>
      </c>
      <c r="P1617" s="6">
        <f t="shared" si="377"/>
        <v>0</v>
      </c>
      <c r="Q1617" s="7">
        <f t="shared" si="385"/>
        <v>2968751.350000001</v>
      </c>
      <c r="R1617" s="44" t="str">
        <f>VLOOKUP(F1617,'Set up'!$A$2:$E$70,5,FALSE)</f>
        <v>Cash</v>
      </c>
      <c r="S1617" s="1" t="s">
        <v>1498</v>
      </c>
    </row>
    <row r="1618" spans="1:19" x14ac:dyDescent="0.3">
      <c r="A1618" s="4" t="s">
        <v>1458</v>
      </c>
      <c r="B1618" s="5">
        <f t="shared" si="379"/>
        <v>4</v>
      </c>
      <c r="C1618" s="5">
        <f t="shared" si="380"/>
        <v>2023</v>
      </c>
      <c r="D1618" s="5" t="s">
        <v>1456</v>
      </c>
      <c r="E1618" s="5" t="str">
        <f>VLOOKUP(F1618,'Set up'!$A$2:$C$70,2,FALSE)</f>
        <v>C00000014</v>
      </c>
      <c r="F1618" s="1" t="s">
        <v>262</v>
      </c>
      <c r="G1618" s="89" t="s">
        <v>865</v>
      </c>
      <c r="H1618" s="5">
        <v>2</v>
      </c>
      <c r="I1618" s="5" t="str">
        <f>VLOOKUP(F1618,'Set up'!$A$2:$C$70,3,FALSE)</f>
        <v>Cash</v>
      </c>
      <c r="J1618" s="5">
        <f>VLOOKUP(F1618,'Set up'!$A$2:$D$70,4,FALSE)</f>
        <v>0</v>
      </c>
      <c r="K1618" s="4">
        <f t="shared" si="381"/>
        <v>45042</v>
      </c>
      <c r="L1618" s="5">
        <f t="shared" si="382"/>
        <v>4</v>
      </c>
      <c r="M1618" s="5">
        <f t="shared" si="383"/>
        <v>2023</v>
      </c>
      <c r="N1618" s="6">
        <v>516</v>
      </c>
      <c r="O1618" s="6">
        <f t="shared" si="386"/>
        <v>-516</v>
      </c>
      <c r="P1618" s="6">
        <f t="shared" si="377"/>
        <v>0</v>
      </c>
      <c r="Q1618" s="7">
        <f t="shared" si="385"/>
        <v>2969267.350000001</v>
      </c>
      <c r="R1618" s="44" t="str">
        <f>VLOOKUP(F1618,'Set up'!$A$2:$E$70,5,FALSE)</f>
        <v>Cash</v>
      </c>
      <c r="S1618" s="1" t="s">
        <v>1498</v>
      </c>
    </row>
    <row r="1619" spans="1:19" x14ac:dyDescent="0.3">
      <c r="A1619" s="4" t="s">
        <v>1458</v>
      </c>
      <c r="B1619" s="5">
        <f t="shared" si="379"/>
        <v>4</v>
      </c>
      <c r="C1619" s="5">
        <f t="shared" si="380"/>
        <v>2023</v>
      </c>
      <c r="D1619" s="5" t="s">
        <v>1456</v>
      </c>
      <c r="E1619" s="5" t="str">
        <f>VLOOKUP(F1619,'Set up'!$A$2:$C$70,2,FALSE)</f>
        <v>C00000014</v>
      </c>
      <c r="F1619" s="1" t="s">
        <v>262</v>
      </c>
      <c r="G1619" s="89" t="s">
        <v>666</v>
      </c>
      <c r="H1619" s="5">
        <v>2</v>
      </c>
      <c r="I1619" s="5" t="str">
        <f>VLOOKUP(F1619,'Set up'!$A$2:$C$70,3,FALSE)</f>
        <v>Cash</v>
      </c>
      <c r="J1619" s="5">
        <f>VLOOKUP(F1619,'Set up'!$A$2:$D$70,4,FALSE)</f>
        <v>0</v>
      </c>
      <c r="K1619" s="4">
        <f t="shared" si="381"/>
        <v>45042</v>
      </c>
      <c r="L1619" s="5">
        <f t="shared" si="382"/>
        <v>4</v>
      </c>
      <c r="M1619" s="5">
        <f t="shared" si="383"/>
        <v>2023</v>
      </c>
      <c r="N1619" s="6">
        <v>190</v>
      </c>
      <c r="O1619" s="6">
        <f t="shared" si="386"/>
        <v>-190</v>
      </c>
      <c r="P1619" s="6">
        <f t="shared" si="377"/>
        <v>0</v>
      </c>
      <c r="Q1619" s="7">
        <f t="shared" si="385"/>
        <v>2969457.350000001</v>
      </c>
      <c r="R1619" s="44" t="str">
        <f>VLOOKUP(F1619,'Set up'!$A$2:$E$70,5,FALSE)</f>
        <v>Cash</v>
      </c>
      <c r="S1619" s="1" t="s">
        <v>1498</v>
      </c>
    </row>
    <row r="1620" spans="1:19" x14ac:dyDescent="0.3">
      <c r="A1620" s="4" t="s">
        <v>1458</v>
      </c>
      <c r="B1620" s="5">
        <f t="shared" si="379"/>
        <v>4</v>
      </c>
      <c r="C1620" s="5">
        <f t="shared" si="380"/>
        <v>2023</v>
      </c>
      <c r="D1620" s="5" t="s">
        <v>1456</v>
      </c>
      <c r="E1620" s="5" t="str">
        <f>VLOOKUP(F1620,'Set up'!$A$2:$C$70,2,FALSE)</f>
        <v>C00000014</v>
      </c>
      <c r="F1620" s="1" t="s">
        <v>262</v>
      </c>
      <c r="G1620" s="89" t="s">
        <v>949</v>
      </c>
      <c r="H1620" s="5">
        <v>4</v>
      </c>
      <c r="I1620" s="5" t="str">
        <f>VLOOKUP(F1620,'Set up'!$A$2:$C$70,3,FALSE)</f>
        <v>Cash</v>
      </c>
      <c r="J1620" s="5">
        <f>VLOOKUP(F1620,'Set up'!$A$2:$D$70,4,FALSE)</f>
        <v>0</v>
      </c>
      <c r="K1620" s="4">
        <f t="shared" si="381"/>
        <v>45042</v>
      </c>
      <c r="L1620" s="5">
        <f t="shared" si="382"/>
        <v>4</v>
      </c>
      <c r="M1620" s="5">
        <f t="shared" si="383"/>
        <v>2023</v>
      </c>
      <c r="N1620" s="6">
        <v>200</v>
      </c>
      <c r="O1620" s="6">
        <f t="shared" si="386"/>
        <v>-200</v>
      </c>
      <c r="P1620" s="6">
        <f t="shared" si="377"/>
        <v>0</v>
      </c>
      <c r="Q1620" s="7">
        <f t="shared" si="385"/>
        <v>2969657.350000001</v>
      </c>
      <c r="R1620" s="44" t="str">
        <f>VLOOKUP(F1620,'Set up'!$A$2:$E$70,5,FALSE)</f>
        <v>Cash</v>
      </c>
      <c r="S1620" s="1" t="s">
        <v>1498</v>
      </c>
    </row>
    <row r="1621" spans="1:19" x14ac:dyDescent="0.3">
      <c r="A1621" s="4" t="s">
        <v>1458</v>
      </c>
      <c r="B1621" s="5">
        <f t="shared" si="379"/>
        <v>4</v>
      </c>
      <c r="C1621" s="5">
        <f t="shared" si="380"/>
        <v>2023</v>
      </c>
      <c r="D1621" s="5" t="s">
        <v>1457</v>
      </c>
      <c r="E1621" s="5" t="str">
        <f>VLOOKUP(F1621,'Set up'!$A$2:$C$70,2,FALSE)</f>
        <v>C00000001</v>
      </c>
      <c r="F1621" s="1" t="s">
        <v>7</v>
      </c>
      <c r="G1621" s="89" t="s">
        <v>716</v>
      </c>
      <c r="H1621" s="5">
        <v>1</v>
      </c>
      <c r="I1621" s="5" t="str">
        <f>VLOOKUP(F1621,'Set up'!$A$2:$C$70,3,FALSE)</f>
        <v>Cash</v>
      </c>
      <c r="J1621" s="5">
        <f>VLOOKUP(F1621,'Set up'!$A$2:$D$70,4,FALSE)</f>
        <v>0</v>
      </c>
      <c r="K1621" s="4">
        <f t="shared" si="381"/>
        <v>45042</v>
      </c>
      <c r="L1621" s="5">
        <f t="shared" si="382"/>
        <v>4</v>
      </c>
      <c r="M1621" s="5">
        <f t="shared" si="383"/>
        <v>2023</v>
      </c>
      <c r="N1621" s="6">
        <v>1804</v>
      </c>
      <c r="O1621" s="6">
        <f t="shared" si="386"/>
        <v>-1804</v>
      </c>
      <c r="P1621" s="6">
        <f t="shared" ref="P1621:P1684" si="387">SUM(N1621+O1621)</f>
        <v>0</v>
      </c>
      <c r="Q1621" s="7">
        <f t="shared" si="385"/>
        <v>2971461.350000001</v>
      </c>
      <c r="R1621" s="44" t="str">
        <f>VLOOKUP(F1621,'Set up'!$A$2:$E$70,5,FALSE)</f>
        <v>Trsf</v>
      </c>
      <c r="S1621" s="1" t="s">
        <v>1569</v>
      </c>
    </row>
    <row r="1622" spans="1:19" x14ac:dyDescent="0.3">
      <c r="A1622" s="4" t="s">
        <v>1458</v>
      </c>
      <c r="B1622" s="5">
        <f t="shared" si="379"/>
        <v>4</v>
      </c>
      <c r="C1622" s="5">
        <f t="shared" si="380"/>
        <v>2023</v>
      </c>
      <c r="D1622" s="5" t="s">
        <v>1457</v>
      </c>
      <c r="E1622" s="5" t="str">
        <f>VLOOKUP(F1622,'Set up'!$A$2:$C$70,2,FALSE)</f>
        <v>C00000001</v>
      </c>
      <c r="F1622" s="1" t="s">
        <v>7</v>
      </c>
      <c r="G1622" s="89" t="s">
        <v>654</v>
      </c>
      <c r="H1622" s="5">
        <v>4</v>
      </c>
      <c r="I1622" s="5" t="str">
        <f>VLOOKUP(F1622,'Set up'!$A$2:$C$70,3,FALSE)</f>
        <v>Cash</v>
      </c>
      <c r="J1622" s="5">
        <f>VLOOKUP(F1622,'Set up'!$A$2:$D$70,4,FALSE)</f>
        <v>0</v>
      </c>
      <c r="K1622" s="4">
        <f t="shared" si="381"/>
        <v>45042</v>
      </c>
      <c r="L1622" s="5">
        <f t="shared" si="382"/>
        <v>4</v>
      </c>
      <c r="M1622" s="5">
        <f t="shared" si="383"/>
        <v>2023</v>
      </c>
      <c r="N1622" s="6">
        <v>912</v>
      </c>
      <c r="O1622" s="6">
        <f t="shared" si="386"/>
        <v>-912</v>
      </c>
      <c r="P1622" s="6">
        <f t="shared" si="387"/>
        <v>0</v>
      </c>
      <c r="Q1622" s="7">
        <f t="shared" si="385"/>
        <v>2972373.350000001</v>
      </c>
      <c r="R1622" s="44" t="str">
        <f>VLOOKUP(F1622,'Set up'!$A$2:$E$70,5,FALSE)</f>
        <v>Trsf</v>
      </c>
      <c r="S1622" s="1" t="s">
        <v>1569</v>
      </c>
    </row>
    <row r="1623" spans="1:19" x14ac:dyDescent="0.3">
      <c r="A1623" s="4" t="s">
        <v>1462</v>
      </c>
      <c r="B1623" s="5">
        <f t="shared" si="379"/>
        <v>4</v>
      </c>
      <c r="C1623" s="5">
        <f t="shared" si="380"/>
        <v>2023</v>
      </c>
      <c r="D1623" s="5" t="s">
        <v>1461</v>
      </c>
      <c r="E1623" s="5" t="str">
        <f>VLOOKUP(F1623,'Set up'!$A$2:$C$70,2,FALSE)</f>
        <v>C00000019</v>
      </c>
      <c r="F1623" s="1" t="s">
        <v>400</v>
      </c>
      <c r="G1623" s="89" t="s">
        <v>719</v>
      </c>
      <c r="H1623" s="5">
        <v>2</v>
      </c>
      <c r="I1623" s="5" t="str">
        <f>VLOOKUP(F1623,'Set up'!$A$2:$C$70,3,FALSE)</f>
        <v>Cash</v>
      </c>
      <c r="J1623" s="5">
        <f>VLOOKUP(F1623,'Set up'!$A$2:$D$70,4,FALSE)</f>
        <v>0</v>
      </c>
      <c r="K1623" s="4">
        <f t="shared" si="381"/>
        <v>45043</v>
      </c>
      <c r="L1623" s="5">
        <f t="shared" si="382"/>
        <v>4</v>
      </c>
      <c r="M1623" s="5">
        <f t="shared" si="383"/>
        <v>2023</v>
      </c>
      <c r="N1623" s="6">
        <v>3608</v>
      </c>
      <c r="O1623" s="6">
        <f>-568.9-1000-1000-1000-39.1</f>
        <v>-3608</v>
      </c>
      <c r="P1623" s="6">
        <f t="shared" si="387"/>
        <v>0</v>
      </c>
      <c r="Q1623" s="7">
        <f t="shared" si="385"/>
        <v>2975981.350000001</v>
      </c>
      <c r="R1623" s="44" t="str">
        <f>VLOOKUP(F1623,'Set up'!$A$2:$E$70,5,FALSE)</f>
        <v>Trsf</v>
      </c>
      <c r="S1623" s="1" t="s">
        <v>1967</v>
      </c>
    </row>
    <row r="1624" spans="1:19" x14ac:dyDescent="0.3">
      <c r="A1624" s="4" t="s">
        <v>1462</v>
      </c>
      <c r="B1624" s="5">
        <f t="shared" si="379"/>
        <v>4</v>
      </c>
      <c r="C1624" s="5">
        <f t="shared" si="380"/>
        <v>2023</v>
      </c>
      <c r="D1624" s="5" t="s">
        <v>1461</v>
      </c>
      <c r="E1624" s="5" t="str">
        <f>VLOOKUP(F1624,'Set up'!$A$2:$C$70,2,FALSE)</f>
        <v>C00000019</v>
      </c>
      <c r="F1624" s="1" t="s">
        <v>400</v>
      </c>
      <c r="G1624" s="89" t="s">
        <v>1411</v>
      </c>
      <c r="H1624" s="5">
        <v>2</v>
      </c>
      <c r="I1624" s="5" t="str">
        <f>VLOOKUP(F1624,'Set up'!$A$2:$C$70,3,FALSE)</f>
        <v>Cash</v>
      </c>
      <c r="J1624" s="5">
        <f>VLOOKUP(F1624,'Set up'!$A$2:$D$70,4,FALSE)</f>
        <v>0</v>
      </c>
      <c r="K1624" s="4">
        <f t="shared" si="381"/>
        <v>45043</v>
      </c>
      <c r="L1624" s="5">
        <f t="shared" si="382"/>
        <v>4</v>
      </c>
      <c r="M1624" s="5">
        <f t="shared" si="383"/>
        <v>2023</v>
      </c>
      <c r="N1624" s="6">
        <v>842.4</v>
      </c>
      <c r="O1624" s="6">
        <f t="shared" ref="O1624" si="388">-N1624</f>
        <v>-842.4</v>
      </c>
      <c r="P1624" s="6">
        <f t="shared" si="387"/>
        <v>0</v>
      </c>
      <c r="Q1624" s="7">
        <f t="shared" si="385"/>
        <v>2976823.7500000009</v>
      </c>
      <c r="R1624" s="44" t="str">
        <f>VLOOKUP(F1624,'Set up'!$A$2:$E$70,5,FALSE)</f>
        <v>Trsf</v>
      </c>
      <c r="S1624" s="1" t="s">
        <v>1968</v>
      </c>
    </row>
    <row r="1625" spans="1:19" x14ac:dyDescent="0.3">
      <c r="A1625" s="4" t="s">
        <v>1462</v>
      </c>
      <c r="B1625" s="5">
        <f t="shared" si="379"/>
        <v>4</v>
      </c>
      <c r="C1625" s="5">
        <f t="shared" si="380"/>
        <v>2023</v>
      </c>
      <c r="D1625" s="5" t="s">
        <v>1461</v>
      </c>
      <c r="E1625" s="5" t="str">
        <f>VLOOKUP(F1625,'Set up'!$A$2:$C$70,2,FALSE)</f>
        <v>C00000019</v>
      </c>
      <c r="F1625" s="1" t="s">
        <v>400</v>
      </c>
      <c r="G1625" s="89" t="s">
        <v>791</v>
      </c>
      <c r="H1625" s="5">
        <v>3</v>
      </c>
      <c r="I1625" s="5" t="str">
        <f>VLOOKUP(F1625,'Set up'!$A$2:$C$70,3,FALSE)</f>
        <v>Cash</v>
      </c>
      <c r="J1625" s="5">
        <f>VLOOKUP(F1625,'Set up'!$A$2:$D$70,4,FALSE)</f>
        <v>0</v>
      </c>
      <c r="K1625" s="4">
        <f t="shared" si="381"/>
        <v>45043</v>
      </c>
      <c r="L1625" s="5">
        <f t="shared" si="382"/>
        <v>4</v>
      </c>
      <c r="M1625" s="5">
        <f t="shared" si="383"/>
        <v>2023</v>
      </c>
      <c r="N1625" s="6">
        <v>187.5</v>
      </c>
      <c r="O1625" s="6">
        <f>-118.5-69</f>
        <v>-187.5</v>
      </c>
      <c r="P1625" s="6">
        <f t="shared" si="387"/>
        <v>0</v>
      </c>
      <c r="Q1625" s="7">
        <f t="shared" si="385"/>
        <v>2977011.2500000009</v>
      </c>
      <c r="R1625" s="44" t="str">
        <f>VLOOKUP(F1625,'Set up'!$A$2:$E$70,5,FALSE)</f>
        <v>Trsf</v>
      </c>
      <c r="S1625" s="1" t="s">
        <v>1969</v>
      </c>
    </row>
    <row r="1626" spans="1:19" x14ac:dyDescent="0.3">
      <c r="A1626" s="4" t="s">
        <v>1462</v>
      </c>
      <c r="B1626" s="5">
        <f t="shared" si="379"/>
        <v>4</v>
      </c>
      <c r="C1626" s="5">
        <f t="shared" si="380"/>
        <v>2023</v>
      </c>
      <c r="D1626" s="5" t="s">
        <v>1461</v>
      </c>
      <c r="E1626" s="5" t="str">
        <f>VLOOKUP(F1626,'Set up'!$A$2:$C$70,2,FALSE)</f>
        <v>C00000019</v>
      </c>
      <c r="F1626" s="1" t="s">
        <v>400</v>
      </c>
      <c r="G1626" s="89" t="s">
        <v>1459</v>
      </c>
      <c r="H1626" s="5">
        <v>1</v>
      </c>
      <c r="I1626" s="5" t="str">
        <f>VLOOKUP(F1626,'Set up'!$A$2:$C$70,3,FALSE)</f>
        <v>Cash</v>
      </c>
      <c r="J1626" s="5">
        <f>VLOOKUP(F1626,'Set up'!$A$2:$D$70,4,FALSE)</f>
        <v>0</v>
      </c>
      <c r="K1626" s="4">
        <f t="shared" si="381"/>
        <v>45043</v>
      </c>
      <c r="L1626" s="5">
        <f t="shared" si="382"/>
        <v>4</v>
      </c>
      <c r="M1626" s="5">
        <f t="shared" si="383"/>
        <v>2023</v>
      </c>
      <c r="N1626" s="6">
        <v>150</v>
      </c>
      <c r="O1626" s="6">
        <f t="shared" ref="O1626:O1629" si="389">-N1626</f>
        <v>-150</v>
      </c>
      <c r="P1626" s="6">
        <f t="shared" si="387"/>
        <v>0</v>
      </c>
      <c r="Q1626" s="7">
        <f t="shared" si="385"/>
        <v>2977161.2500000009</v>
      </c>
      <c r="R1626" s="44" t="str">
        <f>VLOOKUP(F1626,'Set up'!$A$2:$E$70,5,FALSE)</f>
        <v>Trsf</v>
      </c>
      <c r="S1626" s="1" t="s">
        <v>1970</v>
      </c>
    </row>
    <row r="1627" spans="1:19" x14ac:dyDescent="0.3">
      <c r="A1627" s="4" t="s">
        <v>1462</v>
      </c>
      <c r="B1627" s="5">
        <f t="shared" si="379"/>
        <v>4</v>
      </c>
      <c r="C1627" s="5">
        <f t="shared" si="380"/>
        <v>2023</v>
      </c>
      <c r="D1627" s="5" t="s">
        <v>1461</v>
      </c>
      <c r="E1627" s="5" t="str">
        <f>VLOOKUP(F1627,'Set up'!$A$2:$C$70,2,FALSE)</f>
        <v>C00000019</v>
      </c>
      <c r="F1627" s="1" t="s">
        <v>400</v>
      </c>
      <c r="G1627" s="89" t="s">
        <v>1460</v>
      </c>
      <c r="H1627" s="5">
        <v>1</v>
      </c>
      <c r="I1627" s="5" t="str">
        <f>VLOOKUP(F1627,'Set up'!$A$2:$C$70,3,FALSE)</f>
        <v>Cash</v>
      </c>
      <c r="J1627" s="5">
        <f>VLOOKUP(F1627,'Set up'!$A$2:$D$70,4,FALSE)</f>
        <v>0</v>
      </c>
      <c r="K1627" s="4">
        <f t="shared" si="381"/>
        <v>45043</v>
      </c>
      <c r="L1627" s="5">
        <f t="shared" si="382"/>
        <v>4</v>
      </c>
      <c r="M1627" s="5">
        <f t="shared" si="383"/>
        <v>2023</v>
      </c>
      <c r="N1627" s="6">
        <v>160</v>
      </c>
      <c r="O1627" s="6">
        <f t="shared" si="389"/>
        <v>-160</v>
      </c>
      <c r="P1627" s="6">
        <f t="shared" si="387"/>
        <v>0</v>
      </c>
      <c r="Q1627" s="7">
        <f t="shared" si="385"/>
        <v>2977321.2500000009</v>
      </c>
      <c r="R1627" s="44" t="str">
        <f>VLOOKUP(F1627,'Set up'!$A$2:$E$70,5,FALSE)</f>
        <v>Trsf</v>
      </c>
      <c r="S1627" s="1" t="s">
        <v>1971</v>
      </c>
    </row>
    <row r="1628" spans="1:19" x14ac:dyDescent="0.3">
      <c r="A1628" s="4" t="s">
        <v>1464</v>
      </c>
      <c r="B1628" s="5">
        <f t="shared" si="379"/>
        <v>4</v>
      </c>
      <c r="C1628" s="5">
        <f t="shared" si="380"/>
        <v>2023</v>
      </c>
      <c r="D1628" s="5" t="s">
        <v>1463</v>
      </c>
      <c r="E1628" s="5" t="str">
        <f>VLOOKUP(F1628,'Set up'!$A$2:$C$70,2,FALSE)</f>
        <v>C00000020</v>
      </c>
      <c r="F1628" s="1" t="s">
        <v>409</v>
      </c>
      <c r="G1628" s="89" t="s">
        <v>722</v>
      </c>
      <c r="H1628" s="5">
        <v>1</v>
      </c>
      <c r="I1628" s="5" t="str">
        <f>VLOOKUP(F1628,'Set up'!$A$2:$C$70,3,FALSE)</f>
        <v>Cash</v>
      </c>
      <c r="J1628" s="5">
        <f>VLOOKUP(F1628,'Set up'!$A$2:$D$70,4,FALSE)</f>
        <v>0</v>
      </c>
      <c r="K1628" s="4">
        <f t="shared" si="381"/>
        <v>45041</v>
      </c>
      <c r="L1628" s="5">
        <f t="shared" si="382"/>
        <v>4</v>
      </c>
      <c r="M1628" s="5">
        <f t="shared" si="383"/>
        <v>2023</v>
      </c>
      <c r="N1628" s="6">
        <v>1782</v>
      </c>
      <c r="O1628" s="6">
        <f t="shared" si="389"/>
        <v>-1782</v>
      </c>
      <c r="P1628" s="6">
        <f t="shared" si="387"/>
        <v>0</v>
      </c>
      <c r="Q1628" s="7">
        <f t="shared" si="385"/>
        <v>2979103.2500000009</v>
      </c>
      <c r="R1628" s="44" t="str">
        <f>VLOOKUP(F1628,'Set up'!$A$2:$E$70,5,FALSE)</f>
        <v>Trsf</v>
      </c>
      <c r="S1628" s="1" t="s">
        <v>2395</v>
      </c>
    </row>
    <row r="1629" spans="1:19" x14ac:dyDescent="0.3">
      <c r="A1629" s="4" t="s">
        <v>1464</v>
      </c>
      <c r="B1629" s="5">
        <f t="shared" si="379"/>
        <v>4</v>
      </c>
      <c r="C1629" s="5">
        <f t="shared" si="380"/>
        <v>2023</v>
      </c>
      <c r="D1629" s="5" t="s">
        <v>1463</v>
      </c>
      <c r="E1629" s="5" t="str">
        <f>VLOOKUP(F1629,'Set up'!$A$2:$C$70,2,FALSE)</f>
        <v>C00000020</v>
      </c>
      <c r="F1629" s="1" t="s">
        <v>409</v>
      </c>
      <c r="G1629" s="89" t="s">
        <v>1352</v>
      </c>
      <c r="H1629" s="5">
        <v>3</v>
      </c>
      <c r="I1629" s="5" t="str">
        <f>VLOOKUP(F1629,'Set up'!$A$2:$C$70,3,FALSE)</f>
        <v>Cash</v>
      </c>
      <c r="J1629" s="5">
        <f>VLOOKUP(F1629,'Set up'!$A$2:$D$70,4,FALSE)</f>
        <v>0</v>
      </c>
      <c r="K1629" s="4">
        <f t="shared" si="381"/>
        <v>45041</v>
      </c>
      <c r="L1629" s="5">
        <f t="shared" si="382"/>
        <v>4</v>
      </c>
      <c r="M1629" s="5">
        <f t="shared" si="383"/>
        <v>2023</v>
      </c>
      <c r="N1629" s="6">
        <v>684</v>
      </c>
      <c r="O1629" s="6">
        <f t="shared" si="389"/>
        <v>-684</v>
      </c>
      <c r="P1629" s="6">
        <f t="shared" si="387"/>
        <v>0</v>
      </c>
      <c r="Q1629" s="7">
        <f t="shared" si="385"/>
        <v>2979787.2500000009</v>
      </c>
      <c r="R1629" s="44" t="str">
        <f>VLOOKUP(F1629,'Set up'!$A$2:$E$70,5,FALSE)</f>
        <v>Trsf</v>
      </c>
      <c r="S1629" s="1" t="s">
        <v>2396</v>
      </c>
    </row>
    <row r="1630" spans="1:19" x14ac:dyDescent="0.3">
      <c r="A1630" s="4" t="s">
        <v>1466</v>
      </c>
      <c r="B1630" s="5">
        <f t="shared" si="379"/>
        <v>4</v>
      </c>
      <c r="C1630" s="5">
        <f t="shared" si="380"/>
        <v>2023</v>
      </c>
      <c r="D1630" s="5" t="s">
        <v>1465</v>
      </c>
      <c r="E1630" s="5" t="str">
        <f>VLOOKUP(F1630,'Set up'!$A$2:$C$70,2,FALSE)</f>
        <v>C00000021</v>
      </c>
      <c r="F1630" s="1" t="s">
        <v>491</v>
      </c>
      <c r="G1630" s="89" t="s">
        <v>716</v>
      </c>
      <c r="H1630" s="5">
        <v>1</v>
      </c>
      <c r="I1630" s="5" t="str">
        <f>VLOOKUP(F1630,'Set up'!$A$2:$C$70,3,FALSE)</f>
        <v>Cash</v>
      </c>
      <c r="J1630" s="5">
        <f>VLOOKUP(F1630,'Set up'!$A$2:$D$70,4,FALSE)</f>
        <v>0</v>
      </c>
      <c r="K1630" s="4">
        <f t="shared" si="381"/>
        <v>45044</v>
      </c>
      <c r="L1630" s="5">
        <f t="shared" si="382"/>
        <v>4</v>
      </c>
      <c r="M1630" s="5">
        <f t="shared" si="383"/>
        <v>2023</v>
      </c>
      <c r="N1630" s="6">
        <v>1870</v>
      </c>
      <c r="O1630" s="6">
        <f t="shared" ref="O1630:O1631" si="390">-N1630</f>
        <v>-1870</v>
      </c>
      <c r="P1630" s="6">
        <f t="shared" si="387"/>
        <v>0</v>
      </c>
      <c r="Q1630" s="7">
        <f t="shared" si="385"/>
        <v>2981657.2500000009</v>
      </c>
      <c r="R1630" s="44" t="str">
        <f>VLOOKUP(F1630,'Set up'!$A$2:$E$70,5,FALSE)</f>
        <v>PD Chq</v>
      </c>
      <c r="S1630" s="1" t="s">
        <v>2249</v>
      </c>
    </row>
    <row r="1631" spans="1:19" x14ac:dyDescent="0.3">
      <c r="A1631" s="4" t="s">
        <v>1466</v>
      </c>
      <c r="B1631" s="5">
        <f t="shared" si="379"/>
        <v>4</v>
      </c>
      <c r="C1631" s="5">
        <f t="shared" si="380"/>
        <v>2023</v>
      </c>
      <c r="D1631" s="5" t="s">
        <v>1465</v>
      </c>
      <c r="E1631" s="5" t="str">
        <f>VLOOKUP(F1631,'Set up'!$A$2:$C$70,2,FALSE)</f>
        <v>C00000021</v>
      </c>
      <c r="F1631" s="1" t="s">
        <v>491</v>
      </c>
      <c r="G1631" s="89" t="s">
        <v>1061</v>
      </c>
      <c r="H1631" s="5">
        <v>1</v>
      </c>
      <c r="I1631" s="5" t="str">
        <f>VLOOKUP(F1631,'Set up'!$A$2:$C$70,3,FALSE)</f>
        <v>Cash</v>
      </c>
      <c r="J1631" s="5">
        <f>VLOOKUP(F1631,'Set up'!$A$2:$D$70,4,FALSE)</f>
        <v>0</v>
      </c>
      <c r="K1631" s="4">
        <f t="shared" si="381"/>
        <v>45044</v>
      </c>
      <c r="L1631" s="5">
        <f t="shared" si="382"/>
        <v>4</v>
      </c>
      <c r="M1631" s="5">
        <f t="shared" si="383"/>
        <v>2023</v>
      </c>
      <c r="N1631" s="6">
        <v>95</v>
      </c>
      <c r="O1631" s="6">
        <f t="shared" si="390"/>
        <v>-95</v>
      </c>
      <c r="P1631" s="6">
        <f t="shared" si="387"/>
        <v>0</v>
      </c>
      <c r="Q1631" s="7">
        <f t="shared" si="385"/>
        <v>2981752.2500000009</v>
      </c>
      <c r="R1631" s="44" t="str">
        <f>VLOOKUP(F1631,'Set up'!$A$2:$E$70,5,FALSE)</f>
        <v>PD Chq</v>
      </c>
      <c r="S1631" s="1" t="s">
        <v>2249</v>
      </c>
    </row>
    <row r="1632" spans="1:19" x14ac:dyDescent="0.3">
      <c r="A1632" s="4" t="s">
        <v>1462</v>
      </c>
      <c r="B1632" s="5">
        <f t="shared" si="379"/>
        <v>4</v>
      </c>
      <c r="C1632" s="5">
        <f t="shared" si="380"/>
        <v>2023</v>
      </c>
      <c r="D1632" s="5" t="s">
        <v>1467</v>
      </c>
      <c r="E1632" s="5" t="str">
        <f>VLOOKUP(F1632,'Set up'!$A$2:$C$70,2,FALSE)</f>
        <v>C00000019</v>
      </c>
      <c r="F1632" s="1" t="s">
        <v>400</v>
      </c>
      <c r="G1632" s="89" t="s">
        <v>1468</v>
      </c>
      <c r="H1632" s="5">
        <v>1</v>
      </c>
      <c r="I1632" s="5" t="str">
        <f>VLOOKUP(F1632,'Set up'!$A$2:$C$70,3,FALSE)</f>
        <v>Cash</v>
      </c>
      <c r="J1632" s="5">
        <f>VLOOKUP(F1632,'Set up'!$A$2:$D$70,4,FALSE)</f>
        <v>0</v>
      </c>
      <c r="K1632" s="4">
        <f t="shared" si="381"/>
        <v>45043</v>
      </c>
      <c r="L1632" s="5">
        <f t="shared" si="382"/>
        <v>4</v>
      </c>
      <c r="M1632" s="5">
        <f t="shared" si="383"/>
        <v>2023</v>
      </c>
      <c r="N1632" s="6">
        <v>322.5</v>
      </c>
      <c r="O1632" s="6">
        <f>-121-201.5</f>
        <v>-322.5</v>
      </c>
      <c r="P1632" s="6">
        <f t="shared" si="387"/>
        <v>0</v>
      </c>
      <c r="Q1632" s="7">
        <f t="shared" si="385"/>
        <v>2982074.7500000009</v>
      </c>
      <c r="R1632" s="44" t="str">
        <f>VLOOKUP(F1632,'Set up'!$A$2:$E$70,5,FALSE)</f>
        <v>Trsf</v>
      </c>
      <c r="S1632" s="1" t="s">
        <v>2063</v>
      </c>
    </row>
    <row r="1633" spans="1:19" x14ac:dyDescent="0.3">
      <c r="A1633" s="4" t="s">
        <v>1462</v>
      </c>
      <c r="B1633" s="5">
        <f t="shared" si="379"/>
        <v>4</v>
      </c>
      <c r="C1633" s="5">
        <f t="shared" si="380"/>
        <v>2023</v>
      </c>
      <c r="D1633" s="5" t="s">
        <v>1467</v>
      </c>
      <c r="E1633" s="5" t="str">
        <f>VLOOKUP(F1633,'Set up'!$A$2:$C$70,2,FALSE)</f>
        <v>C00000019</v>
      </c>
      <c r="F1633" s="1" t="s">
        <v>400</v>
      </c>
      <c r="G1633" s="89" t="s">
        <v>1469</v>
      </c>
      <c r="H1633" s="5">
        <v>1</v>
      </c>
      <c r="I1633" s="5" t="str">
        <f>VLOOKUP(F1633,'Set up'!$A$2:$C$70,3,FALSE)</f>
        <v>Cash</v>
      </c>
      <c r="J1633" s="5">
        <f>VLOOKUP(F1633,'Set up'!$A$2:$D$70,4,FALSE)</f>
        <v>0</v>
      </c>
      <c r="K1633" s="4">
        <f t="shared" si="381"/>
        <v>45043</v>
      </c>
      <c r="L1633" s="5">
        <f t="shared" si="382"/>
        <v>4</v>
      </c>
      <c r="M1633" s="5">
        <f t="shared" si="383"/>
        <v>2023</v>
      </c>
      <c r="N1633" s="6">
        <v>390</v>
      </c>
      <c r="O1633" s="6">
        <f t="shared" ref="O1633" si="391">-N1633</f>
        <v>-390</v>
      </c>
      <c r="P1633" s="6">
        <f t="shared" si="387"/>
        <v>0</v>
      </c>
      <c r="Q1633" s="7">
        <f t="shared" si="385"/>
        <v>2982464.7500000009</v>
      </c>
      <c r="R1633" s="44" t="str">
        <f>VLOOKUP(F1633,'Set up'!$A$2:$E$70,5,FALSE)</f>
        <v>Trsf</v>
      </c>
      <c r="S1633" s="1" t="s">
        <v>2064</v>
      </c>
    </row>
    <row r="1634" spans="1:19" x14ac:dyDescent="0.3">
      <c r="A1634" s="4">
        <v>45048</v>
      </c>
      <c r="B1634" s="5">
        <f t="shared" si="379"/>
        <v>5</v>
      </c>
      <c r="C1634" s="5">
        <f t="shared" si="380"/>
        <v>2023</v>
      </c>
      <c r="D1634" s="5" t="s">
        <v>1529</v>
      </c>
      <c r="E1634" s="5" t="str">
        <f>VLOOKUP(F1634,'Set up'!$A$2:$C$70,2,FALSE)</f>
        <v>C00000037</v>
      </c>
      <c r="F1634" s="1" t="s">
        <v>1309</v>
      </c>
      <c r="G1634" s="11" t="s">
        <v>719</v>
      </c>
      <c r="H1634" s="5">
        <v>1</v>
      </c>
      <c r="I1634" s="5">
        <f>VLOOKUP(F1634,'Set up'!$A$2:$C$70,3,FALSE)</f>
        <v>30</v>
      </c>
      <c r="J1634" s="5">
        <f>VLOOKUP(F1634,'Set up'!$A$2:$D$70,4,FALSE)</f>
        <v>30</v>
      </c>
      <c r="K1634" s="4">
        <f t="shared" si="381"/>
        <v>45078</v>
      </c>
      <c r="L1634" s="5">
        <f t="shared" si="382"/>
        <v>6</v>
      </c>
      <c r="M1634" s="5">
        <f t="shared" si="383"/>
        <v>2023</v>
      </c>
      <c r="N1634" s="6">
        <v>1870</v>
      </c>
      <c r="O1634" s="6">
        <f t="shared" ref="O1634:O1641" si="392">-N1634</f>
        <v>-1870</v>
      </c>
      <c r="P1634" s="6">
        <f t="shared" si="387"/>
        <v>0</v>
      </c>
      <c r="Q1634" s="7">
        <f t="shared" si="385"/>
        <v>2984334.7500000009</v>
      </c>
      <c r="R1634" s="44" t="str">
        <f>VLOOKUP(F1634,'Set up'!$A$2:$E$70,5,FALSE)</f>
        <v>Chq</v>
      </c>
      <c r="S1634" s="1" t="s">
        <v>1567</v>
      </c>
    </row>
    <row r="1635" spans="1:19" x14ac:dyDescent="0.3">
      <c r="A1635" s="4">
        <v>45048</v>
      </c>
      <c r="B1635" s="5">
        <f t="shared" si="379"/>
        <v>5</v>
      </c>
      <c r="C1635" s="5">
        <f t="shared" si="380"/>
        <v>2023</v>
      </c>
      <c r="D1635" s="5" t="s">
        <v>1529</v>
      </c>
      <c r="E1635" s="5" t="str">
        <f>VLOOKUP(F1635,'Set up'!$A$2:$C$70,2,FALSE)</f>
        <v>C00000037</v>
      </c>
      <c r="F1635" s="1" t="s">
        <v>1309</v>
      </c>
      <c r="G1635" s="11" t="s">
        <v>707</v>
      </c>
      <c r="H1635" s="5">
        <v>2</v>
      </c>
      <c r="I1635" s="5">
        <f>VLOOKUP(F1635,'Set up'!$A$2:$C$70,3,FALSE)</f>
        <v>30</v>
      </c>
      <c r="J1635" s="5">
        <f>VLOOKUP(F1635,'Set up'!$A$2:$D$70,4,FALSE)</f>
        <v>30</v>
      </c>
      <c r="K1635" s="4">
        <f t="shared" si="381"/>
        <v>45078</v>
      </c>
      <c r="L1635" s="5">
        <f t="shared" si="382"/>
        <v>6</v>
      </c>
      <c r="M1635" s="5">
        <f t="shared" si="383"/>
        <v>2023</v>
      </c>
      <c r="N1635" s="6">
        <v>842.4</v>
      </c>
      <c r="O1635" s="6">
        <f t="shared" si="392"/>
        <v>-842.4</v>
      </c>
      <c r="P1635" s="6">
        <f t="shared" si="387"/>
        <v>0</v>
      </c>
      <c r="Q1635" s="7">
        <f t="shared" si="385"/>
        <v>2985177.1500000008</v>
      </c>
      <c r="R1635" s="44" t="str">
        <f>VLOOKUP(F1635,'Set up'!$A$2:$E$70,5,FALSE)</f>
        <v>Chq</v>
      </c>
      <c r="S1635" s="1" t="s">
        <v>1567</v>
      </c>
    </row>
    <row r="1636" spans="1:19" x14ac:dyDescent="0.3">
      <c r="A1636" s="4">
        <v>45048</v>
      </c>
      <c r="B1636" s="5">
        <f t="shared" si="379"/>
        <v>5</v>
      </c>
      <c r="C1636" s="5">
        <f t="shared" si="380"/>
        <v>2023</v>
      </c>
      <c r="D1636" s="5" t="s">
        <v>1529</v>
      </c>
      <c r="E1636" s="5" t="str">
        <f>VLOOKUP(F1636,'Set up'!$A$2:$C$70,2,FALSE)</f>
        <v>C00000037</v>
      </c>
      <c r="F1636" s="1" t="s">
        <v>1309</v>
      </c>
      <c r="G1636" s="90" t="s">
        <v>1405</v>
      </c>
      <c r="H1636" s="5">
        <v>3</v>
      </c>
      <c r="I1636" s="5">
        <f>VLOOKUP(F1636,'Set up'!$A$2:$C$70,3,FALSE)</f>
        <v>30</v>
      </c>
      <c r="J1636" s="5">
        <f>VLOOKUP(F1636,'Set up'!$A$2:$D$70,4,FALSE)</f>
        <v>30</v>
      </c>
      <c r="K1636" s="4">
        <f t="shared" si="381"/>
        <v>45078</v>
      </c>
      <c r="L1636" s="5">
        <f t="shared" si="382"/>
        <v>6</v>
      </c>
      <c r="M1636" s="5">
        <f t="shared" si="383"/>
        <v>2023</v>
      </c>
      <c r="N1636" s="6">
        <v>144</v>
      </c>
      <c r="O1636" s="6">
        <f t="shared" si="392"/>
        <v>-144</v>
      </c>
      <c r="P1636" s="6">
        <f t="shared" si="387"/>
        <v>0</v>
      </c>
      <c r="Q1636" s="7">
        <f t="shared" si="385"/>
        <v>2985321.1500000008</v>
      </c>
      <c r="R1636" s="44" t="str">
        <f>VLOOKUP(F1636,'Set up'!$A$2:$E$70,5,FALSE)</f>
        <v>Chq</v>
      </c>
      <c r="S1636" s="1" t="s">
        <v>1567</v>
      </c>
    </row>
    <row r="1637" spans="1:19" x14ac:dyDescent="0.3">
      <c r="A1637" s="4">
        <v>45048</v>
      </c>
      <c r="B1637" s="5">
        <f t="shared" si="379"/>
        <v>5</v>
      </c>
      <c r="C1637" s="5">
        <f t="shared" si="380"/>
        <v>2023</v>
      </c>
      <c r="D1637" s="5" t="s">
        <v>1530</v>
      </c>
      <c r="E1637" s="5" t="str">
        <f>VLOOKUP(F1637,'Set up'!$A$2:$C$70,2,FALSE)</f>
        <v>C00000034</v>
      </c>
      <c r="F1637" s="1" t="s">
        <v>1196</v>
      </c>
      <c r="G1637" s="11" t="s">
        <v>1356</v>
      </c>
      <c r="H1637" s="5">
        <v>3</v>
      </c>
      <c r="I1637" s="5" t="str">
        <f>VLOOKUP(F1637,'Set up'!$A$2:$C$70,3,FALSE)</f>
        <v>Cash</v>
      </c>
      <c r="J1637" s="5">
        <f>VLOOKUP(F1637,'Set up'!$A$2:$D$70,4,FALSE)</f>
        <v>0</v>
      </c>
      <c r="K1637" s="4">
        <f t="shared" si="381"/>
        <v>45048</v>
      </c>
      <c r="L1637" s="5">
        <f t="shared" si="382"/>
        <v>5</v>
      </c>
      <c r="M1637" s="5">
        <f t="shared" si="383"/>
        <v>2023</v>
      </c>
      <c r="N1637" s="6">
        <v>5610</v>
      </c>
      <c r="O1637" s="6">
        <f t="shared" si="392"/>
        <v>-5610</v>
      </c>
      <c r="P1637" s="6">
        <f t="shared" si="387"/>
        <v>0</v>
      </c>
      <c r="Q1637" s="7">
        <f t="shared" si="385"/>
        <v>2990931.1500000008</v>
      </c>
      <c r="R1637" s="44" t="str">
        <f>VLOOKUP(F1637,'Set up'!$A$2:$E$70,5,FALSE)</f>
        <v>Trsf</v>
      </c>
      <c r="S1637" s="1" t="s">
        <v>1582</v>
      </c>
    </row>
    <row r="1638" spans="1:19" x14ac:dyDescent="0.3">
      <c r="A1638" s="4">
        <v>45048</v>
      </c>
      <c r="B1638" s="5">
        <f t="shared" si="379"/>
        <v>5</v>
      </c>
      <c r="C1638" s="5">
        <f t="shared" si="380"/>
        <v>2023</v>
      </c>
      <c r="D1638" s="5" t="s">
        <v>1530</v>
      </c>
      <c r="E1638" s="5" t="str">
        <f>VLOOKUP(F1638,'Set up'!$A$2:$C$70,2,FALSE)</f>
        <v>C00000034</v>
      </c>
      <c r="F1638" s="1" t="s">
        <v>1196</v>
      </c>
      <c r="G1638" s="11" t="s">
        <v>1061</v>
      </c>
      <c r="H1638" s="5">
        <v>3</v>
      </c>
      <c r="I1638" s="5" t="str">
        <f>VLOOKUP(F1638,'Set up'!$A$2:$C$70,3,FALSE)</f>
        <v>Cash</v>
      </c>
      <c r="J1638" s="5">
        <f>VLOOKUP(F1638,'Set up'!$A$2:$D$70,4,FALSE)</f>
        <v>0</v>
      </c>
      <c r="K1638" s="4">
        <f t="shared" si="381"/>
        <v>45048</v>
      </c>
      <c r="L1638" s="5">
        <f t="shared" si="382"/>
        <v>5</v>
      </c>
      <c r="M1638" s="5">
        <f t="shared" si="383"/>
        <v>2023</v>
      </c>
      <c r="N1638" s="6">
        <v>300</v>
      </c>
      <c r="O1638" s="6">
        <f t="shared" si="392"/>
        <v>-300</v>
      </c>
      <c r="P1638" s="6">
        <f t="shared" si="387"/>
        <v>0</v>
      </c>
      <c r="Q1638" s="7">
        <f t="shared" si="385"/>
        <v>2991231.1500000008</v>
      </c>
      <c r="R1638" s="44" t="str">
        <f>VLOOKUP(F1638,'Set up'!$A$2:$E$70,5,FALSE)</f>
        <v>Trsf</v>
      </c>
      <c r="S1638" s="1" t="s">
        <v>1582</v>
      </c>
    </row>
    <row r="1639" spans="1:19" x14ac:dyDescent="0.3">
      <c r="A1639" s="4">
        <v>45048</v>
      </c>
      <c r="B1639" s="5">
        <f t="shared" si="379"/>
        <v>5</v>
      </c>
      <c r="C1639" s="5">
        <f t="shared" si="380"/>
        <v>2023</v>
      </c>
      <c r="D1639" s="5" t="s">
        <v>1530</v>
      </c>
      <c r="E1639" s="5" t="str">
        <f>VLOOKUP(F1639,'Set up'!$A$2:$C$70,2,FALSE)</f>
        <v>C00000034</v>
      </c>
      <c r="F1639" s="1" t="s">
        <v>1196</v>
      </c>
      <c r="G1639" s="89" t="s">
        <v>1110</v>
      </c>
      <c r="H1639" s="5">
        <v>3</v>
      </c>
      <c r="I1639" s="5" t="str">
        <f>VLOOKUP(F1639,'Set up'!$A$2:$C$70,3,FALSE)</f>
        <v>Cash</v>
      </c>
      <c r="J1639" s="5">
        <f>VLOOKUP(F1639,'Set up'!$A$2:$D$70,4,FALSE)</f>
        <v>0</v>
      </c>
      <c r="K1639" s="4">
        <f t="shared" si="381"/>
        <v>45048</v>
      </c>
      <c r="L1639" s="5">
        <f t="shared" si="382"/>
        <v>5</v>
      </c>
      <c r="M1639" s="5">
        <f t="shared" si="383"/>
        <v>2023</v>
      </c>
      <c r="N1639" s="6">
        <v>187.5</v>
      </c>
      <c r="O1639" s="6">
        <f t="shared" si="392"/>
        <v>-187.5</v>
      </c>
      <c r="P1639" s="6">
        <f t="shared" si="387"/>
        <v>0</v>
      </c>
      <c r="Q1639" s="7">
        <f t="shared" si="385"/>
        <v>2991418.6500000008</v>
      </c>
      <c r="R1639" s="44" t="str">
        <f>VLOOKUP(F1639,'Set up'!$A$2:$E$70,5,FALSE)</f>
        <v>Trsf</v>
      </c>
      <c r="S1639" s="1" t="s">
        <v>1582</v>
      </c>
    </row>
    <row r="1640" spans="1:19" x14ac:dyDescent="0.3">
      <c r="A1640" s="4">
        <v>45048</v>
      </c>
      <c r="B1640" s="5">
        <f t="shared" si="379"/>
        <v>5</v>
      </c>
      <c r="C1640" s="5">
        <f t="shared" si="380"/>
        <v>2023</v>
      </c>
      <c r="D1640" s="5" t="s">
        <v>1530</v>
      </c>
      <c r="E1640" s="5" t="str">
        <f>VLOOKUP(F1640,'Set up'!$A$2:$C$70,2,FALSE)</f>
        <v>C00000034</v>
      </c>
      <c r="F1640" s="1" t="s">
        <v>1196</v>
      </c>
      <c r="G1640" s="90" t="s">
        <v>1352</v>
      </c>
      <c r="H1640" s="5">
        <v>5</v>
      </c>
      <c r="I1640" s="5" t="str">
        <f>VLOOKUP(F1640,'Set up'!$A$2:$C$70,3,FALSE)</f>
        <v>Cash</v>
      </c>
      <c r="J1640" s="5">
        <f>VLOOKUP(F1640,'Set up'!$A$2:$D$70,4,FALSE)</f>
        <v>0</v>
      </c>
      <c r="K1640" s="4">
        <f t="shared" si="381"/>
        <v>45048</v>
      </c>
      <c r="L1640" s="5">
        <f t="shared" si="382"/>
        <v>5</v>
      </c>
      <c r="M1640" s="5">
        <f t="shared" si="383"/>
        <v>2023</v>
      </c>
      <c r="N1640" s="6">
        <v>1125</v>
      </c>
      <c r="O1640" s="6">
        <f t="shared" si="392"/>
        <v>-1125</v>
      </c>
      <c r="P1640" s="6">
        <f t="shared" si="387"/>
        <v>0</v>
      </c>
      <c r="Q1640" s="7">
        <f t="shared" si="385"/>
        <v>2992543.6500000008</v>
      </c>
      <c r="R1640" s="44" t="str">
        <f>VLOOKUP(F1640,'Set up'!$A$2:$E$70,5,FALSE)</f>
        <v>Trsf</v>
      </c>
      <c r="S1640" s="1" t="s">
        <v>1582</v>
      </c>
    </row>
    <row r="1641" spans="1:19" x14ac:dyDescent="0.3">
      <c r="A1641" s="4">
        <v>45048</v>
      </c>
      <c r="B1641" s="5">
        <f t="shared" si="379"/>
        <v>5</v>
      </c>
      <c r="C1641" s="5">
        <f t="shared" si="380"/>
        <v>2023</v>
      </c>
      <c r="D1641" s="5" t="s">
        <v>1530</v>
      </c>
      <c r="E1641" s="5" t="str">
        <f>VLOOKUP(F1641,'Set up'!$A$2:$C$70,2,FALSE)</f>
        <v>C00000034</v>
      </c>
      <c r="F1641" s="1" t="s">
        <v>1196</v>
      </c>
      <c r="G1641" s="90" t="s">
        <v>1431</v>
      </c>
      <c r="H1641" s="5">
        <v>2</v>
      </c>
      <c r="I1641" s="5" t="str">
        <f>VLOOKUP(F1641,'Set up'!$A$2:$C$70,3,FALSE)</f>
        <v>Cash</v>
      </c>
      <c r="J1641" s="5">
        <f>VLOOKUP(F1641,'Set up'!$A$2:$D$70,4,FALSE)</f>
        <v>0</v>
      </c>
      <c r="K1641" s="4">
        <f t="shared" si="381"/>
        <v>45048</v>
      </c>
      <c r="L1641" s="5">
        <f t="shared" si="382"/>
        <v>5</v>
      </c>
      <c r="M1641" s="5">
        <f t="shared" si="383"/>
        <v>2023</v>
      </c>
      <c r="N1641" s="6">
        <v>450</v>
      </c>
      <c r="O1641" s="6">
        <f t="shared" si="392"/>
        <v>-450</v>
      </c>
      <c r="P1641" s="6">
        <f t="shared" si="387"/>
        <v>0</v>
      </c>
      <c r="Q1641" s="7">
        <f t="shared" si="385"/>
        <v>2992993.6500000008</v>
      </c>
      <c r="R1641" s="44" t="str">
        <f>VLOOKUP(F1641,'Set up'!$A$2:$E$70,5,FALSE)</f>
        <v>Trsf</v>
      </c>
      <c r="S1641" s="1" t="s">
        <v>1582</v>
      </c>
    </row>
    <row r="1642" spans="1:19" x14ac:dyDescent="0.3">
      <c r="A1642" s="4">
        <v>45048</v>
      </c>
      <c r="B1642" s="5">
        <f t="shared" si="379"/>
        <v>5</v>
      </c>
      <c r="C1642" s="5">
        <f t="shared" si="380"/>
        <v>2023</v>
      </c>
      <c r="D1642" s="5" t="s">
        <v>1530</v>
      </c>
      <c r="E1642" s="5" t="str">
        <f>VLOOKUP(F1642,'Set up'!$A$2:$C$70,2,FALSE)</f>
        <v>C00000034</v>
      </c>
      <c r="F1642" s="1" t="s">
        <v>1196</v>
      </c>
      <c r="G1642" s="90" t="s">
        <v>655</v>
      </c>
      <c r="H1642" s="5">
        <v>1</v>
      </c>
      <c r="I1642" s="5" t="str">
        <f>VLOOKUP(F1642,'Set up'!$A$2:$C$70,3,FALSE)</f>
        <v>Cash</v>
      </c>
      <c r="J1642" s="5">
        <f>VLOOKUP(F1642,'Set up'!$A$2:$D$70,4,FALSE)</f>
        <v>0</v>
      </c>
      <c r="K1642" s="4">
        <f t="shared" si="381"/>
        <v>45048</v>
      </c>
      <c r="L1642" s="5">
        <f t="shared" si="382"/>
        <v>5</v>
      </c>
      <c r="M1642" s="5">
        <f t="shared" si="383"/>
        <v>2023</v>
      </c>
      <c r="N1642" s="6">
        <v>236</v>
      </c>
      <c r="O1642" s="6">
        <f>-235.5-0.5</f>
        <v>-236</v>
      </c>
      <c r="P1642" s="6">
        <f t="shared" si="387"/>
        <v>0</v>
      </c>
      <c r="Q1642" s="7">
        <f t="shared" si="385"/>
        <v>2993229.6500000008</v>
      </c>
      <c r="R1642" s="44" t="str">
        <f>VLOOKUP(F1642,'Set up'!$A$2:$E$70,5,FALSE)</f>
        <v>Trsf</v>
      </c>
      <c r="S1642" s="1" t="s">
        <v>1586</v>
      </c>
    </row>
    <row r="1643" spans="1:19" x14ac:dyDescent="0.3">
      <c r="A1643" s="4">
        <v>45048</v>
      </c>
      <c r="B1643" s="5">
        <f t="shared" si="379"/>
        <v>5</v>
      </c>
      <c r="C1643" s="5">
        <f t="shared" si="380"/>
        <v>2023</v>
      </c>
      <c r="D1643" s="5" t="s">
        <v>1531</v>
      </c>
      <c r="E1643" s="5" t="str">
        <f>VLOOKUP(F1643,'Set up'!$A$2:$C$70,2,FALSE)</f>
        <v>C00000020</v>
      </c>
      <c r="F1643" s="1" t="s">
        <v>409</v>
      </c>
      <c r="G1643" s="89" t="s">
        <v>1110</v>
      </c>
      <c r="H1643" s="5">
        <v>3</v>
      </c>
      <c r="I1643" s="5" t="str">
        <f>VLOOKUP(F1643,'Set up'!$A$2:$C$70,3,FALSE)</f>
        <v>Cash</v>
      </c>
      <c r="J1643" s="5">
        <f>VLOOKUP(F1643,'Set up'!$A$2:$D$70,4,FALSE)</f>
        <v>0</v>
      </c>
      <c r="K1643" s="4">
        <f t="shared" si="381"/>
        <v>45048</v>
      </c>
      <c r="L1643" s="5">
        <f t="shared" si="382"/>
        <v>5</v>
      </c>
      <c r="M1643" s="5">
        <f t="shared" si="383"/>
        <v>2023</v>
      </c>
      <c r="N1643" s="6">
        <v>187.5</v>
      </c>
      <c r="O1643" s="6">
        <f t="shared" ref="O1643:O1649" si="393">-N1643</f>
        <v>-187.5</v>
      </c>
      <c r="P1643" s="6">
        <f t="shared" si="387"/>
        <v>0</v>
      </c>
      <c r="Q1643" s="7">
        <f t="shared" si="385"/>
        <v>2993417.1500000008</v>
      </c>
      <c r="R1643" s="44" t="str">
        <f>VLOOKUP(F1643,'Set up'!$A$2:$E$70,5,FALSE)</f>
        <v>Trsf</v>
      </c>
      <c r="S1643" s="1" t="s">
        <v>2397</v>
      </c>
    </row>
    <row r="1644" spans="1:19" x14ac:dyDescent="0.3">
      <c r="A1644" s="4">
        <v>45048</v>
      </c>
      <c r="B1644" s="5">
        <f t="shared" si="379"/>
        <v>5</v>
      </c>
      <c r="C1644" s="5">
        <f t="shared" si="380"/>
        <v>2023</v>
      </c>
      <c r="D1644" s="5" t="s">
        <v>1532</v>
      </c>
      <c r="E1644" s="5" t="str">
        <f>VLOOKUP(F1644,'Set up'!$A$2:$C$70,2,FALSE)</f>
        <v>C00000020</v>
      </c>
      <c r="F1644" s="1" t="s">
        <v>409</v>
      </c>
      <c r="G1644" s="103" t="s">
        <v>719</v>
      </c>
      <c r="H1644" s="88">
        <v>3</v>
      </c>
      <c r="I1644" s="5" t="str">
        <f>VLOOKUP(F1644,'Set up'!$A$2:$C$70,3,FALSE)</f>
        <v>Cash</v>
      </c>
      <c r="J1644" s="5">
        <f>VLOOKUP(F1644,'Set up'!$A$2:$D$70,4,FALSE)</f>
        <v>0</v>
      </c>
      <c r="K1644" s="4">
        <f t="shared" si="381"/>
        <v>45048</v>
      </c>
      <c r="L1644" s="5">
        <f t="shared" si="382"/>
        <v>5</v>
      </c>
      <c r="M1644" s="5">
        <f t="shared" si="383"/>
        <v>2023</v>
      </c>
      <c r="N1644" s="6">
        <v>5412</v>
      </c>
      <c r="O1644" s="6">
        <f t="shared" si="393"/>
        <v>-5412</v>
      </c>
      <c r="P1644" s="6">
        <f t="shared" si="387"/>
        <v>0</v>
      </c>
      <c r="Q1644" s="7">
        <f t="shared" si="385"/>
        <v>2998829.1500000008</v>
      </c>
      <c r="R1644" s="44" t="str">
        <f>VLOOKUP(F1644,'Set up'!$A$2:$E$70,5,FALSE)</f>
        <v>Trsf</v>
      </c>
      <c r="S1644" s="1" t="s">
        <v>2398</v>
      </c>
    </row>
    <row r="1645" spans="1:19" x14ac:dyDescent="0.3">
      <c r="A1645" s="4">
        <v>45048</v>
      </c>
      <c r="B1645" s="5">
        <f t="shared" si="379"/>
        <v>5</v>
      </c>
      <c r="C1645" s="5">
        <f t="shared" si="380"/>
        <v>2023</v>
      </c>
      <c r="D1645" s="5" t="s">
        <v>1532</v>
      </c>
      <c r="E1645" s="5" t="str">
        <f>VLOOKUP(F1645,'Set up'!$A$2:$C$70,2,FALSE)</f>
        <v>C00000020</v>
      </c>
      <c r="F1645" s="1" t="s">
        <v>409</v>
      </c>
      <c r="G1645" s="90" t="s">
        <v>654</v>
      </c>
      <c r="H1645" s="88">
        <v>10</v>
      </c>
      <c r="I1645" s="5" t="str">
        <f>VLOOKUP(F1645,'Set up'!$A$2:$C$70,3,FALSE)</f>
        <v>Cash</v>
      </c>
      <c r="J1645" s="5">
        <f>VLOOKUP(F1645,'Set up'!$A$2:$D$70,4,FALSE)</f>
        <v>0</v>
      </c>
      <c r="K1645" s="4">
        <f t="shared" si="381"/>
        <v>45048</v>
      </c>
      <c r="L1645" s="5">
        <f t="shared" si="382"/>
        <v>5</v>
      </c>
      <c r="M1645" s="5">
        <f t="shared" si="383"/>
        <v>2023</v>
      </c>
      <c r="N1645" s="6">
        <v>2280</v>
      </c>
      <c r="O1645" s="6">
        <f t="shared" si="393"/>
        <v>-2280</v>
      </c>
      <c r="P1645" s="6">
        <f t="shared" si="387"/>
        <v>0</v>
      </c>
      <c r="Q1645" s="7">
        <f t="shared" si="385"/>
        <v>3001109.1500000008</v>
      </c>
      <c r="R1645" s="44" t="str">
        <f>VLOOKUP(F1645,'Set up'!$A$2:$E$70,5,FALSE)</f>
        <v>Trsf</v>
      </c>
      <c r="S1645" s="1" t="s">
        <v>2399</v>
      </c>
    </row>
    <row r="1646" spans="1:19" x14ac:dyDescent="0.3">
      <c r="A1646" s="4">
        <v>45048</v>
      </c>
      <c r="B1646" s="5">
        <f t="shared" si="379"/>
        <v>5</v>
      </c>
      <c r="C1646" s="5">
        <f t="shared" si="380"/>
        <v>2023</v>
      </c>
      <c r="D1646" s="5" t="s">
        <v>1532</v>
      </c>
      <c r="E1646" s="5" t="str">
        <f>VLOOKUP(F1646,'Set up'!$A$2:$C$70,2,FALSE)</f>
        <v>C00000020</v>
      </c>
      <c r="F1646" s="1" t="s">
        <v>409</v>
      </c>
      <c r="G1646" s="90" t="s">
        <v>1437</v>
      </c>
      <c r="H1646" s="88">
        <v>6</v>
      </c>
      <c r="I1646" s="5" t="str">
        <f>VLOOKUP(F1646,'Set up'!$A$2:$C$70,3,FALSE)</f>
        <v>Cash</v>
      </c>
      <c r="J1646" s="5">
        <f>VLOOKUP(F1646,'Set up'!$A$2:$D$70,4,FALSE)</f>
        <v>0</v>
      </c>
      <c r="K1646" s="4">
        <f t="shared" si="381"/>
        <v>45048</v>
      </c>
      <c r="L1646" s="5">
        <f t="shared" si="382"/>
        <v>5</v>
      </c>
      <c r="M1646" s="5">
        <f t="shared" si="383"/>
        <v>2023</v>
      </c>
      <c r="N1646" s="6">
        <v>1587.6000000000001</v>
      </c>
      <c r="O1646" s="6">
        <f t="shared" si="393"/>
        <v>-1587.6000000000001</v>
      </c>
      <c r="P1646" s="6">
        <f t="shared" si="387"/>
        <v>0</v>
      </c>
      <c r="Q1646" s="7">
        <f t="shared" si="385"/>
        <v>3002696.7500000009</v>
      </c>
      <c r="R1646" s="44" t="str">
        <f>VLOOKUP(F1646,'Set up'!$A$2:$E$70,5,FALSE)</f>
        <v>Trsf</v>
      </c>
      <c r="S1646" s="1" t="s">
        <v>2400</v>
      </c>
    </row>
    <row r="1647" spans="1:19" x14ac:dyDescent="0.3">
      <c r="A1647" s="4">
        <v>45048</v>
      </c>
      <c r="B1647" s="5">
        <f t="shared" si="379"/>
        <v>5</v>
      </c>
      <c r="C1647" s="5">
        <f t="shared" si="380"/>
        <v>2023</v>
      </c>
      <c r="D1647" s="5" t="s">
        <v>1532</v>
      </c>
      <c r="E1647" s="5" t="str">
        <f>VLOOKUP(F1647,'Set up'!$A$2:$C$70,2,FALSE)</f>
        <v>C00000020</v>
      </c>
      <c r="F1647" s="1" t="s">
        <v>409</v>
      </c>
      <c r="G1647" s="90" t="s">
        <v>666</v>
      </c>
      <c r="H1647" s="88">
        <v>4</v>
      </c>
      <c r="I1647" s="5" t="str">
        <f>VLOOKUP(F1647,'Set up'!$A$2:$C$70,3,FALSE)</f>
        <v>Cash</v>
      </c>
      <c r="J1647" s="5">
        <f>VLOOKUP(F1647,'Set up'!$A$2:$D$70,4,FALSE)</f>
        <v>0</v>
      </c>
      <c r="K1647" s="4">
        <f t="shared" si="381"/>
        <v>45048</v>
      </c>
      <c r="L1647" s="5">
        <f t="shared" si="382"/>
        <v>5</v>
      </c>
      <c r="M1647" s="5">
        <f t="shared" si="383"/>
        <v>2023</v>
      </c>
      <c r="N1647" s="6">
        <v>380</v>
      </c>
      <c r="O1647" s="6">
        <f t="shared" si="393"/>
        <v>-380</v>
      </c>
      <c r="P1647" s="6">
        <f t="shared" si="387"/>
        <v>0</v>
      </c>
      <c r="Q1647" s="7">
        <f t="shared" si="385"/>
        <v>3003076.7500000009</v>
      </c>
      <c r="R1647" s="44" t="str">
        <f>VLOOKUP(F1647,'Set up'!$A$2:$E$70,5,FALSE)</f>
        <v>Trsf</v>
      </c>
      <c r="S1647" s="1" t="s">
        <v>2401</v>
      </c>
    </row>
    <row r="1648" spans="1:19" x14ac:dyDescent="0.3">
      <c r="A1648" s="4">
        <v>45048</v>
      </c>
      <c r="B1648" s="5">
        <f t="shared" si="379"/>
        <v>5</v>
      </c>
      <c r="C1648" s="5">
        <f t="shared" si="380"/>
        <v>2023</v>
      </c>
      <c r="D1648" s="5" t="s">
        <v>1532</v>
      </c>
      <c r="E1648" s="5" t="str">
        <f>VLOOKUP(F1648,'Set up'!$A$2:$C$70,2,FALSE)</f>
        <v>C00000020</v>
      </c>
      <c r="F1648" s="1" t="s">
        <v>409</v>
      </c>
      <c r="G1648" s="99" t="s">
        <v>1533</v>
      </c>
      <c r="H1648" s="105">
        <v>1</v>
      </c>
      <c r="I1648" s="5" t="str">
        <f>VLOOKUP(F1648,'Set up'!$A$2:$C$70,3,FALSE)</f>
        <v>Cash</v>
      </c>
      <c r="J1648" s="5">
        <f>VLOOKUP(F1648,'Set up'!$A$2:$D$70,4,FALSE)</f>
        <v>0</v>
      </c>
      <c r="K1648" s="4">
        <f t="shared" si="381"/>
        <v>45048</v>
      </c>
      <c r="L1648" s="5">
        <f t="shared" si="382"/>
        <v>5</v>
      </c>
      <c r="M1648" s="5">
        <f t="shared" si="383"/>
        <v>2023</v>
      </c>
      <c r="N1648" s="6">
        <v>420</v>
      </c>
      <c r="O1648" s="6">
        <f t="shared" si="393"/>
        <v>-420</v>
      </c>
      <c r="P1648" s="6">
        <f t="shared" si="387"/>
        <v>0</v>
      </c>
      <c r="Q1648" s="7">
        <f t="shared" si="385"/>
        <v>3003496.7500000009</v>
      </c>
      <c r="R1648" s="44" t="str">
        <f>VLOOKUP(F1648,'Set up'!$A$2:$E$70,5,FALSE)</f>
        <v>Trsf</v>
      </c>
      <c r="S1648" s="1" t="s">
        <v>2402</v>
      </c>
    </row>
    <row r="1649" spans="1:19" x14ac:dyDescent="0.3">
      <c r="A1649" s="4">
        <v>45052</v>
      </c>
      <c r="B1649" s="5">
        <f t="shared" si="379"/>
        <v>5</v>
      </c>
      <c r="C1649" s="5">
        <f t="shared" si="380"/>
        <v>2023</v>
      </c>
      <c r="D1649" s="5" t="s">
        <v>1534</v>
      </c>
      <c r="E1649" s="5" t="str">
        <f>VLOOKUP(F1649,'Set up'!$A$2:$C$70,2,FALSE)</f>
        <v>C00000027</v>
      </c>
      <c r="F1649" s="1" t="s">
        <v>859</v>
      </c>
      <c r="G1649" s="89" t="s">
        <v>716</v>
      </c>
      <c r="H1649" s="5">
        <v>2</v>
      </c>
      <c r="I1649" s="5" t="str">
        <f>VLOOKUP(F1649,'Set up'!$A$2:$C$70,3,FALSE)</f>
        <v>Cash</v>
      </c>
      <c r="J1649" s="5">
        <f>VLOOKUP(F1649,'Set up'!$A$2:$D$70,4,FALSE)</f>
        <v>0</v>
      </c>
      <c r="K1649" s="4">
        <f t="shared" si="381"/>
        <v>45052</v>
      </c>
      <c r="L1649" s="5">
        <f t="shared" si="382"/>
        <v>5</v>
      </c>
      <c r="M1649" s="5">
        <f t="shared" si="383"/>
        <v>2023</v>
      </c>
      <c r="N1649" s="6">
        <v>3784</v>
      </c>
      <c r="O1649" s="6">
        <f t="shared" si="393"/>
        <v>-3784</v>
      </c>
      <c r="P1649" s="6">
        <f t="shared" si="387"/>
        <v>0</v>
      </c>
      <c r="Q1649" s="7">
        <f t="shared" si="385"/>
        <v>3007280.7500000009</v>
      </c>
      <c r="R1649" s="44" t="str">
        <f>VLOOKUP(F1649,'Set up'!$A$2:$E$70,5,FALSE)</f>
        <v>Trsf</v>
      </c>
      <c r="S1649" s="1" t="s">
        <v>2793</v>
      </c>
    </row>
    <row r="1650" spans="1:19" x14ac:dyDescent="0.3">
      <c r="A1650" s="4">
        <v>45054</v>
      </c>
      <c r="B1650" s="5">
        <f t="shared" si="379"/>
        <v>5</v>
      </c>
      <c r="C1650" s="5">
        <f t="shared" si="380"/>
        <v>2023</v>
      </c>
      <c r="D1650" s="5" t="s">
        <v>1535</v>
      </c>
      <c r="E1650" s="5" t="str">
        <f>VLOOKUP(F1650,'Set up'!$A$2:$C$70,2,FALSE)</f>
        <v>C00000034</v>
      </c>
      <c r="F1650" s="1" t="s">
        <v>1196</v>
      </c>
      <c r="G1650" s="11" t="s">
        <v>301</v>
      </c>
      <c r="H1650" s="106">
        <v>1</v>
      </c>
      <c r="I1650" s="5" t="str">
        <f>VLOOKUP(F1650,'Set up'!$A$2:$C$70,3,FALSE)</f>
        <v>Cash</v>
      </c>
      <c r="J1650" s="5">
        <f>VLOOKUP(F1650,'Set up'!$A$2:$D$70,4,FALSE)</f>
        <v>0</v>
      </c>
      <c r="K1650" s="4">
        <f t="shared" si="381"/>
        <v>45054</v>
      </c>
      <c r="L1650" s="5">
        <f t="shared" si="382"/>
        <v>5</v>
      </c>
      <c r="M1650" s="5">
        <f t="shared" si="383"/>
        <v>2023</v>
      </c>
      <c r="N1650" s="6">
        <v>1912.5</v>
      </c>
      <c r="O1650" s="6">
        <f t="shared" ref="O1650:O1652" si="394">-N1650</f>
        <v>-1912.5</v>
      </c>
      <c r="P1650" s="6">
        <f t="shared" si="387"/>
        <v>0</v>
      </c>
      <c r="Q1650" s="7">
        <f t="shared" si="385"/>
        <v>3009193.2500000009</v>
      </c>
      <c r="R1650" s="44" t="str">
        <f>VLOOKUP(F1650,'Set up'!$A$2:$E$70,5,FALSE)</f>
        <v>Trsf</v>
      </c>
      <c r="S1650" s="1" t="s">
        <v>1587</v>
      </c>
    </row>
    <row r="1651" spans="1:19" x14ac:dyDescent="0.3">
      <c r="A1651" s="4">
        <v>45054</v>
      </c>
      <c r="B1651" s="5">
        <f t="shared" si="379"/>
        <v>5</v>
      </c>
      <c r="C1651" s="5">
        <f t="shared" si="380"/>
        <v>2023</v>
      </c>
      <c r="D1651" s="5" t="s">
        <v>1535</v>
      </c>
      <c r="E1651" s="5" t="str">
        <f>VLOOKUP(F1651,'Set up'!$A$2:$C$70,2,FALSE)</f>
        <v>C00000034</v>
      </c>
      <c r="F1651" s="1" t="s">
        <v>1196</v>
      </c>
      <c r="G1651" s="11" t="s">
        <v>1061</v>
      </c>
      <c r="H1651" s="106">
        <v>1</v>
      </c>
      <c r="I1651" s="5" t="str">
        <f>VLOOKUP(F1651,'Set up'!$A$2:$C$70,3,FALSE)</f>
        <v>Cash</v>
      </c>
      <c r="J1651" s="5">
        <f>VLOOKUP(F1651,'Set up'!$A$2:$D$70,4,FALSE)</f>
        <v>0</v>
      </c>
      <c r="K1651" s="4">
        <f t="shared" si="381"/>
        <v>45054</v>
      </c>
      <c r="L1651" s="5">
        <f t="shared" si="382"/>
        <v>5</v>
      </c>
      <c r="M1651" s="5">
        <f t="shared" si="383"/>
        <v>2023</v>
      </c>
      <c r="N1651" s="6">
        <v>100</v>
      </c>
      <c r="O1651" s="6">
        <f t="shared" si="394"/>
        <v>-100</v>
      </c>
      <c r="P1651" s="6">
        <f t="shared" si="387"/>
        <v>0</v>
      </c>
      <c r="Q1651" s="7">
        <f t="shared" si="385"/>
        <v>3009293.2500000009</v>
      </c>
      <c r="R1651" s="44" t="str">
        <f>VLOOKUP(F1651,'Set up'!$A$2:$E$70,5,FALSE)</f>
        <v>Trsf</v>
      </c>
      <c r="S1651" s="1" t="s">
        <v>1588</v>
      </c>
    </row>
    <row r="1652" spans="1:19" x14ac:dyDescent="0.3">
      <c r="A1652" s="4">
        <v>45054</v>
      </c>
      <c r="B1652" s="5">
        <f t="shared" si="379"/>
        <v>5</v>
      </c>
      <c r="C1652" s="5">
        <f t="shared" si="380"/>
        <v>2023</v>
      </c>
      <c r="D1652" s="5" t="s">
        <v>1535</v>
      </c>
      <c r="E1652" s="5" t="str">
        <f>VLOOKUP(F1652,'Set up'!$A$2:$C$70,2,FALSE)</f>
        <v>C00000034</v>
      </c>
      <c r="F1652" s="1" t="s">
        <v>1196</v>
      </c>
      <c r="G1652" s="89" t="s">
        <v>1110</v>
      </c>
      <c r="H1652" s="106">
        <v>4</v>
      </c>
      <c r="I1652" s="5" t="str">
        <f>VLOOKUP(F1652,'Set up'!$A$2:$C$70,3,FALSE)</f>
        <v>Cash</v>
      </c>
      <c r="J1652" s="5">
        <f>VLOOKUP(F1652,'Set up'!$A$2:$D$70,4,FALSE)</f>
        <v>0</v>
      </c>
      <c r="K1652" s="4">
        <f t="shared" si="381"/>
        <v>45054</v>
      </c>
      <c r="L1652" s="5">
        <f t="shared" si="382"/>
        <v>5</v>
      </c>
      <c r="M1652" s="5">
        <f t="shared" si="383"/>
        <v>2023</v>
      </c>
      <c r="N1652" s="6">
        <v>250</v>
      </c>
      <c r="O1652" s="6">
        <f t="shared" si="394"/>
        <v>-250</v>
      </c>
      <c r="P1652" s="6">
        <f t="shared" si="387"/>
        <v>0</v>
      </c>
      <c r="Q1652" s="7">
        <f t="shared" si="385"/>
        <v>3009543.2500000009</v>
      </c>
      <c r="R1652" s="44" t="str">
        <f>VLOOKUP(F1652,'Set up'!$A$2:$E$70,5,FALSE)</f>
        <v>Trsf</v>
      </c>
      <c r="S1652" s="1" t="s">
        <v>1589</v>
      </c>
    </row>
    <row r="1653" spans="1:19" x14ac:dyDescent="0.3">
      <c r="A1653" s="110">
        <v>45054</v>
      </c>
      <c r="B1653" s="5">
        <f t="shared" si="379"/>
        <v>5</v>
      </c>
      <c r="C1653" s="5">
        <f t="shared" si="380"/>
        <v>2023</v>
      </c>
      <c r="D1653" s="111" t="s">
        <v>1535</v>
      </c>
      <c r="E1653" s="5" t="str">
        <f>VLOOKUP(F1653,'Set up'!$A$2:$C$70,2,FALSE)</f>
        <v>C00000034</v>
      </c>
      <c r="F1653" s="112" t="s">
        <v>1196</v>
      </c>
      <c r="G1653" s="113" t="s">
        <v>1536</v>
      </c>
      <c r="H1653" s="114">
        <v>4</v>
      </c>
      <c r="I1653" s="5" t="str">
        <f>VLOOKUP(F1653,'Set up'!$A$2:$C$70,3,FALSE)</f>
        <v>Cash</v>
      </c>
      <c r="J1653" s="5">
        <f>VLOOKUP(F1653,'Set up'!$A$2:$D$70,4,FALSE)</f>
        <v>0</v>
      </c>
      <c r="K1653" s="4">
        <f t="shared" si="381"/>
        <v>45054</v>
      </c>
      <c r="L1653" s="5">
        <f t="shared" si="382"/>
        <v>5</v>
      </c>
      <c r="M1653" s="5">
        <f t="shared" si="383"/>
        <v>2023</v>
      </c>
      <c r="N1653" s="115">
        <v>640</v>
      </c>
      <c r="O1653" s="116">
        <f>-640</f>
        <v>-640</v>
      </c>
      <c r="P1653" s="91">
        <f>SUM(N1653+O1653)</f>
        <v>0</v>
      </c>
      <c r="Q1653" s="7">
        <f t="shared" si="385"/>
        <v>3010183.2500000009</v>
      </c>
      <c r="R1653" s="44" t="str">
        <f>VLOOKUP(F1653,'Set up'!$A$2:$E$70,5,FALSE)</f>
        <v>Trsf</v>
      </c>
      <c r="S1653" s="1" t="s">
        <v>1590</v>
      </c>
    </row>
    <row r="1654" spans="1:19" x14ac:dyDescent="0.3">
      <c r="A1654" s="4">
        <v>45054</v>
      </c>
      <c r="B1654" s="5">
        <f t="shared" si="379"/>
        <v>5</v>
      </c>
      <c r="C1654" s="5">
        <f t="shared" si="380"/>
        <v>2023</v>
      </c>
      <c r="D1654" s="5" t="s">
        <v>1537</v>
      </c>
      <c r="E1654" s="5" t="str">
        <f>VLOOKUP(F1654,'Set up'!$A$2:$C$70,2,FALSE)</f>
        <v>C00000009</v>
      </c>
      <c r="F1654" s="1" t="s">
        <v>58</v>
      </c>
      <c r="G1654" s="89" t="s">
        <v>46</v>
      </c>
      <c r="H1654" s="88">
        <v>2</v>
      </c>
      <c r="I1654" s="5">
        <f>VLOOKUP(F1654,'Set up'!$A$2:$C$70,3,FALSE)</f>
        <v>60</v>
      </c>
      <c r="J1654" s="5">
        <f>VLOOKUP(F1654,'Set up'!$A$2:$D$70,4,FALSE)</f>
        <v>60</v>
      </c>
      <c r="K1654" s="4">
        <f t="shared" si="381"/>
        <v>45114</v>
      </c>
      <c r="L1654" s="5">
        <f t="shared" si="382"/>
        <v>7</v>
      </c>
      <c r="M1654" s="5">
        <f t="shared" si="383"/>
        <v>2023</v>
      </c>
      <c r="N1654" s="6">
        <v>220</v>
      </c>
      <c r="O1654" s="6">
        <f t="shared" ref="O1654:O1655" si="395">-N1654</f>
        <v>-220</v>
      </c>
      <c r="P1654" s="6">
        <f t="shared" si="387"/>
        <v>0</v>
      </c>
      <c r="Q1654" s="7">
        <f t="shared" si="385"/>
        <v>3010403.2500000009</v>
      </c>
      <c r="R1654" s="44" t="str">
        <f>VLOOKUP(F1654,'Set up'!$A$2:$E$70,5,FALSE)</f>
        <v>Chq</v>
      </c>
      <c r="S1654" s="1" t="s">
        <v>2087</v>
      </c>
    </row>
    <row r="1655" spans="1:19" x14ac:dyDescent="0.3">
      <c r="A1655" s="4">
        <v>45054</v>
      </c>
      <c r="B1655" s="5">
        <f t="shared" si="379"/>
        <v>5</v>
      </c>
      <c r="C1655" s="5">
        <f t="shared" si="380"/>
        <v>2023</v>
      </c>
      <c r="D1655" s="5" t="s">
        <v>1538</v>
      </c>
      <c r="E1655" s="5" t="str">
        <f>VLOOKUP(F1655,'Set up'!$A$2:$C$70,2,FALSE)</f>
        <v>C00000020</v>
      </c>
      <c r="F1655" s="1" t="s">
        <v>409</v>
      </c>
      <c r="G1655" s="89" t="s">
        <v>1110</v>
      </c>
      <c r="H1655" s="5">
        <v>15</v>
      </c>
      <c r="I1655" s="5" t="str">
        <f>VLOOKUP(F1655,'Set up'!$A$2:$C$70,3,FALSE)</f>
        <v>Cash</v>
      </c>
      <c r="J1655" s="5">
        <f>VLOOKUP(F1655,'Set up'!$A$2:$D$70,4,FALSE)</f>
        <v>0</v>
      </c>
      <c r="K1655" s="4">
        <f t="shared" si="381"/>
        <v>45054</v>
      </c>
      <c r="L1655" s="5">
        <f t="shared" si="382"/>
        <v>5</v>
      </c>
      <c r="M1655" s="5">
        <f t="shared" si="383"/>
        <v>2023</v>
      </c>
      <c r="N1655" s="6">
        <v>937.5</v>
      </c>
      <c r="O1655" s="6">
        <f t="shared" si="395"/>
        <v>-937.5</v>
      </c>
      <c r="P1655" s="6">
        <f t="shared" si="387"/>
        <v>0</v>
      </c>
      <c r="Q1655" s="7">
        <f t="shared" si="385"/>
        <v>3011340.7500000009</v>
      </c>
      <c r="R1655" s="44" t="str">
        <f>VLOOKUP(F1655,'Set up'!$A$2:$E$70,5,FALSE)</f>
        <v>Trsf</v>
      </c>
      <c r="S1655" s="1" t="s">
        <v>2403</v>
      </c>
    </row>
    <row r="1656" spans="1:19" x14ac:dyDescent="0.3">
      <c r="A1656" s="4">
        <v>45054</v>
      </c>
      <c r="B1656" s="5">
        <f t="shared" si="379"/>
        <v>5</v>
      </c>
      <c r="C1656" s="5">
        <f t="shared" si="380"/>
        <v>2023</v>
      </c>
      <c r="D1656" s="5" t="s">
        <v>1539</v>
      </c>
      <c r="E1656" s="5" t="str">
        <f>VLOOKUP(F1656,'Set up'!$A$2:$C$70,2,FALSE)</f>
        <v>C00000020</v>
      </c>
      <c r="F1656" s="1" t="s">
        <v>409</v>
      </c>
      <c r="G1656" s="89" t="s">
        <v>719</v>
      </c>
      <c r="H1656" s="5">
        <v>15</v>
      </c>
      <c r="I1656" s="5" t="str">
        <f>VLOOKUP(F1656,'Set up'!$A$2:$C$70,3,FALSE)</f>
        <v>Cash</v>
      </c>
      <c r="J1656" s="5">
        <f>VLOOKUP(F1656,'Set up'!$A$2:$D$70,4,FALSE)</f>
        <v>0</v>
      </c>
      <c r="K1656" s="4">
        <f t="shared" si="381"/>
        <v>45054</v>
      </c>
      <c r="L1656" s="5">
        <f t="shared" si="382"/>
        <v>5</v>
      </c>
      <c r="M1656" s="5">
        <f t="shared" si="383"/>
        <v>2023</v>
      </c>
      <c r="N1656" s="6">
        <v>27060</v>
      </c>
      <c r="O1656" s="6">
        <f>-8104.1-18955.9</f>
        <v>-27060</v>
      </c>
      <c r="P1656" s="6">
        <f t="shared" si="387"/>
        <v>0</v>
      </c>
      <c r="Q1656" s="7">
        <f t="shared" si="385"/>
        <v>3038400.7500000009</v>
      </c>
      <c r="R1656" s="44" t="str">
        <f>VLOOKUP(F1656,'Set up'!$A$2:$E$70,5,FALSE)</f>
        <v>Trsf</v>
      </c>
      <c r="S1656" s="1" t="s">
        <v>2460</v>
      </c>
    </row>
    <row r="1657" spans="1:19" x14ac:dyDescent="0.3">
      <c r="A1657" s="4">
        <v>45054</v>
      </c>
      <c r="B1657" s="5">
        <f t="shared" si="379"/>
        <v>5</v>
      </c>
      <c r="C1657" s="5">
        <f t="shared" si="380"/>
        <v>2023</v>
      </c>
      <c r="D1657" s="5" t="s">
        <v>1539</v>
      </c>
      <c r="E1657" s="5" t="str">
        <f>VLOOKUP(F1657,'Set up'!$A$2:$C$70,2,FALSE)</f>
        <v>C00000020</v>
      </c>
      <c r="F1657" s="1" t="s">
        <v>409</v>
      </c>
      <c r="G1657" s="89" t="s">
        <v>654</v>
      </c>
      <c r="H1657" s="5">
        <v>45</v>
      </c>
      <c r="I1657" s="5" t="str">
        <f>VLOOKUP(F1657,'Set up'!$A$2:$C$70,3,FALSE)</f>
        <v>Cash</v>
      </c>
      <c r="J1657" s="5">
        <f>VLOOKUP(F1657,'Set up'!$A$2:$D$70,4,FALSE)</f>
        <v>0</v>
      </c>
      <c r="K1657" s="4">
        <f t="shared" si="381"/>
        <v>45054</v>
      </c>
      <c r="L1657" s="5">
        <f t="shared" si="382"/>
        <v>5</v>
      </c>
      <c r="M1657" s="5">
        <f t="shared" si="383"/>
        <v>2023</v>
      </c>
      <c r="N1657" s="6">
        <v>10260</v>
      </c>
      <c r="O1657" s="6">
        <f>-10044.1-215.9</f>
        <v>-10260</v>
      </c>
      <c r="P1657" s="6">
        <f t="shared" si="387"/>
        <v>0</v>
      </c>
      <c r="Q1657" s="7">
        <f t="shared" si="385"/>
        <v>3048660.7500000009</v>
      </c>
      <c r="R1657" s="44" t="str">
        <f>VLOOKUP(F1657,'Set up'!$A$2:$E$70,5,FALSE)</f>
        <v>Trsf</v>
      </c>
      <c r="S1657" s="1" t="s">
        <v>2461</v>
      </c>
    </row>
    <row r="1658" spans="1:19" x14ac:dyDescent="0.3">
      <c r="A1658" s="4">
        <v>45054</v>
      </c>
      <c r="B1658" s="5">
        <f t="shared" si="379"/>
        <v>5</v>
      </c>
      <c r="C1658" s="5">
        <f t="shared" si="380"/>
        <v>2023</v>
      </c>
      <c r="D1658" s="5" t="s">
        <v>1539</v>
      </c>
      <c r="E1658" s="5" t="str">
        <f>VLOOKUP(F1658,'Set up'!$A$2:$C$70,2,FALSE)</f>
        <v>C00000020</v>
      </c>
      <c r="F1658" s="1" t="s">
        <v>409</v>
      </c>
      <c r="G1658" s="89" t="s">
        <v>1437</v>
      </c>
      <c r="H1658" s="5">
        <v>22</v>
      </c>
      <c r="I1658" s="5" t="str">
        <f>VLOOKUP(F1658,'Set up'!$A$2:$C$70,3,FALSE)</f>
        <v>Cash</v>
      </c>
      <c r="J1658" s="5">
        <f>VLOOKUP(F1658,'Set up'!$A$2:$D$70,4,FALSE)</f>
        <v>0</v>
      </c>
      <c r="K1658" s="4">
        <f t="shared" si="381"/>
        <v>45054</v>
      </c>
      <c r="L1658" s="5">
        <f t="shared" si="382"/>
        <v>5</v>
      </c>
      <c r="M1658" s="5">
        <f t="shared" si="383"/>
        <v>2023</v>
      </c>
      <c r="N1658" s="6">
        <v>5821.2000000000007</v>
      </c>
      <c r="O1658" s="6">
        <f t="shared" ref="O1658:O1659" si="396">-N1658</f>
        <v>-5821.2000000000007</v>
      </c>
      <c r="P1658" s="6">
        <f t="shared" si="387"/>
        <v>0</v>
      </c>
      <c r="Q1658" s="7">
        <f t="shared" si="385"/>
        <v>3054481.9500000011</v>
      </c>
      <c r="R1658" s="44" t="str">
        <f>VLOOKUP(F1658,'Set up'!$A$2:$E$70,5,FALSE)</f>
        <v>Trsf</v>
      </c>
      <c r="S1658" s="1" t="s">
        <v>2462</v>
      </c>
    </row>
    <row r="1659" spans="1:19" x14ac:dyDescent="0.3">
      <c r="A1659" s="4">
        <v>45054</v>
      </c>
      <c r="B1659" s="5">
        <f t="shared" si="379"/>
        <v>5</v>
      </c>
      <c r="C1659" s="5">
        <f t="shared" si="380"/>
        <v>2023</v>
      </c>
      <c r="D1659" s="5" t="s">
        <v>1539</v>
      </c>
      <c r="E1659" s="5" t="str">
        <f>VLOOKUP(F1659,'Set up'!$A$2:$C$70,2,FALSE)</f>
        <v>C00000020</v>
      </c>
      <c r="F1659" s="1" t="s">
        <v>409</v>
      </c>
      <c r="G1659" s="89" t="s">
        <v>1061</v>
      </c>
      <c r="H1659" s="5">
        <v>8</v>
      </c>
      <c r="I1659" s="5" t="str">
        <f>VLOOKUP(F1659,'Set up'!$A$2:$C$70,3,FALSE)</f>
        <v>Cash</v>
      </c>
      <c r="J1659" s="5">
        <f>VLOOKUP(F1659,'Set up'!$A$2:$D$70,4,FALSE)</f>
        <v>0</v>
      </c>
      <c r="K1659" s="4">
        <f t="shared" si="381"/>
        <v>45054</v>
      </c>
      <c r="L1659" s="5">
        <f t="shared" si="382"/>
        <v>5</v>
      </c>
      <c r="M1659" s="5">
        <f t="shared" si="383"/>
        <v>2023</v>
      </c>
      <c r="N1659" s="6">
        <v>760</v>
      </c>
      <c r="O1659" s="6">
        <f t="shared" si="396"/>
        <v>-760</v>
      </c>
      <c r="P1659" s="6">
        <f t="shared" si="387"/>
        <v>0</v>
      </c>
      <c r="Q1659" s="7">
        <f t="shared" si="385"/>
        <v>3055241.9500000011</v>
      </c>
      <c r="R1659" s="44" t="str">
        <f>VLOOKUP(F1659,'Set up'!$A$2:$E$70,5,FALSE)</f>
        <v>Trsf</v>
      </c>
      <c r="S1659" s="1" t="s">
        <v>2463</v>
      </c>
    </row>
    <row r="1660" spans="1:19" x14ac:dyDescent="0.3">
      <c r="A1660" s="4">
        <v>45054</v>
      </c>
      <c r="B1660" s="5">
        <f t="shared" si="379"/>
        <v>5</v>
      </c>
      <c r="C1660" s="5">
        <f t="shared" si="380"/>
        <v>2023</v>
      </c>
      <c r="D1660" s="5" t="s">
        <v>1539</v>
      </c>
      <c r="E1660" s="5" t="str">
        <f>VLOOKUP(F1660,'Set up'!$A$2:$C$70,2,FALSE)</f>
        <v>C00000020</v>
      </c>
      <c r="F1660" s="1" t="s">
        <v>409</v>
      </c>
      <c r="G1660" s="89" t="s">
        <v>1073</v>
      </c>
      <c r="H1660" s="5">
        <v>2</v>
      </c>
      <c r="I1660" s="5" t="str">
        <f>VLOOKUP(F1660,'Set up'!$A$2:$C$70,3,FALSE)</f>
        <v>Cash</v>
      </c>
      <c r="J1660" s="5">
        <f>VLOOKUP(F1660,'Set up'!$A$2:$D$70,4,FALSE)</f>
        <v>0</v>
      </c>
      <c r="K1660" s="4">
        <f t="shared" si="381"/>
        <v>45054</v>
      </c>
      <c r="L1660" s="5">
        <f t="shared" si="382"/>
        <v>5</v>
      </c>
      <c r="M1660" s="5">
        <f t="shared" si="383"/>
        <v>2023</v>
      </c>
      <c r="N1660" s="6">
        <v>2000</v>
      </c>
      <c r="O1660" s="6">
        <f>-1202.9-797.1</f>
        <v>-2000</v>
      </c>
      <c r="P1660" s="6">
        <f t="shared" si="387"/>
        <v>0</v>
      </c>
      <c r="Q1660" s="7">
        <f t="shared" si="385"/>
        <v>3057241.9500000011</v>
      </c>
      <c r="R1660" s="44" t="str">
        <f>VLOOKUP(F1660,'Set up'!$A$2:$E$70,5,FALSE)</f>
        <v>Trsf</v>
      </c>
      <c r="S1660" s="1" t="s">
        <v>2464</v>
      </c>
    </row>
    <row r="1661" spans="1:19" x14ac:dyDescent="0.3">
      <c r="A1661" s="4">
        <v>45054</v>
      </c>
      <c r="B1661" s="5">
        <f t="shared" si="379"/>
        <v>5</v>
      </c>
      <c r="C1661" s="5">
        <f t="shared" si="380"/>
        <v>2023</v>
      </c>
      <c r="D1661" s="5" t="s">
        <v>1540</v>
      </c>
      <c r="E1661" s="5" t="str">
        <f>VLOOKUP(F1661,'Set up'!$A$2:$C$70,2,FALSE)</f>
        <v>C00000014</v>
      </c>
      <c r="F1661" s="1" t="s">
        <v>262</v>
      </c>
      <c r="G1661" s="89" t="s">
        <v>303</v>
      </c>
      <c r="H1661" s="5">
        <v>3</v>
      </c>
      <c r="I1661" s="5" t="str">
        <f>VLOOKUP(F1661,'Set up'!$A$2:$C$70,3,FALSE)</f>
        <v>Cash</v>
      </c>
      <c r="J1661" s="5">
        <f>VLOOKUP(F1661,'Set up'!$A$2:$D$70,4,FALSE)</f>
        <v>0</v>
      </c>
      <c r="K1661" s="4">
        <f t="shared" si="381"/>
        <v>45054</v>
      </c>
      <c r="L1661" s="5">
        <f t="shared" si="382"/>
        <v>5</v>
      </c>
      <c r="M1661" s="5">
        <f t="shared" si="383"/>
        <v>2023</v>
      </c>
      <c r="N1661" s="6">
        <v>5412</v>
      </c>
      <c r="O1661" s="6">
        <f t="shared" ref="O1661:O1668" si="397">-N1661</f>
        <v>-5412</v>
      </c>
      <c r="P1661" s="6">
        <f t="shared" si="387"/>
        <v>0</v>
      </c>
      <c r="Q1661" s="7">
        <f t="shared" si="385"/>
        <v>3062653.9500000011</v>
      </c>
      <c r="R1661" s="44" t="str">
        <f>VLOOKUP(F1661,'Set up'!$A$2:$E$70,5,FALSE)</f>
        <v>Cash</v>
      </c>
      <c r="S1661" s="1" t="s">
        <v>1594</v>
      </c>
    </row>
    <row r="1662" spans="1:19" x14ac:dyDescent="0.3">
      <c r="A1662" s="4">
        <v>45054</v>
      </c>
      <c r="B1662" s="5">
        <f t="shared" si="379"/>
        <v>5</v>
      </c>
      <c r="C1662" s="5">
        <f t="shared" si="380"/>
        <v>2023</v>
      </c>
      <c r="D1662" s="5" t="s">
        <v>1540</v>
      </c>
      <c r="E1662" s="5" t="str">
        <f>VLOOKUP(F1662,'Set up'!$A$2:$C$70,2,FALSE)</f>
        <v>C00000014</v>
      </c>
      <c r="F1662" s="1" t="s">
        <v>262</v>
      </c>
      <c r="G1662" s="89" t="s">
        <v>988</v>
      </c>
      <c r="H1662" s="5">
        <v>5</v>
      </c>
      <c r="I1662" s="5" t="str">
        <f>VLOOKUP(F1662,'Set up'!$A$2:$C$70,3,FALSE)</f>
        <v>Cash</v>
      </c>
      <c r="J1662" s="5">
        <f>VLOOKUP(F1662,'Set up'!$A$2:$D$70,4,FALSE)</f>
        <v>0</v>
      </c>
      <c r="K1662" s="4">
        <f t="shared" si="381"/>
        <v>45054</v>
      </c>
      <c r="L1662" s="5">
        <f t="shared" si="382"/>
        <v>5</v>
      </c>
      <c r="M1662" s="5">
        <f t="shared" si="383"/>
        <v>2023</v>
      </c>
      <c r="N1662" s="6">
        <v>1185</v>
      </c>
      <c r="O1662" s="6">
        <f t="shared" si="397"/>
        <v>-1185</v>
      </c>
      <c r="P1662" s="6">
        <f t="shared" si="387"/>
        <v>0</v>
      </c>
      <c r="Q1662" s="7">
        <f t="shared" si="385"/>
        <v>3063838.9500000011</v>
      </c>
      <c r="R1662" s="44" t="str">
        <f>VLOOKUP(F1662,'Set up'!$A$2:$E$70,5,FALSE)</f>
        <v>Cash</v>
      </c>
      <c r="S1662" s="1" t="s">
        <v>1594</v>
      </c>
    </row>
    <row r="1663" spans="1:19" x14ac:dyDescent="0.3">
      <c r="A1663" s="4">
        <v>45054</v>
      </c>
      <c r="B1663" s="5">
        <f t="shared" si="379"/>
        <v>5</v>
      </c>
      <c r="C1663" s="5">
        <f t="shared" si="380"/>
        <v>2023</v>
      </c>
      <c r="D1663" s="5" t="s">
        <v>1540</v>
      </c>
      <c r="E1663" s="5" t="str">
        <f>VLOOKUP(F1663,'Set up'!$A$2:$C$70,2,FALSE)</f>
        <v>C00000014</v>
      </c>
      <c r="F1663" s="1" t="s">
        <v>262</v>
      </c>
      <c r="G1663" s="89" t="s">
        <v>894</v>
      </c>
      <c r="H1663" s="5">
        <v>4</v>
      </c>
      <c r="I1663" s="5" t="str">
        <f>VLOOKUP(F1663,'Set up'!$A$2:$C$70,3,FALSE)</f>
        <v>Cash</v>
      </c>
      <c r="J1663" s="5">
        <f>VLOOKUP(F1663,'Set up'!$A$2:$D$70,4,FALSE)</f>
        <v>0</v>
      </c>
      <c r="K1663" s="4">
        <f t="shared" si="381"/>
        <v>45054</v>
      </c>
      <c r="L1663" s="5">
        <f t="shared" si="382"/>
        <v>5</v>
      </c>
      <c r="M1663" s="5">
        <f t="shared" si="383"/>
        <v>2023</v>
      </c>
      <c r="N1663" s="6">
        <v>640</v>
      </c>
      <c r="O1663" s="6">
        <f t="shared" si="397"/>
        <v>-640</v>
      </c>
      <c r="P1663" s="6">
        <f t="shared" si="387"/>
        <v>0</v>
      </c>
      <c r="Q1663" s="7">
        <f t="shared" si="385"/>
        <v>3064478.9500000011</v>
      </c>
      <c r="R1663" s="44" t="str">
        <f>VLOOKUP(F1663,'Set up'!$A$2:$E$70,5,FALSE)</f>
        <v>Cash</v>
      </c>
      <c r="S1663" s="1" t="s">
        <v>1594</v>
      </c>
    </row>
    <row r="1664" spans="1:19" x14ac:dyDescent="0.3">
      <c r="A1664" s="4">
        <v>45054</v>
      </c>
      <c r="B1664" s="5">
        <f t="shared" si="379"/>
        <v>5</v>
      </c>
      <c r="C1664" s="5">
        <f t="shared" si="380"/>
        <v>2023</v>
      </c>
      <c r="D1664" s="5" t="s">
        <v>1540</v>
      </c>
      <c r="E1664" s="5" t="str">
        <f>VLOOKUP(F1664,'Set up'!$A$2:$C$70,2,FALSE)</f>
        <v>C00000014</v>
      </c>
      <c r="F1664" s="1" t="s">
        <v>262</v>
      </c>
      <c r="G1664" s="89" t="s">
        <v>1110</v>
      </c>
      <c r="H1664" s="5">
        <v>3</v>
      </c>
      <c r="I1664" s="5" t="str">
        <f>VLOOKUP(F1664,'Set up'!$A$2:$C$70,3,FALSE)</f>
        <v>Cash</v>
      </c>
      <c r="J1664" s="5">
        <f>VLOOKUP(F1664,'Set up'!$A$2:$D$70,4,FALSE)</f>
        <v>0</v>
      </c>
      <c r="K1664" s="4">
        <f t="shared" si="381"/>
        <v>45054</v>
      </c>
      <c r="L1664" s="5">
        <f t="shared" si="382"/>
        <v>5</v>
      </c>
      <c r="M1664" s="5">
        <f t="shared" si="383"/>
        <v>2023</v>
      </c>
      <c r="N1664" s="6">
        <v>187.5</v>
      </c>
      <c r="O1664" s="6">
        <f t="shared" si="397"/>
        <v>-187.5</v>
      </c>
      <c r="P1664" s="6">
        <f t="shared" si="387"/>
        <v>0</v>
      </c>
      <c r="Q1664" s="7">
        <f t="shared" si="385"/>
        <v>3064666.4500000011</v>
      </c>
      <c r="R1664" s="44" t="str">
        <f>VLOOKUP(F1664,'Set up'!$A$2:$E$70,5,FALSE)</f>
        <v>Cash</v>
      </c>
      <c r="S1664" s="1" t="s">
        <v>1594</v>
      </c>
    </row>
    <row r="1665" spans="1:19" x14ac:dyDescent="0.3">
      <c r="A1665" s="4">
        <v>45054</v>
      </c>
      <c r="B1665" s="5">
        <f t="shared" si="379"/>
        <v>5</v>
      </c>
      <c r="C1665" s="5">
        <f t="shared" si="380"/>
        <v>2023</v>
      </c>
      <c r="D1665" s="5" t="s">
        <v>1540</v>
      </c>
      <c r="E1665" s="5" t="str">
        <f>VLOOKUP(F1665,'Set up'!$A$2:$C$70,2,FALSE)</f>
        <v>C00000014</v>
      </c>
      <c r="F1665" s="1" t="s">
        <v>262</v>
      </c>
      <c r="G1665" s="89" t="s">
        <v>865</v>
      </c>
      <c r="H1665" s="5">
        <v>6</v>
      </c>
      <c r="I1665" s="5" t="str">
        <f>VLOOKUP(F1665,'Set up'!$A$2:$C$70,3,FALSE)</f>
        <v>Cash</v>
      </c>
      <c r="J1665" s="5">
        <f>VLOOKUP(F1665,'Set up'!$A$2:$D$70,4,FALSE)</f>
        <v>0</v>
      </c>
      <c r="K1665" s="4">
        <f t="shared" si="381"/>
        <v>45054</v>
      </c>
      <c r="L1665" s="5">
        <f t="shared" si="382"/>
        <v>5</v>
      </c>
      <c r="M1665" s="5">
        <f t="shared" si="383"/>
        <v>2023</v>
      </c>
      <c r="N1665" s="6">
        <v>1548</v>
      </c>
      <c r="O1665" s="6">
        <f t="shared" si="397"/>
        <v>-1548</v>
      </c>
      <c r="P1665" s="6">
        <f t="shared" si="387"/>
        <v>0</v>
      </c>
      <c r="Q1665" s="7">
        <f t="shared" si="385"/>
        <v>3066214.4500000011</v>
      </c>
      <c r="R1665" s="44" t="str">
        <f>VLOOKUP(F1665,'Set up'!$A$2:$E$70,5,FALSE)</f>
        <v>Cash</v>
      </c>
      <c r="S1665" s="1" t="s">
        <v>1594</v>
      </c>
    </row>
    <row r="1666" spans="1:19" x14ac:dyDescent="0.3">
      <c r="A1666" s="4">
        <v>45054</v>
      </c>
      <c r="B1666" s="5">
        <f t="shared" si="379"/>
        <v>5</v>
      </c>
      <c r="C1666" s="5">
        <f t="shared" si="380"/>
        <v>2023</v>
      </c>
      <c r="D1666" s="5" t="s">
        <v>1540</v>
      </c>
      <c r="E1666" s="5" t="str">
        <f>VLOOKUP(F1666,'Set up'!$A$2:$C$70,2,FALSE)</f>
        <v>C00000014</v>
      </c>
      <c r="F1666" s="1" t="s">
        <v>262</v>
      </c>
      <c r="G1666" s="89" t="s">
        <v>666</v>
      </c>
      <c r="H1666" s="5">
        <v>2</v>
      </c>
      <c r="I1666" s="5" t="str">
        <f>VLOOKUP(F1666,'Set up'!$A$2:$C$70,3,FALSE)</f>
        <v>Cash</v>
      </c>
      <c r="J1666" s="5">
        <f>VLOOKUP(F1666,'Set up'!$A$2:$D$70,4,FALSE)</f>
        <v>0</v>
      </c>
      <c r="K1666" s="4">
        <f t="shared" si="381"/>
        <v>45054</v>
      </c>
      <c r="L1666" s="5">
        <f t="shared" si="382"/>
        <v>5</v>
      </c>
      <c r="M1666" s="5">
        <f t="shared" si="383"/>
        <v>2023</v>
      </c>
      <c r="N1666" s="6">
        <v>190</v>
      </c>
      <c r="O1666" s="6">
        <f t="shared" si="397"/>
        <v>-190</v>
      </c>
      <c r="P1666" s="6">
        <f t="shared" si="387"/>
        <v>0</v>
      </c>
      <c r="Q1666" s="7">
        <f t="shared" si="385"/>
        <v>3066404.4500000011</v>
      </c>
      <c r="R1666" s="44" t="str">
        <f>VLOOKUP(F1666,'Set up'!$A$2:$E$70,5,FALSE)</f>
        <v>Cash</v>
      </c>
      <c r="S1666" s="1" t="s">
        <v>1594</v>
      </c>
    </row>
    <row r="1667" spans="1:19" x14ac:dyDescent="0.3">
      <c r="A1667" s="4">
        <v>45054</v>
      </c>
      <c r="B1667" s="5">
        <f t="shared" ref="B1667:B1730" si="398">MONTH(A1667)</f>
        <v>5</v>
      </c>
      <c r="C1667" s="5">
        <f t="shared" ref="C1667:C1730" si="399">YEAR(A1667)</f>
        <v>2023</v>
      </c>
      <c r="D1667" s="5" t="s">
        <v>1540</v>
      </c>
      <c r="E1667" s="5" t="str">
        <f>VLOOKUP(F1667,'Set up'!$A$2:$C$70,2,FALSE)</f>
        <v>C00000014</v>
      </c>
      <c r="F1667" s="1" t="s">
        <v>262</v>
      </c>
      <c r="G1667" s="89" t="s">
        <v>949</v>
      </c>
      <c r="H1667" s="5">
        <v>4</v>
      </c>
      <c r="I1667" s="5" t="str">
        <f>VLOOKUP(F1667,'Set up'!$A$2:$C$70,3,FALSE)</f>
        <v>Cash</v>
      </c>
      <c r="J1667" s="5">
        <f>VLOOKUP(F1667,'Set up'!$A$2:$D$70,4,FALSE)</f>
        <v>0</v>
      </c>
      <c r="K1667" s="4">
        <f t="shared" ref="K1667:K1730" si="400">A1667+J1667</f>
        <v>45054</v>
      </c>
      <c r="L1667" s="5">
        <f t="shared" ref="L1667:L1730" si="401">MONTH(K1667)</f>
        <v>5</v>
      </c>
      <c r="M1667" s="5">
        <f t="shared" ref="M1667:M1730" si="402">YEAR(K1667)</f>
        <v>2023</v>
      </c>
      <c r="N1667" s="6">
        <v>200</v>
      </c>
      <c r="O1667" s="6">
        <f t="shared" si="397"/>
        <v>-200</v>
      </c>
      <c r="P1667" s="6">
        <f t="shared" si="387"/>
        <v>0</v>
      </c>
      <c r="Q1667" s="7">
        <f t="shared" ref="Q1667:Q1730" si="403">SUM(Q1666+N1667)</f>
        <v>3066604.4500000011</v>
      </c>
      <c r="R1667" s="44" t="str">
        <f>VLOOKUP(F1667,'Set up'!$A$2:$E$70,5,FALSE)</f>
        <v>Cash</v>
      </c>
      <c r="S1667" s="1" t="s">
        <v>1594</v>
      </c>
    </row>
    <row r="1668" spans="1:19" x14ac:dyDescent="0.3">
      <c r="A1668" s="4">
        <v>45054</v>
      </c>
      <c r="B1668" s="5">
        <f t="shared" si="398"/>
        <v>5</v>
      </c>
      <c r="C1668" s="5">
        <f t="shared" si="399"/>
        <v>2023</v>
      </c>
      <c r="D1668" s="5" t="s">
        <v>1540</v>
      </c>
      <c r="E1668" s="5" t="str">
        <f>VLOOKUP(F1668,'Set up'!$A$2:$C$70,2,FALSE)</f>
        <v>C00000014</v>
      </c>
      <c r="F1668" s="1" t="s">
        <v>262</v>
      </c>
      <c r="G1668" s="89" t="s">
        <v>1342</v>
      </c>
      <c r="H1668" s="5">
        <v>2</v>
      </c>
      <c r="I1668" s="5" t="str">
        <f>VLOOKUP(F1668,'Set up'!$A$2:$C$70,3,FALSE)</f>
        <v>Cash</v>
      </c>
      <c r="J1668" s="5">
        <f>VLOOKUP(F1668,'Set up'!$A$2:$D$70,4,FALSE)</f>
        <v>0</v>
      </c>
      <c r="K1668" s="4">
        <f t="shared" si="400"/>
        <v>45054</v>
      </c>
      <c r="L1668" s="5">
        <f t="shared" si="401"/>
        <v>5</v>
      </c>
      <c r="M1668" s="5">
        <f t="shared" si="402"/>
        <v>2023</v>
      </c>
      <c r="N1668" s="6">
        <v>330</v>
      </c>
      <c r="O1668" s="6">
        <f t="shared" si="397"/>
        <v>-330</v>
      </c>
      <c r="P1668" s="6">
        <f t="shared" si="387"/>
        <v>0</v>
      </c>
      <c r="Q1668" s="7">
        <f t="shared" si="403"/>
        <v>3066934.4500000011</v>
      </c>
      <c r="R1668" s="44" t="str">
        <f>VLOOKUP(F1668,'Set up'!$A$2:$E$70,5,FALSE)</f>
        <v>Cash</v>
      </c>
      <c r="S1668" s="1" t="s">
        <v>1594</v>
      </c>
    </row>
    <row r="1669" spans="1:19" x14ac:dyDescent="0.3">
      <c r="A1669" s="4">
        <v>45058</v>
      </c>
      <c r="B1669" s="5">
        <f t="shared" si="398"/>
        <v>5</v>
      </c>
      <c r="C1669" s="5">
        <f t="shared" si="399"/>
        <v>2023</v>
      </c>
      <c r="D1669" s="5" t="s">
        <v>1541</v>
      </c>
      <c r="E1669" s="5" t="str">
        <f>VLOOKUP(F1669,'Set up'!$A$2:$C$70,2,FALSE)</f>
        <v>C00000019</v>
      </c>
      <c r="F1669" s="1" t="s">
        <v>400</v>
      </c>
      <c r="G1669" s="89" t="s">
        <v>719</v>
      </c>
      <c r="H1669" s="5">
        <v>2</v>
      </c>
      <c r="I1669" s="5" t="str">
        <f>VLOOKUP(F1669,'Set up'!$A$2:$C$70,3,FALSE)</f>
        <v>Cash</v>
      </c>
      <c r="J1669" s="5">
        <f>VLOOKUP(F1669,'Set up'!$A$2:$D$70,4,FALSE)</f>
        <v>0</v>
      </c>
      <c r="K1669" s="4">
        <f t="shared" si="400"/>
        <v>45058</v>
      </c>
      <c r="L1669" s="5">
        <f t="shared" si="401"/>
        <v>5</v>
      </c>
      <c r="M1669" s="5">
        <f t="shared" si="402"/>
        <v>2023</v>
      </c>
      <c r="N1669" s="6">
        <v>3652</v>
      </c>
      <c r="O1669" s="6">
        <f>-408.5-2000-1000-243.5</f>
        <v>-3652</v>
      </c>
      <c r="P1669" s="6">
        <f t="shared" si="387"/>
        <v>0</v>
      </c>
      <c r="Q1669" s="7">
        <f t="shared" si="403"/>
        <v>3070586.4500000011</v>
      </c>
      <c r="R1669" s="44" t="str">
        <f>VLOOKUP(F1669,'Set up'!$A$2:$E$70,5,FALSE)</f>
        <v>Trsf</v>
      </c>
      <c r="S1669" s="1" t="s">
        <v>2101</v>
      </c>
    </row>
    <row r="1670" spans="1:19" x14ac:dyDescent="0.3">
      <c r="A1670" s="4">
        <v>45058</v>
      </c>
      <c r="B1670" s="5">
        <f t="shared" si="398"/>
        <v>5</v>
      </c>
      <c r="C1670" s="5">
        <f t="shared" si="399"/>
        <v>2023</v>
      </c>
      <c r="D1670" s="5" t="s">
        <v>1541</v>
      </c>
      <c r="E1670" s="5" t="str">
        <f>VLOOKUP(F1670,'Set up'!$A$2:$C$70,2,FALSE)</f>
        <v>C00000019</v>
      </c>
      <c r="F1670" s="1" t="s">
        <v>400</v>
      </c>
      <c r="G1670" s="89" t="s">
        <v>1411</v>
      </c>
      <c r="H1670" s="5">
        <v>1</v>
      </c>
      <c r="I1670" s="5" t="str">
        <f>VLOOKUP(F1670,'Set up'!$A$2:$C$70,3,FALSE)</f>
        <v>Cash</v>
      </c>
      <c r="J1670" s="5">
        <f>VLOOKUP(F1670,'Set up'!$A$2:$D$70,4,FALSE)</f>
        <v>0</v>
      </c>
      <c r="K1670" s="4">
        <f t="shared" si="400"/>
        <v>45058</v>
      </c>
      <c r="L1670" s="5">
        <f t="shared" si="401"/>
        <v>5</v>
      </c>
      <c r="M1670" s="5">
        <f t="shared" si="402"/>
        <v>2023</v>
      </c>
      <c r="N1670" s="6">
        <v>421.2</v>
      </c>
      <c r="O1670" s="6">
        <f t="shared" ref="O1670:O1673" si="404">-N1670</f>
        <v>-421.2</v>
      </c>
      <c r="P1670" s="6">
        <f t="shared" si="387"/>
        <v>0</v>
      </c>
      <c r="Q1670" s="7">
        <f t="shared" si="403"/>
        <v>3071007.6500000013</v>
      </c>
      <c r="R1670" s="44" t="str">
        <f>VLOOKUP(F1670,'Set up'!$A$2:$E$70,5,FALSE)</f>
        <v>Trsf</v>
      </c>
      <c r="S1670" s="1" t="s">
        <v>2102</v>
      </c>
    </row>
    <row r="1671" spans="1:19" x14ac:dyDescent="0.3">
      <c r="A1671" s="4">
        <v>45058</v>
      </c>
      <c r="B1671" s="5">
        <f t="shared" si="398"/>
        <v>5</v>
      </c>
      <c r="C1671" s="5">
        <f t="shared" si="399"/>
        <v>2023</v>
      </c>
      <c r="D1671" s="5" t="s">
        <v>1541</v>
      </c>
      <c r="E1671" s="5" t="str">
        <f>VLOOKUP(F1671,'Set up'!$A$2:$C$70,2,FALSE)</f>
        <v>C00000019</v>
      </c>
      <c r="F1671" s="1" t="s">
        <v>400</v>
      </c>
      <c r="G1671" s="89" t="s">
        <v>791</v>
      </c>
      <c r="H1671" s="5">
        <v>3</v>
      </c>
      <c r="I1671" s="5" t="str">
        <f>VLOOKUP(F1671,'Set up'!$A$2:$C$70,3,FALSE)</f>
        <v>Cash</v>
      </c>
      <c r="J1671" s="5">
        <f>VLOOKUP(F1671,'Set up'!$A$2:$D$70,4,FALSE)</f>
        <v>0</v>
      </c>
      <c r="K1671" s="4">
        <f t="shared" si="400"/>
        <v>45058</v>
      </c>
      <c r="L1671" s="5">
        <f t="shared" si="401"/>
        <v>5</v>
      </c>
      <c r="M1671" s="5">
        <f t="shared" si="402"/>
        <v>2023</v>
      </c>
      <c r="N1671" s="6">
        <v>187.5</v>
      </c>
      <c r="O1671" s="6">
        <f t="shared" si="404"/>
        <v>-187.5</v>
      </c>
      <c r="P1671" s="6">
        <f t="shared" si="387"/>
        <v>0</v>
      </c>
      <c r="Q1671" s="7">
        <f t="shared" si="403"/>
        <v>3071195.1500000013</v>
      </c>
      <c r="R1671" s="44" t="str">
        <f>VLOOKUP(F1671,'Set up'!$A$2:$E$70,5,FALSE)</f>
        <v>Trsf</v>
      </c>
      <c r="S1671" s="1" t="s">
        <v>2103</v>
      </c>
    </row>
    <row r="1672" spans="1:19" x14ac:dyDescent="0.3">
      <c r="A1672" s="4">
        <v>45058</v>
      </c>
      <c r="B1672" s="5">
        <f t="shared" si="398"/>
        <v>5</v>
      </c>
      <c r="C1672" s="5">
        <f t="shared" si="399"/>
        <v>2023</v>
      </c>
      <c r="D1672" s="5" t="s">
        <v>1541</v>
      </c>
      <c r="E1672" s="5" t="str">
        <f>VLOOKUP(F1672,'Set up'!$A$2:$C$70,2,FALSE)</f>
        <v>C00000019</v>
      </c>
      <c r="F1672" s="1" t="s">
        <v>400</v>
      </c>
      <c r="G1672" s="89" t="s">
        <v>1132</v>
      </c>
      <c r="H1672" s="5">
        <v>1</v>
      </c>
      <c r="I1672" s="5" t="str">
        <f>VLOOKUP(F1672,'Set up'!$A$2:$C$70,3,FALSE)</f>
        <v>Cash</v>
      </c>
      <c r="J1672" s="5">
        <f>VLOOKUP(F1672,'Set up'!$A$2:$D$70,4,FALSE)</f>
        <v>0</v>
      </c>
      <c r="K1672" s="4">
        <f t="shared" si="400"/>
        <v>45058</v>
      </c>
      <c r="L1672" s="5">
        <f t="shared" si="401"/>
        <v>5</v>
      </c>
      <c r="M1672" s="5">
        <f t="shared" si="402"/>
        <v>2023</v>
      </c>
      <c r="N1672" s="6">
        <v>420</v>
      </c>
      <c r="O1672" s="6">
        <f t="shared" si="404"/>
        <v>-420</v>
      </c>
      <c r="P1672" s="6">
        <f t="shared" si="387"/>
        <v>0</v>
      </c>
      <c r="Q1672" s="7">
        <f t="shared" si="403"/>
        <v>3071615.1500000013</v>
      </c>
      <c r="R1672" s="44" t="str">
        <f>VLOOKUP(F1672,'Set up'!$A$2:$E$70,5,FALSE)</f>
        <v>Trsf</v>
      </c>
      <c r="S1672" s="1" t="s">
        <v>2104</v>
      </c>
    </row>
    <row r="1673" spans="1:19" x14ac:dyDescent="0.3">
      <c r="A1673" s="4">
        <v>45058</v>
      </c>
      <c r="B1673" s="5">
        <f t="shared" si="398"/>
        <v>5</v>
      </c>
      <c r="C1673" s="5">
        <f t="shared" si="399"/>
        <v>2023</v>
      </c>
      <c r="D1673" s="5" t="s">
        <v>1541</v>
      </c>
      <c r="E1673" s="5" t="str">
        <f>VLOOKUP(F1673,'Set up'!$A$2:$C$70,2,FALSE)</f>
        <v>C00000019</v>
      </c>
      <c r="F1673" s="1" t="s">
        <v>400</v>
      </c>
      <c r="G1673" s="89" t="s">
        <v>46</v>
      </c>
      <c r="H1673" s="5">
        <v>1</v>
      </c>
      <c r="I1673" s="5" t="str">
        <f>VLOOKUP(F1673,'Set up'!$A$2:$C$70,3,FALSE)</f>
        <v>Cash</v>
      </c>
      <c r="J1673" s="5">
        <f>VLOOKUP(F1673,'Set up'!$A$2:$D$70,4,FALSE)</f>
        <v>0</v>
      </c>
      <c r="K1673" s="4">
        <f t="shared" si="400"/>
        <v>45058</v>
      </c>
      <c r="L1673" s="5">
        <f t="shared" si="401"/>
        <v>5</v>
      </c>
      <c r="M1673" s="5">
        <f t="shared" si="402"/>
        <v>2023</v>
      </c>
      <c r="N1673" s="6">
        <v>105</v>
      </c>
      <c r="O1673" s="6">
        <f t="shared" si="404"/>
        <v>-105</v>
      </c>
      <c r="P1673" s="6">
        <f t="shared" si="387"/>
        <v>0</v>
      </c>
      <c r="Q1673" s="7">
        <f t="shared" si="403"/>
        <v>3071720.1500000013</v>
      </c>
      <c r="R1673" s="44" t="str">
        <f>VLOOKUP(F1673,'Set up'!$A$2:$E$70,5,FALSE)</f>
        <v>Trsf</v>
      </c>
      <c r="S1673" s="1" t="s">
        <v>2105</v>
      </c>
    </row>
    <row r="1674" spans="1:19" x14ac:dyDescent="0.3">
      <c r="A1674" s="4">
        <v>45056</v>
      </c>
      <c r="B1674" s="5">
        <f t="shared" si="398"/>
        <v>5</v>
      </c>
      <c r="C1674" s="5">
        <f t="shared" si="399"/>
        <v>2023</v>
      </c>
      <c r="D1674" s="5" t="s">
        <v>1542</v>
      </c>
      <c r="E1674" s="5" t="str">
        <f>VLOOKUP(F1674,'Set up'!$A$2:$C$70,2,FALSE)</f>
        <v>C00000010</v>
      </c>
      <c r="F1674" s="1" t="s">
        <v>62</v>
      </c>
      <c r="G1674" s="89" t="s">
        <v>1402</v>
      </c>
      <c r="H1674" s="5">
        <v>6</v>
      </c>
      <c r="I1674" s="5">
        <f>VLOOKUP(F1674,'Set up'!$A$2:$C$70,3,FALSE)</f>
        <v>120</v>
      </c>
      <c r="J1674" s="5">
        <f>VLOOKUP(F1674,'Set up'!$A$2:$D$70,4,FALSE)</f>
        <v>120</v>
      </c>
      <c r="K1674" s="4">
        <f t="shared" si="400"/>
        <v>45176</v>
      </c>
      <c r="L1674" s="5">
        <f t="shared" si="401"/>
        <v>9</v>
      </c>
      <c r="M1674" s="5">
        <f t="shared" si="402"/>
        <v>2023</v>
      </c>
      <c r="N1674" s="6">
        <v>10032</v>
      </c>
      <c r="O1674" s="6">
        <f>-N1674</f>
        <v>-10032</v>
      </c>
      <c r="P1674" s="6">
        <f>SUM(N1674+O1674)</f>
        <v>0</v>
      </c>
      <c r="Q1674" s="7">
        <f t="shared" si="403"/>
        <v>3081752.1500000013</v>
      </c>
      <c r="R1674" s="44" t="str">
        <f>VLOOKUP(F1674,'Set up'!$A$2:$E$70,5,FALSE)</f>
        <v>Trsf</v>
      </c>
      <c r="S1674" s="1" t="s">
        <v>1859</v>
      </c>
    </row>
    <row r="1675" spans="1:19" x14ac:dyDescent="0.3">
      <c r="A1675" s="4">
        <v>45056</v>
      </c>
      <c r="B1675" s="5">
        <f t="shared" si="398"/>
        <v>5</v>
      </c>
      <c r="C1675" s="5">
        <f t="shared" si="399"/>
        <v>2023</v>
      </c>
      <c r="D1675" s="5" t="s">
        <v>1542</v>
      </c>
      <c r="E1675" s="5" t="str">
        <f>VLOOKUP(F1675,'Set up'!$A$2:$C$70,2,FALSE)</f>
        <v>C00000010</v>
      </c>
      <c r="F1675" s="1" t="s">
        <v>62</v>
      </c>
      <c r="G1675" s="89" t="s">
        <v>1543</v>
      </c>
      <c r="H1675" s="5">
        <v>6</v>
      </c>
      <c r="I1675" s="5">
        <f>VLOOKUP(F1675,'Set up'!$A$2:$C$70,3,FALSE)</f>
        <v>120</v>
      </c>
      <c r="J1675" s="5">
        <f>VLOOKUP(F1675,'Set up'!$A$2:$D$70,4,FALSE)</f>
        <v>120</v>
      </c>
      <c r="K1675" s="4">
        <f t="shared" si="400"/>
        <v>45176</v>
      </c>
      <c r="L1675" s="5">
        <f t="shared" si="401"/>
        <v>9</v>
      </c>
      <c r="M1675" s="5">
        <f t="shared" si="402"/>
        <v>2023</v>
      </c>
      <c r="N1675" s="6">
        <v>1206</v>
      </c>
      <c r="O1675" s="6">
        <f>-N1675</f>
        <v>-1206</v>
      </c>
      <c r="P1675" s="6">
        <f t="shared" si="387"/>
        <v>0</v>
      </c>
      <c r="Q1675" s="7">
        <f t="shared" si="403"/>
        <v>3082958.1500000013</v>
      </c>
      <c r="R1675" s="44" t="str">
        <f>VLOOKUP(F1675,'Set up'!$A$2:$E$70,5,FALSE)</f>
        <v>Trsf</v>
      </c>
      <c r="S1675" s="1" t="s">
        <v>1859</v>
      </c>
    </row>
    <row r="1676" spans="1:19" x14ac:dyDescent="0.3">
      <c r="A1676" s="4">
        <v>45056</v>
      </c>
      <c r="B1676" s="5">
        <f t="shared" si="398"/>
        <v>5</v>
      </c>
      <c r="C1676" s="5">
        <f t="shared" si="399"/>
        <v>2023</v>
      </c>
      <c r="D1676" s="5" t="s">
        <v>1542</v>
      </c>
      <c r="E1676" s="5" t="str">
        <f>VLOOKUP(F1676,'Set up'!$A$2:$C$70,2,FALSE)</f>
        <v>C00000010</v>
      </c>
      <c r="F1676" s="1" t="s">
        <v>62</v>
      </c>
      <c r="G1676" s="89" t="s">
        <v>791</v>
      </c>
      <c r="H1676" s="5">
        <v>10</v>
      </c>
      <c r="I1676" s="5">
        <f>VLOOKUP(F1676,'Set up'!$A$2:$C$70,3,FALSE)</f>
        <v>120</v>
      </c>
      <c r="J1676" s="5">
        <f>VLOOKUP(F1676,'Set up'!$A$2:$D$70,4,FALSE)</f>
        <v>120</v>
      </c>
      <c r="K1676" s="4">
        <f t="shared" si="400"/>
        <v>45176</v>
      </c>
      <c r="L1676" s="5">
        <f t="shared" si="401"/>
        <v>9</v>
      </c>
      <c r="M1676" s="5">
        <f t="shared" si="402"/>
        <v>2023</v>
      </c>
      <c r="N1676" s="6">
        <v>575</v>
      </c>
      <c r="O1676" s="6">
        <f>-N1676</f>
        <v>-575</v>
      </c>
      <c r="P1676" s="6">
        <f t="shared" si="387"/>
        <v>0</v>
      </c>
      <c r="Q1676" s="7">
        <f t="shared" si="403"/>
        <v>3083533.1500000013</v>
      </c>
      <c r="R1676" s="44" t="str">
        <f>VLOOKUP(F1676,'Set up'!$A$2:$E$70,5,FALSE)</f>
        <v>Trsf</v>
      </c>
      <c r="S1676" s="1" t="s">
        <v>1859</v>
      </c>
    </row>
    <row r="1677" spans="1:19" x14ac:dyDescent="0.3">
      <c r="A1677" s="4">
        <v>45061</v>
      </c>
      <c r="B1677" s="5">
        <f t="shared" si="398"/>
        <v>5</v>
      </c>
      <c r="C1677" s="5">
        <f t="shared" si="399"/>
        <v>2023</v>
      </c>
      <c r="D1677" s="5" t="s">
        <v>1544</v>
      </c>
      <c r="E1677" s="5" t="str">
        <f>VLOOKUP(F1677,'Set up'!$A$2:$C$70,2,FALSE)</f>
        <v>C00000037</v>
      </c>
      <c r="F1677" s="1" t="s">
        <v>1309</v>
      </c>
      <c r="G1677" s="89" t="s">
        <v>719</v>
      </c>
      <c r="H1677" s="5">
        <v>4</v>
      </c>
      <c r="I1677" s="5">
        <f>VLOOKUP(F1677,'Set up'!$A$2:$C$70,3,FALSE)</f>
        <v>30</v>
      </c>
      <c r="J1677" s="5">
        <f>VLOOKUP(F1677,'Set up'!$A$2:$D$70,4,FALSE)</f>
        <v>30</v>
      </c>
      <c r="K1677" s="4">
        <f t="shared" si="400"/>
        <v>45091</v>
      </c>
      <c r="L1677" s="5">
        <f t="shared" si="401"/>
        <v>6</v>
      </c>
      <c r="M1677" s="5">
        <f t="shared" si="402"/>
        <v>2023</v>
      </c>
      <c r="N1677" s="6">
        <v>7480</v>
      </c>
      <c r="O1677" s="6">
        <f t="shared" ref="O1677:O1683" si="405">-N1677</f>
        <v>-7480</v>
      </c>
      <c r="P1677" s="6">
        <f t="shared" si="387"/>
        <v>0</v>
      </c>
      <c r="Q1677" s="7">
        <f t="shared" si="403"/>
        <v>3091013.1500000013</v>
      </c>
      <c r="R1677" s="44" t="str">
        <f>VLOOKUP(F1677,'Set up'!$A$2:$E$70,5,FALSE)</f>
        <v>Chq</v>
      </c>
      <c r="S1677" s="1" t="s">
        <v>1691</v>
      </c>
    </row>
    <row r="1678" spans="1:19" x14ac:dyDescent="0.3">
      <c r="A1678" s="4">
        <v>45061</v>
      </c>
      <c r="B1678" s="5">
        <f t="shared" si="398"/>
        <v>5</v>
      </c>
      <c r="C1678" s="5">
        <f t="shared" si="399"/>
        <v>2023</v>
      </c>
      <c r="D1678" s="5" t="s">
        <v>1544</v>
      </c>
      <c r="E1678" s="5" t="str">
        <f>VLOOKUP(F1678,'Set up'!$A$2:$C$70,2,FALSE)</f>
        <v>C00000037</v>
      </c>
      <c r="F1678" s="1" t="s">
        <v>1309</v>
      </c>
      <c r="G1678" s="89" t="s">
        <v>1545</v>
      </c>
      <c r="H1678" s="5">
        <v>5</v>
      </c>
      <c r="I1678" s="5">
        <f>VLOOKUP(F1678,'Set up'!$A$2:$C$70,3,FALSE)</f>
        <v>30</v>
      </c>
      <c r="J1678" s="5">
        <f>VLOOKUP(F1678,'Set up'!$A$2:$D$70,4,FALSE)</f>
        <v>30</v>
      </c>
      <c r="K1678" s="4">
        <f t="shared" si="400"/>
        <v>45091</v>
      </c>
      <c r="L1678" s="5">
        <f t="shared" si="401"/>
        <v>6</v>
      </c>
      <c r="M1678" s="5">
        <f t="shared" si="402"/>
        <v>2023</v>
      </c>
      <c r="N1678" s="6">
        <v>2613</v>
      </c>
      <c r="O1678" s="6">
        <f t="shared" si="405"/>
        <v>-2613</v>
      </c>
      <c r="P1678" s="6">
        <f t="shared" si="387"/>
        <v>0</v>
      </c>
      <c r="Q1678" s="7">
        <f t="shared" si="403"/>
        <v>3093626.1500000013</v>
      </c>
      <c r="R1678" s="44" t="str">
        <f>VLOOKUP(F1678,'Set up'!$A$2:$E$70,5,FALSE)</f>
        <v>Chq</v>
      </c>
      <c r="S1678" s="1" t="s">
        <v>1691</v>
      </c>
    </row>
    <row r="1679" spans="1:19" x14ac:dyDescent="0.3">
      <c r="A1679" s="4">
        <v>45061</v>
      </c>
      <c r="B1679" s="5">
        <f t="shared" si="398"/>
        <v>5</v>
      </c>
      <c r="C1679" s="5">
        <f t="shared" si="399"/>
        <v>2023</v>
      </c>
      <c r="D1679" s="5" t="s">
        <v>1544</v>
      </c>
      <c r="E1679" s="5" t="str">
        <f>VLOOKUP(F1679,'Set up'!$A$2:$C$70,2,FALSE)</f>
        <v>C00000037</v>
      </c>
      <c r="F1679" s="1" t="s">
        <v>1309</v>
      </c>
      <c r="G1679" s="89" t="s">
        <v>1405</v>
      </c>
      <c r="H1679" s="5">
        <v>3</v>
      </c>
      <c r="I1679" s="5">
        <f>VLOOKUP(F1679,'Set up'!$A$2:$C$70,3,FALSE)</f>
        <v>30</v>
      </c>
      <c r="J1679" s="5">
        <f>VLOOKUP(F1679,'Set up'!$A$2:$D$70,4,FALSE)</f>
        <v>30</v>
      </c>
      <c r="K1679" s="4">
        <f t="shared" si="400"/>
        <v>45091</v>
      </c>
      <c r="L1679" s="5">
        <f t="shared" si="401"/>
        <v>6</v>
      </c>
      <c r="M1679" s="5">
        <f t="shared" si="402"/>
        <v>2023</v>
      </c>
      <c r="N1679" s="6">
        <v>144</v>
      </c>
      <c r="O1679" s="6">
        <f t="shared" si="405"/>
        <v>-144</v>
      </c>
      <c r="P1679" s="6">
        <f t="shared" si="387"/>
        <v>0</v>
      </c>
      <c r="Q1679" s="7">
        <f t="shared" si="403"/>
        <v>3093770.1500000013</v>
      </c>
      <c r="R1679" s="44" t="str">
        <f>VLOOKUP(F1679,'Set up'!$A$2:$E$70,5,FALSE)</f>
        <v>Chq</v>
      </c>
      <c r="S1679" s="1" t="s">
        <v>1691</v>
      </c>
    </row>
    <row r="1680" spans="1:19" x14ac:dyDescent="0.3">
      <c r="A1680" s="4">
        <v>45061</v>
      </c>
      <c r="B1680" s="5">
        <f t="shared" si="398"/>
        <v>5</v>
      </c>
      <c r="C1680" s="5">
        <f t="shared" si="399"/>
        <v>2023</v>
      </c>
      <c r="D1680" s="5" t="s">
        <v>1544</v>
      </c>
      <c r="E1680" s="5" t="str">
        <f>VLOOKUP(F1680,'Set up'!$A$2:$C$70,2,FALSE)</f>
        <v>C00000037</v>
      </c>
      <c r="F1680" s="1" t="s">
        <v>1309</v>
      </c>
      <c r="G1680" s="89" t="s">
        <v>1061</v>
      </c>
      <c r="H1680" s="5">
        <v>3</v>
      </c>
      <c r="I1680" s="5">
        <f>VLOOKUP(F1680,'Set up'!$A$2:$C$70,3,FALSE)</f>
        <v>30</v>
      </c>
      <c r="J1680" s="5">
        <f>VLOOKUP(F1680,'Set up'!$A$2:$D$70,4,FALSE)</f>
        <v>30</v>
      </c>
      <c r="K1680" s="4">
        <f t="shared" si="400"/>
        <v>45091</v>
      </c>
      <c r="L1680" s="5">
        <f t="shared" si="401"/>
        <v>6</v>
      </c>
      <c r="M1680" s="5">
        <f t="shared" si="402"/>
        <v>2023</v>
      </c>
      <c r="N1680" s="6">
        <v>285</v>
      </c>
      <c r="O1680" s="6">
        <f t="shared" si="405"/>
        <v>-285</v>
      </c>
      <c r="P1680" s="6">
        <f t="shared" si="387"/>
        <v>0</v>
      </c>
      <c r="Q1680" s="7">
        <f t="shared" si="403"/>
        <v>3094055.1500000013</v>
      </c>
      <c r="R1680" s="44" t="str">
        <f>VLOOKUP(F1680,'Set up'!$A$2:$E$70,5,FALSE)</f>
        <v>Chq</v>
      </c>
      <c r="S1680" s="1" t="s">
        <v>1691</v>
      </c>
    </row>
    <row r="1681" spans="1:21" x14ac:dyDescent="0.3">
      <c r="A1681" s="4">
        <v>45061</v>
      </c>
      <c r="B1681" s="5">
        <f t="shared" si="398"/>
        <v>5</v>
      </c>
      <c r="C1681" s="5">
        <f t="shared" si="399"/>
        <v>2023</v>
      </c>
      <c r="D1681" s="5" t="s">
        <v>1544</v>
      </c>
      <c r="E1681" s="5" t="str">
        <f>VLOOKUP(F1681,'Set up'!$A$2:$C$70,2,FALSE)</f>
        <v>C00000037</v>
      </c>
      <c r="F1681" s="1" t="s">
        <v>1309</v>
      </c>
      <c r="G1681" s="89" t="s">
        <v>1110</v>
      </c>
      <c r="H1681" s="5">
        <v>5</v>
      </c>
      <c r="I1681" s="5">
        <f>VLOOKUP(F1681,'Set up'!$A$2:$C$70,3,FALSE)</f>
        <v>30</v>
      </c>
      <c r="J1681" s="5">
        <f>VLOOKUP(F1681,'Set up'!$A$2:$D$70,4,FALSE)</f>
        <v>30</v>
      </c>
      <c r="K1681" s="4">
        <f t="shared" si="400"/>
        <v>45091</v>
      </c>
      <c r="L1681" s="5">
        <f t="shared" si="401"/>
        <v>6</v>
      </c>
      <c r="M1681" s="5">
        <f t="shared" si="402"/>
        <v>2023</v>
      </c>
      <c r="N1681" s="6">
        <v>312.5</v>
      </c>
      <c r="O1681" s="6">
        <f t="shared" si="405"/>
        <v>-312.5</v>
      </c>
      <c r="P1681" s="6">
        <f t="shared" si="387"/>
        <v>0</v>
      </c>
      <c r="Q1681" s="7">
        <f t="shared" si="403"/>
        <v>3094367.6500000013</v>
      </c>
      <c r="R1681" s="44" t="str">
        <f>VLOOKUP(F1681,'Set up'!$A$2:$E$70,5,FALSE)</f>
        <v>Chq</v>
      </c>
      <c r="S1681" s="1" t="s">
        <v>1691</v>
      </c>
    </row>
    <row r="1682" spans="1:21" x14ac:dyDescent="0.3">
      <c r="A1682" s="4">
        <v>45061</v>
      </c>
      <c r="B1682" s="5">
        <f t="shared" si="398"/>
        <v>5</v>
      </c>
      <c r="C1682" s="5">
        <f t="shared" si="399"/>
        <v>2023</v>
      </c>
      <c r="D1682" s="5" t="s">
        <v>1544</v>
      </c>
      <c r="E1682" s="5" t="str">
        <f>VLOOKUP(F1682,'Set up'!$A$2:$C$70,2,FALSE)</f>
        <v>C00000037</v>
      </c>
      <c r="F1682" s="1" t="s">
        <v>1309</v>
      </c>
      <c r="G1682" s="89" t="s">
        <v>865</v>
      </c>
      <c r="H1682" s="5">
        <v>2</v>
      </c>
      <c r="I1682" s="5">
        <f>VLOOKUP(F1682,'Set up'!$A$2:$C$70,3,FALSE)</f>
        <v>30</v>
      </c>
      <c r="J1682" s="5">
        <f>VLOOKUP(F1682,'Set up'!$A$2:$D$70,4,FALSE)</f>
        <v>30</v>
      </c>
      <c r="K1682" s="4">
        <f t="shared" si="400"/>
        <v>45091</v>
      </c>
      <c r="L1682" s="5">
        <f t="shared" si="401"/>
        <v>6</v>
      </c>
      <c r="M1682" s="5">
        <f t="shared" si="402"/>
        <v>2023</v>
      </c>
      <c r="N1682" s="6">
        <v>520</v>
      </c>
      <c r="O1682" s="6">
        <f t="shared" si="405"/>
        <v>-520</v>
      </c>
      <c r="P1682" s="6">
        <f t="shared" si="387"/>
        <v>0</v>
      </c>
      <c r="Q1682" s="7">
        <f t="shared" si="403"/>
        <v>3094887.6500000013</v>
      </c>
      <c r="R1682" s="44" t="str">
        <f>VLOOKUP(F1682,'Set up'!$A$2:$E$70,5,FALSE)</f>
        <v>Chq</v>
      </c>
      <c r="S1682" s="1" t="s">
        <v>1691</v>
      </c>
    </row>
    <row r="1683" spans="1:21" x14ac:dyDescent="0.3">
      <c r="A1683" s="4">
        <v>45061</v>
      </c>
      <c r="B1683" s="5">
        <f t="shared" si="398"/>
        <v>5</v>
      </c>
      <c r="C1683" s="5">
        <f t="shared" si="399"/>
        <v>2023</v>
      </c>
      <c r="D1683" s="5" t="s">
        <v>1544</v>
      </c>
      <c r="E1683" s="5" t="str">
        <f>VLOOKUP(F1683,'Set up'!$A$2:$C$70,2,FALSE)</f>
        <v>C00000037</v>
      </c>
      <c r="F1683" s="1" t="s">
        <v>1309</v>
      </c>
      <c r="G1683" s="89" t="s">
        <v>1546</v>
      </c>
      <c r="H1683" s="5">
        <v>2</v>
      </c>
      <c r="I1683" s="5">
        <f>VLOOKUP(F1683,'Set up'!$A$2:$C$70,3,FALSE)</f>
        <v>30</v>
      </c>
      <c r="J1683" s="5">
        <f>VLOOKUP(F1683,'Set up'!$A$2:$D$70,4,FALSE)</f>
        <v>30</v>
      </c>
      <c r="K1683" s="4">
        <f t="shared" si="400"/>
        <v>45091</v>
      </c>
      <c r="L1683" s="5">
        <f t="shared" si="401"/>
        <v>6</v>
      </c>
      <c r="M1683" s="5">
        <f t="shared" si="402"/>
        <v>2023</v>
      </c>
      <c r="N1683" s="6">
        <v>1860</v>
      </c>
      <c r="O1683" s="6">
        <f t="shared" si="405"/>
        <v>-1860</v>
      </c>
      <c r="P1683" s="6">
        <f t="shared" si="387"/>
        <v>0</v>
      </c>
      <c r="Q1683" s="7">
        <f t="shared" si="403"/>
        <v>3096747.6500000013</v>
      </c>
      <c r="R1683" s="44" t="str">
        <f>VLOOKUP(F1683,'Set up'!$A$2:$E$70,5,FALSE)</f>
        <v>Chq</v>
      </c>
      <c r="S1683" s="1" t="s">
        <v>1691</v>
      </c>
    </row>
    <row r="1684" spans="1:21" x14ac:dyDescent="0.3">
      <c r="A1684" s="4">
        <v>45063</v>
      </c>
      <c r="B1684" s="5">
        <f t="shared" si="398"/>
        <v>5</v>
      </c>
      <c r="C1684" s="5">
        <f t="shared" si="399"/>
        <v>2023</v>
      </c>
      <c r="D1684" s="5" t="s">
        <v>1547</v>
      </c>
      <c r="E1684" s="5" t="str">
        <f>VLOOKUP(F1684,'Set up'!$A$2:$C$70,2,FALSE)</f>
        <v>C00000003</v>
      </c>
      <c r="F1684" s="1" t="s">
        <v>20</v>
      </c>
      <c r="G1684" s="89" t="s">
        <v>67</v>
      </c>
      <c r="H1684" s="5">
        <v>2</v>
      </c>
      <c r="I1684" s="5">
        <f>VLOOKUP(F1684,'Set up'!$A$2:$C$70,3,FALSE)</f>
        <v>45</v>
      </c>
      <c r="J1684" s="5">
        <f>VLOOKUP(F1684,'Set up'!$A$2:$D$70,4,FALSE)</f>
        <v>45</v>
      </c>
      <c r="K1684" s="4">
        <f t="shared" si="400"/>
        <v>45108</v>
      </c>
      <c r="L1684" s="5">
        <f t="shared" si="401"/>
        <v>7</v>
      </c>
      <c r="M1684" s="5">
        <f t="shared" si="402"/>
        <v>2023</v>
      </c>
      <c r="N1684" s="6">
        <v>3872</v>
      </c>
      <c r="O1684" s="6">
        <f>-1500-1500-872</f>
        <v>-3872</v>
      </c>
      <c r="P1684" s="6">
        <f t="shared" si="387"/>
        <v>0</v>
      </c>
      <c r="Q1684" s="7">
        <f t="shared" si="403"/>
        <v>3100619.6500000013</v>
      </c>
      <c r="R1684" s="44" t="str">
        <f>VLOOKUP(F1684,'Set up'!$A$2:$E$70,5,FALSE)</f>
        <v>PD Chq</v>
      </c>
      <c r="S1684" s="1" t="s">
        <v>1777</v>
      </c>
      <c r="U1684" s="1" t="s">
        <v>3603</v>
      </c>
    </row>
    <row r="1685" spans="1:21" x14ac:dyDescent="0.3">
      <c r="A1685" s="4">
        <v>45063</v>
      </c>
      <c r="B1685" s="5">
        <f t="shared" si="398"/>
        <v>5</v>
      </c>
      <c r="C1685" s="5">
        <f t="shared" si="399"/>
        <v>2023</v>
      </c>
      <c r="D1685" s="5" t="s">
        <v>1547</v>
      </c>
      <c r="E1685" s="5" t="str">
        <f>VLOOKUP(F1685,'Set up'!$A$2:$C$70,2,FALSE)</f>
        <v>C00000003</v>
      </c>
      <c r="F1685" s="1" t="s">
        <v>20</v>
      </c>
      <c r="G1685" s="89" t="s">
        <v>17</v>
      </c>
      <c r="H1685" s="5">
        <v>4</v>
      </c>
      <c r="I1685" s="5">
        <f>VLOOKUP(F1685,'Set up'!$A$2:$C$70,3,FALSE)</f>
        <v>45</v>
      </c>
      <c r="J1685" s="5">
        <f>VLOOKUP(F1685,'Set up'!$A$2:$D$70,4,FALSE)</f>
        <v>45</v>
      </c>
      <c r="K1685" s="4">
        <f t="shared" si="400"/>
        <v>45108</v>
      </c>
      <c r="L1685" s="5">
        <f t="shared" si="401"/>
        <v>7</v>
      </c>
      <c r="M1685" s="5">
        <f t="shared" si="402"/>
        <v>2023</v>
      </c>
      <c r="N1685" s="6">
        <v>420</v>
      </c>
      <c r="O1685" s="6">
        <f>-N1685</f>
        <v>-420</v>
      </c>
      <c r="P1685" s="6">
        <f t="shared" ref="P1685:P1707" si="406">SUM(N1685+O1685)</f>
        <v>0</v>
      </c>
      <c r="Q1685" s="7">
        <f t="shared" si="403"/>
        <v>3101039.6500000013</v>
      </c>
      <c r="R1685" s="44" t="str">
        <f>VLOOKUP(F1685,'Set up'!$A$2:$E$70,5,FALSE)</f>
        <v>PD Chq</v>
      </c>
      <c r="S1685" s="1" t="s">
        <v>1778</v>
      </c>
      <c r="U1685" s="1" t="s">
        <v>3603</v>
      </c>
    </row>
    <row r="1686" spans="1:21" x14ac:dyDescent="0.3">
      <c r="A1686" s="4">
        <v>45063</v>
      </c>
      <c r="B1686" s="5">
        <f t="shared" si="398"/>
        <v>5</v>
      </c>
      <c r="C1686" s="5">
        <f t="shared" si="399"/>
        <v>2023</v>
      </c>
      <c r="D1686" s="5" t="s">
        <v>1548</v>
      </c>
      <c r="E1686" s="5" t="str">
        <f>VLOOKUP(F1686,'Set up'!$A$2:$C$70,2,FALSE)</f>
        <v>C00000038</v>
      </c>
      <c r="F1686" s="1" t="s">
        <v>1420</v>
      </c>
      <c r="G1686" s="89" t="s">
        <v>1549</v>
      </c>
      <c r="H1686" s="5">
        <v>1</v>
      </c>
      <c r="I1686" s="5" t="str">
        <f>VLOOKUP(F1686,'Set up'!$A$2:$C$70,3,FALSE)</f>
        <v>Cash</v>
      </c>
      <c r="J1686" s="5">
        <f>VLOOKUP(F1686,'Set up'!$A$2:$D$70,4,FALSE)</f>
        <v>0</v>
      </c>
      <c r="K1686" s="4">
        <f t="shared" si="400"/>
        <v>45063</v>
      </c>
      <c r="L1686" s="5">
        <f t="shared" si="401"/>
        <v>5</v>
      </c>
      <c r="M1686" s="5">
        <f t="shared" si="402"/>
        <v>2023</v>
      </c>
      <c r="N1686" s="6">
        <v>280</v>
      </c>
      <c r="O1686" s="6">
        <f t="shared" ref="O1686:O1692" si="407">-N1686</f>
        <v>-280</v>
      </c>
      <c r="P1686" s="6">
        <f t="shared" si="406"/>
        <v>0</v>
      </c>
      <c r="Q1686" s="7">
        <f t="shared" si="403"/>
        <v>3101319.6500000013</v>
      </c>
      <c r="R1686" s="44" t="str">
        <f>VLOOKUP(F1686,'Set up'!$A$2:$E$70,5,FALSE)</f>
        <v>Trsf</v>
      </c>
      <c r="S1686" s="1" t="s">
        <v>1591</v>
      </c>
    </row>
    <row r="1687" spans="1:21" x14ac:dyDescent="0.3">
      <c r="A1687" s="4">
        <v>45063</v>
      </c>
      <c r="B1687" s="5">
        <f t="shared" si="398"/>
        <v>5</v>
      </c>
      <c r="C1687" s="5">
        <f t="shared" si="399"/>
        <v>2023</v>
      </c>
      <c r="D1687" s="5" t="s">
        <v>1548</v>
      </c>
      <c r="E1687" s="5" t="str">
        <f>VLOOKUP(F1687,'Set up'!$A$2:$C$70,2,FALSE)</f>
        <v>C00000038</v>
      </c>
      <c r="F1687" s="1" t="s">
        <v>1420</v>
      </c>
      <c r="G1687" s="89" t="s">
        <v>1060</v>
      </c>
      <c r="H1687" s="5">
        <v>1</v>
      </c>
      <c r="I1687" s="5" t="str">
        <f>VLOOKUP(F1687,'Set up'!$A$2:$C$70,3,FALSE)</f>
        <v>Cash</v>
      </c>
      <c r="J1687" s="5">
        <f>VLOOKUP(F1687,'Set up'!$A$2:$D$70,4,FALSE)</f>
        <v>0</v>
      </c>
      <c r="K1687" s="4">
        <f t="shared" si="400"/>
        <v>45063</v>
      </c>
      <c r="L1687" s="5">
        <f t="shared" si="401"/>
        <v>5</v>
      </c>
      <c r="M1687" s="5">
        <f t="shared" si="402"/>
        <v>2023</v>
      </c>
      <c r="N1687" s="6">
        <v>258</v>
      </c>
      <c r="O1687" s="6">
        <f t="shared" si="407"/>
        <v>-258</v>
      </c>
      <c r="P1687" s="6">
        <f t="shared" si="406"/>
        <v>0</v>
      </c>
      <c r="Q1687" s="7">
        <f t="shared" si="403"/>
        <v>3101577.6500000013</v>
      </c>
      <c r="R1687" s="44" t="str">
        <f>VLOOKUP(F1687,'Set up'!$A$2:$E$70,5,FALSE)</f>
        <v>Trsf</v>
      </c>
      <c r="S1687" s="1" t="s">
        <v>1591</v>
      </c>
    </row>
    <row r="1688" spans="1:21" x14ac:dyDescent="0.3">
      <c r="A1688" s="4">
        <v>45063</v>
      </c>
      <c r="B1688" s="5">
        <f t="shared" si="398"/>
        <v>5</v>
      </c>
      <c r="C1688" s="5">
        <f t="shared" si="399"/>
        <v>2023</v>
      </c>
      <c r="D1688" s="5" t="s">
        <v>1548</v>
      </c>
      <c r="E1688" s="5" t="str">
        <f>VLOOKUP(F1688,'Set up'!$A$2:$C$70,2,FALSE)</f>
        <v>C00000038</v>
      </c>
      <c r="F1688" s="1" t="s">
        <v>1420</v>
      </c>
      <c r="G1688" s="89" t="s">
        <v>1424</v>
      </c>
      <c r="H1688" s="5">
        <v>1</v>
      </c>
      <c r="I1688" s="5" t="str">
        <f>VLOOKUP(F1688,'Set up'!$A$2:$C$70,3,FALSE)</f>
        <v>Cash</v>
      </c>
      <c r="J1688" s="5">
        <f>VLOOKUP(F1688,'Set up'!$A$2:$D$70,4,FALSE)</f>
        <v>0</v>
      </c>
      <c r="K1688" s="4">
        <f t="shared" si="400"/>
        <v>45063</v>
      </c>
      <c r="L1688" s="5">
        <f t="shared" si="401"/>
        <v>5</v>
      </c>
      <c r="M1688" s="5">
        <f t="shared" si="402"/>
        <v>2023</v>
      </c>
      <c r="N1688" s="6">
        <v>105</v>
      </c>
      <c r="O1688" s="6">
        <f t="shared" si="407"/>
        <v>-105</v>
      </c>
      <c r="P1688" s="6">
        <f t="shared" si="406"/>
        <v>0</v>
      </c>
      <c r="Q1688" s="7">
        <f t="shared" si="403"/>
        <v>3101682.6500000013</v>
      </c>
      <c r="R1688" s="44" t="str">
        <f>VLOOKUP(F1688,'Set up'!$A$2:$E$70,5,FALSE)</f>
        <v>Trsf</v>
      </c>
      <c r="S1688" s="1" t="s">
        <v>1591</v>
      </c>
    </row>
    <row r="1689" spans="1:21" x14ac:dyDescent="0.3">
      <c r="A1689" s="4">
        <v>45063</v>
      </c>
      <c r="B1689" s="5">
        <f t="shared" si="398"/>
        <v>5</v>
      </c>
      <c r="C1689" s="5">
        <f t="shared" si="399"/>
        <v>2023</v>
      </c>
      <c r="D1689" s="5" t="s">
        <v>1548</v>
      </c>
      <c r="E1689" s="5" t="str">
        <f>VLOOKUP(F1689,'Set up'!$A$2:$C$70,2,FALSE)</f>
        <v>C00000038</v>
      </c>
      <c r="F1689" s="1" t="s">
        <v>1420</v>
      </c>
      <c r="G1689" s="89" t="s">
        <v>1425</v>
      </c>
      <c r="H1689" s="5">
        <v>1</v>
      </c>
      <c r="I1689" s="5" t="str">
        <f>VLOOKUP(F1689,'Set up'!$A$2:$C$70,3,FALSE)</f>
        <v>Cash</v>
      </c>
      <c r="J1689" s="5">
        <f>VLOOKUP(F1689,'Set up'!$A$2:$D$70,4,FALSE)</f>
        <v>0</v>
      </c>
      <c r="K1689" s="4">
        <f t="shared" si="400"/>
        <v>45063</v>
      </c>
      <c r="L1689" s="5">
        <f t="shared" si="401"/>
        <v>5</v>
      </c>
      <c r="M1689" s="5">
        <f t="shared" si="402"/>
        <v>2023</v>
      </c>
      <c r="N1689" s="6">
        <v>55</v>
      </c>
      <c r="O1689" s="6">
        <f t="shared" si="407"/>
        <v>-55</v>
      </c>
      <c r="P1689" s="6">
        <f t="shared" si="406"/>
        <v>0</v>
      </c>
      <c r="Q1689" s="7">
        <f t="shared" si="403"/>
        <v>3101737.6500000013</v>
      </c>
      <c r="R1689" s="44" t="str">
        <f>VLOOKUP(F1689,'Set up'!$A$2:$E$70,5,FALSE)</f>
        <v>Trsf</v>
      </c>
      <c r="S1689" s="1" t="s">
        <v>1591</v>
      </c>
    </row>
    <row r="1690" spans="1:21" x14ac:dyDescent="0.3">
      <c r="A1690" s="4">
        <v>45063</v>
      </c>
      <c r="B1690" s="5">
        <f t="shared" si="398"/>
        <v>5</v>
      </c>
      <c r="C1690" s="5">
        <f t="shared" si="399"/>
        <v>2023</v>
      </c>
      <c r="D1690" s="5" t="s">
        <v>1550</v>
      </c>
      <c r="E1690" s="5" t="str">
        <f>VLOOKUP(F1690,'Set up'!$A$2:$C$70,2,FALSE)</f>
        <v>C00000021</v>
      </c>
      <c r="F1690" s="1" t="s">
        <v>491</v>
      </c>
      <c r="G1690" s="89" t="s">
        <v>716</v>
      </c>
      <c r="H1690" s="5">
        <v>1</v>
      </c>
      <c r="I1690" s="5" t="str">
        <f>VLOOKUP(F1690,'Set up'!$A$2:$C$70,3,FALSE)</f>
        <v>Cash</v>
      </c>
      <c r="J1690" s="5">
        <f>VLOOKUP(F1690,'Set up'!$A$2:$D$70,4,FALSE)</f>
        <v>0</v>
      </c>
      <c r="K1690" s="4">
        <f t="shared" si="400"/>
        <v>45063</v>
      </c>
      <c r="L1690" s="5">
        <f t="shared" si="401"/>
        <v>5</v>
      </c>
      <c r="M1690" s="5">
        <f t="shared" si="402"/>
        <v>2023</v>
      </c>
      <c r="N1690" s="6">
        <v>1870</v>
      </c>
      <c r="O1690" s="6">
        <f t="shared" si="407"/>
        <v>-1870</v>
      </c>
      <c r="P1690" s="6">
        <f t="shared" si="406"/>
        <v>0</v>
      </c>
      <c r="Q1690" s="7">
        <f t="shared" si="403"/>
        <v>3103607.6500000013</v>
      </c>
      <c r="R1690" s="44" t="str">
        <f>VLOOKUP(F1690,'Set up'!$A$2:$E$70,5,FALSE)</f>
        <v>PD Chq</v>
      </c>
      <c r="S1690" s="1" t="s">
        <v>2250</v>
      </c>
    </row>
    <row r="1691" spans="1:21" x14ac:dyDescent="0.3">
      <c r="A1691" s="4">
        <v>45063</v>
      </c>
      <c r="B1691" s="5">
        <f t="shared" si="398"/>
        <v>5</v>
      </c>
      <c r="C1691" s="5">
        <f t="shared" si="399"/>
        <v>2023</v>
      </c>
      <c r="D1691" s="5" t="s">
        <v>1550</v>
      </c>
      <c r="E1691" s="5" t="str">
        <f>VLOOKUP(F1691,'Set up'!$A$2:$C$70,2,FALSE)</f>
        <v>C00000021</v>
      </c>
      <c r="F1691" s="1" t="s">
        <v>491</v>
      </c>
      <c r="G1691" s="89" t="s">
        <v>654</v>
      </c>
      <c r="H1691" s="5">
        <v>2</v>
      </c>
      <c r="I1691" s="5" t="str">
        <f>VLOOKUP(F1691,'Set up'!$A$2:$C$70,3,FALSE)</f>
        <v>Cash</v>
      </c>
      <c r="J1691" s="5">
        <f>VLOOKUP(F1691,'Set up'!$A$2:$D$70,4,FALSE)</f>
        <v>0</v>
      </c>
      <c r="K1691" s="4">
        <f t="shared" si="400"/>
        <v>45063</v>
      </c>
      <c r="L1691" s="5">
        <f t="shared" si="401"/>
        <v>5</v>
      </c>
      <c r="M1691" s="5">
        <f t="shared" si="402"/>
        <v>2023</v>
      </c>
      <c r="N1691" s="6">
        <v>510</v>
      </c>
      <c r="O1691" s="6">
        <f t="shared" si="407"/>
        <v>-510</v>
      </c>
      <c r="P1691" s="6">
        <f t="shared" si="406"/>
        <v>0</v>
      </c>
      <c r="Q1691" s="7">
        <f t="shared" si="403"/>
        <v>3104117.6500000013</v>
      </c>
      <c r="R1691" s="44" t="str">
        <f>VLOOKUP(F1691,'Set up'!$A$2:$E$70,5,FALSE)</f>
        <v>PD Chq</v>
      </c>
      <c r="S1691" s="1" t="s">
        <v>2250</v>
      </c>
    </row>
    <row r="1692" spans="1:21" x14ac:dyDescent="0.3">
      <c r="A1692" s="4">
        <v>45063</v>
      </c>
      <c r="B1692" s="5">
        <f t="shared" si="398"/>
        <v>5</v>
      </c>
      <c r="C1692" s="5">
        <f t="shared" si="399"/>
        <v>2023</v>
      </c>
      <c r="D1692" s="5" t="s">
        <v>1550</v>
      </c>
      <c r="E1692" s="5" t="str">
        <f>VLOOKUP(F1692,'Set up'!$A$2:$C$70,2,FALSE)</f>
        <v>C00000021</v>
      </c>
      <c r="F1692" s="1" t="s">
        <v>491</v>
      </c>
      <c r="G1692" s="89" t="s">
        <v>1061</v>
      </c>
      <c r="H1692" s="5">
        <v>1</v>
      </c>
      <c r="I1692" s="5" t="str">
        <f>VLOOKUP(F1692,'Set up'!$A$2:$C$70,3,FALSE)</f>
        <v>Cash</v>
      </c>
      <c r="J1692" s="5">
        <f>VLOOKUP(F1692,'Set up'!$A$2:$D$70,4,FALSE)</f>
        <v>0</v>
      </c>
      <c r="K1692" s="4">
        <f t="shared" si="400"/>
        <v>45063</v>
      </c>
      <c r="L1692" s="5">
        <f t="shared" si="401"/>
        <v>5</v>
      </c>
      <c r="M1692" s="5">
        <f t="shared" si="402"/>
        <v>2023</v>
      </c>
      <c r="N1692" s="6">
        <v>95</v>
      </c>
      <c r="O1692" s="6">
        <f t="shared" si="407"/>
        <v>-95</v>
      </c>
      <c r="P1692" s="6">
        <f t="shared" si="406"/>
        <v>0</v>
      </c>
      <c r="Q1692" s="7">
        <f t="shared" si="403"/>
        <v>3104212.6500000013</v>
      </c>
      <c r="R1692" s="44" t="str">
        <f>VLOOKUP(F1692,'Set up'!$A$2:$E$70,5,FALSE)</f>
        <v>PD Chq</v>
      </c>
      <c r="S1692" s="1" t="s">
        <v>2250</v>
      </c>
    </row>
    <row r="1693" spans="1:21" x14ac:dyDescent="0.3">
      <c r="A1693" s="4">
        <v>45063</v>
      </c>
      <c r="B1693" s="5">
        <f t="shared" si="398"/>
        <v>5</v>
      </c>
      <c r="C1693" s="5">
        <f t="shared" si="399"/>
        <v>2023</v>
      </c>
      <c r="D1693" s="5" t="s">
        <v>1551</v>
      </c>
      <c r="E1693" s="5" t="str">
        <f>VLOOKUP(F1693,'Set up'!$A$2:$C$70,2,FALSE)</f>
        <v>C00000013a</v>
      </c>
      <c r="F1693" s="1" t="s">
        <v>1453</v>
      </c>
      <c r="G1693" s="89" t="s">
        <v>1442</v>
      </c>
      <c r="H1693" s="5">
        <v>4</v>
      </c>
      <c r="I1693" s="5" t="str">
        <f>VLOOKUP(F1693,'Set up'!$A$2:$C$70,3,FALSE)</f>
        <v>Cash</v>
      </c>
      <c r="J1693" s="5">
        <f>VLOOKUP(F1693,'Set up'!$A$2:$D$70,4,FALSE)</f>
        <v>0</v>
      </c>
      <c r="K1693" s="4">
        <f t="shared" si="400"/>
        <v>45063</v>
      </c>
      <c r="L1693" s="5">
        <f t="shared" si="401"/>
        <v>5</v>
      </c>
      <c r="M1693" s="5">
        <f t="shared" si="402"/>
        <v>2023</v>
      </c>
      <c r="N1693" s="6">
        <v>7304</v>
      </c>
      <c r="O1693" s="6">
        <f t="shared" ref="O1693:O1700" si="408">-N1693</f>
        <v>-7304</v>
      </c>
      <c r="P1693" s="6">
        <f t="shared" si="406"/>
        <v>0</v>
      </c>
      <c r="Q1693" s="7">
        <f t="shared" si="403"/>
        <v>3111516.6500000013</v>
      </c>
      <c r="R1693" s="44" t="str">
        <f>VLOOKUP(F1693,'Set up'!$A$2:$E$70,5,FALSE)</f>
        <v>Chq</v>
      </c>
      <c r="S1693" s="1" t="s">
        <v>1598</v>
      </c>
    </row>
    <row r="1694" spans="1:21" x14ac:dyDescent="0.3">
      <c r="A1694" s="4" t="s">
        <v>1552</v>
      </c>
      <c r="B1694" s="5">
        <f t="shared" si="398"/>
        <v>5</v>
      </c>
      <c r="C1694" s="5">
        <f t="shared" si="399"/>
        <v>2023</v>
      </c>
      <c r="D1694" s="5" t="s">
        <v>1551</v>
      </c>
      <c r="E1694" s="5" t="str">
        <f>VLOOKUP(F1694,'Set up'!$A$2:$C$70,2,FALSE)</f>
        <v>C00000013a</v>
      </c>
      <c r="F1694" s="1" t="s">
        <v>1453</v>
      </c>
      <c r="G1694" s="89" t="s">
        <v>1443</v>
      </c>
      <c r="H1694" s="5">
        <v>5</v>
      </c>
      <c r="I1694" s="5" t="str">
        <f>VLOOKUP(F1694,'Set up'!$A$2:$C$70,3,FALSE)</f>
        <v>Cash</v>
      </c>
      <c r="J1694" s="5">
        <f>VLOOKUP(F1694,'Set up'!$A$2:$D$70,4,FALSE)</f>
        <v>0</v>
      </c>
      <c r="K1694" s="4">
        <f t="shared" si="400"/>
        <v>45064</v>
      </c>
      <c r="L1694" s="5">
        <f t="shared" si="401"/>
        <v>5</v>
      </c>
      <c r="M1694" s="5">
        <f t="shared" si="402"/>
        <v>2023</v>
      </c>
      <c r="N1694" s="6">
        <v>2133</v>
      </c>
      <c r="O1694" s="6">
        <f t="shared" si="408"/>
        <v>-2133</v>
      </c>
      <c r="P1694" s="6">
        <f t="shared" si="406"/>
        <v>0</v>
      </c>
      <c r="Q1694" s="7">
        <f t="shared" si="403"/>
        <v>3113649.6500000013</v>
      </c>
      <c r="R1694" s="44" t="str">
        <f>VLOOKUP(F1694,'Set up'!$A$2:$E$70,5,FALSE)</f>
        <v>Chq</v>
      </c>
      <c r="S1694" s="1" t="s">
        <v>1599</v>
      </c>
    </row>
    <row r="1695" spans="1:21" x14ac:dyDescent="0.3">
      <c r="A1695" s="4" t="s">
        <v>1552</v>
      </c>
      <c r="B1695" s="5">
        <f t="shared" si="398"/>
        <v>5</v>
      </c>
      <c r="C1695" s="5">
        <f t="shared" si="399"/>
        <v>2023</v>
      </c>
      <c r="D1695" s="5" t="s">
        <v>1551</v>
      </c>
      <c r="E1695" s="5" t="str">
        <f>VLOOKUP(F1695,'Set up'!$A$2:$C$70,2,FALSE)</f>
        <v>C00000013a</v>
      </c>
      <c r="F1695" s="1" t="s">
        <v>1453</v>
      </c>
      <c r="G1695" s="89" t="s">
        <v>1444</v>
      </c>
      <c r="H1695" s="5">
        <v>3</v>
      </c>
      <c r="I1695" s="5" t="str">
        <f>VLOOKUP(F1695,'Set up'!$A$2:$C$70,3,FALSE)</f>
        <v>Cash</v>
      </c>
      <c r="J1695" s="5">
        <f>VLOOKUP(F1695,'Set up'!$A$2:$D$70,4,FALSE)</f>
        <v>0</v>
      </c>
      <c r="K1695" s="4">
        <f t="shared" si="400"/>
        <v>45064</v>
      </c>
      <c r="L1695" s="5">
        <f t="shared" si="401"/>
        <v>5</v>
      </c>
      <c r="M1695" s="5">
        <f t="shared" si="402"/>
        <v>2023</v>
      </c>
      <c r="N1695" s="6">
        <v>1279.8000000000002</v>
      </c>
      <c r="O1695" s="6">
        <f t="shared" si="408"/>
        <v>-1279.8000000000002</v>
      </c>
      <c r="P1695" s="6">
        <f t="shared" si="406"/>
        <v>0</v>
      </c>
      <c r="Q1695" s="7">
        <f t="shared" si="403"/>
        <v>3114929.4500000011</v>
      </c>
      <c r="R1695" s="44" t="str">
        <f>VLOOKUP(F1695,'Set up'!$A$2:$E$70,5,FALSE)</f>
        <v>Chq</v>
      </c>
      <c r="S1695" s="1" t="s">
        <v>1600</v>
      </c>
    </row>
    <row r="1696" spans="1:21" x14ac:dyDescent="0.3">
      <c r="A1696" s="4" t="s">
        <v>1552</v>
      </c>
      <c r="B1696" s="5">
        <f t="shared" si="398"/>
        <v>5</v>
      </c>
      <c r="C1696" s="5">
        <f t="shared" si="399"/>
        <v>2023</v>
      </c>
      <c r="D1696" s="5" t="s">
        <v>1551</v>
      </c>
      <c r="E1696" s="5" t="str">
        <f>VLOOKUP(F1696,'Set up'!$A$2:$C$70,2,FALSE)</f>
        <v>C00000013a</v>
      </c>
      <c r="F1696" s="1" t="s">
        <v>1453</v>
      </c>
      <c r="G1696" s="89" t="s">
        <v>1445</v>
      </c>
      <c r="H1696" s="5">
        <v>5</v>
      </c>
      <c r="I1696" s="5" t="str">
        <f>VLOOKUP(F1696,'Set up'!$A$2:$C$70,3,FALSE)</f>
        <v>Cash</v>
      </c>
      <c r="J1696" s="5">
        <f>VLOOKUP(F1696,'Set up'!$A$2:$D$70,4,FALSE)</f>
        <v>0</v>
      </c>
      <c r="K1696" s="4">
        <f t="shared" si="400"/>
        <v>45064</v>
      </c>
      <c r="L1696" s="5">
        <f t="shared" si="401"/>
        <v>5</v>
      </c>
      <c r="M1696" s="5">
        <f t="shared" si="402"/>
        <v>2023</v>
      </c>
      <c r="N1696" s="6">
        <v>1290</v>
      </c>
      <c r="O1696" s="6">
        <f t="shared" si="408"/>
        <v>-1290</v>
      </c>
      <c r="P1696" s="6">
        <f t="shared" si="406"/>
        <v>0</v>
      </c>
      <c r="Q1696" s="7">
        <f t="shared" si="403"/>
        <v>3116219.4500000011</v>
      </c>
      <c r="R1696" s="44" t="str">
        <f>VLOOKUP(F1696,'Set up'!$A$2:$E$70,5,FALSE)</f>
        <v>Chq</v>
      </c>
      <c r="S1696" s="1" t="s">
        <v>1601</v>
      </c>
    </row>
    <row r="1697" spans="1:19" x14ac:dyDescent="0.3">
      <c r="A1697" s="4" t="s">
        <v>1552</v>
      </c>
      <c r="B1697" s="5">
        <f t="shared" si="398"/>
        <v>5</v>
      </c>
      <c r="C1697" s="5">
        <f t="shared" si="399"/>
        <v>2023</v>
      </c>
      <c r="D1697" s="5" t="s">
        <v>1551</v>
      </c>
      <c r="E1697" s="5" t="str">
        <f>VLOOKUP(F1697,'Set up'!$A$2:$C$70,2,FALSE)</f>
        <v>C00000013a</v>
      </c>
      <c r="F1697" s="1" t="s">
        <v>1453</v>
      </c>
      <c r="G1697" s="89" t="s">
        <v>1446</v>
      </c>
      <c r="H1697" s="5">
        <v>3</v>
      </c>
      <c r="I1697" s="5" t="str">
        <f>VLOOKUP(F1697,'Set up'!$A$2:$C$70,3,FALSE)</f>
        <v>Cash</v>
      </c>
      <c r="J1697" s="5">
        <f>VLOOKUP(F1697,'Set up'!$A$2:$D$70,4,FALSE)</f>
        <v>0</v>
      </c>
      <c r="K1697" s="4">
        <f t="shared" si="400"/>
        <v>45064</v>
      </c>
      <c r="L1697" s="5">
        <f t="shared" si="401"/>
        <v>5</v>
      </c>
      <c r="M1697" s="5">
        <f t="shared" si="402"/>
        <v>2023</v>
      </c>
      <c r="N1697" s="6">
        <v>150</v>
      </c>
      <c r="O1697" s="6">
        <f t="shared" si="408"/>
        <v>-150</v>
      </c>
      <c r="P1697" s="6">
        <f t="shared" si="406"/>
        <v>0</v>
      </c>
      <c r="Q1697" s="7">
        <f t="shared" si="403"/>
        <v>3116369.4500000011</v>
      </c>
      <c r="R1697" s="44" t="str">
        <f>VLOOKUP(F1697,'Set up'!$A$2:$E$70,5,FALSE)</f>
        <v>Chq</v>
      </c>
      <c r="S1697" s="1" t="s">
        <v>1602</v>
      </c>
    </row>
    <row r="1698" spans="1:19" x14ac:dyDescent="0.3">
      <c r="A1698" s="4" t="s">
        <v>1552</v>
      </c>
      <c r="B1698" s="5">
        <f t="shared" si="398"/>
        <v>5</v>
      </c>
      <c r="C1698" s="5">
        <f t="shared" si="399"/>
        <v>2023</v>
      </c>
      <c r="D1698" s="5" t="s">
        <v>1551</v>
      </c>
      <c r="E1698" s="5" t="str">
        <f>VLOOKUP(F1698,'Set up'!$A$2:$C$70,2,FALSE)</f>
        <v>C00000013a</v>
      </c>
      <c r="F1698" s="1" t="s">
        <v>1453</v>
      </c>
      <c r="G1698" s="89" t="s">
        <v>1447</v>
      </c>
      <c r="H1698" s="5">
        <v>2</v>
      </c>
      <c r="I1698" s="5" t="str">
        <f>VLOOKUP(F1698,'Set up'!$A$2:$C$70,3,FALSE)</f>
        <v>Cash</v>
      </c>
      <c r="J1698" s="5">
        <f>VLOOKUP(F1698,'Set up'!$A$2:$D$70,4,FALSE)</f>
        <v>0</v>
      </c>
      <c r="K1698" s="4">
        <f t="shared" si="400"/>
        <v>45064</v>
      </c>
      <c r="L1698" s="5">
        <f t="shared" si="401"/>
        <v>5</v>
      </c>
      <c r="M1698" s="5">
        <f t="shared" si="402"/>
        <v>2023</v>
      </c>
      <c r="N1698" s="6">
        <v>1600</v>
      </c>
      <c r="O1698" s="6">
        <f t="shared" si="408"/>
        <v>-1600</v>
      </c>
      <c r="P1698" s="6">
        <f t="shared" si="406"/>
        <v>0</v>
      </c>
      <c r="Q1698" s="7">
        <f t="shared" si="403"/>
        <v>3117969.4500000011</v>
      </c>
      <c r="R1698" s="44" t="str">
        <f>VLOOKUP(F1698,'Set up'!$A$2:$E$70,5,FALSE)</f>
        <v>Chq</v>
      </c>
      <c r="S1698" s="1" t="s">
        <v>1603</v>
      </c>
    </row>
    <row r="1699" spans="1:19" x14ac:dyDescent="0.3">
      <c r="A1699" s="4" t="s">
        <v>1552</v>
      </c>
      <c r="B1699" s="5">
        <f t="shared" si="398"/>
        <v>5</v>
      </c>
      <c r="C1699" s="5">
        <f t="shared" si="399"/>
        <v>2023</v>
      </c>
      <c r="D1699" s="5" t="s">
        <v>1551</v>
      </c>
      <c r="E1699" s="5" t="str">
        <f>VLOOKUP(F1699,'Set up'!$A$2:$C$70,2,FALSE)</f>
        <v>C00000013a</v>
      </c>
      <c r="F1699" s="1" t="s">
        <v>1453</v>
      </c>
      <c r="G1699" s="89" t="s">
        <v>1448</v>
      </c>
      <c r="H1699" s="5">
        <v>3</v>
      </c>
      <c r="I1699" s="5" t="str">
        <f>VLOOKUP(F1699,'Set up'!$A$2:$C$70,3,FALSE)</f>
        <v>Cash</v>
      </c>
      <c r="J1699" s="5">
        <f>VLOOKUP(F1699,'Set up'!$A$2:$D$70,4,FALSE)</f>
        <v>0</v>
      </c>
      <c r="K1699" s="4">
        <f t="shared" si="400"/>
        <v>45064</v>
      </c>
      <c r="L1699" s="5">
        <f t="shared" si="401"/>
        <v>5</v>
      </c>
      <c r="M1699" s="5">
        <f t="shared" si="402"/>
        <v>2023</v>
      </c>
      <c r="N1699" s="6">
        <v>1290</v>
      </c>
      <c r="O1699" s="6">
        <f>-963.6-326.4</f>
        <v>-1290</v>
      </c>
      <c r="P1699" s="6">
        <f t="shared" si="406"/>
        <v>0</v>
      </c>
      <c r="Q1699" s="7">
        <f t="shared" si="403"/>
        <v>3119259.4500000011</v>
      </c>
      <c r="R1699" s="44" t="str">
        <f>VLOOKUP(F1699,'Set up'!$A$2:$E$70,5,FALSE)</f>
        <v>Chq</v>
      </c>
      <c r="S1699" s="1" t="s">
        <v>1604</v>
      </c>
    </row>
    <row r="1700" spans="1:19" x14ac:dyDescent="0.3">
      <c r="A1700" s="4" t="s">
        <v>1552</v>
      </c>
      <c r="B1700" s="5">
        <f t="shared" si="398"/>
        <v>5</v>
      </c>
      <c r="C1700" s="5">
        <f t="shared" si="399"/>
        <v>2023</v>
      </c>
      <c r="D1700" s="5" t="s">
        <v>1551</v>
      </c>
      <c r="E1700" s="5" t="str">
        <f>VLOOKUP(F1700,'Set up'!$A$2:$C$70,2,FALSE)</f>
        <v>C00000013a</v>
      </c>
      <c r="F1700" s="1" t="s">
        <v>1453</v>
      </c>
      <c r="G1700" s="89" t="s">
        <v>1449</v>
      </c>
      <c r="H1700" s="5">
        <v>6</v>
      </c>
      <c r="I1700" s="5" t="str">
        <f>VLOOKUP(F1700,'Set up'!$A$2:$C$70,3,FALSE)</f>
        <v>Cash</v>
      </c>
      <c r="J1700" s="5">
        <f>VLOOKUP(F1700,'Set up'!$A$2:$D$70,4,FALSE)</f>
        <v>0</v>
      </c>
      <c r="K1700" s="4">
        <f t="shared" si="400"/>
        <v>45064</v>
      </c>
      <c r="L1700" s="5">
        <f t="shared" si="401"/>
        <v>5</v>
      </c>
      <c r="M1700" s="5">
        <f t="shared" si="402"/>
        <v>2023</v>
      </c>
      <c r="N1700" s="6">
        <v>660</v>
      </c>
      <c r="O1700" s="6">
        <f t="shared" si="408"/>
        <v>-660</v>
      </c>
      <c r="P1700" s="6">
        <f t="shared" si="406"/>
        <v>0</v>
      </c>
      <c r="Q1700" s="7">
        <f t="shared" si="403"/>
        <v>3119919.4500000011</v>
      </c>
      <c r="R1700" s="44" t="str">
        <f>VLOOKUP(F1700,'Set up'!$A$2:$E$70,5,FALSE)</f>
        <v>Chq</v>
      </c>
      <c r="S1700" s="1" t="s">
        <v>1605</v>
      </c>
    </row>
    <row r="1701" spans="1:19" x14ac:dyDescent="0.3">
      <c r="A1701" s="4" t="s">
        <v>1552</v>
      </c>
      <c r="B1701" s="5">
        <f t="shared" si="398"/>
        <v>5</v>
      </c>
      <c r="C1701" s="5">
        <f t="shared" si="399"/>
        <v>2023</v>
      </c>
      <c r="D1701" s="5" t="s">
        <v>1553</v>
      </c>
      <c r="E1701" s="5" t="str">
        <f>VLOOKUP(F1701,'Set up'!$A$2:$C$70,2,FALSE)</f>
        <v>C00000034</v>
      </c>
      <c r="F1701" s="1" t="s">
        <v>1196</v>
      </c>
      <c r="G1701" s="89" t="s">
        <v>1351</v>
      </c>
      <c r="H1701" s="5">
        <v>8</v>
      </c>
      <c r="I1701" s="5" t="str">
        <f>VLOOKUP(F1701,'Set up'!$A$2:$C$70,3,FALSE)</f>
        <v>Cash</v>
      </c>
      <c r="J1701" s="5">
        <f>VLOOKUP(F1701,'Set up'!$A$2:$D$70,4,FALSE)</f>
        <v>0</v>
      </c>
      <c r="K1701" s="4">
        <f t="shared" si="400"/>
        <v>45064</v>
      </c>
      <c r="L1701" s="5">
        <f t="shared" si="401"/>
        <v>5</v>
      </c>
      <c r="M1701" s="5">
        <f t="shared" si="402"/>
        <v>2023</v>
      </c>
      <c r="N1701" s="6">
        <v>1112</v>
      </c>
      <c r="O1701" s="6">
        <f t="shared" ref="O1701:O1704" si="409">-N1701</f>
        <v>-1112</v>
      </c>
      <c r="P1701" s="6">
        <f t="shared" si="406"/>
        <v>0</v>
      </c>
      <c r="Q1701" s="7">
        <f t="shared" si="403"/>
        <v>3121031.4500000011</v>
      </c>
      <c r="R1701" s="44" t="str">
        <f>VLOOKUP(F1701,'Set up'!$A$2:$E$70,5,FALSE)</f>
        <v>Trsf</v>
      </c>
      <c r="S1701" s="1" t="s">
        <v>1583</v>
      </c>
    </row>
    <row r="1702" spans="1:19" x14ac:dyDescent="0.3">
      <c r="A1702" s="4" t="s">
        <v>1552</v>
      </c>
      <c r="B1702" s="5">
        <f t="shared" si="398"/>
        <v>5</v>
      </c>
      <c r="C1702" s="5">
        <f t="shared" si="399"/>
        <v>2023</v>
      </c>
      <c r="D1702" s="5" t="s">
        <v>1553</v>
      </c>
      <c r="E1702" s="5" t="str">
        <f>VLOOKUP(F1702,'Set up'!$A$2:$C$70,2,FALSE)</f>
        <v>C00000034</v>
      </c>
      <c r="F1702" s="1" t="s">
        <v>1196</v>
      </c>
      <c r="G1702" s="89" t="s">
        <v>1110</v>
      </c>
      <c r="H1702" s="5">
        <v>1</v>
      </c>
      <c r="I1702" s="5" t="str">
        <f>VLOOKUP(F1702,'Set up'!$A$2:$C$70,3,FALSE)</f>
        <v>Cash</v>
      </c>
      <c r="J1702" s="5">
        <f>VLOOKUP(F1702,'Set up'!$A$2:$D$70,4,FALSE)</f>
        <v>0</v>
      </c>
      <c r="K1702" s="4">
        <f t="shared" si="400"/>
        <v>45064</v>
      </c>
      <c r="L1702" s="5">
        <f t="shared" si="401"/>
        <v>5</v>
      </c>
      <c r="M1702" s="5">
        <f t="shared" si="402"/>
        <v>2023</v>
      </c>
      <c r="N1702" s="6">
        <v>62.5</v>
      </c>
      <c r="O1702" s="6">
        <f t="shared" si="409"/>
        <v>-62.5</v>
      </c>
      <c r="P1702" s="6">
        <f t="shared" si="406"/>
        <v>0</v>
      </c>
      <c r="Q1702" s="7">
        <f t="shared" si="403"/>
        <v>3121093.9500000011</v>
      </c>
      <c r="R1702" s="44" t="str">
        <f>VLOOKUP(F1702,'Set up'!$A$2:$E$70,5,FALSE)</f>
        <v>Trsf</v>
      </c>
      <c r="S1702" s="1" t="s">
        <v>1583</v>
      </c>
    </row>
    <row r="1703" spans="1:19" x14ac:dyDescent="0.3">
      <c r="A1703" s="4">
        <v>45066</v>
      </c>
      <c r="B1703" s="5">
        <f t="shared" si="398"/>
        <v>5</v>
      </c>
      <c r="C1703" s="5">
        <f t="shared" si="399"/>
        <v>2023</v>
      </c>
      <c r="D1703" s="5" t="s">
        <v>1554</v>
      </c>
      <c r="E1703" s="5" t="str">
        <f>VLOOKUP(F1703,'Set up'!$A$2:$C$70,2,FALSE)</f>
        <v>C00000034</v>
      </c>
      <c r="F1703" s="1" t="s">
        <v>1196</v>
      </c>
      <c r="G1703" s="89" t="s">
        <v>301</v>
      </c>
      <c r="H1703" s="5">
        <v>1</v>
      </c>
      <c r="I1703" s="5" t="str">
        <f>VLOOKUP(F1703,'Set up'!$A$2:$C$70,3,FALSE)</f>
        <v>Cash</v>
      </c>
      <c r="J1703" s="5">
        <f>VLOOKUP(F1703,'Set up'!$A$2:$D$70,4,FALSE)</f>
        <v>0</v>
      </c>
      <c r="K1703" s="4">
        <f t="shared" si="400"/>
        <v>45066</v>
      </c>
      <c r="L1703" s="5">
        <f t="shared" si="401"/>
        <v>5</v>
      </c>
      <c r="M1703" s="5">
        <f t="shared" si="402"/>
        <v>2023</v>
      </c>
      <c r="N1703" s="6">
        <v>1912.5</v>
      </c>
      <c r="O1703" s="6">
        <f t="shared" si="409"/>
        <v>-1912.5</v>
      </c>
      <c r="P1703" s="6">
        <f t="shared" si="406"/>
        <v>0</v>
      </c>
      <c r="Q1703" s="7">
        <f t="shared" si="403"/>
        <v>3123006.4500000011</v>
      </c>
      <c r="R1703" s="44" t="str">
        <f>VLOOKUP(F1703,'Set up'!$A$2:$E$70,5,FALSE)</f>
        <v>Trsf</v>
      </c>
      <c r="S1703" s="1" t="s">
        <v>1584</v>
      </c>
    </row>
    <row r="1704" spans="1:19" x14ac:dyDescent="0.3">
      <c r="A1704" s="4">
        <v>45066</v>
      </c>
      <c r="B1704" s="5">
        <f t="shared" si="398"/>
        <v>5</v>
      </c>
      <c r="C1704" s="5">
        <f t="shared" si="399"/>
        <v>2023</v>
      </c>
      <c r="D1704" s="5" t="s">
        <v>1555</v>
      </c>
      <c r="E1704" s="5" t="str">
        <f>VLOOKUP(F1704,'Set up'!$A$2:$C$70,2,FALSE)</f>
        <v>C00000020</v>
      </c>
      <c r="F1704" s="1" t="s">
        <v>409</v>
      </c>
      <c r="G1704" s="89" t="s">
        <v>1110</v>
      </c>
      <c r="H1704" s="5">
        <v>3</v>
      </c>
      <c r="I1704" s="5" t="str">
        <f>VLOOKUP(F1704,'Set up'!$A$2:$C$70,3,FALSE)</f>
        <v>Cash</v>
      </c>
      <c r="J1704" s="5">
        <f>VLOOKUP(F1704,'Set up'!$A$2:$D$70,4,FALSE)</f>
        <v>0</v>
      </c>
      <c r="K1704" s="4">
        <f t="shared" si="400"/>
        <v>45066</v>
      </c>
      <c r="L1704" s="5">
        <f t="shared" si="401"/>
        <v>5</v>
      </c>
      <c r="M1704" s="5">
        <f t="shared" si="402"/>
        <v>2023</v>
      </c>
      <c r="N1704" s="6">
        <v>187.5</v>
      </c>
      <c r="O1704" s="6">
        <f t="shared" si="409"/>
        <v>-187.5</v>
      </c>
      <c r="P1704" s="6">
        <f t="shared" si="406"/>
        <v>0</v>
      </c>
      <c r="Q1704" s="7">
        <f t="shared" si="403"/>
        <v>3123193.9500000011</v>
      </c>
      <c r="R1704" s="44" t="str">
        <f>VLOOKUP(F1704,'Set up'!$A$2:$E$70,5,FALSE)</f>
        <v>Trsf</v>
      </c>
      <c r="S1704" s="1" t="s">
        <v>2465</v>
      </c>
    </row>
    <row r="1705" spans="1:19" x14ac:dyDescent="0.3">
      <c r="A1705" s="4">
        <v>45066</v>
      </c>
      <c r="B1705" s="5">
        <f t="shared" si="398"/>
        <v>5</v>
      </c>
      <c r="C1705" s="5">
        <f t="shared" si="399"/>
        <v>2023</v>
      </c>
      <c r="D1705" s="5" t="s">
        <v>1556</v>
      </c>
      <c r="E1705" s="5" t="str">
        <f>VLOOKUP(F1705,'Set up'!$A$2:$C$70,2,FALSE)</f>
        <v>C00000020</v>
      </c>
      <c r="F1705" s="1" t="s">
        <v>409</v>
      </c>
      <c r="G1705" s="89" t="s">
        <v>719</v>
      </c>
      <c r="H1705" s="5">
        <v>3</v>
      </c>
      <c r="I1705" s="5" t="str">
        <f>VLOOKUP(F1705,'Set up'!$A$2:$C$70,3,FALSE)</f>
        <v>Cash</v>
      </c>
      <c r="J1705" s="5">
        <f>VLOOKUP(F1705,'Set up'!$A$2:$D$70,4,FALSE)</f>
        <v>0</v>
      </c>
      <c r="K1705" s="4">
        <f t="shared" si="400"/>
        <v>45066</v>
      </c>
      <c r="L1705" s="5">
        <f t="shared" si="401"/>
        <v>5</v>
      </c>
      <c r="M1705" s="5">
        <f t="shared" si="402"/>
        <v>2023</v>
      </c>
      <c r="N1705" s="6">
        <v>5412</v>
      </c>
      <c r="O1705" s="6">
        <f>-5215.4-196.6</f>
        <v>-5412</v>
      </c>
      <c r="P1705" s="6">
        <f t="shared" si="406"/>
        <v>0</v>
      </c>
      <c r="Q1705" s="7">
        <f t="shared" si="403"/>
        <v>3128605.9500000011</v>
      </c>
      <c r="R1705" s="44" t="str">
        <f>VLOOKUP(F1705,'Set up'!$A$2:$E$70,5,FALSE)</f>
        <v>Trsf</v>
      </c>
      <c r="S1705" s="1" t="s">
        <v>2466</v>
      </c>
    </row>
    <row r="1706" spans="1:19" x14ac:dyDescent="0.3">
      <c r="A1706" s="4">
        <v>45066</v>
      </c>
      <c r="B1706" s="5">
        <f t="shared" si="398"/>
        <v>5</v>
      </c>
      <c r="C1706" s="5">
        <f t="shared" si="399"/>
        <v>2023</v>
      </c>
      <c r="D1706" s="5" t="s">
        <v>1556</v>
      </c>
      <c r="E1706" s="5" t="str">
        <f>VLOOKUP(F1706,'Set up'!$A$2:$C$70,2,FALSE)</f>
        <v>C00000020</v>
      </c>
      <c r="F1706" s="1" t="s">
        <v>409</v>
      </c>
      <c r="G1706" s="89" t="s">
        <v>654</v>
      </c>
      <c r="H1706" s="5">
        <v>11</v>
      </c>
      <c r="I1706" s="5" t="str">
        <f>VLOOKUP(F1706,'Set up'!$A$2:$C$70,3,FALSE)</f>
        <v>Cash</v>
      </c>
      <c r="J1706" s="5">
        <f>VLOOKUP(F1706,'Set up'!$A$2:$D$70,4,FALSE)</f>
        <v>0</v>
      </c>
      <c r="K1706" s="4">
        <f t="shared" si="400"/>
        <v>45066</v>
      </c>
      <c r="L1706" s="5">
        <f t="shared" si="401"/>
        <v>5</v>
      </c>
      <c r="M1706" s="5">
        <f t="shared" si="402"/>
        <v>2023</v>
      </c>
      <c r="N1706" s="6">
        <v>2508</v>
      </c>
      <c r="O1706" s="6">
        <f t="shared" ref="O1706:O1708" si="410">-N1706</f>
        <v>-2508</v>
      </c>
      <c r="P1706" s="6">
        <f t="shared" si="406"/>
        <v>0</v>
      </c>
      <c r="Q1706" s="7">
        <f t="shared" si="403"/>
        <v>3131113.9500000011</v>
      </c>
      <c r="R1706" s="44" t="str">
        <f>VLOOKUP(F1706,'Set up'!$A$2:$E$70,5,FALSE)</f>
        <v>Trsf</v>
      </c>
      <c r="S1706" s="1" t="s">
        <v>2467</v>
      </c>
    </row>
    <row r="1707" spans="1:19" ht="15" customHeight="1" x14ac:dyDescent="0.3">
      <c r="A1707" s="4">
        <v>45066</v>
      </c>
      <c r="B1707" s="5">
        <f t="shared" si="398"/>
        <v>5</v>
      </c>
      <c r="C1707" s="5">
        <f t="shared" si="399"/>
        <v>2023</v>
      </c>
      <c r="D1707" s="5" t="s">
        <v>1556</v>
      </c>
      <c r="E1707" s="5" t="str">
        <f>VLOOKUP(F1707,'Set up'!$A$2:$C$70,2,FALSE)</f>
        <v>C00000020</v>
      </c>
      <c r="F1707" s="1" t="s">
        <v>409</v>
      </c>
      <c r="G1707" s="89" t="s">
        <v>1437</v>
      </c>
      <c r="H1707" s="5">
        <v>3</v>
      </c>
      <c r="I1707" s="5" t="str">
        <f>VLOOKUP(F1707,'Set up'!$A$2:$C$70,3,FALSE)</f>
        <v>Cash</v>
      </c>
      <c r="J1707" s="5">
        <f>VLOOKUP(F1707,'Set up'!$A$2:$D$70,4,FALSE)</f>
        <v>0</v>
      </c>
      <c r="K1707" s="4">
        <f t="shared" si="400"/>
        <v>45066</v>
      </c>
      <c r="L1707" s="5">
        <f t="shared" si="401"/>
        <v>5</v>
      </c>
      <c r="M1707" s="5">
        <f t="shared" si="402"/>
        <v>2023</v>
      </c>
      <c r="N1707" s="6">
        <v>793.80000000000007</v>
      </c>
      <c r="O1707" s="6">
        <f t="shared" si="410"/>
        <v>-793.80000000000007</v>
      </c>
      <c r="P1707" s="6">
        <f t="shared" si="406"/>
        <v>0</v>
      </c>
      <c r="Q1707" s="7">
        <f t="shared" si="403"/>
        <v>3131907.7500000009</v>
      </c>
      <c r="R1707" s="44" t="str">
        <f>VLOOKUP(F1707,'Set up'!$A$2:$E$70,5,FALSE)</f>
        <v>Trsf</v>
      </c>
      <c r="S1707" s="1" t="s">
        <v>2468</v>
      </c>
    </row>
    <row r="1708" spans="1:19" ht="15" customHeight="1" x14ac:dyDescent="0.3">
      <c r="A1708" s="4">
        <v>45066</v>
      </c>
      <c r="B1708" s="5">
        <f t="shared" si="398"/>
        <v>5</v>
      </c>
      <c r="C1708" s="5">
        <f t="shared" si="399"/>
        <v>2023</v>
      </c>
      <c r="D1708" s="5" t="s">
        <v>1556</v>
      </c>
      <c r="E1708" s="5" t="str">
        <f>VLOOKUP(F1708,'Set up'!$A$2:$C$70,2,FALSE)</f>
        <v>C00000020</v>
      </c>
      <c r="F1708" s="1" t="s">
        <v>409</v>
      </c>
      <c r="G1708" s="89" t="s">
        <v>1073</v>
      </c>
      <c r="H1708" s="5">
        <v>2</v>
      </c>
      <c r="I1708" s="5" t="str">
        <f>VLOOKUP(F1708,'Set up'!$A$2:$C$70,3,FALSE)</f>
        <v>Cash</v>
      </c>
      <c r="J1708" s="5">
        <f>VLOOKUP(F1708,'Set up'!$A$2:$D$70,4,FALSE)</f>
        <v>0</v>
      </c>
      <c r="K1708" s="4">
        <f t="shared" si="400"/>
        <v>45066</v>
      </c>
      <c r="L1708" s="5">
        <f t="shared" si="401"/>
        <v>5</v>
      </c>
      <c r="M1708" s="5">
        <f t="shared" si="402"/>
        <v>2023</v>
      </c>
      <c r="N1708" s="6">
        <v>2000</v>
      </c>
      <c r="O1708" s="6">
        <f t="shared" si="410"/>
        <v>-2000</v>
      </c>
      <c r="P1708" s="6">
        <f t="shared" ref="P1708:P1731" si="411">SUM(N1708+O1708)</f>
        <v>0</v>
      </c>
      <c r="Q1708" s="7">
        <f t="shared" si="403"/>
        <v>3133907.7500000009</v>
      </c>
      <c r="R1708" s="44" t="str">
        <f>VLOOKUP(F1708,'Set up'!$A$2:$E$70,5,FALSE)</f>
        <v>Trsf</v>
      </c>
      <c r="S1708" s="1" t="s">
        <v>2469</v>
      </c>
    </row>
    <row r="1709" spans="1:19" ht="15" customHeight="1" x14ac:dyDescent="0.3">
      <c r="A1709" s="4">
        <v>45066</v>
      </c>
      <c r="B1709" s="5">
        <f t="shared" si="398"/>
        <v>5</v>
      </c>
      <c r="C1709" s="5">
        <f t="shared" si="399"/>
        <v>2023</v>
      </c>
      <c r="D1709" s="5" t="s">
        <v>1557</v>
      </c>
      <c r="E1709" s="5" t="str">
        <f>VLOOKUP(F1709,'Set up'!$A$2:$C$70,2,FALSE)</f>
        <v>C00000014</v>
      </c>
      <c r="F1709" s="1" t="s">
        <v>262</v>
      </c>
      <c r="G1709" s="89" t="s">
        <v>722</v>
      </c>
      <c r="H1709" s="5">
        <v>1</v>
      </c>
      <c r="I1709" s="5" t="str">
        <f>VLOOKUP(F1709,'Set up'!$A$2:$C$70,3,FALSE)</f>
        <v>Cash</v>
      </c>
      <c r="J1709" s="5">
        <f>VLOOKUP(F1709,'Set up'!$A$2:$D$70,4,FALSE)</f>
        <v>0</v>
      </c>
      <c r="K1709" s="4">
        <f t="shared" si="400"/>
        <v>45066</v>
      </c>
      <c r="L1709" s="5">
        <f t="shared" si="401"/>
        <v>5</v>
      </c>
      <c r="M1709" s="5">
        <f t="shared" si="402"/>
        <v>2023</v>
      </c>
      <c r="N1709" s="6">
        <v>1804</v>
      </c>
      <c r="O1709" s="6">
        <f t="shared" ref="O1709:O1711" si="412">-N1709</f>
        <v>-1804</v>
      </c>
      <c r="P1709" s="6">
        <f t="shared" si="411"/>
        <v>0</v>
      </c>
      <c r="Q1709" s="7">
        <f t="shared" si="403"/>
        <v>3135711.7500000009</v>
      </c>
      <c r="R1709" s="44" t="str">
        <f>VLOOKUP(F1709,'Set up'!$A$2:$E$70,5,FALSE)</f>
        <v>Cash</v>
      </c>
      <c r="S1709" s="1" t="s">
        <v>1595</v>
      </c>
    </row>
    <row r="1710" spans="1:19" ht="15" customHeight="1" x14ac:dyDescent="0.3">
      <c r="A1710" s="4">
        <v>45071</v>
      </c>
      <c r="B1710" s="5">
        <f t="shared" si="398"/>
        <v>5</v>
      </c>
      <c r="C1710" s="5">
        <f t="shared" si="399"/>
        <v>2023</v>
      </c>
      <c r="D1710" s="5" t="s">
        <v>1557</v>
      </c>
      <c r="E1710" s="5" t="str">
        <f>VLOOKUP(F1710,'Set up'!$A$2:$C$70,2,FALSE)</f>
        <v>C00000014</v>
      </c>
      <c r="F1710" s="1" t="s">
        <v>262</v>
      </c>
      <c r="G1710" s="89" t="s">
        <v>988</v>
      </c>
      <c r="H1710" s="5">
        <v>4</v>
      </c>
      <c r="I1710" s="5" t="str">
        <f>VLOOKUP(F1710,'Set up'!$A$2:$C$70,3,FALSE)</f>
        <v>Cash</v>
      </c>
      <c r="J1710" s="5">
        <f>VLOOKUP(F1710,'Set up'!$A$2:$D$70,4,FALSE)</f>
        <v>0</v>
      </c>
      <c r="K1710" s="4">
        <f t="shared" si="400"/>
        <v>45071</v>
      </c>
      <c r="L1710" s="5">
        <f t="shared" si="401"/>
        <v>5</v>
      </c>
      <c r="M1710" s="5">
        <f t="shared" si="402"/>
        <v>2023</v>
      </c>
      <c r="N1710" s="6">
        <v>948</v>
      </c>
      <c r="O1710" s="6">
        <f t="shared" si="412"/>
        <v>-948</v>
      </c>
      <c r="P1710" s="6">
        <f t="shared" si="411"/>
        <v>0</v>
      </c>
      <c r="Q1710" s="7">
        <f t="shared" si="403"/>
        <v>3136659.7500000009</v>
      </c>
      <c r="R1710" s="44" t="str">
        <f>VLOOKUP(F1710,'Set up'!$A$2:$E$70,5,FALSE)</f>
        <v>Cash</v>
      </c>
      <c r="S1710" s="1" t="s">
        <v>1595</v>
      </c>
    </row>
    <row r="1711" spans="1:19" ht="15" customHeight="1" x14ac:dyDescent="0.3">
      <c r="A1711" s="4">
        <v>45071</v>
      </c>
      <c r="B1711" s="5">
        <f t="shared" si="398"/>
        <v>5</v>
      </c>
      <c r="C1711" s="5">
        <f t="shared" si="399"/>
        <v>2023</v>
      </c>
      <c r="D1711" s="5" t="s">
        <v>1557</v>
      </c>
      <c r="E1711" s="5" t="str">
        <f>VLOOKUP(F1711,'Set up'!$A$2:$C$70,2,FALSE)</f>
        <v>C00000014</v>
      </c>
      <c r="F1711" s="1" t="s">
        <v>262</v>
      </c>
      <c r="G1711" s="89" t="s">
        <v>865</v>
      </c>
      <c r="H1711" s="5">
        <v>2</v>
      </c>
      <c r="I1711" s="5" t="str">
        <f>VLOOKUP(F1711,'Set up'!$A$2:$C$70,3,FALSE)</f>
        <v>Cash</v>
      </c>
      <c r="J1711" s="5">
        <f>VLOOKUP(F1711,'Set up'!$A$2:$D$70,4,FALSE)</f>
        <v>0</v>
      </c>
      <c r="K1711" s="4">
        <f t="shared" si="400"/>
        <v>45071</v>
      </c>
      <c r="L1711" s="5">
        <f t="shared" si="401"/>
        <v>5</v>
      </c>
      <c r="M1711" s="5">
        <f t="shared" si="402"/>
        <v>2023</v>
      </c>
      <c r="N1711" s="6">
        <v>516</v>
      </c>
      <c r="O1711" s="6">
        <f t="shared" si="412"/>
        <v>-516</v>
      </c>
      <c r="P1711" s="6">
        <f t="shared" si="411"/>
        <v>0</v>
      </c>
      <c r="Q1711" s="7">
        <f t="shared" si="403"/>
        <v>3137175.7500000009</v>
      </c>
      <c r="R1711" s="44" t="str">
        <f>VLOOKUP(F1711,'Set up'!$A$2:$E$70,5,FALSE)</f>
        <v>Cash</v>
      </c>
      <c r="S1711" s="1" t="s">
        <v>1595</v>
      </c>
    </row>
    <row r="1712" spans="1:19" ht="15" customHeight="1" x14ac:dyDescent="0.3">
      <c r="A1712" s="4">
        <v>45071</v>
      </c>
      <c r="B1712" s="5">
        <f t="shared" si="398"/>
        <v>5</v>
      </c>
      <c r="C1712" s="5">
        <f t="shared" si="399"/>
        <v>2023</v>
      </c>
      <c r="D1712" s="5" t="s">
        <v>1557</v>
      </c>
      <c r="E1712" s="5" t="str">
        <f>VLOOKUP(F1712,'Set up'!$A$2:$C$70,2,FALSE)</f>
        <v>C00000014</v>
      </c>
      <c r="F1712" s="1" t="s">
        <v>262</v>
      </c>
      <c r="G1712" s="89" t="s">
        <v>894</v>
      </c>
      <c r="H1712" s="5">
        <v>2</v>
      </c>
      <c r="I1712" s="5" t="str">
        <f>VLOOKUP(F1712,'Set up'!$A$2:$C$70,3,FALSE)</f>
        <v>Cash</v>
      </c>
      <c r="J1712" s="5">
        <f>VLOOKUP(F1712,'Set up'!$A$2:$D$70,4,FALSE)</f>
        <v>0</v>
      </c>
      <c r="K1712" s="4">
        <f t="shared" si="400"/>
        <v>45071</v>
      </c>
      <c r="L1712" s="5">
        <f t="shared" si="401"/>
        <v>5</v>
      </c>
      <c r="M1712" s="5">
        <f t="shared" si="402"/>
        <v>2023</v>
      </c>
      <c r="N1712" s="6">
        <v>320</v>
      </c>
      <c r="O1712" s="6">
        <f>-N1712</f>
        <v>-320</v>
      </c>
      <c r="P1712" s="6">
        <f>SUM(N1712+O1712)</f>
        <v>0</v>
      </c>
      <c r="Q1712" s="7">
        <f t="shared" si="403"/>
        <v>3137495.7500000009</v>
      </c>
      <c r="R1712" s="44" t="str">
        <f>VLOOKUP(F1712,'Set up'!$A$2:$E$70,5,FALSE)</f>
        <v>Cash</v>
      </c>
      <c r="S1712" s="1" t="s">
        <v>1595</v>
      </c>
    </row>
    <row r="1713" spans="1:19" ht="15" customHeight="1" x14ac:dyDescent="0.3">
      <c r="A1713" s="4">
        <v>45071</v>
      </c>
      <c r="B1713" s="5">
        <f t="shared" si="398"/>
        <v>5</v>
      </c>
      <c r="C1713" s="5">
        <f t="shared" si="399"/>
        <v>2023</v>
      </c>
      <c r="D1713" s="5" t="s">
        <v>1558</v>
      </c>
      <c r="E1713" s="5" t="str">
        <f>VLOOKUP(F1713,'Set up'!$A$2:$C$70,2,FALSE)</f>
        <v>C00000038</v>
      </c>
      <c r="F1713" s="1" t="s">
        <v>1420</v>
      </c>
      <c r="G1713" s="103" t="s">
        <v>1608</v>
      </c>
      <c r="H1713" s="5">
        <v>1</v>
      </c>
      <c r="I1713" s="5" t="str">
        <f>VLOOKUP(F1713,'Set up'!$A$2:$C$70,3,FALSE)</f>
        <v>Cash</v>
      </c>
      <c r="J1713" s="5">
        <f>VLOOKUP(F1713,'Set up'!$A$2:$D$70,4,FALSE)</f>
        <v>0</v>
      </c>
      <c r="K1713" s="4">
        <f t="shared" si="400"/>
        <v>45071</v>
      </c>
      <c r="L1713" s="5">
        <f t="shared" si="401"/>
        <v>5</v>
      </c>
      <c r="M1713" s="5">
        <f t="shared" si="402"/>
        <v>2023</v>
      </c>
      <c r="N1713" s="6">
        <v>350</v>
      </c>
      <c r="O1713" s="6">
        <f t="shared" ref="O1713" si="413">-N1713</f>
        <v>-350</v>
      </c>
      <c r="P1713" s="6">
        <f t="shared" si="411"/>
        <v>0</v>
      </c>
      <c r="Q1713" s="7">
        <f t="shared" si="403"/>
        <v>3137845.7500000009</v>
      </c>
      <c r="R1713" s="44" t="str">
        <f>VLOOKUP(F1713,'Set up'!$A$2:$E$70,5,FALSE)</f>
        <v>Trsf</v>
      </c>
      <c r="S1713" s="1" t="s">
        <v>1592</v>
      </c>
    </row>
    <row r="1714" spans="1:19" ht="15" customHeight="1" x14ac:dyDescent="0.3">
      <c r="A1714" s="4">
        <v>45072</v>
      </c>
      <c r="B1714" s="5">
        <f t="shared" si="398"/>
        <v>5</v>
      </c>
      <c r="C1714" s="5">
        <f t="shared" si="399"/>
        <v>2023</v>
      </c>
      <c r="D1714" s="5" t="s">
        <v>1559</v>
      </c>
      <c r="E1714" s="5" t="str">
        <f>VLOOKUP(F1714,'Set up'!$A$2:$C$70,2,FALSE)</f>
        <v>C00000020</v>
      </c>
      <c r="F1714" s="1" t="s">
        <v>409</v>
      </c>
      <c r="G1714" s="89" t="s">
        <v>719</v>
      </c>
      <c r="H1714" s="5">
        <v>1</v>
      </c>
      <c r="I1714" s="5" t="str">
        <f>VLOOKUP(F1714,'Set up'!$A$2:$C$70,3,FALSE)</f>
        <v>Cash</v>
      </c>
      <c r="J1714" s="5">
        <f>VLOOKUP(F1714,'Set up'!$A$2:$D$70,4,FALSE)</f>
        <v>0</v>
      </c>
      <c r="K1714" s="4">
        <f t="shared" si="400"/>
        <v>45072</v>
      </c>
      <c r="L1714" s="5">
        <f t="shared" si="401"/>
        <v>5</v>
      </c>
      <c r="M1714" s="5">
        <f t="shared" si="402"/>
        <v>2023</v>
      </c>
      <c r="N1714" s="6">
        <v>1804</v>
      </c>
      <c r="O1714" s="6">
        <f>-N1714</f>
        <v>-1804</v>
      </c>
      <c r="P1714" s="6">
        <f t="shared" si="411"/>
        <v>0</v>
      </c>
      <c r="Q1714" s="7">
        <f t="shared" si="403"/>
        <v>3139649.7500000009</v>
      </c>
      <c r="R1714" s="44" t="str">
        <f>VLOOKUP(F1714,'Set up'!$A$2:$E$70,5,FALSE)</f>
        <v>Trsf</v>
      </c>
      <c r="S1714" s="1" t="s">
        <v>1572</v>
      </c>
    </row>
    <row r="1715" spans="1:19" ht="15" customHeight="1" x14ac:dyDescent="0.3">
      <c r="A1715" s="4">
        <v>45072</v>
      </c>
      <c r="B1715" s="5">
        <f t="shared" si="398"/>
        <v>5</v>
      </c>
      <c r="C1715" s="5">
        <f t="shared" si="399"/>
        <v>2023</v>
      </c>
      <c r="D1715" s="5" t="s">
        <v>1559</v>
      </c>
      <c r="E1715" s="5" t="str">
        <f>VLOOKUP(F1715,'Set up'!$A$2:$C$70,2,FALSE)</f>
        <v>C00000020</v>
      </c>
      <c r="F1715" s="1" t="s">
        <v>409</v>
      </c>
      <c r="G1715" s="89" t="s">
        <v>913</v>
      </c>
      <c r="H1715" s="5">
        <v>3</v>
      </c>
      <c r="I1715" s="5" t="str">
        <f>VLOOKUP(F1715,'Set up'!$A$2:$C$70,3,FALSE)</f>
        <v>Cash</v>
      </c>
      <c r="J1715" s="5">
        <f>VLOOKUP(F1715,'Set up'!$A$2:$D$70,4,FALSE)</f>
        <v>0</v>
      </c>
      <c r="K1715" s="4">
        <f t="shared" si="400"/>
        <v>45072</v>
      </c>
      <c r="L1715" s="5">
        <f t="shared" si="401"/>
        <v>5</v>
      </c>
      <c r="M1715" s="5">
        <f t="shared" si="402"/>
        <v>2023</v>
      </c>
      <c r="N1715" s="6">
        <v>684</v>
      </c>
      <c r="O1715" s="6">
        <f>-N1715</f>
        <v>-684</v>
      </c>
      <c r="P1715" s="6">
        <f t="shared" si="411"/>
        <v>0</v>
      </c>
      <c r="Q1715" s="7">
        <f t="shared" si="403"/>
        <v>3140333.7500000009</v>
      </c>
      <c r="R1715" s="44" t="str">
        <f>VLOOKUP(F1715,'Set up'!$A$2:$E$70,5,FALSE)</f>
        <v>Trsf</v>
      </c>
      <c r="S1715" s="1" t="s">
        <v>1572</v>
      </c>
    </row>
    <row r="1716" spans="1:19" ht="15" customHeight="1" x14ac:dyDescent="0.3">
      <c r="A1716" s="4">
        <v>45072</v>
      </c>
      <c r="B1716" s="5">
        <f t="shared" si="398"/>
        <v>5</v>
      </c>
      <c r="C1716" s="5">
        <f t="shared" si="399"/>
        <v>2023</v>
      </c>
      <c r="D1716" s="5" t="s">
        <v>1559</v>
      </c>
      <c r="E1716" s="5" t="str">
        <f>VLOOKUP(F1716,'Set up'!$A$2:$C$70,2,FALSE)</f>
        <v>C00000020</v>
      </c>
      <c r="F1716" s="1" t="s">
        <v>409</v>
      </c>
      <c r="G1716" s="89" t="s">
        <v>1168</v>
      </c>
      <c r="H1716" s="5">
        <v>1</v>
      </c>
      <c r="I1716" s="5" t="str">
        <f>VLOOKUP(F1716,'Set up'!$A$2:$C$70,3,FALSE)</f>
        <v>Cash</v>
      </c>
      <c r="J1716" s="5">
        <f>VLOOKUP(F1716,'Set up'!$A$2:$D$70,4,FALSE)</f>
        <v>0</v>
      </c>
      <c r="K1716" s="4">
        <f t="shared" si="400"/>
        <v>45072</v>
      </c>
      <c r="L1716" s="5">
        <f t="shared" si="401"/>
        <v>5</v>
      </c>
      <c r="M1716" s="5">
        <f t="shared" si="402"/>
        <v>2023</v>
      </c>
      <c r="N1716" s="6">
        <v>264.60000000000002</v>
      </c>
      <c r="O1716" s="6">
        <f>-N1716</f>
        <v>-264.60000000000002</v>
      </c>
      <c r="P1716" s="6">
        <f t="shared" si="411"/>
        <v>0</v>
      </c>
      <c r="Q1716" s="7">
        <f t="shared" si="403"/>
        <v>3140598.350000001</v>
      </c>
      <c r="R1716" s="44" t="str">
        <f>VLOOKUP(F1716,'Set up'!$A$2:$E$70,5,FALSE)</f>
        <v>Trsf</v>
      </c>
      <c r="S1716" s="1" t="s">
        <v>1572</v>
      </c>
    </row>
    <row r="1717" spans="1:19" ht="15" customHeight="1" x14ac:dyDescent="0.3">
      <c r="A1717" s="4">
        <v>45072</v>
      </c>
      <c r="B1717" s="5">
        <f t="shared" si="398"/>
        <v>5</v>
      </c>
      <c r="C1717" s="5">
        <f t="shared" si="399"/>
        <v>2023</v>
      </c>
      <c r="D1717" s="5" t="s">
        <v>1559</v>
      </c>
      <c r="E1717" s="5" t="str">
        <f>VLOOKUP(F1717,'Set up'!$A$2:$C$70,2,FALSE)</f>
        <v>C00000020</v>
      </c>
      <c r="F1717" s="1" t="s">
        <v>409</v>
      </c>
      <c r="G1717" s="89" t="s">
        <v>1110</v>
      </c>
      <c r="H1717" s="5">
        <v>1</v>
      </c>
      <c r="I1717" s="5" t="str">
        <f>VLOOKUP(F1717,'Set up'!$A$2:$C$70,3,FALSE)</f>
        <v>Cash</v>
      </c>
      <c r="J1717" s="5">
        <f>VLOOKUP(F1717,'Set up'!$A$2:$D$70,4,FALSE)</f>
        <v>0</v>
      </c>
      <c r="K1717" s="4">
        <f t="shared" si="400"/>
        <v>45072</v>
      </c>
      <c r="L1717" s="5">
        <f t="shared" si="401"/>
        <v>5</v>
      </c>
      <c r="M1717" s="5">
        <f t="shared" si="402"/>
        <v>2023</v>
      </c>
      <c r="N1717" s="6">
        <v>62.5</v>
      </c>
      <c r="O1717" s="6">
        <f>-N1717</f>
        <v>-62.5</v>
      </c>
      <c r="P1717" s="6">
        <f t="shared" si="411"/>
        <v>0</v>
      </c>
      <c r="Q1717" s="7">
        <f t="shared" si="403"/>
        <v>3140660.850000001</v>
      </c>
      <c r="R1717" s="44" t="str">
        <f>VLOOKUP(F1717,'Set up'!$A$2:$E$70,5,FALSE)</f>
        <v>Trsf</v>
      </c>
      <c r="S1717" s="1" t="s">
        <v>1572</v>
      </c>
    </row>
    <row r="1718" spans="1:19" ht="15" customHeight="1" x14ac:dyDescent="0.3">
      <c r="A1718" s="4">
        <v>45072</v>
      </c>
      <c r="B1718" s="5">
        <f t="shared" si="398"/>
        <v>5</v>
      </c>
      <c r="C1718" s="5">
        <f t="shared" si="399"/>
        <v>2023</v>
      </c>
      <c r="D1718" s="5" t="s">
        <v>1560</v>
      </c>
      <c r="E1718" s="5" t="str">
        <f>VLOOKUP(F1718,'Set up'!$A$2:$C$70,2,FALSE)</f>
        <v>C00000009</v>
      </c>
      <c r="F1718" s="1" t="s">
        <v>58</v>
      </c>
      <c r="G1718" s="89" t="s">
        <v>95</v>
      </c>
      <c r="H1718" s="5">
        <v>2</v>
      </c>
      <c r="I1718" s="5">
        <f>VLOOKUP(F1718,'Set up'!$A$2:$C$70,3,FALSE)</f>
        <v>60</v>
      </c>
      <c r="J1718" s="5">
        <f>VLOOKUP(F1718,'Set up'!$A$2:$D$70,4,FALSE)</f>
        <v>60</v>
      </c>
      <c r="K1718" s="4">
        <f t="shared" si="400"/>
        <v>45132</v>
      </c>
      <c r="L1718" s="5">
        <f t="shared" si="401"/>
        <v>7</v>
      </c>
      <c r="M1718" s="5">
        <f t="shared" si="402"/>
        <v>2023</v>
      </c>
      <c r="N1718" s="6">
        <v>3388</v>
      </c>
      <c r="O1718" s="6">
        <f t="shared" ref="O1718:O1720" si="414">-N1718</f>
        <v>-3388</v>
      </c>
      <c r="P1718" s="6">
        <f t="shared" si="411"/>
        <v>0</v>
      </c>
      <c r="Q1718" s="7">
        <f t="shared" si="403"/>
        <v>3144048.850000001</v>
      </c>
      <c r="R1718" s="44" t="str">
        <f>VLOOKUP(F1718,'Set up'!$A$2:$E$70,5,FALSE)</f>
        <v>Chq</v>
      </c>
      <c r="S1718" s="1" t="s">
        <v>2087</v>
      </c>
    </row>
    <row r="1719" spans="1:19" ht="15" customHeight="1" x14ac:dyDescent="0.3">
      <c r="A1719" s="4">
        <v>45072</v>
      </c>
      <c r="B1719" s="5">
        <f t="shared" si="398"/>
        <v>5</v>
      </c>
      <c r="C1719" s="5">
        <f t="shared" si="399"/>
        <v>2023</v>
      </c>
      <c r="D1719" s="5" t="s">
        <v>1560</v>
      </c>
      <c r="E1719" s="5" t="str">
        <f>VLOOKUP(F1719,'Set up'!$A$2:$C$70,2,FALSE)</f>
        <v>C00000009</v>
      </c>
      <c r="F1719" s="1" t="s">
        <v>58</v>
      </c>
      <c r="G1719" s="89" t="s">
        <v>707</v>
      </c>
      <c r="H1719" s="5">
        <v>2</v>
      </c>
      <c r="I1719" s="5">
        <f>VLOOKUP(F1719,'Set up'!$A$2:$C$70,3,FALSE)</f>
        <v>60</v>
      </c>
      <c r="J1719" s="5">
        <f>VLOOKUP(F1719,'Set up'!$A$2:$D$70,4,FALSE)</f>
        <v>60</v>
      </c>
      <c r="K1719" s="4">
        <f t="shared" si="400"/>
        <v>45132</v>
      </c>
      <c r="L1719" s="5">
        <f t="shared" si="401"/>
        <v>7</v>
      </c>
      <c r="M1719" s="5">
        <f t="shared" si="402"/>
        <v>2023</v>
      </c>
      <c r="N1719" s="6">
        <v>745.2</v>
      </c>
      <c r="O1719" s="6">
        <f t="shared" si="414"/>
        <v>-745.2</v>
      </c>
      <c r="P1719" s="6">
        <f t="shared" si="411"/>
        <v>0</v>
      </c>
      <c r="Q1719" s="7">
        <f t="shared" si="403"/>
        <v>3144794.0500000012</v>
      </c>
      <c r="R1719" s="44" t="str">
        <f>VLOOKUP(F1719,'Set up'!$A$2:$E$70,5,FALSE)</f>
        <v>Chq</v>
      </c>
      <c r="S1719" s="1" t="s">
        <v>2087</v>
      </c>
    </row>
    <row r="1720" spans="1:19" ht="15" customHeight="1" x14ac:dyDescent="0.3">
      <c r="A1720" s="4">
        <v>45072</v>
      </c>
      <c r="B1720" s="5">
        <f t="shared" si="398"/>
        <v>5</v>
      </c>
      <c r="C1720" s="5">
        <f t="shared" si="399"/>
        <v>2023</v>
      </c>
      <c r="D1720" s="5" t="s">
        <v>1560</v>
      </c>
      <c r="E1720" s="5" t="str">
        <f>VLOOKUP(F1720,'Set up'!$A$2:$C$70,2,FALSE)</f>
        <v>C00000009</v>
      </c>
      <c r="F1720" s="1" t="s">
        <v>58</v>
      </c>
      <c r="G1720" s="89" t="s">
        <v>865</v>
      </c>
      <c r="H1720" s="5">
        <v>2</v>
      </c>
      <c r="I1720" s="5">
        <f>VLOOKUP(F1720,'Set up'!$A$2:$C$70,3,FALSE)</f>
        <v>60</v>
      </c>
      <c r="J1720" s="5">
        <f>VLOOKUP(F1720,'Set up'!$A$2:$D$70,4,FALSE)</f>
        <v>60</v>
      </c>
      <c r="K1720" s="4">
        <f t="shared" si="400"/>
        <v>45132</v>
      </c>
      <c r="L1720" s="5">
        <f t="shared" si="401"/>
        <v>7</v>
      </c>
      <c r="M1720" s="5">
        <f t="shared" si="402"/>
        <v>2023</v>
      </c>
      <c r="N1720" s="6">
        <v>488</v>
      </c>
      <c r="O1720" s="6">
        <f t="shared" si="414"/>
        <v>-488</v>
      </c>
      <c r="P1720" s="6">
        <f t="shared" si="411"/>
        <v>0</v>
      </c>
      <c r="Q1720" s="7">
        <f t="shared" si="403"/>
        <v>3145282.0500000012</v>
      </c>
      <c r="R1720" s="44" t="str">
        <f>VLOOKUP(F1720,'Set up'!$A$2:$E$70,5,FALSE)</f>
        <v>Chq</v>
      </c>
      <c r="S1720" s="1" t="s">
        <v>2087</v>
      </c>
    </row>
    <row r="1721" spans="1:19" ht="15" customHeight="1" x14ac:dyDescent="0.3">
      <c r="A1721" s="4">
        <v>45072</v>
      </c>
      <c r="B1721" s="5">
        <f t="shared" si="398"/>
        <v>5</v>
      </c>
      <c r="C1721" s="5">
        <f t="shared" si="399"/>
        <v>2023</v>
      </c>
      <c r="D1721" s="5" t="s">
        <v>1561</v>
      </c>
      <c r="E1721" s="5" t="str">
        <f>VLOOKUP(F1721,'Set up'!$A$2:$C$70,2,FALSE)</f>
        <v>C00000014</v>
      </c>
      <c r="F1721" s="1" t="s">
        <v>262</v>
      </c>
      <c r="G1721" s="89" t="s">
        <v>303</v>
      </c>
      <c r="H1721" s="5">
        <v>1</v>
      </c>
      <c r="I1721" s="5" t="str">
        <f>VLOOKUP(F1721,'Set up'!$A$2:$C$70,3,FALSE)</f>
        <v>Cash</v>
      </c>
      <c r="J1721" s="5">
        <f>VLOOKUP(F1721,'Set up'!$A$2:$D$70,4,FALSE)</f>
        <v>0</v>
      </c>
      <c r="K1721" s="4">
        <f t="shared" si="400"/>
        <v>45072</v>
      </c>
      <c r="L1721" s="5">
        <f t="shared" si="401"/>
        <v>5</v>
      </c>
      <c r="M1721" s="5">
        <f t="shared" si="402"/>
        <v>2023</v>
      </c>
      <c r="N1721" s="6">
        <v>1804</v>
      </c>
      <c r="O1721" s="6">
        <f>-N1721</f>
        <v>-1804</v>
      </c>
      <c r="P1721" s="6">
        <f>SUM(N1721+O1721)</f>
        <v>0</v>
      </c>
      <c r="Q1721" s="7">
        <f t="shared" si="403"/>
        <v>3147086.0500000012</v>
      </c>
      <c r="R1721" s="44" t="str">
        <f>VLOOKUP(F1721,'Set up'!$A$2:$E$70,5,FALSE)</f>
        <v>Cash</v>
      </c>
      <c r="S1721" s="1" t="s">
        <v>1596</v>
      </c>
    </row>
    <row r="1722" spans="1:19" ht="15" customHeight="1" x14ac:dyDescent="0.3">
      <c r="A1722" s="4">
        <v>45076</v>
      </c>
      <c r="B1722" s="5">
        <f t="shared" si="398"/>
        <v>5</v>
      </c>
      <c r="C1722" s="5">
        <f t="shared" si="399"/>
        <v>2023</v>
      </c>
      <c r="D1722" s="5" t="s">
        <v>1561</v>
      </c>
      <c r="E1722" s="5" t="str">
        <f>VLOOKUP(F1722,'Set up'!$A$2:$C$70,2,FALSE)</f>
        <v>C00000014</v>
      </c>
      <c r="F1722" s="1" t="s">
        <v>262</v>
      </c>
      <c r="G1722" s="89" t="s">
        <v>988</v>
      </c>
      <c r="H1722" s="5">
        <v>4</v>
      </c>
      <c r="I1722" s="5" t="str">
        <f>VLOOKUP(F1722,'Set up'!$A$2:$C$70,3,FALSE)</f>
        <v>Cash</v>
      </c>
      <c r="J1722" s="5">
        <f>VLOOKUP(F1722,'Set up'!$A$2:$D$70,4,FALSE)</f>
        <v>0</v>
      </c>
      <c r="K1722" s="4">
        <f t="shared" si="400"/>
        <v>45076</v>
      </c>
      <c r="L1722" s="5">
        <f t="shared" si="401"/>
        <v>5</v>
      </c>
      <c r="M1722" s="5">
        <f t="shared" si="402"/>
        <v>2023</v>
      </c>
      <c r="N1722" s="6">
        <v>948</v>
      </c>
      <c r="O1722" s="6">
        <f>-N1722</f>
        <v>-948</v>
      </c>
      <c r="P1722" s="6">
        <f t="shared" si="411"/>
        <v>0</v>
      </c>
      <c r="Q1722" s="7">
        <f t="shared" si="403"/>
        <v>3148034.0500000012</v>
      </c>
      <c r="R1722" s="44" t="str">
        <f>VLOOKUP(F1722,'Set up'!$A$2:$E$70,5,FALSE)</f>
        <v>Cash</v>
      </c>
      <c r="S1722" s="1" t="s">
        <v>1596</v>
      </c>
    </row>
    <row r="1723" spans="1:19" ht="15" customHeight="1" x14ac:dyDescent="0.3">
      <c r="A1723" s="4">
        <v>45076</v>
      </c>
      <c r="B1723" s="5">
        <f t="shared" si="398"/>
        <v>5</v>
      </c>
      <c r="C1723" s="5">
        <f t="shared" si="399"/>
        <v>2023</v>
      </c>
      <c r="D1723" s="5" t="s">
        <v>1561</v>
      </c>
      <c r="E1723" s="5" t="str">
        <f>VLOOKUP(F1723,'Set up'!$A$2:$C$70,2,FALSE)</f>
        <v>C00000014</v>
      </c>
      <c r="F1723" s="1" t="s">
        <v>262</v>
      </c>
      <c r="G1723" s="89" t="s">
        <v>894</v>
      </c>
      <c r="H1723" s="5">
        <v>1</v>
      </c>
      <c r="I1723" s="5" t="str">
        <f>VLOOKUP(F1723,'Set up'!$A$2:$C$70,3,FALSE)</f>
        <v>Cash</v>
      </c>
      <c r="J1723" s="5">
        <f>VLOOKUP(F1723,'Set up'!$A$2:$D$70,4,FALSE)</f>
        <v>0</v>
      </c>
      <c r="K1723" s="4">
        <f t="shared" si="400"/>
        <v>45076</v>
      </c>
      <c r="L1723" s="5">
        <f t="shared" si="401"/>
        <v>5</v>
      </c>
      <c r="M1723" s="5">
        <f t="shared" si="402"/>
        <v>2023</v>
      </c>
      <c r="N1723" s="6">
        <v>160</v>
      </c>
      <c r="O1723" s="6">
        <f>-N1723</f>
        <v>-160</v>
      </c>
      <c r="P1723" s="6">
        <f t="shared" si="411"/>
        <v>0</v>
      </c>
      <c r="Q1723" s="7">
        <f t="shared" si="403"/>
        <v>3148194.0500000012</v>
      </c>
      <c r="R1723" s="44" t="str">
        <f>VLOOKUP(F1723,'Set up'!$A$2:$E$70,5,FALSE)</f>
        <v>Cash</v>
      </c>
      <c r="S1723" s="1" t="s">
        <v>1596</v>
      </c>
    </row>
    <row r="1724" spans="1:19" ht="15" customHeight="1" x14ac:dyDescent="0.3">
      <c r="A1724" s="4">
        <v>45076</v>
      </c>
      <c r="B1724" s="5">
        <f t="shared" si="398"/>
        <v>5</v>
      </c>
      <c r="C1724" s="5">
        <f t="shared" si="399"/>
        <v>2023</v>
      </c>
      <c r="D1724" s="5" t="s">
        <v>1562</v>
      </c>
      <c r="E1724" s="5" t="str">
        <f>VLOOKUP(F1724,'Set up'!$A$2:$C$70,2,FALSE)</f>
        <v>C00000034</v>
      </c>
      <c r="F1724" s="1" t="s">
        <v>1196</v>
      </c>
      <c r="G1724" s="89" t="s">
        <v>1563</v>
      </c>
      <c r="H1724" s="5">
        <v>1</v>
      </c>
      <c r="I1724" s="5" t="str">
        <f>VLOOKUP(F1724,'Set up'!$A$2:$C$70,3,FALSE)</f>
        <v>Cash</v>
      </c>
      <c r="J1724" s="5">
        <f>VLOOKUP(F1724,'Set up'!$A$2:$D$70,4,FALSE)</f>
        <v>0</v>
      </c>
      <c r="K1724" s="4">
        <f t="shared" si="400"/>
        <v>45076</v>
      </c>
      <c r="L1724" s="5">
        <f t="shared" si="401"/>
        <v>5</v>
      </c>
      <c r="M1724" s="5">
        <f t="shared" si="402"/>
        <v>2023</v>
      </c>
      <c r="N1724" s="6">
        <v>1870</v>
      </c>
      <c r="O1724" s="6">
        <f t="shared" ref="O1724:O1728" si="415">-N1724</f>
        <v>-1870</v>
      </c>
      <c r="P1724" s="6">
        <f t="shared" si="411"/>
        <v>0</v>
      </c>
      <c r="Q1724" s="7">
        <f t="shared" si="403"/>
        <v>3150064.0500000012</v>
      </c>
      <c r="R1724" s="44" t="str">
        <f>VLOOKUP(F1724,'Set up'!$A$2:$E$70,5,FALSE)</f>
        <v>Trsf</v>
      </c>
      <c r="S1724" s="1" t="s">
        <v>1585</v>
      </c>
    </row>
    <row r="1725" spans="1:19" ht="15" customHeight="1" x14ac:dyDescent="0.3">
      <c r="A1725" s="4">
        <v>45076</v>
      </c>
      <c r="B1725" s="5">
        <f t="shared" si="398"/>
        <v>5</v>
      </c>
      <c r="C1725" s="5">
        <f t="shared" si="399"/>
        <v>2023</v>
      </c>
      <c r="D1725" s="5" t="s">
        <v>1562</v>
      </c>
      <c r="E1725" s="5" t="str">
        <f>VLOOKUP(F1725,'Set up'!$A$2:$C$70,2,FALSE)</f>
        <v>C00000034</v>
      </c>
      <c r="F1725" s="1" t="s">
        <v>1196</v>
      </c>
      <c r="G1725" s="89" t="s">
        <v>1564</v>
      </c>
      <c r="H1725" s="5">
        <v>1</v>
      </c>
      <c r="I1725" s="5" t="str">
        <f>VLOOKUP(F1725,'Set up'!$A$2:$C$70,3,FALSE)</f>
        <v>Cash</v>
      </c>
      <c r="J1725" s="5">
        <f>VLOOKUP(F1725,'Set up'!$A$2:$D$70,4,FALSE)</f>
        <v>0</v>
      </c>
      <c r="K1725" s="4">
        <f t="shared" si="400"/>
        <v>45076</v>
      </c>
      <c r="L1725" s="5">
        <f t="shared" si="401"/>
        <v>5</v>
      </c>
      <c r="M1725" s="5">
        <f t="shared" si="402"/>
        <v>2023</v>
      </c>
      <c r="N1725" s="6">
        <v>325</v>
      </c>
      <c r="O1725" s="6">
        <f t="shared" si="415"/>
        <v>-325</v>
      </c>
      <c r="P1725" s="6">
        <f t="shared" si="411"/>
        <v>0</v>
      </c>
      <c r="Q1725" s="7">
        <f t="shared" si="403"/>
        <v>3150389.0500000012</v>
      </c>
      <c r="R1725" s="44" t="str">
        <f>VLOOKUP(F1725,'Set up'!$A$2:$E$70,5,FALSE)</f>
        <v>Trsf</v>
      </c>
      <c r="S1725" s="1" t="s">
        <v>1585</v>
      </c>
    </row>
    <row r="1726" spans="1:19" ht="15" customHeight="1" x14ac:dyDescent="0.3">
      <c r="A1726" s="4">
        <v>45077</v>
      </c>
      <c r="B1726" s="5">
        <f t="shared" si="398"/>
        <v>5</v>
      </c>
      <c r="C1726" s="5">
        <f t="shared" si="399"/>
        <v>2023</v>
      </c>
      <c r="D1726" s="5" t="s">
        <v>1565</v>
      </c>
      <c r="E1726" s="5" t="str">
        <f>VLOOKUP(F1726,'Set up'!$A$2:$C$70,2,FALSE)</f>
        <v>C00000001</v>
      </c>
      <c r="F1726" s="1" t="s">
        <v>7</v>
      </c>
      <c r="G1726" s="89" t="s">
        <v>716</v>
      </c>
      <c r="H1726" s="5">
        <v>2</v>
      </c>
      <c r="I1726" s="5" t="str">
        <f>VLOOKUP(F1726,'Set up'!$A$2:$C$70,3,FALSE)</f>
        <v>Cash</v>
      </c>
      <c r="J1726" s="5">
        <f>VLOOKUP(F1726,'Set up'!$A$2:$D$70,4,FALSE)</f>
        <v>0</v>
      </c>
      <c r="K1726" s="4">
        <f t="shared" si="400"/>
        <v>45077</v>
      </c>
      <c r="L1726" s="5">
        <f t="shared" si="401"/>
        <v>5</v>
      </c>
      <c r="M1726" s="5">
        <f t="shared" si="402"/>
        <v>2023</v>
      </c>
      <c r="N1726" s="6">
        <v>3608</v>
      </c>
      <c r="O1726" s="6">
        <f t="shared" si="415"/>
        <v>-3608</v>
      </c>
      <c r="P1726" s="6">
        <f t="shared" si="411"/>
        <v>0</v>
      </c>
      <c r="Q1726" s="7">
        <f t="shared" si="403"/>
        <v>3153997.0500000012</v>
      </c>
      <c r="R1726" s="44" t="str">
        <f>VLOOKUP(F1726,'Set up'!$A$2:$E$70,5,FALSE)</f>
        <v>Trsf</v>
      </c>
      <c r="S1726" s="1" t="s">
        <v>1681</v>
      </c>
    </row>
    <row r="1727" spans="1:19" ht="15" customHeight="1" x14ac:dyDescent="0.3">
      <c r="A1727" s="4">
        <v>45077</v>
      </c>
      <c r="B1727" s="5">
        <f t="shared" si="398"/>
        <v>5</v>
      </c>
      <c r="C1727" s="5">
        <f t="shared" si="399"/>
        <v>2023</v>
      </c>
      <c r="D1727" s="5" t="s">
        <v>1565</v>
      </c>
      <c r="E1727" s="5" t="str">
        <f>VLOOKUP(F1727,'Set up'!$A$2:$C$70,2,FALSE)</f>
        <v>C00000001</v>
      </c>
      <c r="F1727" s="1" t="s">
        <v>7</v>
      </c>
      <c r="G1727" s="89" t="s">
        <v>654</v>
      </c>
      <c r="H1727" s="5">
        <v>2</v>
      </c>
      <c r="I1727" s="5" t="str">
        <f>VLOOKUP(F1727,'Set up'!$A$2:$C$70,3,FALSE)</f>
        <v>Cash</v>
      </c>
      <c r="J1727" s="5">
        <f>VLOOKUP(F1727,'Set up'!$A$2:$D$70,4,FALSE)</f>
        <v>0</v>
      </c>
      <c r="K1727" s="4">
        <f t="shared" si="400"/>
        <v>45077</v>
      </c>
      <c r="L1727" s="5">
        <f t="shared" si="401"/>
        <v>5</v>
      </c>
      <c r="M1727" s="5">
        <f t="shared" si="402"/>
        <v>2023</v>
      </c>
      <c r="N1727" s="6">
        <v>456</v>
      </c>
      <c r="O1727" s="6">
        <f t="shared" si="415"/>
        <v>-456</v>
      </c>
      <c r="P1727" s="6">
        <f t="shared" si="411"/>
        <v>0</v>
      </c>
      <c r="Q1727" s="7">
        <f t="shared" si="403"/>
        <v>3154453.0500000012</v>
      </c>
      <c r="R1727" s="44" t="str">
        <f>VLOOKUP(F1727,'Set up'!$A$2:$E$70,5,FALSE)</f>
        <v>Trsf</v>
      </c>
      <c r="S1727" s="1" t="s">
        <v>1681</v>
      </c>
    </row>
    <row r="1728" spans="1:19" ht="15" customHeight="1" x14ac:dyDescent="0.3">
      <c r="A1728" s="4">
        <v>45077</v>
      </c>
      <c r="B1728" s="5">
        <f t="shared" si="398"/>
        <v>5</v>
      </c>
      <c r="C1728" s="5">
        <f t="shared" si="399"/>
        <v>2023</v>
      </c>
      <c r="D1728" s="5" t="s">
        <v>1565</v>
      </c>
      <c r="E1728" s="5" t="str">
        <f>VLOOKUP(F1728,'Set up'!$A$2:$C$70,2,FALSE)</f>
        <v>C00000001</v>
      </c>
      <c r="F1728" s="1" t="s">
        <v>7</v>
      </c>
      <c r="G1728" s="89" t="s">
        <v>830</v>
      </c>
      <c r="H1728" s="5">
        <v>2</v>
      </c>
      <c r="I1728" s="5" t="str">
        <f>VLOOKUP(F1728,'Set up'!$A$2:$C$70,3,FALSE)</f>
        <v>Cash</v>
      </c>
      <c r="J1728" s="5">
        <f>VLOOKUP(F1728,'Set up'!$A$2:$D$70,4,FALSE)</f>
        <v>0</v>
      </c>
      <c r="K1728" s="4">
        <f t="shared" si="400"/>
        <v>45077</v>
      </c>
      <c r="L1728" s="5">
        <f t="shared" si="401"/>
        <v>5</v>
      </c>
      <c r="M1728" s="5">
        <f t="shared" si="402"/>
        <v>2023</v>
      </c>
      <c r="N1728" s="6">
        <v>504</v>
      </c>
      <c r="O1728" s="6">
        <f t="shared" si="415"/>
        <v>-504</v>
      </c>
      <c r="P1728" s="6">
        <f t="shared" si="411"/>
        <v>0</v>
      </c>
      <c r="Q1728" s="7">
        <f t="shared" si="403"/>
        <v>3154957.0500000012</v>
      </c>
      <c r="R1728" s="44" t="str">
        <f>VLOOKUP(F1728,'Set up'!$A$2:$E$70,5,FALSE)</f>
        <v>Trsf</v>
      </c>
      <c r="S1728" s="1" t="s">
        <v>1681</v>
      </c>
    </row>
    <row r="1729" spans="1:19" ht="15" customHeight="1" x14ac:dyDescent="0.3">
      <c r="A1729" s="4" t="s">
        <v>1607</v>
      </c>
      <c r="B1729" s="5">
        <f t="shared" si="398"/>
        <v>6</v>
      </c>
      <c r="C1729" s="5">
        <f t="shared" si="399"/>
        <v>2023</v>
      </c>
      <c r="D1729" s="5" t="s">
        <v>1606</v>
      </c>
      <c r="E1729" s="5" t="str">
        <f>VLOOKUP(F1729,'Set up'!$A$2:$C$70,2,FALSE)</f>
        <v>C00000038</v>
      </c>
      <c r="F1729" s="1" t="s">
        <v>1420</v>
      </c>
      <c r="G1729" s="103" t="s">
        <v>1608</v>
      </c>
      <c r="H1729" s="5">
        <v>1</v>
      </c>
      <c r="I1729" s="5" t="str">
        <f>VLOOKUP(F1729,'Set up'!$A$2:$C$70,3,FALSE)</f>
        <v>Cash</v>
      </c>
      <c r="J1729" s="5">
        <f>VLOOKUP(F1729,'Set up'!$A$2:$D$70,4,FALSE)</f>
        <v>0</v>
      </c>
      <c r="K1729" s="4">
        <f t="shared" si="400"/>
        <v>45078</v>
      </c>
      <c r="L1729" s="5">
        <f t="shared" si="401"/>
        <v>6</v>
      </c>
      <c r="M1729" s="5">
        <f t="shared" si="402"/>
        <v>2023</v>
      </c>
      <c r="N1729" s="96">
        <v>350</v>
      </c>
      <c r="O1729" s="6">
        <f t="shared" ref="O1729" si="416">-N1729</f>
        <v>-350</v>
      </c>
      <c r="P1729" s="6">
        <f t="shared" si="411"/>
        <v>0</v>
      </c>
      <c r="Q1729" s="7">
        <f t="shared" si="403"/>
        <v>3155307.0500000012</v>
      </c>
      <c r="R1729" s="44" t="str">
        <f>VLOOKUP(F1729,'Set up'!$A$2:$E$70,5,FALSE)</f>
        <v>Trsf</v>
      </c>
      <c r="S1729" s="1" t="s">
        <v>1676</v>
      </c>
    </row>
    <row r="1730" spans="1:19" ht="15" customHeight="1" x14ac:dyDescent="0.3">
      <c r="A1730" s="4" t="s">
        <v>1611</v>
      </c>
      <c r="B1730" s="5">
        <f t="shared" si="398"/>
        <v>6</v>
      </c>
      <c r="C1730" s="5">
        <f t="shared" si="399"/>
        <v>2023</v>
      </c>
      <c r="D1730" s="5" t="s">
        <v>1609</v>
      </c>
      <c r="E1730" s="5" t="str">
        <f>VLOOKUP(F1730,'Set up'!$A$2:$C$70,2,FALSE)</f>
        <v>C00000034</v>
      </c>
      <c r="F1730" s="1" t="s">
        <v>1196</v>
      </c>
      <c r="G1730" s="89" t="s">
        <v>1563</v>
      </c>
      <c r="H1730" s="5">
        <v>2</v>
      </c>
      <c r="I1730" s="5" t="str">
        <f>VLOOKUP(F1730,'Set up'!$A$2:$C$70,3,FALSE)</f>
        <v>Cash</v>
      </c>
      <c r="J1730" s="5">
        <f>VLOOKUP(F1730,'Set up'!$A$2:$D$70,4,FALSE)</f>
        <v>0</v>
      </c>
      <c r="K1730" s="4">
        <f t="shared" si="400"/>
        <v>45080</v>
      </c>
      <c r="L1730" s="5">
        <f t="shared" si="401"/>
        <v>6</v>
      </c>
      <c r="M1730" s="5">
        <f t="shared" si="402"/>
        <v>2023</v>
      </c>
      <c r="N1730" s="6">
        <v>3740</v>
      </c>
      <c r="O1730" s="6">
        <f t="shared" ref="O1730:O1731" si="417">-N1730</f>
        <v>-3740</v>
      </c>
      <c r="P1730" s="6">
        <f t="shared" si="411"/>
        <v>0</v>
      </c>
      <c r="Q1730" s="7">
        <f t="shared" si="403"/>
        <v>3159047.0500000012</v>
      </c>
      <c r="R1730" s="44" t="str">
        <f>VLOOKUP(F1730,'Set up'!$A$2:$E$70,5,FALSE)</f>
        <v>Trsf</v>
      </c>
      <c r="S1730" s="1" t="s">
        <v>1670</v>
      </c>
    </row>
    <row r="1731" spans="1:19" ht="15" customHeight="1" x14ac:dyDescent="0.3">
      <c r="A1731" s="4" t="s">
        <v>1611</v>
      </c>
      <c r="B1731" s="5">
        <f t="shared" ref="B1731:B1794" si="418">MONTH(A1731)</f>
        <v>6</v>
      </c>
      <c r="C1731" s="5">
        <f t="shared" ref="C1731:C1794" si="419">YEAR(A1731)</f>
        <v>2023</v>
      </c>
      <c r="D1731" s="5" t="s">
        <v>1609</v>
      </c>
      <c r="E1731" s="5" t="str">
        <f>VLOOKUP(F1731,'Set up'!$A$2:$C$70,2,FALSE)</f>
        <v>C00000034</v>
      </c>
      <c r="F1731" s="1" t="s">
        <v>1196</v>
      </c>
      <c r="G1731" s="89" t="s">
        <v>1545</v>
      </c>
      <c r="H1731" s="5">
        <v>2</v>
      </c>
      <c r="I1731" s="5" t="str">
        <f>VLOOKUP(F1731,'Set up'!$A$2:$C$70,3,FALSE)</f>
        <v>Cash</v>
      </c>
      <c r="J1731" s="5">
        <f>VLOOKUP(F1731,'Set up'!$A$2:$D$70,4,FALSE)</f>
        <v>0</v>
      </c>
      <c r="K1731" s="4">
        <f t="shared" ref="K1731:K1794" si="420">A1731+J1731</f>
        <v>45080</v>
      </c>
      <c r="L1731" s="5">
        <f t="shared" ref="L1731:L1794" si="421">MONTH(K1731)</f>
        <v>6</v>
      </c>
      <c r="M1731" s="5">
        <f t="shared" ref="M1731:M1794" si="422">YEAR(K1731)</f>
        <v>2023</v>
      </c>
      <c r="N1731" s="6">
        <v>1005</v>
      </c>
      <c r="O1731" s="6">
        <f t="shared" si="417"/>
        <v>-1005</v>
      </c>
      <c r="P1731" s="6">
        <f t="shared" si="411"/>
        <v>0</v>
      </c>
      <c r="Q1731" s="7">
        <f t="shared" ref="Q1731:Q1794" si="423">SUM(Q1730+N1731)</f>
        <v>3160052.0500000012</v>
      </c>
      <c r="R1731" s="44" t="str">
        <f>VLOOKUP(F1731,'Set up'!$A$2:$E$70,5,FALSE)</f>
        <v>Trsf</v>
      </c>
      <c r="S1731" s="1" t="s">
        <v>1670</v>
      </c>
    </row>
    <row r="1732" spans="1:19" ht="15" customHeight="1" x14ac:dyDescent="0.3">
      <c r="A1732" s="4" t="s">
        <v>1611</v>
      </c>
      <c r="B1732" s="5">
        <f t="shared" si="418"/>
        <v>6</v>
      </c>
      <c r="C1732" s="5">
        <f t="shared" si="419"/>
        <v>2023</v>
      </c>
      <c r="D1732" s="5" t="s">
        <v>1610</v>
      </c>
      <c r="E1732" s="5" t="str">
        <f>VLOOKUP(F1732,'Set up'!$A$2:$C$70,2,FALSE)</f>
        <v>C00000019</v>
      </c>
      <c r="F1732" s="1" t="s">
        <v>400</v>
      </c>
      <c r="G1732" s="90" t="s">
        <v>719</v>
      </c>
      <c r="H1732" s="5">
        <v>2</v>
      </c>
      <c r="I1732" s="5" t="str">
        <f>VLOOKUP(F1732,'Set up'!$A$2:$C$70,3,FALSE)</f>
        <v>Cash</v>
      </c>
      <c r="J1732" s="5">
        <f>VLOOKUP(F1732,'Set up'!$A$2:$D$70,4,FALSE)</f>
        <v>0</v>
      </c>
      <c r="K1732" s="4">
        <f t="shared" si="420"/>
        <v>45080</v>
      </c>
      <c r="L1732" s="5">
        <f t="shared" si="421"/>
        <v>6</v>
      </c>
      <c r="M1732" s="5">
        <f t="shared" si="422"/>
        <v>2023</v>
      </c>
      <c r="N1732" s="6">
        <v>3652</v>
      </c>
      <c r="O1732" s="6">
        <f>-922.8-500-1350-879.2</f>
        <v>-3652</v>
      </c>
      <c r="P1732" s="6">
        <f t="shared" ref="P1732:P1751" si="424">SUM(N1732+O1732)</f>
        <v>0</v>
      </c>
      <c r="Q1732" s="7">
        <f t="shared" si="423"/>
        <v>3163704.0500000012</v>
      </c>
      <c r="R1732" s="44" t="str">
        <f>VLOOKUP(F1732,'Set up'!$A$2:$E$70,5,FALSE)</f>
        <v>Trsf</v>
      </c>
      <c r="S1732" s="1" t="s">
        <v>2218</v>
      </c>
    </row>
    <row r="1733" spans="1:19" ht="15" customHeight="1" x14ac:dyDescent="0.3">
      <c r="A1733" s="4" t="s">
        <v>1611</v>
      </c>
      <c r="B1733" s="5">
        <f t="shared" si="418"/>
        <v>6</v>
      </c>
      <c r="C1733" s="5">
        <f t="shared" si="419"/>
        <v>2023</v>
      </c>
      <c r="D1733" s="5" t="s">
        <v>1610</v>
      </c>
      <c r="E1733" s="5" t="str">
        <f>VLOOKUP(F1733,'Set up'!$A$2:$C$70,2,FALSE)</f>
        <v>C00000019</v>
      </c>
      <c r="F1733" s="1" t="s">
        <v>400</v>
      </c>
      <c r="G1733" s="90" t="s">
        <v>1612</v>
      </c>
      <c r="H1733" s="5">
        <v>2</v>
      </c>
      <c r="I1733" s="5" t="str">
        <f>VLOOKUP(F1733,'Set up'!$A$2:$C$70,3,FALSE)</f>
        <v>Cash</v>
      </c>
      <c r="J1733" s="5">
        <f>VLOOKUP(F1733,'Set up'!$A$2:$D$70,4,FALSE)</f>
        <v>0</v>
      </c>
      <c r="K1733" s="4">
        <f t="shared" si="420"/>
        <v>45080</v>
      </c>
      <c r="L1733" s="5">
        <f t="shared" si="421"/>
        <v>6</v>
      </c>
      <c r="M1733" s="5">
        <f t="shared" si="422"/>
        <v>2023</v>
      </c>
      <c r="N1733" s="6">
        <v>1045.2</v>
      </c>
      <c r="O1733" s="6">
        <f t="shared" ref="O1733" si="425">-N1733</f>
        <v>-1045.2</v>
      </c>
      <c r="P1733" s="6">
        <f t="shared" si="424"/>
        <v>0</v>
      </c>
      <c r="Q1733" s="7">
        <f t="shared" si="423"/>
        <v>3164749.2500000014</v>
      </c>
      <c r="R1733" s="44" t="str">
        <f>VLOOKUP(F1733,'Set up'!$A$2:$E$70,5,FALSE)</f>
        <v>Trsf</v>
      </c>
      <c r="S1733" s="1" t="s">
        <v>2219</v>
      </c>
    </row>
    <row r="1734" spans="1:19" ht="15" customHeight="1" x14ac:dyDescent="0.3">
      <c r="A1734" s="4" t="s">
        <v>1611</v>
      </c>
      <c r="B1734" s="5">
        <f t="shared" si="418"/>
        <v>6</v>
      </c>
      <c r="C1734" s="5">
        <f t="shared" si="419"/>
        <v>2023</v>
      </c>
      <c r="D1734" s="5" t="s">
        <v>1610</v>
      </c>
      <c r="E1734" s="5" t="str">
        <f>VLOOKUP(F1734,'Set up'!$A$2:$C$70,2,FALSE)</f>
        <v>C00000019</v>
      </c>
      <c r="F1734" s="1" t="s">
        <v>400</v>
      </c>
      <c r="G1734" s="90" t="s">
        <v>791</v>
      </c>
      <c r="H1734" s="5">
        <v>3</v>
      </c>
      <c r="I1734" s="5" t="str">
        <f>VLOOKUP(F1734,'Set up'!$A$2:$C$70,3,FALSE)</f>
        <v>Cash</v>
      </c>
      <c r="J1734" s="5">
        <f>VLOOKUP(F1734,'Set up'!$A$2:$D$70,4,FALSE)</f>
        <v>0</v>
      </c>
      <c r="K1734" s="4">
        <f t="shared" si="420"/>
        <v>45080</v>
      </c>
      <c r="L1734" s="5">
        <f t="shared" si="421"/>
        <v>6</v>
      </c>
      <c r="M1734" s="5">
        <f t="shared" si="422"/>
        <v>2023</v>
      </c>
      <c r="N1734" s="6">
        <v>187.5</v>
      </c>
      <c r="O1734" s="6">
        <f>-75.6-111.9</f>
        <v>-187.5</v>
      </c>
      <c r="P1734" s="6">
        <f t="shared" si="424"/>
        <v>0</v>
      </c>
      <c r="Q1734" s="7">
        <f t="shared" si="423"/>
        <v>3164936.7500000014</v>
      </c>
      <c r="R1734" s="44" t="str">
        <f>VLOOKUP(F1734,'Set up'!$A$2:$E$70,5,FALSE)</f>
        <v>Trsf</v>
      </c>
      <c r="S1734" s="1" t="s">
        <v>2220</v>
      </c>
    </row>
    <row r="1735" spans="1:19" ht="15" customHeight="1" x14ac:dyDescent="0.3">
      <c r="A1735" s="4" t="s">
        <v>1611</v>
      </c>
      <c r="B1735" s="5">
        <f t="shared" si="418"/>
        <v>6</v>
      </c>
      <c r="C1735" s="5">
        <f t="shared" si="419"/>
        <v>2023</v>
      </c>
      <c r="D1735" s="5" t="s">
        <v>1610</v>
      </c>
      <c r="E1735" s="5" t="str">
        <f>VLOOKUP(F1735,'Set up'!$A$2:$C$70,2,FALSE)</f>
        <v>C00000019</v>
      </c>
      <c r="F1735" s="1" t="s">
        <v>400</v>
      </c>
      <c r="G1735" s="90" t="s">
        <v>1469</v>
      </c>
      <c r="H1735" s="5">
        <v>2</v>
      </c>
      <c r="I1735" s="5" t="str">
        <f>VLOOKUP(F1735,'Set up'!$A$2:$C$70,3,FALSE)</f>
        <v>Cash</v>
      </c>
      <c r="J1735" s="5">
        <f>VLOOKUP(F1735,'Set up'!$A$2:$D$70,4,FALSE)</f>
        <v>0</v>
      </c>
      <c r="K1735" s="4">
        <f t="shared" si="420"/>
        <v>45080</v>
      </c>
      <c r="L1735" s="5">
        <f t="shared" si="421"/>
        <v>6</v>
      </c>
      <c r="M1735" s="5">
        <f t="shared" si="422"/>
        <v>2023</v>
      </c>
      <c r="N1735" s="6">
        <v>780</v>
      </c>
      <c r="O1735" s="6">
        <f t="shared" ref="O1735:O1736" si="426">-N1735</f>
        <v>-780</v>
      </c>
      <c r="P1735" s="6">
        <f t="shared" si="424"/>
        <v>0</v>
      </c>
      <c r="Q1735" s="7">
        <f t="shared" si="423"/>
        <v>3165716.7500000014</v>
      </c>
      <c r="R1735" s="44" t="str">
        <f>VLOOKUP(F1735,'Set up'!$A$2:$E$70,5,FALSE)</f>
        <v>Trsf</v>
      </c>
      <c r="S1735" s="1" t="s">
        <v>2221</v>
      </c>
    </row>
    <row r="1736" spans="1:19" ht="15" customHeight="1" x14ac:dyDescent="0.3">
      <c r="A1736" s="4" t="s">
        <v>1611</v>
      </c>
      <c r="B1736" s="5">
        <f t="shared" si="418"/>
        <v>6</v>
      </c>
      <c r="C1736" s="5">
        <f t="shared" si="419"/>
        <v>2023</v>
      </c>
      <c r="D1736" s="5" t="s">
        <v>1610</v>
      </c>
      <c r="E1736" s="5" t="str">
        <f>VLOOKUP(F1736,'Set up'!$A$2:$C$70,2,FALSE)</f>
        <v>C00000019</v>
      </c>
      <c r="F1736" s="1" t="s">
        <v>400</v>
      </c>
      <c r="G1736" s="90" t="s">
        <v>46</v>
      </c>
      <c r="H1736" s="5">
        <v>2</v>
      </c>
      <c r="I1736" s="5" t="str">
        <f>VLOOKUP(F1736,'Set up'!$A$2:$C$70,3,FALSE)</f>
        <v>Cash</v>
      </c>
      <c r="J1736" s="5">
        <f>VLOOKUP(F1736,'Set up'!$A$2:$D$70,4,FALSE)</f>
        <v>0</v>
      </c>
      <c r="K1736" s="4">
        <f t="shared" si="420"/>
        <v>45080</v>
      </c>
      <c r="L1736" s="5">
        <f t="shared" si="421"/>
        <v>6</v>
      </c>
      <c r="M1736" s="5">
        <f t="shared" si="422"/>
        <v>2023</v>
      </c>
      <c r="N1736" s="6">
        <v>210</v>
      </c>
      <c r="O1736" s="6">
        <f t="shared" si="426"/>
        <v>-210</v>
      </c>
      <c r="P1736" s="6">
        <f t="shared" si="424"/>
        <v>0</v>
      </c>
      <c r="Q1736" s="7">
        <f t="shared" si="423"/>
        <v>3165926.7500000014</v>
      </c>
      <c r="R1736" s="44" t="str">
        <f>VLOOKUP(F1736,'Set up'!$A$2:$E$70,5,FALSE)</f>
        <v>Trsf</v>
      </c>
      <c r="S1736" s="1" t="s">
        <v>2222</v>
      </c>
    </row>
    <row r="1737" spans="1:19" ht="15" customHeight="1" x14ac:dyDescent="0.3">
      <c r="A1737" s="4">
        <v>45084</v>
      </c>
      <c r="B1737" s="5">
        <f t="shared" si="418"/>
        <v>6</v>
      </c>
      <c r="C1737" s="5">
        <f t="shared" si="419"/>
        <v>2023</v>
      </c>
      <c r="D1737" s="5" t="s">
        <v>1613</v>
      </c>
      <c r="E1737" s="5" t="str">
        <f>VLOOKUP(F1737,'Set up'!$A$2:$C$70,2,FALSE)</f>
        <v>C00000023</v>
      </c>
      <c r="F1737" s="1" t="s">
        <v>665</v>
      </c>
      <c r="G1737" s="89" t="s">
        <v>719</v>
      </c>
      <c r="H1737" s="88">
        <v>1</v>
      </c>
      <c r="I1737" s="5" t="str">
        <f>VLOOKUP(F1737,'Set up'!$A$2:$C$70,3,FALSE)</f>
        <v>Cash</v>
      </c>
      <c r="J1737" s="5">
        <f>VLOOKUP(F1737,'Set up'!$A$2:$D$70,4,FALSE)</f>
        <v>0</v>
      </c>
      <c r="K1737" s="4">
        <f t="shared" si="420"/>
        <v>45084</v>
      </c>
      <c r="L1737" s="5">
        <f t="shared" si="421"/>
        <v>6</v>
      </c>
      <c r="M1737" s="5">
        <f t="shared" si="422"/>
        <v>2023</v>
      </c>
      <c r="N1737" s="6">
        <v>1804</v>
      </c>
      <c r="O1737" s="6">
        <f t="shared" ref="O1737:O1742" si="427">-N1737</f>
        <v>-1804</v>
      </c>
      <c r="P1737" s="6">
        <f t="shared" si="424"/>
        <v>0</v>
      </c>
      <c r="Q1737" s="7">
        <f t="shared" si="423"/>
        <v>3167730.7500000014</v>
      </c>
      <c r="R1737" s="44" t="str">
        <f>VLOOKUP(F1737,'Set up'!$A$2:$E$70,5,FALSE)</f>
        <v>Trsf</v>
      </c>
      <c r="S1737" s="1" t="s">
        <v>1665</v>
      </c>
    </row>
    <row r="1738" spans="1:19" ht="15" customHeight="1" x14ac:dyDescent="0.3">
      <c r="A1738" s="4">
        <v>45084</v>
      </c>
      <c r="B1738" s="5">
        <f t="shared" si="418"/>
        <v>6</v>
      </c>
      <c r="C1738" s="5">
        <f t="shared" si="419"/>
        <v>2023</v>
      </c>
      <c r="D1738" s="5" t="s">
        <v>1613</v>
      </c>
      <c r="E1738" s="5" t="str">
        <f>VLOOKUP(F1738,'Set up'!$A$2:$C$70,2,FALSE)</f>
        <v>C00000023</v>
      </c>
      <c r="F1738" s="1" t="s">
        <v>665</v>
      </c>
      <c r="G1738" s="89" t="s">
        <v>1614</v>
      </c>
      <c r="H1738" s="88">
        <v>1</v>
      </c>
      <c r="I1738" s="5" t="str">
        <f>VLOOKUP(F1738,'Set up'!$A$2:$C$70,3,FALSE)</f>
        <v>Cash</v>
      </c>
      <c r="J1738" s="5">
        <f>VLOOKUP(F1738,'Set up'!$A$2:$D$70,4,FALSE)</f>
        <v>0</v>
      </c>
      <c r="K1738" s="4">
        <f t="shared" si="420"/>
        <v>45084</v>
      </c>
      <c r="L1738" s="5">
        <f t="shared" si="421"/>
        <v>6</v>
      </c>
      <c r="M1738" s="5">
        <f t="shared" si="422"/>
        <v>2023</v>
      </c>
      <c r="N1738" s="6">
        <v>360</v>
      </c>
      <c r="O1738" s="6">
        <f t="shared" si="427"/>
        <v>-360</v>
      </c>
      <c r="P1738" s="6">
        <f t="shared" si="424"/>
        <v>0</v>
      </c>
      <c r="Q1738" s="7">
        <f t="shared" si="423"/>
        <v>3168090.7500000014</v>
      </c>
      <c r="R1738" s="44" t="str">
        <f>VLOOKUP(F1738,'Set up'!$A$2:$E$70,5,FALSE)</f>
        <v>Trsf</v>
      </c>
      <c r="S1738" s="1" t="s">
        <v>1665</v>
      </c>
    </row>
    <row r="1739" spans="1:19" ht="15" customHeight="1" x14ac:dyDescent="0.3">
      <c r="A1739" s="4">
        <v>45084</v>
      </c>
      <c r="B1739" s="5">
        <f t="shared" si="418"/>
        <v>6</v>
      </c>
      <c r="C1739" s="5">
        <f t="shared" si="419"/>
        <v>2023</v>
      </c>
      <c r="D1739" s="5" t="s">
        <v>1613</v>
      </c>
      <c r="E1739" s="5" t="str">
        <f>VLOOKUP(F1739,'Set up'!$A$2:$C$70,2,FALSE)</f>
        <v>C00000023</v>
      </c>
      <c r="F1739" s="1" t="s">
        <v>665</v>
      </c>
      <c r="G1739" s="90" t="s">
        <v>913</v>
      </c>
      <c r="H1739" s="88">
        <v>5</v>
      </c>
      <c r="I1739" s="5" t="str">
        <f>VLOOKUP(F1739,'Set up'!$A$2:$C$70,3,FALSE)</f>
        <v>Cash</v>
      </c>
      <c r="J1739" s="5">
        <f>VLOOKUP(F1739,'Set up'!$A$2:$D$70,4,FALSE)</f>
        <v>0</v>
      </c>
      <c r="K1739" s="4">
        <f t="shared" si="420"/>
        <v>45084</v>
      </c>
      <c r="L1739" s="5">
        <f t="shared" si="421"/>
        <v>6</v>
      </c>
      <c r="M1739" s="5">
        <f t="shared" si="422"/>
        <v>2023</v>
      </c>
      <c r="N1739" s="6">
        <v>1140</v>
      </c>
      <c r="O1739" s="6">
        <f t="shared" si="427"/>
        <v>-1140</v>
      </c>
      <c r="P1739" s="6">
        <f t="shared" si="424"/>
        <v>0</v>
      </c>
      <c r="Q1739" s="7">
        <f t="shared" si="423"/>
        <v>3169230.7500000014</v>
      </c>
      <c r="R1739" s="44" t="str">
        <f>VLOOKUP(F1739,'Set up'!$A$2:$E$70,5,FALSE)</f>
        <v>Trsf</v>
      </c>
      <c r="S1739" s="1" t="s">
        <v>1665</v>
      </c>
    </row>
    <row r="1740" spans="1:19" ht="15" customHeight="1" x14ac:dyDescent="0.3">
      <c r="A1740" s="4">
        <v>45084</v>
      </c>
      <c r="B1740" s="5">
        <f t="shared" si="418"/>
        <v>6</v>
      </c>
      <c r="C1740" s="5">
        <f t="shared" si="419"/>
        <v>2023</v>
      </c>
      <c r="D1740" s="5" t="s">
        <v>1613</v>
      </c>
      <c r="E1740" s="5" t="str">
        <f>VLOOKUP(F1740,'Set up'!$A$2:$C$70,2,FALSE)</f>
        <v>C00000023</v>
      </c>
      <c r="F1740" s="1" t="s">
        <v>665</v>
      </c>
      <c r="G1740" s="90" t="s">
        <v>1110</v>
      </c>
      <c r="H1740" s="88">
        <v>1</v>
      </c>
      <c r="I1740" s="5" t="str">
        <f>VLOOKUP(F1740,'Set up'!$A$2:$C$70,3,FALSE)</f>
        <v>Cash</v>
      </c>
      <c r="J1740" s="5">
        <f>VLOOKUP(F1740,'Set up'!$A$2:$D$70,4,FALSE)</f>
        <v>0</v>
      </c>
      <c r="K1740" s="4">
        <f t="shared" si="420"/>
        <v>45084</v>
      </c>
      <c r="L1740" s="5">
        <f t="shared" si="421"/>
        <v>6</v>
      </c>
      <c r="M1740" s="5">
        <f t="shared" si="422"/>
        <v>2023</v>
      </c>
      <c r="N1740" s="6">
        <v>62.5</v>
      </c>
      <c r="O1740" s="6">
        <f t="shared" si="427"/>
        <v>-62.5</v>
      </c>
      <c r="P1740" s="6">
        <f t="shared" si="424"/>
        <v>0</v>
      </c>
      <c r="Q1740" s="7">
        <f t="shared" si="423"/>
        <v>3169293.2500000014</v>
      </c>
      <c r="R1740" s="44" t="str">
        <f>VLOOKUP(F1740,'Set up'!$A$2:$E$70,5,FALSE)</f>
        <v>Trsf</v>
      </c>
      <c r="S1740" s="1" t="s">
        <v>1665</v>
      </c>
    </row>
    <row r="1741" spans="1:19" ht="15" customHeight="1" x14ac:dyDescent="0.3">
      <c r="A1741" s="4">
        <v>45084</v>
      </c>
      <c r="B1741" s="5">
        <f t="shared" si="418"/>
        <v>6</v>
      </c>
      <c r="C1741" s="5">
        <f t="shared" si="419"/>
        <v>2023</v>
      </c>
      <c r="D1741" s="5" t="s">
        <v>1613</v>
      </c>
      <c r="E1741" s="5" t="str">
        <f>VLOOKUP(F1741,'Set up'!$A$2:$C$70,2,FALSE)</f>
        <v>C00000023</v>
      </c>
      <c r="F1741" s="1" t="s">
        <v>665</v>
      </c>
      <c r="G1741" s="90" t="s">
        <v>1615</v>
      </c>
      <c r="H1741" s="88">
        <v>1</v>
      </c>
      <c r="I1741" s="5" t="str">
        <f>VLOOKUP(F1741,'Set up'!$A$2:$C$70,3,FALSE)</f>
        <v>Cash</v>
      </c>
      <c r="J1741" s="5">
        <f>VLOOKUP(F1741,'Set up'!$A$2:$D$70,4,FALSE)</f>
        <v>0</v>
      </c>
      <c r="K1741" s="4">
        <f t="shared" si="420"/>
        <v>45084</v>
      </c>
      <c r="L1741" s="5">
        <f t="shared" si="421"/>
        <v>6</v>
      </c>
      <c r="M1741" s="5">
        <f t="shared" si="422"/>
        <v>2023</v>
      </c>
      <c r="N1741" s="6">
        <v>80</v>
      </c>
      <c r="O1741" s="6">
        <f t="shared" si="427"/>
        <v>-80</v>
      </c>
      <c r="P1741" s="6">
        <f t="shared" si="424"/>
        <v>0</v>
      </c>
      <c r="Q1741" s="7">
        <f t="shared" si="423"/>
        <v>3169373.2500000014</v>
      </c>
      <c r="R1741" s="44" t="str">
        <f>VLOOKUP(F1741,'Set up'!$A$2:$E$70,5,FALSE)</f>
        <v>Trsf</v>
      </c>
      <c r="S1741" s="1" t="s">
        <v>1665</v>
      </c>
    </row>
    <row r="1742" spans="1:19" ht="15" customHeight="1" x14ac:dyDescent="0.3">
      <c r="A1742" s="4">
        <v>45084</v>
      </c>
      <c r="B1742" s="5">
        <f t="shared" si="418"/>
        <v>6</v>
      </c>
      <c r="C1742" s="5">
        <f t="shared" si="419"/>
        <v>2023</v>
      </c>
      <c r="D1742" s="5" t="s">
        <v>1613</v>
      </c>
      <c r="E1742" s="5" t="str">
        <f>VLOOKUP(F1742,'Set up'!$A$2:$C$70,2,FALSE)</f>
        <v>C00000023</v>
      </c>
      <c r="F1742" s="1" t="s">
        <v>665</v>
      </c>
      <c r="G1742" s="99" t="s">
        <v>1061</v>
      </c>
      <c r="H1742" s="105">
        <v>4</v>
      </c>
      <c r="I1742" s="5" t="str">
        <f>VLOOKUP(F1742,'Set up'!$A$2:$C$70,3,FALSE)</f>
        <v>Cash</v>
      </c>
      <c r="J1742" s="5">
        <f>VLOOKUP(F1742,'Set up'!$A$2:$D$70,4,FALSE)</f>
        <v>0</v>
      </c>
      <c r="K1742" s="4">
        <f t="shared" si="420"/>
        <v>45084</v>
      </c>
      <c r="L1742" s="5">
        <f t="shared" si="421"/>
        <v>6</v>
      </c>
      <c r="M1742" s="5">
        <f t="shared" si="422"/>
        <v>2023</v>
      </c>
      <c r="N1742" s="6">
        <v>380</v>
      </c>
      <c r="O1742" s="6">
        <f t="shared" si="427"/>
        <v>-380</v>
      </c>
      <c r="P1742" s="6">
        <f t="shared" si="424"/>
        <v>0</v>
      </c>
      <c r="Q1742" s="7">
        <f t="shared" si="423"/>
        <v>3169753.2500000014</v>
      </c>
      <c r="R1742" s="44" t="str">
        <f>VLOOKUP(F1742,'Set up'!$A$2:$E$70,5,FALSE)</f>
        <v>Trsf</v>
      </c>
      <c r="S1742" s="1" t="s">
        <v>1665</v>
      </c>
    </row>
    <row r="1743" spans="1:19" ht="15" customHeight="1" x14ac:dyDescent="0.3">
      <c r="A1743" s="4">
        <v>45083</v>
      </c>
      <c r="B1743" s="5">
        <f t="shared" si="418"/>
        <v>6</v>
      </c>
      <c r="C1743" s="5">
        <f t="shared" si="419"/>
        <v>2023</v>
      </c>
      <c r="D1743" s="88" t="s">
        <v>1616</v>
      </c>
      <c r="E1743" s="5" t="str">
        <f>VLOOKUP(F1743,'Set up'!$A$2:$C$70,2,FALSE)</f>
        <v>C00000010</v>
      </c>
      <c r="F1743" s="1" t="s">
        <v>62</v>
      </c>
      <c r="G1743" s="89" t="s">
        <v>1402</v>
      </c>
      <c r="H1743" s="106">
        <v>6</v>
      </c>
      <c r="I1743" s="5">
        <f>VLOOKUP(F1743,'Set up'!$A$2:$C$70,3,FALSE)</f>
        <v>120</v>
      </c>
      <c r="J1743" s="5">
        <f>VLOOKUP(F1743,'Set up'!$A$2:$D$70,4,FALSE)</f>
        <v>120</v>
      </c>
      <c r="K1743" s="4">
        <f t="shared" si="420"/>
        <v>45203</v>
      </c>
      <c r="L1743" s="5">
        <f t="shared" si="421"/>
        <v>10</v>
      </c>
      <c r="M1743" s="5">
        <f t="shared" si="422"/>
        <v>2023</v>
      </c>
      <c r="N1743" s="6">
        <v>10032</v>
      </c>
      <c r="O1743" s="6">
        <f>-N1743</f>
        <v>-10032</v>
      </c>
      <c r="P1743" s="6">
        <f t="shared" si="424"/>
        <v>0</v>
      </c>
      <c r="Q1743" s="7">
        <f t="shared" si="423"/>
        <v>3179785.2500000014</v>
      </c>
      <c r="R1743" s="44" t="str">
        <f>VLOOKUP(F1743,'Set up'!$A$2:$E$70,5,FALSE)</f>
        <v>Trsf</v>
      </c>
      <c r="S1743" s="1" t="s">
        <v>1975</v>
      </c>
    </row>
    <row r="1744" spans="1:19" ht="15" customHeight="1" x14ac:dyDescent="0.3">
      <c r="A1744" s="4">
        <v>45083</v>
      </c>
      <c r="B1744" s="5">
        <f t="shared" si="418"/>
        <v>6</v>
      </c>
      <c r="C1744" s="5">
        <f t="shared" si="419"/>
        <v>2023</v>
      </c>
      <c r="D1744" s="88" t="s">
        <v>1616</v>
      </c>
      <c r="E1744" s="5" t="str">
        <f>VLOOKUP(F1744,'Set up'!$A$2:$C$70,2,FALSE)</f>
        <v>C00000010</v>
      </c>
      <c r="F1744" s="1" t="s">
        <v>62</v>
      </c>
      <c r="G1744" s="90" t="s">
        <v>1392</v>
      </c>
      <c r="H1744" s="88">
        <v>10</v>
      </c>
      <c r="I1744" s="5">
        <f>VLOOKUP(F1744,'Set up'!$A$2:$C$70,3,FALSE)</f>
        <v>120</v>
      </c>
      <c r="J1744" s="5">
        <f>VLOOKUP(F1744,'Set up'!$A$2:$D$70,4,FALSE)</f>
        <v>120</v>
      </c>
      <c r="K1744" s="4">
        <f t="shared" si="420"/>
        <v>45203</v>
      </c>
      <c r="L1744" s="5">
        <f t="shared" si="421"/>
        <v>10</v>
      </c>
      <c r="M1744" s="5">
        <f t="shared" si="422"/>
        <v>2023</v>
      </c>
      <c r="N1744" s="6">
        <v>2010</v>
      </c>
      <c r="O1744" s="6">
        <f>-N1744</f>
        <v>-2010</v>
      </c>
      <c r="P1744" s="6">
        <f t="shared" si="424"/>
        <v>0</v>
      </c>
      <c r="Q1744" s="7">
        <f t="shared" si="423"/>
        <v>3181795.2500000014</v>
      </c>
      <c r="R1744" s="44" t="str">
        <f>VLOOKUP(F1744,'Set up'!$A$2:$E$70,5,FALSE)</f>
        <v>Trsf</v>
      </c>
      <c r="S1744" s="1" t="s">
        <v>1975</v>
      </c>
    </row>
    <row r="1745" spans="1:19" ht="15" customHeight="1" x14ac:dyDescent="0.3">
      <c r="A1745" s="4">
        <v>45083</v>
      </c>
      <c r="B1745" s="5">
        <f t="shared" si="418"/>
        <v>6</v>
      </c>
      <c r="C1745" s="5">
        <f t="shared" si="419"/>
        <v>2023</v>
      </c>
      <c r="D1745" s="88" t="s">
        <v>1616</v>
      </c>
      <c r="E1745" s="5" t="str">
        <f>VLOOKUP(F1745,'Set up'!$A$2:$C$70,2,FALSE)</f>
        <v>C00000010</v>
      </c>
      <c r="F1745" s="1" t="s">
        <v>62</v>
      </c>
      <c r="G1745" s="90" t="s">
        <v>791</v>
      </c>
      <c r="H1745" s="88">
        <v>10</v>
      </c>
      <c r="I1745" s="5">
        <f>VLOOKUP(F1745,'Set up'!$A$2:$C$70,3,FALSE)</f>
        <v>120</v>
      </c>
      <c r="J1745" s="5">
        <f>VLOOKUP(F1745,'Set up'!$A$2:$D$70,4,FALSE)</f>
        <v>120</v>
      </c>
      <c r="K1745" s="4">
        <f t="shared" si="420"/>
        <v>45203</v>
      </c>
      <c r="L1745" s="5">
        <f t="shared" si="421"/>
        <v>10</v>
      </c>
      <c r="M1745" s="5">
        <f t="shared" si="422"/>
        <v>2023</v>
      </c>
      <c r="N1745" s="6">
        <v>575</v>
      </c>
      <c r="O1745" s="6">
        <f>-N1745</f>
        <v>-575</v>
      </c>
      <c r="P1745" s="6">
        <f t="shared" si="424"/>
        <v>0</v>
      </c>
      <c r="Q1745" s="7">
        <f t="shared" si="423"/>
        <v>3182370.2500000014</v>
      </c>
      <c r="R1745" s="44" t="str">
        <f>VLOOKUP(F1745,'Set up'!$A$2:$E$70,5,FALSE)</f>
        <v>Trsf</v>
      </c>
      <c r="S1745" s="1" t="s">
        <v>1975</v>
      </c>
    </row>
    <row r="1746" spans="1:19" ht="15" customHeight="1" x14ac:dyDescent="0.3">
      <c r="A1746" s="4">
        <v>45083</v>
      </c>
      <c r="B1746" s="5">
        <f t="shared" si="418"/>
        <v>6</v>
      </c>
      <c r="C1746" s="5">
        <f t="shared" si="419"/>
        <v>2023</v>
      </c>
      <c r="D1746" s="88" t="s">
        <v>1616</v>
      </c>
      <c r="E1746" s="5" t="str">
        <f>VLOOKUP(F1746,'Set up'!$A$2:$C$70,2,FALSE)</f>
        <v>C00000010</v>
      </c>
      <c r="F1746" s="1" t="s">
        <v>62</v>
      </c>
      <c r="G1746" s="11" t="s">
        <v>46</v>
      </c>
      <c r="H1746" s="88">
        <v>4</v>
      </c>
      <c r="I1746" s="5">
        <f>VLOOKUP(F1746,'Set up'!$A$2:$C$70,3,FALSE)</f>
        <v>120</v>
      </c>
      <c r="J1746" s="5">
        <f>VLOOKUP(F1746,'Set up'!$A$2:$D$70,4,FALSE)</f>
        <v>120</v>
      </c>
      <c r="K1746" s="4">
        <f t="shared" si="420"/>
        <v>45203</v>
      </c>
      <c r="L1746" s="5">
        <f t="shared" si="421"/>
        <v>10</v>
      </c>
      <c r="M1746" s="5">
        <f t="shared" si="422"/>
        <v>2023</v>
      </c>
      <c r="N1746" s="6">
        <v>420</v>
      </c>
      <c r="O1746" s="6">
        <f>-N1746</f>
        <v>-420</v>
      </c>
      <c r="P1746" s="6">
        <f t="shared" si="424"/>
        <v>0</v>
      </c>
      <c r="Q1746" s="7">
        <f t="shared" si="423"/>
        <v>3182790.2500000014</v>
      </c>
      <c r="R1746" s="44" t="str">
        <f>VLOOKUP(F1746,'Set up'!$A$2:$E$70,5,FALSE)</f>
        <v>Trsf</v>
      </c>
      <c r="S1746" s="1" t="s">
        <v>1975</v>
      </c>
    </row>
    <row r="1747" spans="1:19" ht="15" customHeight="1" x14ac:dyDescent="0.3">
      <c r="A1747" s="4">
        <v>45083</v>
      </c>
      <c r="B1747" s="5">
        <f t="shared" si="418"/>
        <v>6</v>
      </c>
      <c r="C1747" s="5">
        <f t="shared" si="419"/>
        <v>2023</v>
      </c>
      <c r="D1747" s="88" t="s">
        <v>1616</v>
      </c>
      <c r="E1747" s="5" t="str">
        <f>VLOOKUP(F1747,'Set up'!$A$2:$C$70,2,FALSE)</f>
        <v>C00000010</v>
      </c>
      <c r="F1747" s="1" t="s">
        <v>62</v>
      </c>
      <c r="G1747" s="90" t="s">
        <v>944</v>
      </c>
      <c r="H1747" s="88">
        <v>1</v>
      </c>
      <c r="I1747" s="5">
        <f>VLOOKUP(F1747,'Set up'!$A$2:$C$70,3,FALSE)</f>
        <v>120</v>
      </c>
      <c r="J1747" s="5">
        <f>VLOOKUP(F1747,'Set up'!$A$2:$D$70,4,FALSE)</f>
        <v>120</v>
      </c>
      <c r="K1747" s="4">
        <f t="shared" si="420"/>
        <v>45203</v>
      </c>
      <c r="L1747" s="5">
        <f t="shared" si="421"/>
        <v>10</v>
      </c>
      <c r="M1747" s="5">
        <f t="shared" si="422"/>
        <v>2023</v>
      </c>
      <c r="N1747" s="6">
        <v>420</v>
      </c>
      <c r="O1747" s="6">
        <f>-N1747</f>
        <v>-420</v>
      </c>
      <c r="P1747" s="6">
        <f t="shared" si="424"/>
        <v>0</v>
      </c>
      <c r="Q1747" s="7">
        <f t="shared" si="423"/>
        <v>3183210.2500000014</v>
      </c>
      <c r="R1747" s="44" t="str">
        <f>VLOOKUP(F1747,'Set up'!$A$2:$E$70,5,FALSE)</f>
        <v>Trsf</v>
      </c>
      <c r="S1747" s="1" t="s">
        <v>1975</v>
      </c>
    </row>
    <row r="1748" spans="1:19" ht="15" customHeight="1" x14ac:dyDescent="0.3">
      <c r="A1748" s="4">
        <v>45084</v>
      </c>
      <c r="B1748" s="5">
        <f t="shared" si="418"/>
        <v>6</v>
      </c>
      <c r="C1748" s="5">
        <f t="shared" si="419"/>
        <v>2023</v>
      </c>
      <c r="D1748" s="105" t="s">
        <v>1617</v>
      </c>
      <c r="E1748" s="5" t="str">
        <f>VLOOKUP(F1748,'Set up'!$A$2:$C$70,2,FALSE)</f>
        <v>C00000014</v>
      </c>
      <c r="F1748" s="1" t="s">
        <v>262</v>
      </c>
      <c r="G1748" s="89" t="s">
        <v>722</v>
      </c>
      <c r="H1748" s="5">
        <v>2</v>
      </c>
      <c r="I1748" s="5" t="str">
        <f>VLOOKUP(F1748,'Set up'!$A$2:$C$70,3,FALSE)</f>
        <v>Cash</v>
      </c>
      <c r="J1748" s="5">
        <f>VLOOKUP(F1748,'Set up'!$A$2:$D$70,4,FALSE)</f>
        <v>0</v>
      </c>
      <c r="K1748" s="4">
        <f t="shared" si="420"/>
        <v>45084</v>
      </c>
      <c r="L1748" s="5">
        <f t="shared" si="421"/>
        <v>6</v>
      </c>
      <c r="M1748" s="5">
        <f t="shared" si="422"/>
        <v>2023</v>
      </c>
      <c r="N1748" s="6">
        <v>3608</v>
      </c>
      <c r="O1748" s="6">
        <f t="shared" ref="O1748:O1755" si="428">-N1748</f>
        <v>-3608</v>
      </c>
      <c r="P1748" s="6">
        <f t="shared" si="424"/>
        <v>0</v>
      </c>
      <c r="Q1748" s="7">
        <f t="shared" si="423"/>
        <v>3186818.2500000014</v>
      </c>
      <c r="R1748" s="44" t="str">
        <f>VLOOKUP(F1748,'Set up'!$A$2:$E$70,5,FALSE)</f>
        <v>Cash</v>
      </c>
      <c r="S1748" s="1" t="s">
        <v>1678</v>
      </c>
    </row>
    <row r="1749" spans="1:19" ht="15" customHeight="1" x14ac:dyDescent="0.3">
      <c r="A1749" s="4">
        <v>45084</v>
      </c>
      <c r="B1749" s="5">
        <f t="shared" si="418"/>
        <v>6</v>
      </c>
      <c r="C1749" s="5">
        <f t="shared" si="419"/>
        <v>2023</v>
      </c>
      <c r="D1749" s="105" t="s">
        <v>1617</v>
      </c>
      <c r="E1749" s="5" t="str">
        <f>VLOOKUP(F1749,'Set up'!$A$2:$C$70,2,FALSE)</f>
        <v>C00000014</v>
      </c>
      <c r="F1749" s="1" t="s">
        <v>262</v>
      </c>
      <c r="G1749" s="90" t="s">
        <v>988</v>
      </c>
      <c r="H1749" s="5">
        <v>4</v>
      </c>
      <c r="I1749" s="5" t="str">
        <f>VLOOKUP(F1749,'Set up'!$A$2:$C$70,3,FALSE)</f>
        <v>Cash</v>
      </c>
      <c r="J1749" s="5">
        <f>VLOOKUP(F1749,'Set up'!$A$2:$D$70,4,FALSE)</f>
        <v>0</v>
      </c>
      <c r="K1749" s="4">
        <f t="shared" si="420"/>
        <v>45084</v>
      </c>
      <c r="L1749" s="5">
        <f t="shared" si="421"/>
        <v>6</v>
      </c>
      <c r="M1749" s="5">
        <f t="shared" si="422"/>
        <v>2023</v>
      </c>
      <c r="N1749" s="6">
        <v>948</v>
      </c>
      <c r="O1749" s="6">
        <f t="shared" si="428"/>
        <v>-948</v>
      </c>
      <c r="P1749" s="6">
        <f t="shared" si="424"/>
        <v>0</v>
      </c>
      <c r="Q1749" s="7">
        <f t="shared" si="423"/>
        <v>3187766.2500000014</v>
      </c>
      <c r="R1749" s="44" t="str">
        <f>VLOOKUP(F1749,'Set up'!$A$2:$E$70,5,FALSE)</f>
        <v>Cash</v>
      </c>
      <c r="S1749" s="1" t="s">
        <v>1678</v>
      </c>
    </row>
    <row r="1750" spans="1:19" ht="15" customHeight="1" x14ac:dyDescent="0.3">
      <c r="A1750" s="4">
        <v>45084</v>
      </c>
      <c r="B1750" s="5">
        <f t="shared" si="418"/>
        <v>6</v>
      </c>
      <c r="C1750" s="5">
        <f t="shared" si="419"/>
        <v>2023</v>
      </c>
      <c r="D1750" s="105" t="s">
        <v>1617</v>
      </c>
      <c r="E1750" s="5" t="str">
        <f>VLOOKUP(F1750,'Set up'!$A$2:$C$70,2,FALSE)</f>
        <v>C00000014</v>
      </c>
      <c r="F1750" s="1" t="s">
        <v>262</v>
      </c>
      <c r="G1750" s="99" t="s">
        <v>865</v>
      </c>
      <c r="H1750" s="5">
        <v>2</v>
      </c>
      <c r="I1750" s="5" t="str">
        <f>VLOOKUP(F1750,'Set up'!$A$2:$C$70,3,FALSE)</f>
        <v>Cash</v>
      </c>
      <c r="J1750" s="5">
        <f>VLOOKUP(F1750,'Set up'!$A$2:$D$70,4,FALSE)</f>
        <v>0</v>
      </c>
      <c r="K1750" s="4">
        <f t="shared" si="420"/>
        <v>45084</v>
      </c>
      <c r="L1750" s="5">
        <f t="shared" si="421"/>
        <v>6</v>
      </c>
      <c r="M1750" s="5">
        <f t="shared" si="422"/>
        <v>2023</v>
      </c>
      <c r="N1750" s="6">
        <v>516</v>
      </c>
      <c r="O1750" s="6">
        <f t="shared" si="428"/>
        <v>-516</v>
      </c>
      <c r="P1750" s="6">
        <f t="shared" si="424"/>
        <v>0</v>
      </c>
      <c r="Q1750" s="7">
        <f t="shared" si="423"/>
        <v>3188282.2500000014</v>
      </c>
      <c r="R1750" s="44" t="str">
        <f>VLOOKUP(F1750,'Set up'!$A$2:$E$70,5,FALSE)</f>
        <v>Cash</v>
      </c>
      <c r="S1750" s="1" t="s">
        <v>1678</v>
      </c>
    </row>
    <row r="1751" spans="1:19" ht="15" customHeight="1" x14ac:dyDescent="0.3">
      <c r="A1751" s="4">
        <v>45084</v>
      </c>
      <c r="B1751" s="5">
        <f t="shared" si="418"/>
        <v>6</v>
      </c>
      <c r="C1751" s="5">
        <f t="shared" si="419"/>
        <v>2023</v>
      </c>
      <c r="D1751" s="105" t="s">
        <v>1617</v>
      </c>
      <c r="E1751" s="5" t="str">
        <f>VLOOKUP(F1751,'Set up'!$A$2:$C$70,2,FALSE)</f>
        <v>C00000014</v>
      </c>
      <c r="F1751" s="1" t="s">
        <v>262</v>
      </c>
      <c r="G1751" s="99" t="s">
        <v>894</v>
      </c>
      <c r="H1751" s="5">
        <v>2</v>
      </c>
      <c r="I1751" s="5" t="str">
        <f>VLOOKUP(F1751,'Set up'!$A$2:$C$70,3,FALSE)</f>
        <v>Cash</v>
      </c>
      <c r="J1751" s="5">
        <f>VLOOKUP(F1751,'Set up'!$A$2:$D$70,4,FALSE)</f>
        <v>0</v>
      </c>
      <c r="K1751" s="4">
        <f t="shared" si="420"/>
        <v>45084</v>
      </c>
      <c r="L1751" s="5">
        <f t="shared" si="421"/>
        <v>6</v>
      </c>
      <c r="M1751" s="5">
        <f t="shared" si="422"/>
        <v>2023</v>
      </c>
      <c r="N1751" s="6">
        <v>320</v>
      </c>
      <c r="O1751" s="6">
        <f t="shared" si="428"/>
        <v>-320</v>
      </c>
      <c r="P1751" s="6">
        <f t="shared" si="424"/>
        <v>0</v>
      </c>
      <c r="Q1751" s="7">
        <f t="shared" si="423"/>
        <v>3188602.2500000014</v>
      </c>
      <c r="R1751" s="44" t="str">
        <f>VLOOKUP(F1751,'Set up'!$A$2:$E$70,5,FALSE)</f>
        <v>Cash</v>
      </c>
      <c r="S1751" s="1" t="s">
        <v>1678</v>
      </c>
    </row>
    <row r="1752" spans="1:19" ht="15" customHeight="1" x14ac:dyDescent="0.3">
      <c r="A1752" s="4">
        <v>45085</v>
      </c>
      <c r="B1752" s="5">
        <f t="shared" si="418"/>
        <v>6</v>
      </c>
      <c r="C1752" s="5">
        <f t="shared" si="419"/>
        <v>2023</v>
      </c>
      <c r="D1752" s="105" t="s">
        <v>1618</v>
      </c>
      <c r="E1752" s="5" t="str">
        <f>VLOOKUP(F1752,'Set up'!$A$2:$C$70,2,FALSE)</f>
        <v>C00000039</v>
      </c>
      <c r="F1752" s="1" t="s">
        <v>1620</v>
      </c>
      <c r="G1752" s="89" t="s">
        <v>719</v>
      </c>
      <c r="H1752" s="88">
        <v>1</v>
      </c>
      <c r="I1752" s="5" t="str">
        <f>VLOOKUP(F1752,'Set up'!$A$2:$C$70,3,FALSE)</f>
        <v>Cash</v>
      </c>
      <c r="J1752" s="5">
        <f>VLOOKUP(F1752,'Set up'!$A$2:$D$70,4,FALSE)</f>
        <v>0</v>
      </c>
      <c r="K1752" s="4">
        <f t="shared" si="420"/>
        <v>45085</v>
      </c>
      <c r="L1752" s="5">
        <f t="shared" si="421"/>
        <v>6</v>
      </c>
      <c r="M1752" s="5">
        <f t="shared" si="422"/>
        <v>2023</v>
      </c>
      <c r="N1752" s="6">
        <v>1804</v>
      </c>
      <c r="O1752" s="6">
        <f t="shared" si="428"/>
        <v>-1804</v>
      </c>
      <c r="P1752" s="6">
        <f t="shared" ref="P1752:P1782" si="429">SUM(N1752+O1752)</f>
        <v>0</v>
      </c>
      <c r="Q1752" s="7">
        <f t="shared" si="423"/>
        <v>3190406.2500000014</v>
      </c>
      <c r="R1752" s="44" t="str">
        <f>VLOOKUP(F1752,'Set up'!$A$2:$E$70,5,FALSE)</f>
        <v>Trsf</v>
      </c>
      <c r="S1752" s="1" t="s">
        <v>1666</v>
      </c>
    </row>
    <row r="1753" spans="1:19" ht="15" customHeight="1" x14ac:dyDescent="0.3">
      <c r="A1753" s="4">
        <v>45085</v>
      </c>
      <c r="B1753" s="5">
        <f t="shared" si="418"/>
        <v>6</v>
      </c>
      <c r="C1753" s="5">
        <f t="shared" si="419"/>
        <v>2023</v>
      </c>
      <c r="D1753" s="105" t="s">
        <v>1618</v>
      </c>
      <c r="E1753" s="5" t="str">
        <f>VLOOKUP(F1753,'Set up'!$A$2:$C$70,2,FALSE)</f>
        <v>C00000039</v>
      </c>
      <c r="F1753" s="1" t="s">
        <v>1620</v>
      </c>
      <c r="G1753" s="89" t="s">
        <v>913</v>
      </c>
      <c r="H1753" s="88">
        <v>4</v>
      </c>
      <c r="I1753" s="5" t="str">
        <f>VLOOKUP(F1753,'Set up'!$A$2:$C$70,3,FALSE)</f>
        <v>Cash</v>
      </c>
      <c r="J1753" s="5">
        <f>VLOOKUP(F1753,'Set up'!$A$2:$D$70,4,FALSE)</f>
        <v>0</v>
      </c>
      <c r="K1753" s="4">
        <f t="shared" si="420"/>
        <v>45085</v>
      </c>
      <c r="L1753" s="5">
        <f t="shared" si="421"/>
        <v>6</v>
      </c>
      <c r="M1753" s="5">
        <f t="shared" si="422"/>
        <v>2023</v>
      </c>
      <c r="N1753" s="6">
        <v>912</v>
      </c>
      <c r="O1753" s="6">
        <f t="shared" si="428"/>
        <v>-912</v>
      </c>
      <c r="P1753" s="6">
        <f t="shared" si="429"/>
        <v>0</v>
      </c>
      <c r="Q1753" s="7">
        <f t="shared" si="423"/>
        <v>3191318.2500000014</v>
      </c>
      <c r="R1753" s="44" t="str">
        <f>VLOOKUP(F1753,'Set up'!$A$2:$E$70,5,FALSE)</f>
        <v>Trsf</v>
      </c>
      <c r="S1753" s="1" t="s">
        <v>1666</v>
      </c>
    </row>
    <row r="1754" spans="1:19" ht="15" customHeight="1" x14ac:dyDescent="0.3">
      <c r="A1754" s="4">
        <v>45085</v>
      </c>
      <c r="B1754" s="5">
        <f t="shared" si="418"/>
        <v>6</v>
      </c>
      <c r="C1754" s="5">
        <f t="shared" si="419"/>
        <v>2023</v>
      </c>
      <c r="D1754" s="105" t="s">
        <v>1618</v>
      </c>
      <c r="E1754" s="5" t="str">
        <f>VLOOKUP(F1754,'Set up'!$A$2:$C$70,2,FALSE)</f>
        <v>C00000039</v>
      </c>
      <c r="F1754" s="1" t="s">
        <v>1620</v>
      </c>
      <c r="G1754" s="90" t="s">
        <v>1110</v>
      </c>
      <c r="H1754" s="88">
        <v>1</v>
      </c>
      <c r="I1754" s="5" t="str">
        <f>VLOOKUP(F1754,'Set up'!$A$2:$C$70,3,FALSE)</f>
        <v>Cash</v>
      </c>
      <c r="J1754" s="5">
        <f>VLOOKUP(F1754,'Set up'!$A$2:$D$70,4,FALSE)</f>
        <v>0</v>
      </c>
      <c r="K1754" s="4">
        <f t="shared" si="420"/>
        <v>45085</v>
      </c>
      <c r="L1754" s="5">
        <f t="shared" si="421"/>
        <v>6</v>
      </c>
      <c r="M1754" s="5">
        <f t="shared" si="422"/>
        <v>2023</v>
      </c>
      <c r="N1754" s="6">
        <v>62.5</v>
      </c>
      <c r="O1754" s="6">
        <f t="shared" si="428"/>
        <v>-62.5</v>
      </c>
      <c r="P1754" s="6">
        <f t="shared" si="429"/>
        <v>0</v>
      </c>
      <c r="Q1754" s="7">
        <f t="shared" si="423"/>
        <v>3191380.7500000014</v>
      </c>
      <c r="R1754" s="44" t="str">
        <f>VLOOKUP(F1754,'Set up'!$A$2:$E$70,5,FALSE)</f>
        <v>Trsf</v>
      </c>
      <c r="S1754" s="1" t="s">
        <v>1666</v>
      </c>
    </row>
    <row r="1755" spans="1:19" ht="15" customHeight="1" x14ac:dyDescent="0.3">
      <c r="A1755" s="4">
        <v>45085</v>
      </c>
      <c r="B1755" s="5">
        <f t="shared" si="418"/>
        <v>6</v>
      </c>
      <c r="C1755" s="5">
        <f t="shared" si="419"/>
        <v>2023</v>
      </c>
      <c r="D1755" s="105" t="s">
        <v>1618</v>
      </c>
      <c r="E1755" s="5" t="str">
        <f>VLOOKUP(F1755,'Set up'!$A$2:$C$70,2,FALSE)</f>
        <v>C00000039</v>
      </c>
      <c r="F1755" s="1" t="s">
        <v>1620</v>
      </c>
      <c r="G1755" s="90" t="s">
        <v>1061</v>
      </c>
      <c r="H1755" s="88">
        <v>2</v>
      </c>
      <c r="I1755" s="5" t="str">
        <f>VLOOKUP(F1755,'Set up'!$A$2:$C$70,3,FALSE)</f>
        <v>Cash</v>
      </c>
      <c r="J1755" s="5">
        <f>VLOOKUP(F1755,'Set up'!$A$2:$D$70,4,FALSE)</f>
        <v>0</v>
      </c>
      <c r="K1755" s="4">
        <f t="shared" si="420"/>
        <v>45085</v>
      </c>
      <c r="L1755" s="5">
        <f t="shared" si="421"/>
        <v>6</v>
      </c>
      <c r="M1755" s="5">
        <f t="shared" si="422"/>
        <v>2023</v>
      </c>
      <c r="N1755" s="6">
        <v>190</v>
      </c>
      <c r="O1755" s="6">
        <f t="shared" si="428"/>
        <v>-190</v>
      </c>
      <c r="P1755" s="6">
        <f t="shared" si="429"/>
        <v>0</v>
      </c>
      <c r="Q1755" s="7">
        <f t="shared" si="423"/>
        <v>3191570.7500000014</v>
      </c>
      <c r="R1755" s="44" t="str">
        <f>VLOOKUP(F1755,'Set up'!$A$2:$E$70,5,FALSE)</f>
        <v>Trsf</v>
      </c>
      <c r="S1755" s="1" t="s">
        <v>1666</v>
      </c>
    </row>
    <row r="1756" spans="1:19" ht="15" customHeight="1" x14ac:dyDescent="0.3">
      <c r="A1756" s="4">
        <v>45086</v>
      </c>
      <c r="B1756" s="5">
        <f t="shared" si="418"/>
        <v>6</v>
      </c>
      <c r="C1756" s="5">
        <f t="shared" si="419"/>
        <v>2023</v>
      </c>
      <c r="D1756" s="88" t="s">
        <v>1622</v>
      </c>
      <c r="E1756" s="5" t="str">
        <f>VLOOKUP(F1756,'Set up'!$A$2:$C$70,2,FALSE)</f>
        <v>C00000034</v>
      </c>
      <c r="F1756" s="1" t="s">
        <v>1196</v>
      </c>
      <c r="G1756" s="11" t="s">
        <v>1356</v>
      </c>
      <c r="H1756" s="5">
        <v>1</v>
      </c>
      <c r="I1756" s="5" t="str">
        <f>VLOOKUP(F1756,'Set up'!$A$2:$C$70,3,FALSE)</f>
        <v>Cash</v>
      </c>
      <c r="J1756" s="5">
        <f>VLOOKUP(F1756,'Set up'!$A$2:$D$70,4,FALSE)</f>
        <v>0</v>
      </c>
      <c r="K1756" s="4">
        <f t="shared" si="420"/>
        <v>45086</v>
      </c>
      <c r="L1756" s="5">
        <f t="shared" si="421"/>
        <v>6</v>
      </c>
      <c r="M1756" s="5">
        <f t="shared" si="422"/>
        <v>2023</v>
      </c>
      <c r="N1756" s="6">
        <v>1870</v>
      </c>
      <c r="O1756" s="6">
        <f t="shared" ref="O1756:O1768" si="430">-N1756</f>
        <v>-1870</v>
      </c>
      <c r="P1756" s="6">
        <f t="shared" si="429"/>
        <v>0</v>
      </c>
      <c r="Q1756" s="7">
        <f t="shared" si="423"/>
        <v>3193440.7500000014</v>
      </c>
      <c r="R1756" s="44" t="str">
        <f>VLOOKUP(F1756,'Set up'!$A$2:$E$70,5,FALSE)</f>
        <v>Trsf</v>
      </c>
      <c r="S1756" s="117" t="s">
        <v>1695</v>
      </c>
    </row>
    <row r="1757" spans="1:19" ht="15" customHeight="1" x14ac:dyDescent="0.3">
      <c r="A1757" s="4">
        <v>45086</v>
      </c>
      <c r="B1757" s="5">
        <f t="shared" si="418"/>
        <v>6</v>
      </c>
      <c r="C1757" s="5">
        <f t="shared" si="419"/>
        <v>2023</v>
      </c>
      <c r="D1757" s="88" t="s">
        <v>1622</v>
      </c>
      <c r="E1757" s="5" t="str">
        <f>VLOOKUP(F1757,'Set up'!$A$2:$C$70,2,FALSE)</f>
        <v>C00000034</v>
      </c>
      <c r="F1757" s="1" t="s">
        <v>1196</v>
      </c>
      <c r="G1757" s="11" t="s">
        <v>1352</v>
      </c>
      <c r="H1757" s="5">
        <v>2</v>
      </c>
      <c r="I1757" s="5" t="str">
        <f>VLOOKUP(F1757,'Set up'!$A$2:$C$70,3,FALSE)</f>
        <v>Cash</v>
      </c>
      <c r="J1757" s="5">
        <f>VLOOKUP(F1757,'Set up'!$A$2:$D$70,4,FALSE)</f>
        <v>0</v>
      </c>
      <c r="K1757" s="4">
        <f t="shared" si="420"/>
        <v>45086</v>
      </c>
      <c r="L1757" s="5">
        <f t="shared" si="421"/>
        <v>6</v>
      </c>
      <c r="M1757" s="5">
        <f t="shared" si="422"/>
        <v>2023</v>
      </c>
      <c r="N1757" s="6">
        <v>450</v>
      </c>
      <c r="O1757" s="6">
        <f t="shared" si="430"/>
        <v>-450</v>
      </c>
      <c r="P1757" s="6">
        <f t="shared" si="429"/>
        <v>0</v>
      </c>
      <c r="Q1757" s="7">
        <f t="shared" si="423"/>
        <v>3193890.7500000014</v>
      </c>
      <c r="R1757" s="44" t="str">
        <f>VLOOKUP(F1757,'Set up'!$A$2:$E$70,5,FALSE)</f>
        <v>Trsf</v>
      </c>
      <c r="S1757" s="117" t="s">
        <v>1695</v>
      </c>
    </row>
    <row r="1758" spans="1:19" ht="15" customHeight="1" x14ac:dyDescent="0.3">
      <c r="A1758" s="4">
        <v>45086</v>
      </c>
      <c r="B1758" s="5">
        <f t="shared" si="418"/>
        <v>6</v>
      </c>
      <c r="C1758" s="5">
        <f t="shared" si="419"/>
        <v>2023</v>
      </c>
      <c r="D1758" s="88" t="s">
        <v>1622</v>
      </c>
      <c r="E1758" s="5" t="str">
        <f>VLOOKUP(F1758,'Set up'!$A$2:$C$70,2,FALSE)</f>
        <v>C00000034</v>
      </c>
      <c r="F1758" s="1" t="s">
        <v>1196</v>
      </c>
      <c r="G1758" s="89" t="s">
        <v>1431</v>
      </c>
      <c r="H1758" s="5">
        <v>1</v>
      </c>
      <c r="I1758" s="5" t="str">
        <f>VLOOKUP(F1758,'Set up'!$A$2:$C$70,3,FALSE)</f>
        <v>Cash</v>
      </c>
      <c r="J1758" s="5">
        <f>VLOOKUP(F1758,'Set up'!$A$2:$D$70,4,FALSE)</f>
        <v>0</v>
      </c>
      <c r="K1758" s="4">
        <f t="shared" si="420"/>
        <v>45086</v>
      </c>
      <c r="L1758" s="5">
        <f t="shared" si="421"/>
        <v>6</v>
      </c>
      <c r="M1758" s="5">
        <f t="shared" si="422"/>
        <v>2023</v>
      </c>
      <c r="N1758" s="6">
        <v>225</v>
      </c>
      <c r="O1758" s="6">
        <f t="shared" si="430"/>
        <v>-225</v>
      </c>
      <c r="P1758" s="6">
        <f t="shared" si="429"/>
        <v>0</v>
      </c>
      <c r="Q1758" s="7">
        <f t="shared" si="423"/>
        <v>3194115.7500000014</v>
      </c>
      <c r="R1758" s="44" t="str">
        <f>VLOOKUP(F1758,'Set up'!$A$2:$E$70,5,FALSE)</f>
        <v>Trsf</v>
      </c>
      <c r="S1758" s="117" t="s">
        <v>1695</v>
      </c>
    </row>
    <row r="1759" spans="1:19" ht="15" customHeight="1" x14ac:dyDescent="0.3">
      <c r="A1759" s="4">
        <v>45086</v>
      </c>
      <c r="B1759" s="5">
        <f t="shared" si="418"/>
        <v>6</v>
      </c>
      <c r="C1759" s="5">
        <f t="shared" si="419"/>
        <v>2023</v>
      </c>
      <c r="D1759" s="88" t="s">
        <v>1622</v>
      </c>
      <c r="E1759" s="5" t="str">
        <f>VLOOKUP(F1759,'Set up'!$A$2:$C$70,2,FALSE)</f>
        <v>C00000034</v>
      </c>
      <c r="F1759" s="1" t="s">
        <v>1196</v>
      </c>
      <c r="G1759" s="90" t="s">
        <v>1621</v>
      </c>
      <c r="H1759" s="5">
        <v>1</v>
      </c>
      <c r="I1759" s="5" t="str">
        <f>VLOOKUP(F1759,'Set up'!$A$2:$C$70,3,FALSE)</f>
        <v>Cash</v>
      </c>
      <c r="J1759" s="5">
        <f>VLOOKUP(F1759,'Set up'!$A$2:$D$70,4,FALSE)</f>
        <v>0</v>
      </c>
      <c r="K1759" s="4">
        <f t="shared" si="420"/>
        <v>45086</v>
      </c>
      <c r="L1759" s="5">
        <f t="shared" si="421"/>
        <v>6</v>
      </c>
      <c r="M1759" s="5">
        <f t="shared" si="422"/>
        <v>2023</v>
      </c>
      <c r="N1759" s="6">
        <v>247.8</v>
      </c>
      <c r="O1759" s="91">
        <f>-247.8</f>
        <v>-247.8</v>
      </c>
      <c r="P1759" s="91">
        <f t="shared" si="429"/>
        <v>0</v>
      </c>
      <c r="Q1759" s="7">
        <f t="shared" si="423"/>
        <v>3194363.5500000012</v>
      </c>
      <c r="R1759" s="44" t="str">
        <f>VLOOKUP(F1759,'Set up'!$A$2:$E$70,5,FALSE)</f>
        <v>Trsf</v>
      </c>
      <c r="S1759" s="117" t="s">
        <v>1695</v>
      </c>
    </row>
    <row r="1760" spans="1:19" ht="15" customHeight="1" x14ac:dyDescent="0.3">
      <c r="A1760" s="4" t="s">
        <v>1625</v>
      </c>
      <c r="B1760" s="5">
        <f t="shared" si="418"/>
        <v>6</v>
      </c>
      <c r="C1760" s="5">
        <f t="shared" si="419"/>
        <v>2023</v>
      </c>
      <c r="D1760" s="88" t="s">
        <v>1623</v>
      </c>
      <c r="E1760" s="5" t="str">
        <f>VLOOKUP(F1760,'Set up'!$A$2:$C$70,2,FALSE)</f>
        <v>C00000034</v>
      </c>
      <c r="F1760" s="1" t="s">
        <v>1196</v>
      </c>
      <c r="G1760" s="89" t="s">
        <v>1356</v>
      </c>
      <c r="H1760" s="5">
        <v>1</v>
      </c>
      <c r="I1760" s="5" t="str">
        <f>VLOOKUP(F1760,'Set up'!$A$2:$C$70,3,FALSE)</f>
        <v>Cash</v>
      </c>
      <c r="J1760" s="5">
        <f>VLOOKUP(F1760,'Set up'!$A$2:$D$70,4,FALSE)</f>
        <v>0</v>
      </c>
      <c r="K1760" s="4">
        <f t="shared" si="420"/>
        <v>45089</v>
      </c>
      <c r="L1760" s="5">
        <f t="shared" si="421"/>
        <v>6</v>
      </c>
      <c r="M1760" s="5">
        <f t="shared" si="422"/>
        <v>2023</v>
      </c>
      <c r="N1760" s="6">
        <v>1870</v>
      </c>
      <c r="O1760" s="6">
        <f t="shared" si="430"/>
        <v>-1870</v>
      </c>
      <c r="P1760" s="6">
        <f t="shared" si="429"/>
        <v>0</v>
      </c>
      <c r="Q1760" s="7">
        <f t="shared" si="423"/>
        <v>3196233.5500000012</v>
      </c>
      <c r="R1760" s="44" t="str">
        <f>VLOOKUP(F1760,'Set up'!$A$2:$E$70,5,FALSE)</f>
        <v>Trsf</v>
      </c>
      <c r="S1760" s="1" t="s">
        <v>1671</v>
      </c>
    </row>
    <row r="1761" spans="1:19" ht="15" customHeight="1" x14ac:dyDescent="0.3">
      <c r="A1761" s="4" t="s">
        <v>1625</v>
      </c>
      <c r="B1761" s="5">
        <f t="shared" si="418"/>
        <v>6</v>
      </c>
      <c r="C1761" s="5">
        <f t="shared" si="419"/>
        <v>2023</v>
      </c>
      <c r="D1761" s="88" t="s">
        <v>1623</v>
      </c>
      <c r="E1761" s="5" t="str">
        <f>VLOOKUP(F1761,'Set up'!$A$2:$C$70,2,FALSE)</f>
        <v>C00000034</v>
      </c>
      <c r="F1761" s="1" t="s">
        <v>1196</v>
      </c>
      <c r="G1761" s="89" t="s">
        <v>1352</v>
      </c>
      <c r="H1761" s="5">
        <v>2</v>
      </c>
      <c r="I1761" s="5" t="str">
        <f>VLOOKUP(F1761,'Set up'!$A$2:$C$70,3,FALSE)</f>
        <v>Cash</v>
      </c>
      <c r="J1761" s="5">
        <f>VLOOKUP(F1761,'Set up'!$A$2:$D$70,4,FALSE)</f>
        <v>0</v>
      </c>
      <c r="K1761" s="4">
        <f t="shared" si="420"/>
        <v>45089</v>
      </c>
      <c r="L1761" s="5">
        <f t="shared" si="421"/>
        <v>6</v>
      </c>
      <c r="M1761" s="5">
        <f t="shared" si="422"/>
        <v>2023</v>
      </c>
      <c r="N1761" s="6">
        <v>450</v>
      </c>
      <c r="O1761" s="6">
        <f t="shared" si="430"/>
        <v>-450</v>
      </c>
      <c r="P1761" s="6">
        <f t="shared" si="429"/>
        <v>0</v>
      </c>
      <c r="Q1761" s="7">
        <f t="shared" si="423"/>
        <v>3196683.5500000012</v>
      </c>
      <c r="R1761" s="44" t="str">
        <f>VLOOKUP(F1761,'Set up'!$A$2:$E$70,5,FALSE)</f>
        <v>Trsf</v>
      </c>
      <c r="S1761" s="1" t="s">
        <v>1671</v>
      </c>
    </row>
    <row r="1762" spans="1:19" ht="15" customHeight="1" x14ac:dyDescent="0.3">
      <c r="A1762" s="4" t="s">
        <v>1625</v>
      </c>
      <c r="B1762" s="5">
        <f t="shared" si="418"/>
        <v>6</v>
      </c>
      <c r="C1762" s="5">
        <f t="shared" si="419"/>
        <v>2023</v>
      </c>
      <c r="D1762" s="88" t="s">
        <v>1623</v>
      </c>
      <c r="E1762" s="5" t="str">
        <f>VLOOKUP(F1762,'Set up'!$A$2:$C$70,2,FALSE)</f>
        <v>C00000034</v>
      </c>
      <c r="F1762" s="1" t="s">
        <v>1196</v>
      </c>
      <c r="G1762" s="89" t="s">
        <v>1431</v>
      </c>
      <c r="H1762" s="5">
        <v>1</v>
      </c>
      <c r="I1762" s="5" t="str">
        <f>VLOOKUP(F1762,'Set up'!$A$2:$C$70,3,FALSE)</f>
        <v>Cash</v>
      </c>
      <c r="J1762" s="5">
        <f>VLOOKUP(F1762,'Set up'!$A$2:$D$70,4,FALSE)</f>
        <v>0</v>
      </c>
      <c r="K1762" s="4">
        <f t="shared" si="420"/>
        <v>45089</v>
      </c>
      <c r="L1762" s="5">
        <f t="shared" si="421"/>
        <v>6</v>
      </c>
      <c r="M1762" s="5">
        <f t="shared" si="422"/>
        <v>2023</v>
      </c>
      <c r="N1762" s="6">
        <v>225</v>
      </c>
      <c r="O1762" s="6">
        <f t="shared" si="430"/>
        <v>-225</v>
      </c>
      <c r="P1762" s="6">
        <f t="shared" si="429"/>
        <v>0</v>
      </c>
      <c r="Q1762" s="7">
        <f t="shared" si="423"/>
        <v>3196908.5500000012</v>
      </c>
      <c r="R1762" s="44" t="str">
        <f>VLOOKUP(F1762,'Set up'!$A$2:$E$70,5,FALSE)</f>
        <v>Trsf</v>
      </c>
      <c r="S1762" s="1" t="s">
        <v>1671</v>
      </c>
    </row>
    <row r="1763" spans="1:19" ht="15" customHeight="1" x14ac:dyDescent="0.3">
      <c r="A1763" s="4" t="s">
        <v>1625</v>
      </c>
      <c r="B1763" s="5">
        <f t="shared" si="418"/>
        <v>6</v>
      </c>
      <c r="C1763" s="5">
        <f t="shared" si="419"/>
        <v>2023</v>
      </c>
      <c r="D1763" s="88" t="s">
        <v>1623</v>
      </c>
      <c r="E1763" s="5" t="str">
        <f>VLOOKUP(F1763,'Set up'!$A$2:$C$70,2,FALSE)</f>
        <v>C00000034</v>
      </c>
      <c r="F1763" s="1" t="s">
        <v>1196</v>
      </c>
      <c r="G1763" s="89" t="s">
        <v>1624</v>
      </c>
      <c r="H1763" s="5">
        <v>1</v>
      </c>
      <c r="I1763" s="5" t="str">
        <f>VLOOKUP(F1763,'Set up'!$A$2:$C$70,3,FALSE)</f>
        <v>Cash</v>
      </c>
      <c r="J1763" s="5">
        <f>VLOOKUP(F1763,'Set up'!$A$2:$D$70,4,FALSE)</f>
        <v>0</v>
      </c>
      <c r="K1763" s="4">
        <f t="shared" si="420"/>
        <v>45089</v>
      </c>
      <c r="L1763" s="5">
        <f t="shared" si="421"/>
        <v>6</v>
      </c>
      <c r="M1763" s="5">
        <f t="shared" si="422"/>
        <v>2023</v>
      </c>
      <c r="N1763" s="6">
        <v>236</v>
      </c>
      <c r="O1763" s="6">
        <f t="shared" si="430"/>
        <v>-236</v>
      </c>
      <c r="P1763" s="6">
        <f t="shared" si="429"/>
        <v>0</v>
      </c>
      <c r="Q1763" s="7">
        <f t="shared" si="423"/>
        <v>3197144.5500000012</v>
      </c>
      <c r="R1763" s="44" t="str">
        <f>VLOOKUP(F1763,'Set up'!$A$2:$E$70,5,FALSE)</f>
        <v>Trsf</v>
      </c>
      <c r="S1763" s="1" t="s">
        <v>1671</v>
      </c>
    </row>
    <row r="1764" spans="1:19" ht="15" customHeight="1" x14ac:dyDescent="0.3">
      <c r="A1764" s="4" t="s">
        <v>1625</v>
      </c>
      <c r="B1764" s="5">
        <f t="shared" si="418"/>
        <v>6</v>
      </c>
      <c r="C1764" s="5">
        <f t="shared" si="419"/>
        <v>2023</v>
      </c>
      <c r="D1764" s="88" t="s">
        <v>1623</v>
      </c>
      <c r="E1764" s="5" t="str">
        <f>VLOOKUP(F1764,'Set up'!$A$2:$C$70,2,FALSE)</f>
        <v>C00000034</v>
      </c>
      <c r="F1764" s="1" t="s">
        <v>1196</v>
      </c>
      <c r="G1764" s="89" t="s">
        <v>1351</v>
      </c>
      <c r="H1764" s="5">
        <v>10</v>
      </c>
      <c r="I1764" s="5" t="str">
        <f>VLOOKUP(F1764,'Set up'!$A$2:$C$70,3,FALSE)</f>
        <v>Cash</v>
      </c>
      <c r="J1764" s="5">
        <f>VLOOKUP(F1764,'Set up'!$A$2:$D$70,4,FALSE)</f>
        <v>0</v>
      </c>
      <c r="K1764" s="4">
        <f t="shared" si="420"/>
        <v>45089</v>
      </c>
      <c r="L1764" s="5">
        <f t="shared" si="421"/>
        <v>6</v>
      </c>
      <c r="M1764" s="5">
        <f t="shared" si="422"/>
        <v>2023</v>
      </c>
      <c r="N1764" s="6">
        <v>1390</v>
      </c>
      <c r="O1764" s="6">
        <f t="shared" si="430"/>
        <v>-1390</v>
      </c>
      <c r="P1764" s="6">
        <f t="shared" si="429"/>
        <v>0</v>
      </c>
      <c r="Q1764" s="7">
        <f t="shared" si="423"/>
        <v>3198534.5500000012</v>
      </c>
      <c r="R1764" s="44" t="str">
        <f>VLOOKUP(F1764,'Set up'!$A$2:$E$70,5,FALSE)</f>
        <v>Trsf</v>
      </c>
      <c r="S1764" s="1" t="s">
        <v>1671</v>
      </c>
    </row>
    <row r="1765" spans="1:19" ht="15" customHeight="1" x14ac:dyDescent="0.3">
      <c r="A1765" s="4" t="s">
        <v>1625</v>
      </c>
      <c r="B1765" s="5">
        <f t="shared" si="418"/>
        <v>6</v>
      </c>
      <c r="C1765" s="5">
        <f t="shared" si="419"/>
        <v>2023</v>
      </c>
      <c r="D1765" s="88" t="s">
        <v>1623</v>
      </c>
      <c r="E1765" s="5" t="str">
        <f>VLOOKUP(F1765,'Set up'!$A$2:$C$70,2,FALSE)</f>
        <v>C00000034</v>
      </c>
      <c r="F1765" s="1" t="s">
        <v>1196</v>
      </c>
      <c r="G1765" s="89" t="s">
        <v>1110</v>
      </c>
      <c r="H1765" s="5">
        <v>3</v>
      </c>
      <c r="I1765" s="5" t="str">
        <f>VLOOKUP(F1765,'Set up'!$A$2:$C$70,3,FALSE)</f>
        <v>Cash</v>
      </c>
      <c r="J1765" s="5">
        <f>VLOOKUP(F1765,'Set up'!$A$2:$D$70,4,FALSE)</f>
        <v>0</v>
      </c>
      <c r="K1765" s="4">
        <f t="shared" si="420"/>
        <v>45089</v>
      </c>
      <c r="L1765" s="5">
        <f t="shared" si="421"/>
        <v>6</v>
      </c>
      <c r="M1765" s="5">
        <f t="shared" si="422"/>
        <v>2023</v>
      </c>
      <c r="N1765" s="6">
        <v>187.5</v>
      </c>
      <c r="O1765" s="6">
        <f t="shared" si="430"/>
        <v>-187.5</v>
      </c>
      <c r="P1765" s="6">
        <f t="shared" si="429"/>
        <v>0</v>
      </c>
      <c r="Q1765" s="7">
        <f t="shared" si="423"/>
        <v>3198722.0500000012</v>
      </c>
      <c r="R1765" s="44" t="str">
        <f>VLOOKUP(F1765,'Set up'!$A$2:$E$70,5,FALSE)</f>
        <v>Trsf</v>
      </c>
      <c r="S1765" s="1" t="s">
        <v>1671</v>
      </c>
    </row>
    <row r="1766" spans="1:19" ht="15" customHeight="1" x14ac:dyDescent="0.3">
      <c r="A1766" s="4" t="s">
        <v>1625</v>
      </c>
      <c r="B1766" s="5">
        <f t="shared" si="418"/>
        <v>6</v>
      </c>
      <c r="C1766" s="5">
        <f t="shared" si="419"/>
        <v>2023</v>
      </c>
      <c r="D1766" s="88" t="s">
        <v>1623</v>
      </c>
      <c r="E1766" s="5" t="str">
        <f>VLOOKUP(F1766,'Set up'!$A$2:$C$70,2,FALSE)</f>
        <v>C00000034</v>
      </c>
      <c r="F1766" s="1" t="s">
        <v>1196</v>
      </c>
      <c r="G1766" s="89" t="s">
        <v>1061</v>
      </c>
      <c r="H1766" s="5">
        <v>1</v>
      </c>
      <c r="I1766" s="5" t="str">
        <f>VLOOKUP(F1766,'Set up'!$A$2:$C$70,3,FALSE)</f>
        <v>Cash</v>
      </c>
      <c r="J1766" s="5">
        <f>VLOOKUP(F1766,'Set up'!$A$2:$D$70,4,FALSE)</f>
        <v>0</v>
      </c>
      <c r="K1766" s="4">
        <f t="shared" si="420"/>
        <v>45089</v>
      </c>
      <c r="L1766" s="5">
        <f t="shared" si="421"/>
        <v>6</v>
      </c>
      <c r="M1766" s="5">
        <f t="shared" si="422"/>
        <v>2023</v>
      </c>
      <c r="N1766" s="6">
        <v>95</v>
      </c>
      <c r="O1766" s="6">
        <f t="shared" si="430"/>
        <v>-95</v>
      </c>
      <c r="P1766" s="6">
        <f t="shared" si="429"/>
        <v>0</v>
      </c>
      <c r="Q1766" s="7">
        <f t="shared" si="423"/>
        <v>3198817.0500000012</v>
      </c>
      <c r="R1766" s="44" t="str">
        <f>VLOOKUP(F1766,'Set up'!$A$2:$E$70,5,FALSE)</f>
        <v>Trsf</v>
      </c>
      <c r="S1766" s="1" t="s">
        <v>1671</v>
      </c>
    </row>
    <row r="1767" spans="1:19" ht="15" customHeight="1" x14ac:dyDescent="0.3">
      <c r="A1767" s="4">
        <v>45091</v>
      </c>
      <c r="B1767" s="5">
        <f t="shared" si="418"/>
        <v>6</v>
      </c>
      <c r="C1767" s="5">
        <f t="shared" si="419"/>
        <v>2023</v>
      </c>
      <c r="D1767" s="5" t="s">
        <v>1626</v>
      </c>
      <c r="E1767" s="5" t="str">
        <f>VLOOKUP(F1767,'Set up'!$A$2:$C$70,2,FALSE)</f>
        <v>C00000019</v>
      </c>
      <c r="F1767" s="1" t="s">
        <v>400</v>
      </c>
      <c r="G1767" s="89" t="s">
        <v>894</v>
      </c>
      <c r="H1767" s="5">
        <v>1</v>
      </c>
      <c r="I1767" s="5" t="str">
        <f>VLOOKUP(F1767,'Set up'!$A$2:$C$70,3,FALSE)</f>
        <v>Cash</v>
      </c>
      <c r="J1767" s="5">
        <f>VLOOKUP(F1767,'Set up'!$A$2:$D$70,4,FALSE)</f>
        <v>0</v>
      </c>
      <c r="K1767" s="4">
        <f t="shared" si="420"/>
        <v>45091</v>
      </c>
      <c r="L1767" s="5">
        <f t="shared" si="421"/>
        <v>6</v>
      </c>
      <c r="M1767" s="5">
        <f t="shared" si="422"/>
        <v>2023</v>
      </c>
      <c r="N1767" s="6">
        <v>150</v>
      </c>
      <c r="O1767" s="6">
        <f t="shared" si="430"/>
        <v>-150</v>
      </c>
      <c r="P1767" s="6">
        <f t="shared" si="429"/>
        <v>0</v>
      </c>
      <c r="Q1767" s="7">
        <f t="shared" si="423"/>
        <v>3198967.0500000012</v>
      </c>
      <c r="R1767" s="44" t="str">
        <f>VLOOKUP(F1767,'Set up'!$A$2:$E$70,5,FALSE)</f>
        <v>Trsf</v>
      </c>
      <c r="S1767" s="1" t="s">
        <v>2223</v>
      </c>
    </row>
    <row r="1768" spans="1:19" ht="15" customHeight="1" x14ac:dyDescent="0.3">
      <c r="A1768" s="4">
        <v>45091</v>
      </c>
      <c r="B1768" s="5">
        <f t="shared" si="418"/>
        <v>6</v>
      </c>
      <c r="C1768" s="5">
        <f t="shared" si="419"/>
        <v>2023</v>
      </c>
      <c r="D1768" s="5" t="s">
        <v>1626</v>
      </c>
      <c r="E1768" s="5" t="str">
        <f>VLOOKUP(F1768,'Set up'!$A$2:$C$70,2,FALSE)</f>
        <v>C00000019</v>
      </c>
      <c r="F1768" s="1" t="s">
        <v>400</v>
      </c>
      <c r="G1768" s="89" t="s">
        <v>1627</v>
      </c>
      <c r="H1768" s="5">
        <v>1</v>
      </c>
      <c r="I1768" s="5" t="str">
        <f>VLOOKUP(F1768,'Set up'!$A$2:$C$70,3,FALSE)</f>
        <v>Cash</v>
      </c>
      <c r="J1768" s="5">
        <f>VLOOKUP(F1768,'Set up'!$A$2:$D$70,4,FALSE)</f>
        <v>0</v>
      </c>
      <c r="K1768" s="4">
        <f t="shared" si="420"/>
        <v>45091</v>
      </c>
      <c r="L1768" s="5">
        <f t="shared" si="421"/>
        <v>6</v>
      </c>
      <c r="M1768" s="5">
        <f t="shared" si="422"/>
        <v>2023</v>
      </c>
      <c r="N1768" s="6">
        <v>260</v>
      </c>
      <c r="O1768" s="6">
        <f t="shared" si="430"/>
        <v>-260</v>
      </c>
      <c r="P1768" s="6">
        <f t="shared" si="429"/>
        <v>0</v>
      </c>
      <c r="Q1768" s="7">
        <f t="shared" si="423"/>
        <v>3199227.0500000012</v>
      </c>
      <c r="R1768" s="44" t="str">
        <f>VLOOKUP(F1768,'Set up'!$A$2:$E$70,5,FALSE)</f>
        <v>Trsf</v>
      </c>
      <c r="S1768" s="1" t="s">
        <v>2224</v>
      </c>
    </row>
    <row r="1769" spans="1:19" ht="15" customHeight="1" x14ac:dyDescent="0.3">
      <c r="A1769" s="4">
        <v>45092</v>
      </c>
      <c r="B1769" s="5">
        <f t="shared" si="418"/>
        <v>6</v>
      </c>
      <c r="C1769" s="5">
        <f t="shared" si="419"/>
        <v>2023</v>
      </c>
      <c r="D1769" s="5" t="s">
        <v>1628</v>
      </c>
      <c r="E1769" s="5" t="str">
        <f>VLOOKUP(F1769,'Set up'!$A$2:$C$70,2,FALSE)</f>
        <v>C00000014</v>
      </c>
      <c r="F1769" s="1" t="s">
        <v>262</v>
      </c>
      <c r="G1769" s="89" t="s">
        <v>722</v>
      </c>
      <c r="H1769" s="5">
        <v>2</v>
      </c>
      <c r="I1769" s="5" t="str">
        <f>VLOOKUP(F1769,'Set up'!$A$2:$C$70,3,FALSE)</f>
        <v>Cash</v>
      </c>
      <c r="J1769" s="5">
        <f>VLOOKUP(F1769,'Set up'!$A$2:$D$70,4,FALSE)</f>
        <v>0</v>
      </c>
      <c r="K1769" s="4">
        <f t="shared" si="420"/>
        <v>45092</v>
      </c>
      <c r="L1769" s="5">
        <f t="shared" si="421"/>
        <v>6</v>
      </c>
      <c r="M1769" s="5">
        <f t="shared" si="422"/>
        <v>2023</v>
      </c>
      <c r="N1769" s="6">
        <v>3608</v>
      </c>
      <c r="O1769" s="6">
        <f>-N1769</f>
        <v>-3608</v>
      </c>
      <c r="P1769" s="6">
        <f t="shared" si="429"/>
        <v>0</v>
      </c>
      <c r="Q1769" s="7">
        <f t="shared" si="423"/>
        <v>3202835.0500000012</v>
      </c>
      <c r="R1769" s="44" t="str">
        <f>VLOOKUP(F1769,'Set up'!$A$2:$E$70,5,FALSE)</f>
        <v>Cash</v>
      </c>
      <c r="S1769" s="1" t="s">
        <v>1679</v>
      </c>
    </row>
    <row r="1770" spans="1:19" ht="15" customHeight="1" x14ac:dyDescent="0.3">
      <c r="A1770" s="4">
        <v>45092</v>
      </c>
      <c r="B1770" s="5">
        <f t="shared" si="418"/>
        <v>6</v>
      </c>
      <c r="C1770" s="5">
        <f t="shared" si="419"/>
        <v>2023</v>
      </c>
      <c r="D1770" s="5" t="s">
        <v>1628</v>
      </c>
      <c r="E1770" s="5" t="str">
        <f>VLOOKUP(F1770,'Set up'!$A$2:$C$70,2,FALSE)</f>
        <v>C00000014</v>
      </c>
      <c r="F1770" s="1" t="s">
        <v>262</v>
      </c>
      <c r="G1770" s="89" t="s">
        <v>988</v>
      </c>
      <c r="H1770" s="5">
        <v>2</v>
      </c>
      <c r="I1770" s="5" t="str">
        <f>VLOOKUP(F1770,'Set up'!$A$2:$C$70,3,FALSE)</f>
        <v>Cash</v>
      </c>
      <c r="J1770" s="5">
        <f>VLOOKUP(F1770,'Set up'!$A$2:$D$70,4,FALSE)</f>
        <v>0</v>
      </c>
      <c r="K1770" s="4">
        <f t="shared" si="420"/>
        <v>45092</v>
      </c>
      <c r="L1770" s="5">
        <f t="shared" si="421"/>
        <v>6</v>
      </c>
      <c r="M1770" s="5">
        <f t="shared" si="422"/>
        <v>2023</v>
      </c>
      <c r="N1770" s="6">
        <v>474</v>
      </c>
      <c r="O1770" s="6">
        <f>-N1770</f>
        <v>-474</v>
      </c>
      <c r="P1770" s="6">
        <f t="shared" si="429"/>
        <v>0</v>
      </c>
      <c r="Q1770" s="7">
        <f t="shared" si="423"/>
        <v>3203309.0500000012</v>
      </c>
      <c r="R1770" s="44" t="str">
        <f>VLOOKUP(F1770,'Set up'!$A$2:$E$70,5,FALSE)</f>
        <v>Cash</v>
      </c>
      <c r="S1770" s="1" t="s">
        <v>1679</v>
      </c>
    </row>
    <row r="1771" spans="1:19" ht="15" customHeight="1" x14ac:dyDescent="0.3">
      <c r="A1771" s="4">
        <v>45092</v>
      </c>
      <c r="B1771" s="5">
        <f t="shared" si="418"/>
        <v>6</v>
      </c>
      <c r="C1771" s="5">
        <f t="shared" si="419"/>
        <v>2023</v>
      </c>
      <c r="D1771" s="5" t="s">
        <v>1628</v>
      </c>
      <c r="E1771" s="5" t="str">
        <f>VLOOKUP(F1771,'Set up'!$A$2:$C$70,2,FALSE)</f>
        <v>C00000014</v>
      </c>
      <c r="F1771" s="1" t="s">
        <v>262</v>
      </c>
      <c r="G1771" s="89" t="s">
        <v>865</v>
      </c>
      <c r="H1771" s="5">
        <v>2</v>
      </c>
      <c r="I1771" s="5" t="str">
        <f>VLOOKUP(F1771,'Set up'!$A$2:$C$70,3,FALSE)</f>
        <v>Cash</v>
      </c>
      <c r="J1771" s="5">
        <f>VLOOKUP(F1771,'Set up'!$A$2:$D$70,4,FALSE)</f>
        <v>0</v>
      </c>
      <c r="K1771" s="4">
        <f t="shared" si="420"/>
        <v>45092</v>
      </c>
      <c r="L1771" s="5">
        <f t="shared" si="421"/>
        <v>6</v>
      </c>
      <c r="M1771" s="5">
        <f t="shared" si="422"/>
        <v>2023</v>
      </c>
      <c r="N1771" s="6">
        <v>516</v>
      </c>
      <c r="O1771" s="6">
        <f>-N1771</f>
        <v>-516</v>
      </c>
      <c r="P1771" s="6">
        <f t="shared" si="429"/>
        <v>0</v>
      </c>
      <c r="Q1771" s="7">
        <f t="shared" si="423"/>
        <v>3203825.0500000012</v>
      </c>
      <c r="R1771" s="44" t="str">
        <f>VLOOKUP(F1771,'Set up'!$A$2:$E$70,5,FALSE)</f>
        <v>Cash</v>
      </c>
      <c r="S1771" s="1" t="s">
        <v>1679</v>
      </c>
    </row>
    <row r="1772" spans="1:19" ht="15" customHeight="1" x14ac:dyDescent="0.3">
      <c r="A1772" s="4">
        <v>45092</v>
      </c>
      <c r="B1772" s="5">
        <f t="shared" si="418"/>
        <v>6</v>
      </c>
      <c r="C1772" s="5">
        <f t="shared" si="419"/>
        <v>2023</v>
      </c>
      <c r="D1772" s="5" t="s">
        <v>1628</v>
      </c>
      <c r="E1772" s="5" t="str">
        <f>VLOOKUP(F1772,'Set up'!$A$2:$C$70,2,FALSE)</f>
        <v>C00000014</v>
      </c>
      <c r="F1772" s="1" t="s">
        <v>262</v>
      </c>
      <c r="G1772" s="89" t="s">
        <v>894</v>
      </c>
      <c r="H1772" s="5">
        <v>2</v>
      </c>
      <c r="I1772" s="5" t="str">
        <f>VLOOKUP(F1772,'Set up'!$A$2:$C$70,3,FALSE)</f>
        <v>Cash</v>
      </c>
      <c r="J1772" s="5">
        <f>VLOOKUP(F1772,'Set up'!$A$2:$D$70,4,FALSE)</f>
        <v>0</v>
      </c>
      <c r="K1772" s="4">
        <f t="shared" si="420"/>
        <v>45092</v>
      </c>
      <c r="L1772" s="5">
        <f t="shared" si="421"/>
        <v>6</v>
      </c>
      <c r="M1772" s="5">
        <f t="shared" si="422"/>
        <v>2023</v>
      </c>
      <c r="N1772" s="6">
        <v>320</v>
      </c>
      <c r="O1772" s="6">
        <f>-N1772</f>
        <v>-320</v>
      </c>
      <c r="P1772" s="6">
        <f t="shared" si="429"/>
        <v>0</v>
      </c>
      <c r="Q1772" s="7">
        <f t="shared" si="423"/>
        <v>3204145.0500000012</v>
      </c>
      <c r="R1772" s="44" t="str">
        <f>VLOOKUP(F1772,'Set up'!$A$2:$E$70,5,FALSE)</f>
        <v>Cash</v>
      </c>
      <c r="S1772" s="1" t="s">
        <v>1679</v>
      </c>
    </row>
    <row r="1773" spans="1:19" ht="15" customHeight="1" x14ac:dyDescent="0.3">
      <c r="A1773" s="4">
        <v>45092</v>
      </c>
      <c r="B1773" s="5">
        <f t="shared" si="418"/>
        <v>6</v>
      </c>
      <c r="C1773" s="5">
        <f t="shared" si="419"/>
        <v>2023</v>
      </c>
      <c r="D1773" s="5" t="s">
        <v>1629</v>
      </c>
      <c r="E1773" s="5" t="str">
        <f>VLOOKUP(F1773,'Set up'!$A$2:$C$70,2,FALSE)</f>
        <v>C00000038</v>
      </c>
      <c r="F1773" s="1" t="s">
        <v>1420</v>
      </c>
      <c r="G1773" s="89" t="s">
        <v>1630</v>
      </c>
      <c r="H1773" s="5">
        <v>1</v>
      </c>
      <c r="I1773" s="5" t="str">
        <f>VLOOKUP(F1773,'Set up'!$A$2:$C$70,3,FALSE)</f>
        <v>Cash</v>
      </c>
      <c r="J1773" s="5">
        <f>VLOOKUP(F1773,'Set up'!$A$2:$D$70,4,FALSE)</f>
        <v>0</v>
      </c>
      <c r="K1773" s="4">
        <f t="shared" si="420"/>
        <v>45092</v>
      </c>
      <c r="L1773" s="5">
        <f t="shared" si="421"/>
        <v>6</v>
      </c>
      <c r="M1773" s="5">
        <f t="shared" si="422"/>
        <v>2023</v>
      </c>
      <c r="N1773" s="6">
        <v>350</v>
      </c>
      <c r="O1773" s="6">
        <f t="shared" ref="O1773:O1776" si="431">-N1773</f>
        <v>-350</v>
      </c>
      <c r="P1773" s="6">
        <f t="shared" si="429"/>
        <v>0</v>
      </c>
      <c r="Q1773" s="7">
        <f t="shared" si="423"/>
        <v>3204495.0500000012</v>
      </c>
      <c r="R1773" s="44" t="str">
        <f>VLOOKUP(F1773,'Set up'!$A$2:$E$70,5,FALSE)</f>
        <v>Trsf</v>
      </c>
      <c r="S1773" s="1" t="s">
        <v>1677</v>
      </c>
    </row>
    <row r="1774" spans="1:19" ht="15" customHeight="1" x14ac:dyDescent="0.3">
      <c r="A1774" s="4">
        <v>45092</v>
      </c>
      <c r="B1774" s="5">
        <f t="shared" si="418"/>
        <v>6</v>
      </c>
      <c r="C1774" s="5">
        <f t="shared" si="419"/>
        <v>2023</v>
      </c>
      <c r="D1774" s="5" t="s">
        <v>1629</v>
      </c>
      <c r="E1774" s="5" t="str">
        <f>VLOOKUP(F1774,'Set up'!$A$2:$C$70,2,FALSE)</f>
        <v>C00000038</v>
      </c>
      <c r="F1774" s="1" t="s">
        <v>1420</v>
      </c>
      <c r="G1774" s="89" t="s">
        <v>1424</v>
      </c>
      <c r="H1774" s="5">
        <v>1</v>
      </c>
      <c r="I1774" s="5" t="str">
        <f>VLOOKUP(F1774,'Set up'!$A$2:$C$70,3,FALSE)</f>
        <v>Cash</v>
      </c>
      <c r="J1774" s="5">
        <f>VLOOKUP(F1774,'Set up'!$A$2:$D$70,4,FALSE)</f>
        <v>0</v>
      </c>
      <c r="K1774" s="4">
        <f t="shared" si="420"/>
        <v>45092</v>
      </c>
      <c r="L1774" s="5">
        <f t="shared" si="421"/>
        <v>6</v>
      </c>
      <c r="M1774" s="5">
        <f t="shared" si="422"/>
        <v>2023</v>
      </c>
      <c r="N1774" s="6">
        <v>105</v>
      </c>
      <c r="O1774" s="6">
        <f t="shared" si="431"/>
        <v>-105</v>
      </c>
      <c r="P1774" s="6">
        <f t="shared" si="429"/>
        <v>0</v>
      </c>
      <c r="Q1774" s="7">
        <f t="shared" si="423"/>
        <v>3204600.0500000012</v>
      </c>
      <c r="R1774" s="44" t="str">
        <f>VLOOKUP(F1774,'Set up'!$A$2:$E$70,5,FALSE)</f>
        <v>Trsf</v>
      </c>
      <c r="S1774" s="1" t="s">
        <v>1677</v>
      </c>
    </row>
    <row r="1775" spans="1:19" ht="15" customHeight="1" x14ac:dyDescent="0.3">
      <c r="A1775" s="4">
        <v>45092</v>
      </c>
      <c r="B1775" s="5">
        <f t="shared" si="418"/>
        <v>6</v>
      </c>
      <c r="C1775" s="5">
        <f t="shared" si="419"/>
        <v>2023</v>
      </c>
      <c r="D1775" s="5" t="s">
        <v>1629</v>
      </c>
      <c r="E1775" s="5" t="str">
        <f>VLOOKUP(F1775,'Set up'!$A$2:$C$70,2,FALSE)</f>
        <v>C00000038</v>
      </c>
      <c r="F1775" s="1" t="s">
        <v>1420</v>
      </c>
      <c r="G1775" s="89" t="s">
        <v>1425</v>
      </c>
      <c r="H1775" s="5">
        <v>1</v>
      </c>
      <c r="I1775" s="5" t="str">
        <f>VLOOKUP(F1775,'Set up'!$A$2:$C$70,3,FALSE)</f>
        <v>Cash</v>
      </c>
      <c r="J1775" s="5">
        <f>VLOOKUP(F1775,'Set up'!$A$2:$D$70,4,FALSE)</f>
        <v>0</v>
      </c>
      <c r="K1775" s="4">
        <f t="shared" si="420"/>
        <v>45092</v>
      </c>
      <c r="L1775" s="5">
        <f t="shared" si="421"/>
        <v>6</v>
      </c>
      <c r="M1775" s="5">
        <f t="shared" si="422"/>
        <v>2023</v>
      </c>
      <c r="N1775" s="6">
        <v>55</v>
      </c>
      <c r="O1775" s="6">
        <f t="shared" si="431"/>
        <v>-55</v>
      </c>
      <c r="P1775" s="6">
        <f t="shared" si="429"/>
        <v>0</v>
      </c>
      <c r="Q1775" s="7">
        <f t="shared" si="423"/>
        <v>3204655.0500000012</v>
      </c>
      <c r="R1775" s="44" t="str">
        <f>VLOOKUP(F1775,'Set up'!$A$2:$E$70,5,FALSE)</f>
        <v>Trsf</v>
      </c>
      <c r="S1775" s="1" t="s">
        <v>1677</v>
      </c>
    </row>
    <row r="1776" spans="1:19" ht="15" customHeight="1" x14ac:dyDescent="0.3">
      <c r="A1776" s="4">
        <v>45092</v>
      </c>
      <c r="B1776" s="5">
        <f t="shared" si="418"/>
        <v>6</v>
      </c>
      <c r="C1776" s="5">
        <f t="shared" si="419"/>
        <v>2023</v>
      </c>
      <c r="D1776" s="5" t="s">
        <v>1629</v>
      </c>
      <c r="E1776" s="5" t="str">
        <f>VLOOKUP(F1776,'Set up'!$A$2:$C$70,2,FALSE)</f>
        <v>C00000038</v>
      </c>
      <c r="F1776" s="1" t="s">
        <v>1420</v>
      </c>
      <c r="G1776" s="89" t="s">
        <v>1631</v>
      </c>
      <c r="H1776" s="5">
        <v>1</v>
      </c>
      <c r="I1776" s="5" t="str">
        <f>VLOOKUP(F1776,'Set up'!$A$2:$C$70,3,FALSE)</f>
        <v>Cash</v>
      </c>
      <c r="J1776" s="5">
        <f>VLOOKUP(F1776,'Set up'!$A$2:$D$70,4,FALSE)</f>
        <v>0</v>
      </c>
      <c r="K1776" s="4">
        <f t="shared" si="420"/>
        <v>45092</v>
      </c>
      <c r="L1776" s="5">
        <f t="shared" si="421"/>
        <v>6</v>
      </c>
      <c r="M1776" s="5">
        <f t="shared" si="422"/>
        <v>2023</v>
      </c>
      <c r="N1776" s="6">
        <v>80</v>
      </c>
      <c r="O1776" s="6">
        <f t="shared" si="431"/>
        <v>-80</v>
      </c>
      <c r="P1776" s="6">
        <f t="shared" si="429"/>
        <v>0</v>
      </c>
      <c r="Q1776" s="7">
        <f t="shared" si="423"/>
        <v>3204735.0500000012</v>
      </c>
      <c r="R1776" s="44" t="str">
        <f>VLOOKUP(F1776,'Set up'!$A$2:$E$70,5,FALSE)</f>
        <v>Trsf</v>
      </c>
      <c r="S1776" s="1" t="s">
        <v>1677</v>
      </c>
    </row>
    <row r="1777" spans="1:19" ht="15" customHeight="1" x14ac:dyDescent="0.3">
      <c r="A1777" s="4">
        <v>45092</v>
      </c>
      <c r="B1777" s="5">
        <f t="shared" si="418"/>
        <v>6</v>
      </c>
      <c r="C1777" s="5">
        <f t="shared" si="419"/>
        <v>2023</v>
      </c>
      <c r="D1777" s="5" t="s">
        <v>1632</v>
      </c>
      <c r="E1777" s="5" t="str">
        <f>VLOOKUP(F1777,'Set up'!$A$2:$C$70,2,FALSE)</f>
        <v>C00000034</v>
      </c>
      <c r="F1777" s="1" t="s">
        <v>1196</v>
      </c>
      <c r="G1777" s="11" t="s">
        <v>1356</v>
      </c>
      <c r="H1777" s="5">
        <v>1</v>
      </c>
      <c r="I1777" s="5" t="str">
        <f>VLOOKUP(F1777,'Set up'!$A$2:$C$70,3,FALSE)</f>
        <v>Cash</v>
      </c>
      <c r="J1777" s="5">
        <f>VLOOKUP(F1777,'Set up'!$A$2:$D$70,4,FALSE)</f>
        <v>0</v>
      </c>
      <c r="K1777" s="4">
        <f t="shared" si="420"/>
        <v>45092</v>
      </c>
      <c r="L1777" s="5">
        <f t="shared" si="421"/>
        <v>6</v>
      </c>
      <c r="M1777" s="5">
        <f t="shared" si="422"/>
        <v>2023</v>
      </c>
      <c r="N1777" s="6">
        <v>1870</v>
      </c>
      <c r="O1777" s="6">
        <f t="shared" ref="O1777:O1781" si="432">-N1777</f>
        <v>-1870</v>
      </c>
      <c r="P1777" s="6">
        <f t="shared" si="429"/>
        <v>0</v>
      </c>
      <c r="Q1777" s="7">
        <f t="shared" si="423"/>
        <v>3206605.0500000012</v>
      </c>
      <c r="R1777" s="44" t="str">
        <f>VLOOKUP(F1777,'Set up'!$A$2:$E$70,5,FALSE)</f>
        <v>Trsf</v>
      </c>
      <c r="S1777" s="1" t="s">
        <v>1672</v>
      </c>
    </row>
    <row r="1778" spans="1:19" ht="15" customHeight="1" x14ac:dyDescent="0.3">
      <c r="A1778" s="4">
        <v>45092</v>
      </c>
      <c r="B1778" s="5">
        <f t="shared" si="418"/>
        <v>6</v>
      </c>
      <c r="C1778" s="5">
        <f t="shared" si="419"/>
        <v>2023</v>
      </c>
      <c r="D1778" s="5" t="s">
        <v>1632</v>
      </c>
      <c r="E1778" s="5" t="str">
        <f>VLOOKUP(F1778,'Set up'!$A$2:$C$70,2,FALSE)</f>
        <v>C00000034</v>
      </c>
      <c r="F1778" s="1" t="s">
        <v>1196</v>
      </c>
      <c r="G1778" s="11" t="s">
        <v>1431</v>
      </c>
      <c r="H1778" s="5">
        <v>2</v>
      </c>
      <c r="I1778" s="5" t="str">
        <f>VLOOKUP(F1778,'Set up'!$A$2:$C$70,3,FALSE)</f>
        <v>Cash</v>
      </c>
      <c r="J1778" s="5">
        <f>VLOOKUP(F1778,'Set up'!$A$2:$D$70,4,FALSE)</f>
        <v>0</v>
      </c>
      <c r="K1778" s="4">
        <f t="shared" si="420"/>
        <v>45092</v>
      </c>
      <c r="L1778" s="5">
        <f t="shared" si="421"/>
        <v>6</v>
      </c>
      <c r="M1778" s="5">
        <f t="shared" si="422"/>
        <v>2023</v>
      </c>
      <c r="N1778" s="6">
        <v>450</v>
      </c>
      <c r="O1778" s="6">
        <f t="shared" si="432"/>
        <v>-450</v>
      </c>
      <c r="P1778" s="6">
        <f t="shared" si="429"/>
        <v>0</v>
      </c>
      <c r="Q1778" s="7">
        <f t="shared" si="423"/>
        <v>3207055.0500000012</v>
      </c>
      <c r="R1778" s="44" t="str">
        <f>VLOOKUP(F1778,'Set up'!$A$2:$E$70,5,FALSE)</f>
        <v>Trsf</v>
      </c>
      <c r="S1778" s="1" t="s">
        <v>1672</v>
      </c>
    </row>
    <row r="1779" spans="1:19" ht="15" customHeight="1" x14ac:dyDescent="0.3">
      <c r="A1779" s="4">
        <v>45092</v>
      </c>
      <c r="B1779" s="5">
        <f t="shared" si="418"/>
        <v>6</v>
      </c>
      <c r="C1779" s="5">
        <f t="shared" si="419"/>
        <v>2023</v>
      </c>
      <c r="D1779" s="5" t="s">
        <v>1632</v>
      </c>
      <c r="E1779" s="5" t="str">
        <f>VLOOKUP(F1779,'Set up'!$A$2:$C$70,2,FALSE)</f>
        <v>C00000034</v>
      </c>
      <c r="F1779" s="1" t="s">
        <v>1196</v>
      </c>
      <c r="G1779" s="89" t="s">
        <v>1624</v>
      </c>
      <c r="H1779" s="5">
        <v>1</v>
      </c>
      <c r="I1779" s="5" t="str">
        <f>VLOOKUP(F1779,'Set up'!$A$2:$C$70,3,FALSE)</f>
        <v>Cash</v>
      </c>
      <c r="J1779" s="5">
        <f>VLOOKUP(F1779,'Set up'!$A$2:$D$70,4,FALSE)</f>
        <v>0</v>
      </c>
      <c r="K1779" s="4">
        <f t="shared" si="420"/>
        <v>45092</v>
      </c>
      <c r="L1779" s="5">
        <f t="shared" si="421"/>
        <v>6</v>
      </c>
      <c r="M1779" s="5">
        <f t="shared" si="422"/>
        <v>2023</v>
      </c>
      <c r="N1779" s="6">
        <v>236</v>
      </c>
      <c r="O1779" s="6">
        <f t="shared" si="432"/>
        <v>-236</v>
      </c>
      <c r="P1779" s="6">
        <f t="shared" si="429"/>
        <v>0</v>
      </c>
      <c r="Q1779" s="7">
        <f t="shared" si="423"/>
        <v>3207291.0500000012</v>
      </c>
      <c r="R1779" s="44" t="str">
        <f>VLOOKUP(F1779,'Set up'!$A$2:$E$70,5,FALSE)</f>
        <v>Trsf</v>
      </c>
      <c r="S1779" s="1" t="s">
        <v>1672</v>
      </c>
    </row>
    <row r="1780" spans="1:19" ht="15" customHeight="1" x14ac:dyDescent="0.3">
      <c r="A1780" s="4">
        <v>45092</v>
      </c>
      <c r="B1780" s="5">
        <f t="shared" si="418"/>
        <v>6</v>
      </c>
      <c r="C1780" s="5">
        <f t="shared" si="419"/>
        <v>2023</v>
      </c>
      <c r="D1780" s="5" t="s">
        <v>1632</v>
      </c>
      <c r="E1780" s="5" t="str">
        <f>VLOOKUP(F1780,'Set up'!$A$2:$C$70,2,FALSE)</f>
        <v>C00000034</v>
      </c>
      <c r="F1780" s="1" t="s">
        <v>1196</v>
      </c>
      <c r="G1780" s="90" t="s">
        <v>1351</v>
      </c>
      <c r="H1780" s="5">
        <v>10</v>
      </c>
      <c r="I1780" s="5" t="str">
        <f>VLOOKUP(F1780,'Set up'!$A$2:$C$70,3,FALSE)</f>
        <v>Cash</v>
      </c>
      <c r="J1780" s="5">
        <f>VLOOKUP(F1780,'Set up'!$A$2:$D$70,4,FALSE)</f>
        <v>0</v>
      </c>
      <c r="K1780" s="4">
        <f t="shared" si="420"/>
        <v>45092</v>
      </c>
      <c r="L1780" s="5">
        <f t="shared" si="421"/>
        <v>6</v>
      </c>
      <c r="M1780" s="5">
        <f t="shared" si="422"/>
        <v>2023</v>
      </c>
      <c r="N1780" s="6">
        <v>1390</v>
      </c>
      <c r="O1780" s="6">
        <f t="shared" si="432"/>
        <v>-1390</v>
      </c>
      <c r="P1780" s="6">
        <f t="shared" si="429"/>
        <v>0</v>
      </c>
      <c r="Q1780" s="7">
        <f t="shared" si="423"/>
        <v>3208681.0500000012</v>
      </c>
      <c r="R1780" s="44" t="str">
        <f>VLOOKUP(F1780,'Set up'!$A$2:$E$70,5,FALSE)</f>
        <v>Trsf</v>
      </c>
      <c r="S1780" s="1" t="s">
        <v>1672</v>
      </c>
    </row>
    <row r="1781" spans="1:19" ht="15" customHeight="1" x14ac:dyDescent="0.3">
      <c r="A1781" s="4">
        <v>45092</v>
      </c>
      <c r="B1781" s="5">
        <f t="shared" si="418"/>
        <v>6</v>
      </c>
      <c r="C1781" s="5">
        <f t="shared" si="419"/>
        <v>2023</v>
      </c>
      <c r="D1781" s="5" t="s">
        <v>1632</v>
      </c>
      <c r="E1781" s="5" t="str">
        <f>VLOOKUP(F1781,'Set up'!$A$2:$C$70,2,FALSE)</f>
        <v>C00000034</v>
      </c>
      <c r="F1781" s="1" t="s">
        <v>1196</v>
      </c>
      <c r="G1781" s="90" t="s">
        <v>1110</v>
      </c>
      <c r="H1781" s="5">
        <v>3</v>
      </c>
      <c r="I1781" s="5" t="str">
        <f>VLOOKUP(F1781,'Set up'!$A$2:$C$70,3,FALSE)</f>
        <v>Cash</v>
      </c>
      <c r="J1781" s="5">
        <f>VLOOKUP(F1781,'Set up'!$A$2:$D$70,4,FALSE)</f>
        <v>0</v>
      </c>
      <c r="K1781" s="4">
        <f t="shared" si="420"/>
        <v>45092</v>
      </c>
      <c r="L1781" s="5">
        <f t="shared" si="421"/>
        <v>6</v>
      </c>
      <c r="M1781" s="5">
        <f t="shared" si="422"/>
        <v>2023</v>
      </c>
      <c r="N1781" s="6">
        <v>187.5</v>
      </c>
      <c r="O1781" s="6">
        <f t="shared" si="432"/>
        <v>-187.5</v>
      </c>
      <c r="P1781" s="6">
        <f t="shared" si="429"/>
        <v>0</v>
      </c>
      <c r="Q1781" s="7">
        <f t="shared" si="423"/>
        <v>3208868.5500000012</v>
      </c>
      <c r="R1781" s="44" t="str">
        <f>VLOOKUP(F1781,'Set up'!$A$2:$E$70,5,FALSE)</f>
        <v>Trsf</v>
      </c>
      <c r="S1781" s="1" t="s">
        <v>1672</v>
      </c>
    </row>
    <row r="1782" spans="1:19" ht="15" customHeight="1" x14ac:dyDescent="0.3">
      <c r="A1782" s="4" t="s">
        <v>1636</v>
      </c>
      <c r="B1782" s="5">
        <f t="shared" si="418"/>
        <v>6</v>
      </c>
      <c r="C1782" s="5">
        <f t="shared" si="419"/>
        <v>2023</v>
      </c>
      <c r="D1782" s="5" t="s">
        <v>1633</v>
      </c>
      <c r="E1782" s="5" t="str">
        <f>VLOOKUP(F1782,'Set up'!$A$2:$C$70,2,FALSE)</f>
        <v>C00000020</v>
      </c>
      <c r="F1782" s="1" t="s">
        <v>409</v>
      </c>
      <c r="G1782" s="103" t="s">
        <v>1110</v>
      </c>
      <c r="H1782" s="5">
        <v>6</v>
      </c>
      <c r="I1782" s="5" t="str">
        <f>VLOOKUP(F1782,'Set up'!$A$2:$C$70,3,FALSE)</f>
        <v>Cash</v>
      </c>
      <c r="J1782" s="5">
        <f>VLOOKUP(F1782,'Set up'!$A$2:$D$70,4,FALSE)</f>
        <v>0</v>
      </c>
      <c r="K1782" s="4">
        <f t="shared" si="420"/>
        <v>45093</v>
      </c>
      <c r="L1782" s="5">
        <f t="shared" si="421"/>
        <v>6</v>
      </c>
      <c r="M1782" s="5">
        <f t="shared" si="422"/>
        <v>2023</v>
      </c>
      <c r="N1782" s="96">
        <v>375</v>
      </c>
      <c r="O1782" s="6">
        <f>-N1782</f>
        <v>-375</v>
      </c>
      <c r="P1782" s="6">
        <f t="shared" si="429"/>
        <v>0</v>
      </c>
      <c r="Q1782" s="7">
        <f t="shared" si="423"/>
        <v>3209243.5500000012</v>
      </c>
      <c r="R1782" s="44" t="str">
        <f>VLOOKUP(F1782,'Set up'!$A$2:$E$70,5,FALSE)</f>
        <v>Trsf</v>
      </c>
      <c r="S1782" s="1" t="s">
        <v>2470</v>
      </c>
    </row>
    <row r="1783" spans="1:19" ht="15" customHeight="1" x14ac:dyDescent="0.3">
      <c r="A1783" s="4" t="s">
        <v>1636</v>
      </c>
      <c r="B1783" s="5">
        <f t="shared" si="418"/>
        <v>6</v>
      </c>
      <c r="C1783" s="5">
        <f t="shared" si="419"/>
        <v>2023</v>
      </c>
      <c r="D1783" s="5" t="s">
        <v>1634</v>
      </c>
      <c r="E1783" s="5" t="str">
        <f>VLOOKUP(F1783,'Set up'!$A$2:$C$70,2,FALSE)</f>
        <v>C00000020</v>
      </c>
      <c r="F1783" s="1" t="s">
        <v>409</v>
      </c>
      <c r="G1783" s="103" t="s">
        <v>719</v>
      </c>
      <c r="H1783" s="88">
        <v>6</v>
      </c>
      <c r="I1783" s="5" t="str">
        <f>VLOOKUP(F1783,'Set up'!$A$2:$C$70,3,FALSE)</f>
        <v>Cash</v>
      </c>
      <c r="J1783" s="5">
        <f>VLOOKUP(F1783,'Set up'!$A$2:$D$70,4,FALSE)</f>
        <v>0</v>
      </c>
      <c r="K1783" s="4">
        <f t="shared" si="420"/>
        <v>45093</v>
      </c>
      <c r="L1783" s="5">
        <f t="shared" si="421"/>
        <v>6</v>
      </c>
      <c r="M1783" s="5">
        <f t="shared" si="422"/>
        <v>2023</v>
      </c>
      <c r="N1783" s="6">
        <v>10692</v>
      </c>
      <c r="O1783" s="6">
        <f>-1126.6-9565.4</f>
        <v>-10692</v>
      </c>
      <c r="P1783" s="6">
        <f t="shared" ref="P1783:P1825" si="433">SUM(N1783+O1783)</f>
        <v>0</v>
      </c>
      <c r="Q1783" s="7">
        <f t="shared" si="423"/>
        <v>3219935.5500000012</v>
      </c>
      <c r="R1783" s="44" t="str">
        <f>VLOOKUP(F1783,'Set up'!$A$2:$E$70,5,FALSE)</f>
        <v>Trsf</v>
      </c>
      <c r="S1783" s="1" t="s">
        <v>2471</v>
      </c>
    </row>
    <row r="1784" spans="1:19" ht="15" customHeight="1" x14ac:dyDescent="0.3">
      <c r="A1784" s="4" t="s">
        <v>1636</v>
      </c>
      <c r="B1784" s="5">
        <f t="shared" si="418"/>
        <v>6</v>
      </c>
      <c r="C1784" s="5">
        <f t="shared" si="419"/>
        <v>2023</v>
      </c>
      <c r="D1784" s="5" t="s">
        <v>1634</v>
      </c>
      <c r="E1784" s="5" t="str">
        <f>VLOOKUP(F1784,'Set up'!$A$2:$C$70,2,FALSE)</f>
        <v>C00000020</v>
      </c>
      <c r="F1784" s="1" t="s">
        <v>409</v>
      </c>
      <c r="G1784" s="90" t="s">
        <v>654</v>
      </c>
      <c r="H1784" s="88">
        <v>7</v>
      </c>
      <c r="I1784" s="5" t="str">
        <f>VLOOKUP(F1784,'Set up'!$A$2:$C$70,3,FALSE)</f>
        <v>Cash</v>
      </c>
      <c r="J1784" s="5">
        <f>VLOOKUP(F1784,'Set up'!$A$2:$D$70,4,FALSE)</f>
        <v>0</v>
      </c>
      <c r="K1784" s="4">
        <f t="shared" si="420"/>
        <v>45093</v>
      </c>
      <c r="L1784" s="5">
        <f t="shared" si="421"/>
        <v>6</v>
      </c>
      <c r="M1784" s="5">
        <f t="shared" si="422"/>
        <v>2023</v>
      </c>
      <c r="N1784" s="6">
        <v>1575</v>
      </c>
      <c r="O1784" s="6">
        <f>-434.6-1140.4</f>
        <v>-1575</v>
      </c>
      <c r="P1784" s="6">
        <f t="shared" si="433"/>
        <v>0</v>
      </c>
      <c r="Q1784" s="7">
        <f t="shared" si="423"/>
        <v>3221510.5500000012</v>
      </c>
      <c r="R1784" s="44" t="str">
        <f>VLOOKUP(F1784,'Set up'!$A$2:$E$70,5,FALSE)</f>
        <v>Trsf</v>
      </c>
      <c r="S1784" s="1" t="s">
        <v>2472</v>
      </c>
    </row>
    <row r="1785" spans="1:19" ht="15" customHeight="1" x14ac:dyDescent="0.3">
      <c r="A1785" s="4" t="s">
        <v>1636</v>
      </c>
      <c r="B1785" s="5">
        <f t="shared" si="418"/>
        <v>6</v>
      </c>
      <c r="C1785" s="5">
        <f t="shared" si="419"/>
        <v>2023</v>
      </c>
      <c r="D1785" s="5" t="s">
        <v>1634</v>
      </c>
      <c r="E1785" s="5" t="str">
        <f>VLOOKUP(F1785,'Set up'!$A$2:$C$70,2,FALSE)</f>
        <v>C00000020</v>
      </c>
      <c r="F1785" s="1" t="s">
        <v>409</v>
      </c>
      <c r="G1785" s="90" t="s">
        <v>707</v>
      </c>
      <c r="H1785" s="88">
        <v>4</v>
      </c>
      <c r="I1785" s="5" t="str">
        <f>VLOOKUP(F1785,'Set up'!$A$2:$C$70,3,FALSE)</f>
        <v>Cash</v>
      </c>
      <c r="J1785" s="5">
        <f>VLOOKUP(F1785,'Set up'!$A$2:$D$70,4,FALSE)</f>
        <v>0</v>
      </c>
      <c r="K1785" s="4">
        <f t="shared" si="420"/>
        <v>45093</v>
      </c>
      <c r="L1785" s="5">
        <f t="shared" si="421"/>
        <v>6</v>
      </c>
      <c r="M1785" s="5">
        <f t="shared" si="422"/>
        <v>2023</v>
      </c>
      <c r="N1785" s="6">
        <v>1620</v>
      </c>
      <c r="O1785" s="6">
        <f>-N1785</f>
        <v>-1620</v>
      </c>
      <c r="P1785" s="6">
        <f t="shared" si="433"/>
        <v>0</v>
      </c>
      <c r="Q1785" s="7">
        <f t="shared" si="423"/>
        <v>3223130.5500000012</v>
      </c>
      <c r="R1785" s="44" t="str">
        <f>VLOOKUP(F1785,'Set up'!$A$2:$E$70,5,FALSE)</f>
        <v>Trsf</v>
      </c>
      <c r="S1785" s="1" t="s">
        <v>2473</v>
      </c>
    </row>
    <row r="1786" spans="1:19" ht="15" customHeight="1" x14ac:dyDescent="0.3">
      <c r="A1786" s="4" t="s">
        <v>1636</v>
      </c>
      <c r="B1786" s="5">
        <f t="shared" si="418"/>
        <v>6</v>
      </c>
      <c r="C1786" s="5">
        <f t="shared" si="419"/>
        <v>2023</v>
      </c>
      <c r="D1786" s="5" t="s">
        <v>1634</v>
      </c>
      <c r="E1786" s="5" t="str">
        <f>VLOOKUP(F1786,'Set up'!$A$2:$C$70,2,FALSE)</f>
        <v>C00000020</v>
      </c>
      <c r="F1786" s="1" t="s">
        <v>409</v>
      </c>
      <c r="G1786" s="90" t="s">
        <v>655</v>
      </c>
      <c r="H1786" s="88">
        <v>10</v>
      </c>
      <c r="I1786" s="5" t="str">
        <f>VLOOKUP(F1786,'Set up'!$A$2:$C$70,3,FALSE)</f>
        <v>Cash</v>
      </c>
      <c r="J1786" s="5">
        <f>VLOOKUP(F1786,'Set up'!$A$2:$D$70,4,FALSE)</f>
        <v>0</v>
      </c>
      <c r="K1786" s="4">
        <f t="shared" si="420"/>
        <v>45093</v>
      </c>
      <c r="L1786" s="5">
        <f t="shared" si="421"/>
        <v>6</v>
      </c>
      <c r="M1786" s="5">
        <f t="shared" si="422"/>
        <v>2023</v>
      </c>
      <c r="N1786" s="6">
        <v>2480</v>
      </c>
      <c r="O1786" s="6">
        <f>-N1786</f>
        <v>-2480</v>
      </c>
      <c r="P1786" s="6">
        <f t="shared" si="433"/>
        <v>0</v>
      </c>
      <c r="Q1786" s="7">
        <f t="shared" si="423"/>
        <v>3225610.5500000012</v>
      </c>
      <c r="R1786" s="44" t="str">
        <f>VLOOKUP(F1786,'Set up'!$A$2:$E$70,5,FALSE)</f>
        <v>Trsf</v>
      </c>
      <c r="S1786" s="1" t="s">
        <v>2474</v>
      </c>
    </row>
    <row r="1787" spans="1:19" ht="15" customHeight="1" x14ac:dyDescent="0.3">
      <c r="A1787" s="4" t="s">
        <v>1636</v>
      </c>
      <c r="B1787" s="5">
        <f t="shared" si="418"/>
        <v>6</v>
      </c>
      <c r="C1787" s="5">
        <f t="shared" si="419"/>
        <v>2023</v>
      </c>
      <c r="D1787" s="5" t="s">
        <v>1635</v>
      </c>
      <c r="E1787" s="5" t="str">
        <f>VLOOKUP(F1787,'Set up'!$A$2:$C$70,2,FALSE)</f>
        <v>C00000013a</v>
      </c>
      <c r="F1787" s="1" t="s">
        <v>1453</v>
      </c>
      <c r="G1787" s="89" t="s">
        <v>1442</v>
      </c>
      <c r="H1787" s="5">
        <v>9</v>
      </c>
      <c r="I1787" s="5" t="str">
        <f>VLOOKUP(F1787,'Set up'!$A$2:$C$70,3,FALSE)</f>
        <v>Cash</v>
      </c>
      <c r="J1787" s="5">
        <f>VLOOKUP(F1787,'Set up'!$A$2:$D$70,4,FALSE)</f>
        <v>0</v>
      </c>
      <c r="K1787" s="4">
        <f t="shared" si="420"/>
        <v>45093</v>
      </c>
      <c r="L1787" s="5">
        <f t="shared" si="421"/>
        <v>6</v>
      </c>
      <c r="M1787" s="5">
        <f t="shared" si="422"/>
        <v>2023</v>
      </c>
      <c r="N1787" s="6">
        <v>16434</v>
      </c>
      <c r="O1787" s="6">
        <f t="shared" ref="O1787:O1807" si="434">-N1787</f>
        <v>-16434</v>
      </c>
      <c r="P1787" s="6">
        <f t="shared" si="433"/>
        <v>0</v>
      </c>
      <c r="Q1787" s="7">
        <f t="shared" si="423"/>
        <v>3242044.5500000012</v>
      </c>
      <c r="R1787" s="44" t="str">
        <f>VLOOKUP(F1787,'Set up'!$A$2:$E$70,5,FALSE)</f>
        <v>Chq</v>
      </c>
      <c r="S1787" s="1" t="s">
        <v>1688</v>
      </c>
    </row>
    <row r="1788" spans="1:19" ht="15" customHeight="1" x14ac:dyDescent="0.3">
      <c r="A1788" s="4" t="s">
        <v>1640</v>
      </c>
      <c r="B1788" s="5">
        <f t="shared" si="418"/>
        <v>6</v>
      </c>
      <c r="C1788" s="5">
        <f t="shared" si="419"/>
        <v>2023</v>
      </c>
      <c r="D1788" s="105" t="s">
        <v>1635</v>
      </c>
      <c r="E1788" s="5" t="str">
        <f>VLOOKUP(F1788,'Set up'!$A$2:$C$70,2,FALSE)</f>
        <v>C00000013a</v>
      </c>
      <c r="F1788" s="1" t="s">
        <v>1453</v>
      </c>
      <c r="G1788" s="89" t="s">
        <v>1443</v>
      </c>
      <c r="H1788" s="5">
        <v>10</v>
      </c>
      <c r="I1788" s="5" t="str">
        <f>VLOOKUP(F1788,'Set up'!$A$2:$C$70,3,FALSE)</f>
        <v>Cash</v>
      </c>
      <c r="J1788" s="5">
        <f>VLOOKUP(F1788,'Set up'!$A$2:$D$70,4,FALSE)</f>
        <v>0</v>
      </c>
      <c r="K1788" s="4">
        <f t="shared" si="420"/>
        <v>45096</v>
      </c>
      <c r="L1788" s="5">
        <f t="shared" si="421"/>
        <v>6</v>
      </c>
      <c r="M1788" s="5">
        <f t="shared" si="422"/>
        <v>2023</v>
      </c>
      <c r="N1788" s="6">
        <v>4266</v>
      </c>
      <c r="O1788" s="6">
        <f t="shared" si="434"/>
        <v>-4266</v>
      </c>
      <c r="P1788" s="6">
        <f t="shared" si="433"/>
        <v>0</v>
      </c>
      <c r="Q1788" s="7">
        <f t="shared" si="423"/>
        <v>3246310.5500000012</v>
      </c>
      <c r="R1788" s="44" t="str">
        <f>VLOOKUP(F1788,'Set up'!$A$2:$E$70,5,FALSE)</f>
        <v>Chq</v>
      </c>
      <c r="S1788" s="1" t="s">
        <v>1688</v>
      </c>
    </row>
    <row r="1789" spans="1:19" ht="15" customHeight="1" x14ac:dyDescent="0.3">
      <c r="A1789" s="4" t="s">
        <v>1640</v>
      </c>
      <c r="B1789" s="5">
        <f t="shared" si="418"/>
        <v>6</v>
      </c>
      <c r="C1789" s="5">
        <f t="shared" si="419"/>
        <v>2023</v>
      </c>
      <c r="D1789" s="105" t="s">
        <v>1635</v>
      </c>
      <c r="E1789" s="5" t="str">
        <f>VLOOKUP(F1789,'Set up'!$A$2:$C$70,2,FALSE)</f>
        <v>C00000013a</v>
      </c>
      <c r="F1789" s="1" t="s">
        <v>1453</v>
      </c>
      <c r="G1789" s="89" t="s">
        <v>1444</v>
      </c>
      <c r="H1789" s="5">
        <v>6</v>
      </c>
      <c r="I1789" s="5" t="str">
        <f>VLOOKUP(F1789,'Set up'!$A$2:$C$70,3,FALSE)</f>
        <v>Cash</v>
      </c>
      <c r="J1789" s="5">
        <f>VLOOKUP(F1789,'Set up'!$A$2:$D$70,4,FALSE)</f>
        <v>0</v>
      </c>
      <c r="K1789" s="4">
        <f t="shared" si="420"/>
        <v>45096</v>
      </c>
      <c r="L1789" s="5">
        <f t="shared" si="421"/>
        <v>6</v>
      </c>
      <c r="M1789" s="5">
        <f t="shared" si="422"/>
        <v>2023</v>
      </c>
      <c r="N1789" s="6">
        <v>2559.6000000000004</v>
      </c>
      <c r="O1789" s="6">
        <f t="shared" si="434"/>
        <v>-2559.6000000000004</v>
      </c>
      <c r="P1789" s="6">
        <f t="shared" si="433"/>
        <v>0</v>
      </c>
      <c r="Q1789" s="7">
        <f t="shared" si="423"/>
        <v>3248870.1500000013</v>
      </c>
      <c r="R1789" s="44" t="str">
        <f>VLOOKUP(F1789,'Set up'!$A$2:$E$70,5,FALSE)</f>
        <v>Chq</v>
      </c>
      <c r="S1789" s="1" t="s">
        <v>1688</v>
      </c>
    </row>
    <row r="1790" spans="1:19" ht="15" customHeight="1" x14ac:dyDescent="0.3">
      <c r="A1790" s="4" t="s">
        <v>1640</v>
      </c>
      <c r="B1790" s="5">
        <f t="shared" si="418"/>
        <v>6</v>
      </c>
      <c r="C1790" s="5">
        <f t="shared" si="419"/>
        <v>2023</v>
      </c>
      <c r="D1790" s="105" t="s">
        <v>1635</v>
      </c>
      <c r="E1790" s="5" t="str">
        <f>VLOOKUP(F1790,'Set up'!$A$2:$C$70,2,FALSE)</f>
        <v>C00000013a</v>
      </c>
      <c r="F1790" s="1" t="s">
        <v>1453</v>
      </c>
      <c r="G1790" s="89" t="s">
        <v>1445</v>
      </c>
      <c r="H1790" s="5">
        <v>16</v>
      </c>
      <c r="I1790" s="5" t="str">
        <f>VLOOKUP(F1790,'Set up'!$A$2:$C$70,3,FALSE)</f>
        <v>Cash</v>
      </c>
      <c r="J1790" s="5">
        <f>VLOOKUP(F1790,'Set up'!$A$2:$D$70,4,FALSE)</f>
        <v>0</v>
      </c>
      <c r="K1790" s="4">
        <f t="shared" si="420"/>
        <v>45096</v>
      </c>
      <c r="L1790" s="5">
        <f t="shared" si="421"/>
        <v>6</v>
      </c>
      <c r="M1790" s="5">
        <f t="shared" si="422"/>
        <v>2023</v>
      </c>
      <c r="N1790" s="6">
        <v>4128</v>
      </c>
      <c r="O1790" s="6">
        <f t="shared" si="434"/>
        <v>-4128</v>
      </c>
      <c r="P1790" s="6">
        <f t="shared" si="433"/>
        <v>0</v>
      </c>
      <c r="Q1790" s="7">
        <f t="shared" si="423"/>
        <v>3252998.1500000013</v>
      </c>
      <c r="R1790" s="44" t="str">
        <f>VLOOKUP(F1790,'Set up'!$A$2:$E$70,5,FALSE)</f>
        <v>Chq</v>
      </c>
      <c r="S1790" s="1" t="s">
        <v>1688</v>
      </c>
    </row>
    <row r="1791" spans="1:19" ht="15" customHeight="1" x14ac:dyDescent="0.3">
      <c r="A1791" s="4" t="s">
        <v>1640</v>
      </c>
      <c r="B1791" s="5">
        <f t="shared" si="418"/>
        <v>6</v>
      </c>
      <c r="C1791" s="5">
        <f t="shared" si="419"/>
        <v>2023</v>
      </c>
      <c r="D1791" s="105" t="s">
        <v>1635</v>
      </c>
      <c r="E1791" s="5" t="str">
        <f>VLOOKUP(F1791,'Set up'!$A$2:$C$70,2,FALSE)</f>
        <v>C00000013a</v>
      </c>
      <c r="F1791" s="1" t="s">
        <v>1453</v>
      </c>
      <c r="G1791" s="89" t="s">
        <v>1446</v>
      </c>
      <c r="H1791" s="5">
        <v>15</v>
      </c>
      <c r="I1791" s="5" t="str">
        <f>VLOOKUP(F1791,'Set up'!$A$2:$C$70,3,FALSE)</f>
        <v>Cash</v>
      </c>
      <c r="J1791" s="5">
        <f>VLOOKUP(F1791,'Set up'!$A$2:$D$70,4,FALSE)</f>
        <v>0</v>
      </c>
      <c r="K1791" s="4">
        <f t="shared" si="420"/>
        <v>45096</v>
      </c>
      <c r="L1791" s="5">
        <f t="shared" si="421"/>
        <v>6</v>
      </c>
      <c r="M1791" s="5">
        <f t="shared" si="422"/>
        <v>2023</v>
      </c>
      <c r="N1791" s="6">
        <v>750</v>
      </c>
      <c r="O1791" s="6">
        <f t="shared" si="434"/>
        <v>-750</v>
      </c>
      <c r="P1791" s="6">
        <f t="shared" si="433"/>
        <v>0</v>
      </c>
      <c r="Q1791" s="7">
        <f t="shared" si="423"/>
        <v>3253748.1500000013</v>
      </c>
      <c r="R1791" s="44" t="str">
        <f>VLOOKUP(F1791,'Set up'!$A$2:$E$70,5,FALSE)</f>
        <v>Chq</v>
      </c>
      <c r="S1791" s="1" t="s">
        <v>1688</v>
      </c>
    </row>
    <row r="1792" spans="1:19" ht="15" customHeight="1" x14ac:dyDescent="0.3">
      <c r="A1792" s="4" t="s">
        <v>1640</v>
      </c>
      <c r="B1792" s="5">
        <f t="shared" si="418"/>
        <v>6</v>
      </c>
      <c r="C1792" s="5">
        <f t="shared" si="419"/>
        <v>2023</v>
      </c>
      <c r="D1792" s="105" t="s">
        <v>1635</v>
      </c>
      <c r="E1792" s="5" t="str">
        <f>VLOOKUP(F1792,'Set up'!$A$2:$C$70,2,FALSE)</f>
        <v>C00000013a</v>
      </c>
      <c r="F1792" s="1" t="s">
        <v>1453</v>
      </c>
      <c r="G1792" s="89" t="s">
        <v>1447</v>
      </c>
      <c r="H1792" s="5">
        <v>3</v>
      </c>
      <c r="I1792" s="5" t="str">
        <f>VLOOKUP(F1792,'Set up'!$A$2:$C$70,3,FALSE)</f>
        <v>Cash</v>
      </c>
      <c r="J1792" s="5">
        <f>VLOOKUP(F1792,'Set up'!$A$2:$D$70,4,FALSE)</f>
        <v>0</v>
      </c>
      <c r="K1792" s="4">
        <f t="shared" si="420"/>
        <v>45096</v>
      </c>
      <c r="L1792" s="5">
        <f t="shared" si="421"/>
        <v>6</v>
      </c>
      <c r="M1792" s="5">
        <f t="shared" si="422"/>
        <v>2023</v>
      </c>
      <c r="N1792" s="6">
        <v>2400</v>
      </c>
      <c r="O1792" s="6">
        <f t="shared" si="434"/>
        <v>-2400</v>
      </c>
      <c r="P1792" s="6">
        <f t="shared" si="433"/>
        <v>0</v>
      </c>
      <c r="Q1792" s="7">
        <f t="shared" si="423"/>
        <v>3256148.1500000013</v>
      </c>
      <c r="R1792" s="44" t="str">
        <f>VLOOKUP(F1792,'Set up'!$A$2:$E$70,5,FALSE)</f>
        <v>Chq</v>
      </c>
      <c r="S1792" s="1" t="s">
        <v>1688</v>
      </c>
    </row>
    <row r="1793" spans="1:19" ht="15" customHeight="1" x14ac:dyDescent="0.3">
      <c r="A1793" s="4" t="s">
        <v>1640</v>
      </c>
      <c r="B1793" s="5">
        <f t="shared" si="418"/>
        <v>6</v>
      </c>
      <c r="C1793" s="5">
        <f t="shared" si="419"/>
        <v>2023</v>
      </c>
      <c r="D1793" s="105" t="s">
        <v>1635</v>
      </c>
      <c r="E1793" s="5" t="str">
        <f>VLOOKUP(F1793,'Set up'!$A$2:$C$70,2,FALSE)</f>
        <v>C00000013a</v>
      </c>
      <c r="F1793" s="1" t="s">
        <v>1453</v>
      </c>
      <c r="G1793" s="89" t="s">
        <v>1637</v>
      </c>
      <c r="H1793" s="5">
        <v>5</v>
      </c>
      <c r="I1793" s="5" t="str">
        <f>VLOOKUP(F1793,'Set up'!$A$2:$C$70,3,FALSE)</f>
        <v>Cash</v>
      </c>
      <c r="J1793" s="5">
        <f>VLOOKUP(F1793,'Set up'!$A$2:$D$70,4,FALSE)</f>
        <v>0</v>
      </c>
      <c r="K1793" s="4">
        <f t="shared" si="420"/>
        <v>45096</v>
      </c>
      <c r="L1793" s="5">
        <f t="shared" si="421"/>
        <v>6</v>
      </c>
      <c r="M1793" s="5">
        <f t="shared" si="422"/>
        <v>2023</v>
      </c>
      <c r="N1793" s="6">
        <v>2150</v>
      </c>
      <c r="O1793" s="6">
        <f t="shared" si="434"/>
        <v>-2150</v>
      </c>
      <c r="P1793" s="6">
        <f t="shared" si="433"/>
        <v>0</v>
      </c>
      <c r="Q1793" s="7">
        <f t="shared" si="423"/>
        <v>3258298.1500000013</v>
      </c>
      <c r="R1793" s="44" t="str">
        <f>VLOOKUP(F1793,'Set up'!$A$2:$E$70,5,FALSE)</f>
        <v>Chq</v>
      </c>
      <c r="S1793" s="1" t="s">
        <v>1688</v>
      </c>
    </row>
    <row r="1794" spans="1:19" ht="15" customHeight="1" x14ac:dyDescent="0.3">
      <c r="A1794" s="4" t="s">
        <v>1640</v>
      </c>
      <c r="B1794" s="5">
        <f t="shared" si="418"/>
        <v>6</v>
      </c>
      <c r="C1794" s="5">
        <f t="shared" si="419"/>
        <v>2023</v>
      </c>
      <c r="D1794" s="105" t="s">
        <v>1635</v>
      </c>
      <c r="E1794" s="5" t="str">
        <f>VLOOKUP(F1794,'Set up'!$A$2:$C$70,2,FALSE)</f>
        <v>C00000013a</v>
      </c>
      <c r="F1794" s="1" t="s">
        <v>1453</v>
      </c>
      <c r="G1794" s="89" t="s">
        <v>1449</v>
      </c>
      <c r="H1794" s="5">
        <v>10</v>
      </c>
      <c r="I1794" s="5" t="str">
        <f>VLOOKUP(F1794,'Set up'!$A$2:$C$70,3,FALSE)</f>
        <v>Cash</v>
      </c>
      <c r="J1794" s="5">
        <f>VLOOKUP(F1794,'Set up'!$A$2:$D$70,4,FALSE)</f>
        <v>0</v>
      </c>
      <c r="K1794" s="4">
        <f t="shared" si="420"/>
        <v>45096</v>
      </c>
      <c r="L1794" s="5">
        <f t="shared" si="421"/>
        <v>6</v>
      </c>
      <c r="M1794" s="5">
        <f t="shared" si="422"/>
        <v>2023</v>
      </c>
      <c r="N1794" s="6">
        <v>1100</v>
      </c>
      <c r="O1794" s="6">
        <f t="shared" si="434"/>
        <v>-1100</v>
      </c>
      <c r="P1794" s="6">
        <f t="shared" si="433"/>
        <v>0</v>
      </c>
      <c r="Q1794" s="7">
        <f t="shared" si="423"/>
        <v>3259398.1500000013</v>
      </c>
      <c r="R1794" s="44" t="str">
        <f>VLOOKUP(F1794,'Set up'!$A$2:$E$70,5,FALSE)</f>
        <v>Chq</v>
      </c>
      <c r="S1794" s="1" t="s">
        <v>1688</v>
      </c>
    </row>
    <row r="1795" spans="1:19" ht="15" customHeight="1" x14ac:dyDescent="0.3">
      <c r="A1795" s="4" t="s">
        <v>1640</v>
      </c>
      <c r="B1795" s="5">
        <f t="shared" ref="B1795:B1858" si="435">MONTH(A1795)</f>
        <v>6</v>
      </c>
      <c r="C1795" s="5">
        <f t="shared" ref="C1795:C1858" si="436">YEAR(A1795)</f>
        <v>2023</v>
      </c>
      <c r="D1795" s="105" t="s">
        <v>1635</v>
      </c>
      <c r="E1795" s="5" t="str">
        <f>VLOOKUP(F1795,'Set up'!$A$2:$C$70,2,FALSE)</f>
        <v>C00000013a</v>
      </c>
      <c r="F1795" s="1" t="s">
        <v>1453</v>
      </c>
      <c r="G1795" s="89" t="s">
        <v>1450</v>
      </c>
      <c r="H1795" s="5">
        <v>3</v>
      </c>
      <c r="I1795" s="5" t="str">
        <f>VLOOKUP(F1795,'Set up'!$A$2:$C$70,3,FALSE)</f>
        <v>Cash</v>
      </c>
      <c r="J1795" s="5">
        <f>VLOOKUP(F1795,'Set up'!$A$2:$D$70,4,FALSE)</f>
        <v>0</v>
      </c>
      <c r="K1795" s="4">
        <f t="shared" ref="K1795:K1858" si="437">A1795+J1795</f>
        <v>45096</v>
      </c>
      <c r="L1795" s="5">
        <f t="shared" ref="L1795:L1858" si="438">MONTH(K1795)</f>
        <v>6</v>
      </c>
      <c r="M1795" s="5">
        <f t="shared" ref="M1795:M1858" si="439">YEAR(K1795)</f>
        <v>2023</v>
      </c>
      <c r="N1795" s="6">
        <v>180</v>
      </c>
      <c r="O1795" s="6">
        <f t="shared" si="434"/>
        <v>-180</v>
      </c>
      <c r="P1795" s="6">
        <f t="shared" si="433"/>
        <v>0</v>
      </c>
      <c r="Q1795" s="7">
        <f t="shared" ref="Q1795:Q1858" si="440">SUM(Q1794+N1795)</f>
        <v>3259578.1500000013</v>
      </c>
      <c r="R1795" s="44" t="str">
        <f>VLOOKUP(F1795,'Set up'!$A$2:$E$70,5,FALSE)</f>
        <v>Chq</v>
      </c>
      <c r="S1795" s="1" t="s">
        <v>1688</v>
      </c>
    </row>
    <row r="1796" spans="1:19" ht="15" customHeight="1" x14ac:dyDescent="0.3">
      <c r="A1796" s="4" t="s">
        <v>1640</v>
      </c>
      <c r="B1796" s="5">
        <f t="shared" si="435"/>
        <v>6</v>
      </c>
      <c r="C1796" s="5">
        <f t="shared" si="436"/>
        <v>2023</v>
      </c>
      <c r="D1796" s="105" t="s">
        <v>1635</v>
      </c>
      <c r="E1796" s="5" t="str">
        <f>VLOOKUP(F1796,'Set up'!$A$2:$C$70,2,FALSE)</f>
        <v>C00000013a</v>
      </c>
      <c r="F1796" s="1" t="s">
        <v>1453</v>
      </c>
      <c r="G1796" s="89" t="s">
        <v>1451</v>
      </c>
      <c r="H1796" s="5">
        <v>2</v>
      </c>
      <c r="I1796" s="5" t="str">
        <f>VLOOKUP(F1796,'Set up'!$A$2:$C$70,3,FALSE)</f>
        <v>Cash</v>
      </c>
      <c r="J1796" s="5">
        <f>VLOOKUP(F1796,'Set up'!$A$2:$D$70,4,FALSE)</f>
        <v>0</v>
      </c>
      <c r="K1796" s="4">
        <f t="shared" si="437"/>
        <v>45096</v>
      </c>
      <c r="L1796" s="5">
        <f t="shared" si="438"/>
        <v>6</v>
      </c>
      <c r="M1796" s="5">
        <f t="shared" si="439"/>
        <v>2023</v>
      </c>
      <c r="N1796" s="6">
        <v>110.4</v>
      </c>
      <c r="O1796" s="6">
        <f t="shared" si="434"/>
        <v>-110.4</v>
      </c>
      <c r="P1796" s="6">
        <f t="shared" si="433"/>
        <v>0</v>
      </c>
      <c r="Q1796" s="7">
        <f t="shared" si="440"/>
        <v>3259688.5500000012</v>
      </c>
      <c r="R1796" s="44" t="str">
        <f>VLOOKUP(F1796,'Set up'!$A$2:$E$70,5,FALSE)</f>
        <v>Chq</v>
      </c>
      <c r="S1796" s="1" t="s">
        <v>1688</v>
      </c>
    </row>
    <row r="1797" spans="1:19" ht="15" customHeight="1" x14ac:dyDescent="0.3">
      <c r="A1797" s="4" t="s">
        <v>1640</v>
      </c>
      <c r="B1797" s="5">
        <f t="shared" si="435"/>
        <v>6</v>
      </c>
      <c r="C1797" s="5">
        <f t="shared" si="436"/>
        <v>2023</v>
      </c>
      <c r="D1797" s="105" t="s">
        <v>1635</v>
      </c>
      <c r="E1797" s="5" t="str">
        <f>VLOOKUP(F1797,'Set up'!$A$2:$C$70,2,FALSE)</f>
        <v>C00000013a</v>
      </c>
      <c r="F1797" s="1" t="s">
        <v>1453</v>
      </c>
      <c r="G1797" s="89" t="s">
        <v>1452</v>
      </c>
      <c r="H1797" s="5">
        <v>1</v>
      </c>
      <c r="I1797" s="5" t="str">
        <f>VLOOKUP(F1797,'Set up'!$A$2:$C$70,3,FALSE)</f>
        <v>Cash</v>
      </c>
      <c r="J1797" s="5">
        <f>VLOOKUP(F1797,'Set up'!$A$2:$D$70,4,FALSE)</f>
        <v>0</v>
      </c>
      <c r="K1797" s="4">
        <f t="shared" si="437"/>
        <v>45096</v>
      </c>
      <c r="L1797" s="5">
        <f t="shared" si="438"/>
        <v>6</v>
      </c>
      <c r="M1797" s="5">
        <f t="shared" si="439"/>
        <v>2023</v>
      </c>
      <c r="N1797" s="6">
        <v>1108.4000000000001</v>
      </c>
      <c r="O1797" s="6">
        <f t="shared" si="434"/>
        <v>-1108.4000000000001</v>
      </c>
      <c r="P1797" s="6">
        <f t="shared" si="433"/>
        <v>0</v>
      </c>
      <c r="Q1797" s="7">
        <f t="shared" si="440"/>
        <v>3260796.9500000011</v>
      </c>
      <c r="R1797" s="44" t="str">
        <f>VLOOKUP(F1797,'Set up'!$A$2:$E$70,5,FALSE)</f>
        <v>Chq</v>
      </c>
      <c r="S1797" s="1" t="s">
        <v>1688</v>
      </c>
    </row>
    <row r="1798" spans="1:19" ht="15" customHeight="1" x14ac:dyDescent="0.3">
      <c r="A1798" s="4" t="s">
        <v>1640</v>
      </c>
      <c r="B1798" s="5">
        <f t="shared" si="435"/>
        <v>6</v>
      </c>
      <c r="C1798" s="5">
        <f t="shared" si="436"/>
        <v>2023</v>
      </c>
      <c r="D1798" s="105" t="s">
        <v>1635</v>
      </c>
      <c r="E1798" s="5" t="str">
        <f>VLOOKUP(F1798,'Set up'!$A$2:$C$70,2,FALSE)</f>
        <v>C00000013a</v>
      </c>
      <c r="F1798" s="1" t="s">
        <v>1453</v>
      </c>
      <c r="G1798" s="89" t="s">
        <v>1638</v>
      </c>
      <c r="H1798" s="5">
        <v>3</v>
      </c>
      <c r="I1798" s="5" t="str">
        <f>VLOOKUP(F1798,'Set up'!$A$2:$C$70,3,FALSE)</f>
        <v>Cash</v>
      </c>
      <c r="J1798" s="5">
        <f>VLOOKUP(F1798,'Set up'!$A$2:$D$70,4,FALSE)</f>
        <v>0</v>
      </c>
      <c r="K1798" s="4">
        <f t="shared" si="437"/>
        <v>45096</v>
      </c>
      <c r="L1798" s="5">
        <f t="shared" si="438"/>
        <v>6</v>
      </c>
      <c r="M1798" s="5">
        <f t="shared" si="439"/>
        <v>2023</v>
      </c>
      <c r="N1798" s="6">
        <v>525</v>
      </c>
      <c r="O1798" s="6">
        <f t="shared" si="434"/>
        <v>-525</v>
      </c>
      <c r="P1798" s="6">
        <f t="shared" si="433"/>
        <v>0</v>
      </c>
      <c r="Q1798" s="7">
        <f t="shared" si="440"/>
        <v>3261321.9500000011</v>
      </c>
      <c r="R1798" s="44" t="str">
        <f>VLOOKUP(F1798,'Set up'!$A$2:$E$70,5,FALSE)</f>
        <v>Chq</v>
      </c>
      <c r="S1798" s="1" t="s">
        <v>1688</v>
      </c>
    </row>
    <row r="1799" spans="1:19" ht="15" customHeight="1" x14ac:dyDescent="0.3">
      <c r="A1799" s="4" t="s">
        <v>1640</v>
      </c>
      <c r="B1799" s="5">
        <f t="shared" si="435"/>
        <v>6</v>
      </c>
      <c r="C1799" s="5">
        <f t="shared" si="436"/>
        <v>2023</v>
      </c>
      <c r="D1799" s="105" t="s">
        <v>1635</v>
      </c>
      <c r="E1799" s="5" t="str">
        <f>VLOOKUP(F1799,'Set up'!$A$2:$C$70,2,FALSE)</f>
        <v>C00000013a</v>
      </c>
      <c r="F1799" s="1" t="s">
        <v>1453</v>
      </c>
      <c r="G1799" s="89" t="s">
        <v>1639</v>
      </c>
      <c r="H1799" s="5">
        <v>1</v>
      </c>
      <c r="I1799" s="5" t="str">
        <f>VLOOKUP(F1799,'Set up'!$A$2:$C$70,3,FALSE)</f>
        <v>Cash</v>
      </c>
      <c r="J1799" s="5">
        <f>VLOOKUP(F1799,'Set up'!$A$2:$D$70,4,FALSE)</f>
        <v>0</v>
      </c>
      <c r="K1799" s="4">
        <f t="shared" si="437"/>
        <v>45096</v>
      </c>
      <c r="L1799" s="5">
        <f t="shared" si="438"/>
        <v>6</v>
      </c>
      <c r="M1799" s="5">
        <f t="shared" si="439"/>
        <v>2023</v>
      </c>
      <c r="N1799" s="6">
        <v>280</v>
      </c>
      <c r="O1799" s="6">
        <f t="shared" si="434"/>
        <v>-280</v>
      </c>
      <c r="P1799" s="6">
        <f t="shared" si="433"/>
        <v>0</v>
      </c>
      <c r="Q1799" s="7">
        <f t="shared" si="440"/>
        <v>3261601.9500000011</v>
      </c>
      <c r="R1799" s="44" t="str">
        <f>VLOOKUP(F1799,'Set up'!$A$2:$E$70,5,FALSE)</f>
        <v>Chq</v>
      </c>
      <c r="S1799" s="1" t="s">
        <v>1688</v>
      </c>
    </row>
    <row r="1800" spans="1:19" ht="15" customHeight="1" x14ac:dyDescent="0.3">
      <c r="A1800" s="4" t="s">
        <v>1640</v>
      </c>
      <c r="B1800" s="5">
        <f t="shared" si="435"/>
        <v>6</v>
      </c>
      <c r="C1800" s="5">
        <f t="shared" si="436"/>
        <v>2023</v>
      </c>
      <c r="D1800" s="105" t="s">
        <v>1641</v>
      </c>
      <c r="E1800" s="5" t="str">
        <f>VLOOKUP(F1800,'Set up'!$A$2:$C$70,2,FALSE)</f>
        <v>C00000037</v>
      </c>
      <c r="F1800" s="1" t="s">
        <v>1309</v>
      </c>
      <c r="G1800" s="89" t="s">
        <v>719</v>
      </c>
      <c r="H1800" s="5">
        <v>4</v>
      </c>
      <c r="I1800" s="5">
        <f>VLOOKUP(F1800,'Set up'!$A$2:$C$70,3,FALSE)</f>
        <v>30</v>
      </c>
      <c r="J1800" s="5">
        <f>VLOOKUP(F1800,'Set up'!$A$2:$D$70,4,FALSE)</f>
        <v>30</v>
      </c>
      <c r="K1800" s="4">
        <f t="shared" si="437"/>
        <v>45126</v>
      </c>
      <c r="L1800" s="5">
        <f t="shared" si="438"/>
        <v>7</v>
      </c>
      <c r="M1800" s="5">
        <f t="shared" si="439"/>
        <v>2023</v>
      </c>
      <c r="N1800" s="6">
        <v>7480</v>
      </c>
      <c r="O1800" s="6">
        <f t="shared" si="434"/>
        <v>-7480</v>
      </c>
      <c r="P1800" s="6">
        <f t="shared" si="433"/>
        <v>0</v>
      </c>
      <c r="Q1800" s="7">
        <f t="shared" si="440"/>
        <v>3269081.9500000011</v>
      </c>
      <c r="R1800" s="44" t="str">
        <f>VLOOKUP(F1800,'Set up'!$A$2:$E$70,5,FALSE)</f>
        <v>Chq</v>
      </c>
      <c r="S1800" s="1" t="s">
        <v>1781</v>
      </c>
    </row>
    <row r="1801" spans="1:19" ht="15" customHeight="1" x14ac:dyDescent="0.3">
      <c r="A1801" s="4" t="s">
        <v>1640</v>
      </c>
      <c r="B1801" s="5">
        <f t="shared" si="435"/>
        <v>6</v>
      </c>
      <c r="C1801" s="5">
        <f t="shared" si="436"/>
        <v>2023</v>
      </c>
      <c r="D1801" s="105" t="s">
        <v>1641</v>
      </c>
      <c r="E1801" s="5" t="str">
        <f>VLOOKUP(F1801,'Set up'!$A$2:$C$70,2,FALSE)</f>
        <v>C00000037</v>
      </c>
      <c r="F1801" s="1" t="s">
        <v>1309</v>
      </c>
      <c r="G1801" s="89" t="s">
        <v>707</v>
      </c>
      <c r="H1801" s="5">
        <v>3</v>
      </c>
      <c r="I1801" s="5">
        <f>VLOOKUP(F1801,'Set up'!$A$2:$C$70,3,FALSE)</f>
        <v>30</v>
      </c>
      <c r="J1801" s="5">
        <f>VLOOKUP(F1801,'Set up'!$A$2:$D$70,4,FALSE)</f>
        <v>30</v>
      </c>
      <c r="K1801" s="4">
        <f t="shared" si="437"/>
        <v>45126</v>
      </c>
      <c r="L1801" s="5">
        <f t="shared" si="438"/>
        <v>7</v>
      </c>
      <c r="M1801" s="5">
        <f t="shared" si="439"/>
        <v>2023</v>
      </c>
      <c r="N1801" s="6">
        <v>1263.5999999999999</v>
      </c>
      <c r="O1801" s="6">
        <f t="shared" si="434"/>
        <v>-1263.5999999999999</v>
      </c>
      <c r="P1801" s="6">
        <f t="shared" si="433"/>
        <v>0</v>
      </c>
      <c r="Q1801" s="7">
        <f t="shared" si="440"/>
        <v>3270345.5500000012</v>
      </c>
      <c r="R1801" s="44" t="str">
        <f>VLOOKUP(F1801,'Set up'!$A$2:$E$70,5,FALSE)</f>
        <v>Chq</v>
      </c>
      <c r="S1801" s="1" t="s">
        <v>1781</v>
      </c>
    </row>
    <row r="1802" spans="1:19" ht="15" customHeight="1" x14ac:dyDescent="0.3">
      <c r="A1802" s="4" t="s">
        <v>1640</v>
      </c>
      <c r="B1802" s="5">
        <f t="shared" si="435"/>
        <v>6</v>
      </c>
      <c r="C1802" s="5">
        <f t="shared" si="436"/>
        <v>2023</v>
      </c>
      <c r="D1802" s="105" t="s">
        <v>1641</v>
      </c>
      <c r="E1802" s="5" t="str">
        <f>VLOOKUP(F1802,'Set up'!$A$2:$C$70,2,FALSE)</f>
        <v>C00000037</v>
      </c>
      <c r="F1802" s="1" t="s">
        <v>1309</v>
      </c>
      <c r="G1802" s="89" t="s">
        <v>1545</v>
      </c>
      <c r="H1802" s="5">
        <v>2</v>
      </c>
      <c r="I1802" s="5">
        <f>VLOOKUP(F1802,'Set up'!$A$2:$C$70,3,FALSE)</f>
        <v>30</v>
      </c>
      <c r="J1802" s="5">
        <f>VLOOKUP(F1802,'Set up'!$A$2:$D$70,4,FALSE)</f>
        <v>30</v>
      </c>
      <c r="K1802" s="4">
        <f t="shared" si="437"/>
        <v>45126</v>
      </c>
      <c r="L1802" s="5">
        <f t="shared" si="438"/>
        <v>7</v>
      </c>
      <c r="M1802" s="5">
        <f t="shared" si="439"/>
        <v>2023</v>
      </c>
      <c r="N1802" s="6">
        <v>1045.2</v>
      </c>
      <c r="O1802" s="6">
        <f t="shared" si="434"/>
        <v>-1045.2</v>
      </c>
      <c r="P1802" s="6">
        <f t="shared" si="433"/>
        <v>0</v>
      </c>
      <c r="Q1802" s="7">
        <f t="shared" si="440"/>
        <v>3271390.7500000014</v>
      </c>
      <c r="R1802" s="44" t="str">
        <f>VLOOKUP(F1802,'Set up'!$A$2:$E$70,5,FALSE)</f>
        <v>Chq</v>
      </c>
      <c r="S1802" s="1" t="s">
        <v>1781</v>
      </c>
    </row>
    <row r="1803" spans="1:19" ht="15" customHeight="1" x14ac:dyDescent="0.3">
      <c r="A1803" s="4" t="s">
        <v>1640</v>
      </c>
      <c r="B1803" s="5">
        <f t="shared" si="435"/>
        <v>6</v>
      </c>
      <c r="C1803" s="5">
        <f t="shared" si="436"/>
        <v>2023</v>
      </c>
      <c r="D1803" s="105" t="s">
        <v>1641</v>
      </c>
      <c r="E1803" s="5" t="str">
        <f>VLOOKUP(F1803,'Set up'!$A$2:$C$70,2,FALSE)</f>
        <v>C00000037</v>
      </c>
      <c r="F1803" s="1" t="s">
        <v>1309</v>
      </c>
      <c r="G1803" s="89" t="s">
        <v>1405</v>
      </c>
      <c r="H1803" s="5">
        <v>3</v>
      </c>
      <c r="I1803" s="5">
        <f>VLOOKUP(F1803,'Set up'!$A$2:$C$70,3,FALSE)</f>
        <v>30</v>
      </c>
      <c r="J1803" s="5">
        <f>VLOOKUP(F1803,'Set up'!$A$2:$D$70,4,FALSE)</f>
        <v>30</v>
      </c>
      <c r="K1803" s="4">
        <f t="shared" si="437"/>
        <v>45126</v>
      </c>
      <c r="L1803" s="5">
        <f t="shared" si="438"/>
        <v>7</v>
      </c>
      <c r="M1803" s="5">
        <f t="shared" si="439"/>
        <v>2023</v>
      </c>
      <c r="N1803" s="6">
        <v>144</v>
      </c>
      <c r="O1803" s="6">
        <f t="shared" si="434"/>
        <v>-144</v>
      </c>
      <c r="P1803" s="6">
        <f t="shared" si="433"/>
        <v>0</v>
      </c>
      <c r="Q1803" s="7">
        <f t="shared" si="440"/>
        <v>3271534.7500000014</v>
      </c>
      <c r="R1803" s="44" t="str">
        <f>VLOOKUP(F1803,'Set up'!$A$2:$E$70,5,FALSE)</f>
        <v>Chq</v>
      </c>
      <c r="S1803" s="1" t="s">
        <v>1781</v>
      </c>
    </row>
    <row r="1804" spans="1:19" ht="15" customHeight="1" x14ac:dyDescent="0.3">
      <c r="A1804" s="4" t="s">
        <v>1640</v>
      </c>
      <c r="B1804" s="5">
        <f t="shared" si="435"/>
        <v>6</v>
      </c>
      <c r="C1804" s="5">
        <f t="shared" si="436"/>
        <v>2023</v>
      </c>
      <c r="D1804" s="105" t="s">
        <v>1641</v>
      </c>
      <c r="E1804" s="5" t="str">
        <f>VLOOKUP(F1804,'Set up'!$A$2:$C$70,2,FALSE)</f>
        <v>C00000037</v>
      </c>
      <c r="F1804" s="1" t="s">
        <v>1309</v>
      </c>
      <c r="G1804" s="89" t="s">
        <v>1061</v>
      </c>
      <c r="H1804" s="5">
        <v>2</v>
      </c>
      <c r="I1804" s="5">
        <f>VLOOKUP(F1804,'Set up'!$A$2:$C$70,3,FALSE)</f>
        <v>30</v>
      </c>
      <c r="J1804" s="5">
        <f>VLOOKUP(F1804,'Set up'!$A$2:$D$70,4,FALSE)</f>
        <v>30</v>
      </c>
      <c r="K1804" s="4">
        <f t="shared" si="437"/>
        <v>45126</v>
      </c>
      <c r="L1804" s="5">
        <f t="shared" si="438"/>
        <v>7</v>
      </c>
      <c r="M1804" s="5">
        <f t="shared" si="439"/>
        <v>2023</v>
      </c>
      <c r="N1804" s="6">
        <v>190</v>
      </c>
      <c r="O1804" s="6">
        <f t="shared" si="434"/>
        <v>-190</v>
      </c>
      <c r="P1804" s="6">
        <f t="shared" si="433"/>
        <v>0</v>
      </c>
      <c r="Q1804" s="7">
        <f t="shared" si="440"/>
        <v>3271724.7500000014</v>
      </c>
      <c r="R1804" s="44" t="str">
        <f>VLOOKUP(F1804,'Set up'!$A$2:$E$70,5,FALSE)</f>
        <v>Chq</v>
      </c>
      <c r="S1804" s="1" t="s">
        <v>1781</v>
      </c>
    </row>
    <row r="1805" spans="1:19" ht="15" customHeight="1" x14ac:dyDescent="0.3">
      <c r="A1805" s="4" t="s">
        <v>1640</v>
      </c>
      <c r="B1805" s="5">
        <f t="shared" si="435"/>
        <v>6</v>
      </c>
      <c r="C1805" s="5">
        <f t="shared" si="436"/>
        <v>2023</v>
      </c>
      <c r="D1805" s="105" t="s">
        <v>1641</v>
      </c>
      <c r="E1805" s="5" t="str">
        <f>VLOOKUP(F1805,'Set up'!$A$2:$C$70,2,FALSE)</f>
        <v>C00000037</v>
      </c>
      <c r="F1805" s="1" t="s">
        <v>1309</v>
      </c>
      <c r="G1805" s="89" t="s">
        <v>54</v>
      </c>
      <c r="H1805" s="5">
        <v>3</v>
      </c>
      <c r="I1805" s="5">
        <f>VLOOKUP(F1805,'Set up'!$A$2:$C$70,3,FALSE)</f>
        <v>30</v>
      </c>
      <c r="J1805" s="5">
        <f>VLOOKUP(F1805,'Set up'!$A$2:$D$70,4,FALSE)</f>
        <v>30</v>
      </c>
      <c r="K1805" s="4">
        <f t="shared" si="437"/>
        <v>45126</v>
      </c>
      <c r="L1805" s="5">
        <f t="shared" si="438"/>
        <v>7</v>
      </c>
      <c r="M1805" s="5">
        <f t="shared" si="439"/>
        <v>2023</v>
      </c>
      <c r="N1805" s="6">
        <v>187.5</v>
      </c>
      <c r="O1805" s="6">
        <f t="shared" si="434"/>
        <v>-187.5</v>
      </c>
      <c r="P1805" s="6">
        <f t="shared" si="433"/>
        <v>0</v>
      </c>
      <c r="Q1805" s="7">
        <f t="shared" si="440"/>
        <v>3271912.2500000014</v>
      </c>
      <c r="R1805" s="44" t="str">
        <f>VLOOKUP(F1805,'Set up'!$A$2:$E$70,5,FALSE)</f>
        <v>Chq</v>
      </c>
      <c r="S1805" s="1" t="s">
        <v>1781</v>
      </c>
    </row>
    <row r="1806" spans="1:19" ht="15" customHeight="1" x14ac:dyDescent="0.3">
      <c r="A1806" s="4" t="s">
        <v>1640</v>
      </c>
      <c r="B1806" s="5">
        <f t="shared" si="435"/>
        <v>6</v>
      </c>
      <c r="C1806" s="5">
        <f t="shared" si="436"/>
        <v>2023</v>
      </c>
      <c r="D1806" s="105" t="s">
        <v>1641</v>
      </c>
      <c r="E1806" s="5" t="str">
        <f>VLOOKUP(F1806,'Set up'!$A$2:$C$70,2,FALSE)</f>
        <v>C00000037</v>
      </c>
      <c r="F1806" s="1" t="s">
        <v>1309</v>
      </c>
      <c r="G1806" s="89" t="s">
        <v>865</v>
      </c>
      <c r="H1806" s="5">
        <v>2</v>
      </c>
      <c r="I1806" s="5">
        <f>VLOOKUP(F1806,'Set up'!$A$2:$C$70,3,FALSE)</f>
        <v>30</v>
      </c>
      <c r="J1806" s="5">
        <f>VLOOKUP(F1806,'Set up'!$A$2:$D$70,4,FALSE)</f>
        <v>30</v>
      </c>
      <c r="K1806" s="4">
        <f t="shared" si="437"/>
        <v>45126</v>
      </c>
      <c r="L1806" s="5">
        <f t="shared" si="438"/>
        <v>7</v>
      </c>
      <c r="M1806" s="5">
        <f t="shared" si="439"/>
        <v>2023</v>
      </c>
      <c r="N1806" s="6">
        <v>520</v>
      </c>
      <c r="O1806" s="6">
        <f t="shared" si="434"/>
        <v>-520</v>
      </c>
      <c r="P1806" s="6">
        <f t="shared" si="433"/>
        <v>0</v>
      </c>
      <c r="Q1806" s="7">
        <f t="shared" si="440"/>
        <v>3272432.2500000014</v>
      </c>
      <c r="R1806" s="44" t="str">
        <f>VLOOKUP(F1806,'Set up'!$A$2:$E$70,5,FALSE)</f>
        <v>Chq</v>
      </c>
      <c r="S1806" s="1" t="s">
        <v>1781</v>
      </c>
    </row>
    <row r="1807" spans="1:19" ht="15" customHeight="1" x14ac:dyDescent="0.3">
      <c r="A1807" s="4" t="s">
        <v>1640</v>
      </c>
      <c r="B1807" s="5">
        <f t="shared" si="435"/>
        <v>6</v>
      </c>
      <c r="C1807" s="5">
        <f t="shared" si="436"/>
        <v>2023</v>
      </c>
      <c r="D1807" s="105" t="s">
        <v>1641</v>
      </c>
      <c r="E1807" s="5" t="str">
        <f>VLOOKUP(F1807,'Set up'!$A$2:$C$70,2,FALSE)</f>
        <v>C00000037</v>
      </c>
      <c r="F1807" s="1" t="s">
        <v>1309</v>
      </c>
      <c r="G1807" s="89" t="s">
        <v>1546</v>
      </c>
      <c r="H1807" s="5">
        <v>1</v>
      </c>
      <c r="I1807" s="5">
        <f>VLOOKUP(F1807,'Set up'!$A$2:$C$70,3,FALSE)</f>
        <v>30</v>
      </c>
      <c r="J1807" s="5">
        <f>VLOOKUP(F1807,'Set up'!$A$2:$D$70,4,FALSE)</f>
        <v>30</v>
      </c>
      <c r="K1807" s="4">
        <f t="shared" si="437"/>
        <v>45126</v>
      </c>
      <c r="L1807" s="5">
        <f t="shared" si="438"/>
        <v>7</v>
      </c>
      <c r="M1807" s="5">
        <f t="shared" si="439"/>
        <v>2023</v>
      </c>
      <c r="N1807" s="6">
        <v>930</v>
      </c>
      <c r="O1807" s="6">
        <f t="shared" si="434"/>
        <v>-930</v>
      </c>
      <c r="P1807" s="6">
        <f t="shared" si="433"/>
        <v>0</v>
      </c>
      <c r="Q1807" s="7">
        <f t="shared" si="440"/>
        <v>3273362.2500000014</v>
      </c>
      <c r="R1807" s="44" t="str">
        <f>VLOOKUP(F1807,'Set up'!$A$2:$E$70,5,FALSE)</f>
        <v>Chq</v>
      </c>
      <c r="S1807" s="1" t="s">
        <v>1781</v>
      </c>
    </row>
    <row r="1808" spans="1:19" ht="15" customHeight="1" x14ac:dyDescent="0.3">
      <c r="A1808" s="4">
        <v>45097</v>
      </c>
      <c r="B1808" s="5">
        <f t="shared" si="435"/>
        <v>6</v>
      </c>
      <c r="C1808" s="5">
        <f t="shared" si="436"/>
        <v>2023</v>
      </c>
      <c r="D1808" s="105" t="s">
        <v>1646</v>
      </c>
      <c r="E1808" s="5" t="str">
        <f>VLOOKUP(F1808,'Set up'!$A$2:$C$70,2,FALSE)</f>
        <v>C00000034</v>
      </c>
      <c r="F1808" s="1" t="s">
        <v>1196</v>
      </c>
      <c r="G1808" s="11" t="s">
        <v>1356</v>
      </c>
      <c r="H1808" s="5">
        <v>1</v>
      </c>
      <c r="I1808" s="5" t="str">
        <f>VLOOKUP(F1808,'Set up'!$A$2:$C$70,3,FALSE)</f>
        <v>Cash</v>
      </c>
      <c r="J1808" s="5">
        <f>VLOOKUP(F1808,'Set up'!$A$2:$D$70,4,FALSE)</f>
        <v>0</v>
      </c>
      <c r="K1808" s="4">
        <f t="shared" si="437"/>
        <v>45097</v>
      </c>
      <c r="L1808" s="5">
        <f t="shared" si="438"/>
        <v>6</v>
      </c>
      <c r="M1808" s="5">
        <f t="shared" si="439"/>
        <v>2023</v>
      </c>
      <c r="N1808" s="6">
        <v>3740</v>
      </c>
      <c r="O1808" s="6">
        <f t="shared" ref="O1808:O1815" si="441">-N1808</f>
        <v>-3740</v>
      </c>
      <c r="P1808" s="6">
        <f t="shared" si="433"/>
        <v>0</v>
      </c>
      <c r="Q1808" s="7">
        <f t="shared" si="440"/>
        <v>3277102.2500000014</v>
      </c>
      <c r="R1808" s="44" t="str">
        <f>VLOOKUP(F1808,'Set up'!$A$2:$E$70,5,FALSE)</f>
        <v>Trsf</v>
      </c>
      <c r="S1808" s="1" t="s">
        <v>1673</v>
      </c>
    </row>
    <row r="1809" spans="1:19" ht="15" customHeight="1" x14ac:dyDescent="0.3">
      <c r="A1809" s="97" t="s">
        <v>1645</v>
      </c>
      <c r="B1809" s="5">
        <f t="shared" si="435"/>
        <v>6</v>
      </c>
      <c r="C1809" s="5">
        <f t="shared" si="436"/>
        <v>2023</v>
      </c>
      <c r="D1809" s="105" t="s">
        <v>1644</v>
      </c>
      <c r="E1809" s="5" t="str">
        <f>VLOOKUP(F1809,'Set up'!$A$2:$C$70,2,FALSE)</f>
        <v>C00000034</v>
      </c>
      <c r="F1809" s="1" t="s">
        <v>1196</v>
      </c>
      <c r="G1809" s="11" t="s">
        <v>1643</v>
      </c>
      <c r="H1809" s="5">
        <v>1</v>
      </c>
      <c r="I1809" s="5" t="str">
        <f>VLOOKUP(F1809,'Set up'!$A$2:$C$70,3,FALSE)</f>
        <v>Cash</v>
      </c>
      <c r="J1809" s="5">
        <f>VLOOKUP(F1809,'Set up'!$A$2:$D$70,4,FALSE)</f>
        <v>0</v>
      </c>
      <c r="K1809" s="4">
        <f t="shared" si="437"/>
        <v>45097</v>
      </c>
      <c r="L1809" s="5">
        <f t="shared" si="438"/>
        <v>6</v>
      </c>
      <c r="M1809" s="5">
        <f t="shared" si="439"/>
        <v>2023</v>
      </c>
      <c r="N1809" s="6">
        <v>160</v>
      </c>
      <c r="O1809" s="6">
        <f t="shared" si="441"/>
        <v>-160</v>
      </c>
      <c r="P1809" s="6">
        <f t="shared" si="433"/>
        <v>0</v>
      </c>
      <c r="Q1809" s="7">
        <f t="shared" si="440"/>
        <v>3277262.2500000014</v>
      </c>
      <c r="R1809" s="44" t="str">
        <f>VLOOKUP(F1809,'Set up'!$A$2:$E$70,5,FALSE)</f>
        <v>Trsf</v>
      </c>
      <c r="S1809" s="1" t="s">
        <v>1674</v>
      </c>
    </row>
    <row r="1810" spans="1:19" ht="15" customHeight="1" x14ac:dyDescent="0.3">
      <c r="A1810" s="97" t="s">
        <v>1645</v>
      </c>
      <c r="B1810" s="5">
        <f t="shared" si="435"/>
        <v>6</v>
      </c>
      <c r="C1810" s="5">
        <f t="shared" si="436"/>
        <v>2023</v>
      </c>
      <c r="D1810" s="88" t="s">
        <v>1644</v>
      </c>
      <c r="E1810" s="5" t="str">
        <f>VLOOKUP(F1810,'Set up'!$A$2:$C$70,2,FALSE)</f>
        <v>C00000034</v>
      </c>
      <c r="F1810" s="1" t="s">
        <v>1196</v>
      </c>
      <c r="G1810" s="11" t="s">
        <v>1642</v>
      </c>
      <c r="H1810" s="5">
        <v>1</v>
      </c>
      <c r="I1810" s="5" t="str">
        <f>VLOOKUP(F1810,'Set up'!$A$2:$C$70,3,FALSE)</f>
        <v>Cash</v>
      </c>
      <c r="J1810" s="5">
        <f>VLOOKUP(F1810,'Set up'!$A$2:$D$70,4,FALSE)</f>
        <v>0</v>
      </c>
      <c r="K1810" s="4">
        <f t="shared" si="437"/>
        <v>45097</v>
      </c>
      <c r="L1810" s="5">
        <f t="shared" si="438"/>
        <v>6</v>
      </c>
      <c r="M1810" s="5">
        <f t="shared" si="439"/>
        <v>2023</v>
      </c>
      <c r="N1810" s="6">
        <v>165</v>
      </c>
      <c r="O1810" s="6">
        <f t="shared" si="441"/>
        <v>-165</v>
      </c>
      <c r="P1810" s="6">
        <f t="shared" si="433"/>
        <v>0</v>
      </c>
      <c r="Q1810" s="7">
        <f t="shared" si="440"/>
        <v>3277427.2500000014</v>
      </c>
      <c r="R1810" s="44" t="str">
        <f>VLOOKUP(F1810,'Set up'!$A$2:$E$70,5,FALSE)</f>
        <v>Trsf</v>
      </c>
      <c r="S1810" s="1" t="s">
        <v>1674</v>
      </c>
    </row>
    <row r="1811" spans="1:19" ht="15" customHeight="1" x14ac:dyDescent="0.3">
      <c r="A1811" s="97" t="s">
        <v>1645</v>
      </c>
      <c r="B1811" s="5">
        <f t="shared" si="435"/>
        <v>6</v>
      </c>
      <c r="C1811" s="5">
        <f t="shared" si="436"/>
        <v>2023</v>
      </c>
      <c r="D1811" s="105" t="s">
        <v>1644</v>
      </c>
      <c r="E1811" s="5" t="str">
        <f>VLOOKUP(F1811,'Set up'!$A$2:$C$70,2,FALSE)</f>
        <v>C00000034</v>
      </c>
      <c r="F1811" s="1" t="s">
        <v>1196</v>
      </c>
      <c r="G1811" s="11" t="s">
        <v>1643</v>
      </c>
      <c r="H1811" s="5">
        <v>1</v>
      </c>
      <c r="I1811" s="5" t="str">
        <f>VLOOKUP(F1811,'Set up'!$A$2:$C$70,3,FALSE)</f>
        <v>Cash</v>
      </c>
      <c r="J1811" s="5">
        <f>VLOOKUP(F1811,'Set up'!$A$2:$D$70,4,FALSE)</f>
        <v>0</v>
      </c>
      <c r="K1811" s="4">
        <f t="shared" si="437"/>
        <v>45097</v>
      </c>
      <c r="L1811" s="5">
        <f t="shared" si="438"/>
        <v>6</v>
      </c>
      <c r="M1811" s="5">
        <f t="shared" si="439"/>
        <v>2023</v>
      </c>
      <c r="N1811" s="6">
        <v>160</v>
      </c>
      <c r="O1811" s="6">
        <f t="shared" si="441"/>
        <v>-160</v>
      </c>
      <c r="P1811" s="6">
        <f t="shared" si="433"/>
        <v>0</v>
      </c>
      <c r="Q1811" s="7">
        <f t="shared" si="440"/>
        <v>3277587.2500000014</v>
      </c>
      <c r="R1811" s="44" t="str">
        <f>VLOOKUP(F1811,'Set up'!$A$2:$E$70,5,FALSE)</f>
        <v>Trsf</v>
      </c>
      <c r="S1811" s="1" t="s">
        <v>1674</v>
      </c>
    </row>
    <row r="1812" spans="1:19" ht="15" customHeight="1" x14ac:dyDescent="0.3">
      <c r="A1812" s="4">
        <v>45098</v>
      </c>
      <c r="B1812" s="5">
        <f t="shared" si="435"/>
        <v>6</v>
      </c>
      <c r="C1812" s="5">
        <f t="shared" si="436"/>
        <v>2023</v>
      </c>
      <c r="D1812" s="105" t="s">
        <v>1647</v>
      </c>
      <c r="E1812" s="5" t="str">
        <f>VLOOKUP(F1812,'Set up'!$A$2:$C$70,2,FALSE)</f>
        <v>C00000037</v>
      </c>
      <c r="F1812" s="1" t="s">
        <v>1309</v>
      </c>
      <c r="G1812" s="11" t="s">
        <v>1637</v>
      </c>
      <c r="H1812" s="5">
        <v>1</v>
      </c>
      <c r="I1812" s="5">
        <f>VLOOKUP(F1812,'Set up'!$A$2:$C$70,3,FALSE)</f>
        <v>30</v>
      </c>
      <c r="J1812" s="5">
        <f>VLOOKUP(F1812,'Set up'!$A$2:$D$70,4,FALSE)</f>
        <v>30</v>
      </c>
      <c r="K1812" s="4">
        <f t="shared" si="437"/>
        <v>45128</v>
      </c>
      <c r="L1812" s="5">
        <f t="shared" si="438"/>
        <v>7</v>
      </c>
      <c r="M1812" s="5">
        <f t="shared" si="439"/>
        <v>2023</v>
      </c>
      <c r="N1812" s="6">
        <v>390</v>
      </c>
      <c r="O1812" s="6">
        <f t="shared" si="441"/>
        <v>-390</v>
      </c>
      <c r="P1812" s="6">
        <f t="shared" si="433"/>
        <v>0</v>
      </c>
      <c r="Q1812" s="7">
        <f t="shared" si="440"/>
        <v>3277977.2500000014</v>
      </c>
      <c r="R1812" s="44" t="str">
        <f>VLOOKUP(F1812,'Set up'!$A$2:$E$70,5,FALSE)</f>
        <v>Chq</v>
      </c>
      <c r="S1812" s="1" t="s">
        <v>1783</v>
      </c>
    </row>
    <row r="1813" spans="1:19" ht="15" customHeight="1" x14ac:dyDescent="0.3">
      <c r="A1813" s="4">
        <v>45099</v>
      </c>
      <c r="B1813" s="5">
        <f t="shared" si="435"/>
        <v>6</v>
      </c>
      <c r="C1813" s="5">
        <f t="shared" si="436"/>
        <v>2023</v>
      </c>
      <c r="D1813" s="105" t="s">
        <v>1648</v>
      </c>
      <c r="E1813" s="5" t="str">
        <f>VLOOKUP(F1813,'Set up'!$A$2:$C$70,2,FALSE)</f>
        <v>C00000021</v>
      </c>
      <c r="F1813" s="1" t="s">
        <v>491</v>
      </c>
      <c r="G1813" s="107" t="s">
        <v>716</v>
      </c>
      <c r="H1813" s="5">
        <v>1</v>
      </c>
      <c r="I1813" s="5" t="str">
        <f>VLOOKUP(F1813,'Set up'!$A$2:$C$70,3,FALSE)</f>
        <v>Cash</v>
      </c>
      <c r="J1813" s="5">
        <f>VLOOKUP(F1813,'Set up'!$A$2:$D$70,4,FALSE)</f>
        <v>0</v>
      </c>
      <c r="K1813" s="4">
        <f t="shared" si="437"/>
        <v>45099</v>
      </c>
      <c r="L1813" s="5">
        <f t="shared" si="438"/>
        <v>6</v>
      </c>
      <c r="M1813" s="5">
        <f t="shared" si="439"/>
        <v>2023</v>
      </c>
      <c r="N1813" s="6">
        <v>1870</v>
      </c>
      <c r="O1813" s="6">
        <f t="shared" si="441"/>
        <v>-1870</v>
      </c>
      <c r="P1813" s="6">
        <f t="shared" si="433"/>
        <v>0</v>
      </c>
      <c r="Q1813" s="7">
        <f t="shared" si="440"/>
        <v>3279847.2500000014</v>
      </c>
      <c r="R1813" s="44" t="str">
        <f>VLOOKUP(F1813,'Set up'!$A$2:$E$70,5,FALSE)</f>
        <v>PD Chq</v>
      </c>
      <c r="S1813" s="1" t="s">
        <v>2258</v>
      </c>
    </row>
    <row r="1814" spans="1:19" ht="15" customHeight="1" x14ac:dyDescent="0.3">
      <c r="A1814" s="4">
        <v>45099</v>
      </c>
      <c r="B1814" s="5">
        <f t="shared" si="435"/>
        <v>6</v>
      </c>
      <c r="C1814" s="5">
        <f t="shared" si="436"/>
        <v>2023</v>
      </c>
      <c r="D1814" s="105" t="s">
        <v>1648</v>
      </c>
      <c r="E1814" s="5" t="str">
        <f>VLOOKUP(F1814,'Set up'!$A$2:$C$70,2,FALSE)</f>
        <v>C00000021</v>
      </c>
      <c r="F1814" s="1" t="s">
        <v>491</v>
      </c>
      <c r="G1814" s="99" t="s">
        <v>654</v>
      </c>
      <c r="H1814" s="5">
        <v>2</v>
      </c>
      <c r="I1814" s="5" t="str">
        <f>VLOOKUP(F1814,'Set up'!$A$2:$C$70,3,FALSE)</f>
        <v>Cash</v>
      </c>
      <c r="J1814" s="5">
        <f>VLOOKUP(F1814,'Set up'!$A$2:$D$70,4,FALSE)</f>
        <v>0</v>
      </c>
      <c r="K1814" s="4">
        <f t="shared" si="437"/>
        <v>45099</v>
      </c>
      <c r="L1814" s="5">
        <f t="shared" si="438"/>
        <v>6</v>
      </c>
      <c r="M1814" s="5">
        <f t="shared" si="439"/>
        <v>2023</v>
      </c>
      <c r="N1814" s="6">
        <v>510</v>
      </c>
      <c r="O1814" s="6">
        <f t="shared" si="441"/>
        <v>-510</v>
      </c>
      <c r="P1814" s="6">
        <f t="shared" si="433"/>
        <v>0</v>
      </c>
      <c r="Q1814" s="7">
        <f t="shared" si="440"/>
        <v>3280357.2500000014</v>
      </c>
      <c r="R1814" s="44" t="str">
        <f>VLOOKUP(F1814,'Set up'!$A$2:$E$70,5,FALSE)</f>
        <v>PD Chq</v>
      </c>
      <c r="S1814" s="1" t="s">
        <v>2258</v>
      </c>
    </row>
    <row r="1815" spans="1:19" ht="15" customHeight="1" x14ac:dyDescent="0.3">
      <c r="A1815" s="4">
        <v>45099</v>
      </c>
      <c r="B1815" s="5">
        <f t="shared" si="435"/>
        <v>6</v>
      </c>
      <c r="C1815" s="5">
        <f t="shared" si="436"/>
        <v>2023</v>
      </c>
      <c r="D1815" s="105" t="s">
        <v>1648</v>
      </c>
      <c r="E1815" s="5" t="str">
        <f>VLOOKUP(F1815,'Set up'!$A$2:$C$70,2,FALSE)</f>
        <v>C00000021</v>
      </c>
      <c r="F1815" s="1" t="s">
        <v>491</v>
      </c>
      <c r="G1815" s="99" t="s">
        <v>1061</v>
      </c>
      <c r="H1815" s="5">
        <v>1</v>
      </c>
      <c r="I1815" s="5" t="str">
        <f>VLOOKUP(F1815,'Set up'!$A$2:$C$70,3,FALSE)</f>
        <v>Cash</v>
      </c>
      <c r="J1815" s="5">
        <f>VLOOKUP(F1815,'Set up'!$A$2:$D$70,4,FALSE)</f>
        <v>0</v>
      </c>
      <c r="K1815" s="4">
        <f t="shared" si="437"/>
        <v>45099</v>
      </c>
      <c r="L1815" s="5">
        <f t="shared" si="438"/>
        <v>6</v>
      </c>
      <c r="M1815" s="5">
        <f t="shared" si="439"/>
        <v>2023</v>
      </c>
      <c r="N1815" s="6">
        <v>95</v>
      </c>
      <c r="O1815" s="6">
        <f t="shared" si="441"/>
        <v>-95</v>
      </c>
      <c r="P1815" s="6">
        <f t="shared" si="433"/>
        <v>0</v>
      </c>
      <c r="Q1815" s="7">
        <f t="shared" si="440"/>
        <v>3280452.2500000014</v>
      </c>
      <c r="R1815" s="44" t="str">
        <f>VLOOKUP(F1815,'Set up'!$A$2:$E$70,5,FALSE)</f>
        <v>PD Chq</v>
      </c>
      <c r="S1815" s="1" t="s">
        <v>2258</v>
      </c>
    </row>
    <row r="1816" spans="1:19" ht="15" customHeight="1" x14ac:dyDescent="0.3">
      <c r="A1816" s="4">
        <v>45099</v>
      </c>
      <c r="B1816" s="5">
        <f t="shared" si="435"/>
        <v>6</v>
      </c>
      <c r="C1816" s="5">
        <f t="shared" si="436"/>
        <v>2023</v>
      </c>
      <c r="D1816" s="105" t="s">
        <v>1649</v>
      </c>
      <c r="E1816" s="5" t="str">
        <f>VLOOKUP(F1816,'Set up'!$A$2:$C$70,2,FALSE)</f>
        <v>C00000034</v>
      </c>
      <c r="F1816" s="1" t="s">
        <v>1196</v>
      </c>
      <c r="G1816" s="11" t="s">
        <v>944</v>
      </c>
      <c r="H1816" s="5">
        <v>1</v>
      </c>
      <c r="I1816" s="5" t="str">
        <f>VLOOKUP(F1816,'Set up'!$A$2:$C$70,3,FALSE)</f>
        <v>Cash</v>
      </c>
      <c r="J1816" s="5">
        <f>VLOOKUP(F1816,'Set up'!$A$2:$D$70,4,FALSE)</f>
        <v>0</v>
      </c>
      <c r="K1816" s="4">
        <f t="shared" si="437"/>
        <v>45099</v>
      </c>
      <c r="L1816" s="5">
        <f t="shared" si="438"/>
        <v>6</v>
      </c>
      <c r="M1816" s="5">
        <f t="shared" si="439"/>
        <v>2023</v>
      </c>
      <c r="N1816" s="6">
        <v>420</v>
      </c>
      <c r="O1816" s="6">
        <f t="shared" ref="O1816:O1817" si="442">-N1816</f>
        <v>-420</v>
      </c>
      <c r="P1816" s="6">
        <f t="shared" si="433"/>
        <v>0</v>
      </c>
      <c r="Q1816" s="7">
        <f t="shared" si="440"/>
        <v>3280872.2500000014</v>
      </c>
      <c r="R1816" s="44" t="str">
        <f>VLOOKUP(F1816,'Set up'!$A$2:$E$70,5,FALSE)</f>
        <v>Trsf</v>
      </c>
      <c r="S1816" s="1" t="s">
        <v>1675</v>
      </c>
    </row>
    <row r="1817" spans="1:19" ht="15" customHeight="1" x14ac:dyDescent="0.3">
      <c r="A1817" s="4">
        <v>45099</v>
      </c>
      <c r="B1817" s="5">
        <f t="shared" si="435"/>
        <v>6</v>
      </c>
      <c r="C1817" s="5">
        <f t="shared" si="436"/>
        <v>2023</v>
      </c>
      <c r="D1817" s="105" t="s">
        <v>1649</v>
      </c>
      <c r="E1817" s="5" t="str">
        <f>VLOOKUP(F1817,'Set up'!$A$2:$C$70,2,FALSE)</f>
        <v>C00000034</v>
      </c>
      <c r="F1817" s="1" t="s">
        <v>1196</v>
      </c>
      <c r="G1817" s="11" t="s">
        <v>1110</v>
      </c>
      <c r="H1817" s="5">
        <v>6</v>
      </c>
      <c r="I1817" s="5" t="str">
        <f>VLOOKUP(F1817,'Set up'!$A$2:$C$70,3,FALSE)</f>
        <v>Cash</v>
      </c>
      <c r="J1817" s="5">
        <f>VLOOKUP(F1817,'Set up'!$A$2:$D$70,4,FALSE)</f>
        <v>0</v>
      </c>
      <c r="K1817" s="4">
        <f t="shared" si="437"/>
        <v>45099</v>
      </c>
      <c r="L1817" s="5">
        <f t="shared" si="438"/>
        <v>6</v>
      </c>
      <c r="M1817" s="5">
        <f t="shared" si="439"/>
        <v>2023</v>
      </c>
      <c r="N1817" s="6">
        <v>375</v>
      </c>
      <c r="O1817" s="6">
        <f t="shared" si="442"/>
        <v>-375</v>
      </c>
      <c r="P1817" s="6">
        <f t="shared" si="433"/>
        <v>0</v>
      </c>
      <c r="Q1817" s="7">
        <f t="shared" si="440"/>
        <v>3281247.2500000014</v>
      </c>
      <c r="R1817" s="44" t="str">
        <f>VLOOKUP(F1817,'Set up'!$A$2:$E$70,5,FALSE)</f>
        <v>Trsf</v>
      </c>
      <c r="S1817" s="1" t="s">
        <v>1675</v>
      </c>
    </row>
    <row r="1818" spans="1:19" ht="15" customHeight="1" x14ac:dyDescent="0.3">
      <c r="A1818" s="4">
        <v>45101</v>
      </c>
      <c r="B1818" s="5">
        <f t="shared" si="435"/>
        <v>6</v>
      </c>
      <c r="C1818" s="5">
        <f t="shared" si="436"/>
        <v>2023</v>
      </c>
      <c r="D1818" s="88" t="s">
        <v>1650</v>
      </c>
      <c r="E1818" s="5" t="str">
        <f>VLOOKUP(F1818,'Set up'!$A$2:$C$70,2,FALSE)</f>
        <v>C00000014</v>
      </c>
      <c r="F1818" s="1" t="s">
        <v>262</v>
      </c>
      <c r="G1818" s="1" t="s">
        <v>865</v>
      </c>
      <c r="H1818" s="5">
        <v>4</v>
      </c>
      <c r="I1818" s="5" t="str">
        <f>VLOOKUP(F1818,'Set up'!$A$2:$C$70,3,FALSE)</f>
        <v>Cash</v>
      </c>
      <c r="J1818" s="5">
        <f>VLOOKUP(F1818,'Set up'!$A$2:$D$70,4,FALSE)</f>
        <v>0</v>
      </c>
      <c r="K1818" s="4">
        <f t="shared" si="437"/>
        <v>45101</v>
      </c>
      <c r="L1818" s="5">
        <f t="shared" si="438"/>
        <v>6</v>
      </c>
      <c r="M1818" s="5">
        <f t="shared" si="439"/>
        <v>2023</v>
      </c>
      <c r="N1818" s="6">
        <v>1032</v>
      </c>
      <c r="O1818" s="6">
        <f>-N1818</f>
        <v>-1032</v>
      </c>
      <c r="P1818" s="6">
        <f t="shared" si="433"/>
        <v>0</v>
      </c>
      <c r="Q1818" s="7">
        <f t="shared" si="440"/>
        <v>3282279.2500000014</v>
      </c>
      <c r="R1818" s="44" t="str">
        <f>VLOOKUP(F1818,'Set up'!$A$2:$E$70,5,FALSE)</f>
        <v>Cash</v>
      </c>
      <c r="S1818" s="1" t="s">
        <v>1680</v>
      </c>
    </row>
    <row r="1819" spans="1:19" ht="15" customHeight="1" x14ac:dyDescent="0.3">
      <c r="A1819" s="4">
        <v>45101</v>
      </c>
      <c r="B1819" s="5">
        <f t="shared" si="435"/>
        <v>6</v>
      </c>
      <c r="C1819" s="5">
        <f t="shared" si="436"/>
        <v>2023</v>
      </c>
      <c r="D1819" s="88" t="s">
        <v>1650</v>
      </c>
      <c r="E1819" s="5" t="str">
        <f>VLOOKUP(F1819,'Set up'!$A$2:$C$70,2,FALSE)</f>
        <v>C00000014</v>
      </c>
      <c r="F1819" s="1" t="s">
        <v>262</v>
      </c>
      <c r="G1819" s="1" t="s">
        <v>894</v>
      </c>
      <c r="H1819" s="5">
        <v>1</v>
      </c>
      <c r="I1819" s="5" t="str">
        <f>VLOOKUP(F1819,'Set up'!$A$2:$C$70,3,FALSE)</f>
        <v>Cash</v>
      </c>
      <c r="J1819" s="5">
        <f>VLOOKUP(F1819,'Set up'!$A$2:$D$70,4,FALSE)</f>
        <v>0</v>
      </c>
      <c r="K1819" s="4">
        <f t="shared" si="437"/>
        <v>45101</v>
      </c>
      <c r="L1819" s="5">
        <f t="shared" si="438"/>
        <v>6</v>
      </c>
      <c r="M1819" s="5">
        <f t="shared" si="439"/>
        <v>2023</v>
      </c>
      <c r="N1819" s="6">
        <v>160</v>
      </c>
      <c r="O1819" s="6">
        <f>-N1819</f>
        <v>-160</v>
      </c>
      <c r="P1819" s="6">
        <f t="shared" si="433"/>
        <v>0</v>
      </c>
      <c r="Q1819" s="7">
        <f t="shared" si="440"/>
        <v>3282439.2500000014</v>
      </c>
      <c r="R1819" s="44" t="str">
        <f>VLOOKUP(F1819,'Set up'!$A$2:$E$70,5,FALSE)</f>
        <v>Cash</v>
      </c>
      <c r="S1819" s="1" t="s">
        <v>1680</v>
      </c>
    </row>
    <row r="1820" spans="1:19" ht="15" customHeight="1" x14ac:dyDescent="0.3">
      <c r="A1820" s="4">
        <v>45101</v>
      </c>
      <c r="B1820" s="5">
        <f t="shared" si="435"/>
        <v>6</v>
      </c>
      <c r="C1820" s="5">
        <f t="shared" si="436"/>
        <v>2023</v>
      </c>
      <c r="D1820" s="88" t="s">
        <v>1651</v>
      </c>
      <c r="E1820" s="5" t="str">
        <f>VLOOKUP(F1820,'Set up'!$A$2:$C$70,2,FALSE)</f>
        <v>C00000019</v>
      </c>
      <c r="F1820" s="1" t="s">
        <v>400</v>
      </c>
      <c r="G1820" s="89" t="s">
        <v>719</v>
      </c>
      <c r="H1820" s="5">
        <v>2</v>
      </c>
      <c r="I1820" s="5" t="str">
        <f>VLOOKUP(F1820,'Set up'!$A$2:$C$70,3,FALSE)</f>
        <v>Cash</v>
      </c>
      <c r="J1820" s="5">
        <f>VLOOKUP(F1820,'Set up'!$A$2:$D$70,4,FALSE)</f>
        <v>0</v>
      </c>
      <c r="K1820" s="4">
        <f t="shared" si="437"/>
        <v>45101</v>
      </c>
      <c r="L1820" s="5">
        <f t="shared" si="438"/>
        <v>6</v>
      </c>
      <c r="M1820" s="5">
        <f t="shared" si="439"/>
        <v>2023</v>
      </c>
      <c r="N1820" s="6">
        <v>3652</v>
      </c>
      <c r="O1820" s="6">
        <f>-1988.1-1000-663.9</f>
        <v>-3652</v>
      </c>
      <c r="P1820" s="6">
        <f t="shared" si="433"/>
        <v>0</v>
      </c>
      <c r="Q1820" s="7">
        <f t="shared" si="440"/>
        <v>3286091.2500000014</v>
      </c>
      <c r="R1820" s="44" t="str">
        <f>VLOOKUP(F1820,'Set up'!$A$2:$E$70,5,FALSE)</f>
        <v>Trsf</v>
      </c>
      <c r="S1820" s="1" t="s">
        <v>2330</v>
      </c>
    </row>
    <row r="1821" spans="1:19" ht="15" customHeight="1" x14ac:dyDescent="0.3">
      <c r="A1821" s="4">
        <v>45101</v>
      </c>
      <c r="B1821" s="5">
        <f t="shared" si="435"/>
        <v>6</v>
      </c>
      <c r="C1821" s="5">
        <f t="shared" si="436"/>
        <v>2023</v>
      </c>
      <c r="D1821" s="88" t="s">
        <v>1651</v>
      </c>
      <c r="E1821" s="5" t="str">
        <f>VLOOKUP(F1821,'Set up'!$A$2:$C$70,2,FALSE)</f>
        <v>C00000019</v>
      </c>
      <c r="F1821" s="1" t="s">
        <v>400</v>
      </c>
      <c r="G1821" s="89" t="s">
        <v>1411</v>
      </c>
      <c r="H1821" s="5">
        <v>2</v>
      </c>
      <c r="I1821" s="5" t="str">
        <f>VLOOKUP(F1821,'Set up'!$A$2:$C$70,3,FALSE)</f>
        <v>Cash</v>
      </c>
      <c r="J1821" s="5">
        <f>VLOOKUP(F1821,'Set up'!$A$2:$D$70,4,FALSE)</f>
        <v>0</v>
      </c>
      <c r="K1821" s="4">
        <f t="shared" si="437"/>
        <v>45101</v>
      </c>
      <c r="L1821" s="5">
        <f t="shared" si="438"/>
        <v>6</v>
      </c>
      <c r="M1821" s="5">
        <f t="shared" si="439"/>
        <v>2023</v>
      </c>
      <c r="N1821" s="6">
        <v>842.4</v>
      </c>
      <c r="O1821" s="6">
        <f>-836.1-6.3</f>
        <v>-842.4</v>
      </c>
      <c r="P1821" s="6">
        <f t="shared" si="433"/>
        <v>0</v>
      </c>
      <c r="Q1821" s="7">
        <f t="shared" si="440"/>
        <v>3286933.6500000013</v>
      </c>
      <c r="R1821" s="44" t="str">
        <f>VLOOKUP(F1821,'Set up'!$A$2:$E$70,5,FALSE)</f>
        <v>Trsf</v>
      </c>
      <c r="S1821" s="1" t="s">
        <v>2331</v>
      </c>
    </row>
    <row r="1822" spans="1:19" ht="15" customHeight="1" x14ac:dyDescent="0.3">
      <c r="A1822" s="4">
        <v>45101</v>
      </c>
      <c r="B1822" s="5">
        <f t="shared" si="435"/>
        <v>6</v>
      </c>
      <c r="C1822" s="5">
        <f t="shared" si="436"/>
        <v>2023</v>
      </c>
      <c r="D1822" s="88" t="s">
        <v>1651</v>
      </c>
      <c r="E1822" s="5" t="str">
        <f>VLOOKUP(F1822,'Set up'!$A$2:$C$70,2,FALSE)</f>
        <v>C00000019</v>
      </c>
      <c r="F1822" s="1" t="s">
        <v>400</v>
      </c>
      <c r="G1822" s="89" t="s">
        <v>791</v>
      </c>
      <c r="H1822" s="5">
        <v>3</v>
      </c>
      <c r="I1822" s="5" t="str">
        <f>VLOOKUP(F1822,'Set up'!$A$2:$C$70,3,FALSE)</f>
        <v>Cash</v>
      </c>
      <c r="J1822" s="5">
        <f>VLOOKUP(F1822,'Set up'!$A$2:$D$70,4,FALSE)</f>
        <v>0</v>
      </c>
      <c r="K1822" s="4">
        <f t="shared" si="437"/>
        <v>45101</v>
      </c>
      <c r="L1822" s="5">
        <f t="shared" si="438"/>
        <v>6</v>
      </c>
      <c r="M1822" s="5">
        <f t="shared" si="439"/>
        <v>2023</v>
      </c>
      <c r="N1822" s="6">
        <v>187.5</v>
      </c>
      <c r="O1822" s="6">
        <f t="shared" ref="O1822" si="443">-N1822</f>
        <v>-187.5</v>
      </c>
      <c r="P1822" s="6">
        <f t="shared" si="433"/>
        <v>0</v>
      </c>
      <c r="Q1822" s="7">
        <f t="shared" si="440"/>
        <v>3287121.1500000013</v>
      </c>
      <c r="R1822" s="44" t="str">
        <f>VLOOKUP(F1822,'Set up'!$A$2:$E$70,5,FALSE)</f>
        <v>Trsf</v>
      </c>
      <c r="S1822" s="1" t="s">
        <v>2332</v>
      </c>
    </row>
    <row r="1823" spans="1:19" ht="15" customHeight="1" x14ac:dyDescent="0.3">
      <c r="A1823" s="4">
        <v>45101</v>
      </c>
      <c r="B1823" s="5">
        <f t="shared" si="435"/>
        <v>6</v>
      </c>
      <c r="C1823" s="5">
        <f t="shared" si="436"/>
        <v>2023</v>
      </c>
      <c r="D1823" s="88" t="s">
        <v>1651</v>
      </c>
      <c r="E1823" s="5" t="str">
        <f>VLOOKUP(F1823,'Set up'!$A$2:$C$70,2,FALSE)</f>
        <v>C00000019</v>
      </c>
      <c r="F1823" s="1" t="s">
        <v>400</v>
      </c>
      <c r="G1823" s="89" t="s">
        <v>1469</v>
      </c>
      <c r="H1823" s="5">
        <v>1</v>
      </c>
      <c r="I1823" s="5" t="str">
        <f>VLOOKUP(F1823,'Set up'!$A$2:$C$70,3,FALSE)</f>
        <v>Cash</v>
      </c>
      <c r="J1823" s="5">
        <f>VLOOKUP(F1823,'Set up'!$A$2:$D$70,4,FALSE)</f>
        <v>0</v>
      </c>
      <c r="K1823" s="4">
        <f t="shared" si="437"/>
        <v>45101</v>
      </c>
      <c r="L1823" s="5">
        <f t="shared" si="438"/>
        <v>6</v>
      </c>
      <c r="M1823" s="5">
        <f t="shared" si="439"/>
        <v>2023</v>
      </c>
      <c r="N1823" s="6">
        <v>390</v>
      </c>
      <c r="O1823" s="6">
        <f>-306.2-83.8</f>
        <v>-390</v>
      </c>
      <c r="P1823" s="6">
        <f t="shared" si="433"/>
        <v>0</v>
      </c>
      <c r="Q1823" s="7">
        <f t="shared" si="440"/>
        <v>3287511.1500000013</v>
      </c>
      <c r="R1823" s="44" t="str">
        <f>VLOOKUP(F1823,'Set up'!$A$2:$E$70,5,FALSE)</f>
        <v>Trsf</v>
      </c>
      <c r="S1823" s="1" t="s">
        <v>2333</v>
      </c>
    </row>
    <row r="1824" spans="1:19" ht="15" customHeight="1" x14ac:dyDescent="0.3">
      <c r="A1824" s="4">
        <v>45101</v>
      </c>
      <c r="B1824" s="5">
        <f t="shared" si="435"/>
        <v>6</v>
      </c>
      <c r="C1824" s="5">
        <f t="shared" si="436"/>
        <v>2023</v>
      </c>
      <c r="D1824" s="88" t="s">
        <v>1651</v>
      </c>
      <c r="E1824" s="5" t="str">
        <f>VLOOKUP(F1824,'Set up'!$A$2:$C$70,2,FALSE)</f>
        <v>C00000019</v>
      </c>
      <c r="F1824" s="1" t="s">
        <v>400</v>
      </c>
      <c r="G1824" s="89" t="s">
        <v>865</v>
      </c>
      <c r="H1824" s="5">
        <v>1</v>
      </c>
      <c r="I1824" s="5" t="str">
        <f>VLOOKUP(F1824,'Set up'!$A$2:$C$70,3,FALSE)</f>
        <v>Cash</v>
      </c>
      <c r="J1824" s="5">
        <f>VLOOKUP(F1824,'Set up'!$A$2:$D$70,4,FALSE)</f>
        <v>0</v>
      </c>
      <c r="K1824" s="4">
        <f t="shared" si="437"/>
        <v>45101</v>
      </c>
      <c r="L1824" s="5">
        <f t="shared" si="438"/>
        <v>6</v>
      </c>
      <c r="M1824" s="5">
        <f t="shared" si="439"/>
        <v>2023</v>
      </c>
      <c r="N1824" s="6">
        <v>258</v>
      </c>
      <c r="O1824" s="6">
        <f t="shared" ref="O1824" si="444">-N1824</f>
        <v>-258</v>
      </c>
      <c r="P1824" s="6">
        <f t="shared" si="433"/>
        <v>0</v>
      </c>
      <c r="Q1824" s="7">
        <f t="shared" si="440"/>
        <v>3287769.1500000013</v>
      </c>
      <c r="R1824" s="44" t="str">
        <f>VLOOKUP(F1824,'Set up'!$A$2:$E$70,5,FALSE)</f>
        <v>Trsf</v>
      </c>
      <c r="S1824" s="1" t="s">
        <v>2334</v>
      </c>
    </row>
    <row r="1825" spans="1:19" ht="15" customHeight="1" x14ac:dyDescent="0.3">
      <c r="A1825" s="4">
        <v>45103</v>
      </c>
      <c r="B1825" s="5">
        <f t="shared" si="435"/>
        <v>6</v>
      </c>
      <c r="C1825" s="5">
        <f t="shared" si="436"/>
        <v>2023</v>
      </c>
      <c r="D1825" s="88" t="s">
        <v>1652</v>
      </c>
      <c r="E1825" s="5" t="str">
        <f>VLOOKUP(F1825,'Set up'!$A$2:$C$70,2,FALSE)</f>
        <v>C00000013a</v>
      </c>
      <c r="F1825" s="1" t="s">
        <v>1453</v>
      </c>
      <c r="G1825" s="95" t="s">
        <v>1653</v>
      </c>
      <c r="H1825" s="5">
        <v>1</v>
      </c>
      <c r="I1825" s="5" t="str">
        <f>VLOOKUP(F1825,'Set up'!$A$2:$C$70,3,FALSE)</f>
        <v>Cash</v>
      </c>
      <c r="J1825" s="5">
        <f>VLOOKUP(F1825,'Set up'!$A$2:$D$70,4,FALSE)</f>
        <v>0</v>
      </c>
      <c r="K1825" s="4">
        <f t="shared" si="437"/>
        <v>45103</v>
      </c>
      <c r="L1825" s="5">
        <f t="shared" si="438"/>
        <v>6</v>
      </c>
      <c r="M1825" s="5">
        <f t="shared" si="439"/>
        <v>2023</v>
      </c>
      <c r="N1825" s="6">
        <v>1958</v>
      </c>
      <c r="O1825" s="6">
        <f t="shared" ref="O1825:O1833" si="445">-N1825</f>
        <v>-1958</v>
      </c>
      <c r="P1825" s="6">
        <f t="shared" si="433"/>
        <v>0</v>
      </c>
      <c r="Q1825" s="7">
        <f t="shared" si="440"/>
        <v>3289727.1500000013</v>
      </c>
      <c r="R1825" s="44" t="str">
        <f>VLOOKUP(F1825,'Set up'!$A$2:$E$70,5,FALSE)</f>
        <v>Chq</v>
      </c>
      <c r="S1825" s="1" t="s">
        <v>1689</v>
      </c>
    </row>
    <row r="1826" spans="1:19" ht="15" customHeight="1" x14ac:dyDescent="0.3">
      <c r="A1826" s="4">
        <v>45103</v>
      </c>
      <c r="B1826" s="5">
        <f t="shared" si="435"/>
        <v>6</v>
      </c>
      <c r="C1826" s="5">
        <f t="shared" si="436"/>
        <v>2023</v>
      </c>
      <c r="D1826" s="88" t="s">
        <v>1652</v>
      </c>
      <c r="E1826" s="5" t="str">
        <f>VLOOKUP(F1826,'Set up'!$A$2:$C$70,2,FALSE)</f>
        <v>C00000013a</v>
      </c>
      <c r="F1826" s="1" t="s">
        <v>1453</v>
      </c>
      <c r="G1826" s="90" t="s">
        <v>1060</v>
      </c>
      <c r="H1826" s="5">
        <v>1</v>
      </c>
      <c r="I1826" s="5" t="str">
        <f>VLOOKUP(F1826,'Set up'!$A$2:$C$70,3,FALSE)</f>
        <v>Cash</v>
      </c>
      <c r="J1826" s="5">
        <f>VLOOKUP(F1826,'Set up'!$A$2:$D$70,4,FALSE)</f>
        <v>0</v>
      </c>
      <c r="K1826" s="4">
        <f t="shared" si="437"/>
        <v>45103</v>
      </c>
      <c r="L1826" s="5">
        <f t="shared" si="438"/>
        <v>6</v>
      </c>
      <c r="M1826" s="5">
        <f t="shared" si="439"/>
        <v>2023</v>
      </c>
      <c r="N1826" s="6">
        <v>237</v>
      </c>
      <c r="O1826" s="6">
        <f t="shared" si="445"/>
        <v>-237</v>
      </c>
      <c r="P1826" s="6">
        <f t="shared" ref="P1826:P1836" si="446">SUM(N1826+O1826)</f>
        <v>0</v>
      </c>
      <c r="Q1826" s="7">
        <f t="shared" si="440"/>
        <v>3289964.1500000013</v>
      </c>
      <c r="R1826" s="44" t="str">
        <f>VLOOKUP(F1826,'Set up'!$A$2:$E$70,5,FALSE)</f>
        <v>Chq</v>
      </c>
      <c r="S1826" s="1" t="s">
        <v>1689</v>
      </c>
    </row>
    <row r="1827" spans="1:19" ht="15" customHeight="1" x14ac:dyDescent="0.3">
      <c r="A1827" s="4">
        <v>45103</v>
      </c>
      <c r="B1827" s="5">
        <f t="shared" si="435"/>
        <v>6</v>
      </c>
      <c r="C1827" s="5">
        <f t="shared" si="436"/>
        <v>2023</v>
      </c>
      <c r="D1827" s="88" t="s">
        <v>1652</v>
      </c>
      <c r="E1827" s="5" t="str">
        <f>VLOOKUP(F1827,'Set up'!$A$2:$C$70,2,FALSE)</f>
        <v>C00000013a</v>
      </c>
      <c r="F1827" s="1" t="s">
        <v>1453</v>
      </c>
      <c r="G1827" s="90" t="s">
        <v>1654</v>
      </c>
      <c r="H1827" s="5">
        <v>1</v>
      </c>
      <c r="I1827" s="5" t="str">
        <f>VLOOKUP(F1827,'Set up'!$A$2:$C$70,3,FALSE)</f>
        <v>Cash</v>
      </c>
      <c r="J1827" s="5">
        <f>VLOOKUP(F1827,'Set up'!$A$2:$D$70,4,FALSE)</f>
        <v>0</v>
      </c>
      <c r="K1827" s="4">
        <f t="shared" si="437"/>
        <v>45103</v>
      </c>
      <c r="L1827" s="5">
        <f t="shared" si="438"/>
        <v>6</v>
      </c>
      <c r="M1827" s="5">
        <f t="shared" si="439"/>
        <v>2023</v>
      </c>
      <c r="N1827" s="6">
        <v>258</v>
      </c>
      <c r="O1827" s="6">
        <f t="shared" si="445"/>
        <v>-258</v>
      </c>
      <c r="P1827" s="6">
        <f t="shared" si="446"/>
        <v>0</v>
      </c>
      <c r="Q1827" s="7">
        <f t="shared" si="440"/>
        <v>3290222.1500000013</v>
      </c>
      <c r="R1827" s="44" t="str">
        <f>VLOOKUP(F1827,'Set up'!$A$2:$E$70,5,FALSE)</f>
        <v>Chq</v>
      </c>
      <c r="S1827" s="1" t="s">
        <v>1689</v>
      </c>
    </row>
    <row r="1828" spans="1:19" ht="15" customHeight="1" x14ac:dyDescent="0.3">
      <c r="A1828" s="4">
        <v>45103</v>
      </c>
      <c r="B1828" s="5">
        <f t="shared" si="435"/>
        <v>6</v>
      </c>
      <c r="C1828" s="5">
        <f t="shared" si="436"/>
        <v>2023</v>
      </c>
      <c r="D1828" s="88" t="s">
        <v>1652</v>
      </c>
      <c r="E1828" s="5" t="str">
        <f>VLOOKUP(F1828,'Set up'!$A$2:$C$70,2,FALSE)</f>
        <v>C00000013a</v>
      </c>
      <c r="F1828" s="1" t="s">
        <v>1453</v>
      </c>
      <c r="G1828" s="90" t="s">
        <v>1655</v>
      </c>
      <c r="H1828" s="5">
        <v>5</v>
      </c>
      <c r="I1828" s="5" t="str">
        <f>VLOOKUP(F1828,'Set up'!$A$2:$C$70,3,FALSE)</f>
        <v>Cash</v>
      </c>
      <c r="J1828" s="5">
        <f>VLOOKUP(F1828,'Set up'!$A$2:$D$70,4,FALSE)</f>
        <v>0</v>
      </c>
      <c r="K1828" s="4">
        <f t="shared" si="437"/>
        <v>45103</v>
      </c>
      <c r="L1828" s="5">
        <f t="shared" si="438"/>
        <v>6</v>
      </c>
      <c r="M1828" s="5">
        <f t="shared" si="439"/>
        <v>2023</v>
      </c>
      <c r="N1828" s="6">
        <v>30</v>
      </c>
      <c r="O1828" s="6">
        <f t="shared" si="445"/>
        <v>-30</v>
      </c>
      <c r="P1828" s="6">
        <f t="shared" si="446"/>
        <v>0</v>
      </c>
      <c r="Q1828" s="7">
        <f t="shared" si="440"/>
        <v>3290252.1500000013</v>
      </c>
      <c r="R1828" s="44" t="str">
        <f>VLOOKUP(F1828,'Set up'!$A$2:$E$70,5,FALSE)</f>
        <v>Chq</v>
      </c>
      <c r="S1828" s="1" t="s">
        <v>1689</v>
      </c>
    </row>
    <row r="1829" spans="1:19" ht="15" customHeight="1" x14ac:dyDescent="0.3">
      <c r="A1829" s="4">
        <v>45103</v>
      </c>
      <c r="B1829" s="5">
        <f t="shared" si="435"/>
        <v>6</v>
      </c>
      <c r="C1829" s="5">
        <f t="shared" si="436"/>
        <v>2023</v>
      </c>
      <c r="D1829" s="88" t="s">
        <v>1652</v>
      </c>
      <c r="E1829" s="5" t="str">
        <f>VLOOKUP(F1829,'Set up'!$A$2:$C$70,2,FALSE)</f>
        <v>C00000013a</v>
      </c>
      <c r="F1829" s="1" t="s">
        <v>1453</v>
      </c>
      <c r="G1829" s="90" t="s">
        <v>1656</v>
      </c>
      <c r="H1829" s="5">
        <v>5</v>
      </c>
      <c r="I1829" s="5" t="str">
        <f>VLOOKUP(F1829,'Set up'!$A$2:$C$70,3,FALSE)</f>
        <v>Cash</v>
      </c>
      <c r="J1829" s="5">
        <f>VLOOKUP(F1829,'Set up'!$A$2:$D$70,4,FALSE)</f>
        <v>0</v>
      </c>
      <c r="K1829" s="4">
        <f t="shared" si="437"/>
        <v>45103</v>
      </c>
      <c r="L1829" s="5">
        <f t="shared" si="438"/>
        <v>6</v>
      </c>
      <c r="M1829" s="5">
        <f t="shared" si="439"/>
        <v>2023</v>
      </c>
      <c r="N1829" s="6">
        <v>27.5</v>
      </c>
      <c r="O1829" s="6">
        <f t="shared" si="445"/>
        <v>-27.5</v>
      </c>
      <c r="P1829" s="6">
        <f t="shared" si="446"/>
        <v>0</v>
      </c>
      <c r="Q1829" s="7">
        <f t="shared" si="440"/>
        <v>3290279.6500000013</v>
      </c>
      <c r="R1829" s="44" t="str">
        <f>VLOOKUP(F1829,'Set up'!$A$2:$E$70,5,FALSE)</f>
        <v>Chq</v>
      </c>
      <c r="S1829" s="1" t="s">
        <v>1689</v>
      </c>
    </row>
    <row r="1830" spans="1:19" ht="15" customHeight="1" x14ac:dyDescent="0.3">
      <c r="A1830" s="4">
        <v>45103</v>
      </c>
      <c r="B1830" s="5">
        <f t="shared" si="435"/>
        <v>6</v>
      </c>
      <c r="C1830" s="5">
        <f t="shared" si="436"/>
        <v>2023</v>
      </c>
      <c r="D1830" s="88" t="s">
        <v>1652</v>
      </c>
      <c r="E1830" s="5" t="str">
        <f>VLOOKUP(F1830,'Set up'!$A$2:$C$70,2,FALSE)</f>
        <v>C00000013a</v>
      </c>
      <c r="F1830" s="1" t="s">
        <v>1453</v>
      </c>
      <c r="G1830" s="90" t="s">
        <v>1118</v>
      </c>
      <c r="H1830" s="5">
        <v>1</v>
      </c>
      <c r="I1830" s="5" t="str">
        <f>VLOOKUP(F1830,'Set up'!$A$2:$C$70,3,FALSE)</f>
        <v>Cash</v>
      </c>
      <c r="J1830" s="5">
        <f>VLOOKUP(F1830,'Set up'!$A$2:$D$70,4,FALSE)</f>
        <v>0</v>
      </c>
      <c r="K1830" s="4">
        <f t="shared" si="437"/>
        <v>45103</v>
      </c>
      <c r="L1830" s="5">
        <f t="shared" si="438"/>
        <v>6</v>
      </c>
      <c r="M1830" s="5">
        <f t="shared" si="439"/>
        <v>2023</v>
      </c>
      <c r="N1830" s="6">
        <v>50</v>
      </c>
      <c r="O1830" s="6">
        <f t="shared" si="445"/>
        <v>-50</v>
      </c>
      <c r="P1830" s="6">
        <f t="shared" si="446"/>
        <v>0</v>
      </c>
      <c r="Q1830" s="7">
        <f t="shared" si="440"/>
        <v>3290329.6500000013</v>
      </c>
      <c r="R1830" s="44" t="str">
        <f>VLOOKUP(F1830,'Set up'!$A$2:$E$70,5,FALSE)</f>
        <v>Chq</v>
      </c>
      <c r="S1830" s="1" t="s">
        <v>1689</v>
      </c>
    </row>
    <row r="1831" spans="1:19" ht="15" customHeight="1" x14ac:dyDescent="0.3">
      <c r="A1831" s="4">
        <v>45103</v>
      </c>
      <c r="B1831" s="5">
        <f t="shared" si="435"/>
        <v>6</v>
      </c>
      <c r="C1831" s="5">
        <f t="shared" si="436"/>
        <v>2023</v>
      </c>
      <c r="D1831" s="88" t="s">
        <v>1652</v>
      </c>
      <c r="E1831" s="5" t="str">
        <f>VLOOKUP(F1831,'Set up'!$A$2:$C$70,2,FALSE)</f>
        <v>C00000013a</v>
      </c>
      <c r="F1831" s="1" t="s">
        <v>1453</v>
      </c>
      <c r="G1831" s="108" t="s">
        <v>1657</v>
      </c>
      <c r="H1831" s="5">
        <v>1</v>
      </c>
      <c r="I1831" s="5" t="str">
        <f>VLOOKUP(F1831,'Set up'!$A$2:$C$70,3,FALSE)</f>
        <v>Cash</v>
      </c>
      <c r="J1831" s="5">
        <f>VLOOKUP(F1831,'Set up'!$A$2:$D$70,4,FALSE)</f>
        <v>0</v>
      </c>
      <c r="K1831" s="4">
        <f t="shared" si="437"/>
        <v>45103</v>
      </c>
      <c r="L1831" s="5">
        <f t="shared" si="438"/>
        <v>6</v>
      </c>
      <c r="M1831" s="5">
        <f t="shared" si="439"/>
        <v>2023</v>
      </c>
      <c r="N1831" s="6">
        <v>70</v>
      </c>
      <c r="O1831" s="6">
        <f t="shared" si="445"/>
        <v>-70</v>
      </c>
      <c r="P1831" s="6">
        <f t="shared" si="446"/>
        <v>0</v>
      </c>
      <c r="Q1831" s="7">
        <f t="shared" si="440"/>
        <v>3290399.6500000013</v>
      </c>
      <c r="R1831" s="44" t="str">
        <f>VLOOKUP(F1831,'Set up'!$A$2:$E$70,5,FALSE)</f>
        <v>Chq</v>
      </c>
      <c r="S1831" s="1" t="s">
        <v>1689</v>
      </c>
    </row>
    <row r="1832" spans="1:19" ht="15" customHeight="1" x14ac:dyDescent="0.3">
      <c r="A1832" s="4">
        <v>45103</v>
      </c>
      <c r="B1832" s="5">
        <f t="shared" si="435"/>
        <v>6</v>
      </c>
      <c r="C1832" s="5">
        <f t="shared" si="436"/>
        <v>2023</v>
      </c>
      <c r="D1832" s="88" t="s">
        <v>1652</v>
      </c>
      <c r="E1832" s="5" t="str">
        <f>VLOOKUP(F1832,'Set up'!$A$2:$C$70,2,FALSE)</f>
        <v>C00000013a</v>
      </c>
      <c r="F1832" s="1" t="s">
        <v>1453</v>
      </c>
      <c r="G1832" s="99" t="s">
        <v>1658</v>
      </c>
      <c r="H1832" s="5">
        <v>1</v>
      </c>
      <c r="I1832" s="5" t="str">
        <f>VLOOKUP(F1832,'Set up'!$A$2:$C$70,3,FALSE)</f>
        <v>Cash</v>
      </c>
      <c r="J1832" s="5">
        <f>VLOOKUP(F1832,'Set up'!$A$2:$D$70,4,FALSE)</f>
        <v>0</v>
      </c>
      <c r="K1832" s="4">
        <f t="shared" si="437"/>
        <v>45103</v>
      </c>
      <c r="L1832" s="5">
        <f t="shared" si="438"/>
        <v>6</v>
      </c>
      <c r="M1832" s="5">
        <f t="shared" si="439"/>
        <v>2023</v>
      </c>
      <c r="N1832" s="6">
        <v>74</v>
      </c>
      <c r="O1832" s="6">
        <f t="shared" si="445"/>
        <v>-74</v>
      </c>
      <c r="P1832" s="6">
        <f t="shared" si="446"/>
        <v>0</v>
      </c>
      <c r="Q1832" s="7">
        <f t="shared" si="440"/>
        <v>3290473.6500000013</v>
      </c>
      <c r="R1832" s="44" t="str">
        <f>VLOOKUP(F1832,'Set up'!$A$2:$E$70,5,FALSE)</f>
        <v>Chq</v>
      </c>
      <c r="S1832" s="1" t="s">
        <v>1689</v>
      </c>
    </row>
    <row r="1833" spans="1:19" ht="15" customHeight="1" x14ac:dyDescent="0.3">
      <c r="A1833" s="4">
        <v>45103</v>
      </c>
      <c r="B1833" s="5">
        <f t="shared" si="435"/>
        <v>6</v>
      </c>
      <c r="C1833" s="5">
        <f t="shared" si="436"/>
        <v>2023</v>
      </c>
      <c r="D1833" s="88" t="s">
        <v>1652</v>
      </c>
      <c r="E1833" s="5" t="str">
        <f>VLOOKUP(F1833,'Set up'!$A$2:$C$70,2,FALSE)</f>
        <v>C00000013a</v>
      </c>
      <c r="F1833" s="1" t="s">
        <v>1453</v>
      </c>
      <c r="G1833" s="99" t="s">
        <v>1659</v>
      </c>
      <c r="H1833" s="5">
        <v>1</v>
      </c>
      <c r="I1833" s="5" t="str">
        <f>VLOOKUP(F1833,'Set up'!$A$2:$C$70,3,FALSE)</f>
        <v>Cash</v>
      </c>
      <c r="J1833" s="5">
        <f>VLOOKUP(F1833,'Set up'!$A$2:$D$70,4,FALSE)</f>
        <v>0</v>
      </c>
      <c r="K1833" s="4">
        <f t="shared" si="437"/>
        <v>45103</v>
      </c>
      <c r="L1833" s="5">
        <f t="shared" si="438"/>
        <v>6</v>
      </c>
      <c r="M1833" s="5">
        <f t="shared" si="439"/>
        <v>2023</v>
      </c>
      <c r="N1833" s="6">
        <v>116</v>
      </c>
      <c r="O1833" s="6">
        <f t="shared" si="445"/>
        <v>-116</v>
      </c>
      <c r="P1833" s="6">
        <f t="shared" si="446"/>
        <v>0</v>
      </c>
      <c r="Q1833" s="7">
        <f t="shared" si="440"/>
        <v>3290589.6500000013</v>
      </c>
      <c r="R1833" s="44" t="str">
        <f>VLOOKUP(F1833,'Set up'!$A$2:$E$70,5,FALSE)</f>
        <v>Chq</v>
      </c>
      <c r="S1833" s="1" t="s">
        <v>1689</v>
      </c>
    </row>
    <row r="1834" spans="1:19" ht="15" customHeight="1" x14ac:dyDescent="0.3">
      <c r="A1834" s="4" t="s">
        <v>1663</v>
      </c>
      <c r="B1834" s="5">
        <f t="shared" si="435"/>
        <v>6</v>
      </c>
      <c r="C1834" s="5">
        <f t="shared" si="436"/>
        <v>2023</v>
      </c>
      <c r="D1834" s="88" t="s">
        <v>1662</v>
      </c>
      <c r="E1834" s="5" t="str">
        <f>VLOOKUP(F1834,'Set up'!$A$2:$C$70,2,FALSE)</f>
        <v>C00000034</v>
      </c>
      <c r="F1834" s="1" t="s">
        <v>1196</v>
      </c>
      <c r="G1834" s="89" t="s">
        <v>1356</v>
      </c>
      <c r="H1834" s="5">
        <v>2</v>
      </c>
      <c r="I1834" s="5" t="str">
        <f>VLOOKUP(F1834,'Set up'!$A$2:$C$70,3,FALSE)</f>
        <v>Cash</v>
      </c>
      <c r="J1834" s="5">
        <f>VLOOKUP(F1834,'Set up'!$A$2:$D$70,4,FALSE)</f>
        <v>0</v>
      </c>
      <c r="K1834" s="4">
        <f t="shared" si="437"/>
        <v>45104</v>
      </c>
      <c r="L1834" s="5">
        <f t="shared" si="438"/>
        <v>6</v>
      </c>
      <c r="M1834" s="5">
        <f t="shared" si="439"/>
        <v>2023</v>
      </c>
      <c r="N1834" s="6">
        <v>3740</v>
      </c>
      <c r="O1834" s="6">
        <f>-3000-740</f>
        <v>-3740</v>
      </c>
      <c r="P1834" s="6">
        <f t="shared" si="446"/>
        <v>0</v>
      </c>
      <c r="Q1834" s="7">
        <f t="shared" si="440"/>
        <v>3294329.6500000013</v>
      </c>
      <c r="R1834" s="44" t="str">
        <f>VLOOKUP(F1834,'Set up'!$A$2:$E$70,5,FALSE)</f>
        <v>Trsf</v>
      </c>
      <c r="S1834" s="1" t="s">
        <v>1748</v>
      </c>
    </row>
    <row r="1835" spans="1:19" ht="15" customHeight="1" x14ac:dyDescent="0.3">
      <c r="A1835" s="4" t="s">
        <v>1663</v>
      </c>
      <c r="B1835" s="5">
        <f t="shared" si="435"/>
        <v>6</v>
      </c>
      <c r="C1835" s="5">
        <f t="shared" si="436"/>
        <v>2023</v>
      </c>
      <c r="D1835" s="88" t="s">
        <v>1662</v>
      </c>
      <c r="E1835" s="5" t="str">
        <f>VLOOKUP(F1835,'Set up'!$A$2:$C$70,2,FALSE)</f>
        <v>C00000034</v>
      </c>
      <c r="F1835" s="1" t="s">
        <v>1196</v>
      </c>
      <c r="G1835" s="89" t="s">
        <v>1352</v>
      </c>
      <c r="H1835" s="5">
        <v>2</v>
      </c>
      <c r="I1835" s="5" t="str">
        <f>VLOOKUP(F1835,'Set up'!$A$2:$C$70,3,FALSE)</f>
        <v>Cash</v>
      </c>
      <c r="J1835" s="5">
        <f>VLOOKUP(F1835,'Set up'!$A$2:$D$70,4,FALSE)</f>
        <v>0</v>
      </c>
      <c r="K1835" s="4">
        <f t="shared" si="437"/>
        <v>45104</v>
      </c>
      <c r="L1835" s="5">
        <f t="shared" si="438"/>
        <v>6</v>
      </c>
      <c r="M1835" s="5">
        <f t="shared" si="439"/>
        <v>2023</v>
      </c>
      <c r="N1835" s="6">
        <v>450</v>
      </c>
      <c r="O1835" s="6">
        <f>-393.5-56.5</f>
        <v>-450</v>
      </c>
      <c r="P1835" s="6">
        <f t="shared" si="446"/>
        <v>0</v>
      </c>
      <c r="Q1835" s="7">
        <f t="shared" si="440"/>
        <v>3294779.6500000013</v>
      </c>
      <c r="R1835" s="44" t="str">
        <f>VLOOKUP(F1835,'Set up'!$A$2:$E$70,5,FALSE)</f>
        <v>Trsf</v>
      </c>
      <c r="S1835" s="118" t="s">
        <v>1749</v>
      </c>
    </row>
    <row r="1836" spans="1:19" ht="15" customHeight="1" x14ac:dyDescent="0.3">
      <c r="A1836" s="4" t="s">
        <v>1663</v>
      </c>
      <c r="B1836" s="5">
        <f t="shared" si="435"/>
        <v>6</v>
      </c>
      <c r="C1836" s="5">
        <f t="shared" si="436"/>
        <v>2023</v>
      </c>
      <c r="D1836" s="88" t="s">
        <v>1662</v>
      </c>
      <c r="E1836" s="5" t="str">
        <f>VLOOKUP(F1836,'Set up'!$A$2:$C$70,2,FALSE)</f>
        <v>C00000034</v>
      </c>
      <c r="F1836" s="1" t="s">
        <v>1196</v>
      </c>
      <c r="G1836" s="89" t="s">
        <v>1431</v>
      </c>
      <c r="H1836" s="5">
        <v>1</v>
      </c>
      <c r="I1836" s="5" t="str">
        <f>VLOOKUP(F1836,'Set up'!$A$2:$C$70,3,FALSE)</f>
        <v>Cash</v>
      </c>
      <c r="J1836" s="5">
        <f>VLOOKUP(F1836,'Set up'!$A$2:$D$70,4,FALSE)</f>
        <v>0</v>
      </c>
      <c r="K1836" s="4">
        <f t="shared" si="437"/>
        <v>45104</v>
      </c>
      <c r="L1836" s="5">
        <f t="shared" si="438"/>
        <v>6</v>
      </c>
      <c r="M1836" s="5">
        <f t="shared" si="439"/>
        <v>2023</v>
      </c>
      <c r="N1836" s="6">
        <v>225</v>
      </c>
      <c r="O1836" s="6">
        <f t="shared" ref="O1836:O1844" si="447">-N1836</f>
        <v>-225</v>
      </c>
      <c r="P1836" s="6">
        <f t="shared" si="446"/>
        <v>0</v>
      </c>
      <c r="Q1836" s="7">
        <f t="shared" si="440"/>
        <v>3295004.6500000013</v>
      </c>
      <c r="R1836" s="44" t="str">
        <f>VLOOKUP(F1836,'Set up'!$A$2:$E$70,5,FALSE)</f>
        <v>Trsf</v>
      </c>
      <c r="S1836" s="1" t="s">
        <v>1750</v>
      </c>
    </row>
    <row r="1837" spans="1:19" ht="15" customHeight="1" x14ac:dyDescent="0.3">
      <c r="A1837" s="4" t="s">
        <v>1663</v>
      </c>
      <c r="B1837" s="5">
        <f t="shared" si="435"/>
        <v>6</v>
      </c>
      <c r="C1837" s="5">
        <f t="shared" si="436"/>
        <v>2023</v>
      </c>
      <c r="D1837" s="88" t="s">
        <v>1662</v>
      </c>
      <c r="E1837" s="5" t="str">
        <f>VLOOKUP(F1837,'Set up'!$A$2:$C$70,2,FALSE)</f>
        <v>C00000034</v>
      </c>
      <c r="F1837" s="1" t="s">
        <v>1196</v>
      </c>
      <c r="G1837" s="89" t="s">
        <v>1624</v>
      </c>
      <c r="H1837" s="5">
        <v>1</v>
      </c>
      <c r="I1837" s="5" t="str">
        <f>VLOOKUP(F1837,'Set up'!$A$2:$C$70,3,FALSE)</f>
        <v>Cash</v>
      </c>
      <c r="J1837" s="5">
        <f>VLOOKUP(F1837,'Set up'!$A$2:$D$70,4,FALSE)</f>
        <v>0</v>
      </c>
      <c r="K1837" s="4">
        <f t="shared" si="437"/>
        <v>45104</v>
      </c>
      <c r="L1837" s="5">
        <f t="shared" si="438"/>
        <v>6</v>
      </c>
      <c r="M1837" s="5">
        <f t="shared" si="439"/>
        <v>2023</v>
      </c>
      <c r="N1837" s="6">
        <v>236</v>
      </c>
      <c r="O1837" s="6">
        <f t="shared" si="447"/>
        <v>-236</v>
      </c>
      <c r="P1837" s="6">
        <f t="shared" ref="P1837:P1844" si="448">SUM(N1837+O1837)</f>
        <v>0</v>
      </c>
      <c r="Q1837" s="7">
        <f t="shared" si="440"/>
        <v>3295240.6500000013</v>
      </c>
      <c r="R1837" s="44" t="str">
        <f>VLOOKUP(F1837,'Set up'!$A$2:$E$70,5,FALSE)</f>
        <v>Trsf</v>
      </c>
      <c r="S1837" s="1" t="s">
        <v>1751</v>
      </c>
    </row>
    <row r="1838" spans="1:19" ht="15" customHeight="1" x14ac:dyDescent="0.3">
      <c r="A1838" s="4" t="s">
        <v>1663</v>
      </c>
      <c r="B1838" s="5">
        <f t="shared" si="435"/>
        <v>6</v>
      </c>
      <c r="C1838" s="5">
        <f t="shared" si="436"/>
        <v>2023</v>
      </c>
      <c r="D1838" s="88" t="s">
        <v>1662</v>
      </c>
      <c r="E1838" s="5" t="str">
        <f>VLOOKUP(F1838,'Set up'!$A$2:$C$70,2,FALSE)</f>
        <v>C00000034</v>
      </c>
      <c r="F1838" s="1" t="s">
        <v>1196</v>
      </c>
      <c r="G1838" s="89" t="s">
        <v>1061</v>
      </c>
      <c r="H1838" s="5">
        <v>1</v>
      </c>
      <c r="I1838" s="5" t="str">
        <f>VLOOKUP(F1838,'Set up'!$A$2:$C$70,3,FALSE)</f>
        <v>Cash</v>
      </c>
      <c r="J1838" s="5">
        <f>VLOOKUP(F1838,'Set up'!$A$2:$D$70,4,FALSE)</f>
        <v>0</v>
      </c>
      <c r="K1838" s="4">
        <f t="shared" si="437"/>
        <v>45104</v>
      </c>
      <c r="L1838" s="5">
        <f t="shared" si="438"/>
        <v>6</v>
      </c>
      <c r="M1838" s="5">
        <f t="shared" si="439"/>
        <v>2023</v>
      </c>
      <c r="N1838" s="6">
        <v>95</v>
      </c>
      <c r="O1838" s="6">
        <f t="shared" si="447"/>
        <v>-95</v>
      </c>
      <c r="P1838" s="6">
        <f t="shared" si="448"/>
        <v>0</v>
      </c>
      <c r="Q1838" s="7">
        <f t="shared" si="440"/>
        <v>3295335.6500000013</v>
      </c>
      <c r="R1838" s="44" t="str">
        <f>VLOOKUP(F1838,'Set up'!$A$2:$E$70,5,FALSE)</f>
        <v>Trsf</v>
      </c>
      <c r="S1838" s="1" t="s">
        <v>1752</v>
      </c>
    </row>
    <row r="1839" spans="1:19" ht="15" customHeight="1" x14ac:dyDescent="0.3">
      <c r="A1839" s="4" t="s">
        <v>1663</v>
      </c>
      <c r="B1839" s="5">
        <f t="shared" si="435"/>
        <v>6</v>
      </c>
      <c r="C1839" s="5">
        <f t="shared" si="436"/>
        <v>2023</v>
      </c>
      <c r="D1839" s="88" t="s">
        <v>1662</v>
      </c>
      <c r="E1839" s="5" t="str">
        <f>VLOOKUP(F1839,'Set up'!$A$2:$C$70,2,FALSE)</f>
        <v>C00000034</v>
      </c>
      <c r="F1839" s="1" t="s">
        <v>1196</v>
      </c>
      <c r="G1839" s="89" t="s">
        <v>1110</v>
      </c>
      <c r="H1839" s="5">
        <v>1</v>
      </c>
      <c r="I1839" s="5" t="str">
        <f>VLOOKUP(F1839,'Set up'!$A$2:$C$70,3,FALSE)</f>
        <v>Cash</v>
      </c>
      <c r="J1839" s="5">
        <f>VLOOKUP(F1839,'Set up'!$A$2:$D$70,4,FALSE)</f>
        <v>0</v>
      </c>
      <c r="K1839" s="4">
        <f t="shared" si="437"/>
        <v>45104</v>
      </c>
      <c r="L1839" s="5">
        <f t="shared" si="438"/>
        <v>6</v>
      </c>
      <c r="M1839" s="5">
        <f t="shared" si="439"/>
        <v>2023</v>
      </c>
      <c r="N1839" s="6">
        <v>62.5</v>
      </c>
      <c r="O1839" s="6">
        <f t="shared" si="447"/>
        <v>-62.5</v>
      </c>
      <c r="P1839" s="6">
        <f t="shared" si="448"/>
        <v>0</v>
      </c>
      <c r="Q1839" s="7">
        <f t="shared" si="440"/>
        <v>3295398.1500000013</v>
      </c>
      <c r="R1839" s="44" t="str">
        <f>VLOOKUP(F1839,'Set up'!$A$2:$E$70,5,FALSE)</f>
        <v>Trsf</v>
      </c>
      <c r="S1839" s="1" t="s">
        <v>1753</v>
      </c>
    </row>
    <row r="1840" spans="1:19" ht="15" customHeight="1" x14ac:dyDescent="0.3">
      <c r="A1840" s="4" t="s">
        <v>1663</v>
      </c>
      <c r="B1840" s="5">
        <f t="shared" si="435"/>
        <v>6</v>
      </c>
      <c r="C1840" s="5">
        <f t="shared" si="436"/>
        <v>2023</v>
      </c>
      <c r="D1840" s="88" t="s">
        <v>1662</v>
      </c>
      <c r="E1840" s="5" t="str">
        <f>VLOOKUP(F1840,'Set up'!$A$2:$C$70,2,FALSE)</f>
        <v>C00000034</v>
      </c>
      <c r="F1840" s="1" t="s">
        <v>1196</v>
      </c>
      <c r="G1840" s="89" t="s">
        <v>1660</v>
      </c>
      <c r="H1840" s="5">
        <v>1</v>
      </c>
      <c r="I1840" s="5" t="str">
        <f>VLOOKUP(F1840,'Set up'!$A$2:$C$70,3,FALSE)</f>
        <v>Cash</v>
      </c>
      <c r="J1840" s="5">
        <f>VLOOKUP(F1840,'Set up'!$A$2:$D$70,4,FALSE)</f>
        <v>0</v>
      </c>
      <c r="K1840" s="4">
        <f t="shared" si="437"/>
        <v>45104</v>
      </c>
      <c r="L1840" s="5">
        <f t="shared" si="438"/>
        <v>6</v>
      </c>
      <c r="M1840" s="5">
        <f t="shared" si="439"/>
        <v>2023</v>
      </c>
      <c r="N1840" s="6">
        <v>165</v>
      </c>
      <c r="O1840" s="6">
        <f t="shared" si="447"/>
        <v>-165</v>
      </c>
      <c r="P1840" s="6">
        <f t="shared" si="448"/>
        <v>0</v>
      </c>
      <c r="Q1840" s="7">
        <f t="shared" si="440"/>
        <v>3295563.1500000013</v>
      </c>
      <c r="R1840" s="44" t="str">
        <f>VLOOKUP(F1840,'Set up'!$A$2:$E$70,5,FALSE)</f>
        <v>Trsf</v>
      </c>
      <c r="S1840" s="1" t="s">
        <v>1754</v>
      </c>
    </row>
    <row r="1841" spans="1:19" ht="15" customHeight="1" x14ac:dyDescent="0.3">
      <c r="A1841" s="4" t="s">
        <v>1663</v>
      </c>
      <c r="B1841" s="5">
        <f t="shared" si="435"/>
        <v>6</v>
      </c>
      <c r="C1841" s="5">
        <f t="shared" si="436"/>
        <v>2023</v>
      </c>
      <c r="D1841" s="88" t="s">
        <v>1662</v>
      </c>
      <c r="E1841" s="5" t="str">
        <f>VLOOKUP(F1841,'Set up'!$A$2:$C$70,2,FALSE)</f>
        <v>C00000034</v>
      </c>
      <c r="F1841" s="1" t="s">
        <v>1196</v>
      </c>
      <c r="G1841" s="89" t="s">
        <v>1661</v>
      </c>
      <c r="H1841" s="5">
        <v>1</v>
      </c>
      <c r="I1841" s="5" t="str">
        <f>VLOOKUP(F1841,'Set up'!$A$2:$C$70,3,FALSE)</f>
        <v>Cash</v>
      </c>
      <c r="J1841" s="5">
        <f>VLOOKUP(F1841,'Set up'!$A$2:$D$70,4,FALSE)</f>
        <v>0</v>
      </c>
      <c r="K1841" s="4">
        <f t="shared" si="437"/>
        <v>45104</v>
      </c>
      <c r="L1841" s="5">
        <f t="shared" si="438"/>
        <v>6</v>
      </c>
      <c r="M1841" s="5">
        <f t="shared" si="439"/>
        <v>2023</v>
      </c>
      <c r="N1841" s="6">
        <v>160</v>
      </c>
      <c r="O1841" s="6">
        <f t="shared" si="447"/>
        <v>-160</v>
      </c>
      <c r="P1841" s="6">
        <f t="shared" si="448"/>
        <v>0</v>
      </c>
      <c r="Q1841" s="7">
        <f t="shared" si="440"/>
        <v>3295723.1500000013</v>
      </c>
      <c r="R1841" s="44" t="str">
        <f>VLOOKUP(F1841,'Set up'!$A$2:$E$70,5,FALSE)</f>
        <v>Trsf</v>
      </c>
      <c r="S1841" s="1" t="s">
        <v>1755</v>
      </c>
    </row>
    <row r="1842" spans="1:19" ht="15" customHeight="1" x14ac:dyDescent="0.3">
      <c r="A1842" s="4">
        <v>45105</v>
      </c>
      <c r="B1842" s="5">
        <f t="shared" si="435"/>
        <v>6</v>
      </c>
      <c r="C1842" s="5">
        <f t="shared" si="436"/>
        <v>2023</v>
      </c>
      <c r="D1842" s="88" t="s">
        <v>1664</v>
      </c>
      <c r="E1842" s="5" t="str">
        <f>VLOOKUP(F1842,'Set up'!$A$2:$C$70,2,FALSE)</f>
        <v>C00000021</v>
      </c>
      <c r="F1842" s="1" t="s">
        <v>491</v>
      </c>
      <c r="G1842" s="107" t="s">
        <v>716</v>
      </c>
      <c r="H1842" s="5">
        <v>1</v>
      </c>
      <c r="I1842" s="5" t="str">
        <f>VLOOKUP(F1842,'Set up'!$A$2:$C$70,3,FALSE)</f>
        <v>Cash</v>
      </c>
      <c r="J1842" s="5">
        <f>VLOOKUP(F1842,'Set up'!$A$2:$D$70,4,FALSE)</f>
        <v>0</v>
      </c>
      <c r="K1842" s="4">
        <f t="shared" si="437"/>
        <v>45105</v>
      </c>
      <c r="L1842" s="5">
        <f t="shared" si="438"/>
        <v>6</v>
      </c>
      <c r="M1842" s="5">
        <f t="shared" si="439"/>
        <v>2023</v>
      </c>
      <c r="N1842" s="6">
        <v>1870</v>
      </c>
      <c r="O1842" s="6">
        <f t="shared" si="447"/>
        <v>-1870</v>
      </c>
      <c r="P1842" s="6">
        <f t="shared" si="448"/>
        <v>0</v>
      </c>
      <c r="Q1842" s="7">
        <f t="shared" si="440"/>
        <v>3297593.1500000013</v>
      </c>
      <c r="R1842" s="44" t="str">
        <f>VLOOKUP(F1842,'Set up'!$A$2:$E$70,5,FALSE)</f>
        <v>PD Chq</v>
      </c>
      <c r="S1842" s="1" t="s">
        <v>2261</v>
      </c>
    </row>
    <row r="1843" spans="1:19" ht="15" customHeight="1" x14ac:dyDescent="0.3">
      <c r="A1843" s="4">
        <v>45105</v>
      </c>
      <c r="B1843" s="5">
        <f t="shared" si="435"/>
        <v>6</v>
      </c>
      <c r="C1843" s="5">
        <f t="shared" si="436"/>
        <v>2023</v>
      </c>
      <c r="D1843" s="88" t="s">
        <v>1664</v>
      </c>
      <c r="E1843" s="5" t="str">
        <f>VLOOKUP(F1843,'Set up'!$A$2:$C$70,2,FALSE)</f>
        <v>C00000021</v>
      </c>
      <c r="F1843" s="1" t="s">
        <v>491</v>
      </c>
      <c r="G1843" s="99" t="s">
        <v>654</v>
      </c>
      <c r="H1843" s="5">
        <v>2</v>
      </c>
      <c r="I1843" s="5" t="str">
        <f>VLOOKUP(F1843,'Set up'!$A$2:$C$70,3,FALSE)</f>
        <v>Cash</v>
      </c>
      <c r="J1843" s="5">
        <f>VLOOKUP(F1843,'Set up'!$A$2:$D$70,4,FALSE)</f>
        <v>0</v>
      </c>
      <c r="K1843" s="4">
        <f t="shared" si="437"/>
        <v>45105</v>
      </c>
      <c r="L1843" s="5">
        <f t="shared" si="438"/>
        <v>6</v>
      </c>
      <c r="M1843" s="5">
        <f t="shared" si="439"/>
        <v>2023</v>
      </c>
      <c r="N1843" s="6">
        <v>510</v>
      </c>
      <c r="O1843" s="6">
        <f t="shared" si="447"/>
        <v>-510</v>
      </c>
      <c r="P1843" s="6">
        <f t="shared" si="448"/>
        <v>0</v>
      </c>
      <c r="Q1843" s="7">
        <f t="shared" si="440"/>
        <v>3298103.1500000013</v>
      </c>
      <c r="R1843" s="44" t="str">
        <f>VLOOKUP(F1843,'Set up'!$A$2:$E$70,5,FALSE)</f>
        <v>PD Chq</v>
      </c>
      <c r="S1843" s="1" t="s">
        <v>2261</v>
      </c>
    </row>
    <row r="1844" spans="1:19" ht="15" customHeight="1" x14ac:dyDescent="0.3">
      <c r="A1844" s="4">
        <v>45105</v>
      </c>
      <c r="B1844" s="5">
        <f t="shared" si="435"/>
        <v>6</v>
      </c>
      <c r="C1844" s="5">
        <f t="shared" si="436"/>
        <v>2023</v>
      </c>
      <c r="D1844" s="88" t="s">
        <v>1664</v>
      </c>
      <c r="E1844" s="5" t="str">
        <f>VLOOKUP(F1844,'Set up'!$A$2:$C$70,2,FALSE)</f>
        <v>C00000021</v>
      </c>
      <c r="F1844" s="1" t="s">
        <v>491</v>
      </c>
      <c r="G1844" s="99" t="s">
        <v>1061</v>
      </c>
      <c r="H1844" s="5">
        <v>1</v>
      </c>
      <c r="I1844" s="5" t="str">
        <f>VLOOKUP(F1844,'Set up'!$A$2:$C$70,3,FALSE)</f>
        <v>Cash</v>
      </c>
      <c r="J1844" s="5">
        <f>VLOOKUP(F1844,'Set up'!$A$2:$D$70,4,FALSE)</f>
        <v>0</v>
      </c>
      <c r="K1844" s="4">
        <f t="shared" si="437"/>
        <v>45105</v>
      </c>
      <c r="L1844" s="5">
        <f t="shared" si="438"/>
        <v>6</v>
      </c>
      <c r="M1844" s="5">
        <f t="shared" si="439"/>
        <v>2023</v>
      </c>
      <c r="N1844" s="6">
        <v>95</v>
      </c>
      <c r="O1844" s="6">
        <f t="shared" si="447"/>
        <v>-95</v>
      </c>
      <c r="P1844" s="6">
        <f t="shared" si="448"/>
        <v>0</v>
      </c>
      <c r="Q1844" s="7">
        <f t="shared" si="440"/>
        <v>3298198.1500000013</v>
      </c>
      <c r="R1844" s="44" t="str">
        <f>VLOOKUP(F1844,'Set up'!$A$2:$E$70,5,FALSE)</f>
        <v>PD Chq</v>
      </c>
      <c r="S1844" s="1" t="s">
        <v>2261</v>
      </c>
    </row>
    <row r="1845" spans="1:19" ht="15" customHeight="1" x14ac:dyDescent="0.3">
      <c r="A1845" s="4" t="s">
        <v>1708</v>
      </c>
      <c r="B1845" s="5">
        <f t="shared" si="435"/>
        <v>7</v>
      </c>
      <c r="C1845" s="5">
        <f t="shared" si="436"/>
        <v>2023</v>
      </c>
      <c r="D1845" s="88" t="s">
        <v>1705</v>
      </c>
      <c r="E1845" s="5" t="str">
        <f>VLOOKUP(F1845,'Set up'!$A$2:$C$70,2,FALSE)</f>
        <v>C00000009</v>
      </c>
      <c r="F1845" s="1" t="s">
        <v>58</v>
      </c>
      <c r="G1845" s="11" t="s">
        <v>46</v>
      </c>
      <c r="H1845" s="5">
        <v>2</v>
      </c>
      <c r="I1845" s="5">
        <f>VLOOKUP(F1845,'Set up'!$A$2:$C$70,3,FALSE)</f>
        <v>60</v>
      </c>
      <c r="J1845" s="5">
        <f>VLOOKUP(F1845,'Set up'!$A$2:$D$70,4,FALSE)</f>
        <v>60</v>
      </c>
      <c r="K1845" s="4">
        <f t="shared" si="437"/>
        <v>45168</v>
      </c>
      <c r="L1845" s="5">
        <f t="shared" si="438"/>
        <v>8</v>
      </c>
      <c r="M1845" s="5">
        <f t="shared" si="439"/>
        <v>2023</v>
      </c>
      <c r="N1845" s="6">
        <v>220</v>
      </c>
      <c r="O1845" s="6">
        <f t="shared" ref="O1845" si="449">-N1845</f>
        <v>-220</v>
      </c>
      <c r="P1845" s="6">
        <f t="shared" ref="P1845:P1908" si="450">SUM(N1845+O1845)</f>
        <v>0</v>
      </c>
      <c r="Q1845" s="7">
        <f t="shared" si="440"/>
        <v>3298418.1500000013</v>
      </c>
      <c r="R1845" s="44" t="str">
        <f>VLOOKUP(F1845,'Set up'!$A$2:$E$70,5,FALSE)</f>
        <v>Chq</v>
      </c>
      <c r="S1845" s="1" t="s">
        <v>2254</v>
      </c>
    </row>
    <row r="1846" spans="1:19" ht="15" customHeight="1" x14ac:dyDescent="0.3">
      <c r="A1846" s="4" t="s">
        <v>1708</v>
      </c>
      <c r="B1846" s="5">
        <f t="shared" si="435"/>
        <v>7</v>
      </c>
      <c r="C1846" s="5">
        <f t="shared" si="436"/>
        <v>2023</v>
      </c>
      <c r="D1846" s="88" t="s">
        <v>1706</v>
      </c>
      <c r="E1846" s="5" t="str">
        <f>VLOOKUP(F1846,'Set up'!$A$2:$C$70,2,FALSE)</f>
        <v>C00000020</v>
      </c>
      <c r="F1846" s="1" t="s">
        <v>409</v>
      </c>
      <c r="G1846" s="99" t="s">
        <v>1110</v>
      </c>
      <c r="H1846" s="5">
        <v>1</v>
      </c>
      <c r="I1846" s="5" t="str">
        <f>VLOOKUP(F1846,'Set up'!$A$2:$C$70,3,FALSE)</f>
        <v>Cash</v>
      </c>
      <c r="J1846" s="5">
        <f>VLOOKUP(F1846,'Set up'!$A$2:$D$70,4,FALSE)</f>
        <v>0</v>
      </c>
      <c r="K1846" s="4">
        <f t="shared" si="437"/>
        <v>45108</v>
      </c>
      <c r="L1846" s="5">
        <f t="shared" si="438"/>
        <v>7</v>
      </c>
      <c r="M1846" s="5">
        <f t="shared" si="439"/>
        <v>2023</v>
      </c>
      <c r="N1846" s="6">
        <v>62.5</v>
      </c>
      <c r="O1846" s="6">
        <f>-N1846</f>
        <v>-62.5</v>
      </c>
      <c r="P1846" s="6">
        <f t="shared" si="450"/>
        <v>0</v>
      </c>
      <c r="Q1846" s="7">
        <f t="shared" si="440"/>
        <v>3298480.6500000013</v>
      </c>
      <c r="R1846" s="44" t="str">
        <f>VLOOKUP(F1846,'Set up'!$A$2:$E$70,5,FALSE)</f>
        <v>Trsf</v>
      </c>
      <c r="S1846" s="1" t="s">
        <v>2475</v>
      </c>
    </row>
    <row r="1847" spans="1:19" ht="15" customHeight="1" x14ac:dyDescent="0.3">
      <c r="A1847" s="4" t="s">
        <v>1708</v>
      </c>
      <c r="B1847" s="5">
        <f t="shared" si="435"/>
        <v>7</v>
      </c>
      <c r="C1847" s="5">
        <f t="shared" si="436"/>
        <v>2023</v>
      </c>
      <c r="D1847" s="88" t="s">
        <v>1706</v>
      </c>
      <c r="E1847" s="5" t="str">
        <f>VLOOKUP(F1847,'Set up'!$A$2:$C$70,2,FALSE)</f>
        <v>C00000020</v>
      </c>
      <c r="F1847" s="1" t="s">
        <v>409</v>
      </c>
      <c r="G1847" s="99" t="s">
        <v>1712</v>
      </c>
      <c r="H1847" s="5">
        <v>1</v>
      </c>
      <c r="I1847" s="5" t="str">
        <f>VLOOKUP(F1847,'Set up'!$A$2:$C$70,3,FALSE)</f>
        <v>Cash</v>
      </c>
      <c r="J1847" s="5">
        <f>VLOOKUP(F1847,'Set up'!$A$2:$D$70,4,FALSE)</f>
        <v>0</v>
      </c>
      <c r="K1847" s="4">
        <f t="shared" si="437"/>
        <v>45108</v>
      </c>
      <c r="L1847" s="5">
        <f t="shared" si="438"/>
        <v>7</v>
      </c>
      <c r="M1847" s="5">
        <f t="shared" si="439"/>
        <v>2023</v>
      </c>
      <c r="N1847" s="6">
        <v>50.4</v>
      </c>
      <c r="O1847" s="6">
        <f>-N1847</f>
        <v>-50.4</v>
      </c>
      <c r="P1847" s="6">
        <f t="shared" si="450"/>
        <v>0</v>
      </c>
      <c r="Q1847" s="7">
        <f t="shared" si="440"/>
        <v>3298531.0500000012</v>
      </c>
      <c r="R1847" s="44" t="str">
        <f>VLOOKUP(F1847,'Set up'!$A$2:$E$70,5,FALSE)</f>
        <v>Trsf</v>
      </c>
      <c r="S1847" s="1" t="s">
        <v>2476</v>
      </c>
    </row>
    <row r="1848" spans="1:19" ht="15" customHeight="1" x14ac:dyDescent="0.3">
      <c r="A1848" s="4">
        <v>45110</v>
      </c>
      <c r="B1848" s="5">
        <f t="shared" si="435"/>
        <v>7</v>
      </c>
      <c r="C1848" s="5">
        <f t="shared" si="436"/>
        <v>2023</v>
      </c>
      <c r="D1848" s="88" t="s">
        <v>1707</v>
      </c>
      <c r="E1848" s="5" t="str">
        <f>VLOOKUP(F1848,'Set up'!$A$2:$C$70,2,FALSE)</f>
        <v>C00000034</v>
      </c>
      <c r="F1848" s="1" t="s">
        <v>1196</v>
      </c>
      <c r="G1848" s="99" t="s">
        <v>1356</v>
      </c>
      <c r="H1848" s="5">
        <v>2</v>
      </c>
      <c r="I1848" s="5" t="str">
        <f>VLOOKUP(F1848,'Set up'!$A$2:$C$70,3,FALSE)</f>
        <v>Cash</v>
      </c>
      <c r="J1848" s="5">
        <f>VLOOKUP(F1848,'Set up'!$A$2:$D$70,4,FALSE)</f>
        <v>0</v>
      </c>
      <c r="K1848" s="4">
        <f t="shared" si="437"/>
        <v>45110</v>
      </c>
      <c r="L1848" s="5">
        <f t="shared" si="438"/>
        <v>7</v>
      </c>
      <c r="M1848" s="5">
        <f t="shared" si="439"/>
        <v>2023</v>
      </c>
      <c r="N1848" s="6">
        <v>3652</v>
      </c>
      <c r="O1848" s="6">
        <f t="shared" ref="O1848:O1854" si="451">-N1848</f>
        <v>-3652</v>
      </c>
      <c r="P1848" s="6">
        <f t="shared" si="450"/>
        <v>0</v>
      </c>
      <c r="Q1848" s="7">
        <f t="shared" si="440"/>
        <v>3302183.0500000012</v>
      </c>
      <c r="R1848" s="44" t="str">
        <f>VLOOKUP(F1848,'Set up'!$A$2:$E$70,5,FALSE)</f>
        <v>Trsf</v>
      </c>
      <c r="S1848" s="1" t="s">
        <v>1756</v>
      </c>
    </row>
    <row r="1849" spans="1:19" ht="15" customHeight="1" x14ac:dyDescent="0.3">
      <c r="A1849" s="4">
        <v>45110</v>
      </c>
      <c r="B1849" s="5">
        <f t="shared" si="435"/>
        <v>7</v>
      </c>
      <c r="C1849" s="5">
        <f t="shared" si="436"/>
        <v>2023</v>
      </c>
      <c r="D1849" s="88" t="s">
        <v>1707</v>
      </c>
      <c r="E1849" s="5" t="str">
        <f>VLOOKUP(F1849,'Set up'!$A$2:$C$70,2,FALSE)</f>
        <v>C00000034</v>
      </c>
      <c r="F1849" s="1" t="s">
        <v>1196</v>
      </c>
      <c r="G1849" s="99" t="s">
        <v>1431</v>
      </c>
      <c r="H1849" s="5">
        <v>3</v>
      </c>
      <c r="I1849" s="5" t="str">
        <f>VLOOKUP(F1849,'Set up'!$A$2:$C$70,3,FALSE)</f>
        <v>Cash</v>
      </c>
      <c r="J1849" s="5">
        <f>VLOOKUP(F1849,'Set up'!$A$2:$D$70,4,FALSE)</f>
        <v>0</v>
      </c>
      <c r="K1849" s="4">
        <f t="shared" si="437"/>
        <v>45110</v>
      </c>
      <c r="L1849" s="5">
        <f t="shared" si="438"/>
        <v>7</v>
      </c>
      <c r="M1849" s="5">
        <f t="shared" si="439"/>
        <v>2023</v>
      </c>
      <c r="N1849" s="6">
        <v>675</v>
      </c>
      <c r="O1849" s="6">
        <f t="shared" si="451"/>
        <v>-675</v>
      </c>
      <c r="P1849" s="6">
        <f t="shared" si="450"/>
        <v>0</v>
      </c>
      <c r="Q1849" s="7">
        <f t="shared" si="440"/>
        <v>3302858.0500000012</v>
      </c>
      <c r="R1849" s="44" t="str">
        <f>VLOOKUP(F1849,'Set up'!$A$2:$E$70,5,FALSE)</f>
        <v>Trsf</v>
      </c>
      <c r="S1849" s="1" t="s">
        <v>1757</v>
      </c>
    </row>
    <row r="1850" spans="1:19" ht="15" customHeight="1" x14ac:dyDescent="0.3">
      <c r="A1850" s="4">
        <v>45110</v>
      </c>
      <c r="B1850" s="5">
        <f t="shared" si="435"/>
        <v>7</v>
      </c>
      <c r="C1850" s="5">
        <f t="shared" si="436"/>
        <v>2023</v>
      </c>
      <c r="D1850" s="88" t="s">
        <v>1707</v>
      </c>
      <c r="E1850" s="5" t="str">
        <f>VLOOKUP(F1850,'Set up'!$A$2:$C$70,2,FALSE)</f>
        <v>C00000034</v>
      </c>
      <c r="F1850" s="1" t="s">
        <v>1196</v>
      </c>
      <c r="G1850" s="99" t="s">
        <v>1624</v>
      </c>
      <c r="H1850" s="5">
        <v>1</v>
      </c>
      <c r="I1850" s="5" t="str">
        <f>VLOOKUP(F1850,'Set up'!$A$2:$C$70,3,FALSE)</f>
        <v>Cash</v>
      </c>
      <c r="J1850" s="5">
        <f>VLOOKUP(F1850,'Set up'!$A$2:$D$70,4,FALSE)</f>
        <v>0</v>
      </c>
      <c r="K1850" s="4">
        <f t="shared" si="437"/>
        <v>45110</v>
      </c>
      <c r="L1850" s="5">
        <f t="shared" si="438"/>
        <v>7</v>
      </c>
      <c r="M1850" s="5">
        <f t="shared" si="439"/>
        <v>2023</v>
      </c>
      <c r="N1850" s="6">
        <v>236</v>
      </c>
      <c r="O1850" s="6">
        <f t="shared" si="451"/>
        <v>-236</v>
      </c>
      <c r="P1850" s="6">
        <f t="shared" si="450"/>
        <v>0</v>
      </c>
      <c r="Q1850" s="7">
        <f t="shared" si="440"/>
        <v>3303094.0500000012</v>
      </c>
      <c r="R1850" s="44" t="str">
        <f>VLOOKUP(F1850,'Set up'!$A$2:$E$70,5,FALSE)</f>
        <v>Trsf</v>
      </c>
      <c r="S1850" s="1" t="s">
        <v>1751</v>
      </c>
    </row>
    <row r="1851" spans="1:19" ht="15" customHeight="1" x14ac:dyDescent="0.3">
      <c r="A1851" s="4">
        <v>45110</v>
      </c>
      <c r="B1851" s="5">
        <f t="shared" si="435"/>
        <v>7</v>
      </c>
      <c r="C1851" s="5">
        <f t="shared" si="436"/>
        <v>2023</v>
      </c>
      <c r="D1851" s="88" t="s">
        <v>1707</v>
      </c>
      <c r="E1851" s="5" t="str">
        <f>VLOOKUP(F1851,'Set up'!$A$2:$C$70,2,FALSE)</f>
        <v>C00000034</v>
      </c>
      <c r="F1851" s="1" t="s">
        <v>1196</v>
      </c>
      <c r="G1851" s="11" t="s">
        <v>1061</v>
      </c>
      <c r="H1851" s="5">
        <v>1</v>
      </c>
      <c r="I1851" s="5" t="str">
        <f>VLOOKUP(F1851,'Set up'!$A$2:$C$70,3,FALSE)</f>
        <v>Cash</v>
      </c>
      <c r="J1851" s="5">
        <f>VLOOKUP(F1851,'Set up'!$A$2:$D$70,4,FALSE)</f>
        <v>0</v>
      </c>
      <c r="K1851" s="4">
        <f t="shared" si="437"/>
        <v>45110</v>
      </c>
      <c r="L1851" s="5">
        <f t="shared" si="438"/>
        <v>7</v>
      </c>
      <c r="M1851" s="5">
        <f t="shared" si="439"/>
        <v>2023</v>
      </c>
      <c r="N1851" s="6">
        <v>95</v>
      </c>
      <c r="O1851" s="6">
        <f t="shared" si="451"/>
        <v>-95</v>
      </c>
      <c r="P1851" s="6">
        <f t="shared" si="450"/>
        <v>0</v>
      </c>
      <c r="Q1851" s="7">
        <f t="shared" si="440"/>
        <v>3303189.0500000012</v>
      </c>
      <c r="R1851" s="44" t="str">
        <f>VLOOKUP(F1851,'Set up'!$A$2:$E$70,5,FALSE)</f>
        <v>Trsf</v>
      </c>
      <c r="S1851" s="1" t="s">
        <v>1752</v>
      </c>
    </row>
    <row r="1852" spans="1:19" ht="15" customHeight="1" x14ac:dyDescent="0.3">
      <c r="A1852" s="4">
        <v>45110</v>
      </c>
      <c r="B1852" s="5">
        <f t="shared" si="435"/>
        <v>7</v>
      </c>
      <c r="C1852" s="5">
        <f t="shared" si="436"/>
        <v>2023</v>
      </c>
      <c r="D1852" s="88" t="s">
        <v>1707</v>
      </c>
      <c r="E1852" s="5" t="str">
        <f>VLOOKUP(F1852,'Set up'!$A$2:$C$70,2,FALSE)</f>
        <v>C00000034</v>
      </c>
      <c r="F1852" s="1" t="s">
        <v>1196</v>
      </c>
      <c r="G1852" s="99" t="s">
        <v>1110</v>
      </c>
      <c r="H1852" s="5">
        <v>2</v>
      </c>
      <c r="I1852" s="5" t="str">
        <f>VLOOKUP(F1852,'Set up'!$A$2:$C$70,3,FALSE)</f>
        <v>Cash</v>
      </c>
      <c r="J1852" s="5">
        <f>VLOOKUP(F1852,'Set up'!$A$2:$D$70,4,FALSE)</f>
        <v>0</v>
      </c>
      <c r="K1852" s="4">
        <f t="shared" si="437"/>
        <v>45110</v>
      </c>
      <c r="L1852" s="5">
        <f t="shared" si="438"/>
        <v>7</v>
      </c>
      <c r="M1852" s="5">
        <f t="shared" si="439"/>
        <v>2023</v>
      </c>
      <c r="N1852" s="96">
        <v>125</v>
      </c>
      <c r="O1852" s="6">
        <f t="shared" si="451"/>
        <v>-125</v>
      </c>
      <c r="P1852" s="6">
        <f t="shared" si="450"/>
        <v>0</v>
      </c>
      <c r="Q1852" s="7">
        <f t="shared" si="440"/>
        <v>3303314.0500000012</v>
      </c>
      <c r="R1852" s="44" t="str">
        <f>VLOOKUP(F1852,'Set up'!$A$2:$E$70,5,FALSE)</f>
        <v>Trsf</v>
      </c>
      <c r="S1852" s="1" t="s">
        <v>1758</v>
      </c>
    </row>
    <row r="1853" spans="1:19" ht="15" customHeight="1" x14ac:dyDescent="0.3">
      <c r="A1853" s="4">
        <v>45110</v>
      </c>
      <c r="B1853" s="5">
        <f t="shared" si="435"/>
        <v>7</v>
      </c>
      <c r="C1853" s="5">
        <f t="shared" si="436"/>
        <v>2023</v>
      </c>
      <c r="D1853" s="88" t="s">
        <v>1709</v>
      </c>
      <c r="E1853" s="5" t="str">
        <f>VLOOKUP(F1853,'Set up'!$A$2:$C$70,2,FALSE)</f>
        <v>C00000034</v>
      </c>
      <c r="F1853" s="1" t="s">
        <v>1196</v>
      </c>
      <c r="G1853" s="11" t="s">
        <v>1405</v>
      </c>
      <c r="H1853" s="5">
        <v>2</v>
      </c>
      <c r="I1853" s="5" t="str">
        <f>VLOOKUP(F1853,'Set up'!$A$2:$C$70,3,FALSE)</f>
        <v>Cash</v>
      </c>
      <c r="J1853" s="5">
        <f>VLOOKUP(F1853,'Set up'!$A$2:$D$70,4,FALSE)</f>
        <v>0</v>
      </c>
      <c r="K1853" s="4">
        <f t="shared" si="437"/>
        <v>45110</v>
      </c>
      <c r="L1853" s="5">
        <f t="shared" si="438"/>
        <v>7</v>
      </c>
      <c r="M1853" s="5">
        <f t="shared" si="439"/>
        <v>2023</v>
      </c>
      <c r="N1853" s="6">
        <v>100</v>
      </c>
      <c r="O1853" s="6">
        <f t="shared" si="451"/>
        <v>-100</v>
      </c>
      <c r="P1853" s="6">
        <f t="shared" si="450"/>
        <v>0</v>
      </c>
      <c r="Q1853" s="7">
        <f t="shared" si="440"/>
        <v>3303414.0500000012</v>
      </c>
      <c r="R1853" s="44" t="str">
        <f>VLOOKUP(F1853,'Set up'!$A$2:$E$70,5,FALSE)</f>
        <v>Trsf</v>
      </c>
      <c r="S1853" s="1" t="s">
        <v>1759</v>
      </c>
    </row>
    <row r="1854" spans="1:19" ht="15" customHeight="1" x14ac:dyDescent="0.3">
      <c r="A1854" s="4">
        <v>45111</v>
      </c>
      <c r="B1854" s="5">
        <f t="shared" si="435"/>
        <v>7</v>
      </c>
      <c r="C1854" s="5">
        <f t="shared" si="436"/>
        <v>2023</v>
      </c>
      <c r="D1854" s="88" t="s">
        <v>1710</v>
      </c>
      <c r="E1854" s="5" t="str">
        <f>VLOOKUP(F1854,'Set up'!$A$2:$C$70,2,FALSE)</f>
        <v>C00000022</v>
      </c>
      <c r="F1854" s="1" t="s">
        <v>637</v>
      </c>
      <c r="G1854" s="103" t="s">
        <v>1713</v>
      </c>
      <c r="H1854" s="5">
        <v>1</v>
      </c>
      <c r="I1854" s="5" t="str">
        <f>VLOOKUP(F1854,'Set up'!$A$2:$C$70,3,FALSE)</f>
        <v>Cash</v>
      </c>
      <c r="J1854" s="5">
        <f>VLOOKUP(F1854,'Set up'!$A$2:$D$70,4,FALSE)</f>
        <v>0</v>
      </c>
      <c r="K1854" s="4">
        <f t="shared" si="437"/>
        <v>45111</v>
      </c>
      <c r="L1854" s="5">
        <f t="shared" si="438"/>
        <v>7</v>
      </c>
      <c r="M1854" s="5">
        <f t="shared" si="439"/>
        <v>2023</v>
      </c>
      <c r="N1854" s="6">
        <v>100</v>
      </c>
      <c r="O1854" s="6">
        <f t="shared" si="451"/>
        <v>-100</v>
      </c>
      <c r="P1854" s="6">
        <f t="shared" si="450"/>
        <v>0</v>
      </c>
      <c r="Q1854" s="7">
        <f t="shared" si="440"/>
        <v>3303514.0500000012</v>
      </c>
      <c r="R1854" s="44" t="str">
        <f>VLOOKUP(F1854,'Set up'!$A$2:$E$70,5,FALSE)</f>
        <v>Trsf</v>
      </c>
      <c r="S1854" s="1" t="s">
        <v>2244</v>
      </c>
    </row>
    <row r="1855" spans="1:19" ht="15" customHeight="1" x14ac:dyDescent="0.3">
      <c r="A1855" s="4">
        <v>45113</v>
      </c>
      <c r="B1855" s="5">
        <f t="shared" si="435"/>
        <v>7</v>
      </c>
      <c r="C1855" s="5">
        <f t="shared" si="436"/>
        <v>2023</v>
      </c>
      <c r="D1855" s="88" t="s">
        <v>1711</v>
      </c>
      <c r="E1855" s="5" t="str">
        <f>VLOOKUP(F1855,'Set up'!$A$2:$C$70,2,FALSE)</f>
        <v>C00000027</v>
      </c>
      <c r="F1855" s="1" t="s">
        <v>859</v>
      </c>
      <c r="G1855" s="90" t="s">
        <v>716</v>
      </c>
      <c r="H1855" s="5">
        <v>1</v>
      </c>
      <c r="I1855" s="5" t="str">
        <f>VLOOKUP(F1855,'Set up'!$A$2:$C$70,3,FALSE)</f>
        <v>Cash</v>
      </c>
      <c r="J1855" s="5">
        <f>VLOOKUP(F1855,'Set up'!$A$2:$D$70,4,FALSE)</f>
        <v>0</v>
      </c>
      <c r="K1855" s="4">
        <f t="shared" si="437"/>
        <v>45113</v>
      </c>
      <c r="L1855" s="5">
        <f t="shared" si="438"/>
        <v>7</v>
      </c>
      <c r="M1855" s="5">
        <f t="shared" si="439"/>
        <v>2023</v>
      </c>
      <c r="N1855" s="6">
        <v>1848</v>
      </c>
      <c r="O1855" s="6">
        <f>-157.4-1690.6</f>
        <v>-1848</v>
      </c>
      <c r="P1855" s="6">
        <f t="shared" si="450"/>
        <v>0</v>
      </c>
      <c r="Q1855" s="7">
        <f t="shared" si="440"/>
        <v>3305362.0500000012</v>
      </c>
      <c r="R1855" s="44" t="str">
        <f>VLOOKUP(F1855,'Set up'!$A$2:$E$70,5,FALSE)</f>
        <v>Trsf</v>
      </c>
      <c r="S1855" s="1" t="s">
        <v>2892</v>
      </c>
    </row>
    <row r="1856" spans="1:19" ht="15" customHeight="1" x14ac:dyDescent="0.3">
      <c r="A1856" s="4">
        <v>45113</v>
      </c>
      <c r="B1856" s="5">
        <f t="shared" si="435"/>
        <v>7</v>
      </c>
      <c r="C1856" s="5">
        <f t="shared" si="436"/>
        <v>2023</v>
      </c>
      <c r="D1856" s="88" t="s">
        <v>1711</v>
      </c>
      <c r="E1856" s="5" t="str">
        <f>VLOOKUP(F1856,'Set up'!$A$2:$C$70,2,FALSE)</f>
        <v>C00000027</v>
      </c>
      <c r="F1856" s="1" t="s">
        <v>859</v>
      </c>
      <c r="G1856" s="89" t="s">
        <v>865</v>
      </c>
      <c r="H1856" s="5">
        <v>2</v>
      </c>
      <c r="I1856" s="5" t="str">
        <f>VLOOKUP(F1856,'Set up'!$A$2:$C$70,3,FALSE)</f>
        <v>Cash</v>
      </c>
      <c r="J1856" s="5">
        <f>VLOOKUP(F1856,'Set up'!$A$2:$D$70,4,FALSE)</f>
        <v>0</v>
      </c>
      <c r="K1856" s="4">
        <f t="shared" si="437"/>
        <v>45113</v>
      </c>
      <c r="L1856" s="5">
        <f t="shared" si="438"/>
        <v>7</v>
      </c>
      <c r="M1856" s="5">
        <f t="shared" si="439"/>
        <v>2023</v>
      </c>
      <c r="N1856" s="6">
        <v>508</v>
      </c>
      <c r="O1856" s="6">
        <f t="shared" ref="O1856:O1857" si="452">-N1856</f>
        <v>-508</v>
      </c>
      <c r="P1856" s="6">
        <f t="shared" si="450"/>
        <v>0</v>
      </c>
      <c r="Q1856" s="7">
        <f t="shared" si="440"/>
        <v>3305870.0500000012</v>
      </c>
      <c r="R1856" s="44" t="str">
        <f>VLOOKUP(F1856,'Set up'!$A$2:$E$70,5,FALSE)</f>
        <v>Trsf</v>
      </c>
      <c r="S1856" s="1" t="s">
        <v>2893</v>
      </c>
    </row>
    <row r="1857" spans="1:19" ht="15" customHeight="1" x14ac:dyDescent="0.3">
      <c r="A1857" s="4">
        <v>45113</v>
      </c>
      <c r="B1857" s="5">
        <f t="shared" si="435"/>
        <v>7</v>
      </c>
      <c r="C1857" s="5">
        <f t="shared" si="436"/>
        <v>2023</v>
      </c>
      <c r="D1857" s="88" t="s">
        <v>1711</v>
      </c>
      <c r="E1857" s="5" t="str">
        <f>VLOOKUP(F1857,'Set up'!$A$2:$C$70,2,FALSE)</f>
        <v>C00000027</v>
      </c>
      <c r="F1857" s="1" t="s">
        <v>859</v>
      </c>
      <c r="G1857" s="90" t="s">
        <v>1399</v>
      </c>
      <c r="H1857" s="5">
        <v>1</v>
      </c>
      <c r="I1857" s="5" t="str">
        <f>VLOOKUP(F1857,'Set up'!$A$2:$C$70,3,FALSE)</f>
        <v>Cash</v>
      </c>
      <c r="J1857" s="5">
        <f>VLOOKUP(F1857,'Set up'!$A$2:$D$70,4,FALSE)</f>
        <v>0</v>
      </c>
      <c r="K1857" s="4">
        <f t="shared" si="437"/>
        <v>45113</v>
      </c>
      <c r="L1857" s="5">
        <f t="shared" si="438"/>
        <v>7</v>
      </c>
      <c r="M1857" s="5">
        <f t="shared" si="439"/>
        <v>2023</v>
      </c>
      <c r="N1857" s="6">
        <v>160</v>
      </c>
      <c r="O1857" s="6">
        <f t="shared" si="452"/>
        <v>-160</v>
      </c>
      <c r="P1857" s="6">
        <f t="shared" si="450"/>
        <v>0</v>
      </c>
      <c r="Q1857" s="7">
        <f t="shared" si="440"/>
        <v>3306030.0500000012</v>
      </c>
      <c r="R1857" s="44" t="str">
        <f>VLOOKUP(F1857,'Set up'!$A$2:$E$70,5,FALSE)</f>
        <v>Trsf</v>
      </c>
      <c r="S1857" s="1" t="s">
        <v>2894</v>
      </c>
    </row>
    <row r="1858" spans="1:19" ht="15" customHeight="1" x14ac:dyDescent="0.3">
      <c r="A1858" s="4">
        <v>45113</v>
      </c>
      <c r="B1858" s="5">
        <f t="shared" si="435"/>
        <v>7</v>
      </c>
      <c r="C1858" s="5">
        <f t="shared" si="436"/>
        <v>2023</v>
      </c>
      <c r="D1858" s="88" t="s">
        <v>1714</v>
      </c>
      <c r="E1858" s="5" t="str">
        <f>VLOOKUP(F1858,'Set up'!$A$2:$C$70,2,FALSE)</f>
        <v>C00000014</v>
      </c>
      <c r="F1858" s="1" t="s">
        <v>262</v>
      </c>
      <c r="G1858" s="95" t="s">
        <v>303</v>
      </c>
      <c r="H1858" s="5">
        <v>3</v>
      </c>
      <c r="I1858" s="5" t="str">
        <f>VLOOKUP(F1858,'Set up'!$A$2:$C$70,3,FALSE)</f>
        <v>Cash</v>
      </c>
      <c r="J1858" s="5">
        <f>VLOOKUP(F1858,'Set up'!$A$2:$D$70,4,FALSE)</f>
        <v>0</v>
      </c>
      <c r="K1858" s="4">
        <f t="shared" si="437"/>
        <v>45113</v>
      </c>
      <c r="L1858" s="5">
        <f t="shared" si="438"/>
        <v>7</v>
      </c>
      <c r="M1858" s="5">
        <f t="shared" si="439"/>
        <v>2023</v>
      </c>
      <c r="N1858" s="6">
        <v>5280</v>
      </c>
      <c r="O1858" s="6">
        <f t="shared" ref="O1858:O1863" si="453">-N1858</f>
        <v>-5280</v>
      </c>
      <c r="P1858" s="6">
        <f t="shared" si="450"/>
        <v>0</v>
      </c>
      <c r="Q1858" s="7">
        <f t="shared" si="440"/>
        <v>3311310.0500000012</v>
      </c>
      <c r="R1858" s="44" t="str">
        <f>VLOOKUP(F1858,'Set up'!$A$2:$E$70,5,FALSE)</f>
        <v>Cash</v>
      </c>
      <c r="S1858" s="1" t="s">
        <v>1776</v>
      </c>
    </row>
    <row r="1859" spans="1:19" ht="15" customHeight="1" x14ac:dyDescent="0.3">
      <c r="A1859" s="4">
        <v>45113</v>
      </c>
      <c r="B1859" s="5">
        <f t="shared" ref="B1859:B1922" si="454">MONTH(A1859)</f>
        <v>7</v>
      </c>
      <c r="C1859" s="5">
        <f t="shared" ref="C1859:C1922" si="455">YEAR(A1859)</f>
        <v>2023</v>
      </c>
      <c r="D1859" s="88" t="s">
        <v>1714</v>
      </c>
      <c r="E1859" s="5" t="str">
        <f>VLOOKUP(F1859,'Set up'!$A$2:$C$70,2,FALSE)</f>
        <v>C00000014</v>
      </c>
      <c r="F1859" s="1" t="s">
        <v>262</v>
      </c>
      <c r="G1859" s="90" t="s">
        <v>988</v>
      </c>
      <c r="H1859" s="5">
        <v>5</v>
      </c>
      <c r="I1859" s="5" t="str">
        <f>VLOOKUP(F1859,'Set up'!$A$2:$C$70,3,FALSE)</f>
        <v>Cash</v>
      </c>
      <c r="J1859" s="5">
        <f>VLOOKUP(F1859,'Set up'!$A$2:$D$70,4,FALSE)</f>
        <v>0</v>
      </c>
      <c r="K1859" s="4">
        <f t="shared" ref="K1859:K1922" si="456">A1859+J1859</f>
        <v>45113</v>
      </c>
      <c r="L1859" s="5">
        <f t="shared" ref="L1859:L1922" si="457">MONTH(K1859)</f>
        <v>7</v>
      </c>
      <c r="M1859" s="5">
        <f t="shared" ref="M1859:M1922" si="458">YEAR(K1859)</f>
        <v>2023</v>
      </c>
      <c r="N1859" s="6">
        <v>1185</v>
      </c>
      <c r="O1859" s="6">
        <f t="shared" si="453"/>
        <v>-1185</v>
      </c>
      <c r="P1859" s="6">
        <f t="shared" si="450"/>
        <v>0</v>
      </c>
      <c r="Q1859" s="7">
        <f t="shared" ref="Q1859:Q1922" si="459">SUM(Q1858+N1859)</f>
        <v>3312495.0500000012</v>
      </c>
      <c r="R1859" s="44" t="str">
        <f>VLOOKUP(F1859,'Set up'!$A$2:$E$70,5,FALSE)</f>
        <v>Cash</v>
      </c>
      <c r="S1859" s="1" t="s">
        <v>1776</v>
      </c>
    </row>
    <row r="1860" spans="1:19" ht="15" customHeight="1" x14ac:dyDescent="0.3">
      <c r="A1860" s="4">
        <v>45113</v>
      </c>
      <c r="B1860" s="5">
        <f t="shared" si="454"/>
        <v>7</v>
      </c>
      <c r="C1860" s="5">
        <f t="shared" si="455"/>
        <v>2023</v>
      </c>
      <c r="D1860" s="88" t="s">
        <v>1714</v>
      </c>
      <c r="E1860" s="5" t="str">
        <f>VLOOKUP(F1860,'Set up'!$A$2:$C$70,2,FALSE)</f>
        <v>C00000014</v>
      </c>
      <c r="F1860" s="1" t="s">
        <v>262</v>
      </c>
      <c r="G1860" s="99" t="s">
        <v>1061</v>
      </c>
      <c r="H1860" s="5">
        <v>2</v>
      </c>
      <c r="I1860" s="5" t="str">
        <f>VLOOKUP(F1860,'Set up'!$A$2:$C$70,3,FALSE)</f>
        <v>Cash</v>
      </c>
      <c r="J1860" s="5">
        <f>VLOOKUP(F1860,'Set up'!$A$2:$D$70,4,FALSE)</f>
        <v>0</v>
      </c>
      <c r="K1860" s="4">
        <f t="shared" si="456"/>
        <v>45113</v>
      </c>
      <c r="L1860" s="5">
        <f t="shared" si="457"/>
        <v>7</v>
      </c>
      <c r="M1860" s="5">
        <f t="shared" si="458"/>
        <v>2023</v>
      </c>
      <c r="N1860" s="6">
        <v>190</v>
      </c>
      <c r="O1860" s="6">
        <f t="shared" si="453"/>
        <v>-190</v>
      </c>
      <c r="P1860" s="6">
        <f t="shared" si="450"/>
        <v>0</v>
      </c>
      <c r="Q1860" s="7">
        <f t="shared" si="459"/>
        <v>3312685.0500000012</v>
      </c>
      <c r="R1860" s="44" t="str">
        <f>VLOOKUP(F1860,'Set up'!$A$2:$E$70,5,FALSE)</f>
        <v>Cash</v>
      </c>
      <c r="S1860" s="1" t="s">
        <v>1776</v>
      </c>
    </row>
    <row r="1861" spans="1:19" ht="15" customHeight="1" x14ac:dyDescent="0.3">
      <c r="A1861" s="4">
        <v>45113</v>
      </c>
      <c r="B1861" s="5">
        <f t="shared" si="454"/>
        <v>7</v>
      </c>
      <c r="C1861" s="5">
        <f t="shared" si="455"/>
        <v>2023</v>
      </c>
      <c r="D1861" s="88" t="s">
        <v>1714</v>
      </c>
      <c r="E1861" s="5" t="str">
        <f>VLOOKUP(F1861,'Set up'!$A$2:$C$70,2,FALSE)</f>
        <v>C00000014</v>
      </c>
      <c r="F1861" s="1" t="s">
        <v>262</v>
      </c>
      <c r="G1861" s="99" t="s">
        <v>1715</v>
      </c>
      <c r="H1861" s="5">
        <v>1</v>
      </c>
      <c r="I1861" s="5" t="str">
        <f>VLOOKUP(F1861,'Set up'!$A$2:$C$70,3,FALSE)</f>
        <v>Cash</v>
      </c>
      <c r="J1861" s="5">
        <f>VLOOKUP(F1861,'Set up'!$A$2:$D$70,4,FALSE)</f>
        <v>0</v>
      </c>
      <c r="K1861" s="4">
        <f t="shared" si="456"/>
        <v>45113</v>
      </c>
      <c r="L1861" s="5">
        <f t="shared" si="457"/>
        <v>7</v>
      </c>
      <c r="M1861" s="5">
        <f t="shared" si="458"/>
        <v>2023</v>
      </c>
      <c r="N1861" s="6">
        <v>165</v>
      </c>
      <c r="O1861" s="6">
        <f t="shared" si="453"/>
        <v>-165</v>
      </c>
      <c r="P1861" s="6">
        <f t="shared" si="450"/>
        <v>0</v>
      </c>
      <c r="Q1861" s="7">
        <f t="shared" si="459"/>
        <v>3312850.0500000012</v>
      </c>
      <c r="R1861" s="44" t="str">
        <f>VLOOKUP(F1861,'Set up'!$A$2:$E$70,5,FALSE)</f>
        <v>Cash</v>
      </c>
      <c r="S1861" s="1" t="s">
        <v>1776</v>
      </c>
    </row>
    <row r="1862" spans="1:19" ht="15" customHeight="1" x14ac:dyDescent="0.3">
      <c r="A1862" s="4">
        <v>45113</v>
      </c>
      <c r="B1862" s="5">
        <f t="shared" si="454"/>
        <v>7</v>
      </c>
      <c r="C1862" s="5">
        <f t="shared" si="455"/>
        <v>2023</v>
      </c>
      <c r="D1862" s="88" t="s">
        <v>1714</v>
      </c>
      <c r="E1862" s="5" t="str">
        <f>VLOOKUP(F1862,'Set up'!$A$2:$C$70,2,FALSE)</f>
        <v>C00000014</v>
      </c>
      <c r="F1862" s="1" t="s">
        <v>262</v>
      </c>
      <c r="G1862" s="99" t="s">
        <v>865</v>
      </c>
      <c r="H1862" s="5">
        <v>2</v>
      </c>
      <c r="I1862" s="5" t="str">
        <f>VLOOKUP(F1862,'Set up'!$A$2:$C$70,3,FALSE)</f>
        <v>Cash</v>
      </c>
      <c r="J1862" s="5">
        <f>VLOOKUP(F1862,'Set up'!$A$2:$D$70,4,FALSE)</f>
        <v>0</v>
      </c>
      <c r="K1862" s="4">
        <f t="shared" si="456"/>
        <v>45113</v>
      </c>
      <c r="L1862" s="5">
        <f t="shared" si="457"/>
        <v>7</v>
      </c>
      <c r="M1862" s="5">
        <f t="shared" si="458"/>
        <v>2023</v>
      </c>
      <c r="N1862" s="6">
        <v>516</v>
      </c>
      <c r="O1862" s="6">
        <f t="shared" si="453"/>
        <v>-516</v>
      </c>
      <c r="P1862" s="6">
        <f t="shared" si="450"/>
        <v>0</v>
      </c>
      <c r="Q1862" s="7">
        <f t="shared" si="459"/>
        <v>3313366.0500000012</v>
      </c>
      <c r="R1862" s="44" t="str">
        <f>VLOOKUP(F1862,'Set up'!$A$2:$E$70,5,FALSE)</f>
        <v>Cash</v>
      </c>
      <c r="S1862" s="1" t="s">
        <v>1776</v>
      </c>
    </row>
    <row r="1863" spans="1:19" ht="15" customHeight="1" x14ac:dyDescent="0.3">
      <c r="A1863" s="4">
        <v>45113</v>
      </c>
      <c r="B1863" s="5">
        <f t="shared" si="454"/>
        <v>7</v>
      </c>
      <c r="C1863" s="5">
        <f t="shared" si="455"/>
        <v>2023</v>
      </c>
      <c r="D1863" s="88" t="s">
        <v>1714</v>
      </c>
      <c r="E1863" s="5" t="str">
        <f>VLOOKUP(F1863,'Set up'!$A$2:$C$70,2,FALSE)</f>
        <v>C00000014</v>
      </c>
      <c r="F1863" s="1" t="s">
        <v>262</v>
      </c>
      <c r="G1863" s="99" t="s">
        <v>949</v>
      </c>
      <c r="H1863" s="5">
        <v>4</v>
      </c>
      <c r="I1863" s="5" t="str">
        <f>VLOOKUP(F1863,'Set up'!$A$2:$C$70,3,FALSE)</f>
        <v>Cash</v>
      </c>
      <c r="J1863" s="5">
        <f>VLOOKUP(F1863,'Set up'!$A$2:$D$70,4,FALSE)</f>
        <v>0</v>
      </c>
      <c r="K1863" s="4">
        <f t="shared" si="456"/>
        <v>45113</v>
      </c>
      <c r="L1863" s="5">
        <f t="shared" si="457"/>
        <v>7</v>
      </c>
      <c r="M1863" s="5">
        <f t="shared" si="458"/>
        <v>2023</v>
      </c>
      <c r="N1863" s="6">
        <v>200</v>
      </c>
      <c r="O1863" s="6">
        <f t="shared" si="453"/>
        <v>-200</v>
      </c>
      <c r="P1863" s="6">
        <f t="shared" si="450"/>
        <v>0</v>
      </c>
      <c r="Q1863" s="7">
        <f t="shared" si="459"/>
        <v>3313566.0500000012</v>
      </c>
      <c r="R1863" s="44" t="str">
        <f>VLOOKUP(F1863,'Set up'!$A$2:$E$70,5,FALSE)</f>
        <v>Cash</v>
      </c>
      <c r="S1863" s="1" t="s">
        <v>1776</v>
      </c>
    </row>
    <row r="1864" spans="1:19" ht="15" customHeight="1" x14ac:dyDescent="0.3">
      <c r="A1864" s="4">
        <v>45117</v>
      </c>
      <c r="B1864" s="5">
        <f t="shared" si="454"/>
        <v>7</v>
      </c>
      <c r="C1864" s="5">
        <f t="shared" si="455"/>
        <v>2023</v>
      </c>
      <c r="D1864" s="88" t="s">
        <v>1716</v>
      </c>
      <c r="E1864" s="5" t="str">
        <f>VLOOKUP(F1864,'Set up'!$A$2:$C$70,2,FALSE)</f>
        <v>C00000010</v>
      </c>
      <c r="F1864" s="1" t="s">
        <v>62</v>
      </c>
      <c r="G1864" s="95" t="s">
        <v>1402</v>
      </c>
      <c r="H1864" s="5">
        <v>6</v>
      </c>
      <c r="I1864" s="5">
        <f>VLOOKUP(F1864,'Set up'!$A$2:$C$70,3,FALSE)</f>
        <v>120</v>
      </c>
      <c r="J1864" s="5">
        <f>VLOOKUP(F1864,'Set up'!$A$2:$D$70,4,FALSE)</f>
        <v>120</v>
      </c>
      <c r="K1864" s="4">
        <f t="shared" si="456"/>
        <v>45237</v>
      </c>
      <c r="L1864" s="5">
        <f t="shared" si="457"/>
        <v>11</v>
      </c>
      <c r="M1864" s="5">
        <f t="shared" si="458"/>
        <v>2023</v>
      </c>
      <c r="N1864" s="6">
        <v>9636</v>
      </c>
      <c r="O1864" s="6">
        <f t="shared" ref="O1864:O1869" si="460">-N1864</f>
        <v>-9636</v>
      </c>
      <c r="P1864" s="6">
        <f t="shared" si="450"/>
        <v>0</v>
      </c>
      <c r="Q1864" s="7">
        <f t="shared" si="459"/>
        <v>3323202.0500000012</v>
      </c>
      <c r="R1864" s="44" t="str">
        <f>VLOOKUP(F1864,'Set up'!$A$2:$E$70,5,FALSE)</f>
        <v>Trsf</v>
      </c>
      <c r="S1864" s="1" t="s">
        <v>2255</v>
      </c>
    </row>
    <row r="1865" spans="1:19" ht="15" customHeight="1" x14ac:dyDescent="0.3">
      <c r="A1865" s="4">
        <v>45117</v>
      </c>
      <c r="B1865" s="5">
        <f t="shared" si="454"/>
        <v>7</v>
      </c>
      <c r="C1865" s="5">
        <f t="shared" si="455"/>
        <v>2023</v>
      </c>
      <c r="D1865" s="88" t="s">
        <v>1716</v>
      </c>
      <c r="E1865" s="5" t="str">
        <f>VLOOKUP(F1865,'Set up'!$A$2:$C$70,2,FALSE)</f>
        <v>C00000010</v>
      </c>
      <c r="F1865" s="1" t="s">
        <v>62</v>
      </c>
      <c r="G1865" s="90" t="s">
        <v>1543</v>
      </c>
      <c r="H1865" s="5">
        <v>10</v>
      </c>
      <c r="I1865" s="5">
        <f>VLOOKUP(F1865,'Set up'!$A$2:$C$70,3,FALSE)</f>
        <v>120</v>
      </c>
      <c r="J1865" s="5">
        <f>VLOOKUP(F1865,'Set up'!$A$2:$D$70,4,FALSE)</f>
        <v>120</v>
      </c>
      <c r="K1865" s="4">
        <f t="shared" si="456"/>
        <v>45237</v>
      </c>
      <c r="L1865" s="5">
        <f t="shared" si="457"/>
        <v>11</v>
      </c>
      <c r="M1865" s="5">
        <f t="shared" si="458"/>
        <v>2023</v>
      </c>
      <c r="N1865" s="6">
        <v>1800</v>
      </c>
      <c r="O1865" s="6">
        <f t="shared" si="460"/>
        <v>-1800</v>
      </c>
      <c r="P1865" s="6">
        <f t="shared" si="450"/>
        <v>0</v>
      </c>
      <c r="Q1865" s="7">
        <f t="shared" si="459"/>
        <v>3325002.0500000012</v>
      </c>
      <c r="R1865" s="44" t="str">
        <f>VLOOKUP(F1865,'Set up'!$A$2:$E$70,5,FALSE)</f>
        <v>Trsf</v>
      </c>
      <c r="S1865" s="1" t="s">
        <v>2255</v>
      </c>
    </row>
    <row r="1866" spans="1:19" ht="15" customHeight="1" x14ac:dyDescent="0.3">
      <c r="A1866" s="4">
        <v>45117</v>
      </c>
      <c r="B1866" s="5">
        <f t="shared" si="454"/>
        <v>7</v>
      </c>
      <c r="C1866" s="5">
        <f t="shared" si="455"/>
        <v>2023</v>
      </c>
      <c r="D1866" s="88" t="s">
        <v>1716</v>
      </c>
      <c r="E1866" s="5" t="str">
        <f>VLOOKUP(F1866,'Set up'!$A$2:$C$70,2,FALSE)</f>
        <v>C00000010</v>
      </c>
      <c r="F1866" s="1" t="s">
        <v>62</v>
      </c>
      <c r="G1866" s="90" t="s">
        <v>791</v>
      </c>
      <c r="H1866" s="5">
        <v>10</v>
      </c>
      <c r="I1866" s="5">
        <f>VLOOKUP(F1866,'Set up'!$A$2:$C$70,3,FALSE)</f>
        <v>120</v>
      </c>
      <c r="J1866" s="5">
        <f>VLOOKUP(F1866,'Set up'!$A$2:$D$70,4,FALSE)</f>
        <v>120</v>
      </c>
      <c r="K1866" s="4">
        <f t="shared" si="456"/>
        <v>45237</v>
      </c>
      <c r="L1866" s="5">
        <f t="shared" si="457"/>
        <v>11</v>
      </c>
      <c r="M1866" s="5">
        <f t="shared" si="458"/>
        <v>2023</v>
      </c>
      <c r="N1866" s="6">
        <v>575</v>
      </c>
      <c r="O1866" s="6">
        <f t="shared" si="460"/>
        <v>-575</v>
      </c>
      <c r="P1866" s="6">
        <f t="shared" si="450"/>
        <v>0</v>
      </c>
      <c r="Q1866" s="7">
        <f t="shared" si="459"/>
        <v>3325577.0500000012</v>
      </c>
      <c r="R1866" s="44" t="str">
        <f>VLOOKUP(F1866,'Set up'!$A$2:$E$70,5,FALSE)</f>
        <v>Trsf</v>
      </c>
      <c r="S1866" s="1" t="s">
        <v>2255</v>
      </c>
    </row>
    <row r="1867" spans="1:19" ht="15" customHeight="1" x14ac:dyDescent="0.3">
      <c r="A1867" s="4">
        <v>45117</v>
      </c>
      <c r="B1867" s="5">
        <f t="shared" si="454"/>
        <v>7</v>
      </c>
      <c r="C1867" s="5">
        <f t="shared" si="455"/>
        <v>2023</v>
      </c>
      <c r="D1867" s="88" t="s">
        <v>1716</v>
      </c>
      <c r="E1867" s="5" t="str">
        <f>VLOOKUP(F1867,'Set up'!$A$2:$C$70,2,FALSE)</f>
        <v>C00000010</v>
      </c>
      <c r="F1867" s="1" t="s">
        <v>62</v>
      </c>
      <c r="G1867" s="11" t="s">
        <v>46</v>
      </c>
      <c r="H1867" s="5">
        <v>8</v>
      </c>
      <c r="I1867" s="5">
        <f>VLOOKUP(F1867,'Set up'!$A$2:$C$70,3,FALSE)</f>
        <v>120</v>
      </c>
      <c r="J1867" s="5">
        <f>VLOOKUP(F1867,'Set up'!$A$2:$D$70,4,FALSE)</f>
        <v>120</v>
      </c>
      <c r="K1867" s="4">
        <f t="shared" si="456"/>
        <v>45237</v>
      </c>
      <c r="L1867" s="5">
        <f t="shared" si="457"/>
        <v>11</v>
      </c>
      <c r="M1867" s="5">
        <f t="shared" si="458"/>
        <v>2023</v>
      </c>
      <c r="N1867" s="6">
        <v>840</v>
      </c>
      <c r="O1867" s="6">
        <f t="shared" si="460"/>
        <v>-840</v>
      </c>
      <c r="P1867" s="6">
        <f t="shared" si="450"/>
        <v>0</v>
      </c>
      <c r="Q1867" s="7">
        <f t="shared" si="459"/>
        <v>3326417.0500000012</v>
      </c>
      <c r="R1867" s="44" t="str">
        <f>VLOOKUP(F1867,'Set up'!$A$2:$E$70,5,FALSE)</f>
        <v>Trsf</v>
      </c>
      <c r="S1867" s="1" t="s">
        <v>2255</v>
      </c>
    </row>
    <row r="1868" spans="1:19" ht="15" customHeight="1" x14ac:dyDescent="0.3">
      <c r="A1868" s="4">
        <v>45117</v>
      </c>
      <c r="B1868" s="5">
        <f t="shared" si="454"/>
        <v>7</v>
      </c>
      <c r="C1868" s="5">
        <f t="shared" si="455"/>
        <v>2023</v>
      </c>
      <c r="D1868" s="88" t="s">
        <v>1716</v>
      </c>
      <c r="E1868" s="5" t="str">
        <f>VLOOKUP(F1868,'Set up'!$A$2:$C$70,2,FALSE)</f>
        <v>C00000010</v>
      </c>
      <c r="F1868" s="1" t="s">
        <v>62</v>
      </c>
      <c r="G1868" s="90" t="s">
        <v>944</v>
      </c>
      <c r="H1868" s="5">
        <v>1</v>
      </c>
      <c r="I1868" s="5">
        <f>VLOOKUP(F1868,'Set up'!$A$2:$C$70,3,FALSE)</f>
        <v>120</v>
      </c>
      <c r="J1868" s="5">
        <f>VLOOKUP(F1868,'Set up'!$A$2:$D$70,4,FALSE)</f>
        <v>120</v>
      </c>
      <c r="K1868" s="4">
        <f t="shared" si="456"/>
        <v>45237</v>
      </c>
      <c r="L1868" s="5">
        <f t="shared" si="457"/>
        <v>11</v>
      </c>
      <c r="M1868" s="5">
        <f t="shared" si="458"/>
        <v>2023</v>
      </c>
      <c r="N1868" s="6">
        <v>420</v>
      </c>
      <c r="O1868" s="6">
        <f t="shared" si="460"/>
        <v>-420</v>
      </c>
      <c r="P1868" s="6">
        <f t="shared" si="450"/>
        <v>0</v>
      </c>
      <c r="Q1868" s="7">
        <f t="shared" si="459"/>
        <v>3326837.0500000012</v>
      </c>
      <c r="R1868" s="44" t="str">
        <f>VLOOKUP(F1868,'Set up'!$A$2:$E$70,5,FALSE)</f>
        <v>Trsf</v>
      </c>
      <c r="S1868" s="1" t="s">
        <v>2255</v>
      </c>
    </row>
    <row r="1869" spans="1:19" ht="15" customHeight="1" x14ac:dyDescent="0.3">
      <c r="A1869" s="4">
        <v>45117</v>
      </c>
      <c r="B1869" s="5">
        <f t="shared" si="454"/>
        <v>7</v>
      </c>
      <c r="C1869" s="5">
        <f t="shared" si="455"/>
        <v>2023</v>
      </c>
      <c r="D1869" s="88" t="s">
        <v>1716</v>
      </c>
      <c r="E1869" s="5" t="str">
        <f>VLOOKUP(F1869,'Set up'!$A$2:$C$70,2,FALSE)</f>
        <v>C00000010</v>
      </c>
      <c r="F1869" s="1" t="s">
        <v>62</v>
      </c>
      <c r="G1869" s="90" t="s">
        <v>614</v>
      </c>
      <c r="H1869" s="5">
        <v>1</v>
      </c>
      <c r="I1869" s="5">
        <f>VLOOKUP(F1869,'Set up'!$A$2:$C$70,3,FALSE)</f>
        <v>120</v>
      </c>
      <c r="J1869" s="5">
        <f>VLOOKUP(F1869,'Set up'!$A$2:$D$70,4,FALSE)</f>
        <v>120</v>
      </c>
      <c r="K1869" s="4">
        <f t="shared" si="456"/>
        <v>45237</v>
      </c>
      <c r="L1869" s="5">
        <f t="shared" si="457"/>
        <v>11</v>
      </c>
      <c r="M1869" s="5">
        <f t="shared" si="458"/>
        <v>2023</v>
      </c>
      <c r="N1869" s="6">
        <v>395</v>
      </c>
      <c r="O1869" s="6">
        <f t="shared" si="460"/>
        <v>-395</v>
      </c>
      <c r="P1869" s="6">
        <f t="shared" si="450"/>
        <v>0</v>
      </c>
      <c r="Q1869" s="7">
        <f t="shared" si="459"/>
        <v>3327232.0500000012</v>
      </c>
      <c r="R1869" s="44" t="str">
        <f>VLOOKUP(F1869,'Set up'!$A$2:$E$70,5,FALSE)</f>
        <v>Trsf</v>
      </c>
      <c r="S1869" s="1" t="s">
        <v>2255</v>
      </c>
    </row>
    <row r="1870" spans="1:19" ht="15" customHeight="1" x14ac:dyDescent="0.3">
      <c r="A1870" s="4">
        <v>45117</v>
      </c>
      <c r="B1870" s="5">
        <f t="shared" si="454"/>
        <v>7</v>
      </c>
      <c r="C1870" s="5">
        <f t="shared" si="455"/>
        <v>2023</v>
      </c>
      <c r="D1870" s="88" t="s">
        <v>1717</v>
      </c>
      <c r="E1870" s="5" t="str">
        <f>VLOOKUP(F1870,'Set up'!$A$2:$C$70,2,FALSE)</f>
        <v>C00000034</v>
      </c>
      <c r="F1870" s="1" t="s">
        <v>1196</v>
      </c>
      <c r="G1870" s="11" t="s">
        <v>1351</v>
      </c>
      <c r="H1870" s="5">
        <v>10</v>
      </c>
      <c r="I1870" s="5" t="str">
        <f>VLOOKUP(F1870,'Set up'!$A$2:$C$70,3,FALSE)</f>
        <v>Cash</v>
      </c>
      <c r="J1870" s="5">
        <f>VLOOKUP(F1870,'Set up'!$A$2:$D$70,4,FALSE)</f>
        <v>0</v>
      </c>
      <c r="K1870" s="4">
        <f t="shared" si="456"/>
        <v>45117</v>
      </c>
      <c r="L1870" s="5">
        <f t="shared" si="457"/>
        <v>7</v>
      </c>
      <c r="M1870" s="5">
        <f t="shared" si="458"/>
        <v>2023</v>
      </c>
      <c r="N1870" s="6">
        <v>1390</v>
      </c>
      <c r="O1870" s="6">
        <f t="shared" ref="O1870:O1873" si="461">-N1870</f>
        <v>-1390</v>
      </c>
      <c r="P1870" s="91">
        <f t="shared" si="450"/>
        <v>0</v>
      </c>
      <c r="Q1870" s="7">
        <f t="shared" si="459"/>
        <v>3328622.0500000012</v>
      </c>
      <c r="R1870" s="44" t="str">
        <f>VLOOKUP(F1870,'Set up'!$A$2:$E$70,5,FALSE)</f>
        <v>Trsf</v>
      </c>
      <c r="S1870" s="117" t="s">
        <v>1846</v>
      </c>
    </row>
    <row r="1871" spans="1:19" ht="15" customHeight="1" x14ac:dyDescent="0.3">
      <c r="A1871" s="4">
        <v>45118</v>
      </c>
      <c r="B1871" s="5">
        <f t="shared" si="454"/>
        <v>7</v>
      </c>
      <c r="C1871" s="5">
        <f t="shared" si="455"/>
        <v>2023</v>
      </c>
      <c r="D1871" s="88" t="s">
        <v>1718</v>
      </c>
      <c r="E1871" s="5" t="str">
        <f>VLOOKUP(F1871,'Set up'!$A$2:$C$70,2,FALSE)</f>
        <v>C00000021</v>
      </c>
      <c r="F1871" s="1" t="s">
        <v>491</v>
      </c>
      <c r="G1871" s="107" t="s">
        <v>716</v>
      </c>
      <c r="H1871" s="5">
        <v>1</v>
      </c>
      <c r="I1871" s="5" t="str">
        <f>VLOOKUP(F1871,'Set up'!$A$2:$C$70,3,FALSE)</f>
        <v>Cash</v>
      </c>
      <c r="J1871" s="5">
        <f>VLOOKUP(F1871,'Set up'!$A$2:$D$70,4,FALSE)</f>
        <v>0</v>
      </c>
      <c r="K1871" s="4">
        <f t="shared" si="456"/>
        <v>45118</v>
      </c>
      <c r="L1871" s="5">
        <f t="shared" si="457"/>
        <v>7</v>
      </c>
      <c r="M1871" s="5">
        <f t="shared" si="458"/>
        <v>2023</v>
      </c>
      <c r="N1871" s="6">
        <v>1826</v>
      </c>
      <c r="O1871" s="6">
        <f t="shared" si="461"/>
        <v>-1826</v>
      </c>
      <c r="P1871" s="6">
        <f t="shared" si="450"/>
        <v>0</v>
      </c>
      <c r="Q1871" s="7">
        <f t="shared" si="459"/>
        <v>3330448.0500000012</v>
      </c>
      <c r="R1871" s="44" t="str">
        <f>VLOOKUP(F1871,'Set up'!$A$2:$E$70,5,FALSE)</f>
        <v>PD Chq</v>
      </c>
      <c r="S1871" s="1" t="s">
        <v>2305</v>
      </c>
    </row>
    <row r="1872" spans="1:19" ht="15" customHeight="1" x14ac:dyDescent="0.3">
      <c r="A1872" s="4">
        <v>45118</v>
      </c>
      <c r="B1872" s="5">
        <f t="shared" si="454"/>
        <v>7</v>
      </c>
      <c r="C1872" s="5">
        <f t="shared" si="455"/>
        <v>2023</v>
      </c>
      <c r="D1872" s="88" t="s">
        <v>1718</v>
      </c>
      <c r="E1872" s="5" t="str">
        <f>VLOOKUP(F1872,'Set up'!$A$2:$C$70,2,FALSE)</f>
        <v>C00000021</v>
      </c>
      <c r="F1872" s="1" t="s">
        <v>491</v>
      </c>
      <c r="G1872" s="99" t="s">
        <v>654</v>
      </c>
      <c r="H1872" s="5">
        <v>3</v>
      </c>
      <c r="I1872" s="5" t="str">
        <f>VLOOKUP(F1872,'Set up'!$A$2:$C$70,3,FALSE)</f>
        <v>Cash</v>
      </c>
      <c r="J1872" s="5">
        <f>VLOOKUP(F1872,'Set up'!$A$2:$D$70,4,FALSE)</f>
        <v>0</v>
      </c>
      <c r="K1872" s="4">
        <f t="shared" si="456"/>
        <v>45118</v>
      </c>
      <c r="L1872" s="5">
        <f t="shared" si="457"/>
        <v>7</v>
      </c>
      <c r="M1872" s="5">
        <f t="shared" si="458"/>
        <v>2023</v>
      </c>
      <c r="N1872" s="6">
        <v>747</v>
      </c>
      <c r="O1872" s="6">
        <f t="shared" si="461"/>
        <v>-747</v>
      </c>
      <c r="P1872" s="6">
        <f t="shared" si="450"/>
        <v>0</v>
      </c>
      <c r="Q1872" s="7">
        <f t="shared" si="459"/>
        <v>3331195.0500000012</v>
      </c>
      <c r="R1872" s="44" t="str">
        <f>VLOOKUP(F1872,'Set up'!$A$2:$E$70,5,FALSE)</f>
        <v>PD Chq</v>
      </c>
      <c r="S1872" s="1" t="s">
        <v>2305</v>
      </c>
    </row>
    <row r="1873" spans="1:19" ht="15" customHeight="1" x14ac:dyDescent="0.3">
      <c r="A1873" s="4">
        <v>45118</v>
      </c>
      <c r="B1873" s="5">
        <f t="shared" si="454"/>
        <v>7</v>
      </c>
      <c r="C1873" s="5">
        <f t="shared" si="455"/>
        <v>2023</v>
      </c>
      <c r="D1873" s="88" t="s">
        <v>1718</v>
      </c>
      <c r="E1873" s="5" t="str">
        <f>VLOOKUP(F1873,'Set up'!$A$2:$C$70,2,FALSE)</f>
        <v>C00000021</v>
      </c>
      <c r="F1873" s="1" t="s">
        <v>491</v>
      </c>
      <c r="G1873" s="99" t="s">
        <v>1061</v>
      </c>
      <c r="H1873" s="5">
        <v>1</v>
      </c>
      <c r="I1873" s="5" t="str">
        <f>VLOOKUP(F1873,'Set up'!$A$2:$C$70,3,FALSE)</f>
        <v>Cash</v>
      </c>
      <c r="J1873" s="5">
        <f>VLOOKUP(F1873,'Set up'!$A$2:$D$70,4,FALSE)</f>
        <v>0</v>
      </c>
      <c r="K1873" s="4">
        <f t="shared" si="456"/>
        <v>45118</v>
      </c>
      <c r="L1873" s="5">
        <f t="shared" si="457"/>
        <v>7</v>
      </c>
      <c r="M1873" s="5">
        <f t="shared" si="458"/>
        <v>2023</v>
      </c>
      <c r="N1873" s="6">
        <v>95</v>
      </c>
      <c r="O1873" s="6">
        <f t="shared" si="461"/>
        <v>-95</v>
      </c>
      <c r="P1873" s="6">
        <f t="shared" si="450"/>
        <v>0</v>
      </c>
      <c r="Q1873" s="7">
        <f t="shared" si="459"/>
        <v>3331290.0500000012</v>
      </c>
      <c r="R1873" s="44" t="str">
        <f>VLOOKUP(F1873,'Set up'!$A$2:$E$70,5,FALSE)</f>
        <v>PD Chq</v>
      </c>
      <c r="S1873" s="1" t="s">
        <v>2305</v>
      </c>
    </row>
    <row r="1874" spans="1:19" ht="15" customHeight="1" x14ac:dyDescent="0.3">
      <c r="A1874" s="4">
        <v>45118</v>
      </c>
      <c r="B1874" s="5">
        <f t="shared" si="454"/>
        <v>7</v>
      </c>
      <c r="C1874" s="5">
        <f t="shared" si="455"/>
        <v>2023</v>
      </c>
      <c r="D1874" s="88" t="s">
        <v>1719</v>
      </c>
      <c r="E1874" s="5" t="str">
        <f>VLOOKUP(F1874,'Set up'!$A$2:$C$70,2,FALSE)</f>
        <v>C00000037</v>
      </c>
      <c r="F1874" s="1" t="s">
        <v>1309</v>
      </c>
      <c r="G1874" s="11" t="s">
        <v>1405</v>
      </c>
      <c r="H1874" s="5">
        <v>3</v>
      </c>
      <c r="I1874" s="5">
        <f>VLOOKUP(F1874,'Set up'!$A$2:$C$70,3,FALSE)</f>
        <v>30</v>
      </c>
      <c r="J1874" s="5">
        <f>VLOOKUP(F1874,'Set up'!$A$2:$D$70,4,FALSE)</f>
        <v>30</v>
      </c>
      <c r="K1874" s="4">
        <f t="shared" si="456"/>
        <v>45148</v>
      </c>
      <c r="L1874" s="5">
        <f t="shared" si="457"/>
        <v>8</v>
      </c>
      <c r="M1874" s="5">
        <f t="shared" si="458"/>
        <v>2023</v>
      </c>
      <c r="N1874" s="6">
        <v>144</v>
      </c>
      <c r="O1874" s="6">
        <f t="shared" ref="O1874" si="462">-N1874</f>
        <v>-144</v>
      </c>
      <c r="P1874" s="6">
        <f t="shared" si="450"/>
        <v>0</v>
      </c>
      <c r="Q1874" s="7">
        <f t="shared" si="459"/>
        <v>3331434.0500000012</v>
      </c>
      <c r="R1874" s="44" t="str">
        <f>VLOOKUP(F1874,'Set up'!$A$2:$E$70,5,FALSE)</f>
        <v>Chq</v>
      </c>
      <c r="S1874" s="1" t="s">
        <v>1782</v>
      </c>
    </row>
    <row r="1875" spans="1:19" ht="15" customHeight="1" x14ac:dyDescent="0.3">
      <c r="A1875" s="4" t="s">
        <v>1721</v>
      </c>
      <c r="B1875" s="5">
        <f t="shared" si="454"/>
        <v>7</v>
      </c>
      <c r="C1875" s="5">
        <f t="shared" si="455"/>
        <v>2023</v>
      </c>
      <c r="D1875" s="88" t="s">
        <v>1720</v>
      </c>
      <c r="E1875" s="5" t="str">
        <f>VLOOKUP(F1875,'Set up'!$A$2:$C$70,2,FALSE)</f>
        <v>C00000034</v>
      </c>
      <c r="F1875" s="1" t="s">
        <v>1196</v>
      </c>
      <c r="G1875" s="99" t="s">
        <v>1356</v>
      </c>
      <c r="H1875" s="5">
        <v>2</v>
      </c>
      <c r="I1875" s="5" t="str">
        <f>VLOOKUP(F1875,'Set up'!$A$2:$C$70,3,FALSE)</f>
        <v>Cash</v>
      </c>
      <c r="J1875" s="5">
        <f>VLOOKUP(F1875,'Set up'!$A$2:$D$70,4,FALSE)</f>
        <v>0</v>
      </c>
      <c r="K1875" s="4">
        <f t="shared" si="456"/>
        <v>45122</v>
      </c>
      <c r="L1875" s="5">
        <f t="shared" si="457"/>
        <v>7</v>
      </c>
      <c r="M1875" s="5">
        <f t="shared" si="458"/>
        <v>2023</v>
      </c>
      <c r="N1875" s="6">
        <v>3652</v>
      </c>
      <c r="O1875" s="6">
        <f t="shared" ref="O1875:O1884" si="463">-N1875</f>
        <v>-3652</v>
      </c>
      <c r="P1875" s="6">
        <f t="shared" si="450"/>
        <v>0</v>
      </c>
      <c r="Q1875" s="7">
        <f t="shared" si="459"/>
        <v>3335086.0500000012</v>
      </c>
      <c r="R1875" s="44" t="str">
        <f>VLOOKUP(F1875,'Set up'!$A$2:$E$70,5,FALSE)</f>
        <v>Trsf</v>
      </c>
      <c r="S1875" s="117" t="s">
        <v>1847</v>
      </c>
    </row>
    <row r="1876" spans="1:19" ht="15" customHeight="1" x14ac:dyDescent="0.3">
      <c r="A1876" s="4" t="s">
        <v>1721</v>
      </c>
      <c r="B1876" s="5">
        <f t="shared" si="454"/>
        <v>7</v>
      </c>
      <c r="C1876" s="5">
        <f t="shared" si="455"/>
        <v>2023</v>
      </c>
      <c r="D1876" s="88" t="s">
        <v>1720</v>
      </c>
      <c r="E1876" s="5" t="str">
        <f>VLOOKUP(F1876,'Set up'!$A$2:$C$70,2,FALSE)</f>
        <v>C00000034</v>
      </c>
      <c r="F1876" s="1" t="s">
        <v>1196</v>
      </c>
      <c r="G1876" s="99" t="s">
        <v>1431</v>
      </c>
      <c r="H1876" s="5">
        <v>3</v>
      </c>
      <c r="I1876" s="5" t="str">
        <f>VLOOKUP(F1876,'Set up'!$A$2:$C$70,3,FALSE)</f>
        <v>Cash</v>
      </c>
      <c r="J1876" s="5">
        <f>VLOOKUP(F1876,'Set up'!$A$2:$D$70,4,FALSE)</f>
        <v>0</v>
      </c>
      <c r="K1876" s="4">
        <f t="shared" si="456"/>
        <v>45122</v>
      </c>
      <c r="L1876" s="5">
        <f t="shared" si="457"/>
        <v>7</v>
      </c>
      <c r="M1876" s="5">
        <f t="shared" si="458"/>
        <v>2023</v>
      </c>
      <c r="N1876" s="6">
        <v>675</v>
      </c>
      <c r="O1876" s="6">
        <f t="shared" si="463"/>
        <v>-675</v>
      </c>
      <c r="P1876" s="6">
        <f t="shared" si="450"/>
        <v>0</v>
      </c>
      <c r="Q1876" s="7">
        <f t="shared" si="459"/>
        <v>3335761.0500000012</v>
      </c>
      <c r="R1876" s="44" t="str">
        <f>VLOOKUP(F1876,'Set up'!$A$2:$E$70,5,FALSE)</f>
        <v>Trsf</v>
      </c>
      <c r="S1876" s="117" t="s">
        <v>1847</v>
      </c>
    </row>
    <row r="1877" spans="1:19" ht="15" customHeight="1" x14ac:dyDescent="0.3">
      <c r="A1877" s="4" t="s">
        <v>1721</v>
      </c>
      <c r="B1877" s="5">
        <f t="shared" si="454"/>
        <v>7</v>
      </c>
      <c r="C1877" s="5">
        <f t="shared" si="455"/>
        <v>2023</v>
      </c>
      <c r="D1877" s="88" t="s">
        <v>1720</v>
      </c>
      <c r="E1877" s="5" t="str">
        <f>VLOOKUP(F1877,'Set up'!$A$2:$C$70,2,FALSE)</f>
        <v>C00000034</v>
      </c>
      <c r="F1877" s="1" t="s">
        <v>1196</v>
      </c>
      <c r="G1877" s="99" t="s">
        <v>1624</v>
      </c>
      <c r="H1877" s="5">
        <v>1</v>
      </c>
      <c r="I1877" s="5" t="str">
        <f>VLOOKUP(F1877,'Set up'!$A$2:$C$70,3,FALSE)</f>
        <v>Cash</v>
      </c>
      <c r="J1877" s="5">
        <f>VLOOKUP(F1877,'Set up'!$A$2:$D$70,4,FALSE)</f>
        <v>0</v>
      </c>
      <c r="K1877" s="4">
        <f t="shared" si="456"/>
        <v>45122</v>
      </c>
      <c r="L1877" s="5">
        <f t="shared" si="457"/>
        <v>7</v>
      </c>
      <c r="M1877" s="5">
        <f t="shared" si="458"/>
        <v>2023</v>
      </c>
      <c r="N1877" s="6">
        <v>236</v>
      </c>
      <c r="O1877" s="6">
        <f t="shared" si="463"/>
        <v>-236</v>
      </c>
      <c r="P1877" s="6">
        <f t="shared" si="450"/>
        <v>0</v>
      </c>
      <c r="Q1877" s="7">
        <f t="shared" si="459"/>
        <v>3335997.0500000012</v>
      </c>
      <c r="R1877" s="44" t="str">
        <f>VLOOKUP(F1877,'Set up'!$A$2:$E$70,5,FALSE)</f>
        <v>Trsf</v>
      </c>
      <c r="S1877" s="117" t="s">
        <v>1847</v>
      </c>
    </row>
    <row r="1878" spans="1:19" ht="15" customHeight="1" x14ac:dyDescent="0.3">
      <c r="A1878" s="4" t="s">
        <v>1721</v>
      </c>
      <c r="B1878" s="5">
        <f t="shared" si="454"/>
        <v>7</v>
      </c>
      <c r="C1878" s="5">
        <f t="shared" si="455"/>
        <v>2023</v>
      </c>
      <c r="D1878" s="88" t="s">
        <v>1720</v>
      </c>
      <c r="E1878" s="5" t="str">
        <f>VLOOKUP(F1878,'Set up'!$A$2:$C$70,2,FALSE)</f>
        <v>C00000034</v>
      </c>
      <c r="F1878" s="1" t="s">
        <v>1196</v>
      </c>
      <c r="G1878" s="99" t="s">
        <v>1061</v>
      </c>
      <c r="H1878" s="5">
        <v>2</v>
      </c>
      <c r="I1878" s="5" t="str">
        <f>VLOOKUP(F1878,'Set up'!$A$2:$C$70,3,FALSE)</f>
        <v>Cash</v>
      </c>
      <c r="J1878" s="5">
        <f>VLOOKUP(F1878,'Set up'!$A$2:$D$70,4,FALSE)</f>
        <v>0</v>
      </c>
      <c r="K1878" s="4">
        <f t="shared" si="456"/>
        <v>45122</v>
      </c>
      <c r="L1878" s="5">
        <f t="shared" si="457"/>
        <v>7</v>
      </c>
      <c r="M1878" s="5">
        <f t="shared" si="458"/>
        <v>2023</v>
      </c>
      <c r="N1878" s="6">
        <v>190</v>
      </c>
      <c r="O1878" s="6">
        <f t="shared" si="463"/>
        <v>-190</v>
      </c>
      <c r="P1878" s="6">
        <f t="shared" si="450"/>
        <v>0</v>
      </c>
      <c r="Q1878" s="7">
        <f t="shared" si="459"/>
        <v>3336187.0500000012</v>
      </c>
      <c r="R1878" s="44" t="str">
        <f>VLOOKUP(F1878,'Set up'!$A$2:$E$70,5,FALSE)</f>
        <v>Trsf</v>
      </c>
      <c r="S1878" s="117" t="s">
        <v>1847</v>
      </c>
    </row>
    <row r="1879" spans="1:19" ht="15" customHeight="1" x14ac:dyDescent="0.3">
      <c r="A1879" s="4" t="s">
        <v>1721</v>
      </c>
      <c r="B1879" s="5">
        <f t="shared" si="454"/>
        <v>7</v>
      </c>
      <c r="C1879" s="5">
        <f t="shared" si="455"/>
        <v>2023</v>
      </c>
      <c r="D1879" s="88" t="s">
        <v>1720</v>
      </c>
      <c r="E1879" s="5" t="str">
        <f>VLOOKUP(F1879,'Set up'!$A$2:$C$70,2,FALSE)</f>
        <v>C00000034</v>
      </c>
      <c r="F1879" s="1" t="s">
        <v>1196</v>
      </c>
      <c r="G1879" s="99" t="s">
        <v>1110</v>
      </c>
      <c r="H1879" s="5">
        <v>2</v>
      </c>
      <c r="I1879" s="5" t="str">
        <f>VLOOKUP(F1879,'Set up'!$A$2:$C$70,3,FALSE)</f>
        <v>Cash</v>
      </c>
      <c r="J1879" s="5">
        <f>VLOOKUP(F1879,'Set up'!$A$2:$D$70,4,FALSE)</f>
        <v>0</v>
      </c>
      <c r="K1879" s="4">
        <f t="shared" si="456"/>
        <v>45122</v>
      </c>
      <c r="L1879" s="5">
        <f t="shared" si="457"/>
        <v>7</v>
      </c>
      <c r="M1879" s="5">
        <f t="shared" si="458"/>
        <v>2023</v>
      </c>
      <c r="N1879" s="6">
        <v>125</v>
      </c>
      <c r="O1879" s="6">
        <f t="shared" si="463"/>
        <v>-125</v>
      </c>
      <c r="P1879" s="6">
        <f t="shared" si="450"/>
        <v>0</v>
      </c>
      <c r="Q1879" s="7">
        <f t="shared" si="459"/>
        <v>3336312.0500000012</v>
      </c>
      <c r="R1879" s="44" t="str">
        <f>VLOOKUP(F1879,'Set up'!$A$2:$E$70,5,FALSE)</f>
        <v>Trsf</v>
      </c>
      <c r="S1879" s="117" t="s">
        <v>1847</v>
      </c>
    </row>
    <row r="1880" spans="1:19" ht="15" customHeight="1" x14ac:dyDescent="0.3">
      <c r="A1880" s="4" t="s">
        <v>1721</v>
      </c>
      <c r="B1880" s="5">
        <f t="shared" si="454"/>
        <v>7</v>
      </c>
      <c r="C1880" s="5">
        <f t="shared" si="455"/>
        <v>2023</v>
      </c>
      <c r="D1880" s="88" t="s">
        <v>1720</v>
      </c>
      <c r="E1880" s="5" t="str">
        <f>VLOOKUP(F1880,'Set up'!$A$2:$C$70,2,FALSE)</f>
        <v>C00000034</v>
      </c>
      <c r="F1880" s="1" t="s">
        <v>1196</v>
      </c>
      <c r="G1880" s="99" t="s">
        <v>1351</v>
      </c>
      <c r="H1880" s="5">
        <v>5</v>
      </c>
      <c r="I1880" s="5" t="str">
        <f>VLOOKUP(F1880,'Set up'!$A$2:$C$70,3,FALSE)</f>
        <v>Cash</v>
      </c>
      <c r="J1880" s="5">
        <f>VLOOKUP(F1880,'Set up'!$A$2:$D$70,4,FALSE)</f>
        <v>0</v>
      </c>
      <c r="K1880" s="4">
        <f t="shared" si="456"/>
        <v>45122</v>
      </c>
      <c r="L1880" s="5">
        <f t="shared" si="457"/>
        <v>7</v>
      </c>
      <c r="M1880" s="5">
        <f t="shared" si="458"/>
        <v>2023</v>
      </c>
      <c r="N1880" s="6">
        <v>695</v>
      </c>
      <c r="O1880" s="6">
        <f t="shared" si="463"/>
        <v>-695</v>
      </c>
      <c r="P1880" s="91">
        <f t="shared" si="450"/>
        <v>0</v>
      </c>
      <c r="Q1880" s="7">
        <f t="shared" si="459"/>
        <v>3337007.0500000012</v>
      </c>
      <c r="R1880" s="44" t="str">
        <f>VLOOKUP(F1880,'Set up'!$A$2:$E$70,5,FALSE)</f>
        <v>Trsf</v>
      </c>
      <c r="S1880" s="117" t="s">
        <v>1847</v>
      </c>
    </row>
    <row r="1881" spans="1:19" ht="15" customHeight="1" x14ac:dyDescent="0.3">
      <c r="A1881" s="4">
        <v>45124</v>
      </c>
      <c r="B1881" s="5">
        <f t="shared" si="454"/>
        <v>7</v>
      </c>
      <c r="C1881" s="5">
        <f t="shared" si="455"/>
        <v>2023</v>
      </c>
      <c r="D1881" s="88" t="s">
        <v>1722</v>
      </c>
      <c r="E1881" s="5" t="str">
        <f>VLOOKUP(F1881,'Set up'!$A$2:$C$70,2,FALSE)</f>
        <v>C00000021</v>
      </c>
      <c r="F1881" s="1" t="s">
        <v>491</v>
      </c>
      <c r="G1881" s="99" t="s">
        <v>716</v>
      </c>
      <c r="H1881" s="5">
        <v>1</v>
      </c>
      <c r="I1881" s="5" t="str">
        <f>VLOOKUP(F1881,'Set up'!$A$2:$C$70,3,FALSE)</f>
        <v>Cash</v>
      </c>
      <c r="J1881" s="5">
        <f>VLOOKUP(F1881,'Set up'!$A$2:$D$70,4,FALSE)</f>
        <v>0</v>
      </c>
      <c r="K1881" s="4">
        <f t="shared" si="456"/>
        <v>45124</v>
      </c>
      <c r="L1881" s="5">
        <f t="shared" si="457"/>
        <v>7</v>
      </c>
      <c r="M1881" s="5">
        <f t="shared" si="458"/>
        <v>2023</v>
      </c>
      <c r="N1881" s="6">
        <v>1826</v>
      </c>
      <c r="O1881" s="6">
        <f t="shared" si="463"/>
        <v>-1826</v>
      </c>
      <c r="P1881" s="6">
        <f t="shared" si="450"/>
        <v>0</v>
      </c>
      <c r="Q1881" s="7">
        <f t="shared" si="459"/>
        <v>3338833.0500000012</v>
      </c>
      <c r="R1881" s="44" t="str">
        <f>VLOOKUP(F1881,'Set up'!$A$2:$E$70,5,FALSE)</f>
        <v>PD Chq</v>
      </c>
      <c r="S1881" s="1" t="s">
        <v>2304</v>
      </c>
    </row>
    <row r="1882" spans="1:19" ht="15" customHeight="1" x14ac:dyDescent="0.3">
      <c r="A1882" s="4">
        <v>45124</v>
      </c>
      <c r="B1882" s="5">
        <f t="shared" si="454"/>
        <v>7</v>
      </c>
      <c r="C1882" s="5">
        <f t="shared" si="455"/>
        <v>2023</v>
      </c>
      <c r="D1882" s="88" t="s">
        <v>1722</v>
      </c>
      <c r="E1882" s="5" t="str">
        <f>VLOOKUP(F1882,'Set up'!$A$2:$C$70,2,FALSE)</f>
        <v>C00000021</v>
      </c>
      <c r="F1882" s="1" t="s">
        <v>491</v>
      </c>
      <c r="G1882" s="99" t="s">
        <v>654</v>
      </c>
      <c r="H1882" s="5">
        <v>2</v>
      </c>
      <c r="I1882" s="5" t="str">
        <f>VLOOKUP(F1882,'Set up'!$A$2:$C$70,3,FALSE)</f>
        <v>Cash</v>
      </c>
      <c r="J1882" s="5">
        <f>VLOOKUP(F1882,'Set up'!$A$2:$D$70,4,FALSE)</f>
        <v>0</v>
      </c>
      <c r="K1882" s="4">
        <f t="shared" si="456"/>
        <v>45124</v>
      </c>
      <c r="L1882" s="5">
        <f t="shared" si="457"/>
        <v>7</v>
      </c>
      <c r="M1882" s="5">
        <f t="shared" si="458"/>
        <v>2023</v>
      </c>
      <c r="N1882" s="6">
        <v>498</v>
      </c>
      <c r="O1882" s="6">
        <f t="shared" si="463"/>
        <v>-498</v>
      </c>
      <c r="P1882" s="6">
        <f t="shared" si="450"/>
        <v>0</v>
      </c>
      <c r="Q1882" s="7">
        <f t="shared" si="459"/>
        <v>3339331.0500000012</v>
      </c>
      <c r="R1882" s="44" t="str">
        <f>VLOOKUP(F1882,'Set up'!$A$2:$E$70,5,FALSE)</f>
        <v>PD Chq</v>
      </c>
      <c r="S1882" s="1" t="s">
        <v>2304</v>
      </c>
    </row>
    <row r="1883" spans="1:19" ht="15" customHeight="1" x14ac:dyDescent="0.3">
      <c r="A1883" s="4">
        <v>45124</v>
      </c>
      <c r="B1883" s="5">
        <f t="shared" si="454"/>
        <v>7</v>
      </c>
      <c r="C1883" s="5">
        <f t="shared" si="455"/>
        <v>2023</v>
      </c>
      <c r="D1883" s="88" t="s">
        <v>1722</v>
      </c>
      <c r="E1883" s="5" t="str">
        <f>VLOOKUP(F1883,'Set up'!$A$2:$C$70,2,FALSE)</f>
        <v>C00000021</v>
      </c>
      <c r="F1883" s="1" t="s">
        <v>491</v>
      </c>
      <c r="G1883" s="99" t="s">
        <v>1061</v>
      </c>
      <c r="H1883" s="5">
        <v>1</v>
      </c>
      <c r="I1883" s="5" t="str">
        <f>VLOOKUP(F1883,'Set up'!$A$2:$C$70,3,FALSE)</f>
        <v>Cash</v>
      </c>
      <c r="J1883" s="5">
        <f>VLOOKUP(F1883,'Set up'!$A$2:$D$70,4,FALSE)</f>
        <v>0</v>
      </c>
      <c r="K1883" s="4">
        <f t="shared" si="456"/>
        <v>45124</v>
      </c>
      <c r="L1883" s="5">
        <f t="shared" si="457"/>
        <v>7</v>
      </c>
      <c r="M1883" s="5">
        <f t="shared" si="458"/>
        <v>2023</v>
      </c>
      <c r="N1883" s="6">
        <v>95</v>
      </c>
      <c r="O1883" s="6">
        <f t="shared" si="463"/>
        <v>-95</v>
      </c>
      <c r="P1883" s="6">
        <f t="shared" si="450"/>
        <v>0</v>
      </c>
      <c r="Q1883" s="7">
        <f t="shared" si="459"/>
        <v>3339426.0500000012</v>
      </c>
      <c r="R1883" s="44" t="str">
        <f>VLOOKUP(F1883,'Set up'!$A$2:$E$70,5,FALSE)</f>
        <v>PD Chq</v>
      </c>
      <c r="S1883" s="1" t="s">
        <v>2304</v>
      </c>
    </row>
    <row r="1884" spans="1:19" ht="15" customHeight="1" x14ac:dyDescent="0.3">
      <c r="A1884" s="4">
        <v>45124</v>
      </c>
      <c r="B1884" s="5">
        <f t="shared" si="454"/>
        <v>7</v>
      </c>
      <c r="C1884" s="5">
        <f t="shared" si="455"/>
        <v>2023</v>
      </c>
      <c r="D1884" s="88" t="s">
        <v>1722</v>
      </c>
      <c r="E1884" s="5" t="str">
        <f>VLOOKUP(F1884,'Set up'!$A$2:$C$70,2,FALSE)</f>
        <v>C00000021</v>
      </c>
      <c r="F1884" s="1" t="s">
        <v>491</v>
      </c>
      <c r="G1884" s="99" t="s">
        <v>1110</v>
      </c>
      <c r="H1884" s="5">
        <v>5</v>
      </c>
      <c r="I1884" s="5" t="str">
        <f>VLOOKUP(F1884,'Set up'!$A$2:$C$70,3,FALSE)</f>
        <v>Cash</v>
      </c>
      <c r="J1884" s="5">
        <f>VLOOKUP(F1884,'Set up'!$A$2:$D$70,4,FALSE)</f>
        <v>0</v>
      </c>
      <c r="K1884" s="4">
        <f t="shared" si="456"/>
        <v>45124</v>
      </c>
      <c r="L1884" s="5">
        <f t="shared" si="457"/>
        <v>7</v>
      </c>
      <c r="M1884" s="5">
        <f t="shared" si="458"/>
        <v>2023</v>
      </c>
      <c r="N1884" s="6">
        <v>312.5</v>
      </c>
      <c r="O1884" s="6">
        <f t="shared" si="463"/>
        <v>-312.5</v>
      </c>
      <c r="P1884" s="6">
        <f t="shared" si="450"/>
        <v>0</v>
      </c>
      <c r="Q1884" s="7">
        <f t="shared" si="459"/>
        <v>3339738.5500000012</v>
      </c>
      <c r="R1884" s="44" t="str">
        <f>VLOOKUP(F1884,'Set up'!$A$2:$E$70,5,FALSE)</f>
        <v>PD Chq</v>
      </c>
      <c r="S1884" s="1" t="s">
        <v>2304</v>
      </c>
    </row>
    <row r="1885" spans="1:19" ht="15" customHeight="1" x14ac:dyDescent="0.3">
      <c r="A1885" s="4" t="s">
        <v>1724</v>
      </c>
      <c r="B1885" s="5">
        <f t="shared" si="454"/>
        <v>7</v>
      </c>
      <c r="C1885" s="5">
        <f t="shared" si="455"/>
        <v>2023</v>
      </c>
      <c r="D1885" s="88" t="s">
        <v>1723</v>
      </c>
      <c r="E1885" s="5" t="str">
        <f>VLOOKUP(F1885,'Set up'!$A$2:$C$70,2,FALSE)</f>
        <v>C00000019</v>
      </c>
      <c r="F1885" s="1" t="s">
        <v>400</v>
      </c>
      <c r="G1885" s="99" t="s">
        <v>719</v>
      </c>
      <c r="H1885" s="5">
        <v>2</v>
      </c>
      <c r="I1885" s="5" t="str">
        <f>VLOOKUP(F1885,'Set up'!$A$2:$C$70,3,FALSE)</f>
        <v>Cash</v>
      </c>
      <c r="J1885" s="5">
        <f>VLOOKUP(F1885,'Set up'!$A$2:$D$70,4,FALSE)</f>
        <v>0</v>
      </c>
      <c r="K1885" s="4">
        <f t="shared" si="456"/>
        <v>45125</v>
      </c>
      <c r="L1885" s="5">
        <f t="shared" si="457"/>
        <v>7</v>
      </c>
      <c r="M1885" s="5">
        <f t="shared" si="458"/>
        <v>2023</v>
      </c>
      <c r="N1885" s="6">
        <v>3564</v>
      </c>
      <c r="O1885" s="6">
        <f>-1658.2-1000-905.8</f>
        <v>-3564</v>
      </c>
      <c r="P1885" s="6">
        <f t="shared" si="450"/>
        <v>0</v>
      </c>
      <c r="Q1885" s="7">
        <f t="shared" si="459"/>
        <v>3343302.5500000012</v>
      </c>
      <c r="R1885" s="44" t="str">
        <f>VLOOKUP(F1885,'Set up'!$A$2:$E$70,5,FALSE)</f>
        <v>Trsf</v>
      </c>
      <c r="S1885" s="1" t="s">
        <v>2373</v>
      </c>
    </row>
    <row r="1886" spans="1:19" ht="15" customHeight="1" x14ac:dyDescent="0.3">
      <c r="A1886" s="4" t="s">
        <v>1724</v>
      </c>
      <c r="B1886" s="5">
        <f t="shared" si="454"/>
        <v>7</v>
      </c>
      <c r="C1886" s="5">
        <f t="shared" si="455"/>
        <v>2023</v>
      </c>
      <c r="D1886" s="88" t="s">
        <v>1723</v>
      </c>
      <c r="E1886" s="5" t="str">
        <f>VLOOKUP(F1886,'Set up'!$A$2:$C$70,2,FALSE)</f>
        <v>C00000019</v>
      </c>
      <c r="F1886" s="1" t="s">
        <v>400</v>
      </c>
      <c r="G1886" s="99" t="s">
        <v>1411</v>
      </c>
      <c r="H1886" s="5">
        <v>2</v>
      </c>
      <c r="I1886" s="5" t="str">
        <f>VLOOKUP(F1886,'Set up'!$A$2:$C$70,3,FALSE)</f>
        <v>Cash</v>
      </c>
      <c r="J1886" s="5">
        <f>VLOOKUP(F1886,'Set up'!$A$2:$D$70,4,FALSE)</f>
        <v>0</v>
      </c>
      <c r="K1886" s="4">
        <f t="shared" si="456"/>
        <v>45125</v>
      </c>
      <c r="L1886" s="5">
        <f t="shared" si="457"/>
        <v>7</v>
      </c>
      <c r="M1886" s="5">
        <f t="shared" si="458"/>
        <v>2023</v>
      </c>
      <c r="N1886" s="6">
        <v>842.4</v>
      </c>
      <c r="O1886" s="6">
        <f>-94.2-748.2</f>
        <v>-842.40000000000009</v>
      </c>
      <c r="P1886" s="6">
        <f t="shared" si="450"/>
        <v>-1.1368683772161603E-13</v>
      </c>
      <c r="Q1886" s="7">
        <f t="shared" si="459"/>
        <v>3344144.9500000011</v>
      </c>
      <c r="R1886" s="44" t="str">
        <f>VLOOKUP(F1886,'Set up'!$A$2:$E$70,5,FALSE)</f>
        <v>Trsf</v>
      </c>
      <c r="S1886" s="1" t="s">
        <v>2374</v>
      </c>
    </row>
    <row r="1887" spans="1:19" ht="15" customHeight="1" x14ac:dyDescent="0.3">
      <c r="A1887" s="4" t="s">
        <v>1724</v>
      </c>
      <c r="B1887" s="5">
        <f t="shared" si="454"/>
        <v>7</v>
      </c>
      <c r="C1887" s="5">
        <f t="shared" si="455"/>
        <v>2023</v>
      </c>
      <c r="D1887" s="88" t="s">
        <v>1723</v>
      </c>
      <c r="E1887" s="5" t="str">
        <f>VLOOKUP(F1887,'Set up'!$A$2:$C$70,2,FALSE)</f>
        <v>C00000019</v>
      </c>
      <c r="F1887" s="1" t="s">
        <v>400</v>
      </c>
      <c r="G1887" s="99" t="s">
        <v>791</v>
      </c>
      <c r="H1887" s="5">
        <v>3</v>
      </c>
      <c r="I1887" s="5" t="str">
        <f>VLOOKUP(F1887,'Set up'!$A$2:$C$70,3,FALSE)</f>
        <v>Cash</v>
      </c>
      <c r="J1887" s="5">
        <f>VLOOKUP(F1887,'Set up'!$A$2:$D$70,4,FALSE)</f>
        <v>0</v>
      </c>
      <c r="K1887" s="4">
        <f t="shared" si="456"/>
        <v>45125</v>
      </c>
      <c r="L1887" s="5">
        <f t="shared" si="457"/>
        <v>7</v>
      </c>
      <c r="M1887" s="5">
        <f t="shared" si="458"/>
        <v>2023</v>
      </c>
      <c r="N1887" s="6">
        <v>187.5</v>
      </c>
      <c r="O1887" s="6">
        <f t="shared" ref="O1887:O1889" si="464">-N1887</f>
        <v>-187.5</v>
      </c>
      <c r="P1887" s="6">
        <f t="shared" si="450"/>
        <v>0</v>
      </c>
      <c r="Q1887" s="7">
        <f t="shared" si="459"/>
        <v>3344332.4500000011</v>
      </c>
      <c r="R1887" s="44" t="str">
        <f>VLOOKUP(F1887,'Set up'!$A$2:$E$70,5,FALSE)</f>
        <v>Trsf</v>
      </c>
      <c r="S1887" s="1" t="s">
        <v>2375</v>
      </c>
    </row>
    <row r="1888" spans="1:19" ht="15" customHeight="1" x14ac:dyDescent="0.3">
      <c r="A1888" s="4" t="s">
        <v>1724</v>
      </c>
      <c r="B1888" s="5">
        <f t="shared" si="454"/>
        <v>7</v>
      </c>
      <c r="C1888" s="5">
        <f t="shared" si="455"/>
        <v>2023</v>
      </c>
      <c r="D1888" s="88" t="s">
        <v>1723</v>
      </c>
      <c r="E1888" s="5" t="str">
        <f>VLOOKUP(F1888,'Set up'!$A$2:$C$70,2,FALSE)</f>
        <v>C00000019</v>
      </c>
      <c r="F1888" s="1" t="s">
        <v>400</v>
      </c>
      <c r="G1888" s="99" t="s">
        <v>1469</v>
      </c>
      <c r="H1888" s="5">
        <v>1</v>
      </c>
      <c r="I1888" s="5" t="str">
        <f>VLOOKUP(F1888,'Set up'!$A$2:$C$70,3,FALSE)</f>
        <v>Cash</v>
      </c>
      <c r="J1888" s="5">
        <f>VLOOKUP(F1888,'Set up'!$A$2:$D$70,4,FALSE)</f>
        <v>0</v>
      </c>
      <c r="K1888" s="4">
        <f t="shared" si="456"/>
        <v>45125</v>
      </c>
      <c r="L1888" s="5">
        <f t="shared" si="457"/>
        <v>7</v>
      </c>
      <c r="M1888" s="5">
        <f t="shared" si="458"/>
        <v>2023</v>
      </c>
      <c r="N1888" s="6">
        <v>390</v>
      </c>
      <c r="O1888" s="6">
        <f t="shared" si="464"/>
        <v>-390</v>
      </c>
      <c r="P1888" s="6">
        <f t="shared" si="450"/>
        <v>0</v>
      </c>
      <c r="Q1888" s="7">
        <f t="shared" si="459"/>
        <v>3344722.4500000011</v>
      </c>
      <c r="R1888" s="44" t="str">
        <f>VLOOKUP(F1888,'Set up'!$A$2:$E$70,5,FALSE)</f>
        <v>Trsf</v>
      </c>
      <c r="S1888" s="1" t="s">
        <v>2376</v>
      </c>
    </row>
    <row r="1889" spans="1:19" ht="15" customHeight="1" x14ac:dyDescent="0.3">
      <c r="A1889" s="4" t="s">
        <v>1724</v>
      </c>
      <c r="B1889" s="5">
        <f t="shared" si="454"/>
        <v>7</v>
      </c>
      <c r="C1889" s="5">
        <f t="shared" si="455"/>
        <v>2023</v>
      </c>
      <c r="D1889" s="88" t="s">
        <v>1723</v>
      </c>
      <c r="E1889" s="5" t="str">
        <f>VLOOKUP(F1889,'Set up'!$A$2:$C$70,2,FALSE)</f>
        <v>C00000019</v>
      </c>
      <c r="F1889" s="1" t="s">
        <v>400</v>
      </c>
      <c r="G1889" s="99" t="s">
        <v>46</v>
      </c>
      <c r="H1889" s="5">
        <v>1</v>
      </c>
      <c r="I1889" s="5" t="str">
        <f>VLOOKUP(F1889,'Set up'!$A$2:$C$70,3,FALSE)</f>
        <v>Cash</v>
      </c>
      <c r="J1889" s="5">
        <f>VLOOKUP(F1889,'Set up'!$A$2:$D$70,4,FALSE)</f>
        <v>0</v>
      </c>
      <c r="K1889" s="4">
        <f t="shared" si="456"/>
        <v>45125</v>
      </c>
      <c r="L1889" s="5">
        <f t="shared" si="457"/>
        <v>7</v>
      </c>
      <c r="M1889" s="5">
        <f t="shared" si="458"/>
        <v>2023</v>
      </c>
      <c r="N1889" s="6">
        <v>105</v>
      </c>
      <c r="O1889" s="6">
        <f t="shared" si="464"/>
        <v>-105</v>
      </c>
      <c r="P1889" s="6">
        <f t="shared" si="450"/>
        <v>0</v>
      </c>
      <c r="Q1889" s="7">
        <f t="shared" si="459"/>
        <v>3344827.4500000011</v>
      </c>
      <c r="R1889" s="44" t="str">
        <f>VLOOKUP(F1889,'Set up'!$A$2:$E$70,5,FALSE)</f>
        <v>Trsf</v>
      </c>
      <c r="S1889" s="1" t="s">
        <v>2377</v>
      </c>
    </row>
    <row r="1890" spans="1:19" ht="15" customHeight="1" x14ac:dyDescent="0.3">
      <c r="A1890" s="4" t="s">
        <v>1724</v>
      </c>
      <c r="B1890" s="5">
        <f t="shared" si="454"/>
        <v>7</v>
      </c>
      <c r="C1890" s="5">
        <f t="shared" si="455"/>
        <v>2023</v>
      </c>
      <c r="D1890" s="88" t="s">
        <v>1723</v>
      </c>
      <c r="E1890" s="5" t="str">
        <f>VLOOKUP(F1890,'Set up'!$A$2:$C$70,2,FALSE)</f>
        <v>C00000019</v>
      </c>
      <c r="F1890" s="1" t="s">
        <v>400</v>
      </c>
      <c r="G1890" s="99" t="s">
        <v>949</v>
      </c>
      <c r="H1890" s="5">
        <v>3</v>
      </c>
      <c r="I1890" s="5" t="str">
        <f>VLOOKUP(F1890,'Set up'!$A$2:$C$70,3,FALSE)</f>
        <v>Cash</v>
      </c>
      <c r="J1890" s="5">
        <f>VLOOKUP(F1890,'Set up'!$A$2:$D$70,4,FALSE)</f>
        <v>0</v>
      </c>
      <c r="K1890" s="4">
        <f t="shared" si="456"/>
        <v>45125</v>
      </c>
      <c r="L1890" s="5">
        <f t="shared" si="457"/>
        <v>7</v>
      </c>
      <c r="M1890" s="5">
        <f t="shared" si="458"/>
        <v>2023</v>
      </c>
      <c r="N1890" s="6">
        <v>150</v>
      </c>
      <c r="O1890" s="6">
        <f>-69.3-80.7</f>
        <v>-150</v>
      </c>
      <c r="P1890" s="6">
        <f t="shared" si="450"/>
        <v>0</v>
      </c>
      <c r="Q1890" s="7">
        <f t="shared" si="459"/>
        <v>3344977.4500000011</v>
      </c>
      <c r="R1890" s="44" t="str">
        <f>VLOOKUP(F1890,'Set up'!$A$2:$E$70,5,FALSE)</f>
        <v>Trsf</v>
      </c>
      <c r="S1890" s="1" t="s">
        <v>2378</v>
      </c>
    </row>
    <row r="1891" spans="1:19" ht="15" customHeight="1" x14ac:dyDescent="0.3">
      <c r="A1891" s="4">
        <v>45133</v>
      </c>
      <c r="B1891" s="5">
        <f t="shared" si="454"/>
        <v>7</v>
      </c>
      <c r="C1891" s="5">
        <f t="shared" si="455"/>
        <v>2023</v>
      </c>
      <c r="D1891" s="88" t="s">
        <v>1725</v>
      </c>
      <c r="E1891" s="5" t="str">
        <f>VLOOKUP(F1891,'Set up'!$A$2:$C$70,2,FALSE)</f>
        <v>C00000020</v>
      </c>
      <c r="F1891" s="1" t="s">
        <v>409</v>
      </c>
      <c r="G1891" s="103" t="s">
        <v>1110</v>
      </c>
      <c r="H1891" s="5">
        <v>1</v>
      </c>
      <c r="I1891" s="5" t="str">
        <f>VLOOKUP(F1891,'Set up'!$A$2:$C$70,3,FALSE)</f>
        <v>Cash</v>
      </c>
      <c r="J1891" s="5">
        <f>VLOOKUP(F1891,'Set up'!$A$2:$D$70,4,FALSE)</f>
        <v>0</v>
      </c>
      <c r="K1891" s="4">
        <f t="shared" si="456"/>
        <v>45133</v>
      </c>
      <c r="L1891" s="5">
        <f t="shared" si="457"/>
        <v>7</v>
      </c>
      <c r="M1891" s="5">
        <f t="shared" si="458"/>
        <v>2023</v>
      </c>
      <c r="N1891" s="6">
        <v>62.5</v>
      </c>
      <c r="O1891" s="6">
        <f>-N1891</f>
        <v>-62.5</v>
      </c>
      <c r="P1891" s="6">
        <f t="shared" si="450"/>
        <v>0</v>
      </c>
      <c r="Q1891" s="7">
        <f t="shared" si="459"/>
        <v>3345039.9500000011</v>
      </c>
      <c r="R1891" s="44" t="str">
        <f>VLOOKUP(F1891,'Set up'!$A$2:$E$70,5,FALSE)</f>
        <v>Trsf</v>
      </c>
      <c r="S1891" s="1" t="s">
        <v>2475</v>
      </c>
    </row>
    <row r="1892" spans="1:19" ht="15" customHeight="1" x14ac:dyDescent="0.3">
      <c r="A1892" s="4">
        <v>45127</v>
      </c>
      <c r="B1892" s="5">
        <f t="shared" si="454"/>
        <v>7</v>
      </c>
      <c r="C1892" s="5">
        <f t="shared" si="455"/>
        <v>2023</v>
      </c>
      <c r="D1892" s="88" t="s">
        <v>1726</v>
      </c>
      <c r="E1892" s="5" t="str">
        <f>VLOOKUP(F1892,'Set up'!$A$2:$C$70,2,FALSE)</f>
        <v>C00000019</v>
      </c>
      <c r="F1892" s="1" t="s">
        <v>400</v>
      </c>
      <c r="G1892" s="89" t="s">
        <v>787</v>
      </c>
      <c r="H1892" s="5">
        <v>1</v>
      </c>
      <c r="I1892" s="5" t="str">
        <f>VLOOKUP(F1892,'Set up'!$A$2:$C$70,3,FALSE)</f>
        <v>Cash</v>
      </c>
      <c r="J1892" s="5">
        <f>VLOOKUP(F1892,'Set up'!$A$2:$D$70,4,FALSE)</f>
        <v>0</v>
      </c>
      <c r="K1892" s="4">
        <f t="shared" si="456"/>
        <v>45127</v>
      </c>
      <c r="L1892" s="5">
        <f t="shared" si="457"/>
        <v>7</v>
      </c>
      <c r="M1892" s="5">
        <f t="shared" si="458"/>
        <v>2023</v>
      </c>
      <c r="N1892" s="6">
        <v>420</v>
      </c>
      <c r="O1892" s="6">
        <f t="shared" ref="O1892" si="465">-N1892</f>
        <v>-420</v>
      </c>
      <c r="P1892" s="6">
        <f t="shared" si="450"/>
        <v>0</v>
      </c>
      <c r="Q1892" s="7">
        <f t="shared" si="459"/>
        <v>3345459.9500000011</v>
      </c>
      <c r="R1892" s="44" t="str">
        <f>VLOOKUP(F1892,'Set up'!$A$2:$E$70,5,FALSE)</f>
        <v>Trsf</v>
      </c>
      <c r="S1892" s="1" t="s">
        <v>2379</v>
      </c>
    </row>
    <row r="1893" spans="1:19" ht="15" customHeight="1" x14ac:dyDescent="0.3">
      <c r="A1893" s="4">
        <v>45128</v>
      </c>
      <c r="B1893" s="5">
        <f t="shared" si="454"/>
        <v>7</v>
      </c>
      <c r="C1893" s="5">
        <f t="shared" si="455"/>
        <v>2023</v>
      </c>
      <c r="D1893" s="88" t="s">
        <v>1727</v>
      </c>
      <c r="E1893" s="5" t="str">
        <f>VLOOKUP(F1893,'Set up'!$A$2:$C$70,2,FALSE)</f>
        <v>C00000010</v>
      </c>
      <c r="F1893" s="1" t="s">
        <v>62</v>
      </c>
      <c r="G1893" s="95" t="s">
        <v>1402</v>
      </c>
      <c r="H1893" s="5">
        <v>6</v>
      </c>
      <c r="I1893" s="5">
        <f>VLOOKUP(F1893,'Set up'!$A$2:$C$70,3,FALSE)</f>
        <v>120</v>
      </c>
      <c r="J1893" s="5">
        <f>VLOOKUP(F1893,'Set up'!$A$2:$D$70,4,FALSE)</f>
        <v>120</v>
      </c>
      <c r="K1893" s="4">
        <f t="shared" si="456"/>
        <v>45248</v>
      </c>
      <c r="L1893" s="5">
        <f t="shared" si="457"/>
        <v>11</v>
      </c>
      <c r="M1893" s="5">
        <f t="shared" si="458"/>
        <v>2023</v>
      </c>
      <c r="N1893" s="6">
        <v>9636</v>
      </c>
      <c r="O1893" s="6">
        <f>-N1893</f>
        <v>-9636</v>
      </c>
      <c r="P1893" s="6">
        <f t="shared" si="450"/>
        <v>0</v>
      </c>
      <c r="Q1893" s="7">
        <f t="shared" si="459"/>
        <v>3355095.9500000011</v>
      </c>
      <c r="R1893" s="44" t="str">
        <f>VLOOKUP(F1893,'Set up'!$A$2:$E$70,5,FALSE)</f>
        <v>Trsf</v>
      </c>
      <c r="S1893" s="1" t="s">
        <v>2255</v>
      </c>
    </row>
    <row r="1894" spans="1:19" ht="15" customHeight="1" x14ac:dyDescent="0.3">
      <c r="A1894" s="4">
        <v>45128</v>
      </c>
      <c r="B1894" s="5">
        <f t="shared" si="454"/>
        <v>7</v>
      </c>
      <c r="C1894" s="5">
        <f t="shared" si="455"/>
        <v>2023</v>
      </c>
      <c r="D1894" s="88" t="s">
        <v>1727</v>
      </c>
      <c r="E1894" s="5" t="str">
        <f>VLOOKUP(F1894,'Set up'!$A$2:$C$70,2,FALSE)</f>
        <v>C00000010</v>
      </c>
      <c r="F1894" s="1" t="s">
        <v>62</v>
      </c>
      <c r="G1894" s="90" t="s">
        <v>1543</v>
      </c>
      <c r="H1894" s="5">
        <v>5</v>
      </c>
      <c r="I1894" s="5">
        <f>VLOOKUP(F1894,'Set up'!$A$2:$C$70,3,FALSE)</f>
        <v>120</v>
      </c>
      <c r="J1894" s="5">
        <f>VLOOKUP(F1894,'Set up'!$A$2:$D$70,4,FALSE)</f>
        <v>120</v>
      </c>
      <c r="K1894" s="4">
        <f t="shared" si="456"/>
        <v>45248</v>
      </c>
      <c r="L1894" s="5">
        <f t="shared" si="457"/>
        <v>11</v>
      </c>
      <c r="M1894" s="5">
        <f t="shared" si="458"/>
        <v>2023</v>
      </c>
      <c r="N1894" s="6">
        <v>900</v>
      </c>
      <c r="O1894" s="6">
        <f>-N1894</f>
        <v>-900</v>
      </c>
      <c r="P1894" s="6">
        <f t="shared" si="450"/>
        <v>0</v>
      </c>
      <c r="Q1894" s="7">
        <f t="shared" si="459"/>
        <v>3355995.9500000011</v>
      </c>
      <c r="R1894" s="44" t="str">
        <f>VLOOKUP(F1894,'Set up'!$A$2:$E$70,5,FALSE)</f>
        <v>Trsf</v>
      </c>
      <c r="S1894" s="1" t="s">
        <v>2255</v>
      </c>
    </row>
    <row r="1895" spans="1:19" ht="15" customHeight="1" x14ac:dyDescent="0.3">
      <c r="A1895" s="4">
        <v>45128</v>
      </c>
      <c r="B1895" s="5">
        <f t="shared" si="454"/>
        <v>7</v>
      </c>
      <c r="C1895" s="5">
        <f t="shared" si="455"/>
        <v>2023</v>
      </c>
      <c r="D1895" s="88" t="s">
        <v>1727</v>
      </c>
      <c r="E1895" s="5" t="str">
        <f>VLOOKUP(F1895,'Set up'!$A$2:$C$70,2,FALSE)</f>
        <v>C00000010</v>
      </c>
      <c r="F1895" s="1" t="s">
        <v>62</v>
      </c>
      <c r="G1895" s="90" t="s">
        <v>791</v>
      </c>
      <c r="H1895" s="5">
        <v>15</v>
      </c>
      <c r="I1895" s="5">
        <f>VLOOKUP(F1895,'Set up'!$A$2:$C$70,3,FALSE)</f>
        <v>120</v>
      </c>
      <c r="J1895" s="5">
        <f>VLOOKUP(F1895,'Set up'!$A$2:$D$70,4,FALSE)</f>
        <v>120</v>
      </c>
      <c r="K1895" s="4">
        <f t="shared" si="456"/>
        <v>45248</v>
      </c>
      <c r="L1895" s="5">
        <f t="shared" si="457"/>
        <v>11</v>
      </c>
      <c r="M1895" s="5">
        <f t="shared" si="458"/>
        <v>2023</v>
      </c>
      <c r="N1895" s="6">
        <v>862.5</v>
      </c>
      <c r="O1895" s="6">
        <f>-N1895</f>
        <v>-862.5</v>
      </c>
      <c r="P1895" s="6">
        <f t="shared" si="450"/>
        <v>0</v>
      </c>
      <c r="Q1895" s="7">
        <f t="shared" si="459"/>
        <v>3356858.4500000011</v>
      </c>
      <c r="R1895" s="44" t="str">
        <f>VLOOKUP(F1895,'Set up'!$A$2:$E$70,5,FALSE)</f>
        <v>Trsf</v>
      </c>
      <c r="S1895" s="1" t="s">
        <v>2255</v>
      </c>
    </row>
    <row r="1896" spans="1:19" ht="15" customHeight="1" x14ac:dyDescent="0.3">
      <c r="A1896" s="4">
        <v>45128</v>
      </c>
      <c r="B1896" s="5">
        <f t="shared" si="454"/>
        <v>7</v>
      </c>
      <c r="C1896" s="5">
        <f t="shared" si="455"/>
        <v>2023</v>
      </c>
      <c r="D1896" s="88" t="s">
        <v>1728</v>
      </c>
      <c r="E1896" s="5" t="str">
        <f>VLOOKUP(F1896,'Set up'!$A$2:$C$70,2,FALSE)</f>
        <v>C00000037</v>
      </c>
      <c r="F1896" s="1" t="s">
        <v>1309</v>
      </c>
      <c r="G1896" s="11" t="s">
        <v>719</v>
      </c>
      <c r="H1896" s="5">
        <v>4</v>
      </c>
      <c r="I1896" s="5">
        <f>VLOOKUP(F1896,'Set up'!$A$2:$C$70,3,FALSE)</f>
        <v>30</v>
      </c>
      <c r="J1896" s="5">
        <f>VLOOKUP(F1896,'Set up'!$A$2:$D$70,4,FALSE)</f>
        <v>30</v>
      </c>
      <c r="K1896" s="4">
        <f t="shared" si="456"/>
        <v>45158</v>
      </c>
      <c r="L1896" s="5">
        <f t="shared" si="457"/>
        <v>8</v>
      </c>
      <c r="M1896" s="5">
        <f t="shared" si="458"/>
        <v>2023</v>
      </c>
      <c r="N1896" s="6">
        <v>7304</v>
      </c>
      <c r="O1896" s="6">
        <f t="shared" ref="O1896:O1902" si="466">-N1896</f>
        <v>-7304</v>
      </c>
      <c r="P1896" s="6">
        <f t="shared" si="450"/>
        <v>0</v>
      </c>
      <c r="Q1896" s="7">
        <f t="shared" si="459"/>
        <v>3364162.4500000011</v>
      </c>
      <c r="R1896" s="44" t="str">
        <f>VLOOKUP(F1896,'Set up'!$A$2:$E$70,5,FALSE)</f>
        <v>Chq</v>
      </c>
      <c r="S1896" s="1" t="s">
        <v>1856</v>
      </c>
    </row>
    <row r="1897" spans="1:19" ht="15" customHeight="1" x14ac:dyDescent="0.3">
      <c r="A1897" s="4">
        <v>45128</v>
      </c>
      <c r="B1897" s="5">
        <f t="shared" si="454"/>
        <v>7</v>
      </c>
      <c r="C1897" s="5">
        <f t="shared" si="455"/>
        <v>2023</v>
      </c>
      <c r="D1897" s="88" t="s">
        <v>1728</v>
      </c>
      <c r="E1897" s="5" t="str">
        <f>VLOOKUP(F1897,'Set up'!$A$2:$C$70,2,FALSE)</f>
        <v>C00000037</v>
      </c>
      <c r="F1897" s="1" t="s">
        <v>1309</v>
      </c>
      <c r="G1897" s="11" t="s">
        <v>707</v>
      </c>
      <c r="H1897" s="5">
        <v>5</v>
      </c>
      <c r="I1897" s="5">
        <f>VLOOKUP(F1897,'Set up'!$A$2:$C$70,3,FALSE)</f>
        <v>30</v>
      </c>
      <c r="J1897" s="5">
        <f>VLOOKUP(F1897,'Set up'!$A$2:$D$70,4,FALSE)</f>
        <v>30</v>
      </c>
      <c r="K1897" s="4">
        <f t="shared" si="456"/>
        <v>45158</v>
      </c>
      <c r="L1897" s="5">
        <f t="shared" si="457"/>
        <v>8</v>
      </c>
      <c r="M1897" s="5">
        <f t="shared" si="458"/>
        <v>2023</v>
      </c>
      <c r="N1897" s="6">
        <v>2106</v>
      </c>
      <c r="O1897" s="6">
        <f t="shared" si="466"/>
        <v>-2106</v>
      </c>
      <c r="P1897" s="6">
        <f t="shared" si="450"/>
        <v>0</v>
      </c>
      <c r="Q1897" s="7">
        <f t="shared" si="459"/>
        <v>3366268.4500000011</v>
      </c>
      <c r="R1897" s="44" t="str">
        <f>VLOOKUP(F1897,'Set up'!$A$2:$E$70,5,FALSE)</f>
        <v>Chq</v>
      </c>
      <c r="S1897" s="1" t="s">
        <v>1856</v>
      </c>
    </row>
    <row r="1898" spans="1:19" ht="15" customHeight="1" x14ac:dyDescent="0.3">
      <c r="A1898" s="4">
        <v>45128</v>
      </c>
      <c r="B1898" s="5">
        <f t="shared" si="454"/>
        <v>7</v>
      </c>
      <c r="C1898" s="5">
        <f t="shared" si="455"/>
        <v>2023</v>
      </c>
      <c r="D1898" s="88" t="s">
        <v>1728</v>
      </c>
      <c r="E1898" s="5" t="str">
        <f>VLOOKUP(F1898,'Set up'!$A$2:$C$70,2,FALSE)</f>
        <v>C00000037</v>
      </c>
      <c r="F1898" s="1" t="s">
        <v>1309</v>
      </c>
      <c r="G1898" s="90" t="s">
        <v>1405</v>
      </c>
      <c r="H1898" s="5">
        <v>5</v>
      </c>
      <c r="I1898" s="5">
        <f>VLOOKUP(F1898,'Set up'!$A$2:$C$70,3,FALSE)</f>
        <v>30</v>
      </c>
      <c r="J1898" s="5">
        <f>VLOOKUP(F1898,'Set up'!$A$2:$D$70,4,FALSE)</f>
        <v>30</v>
      </c>
      <c r="K1898" s="4">
        <f t="shared" si="456"/>
        <v>45158</v>
      </c>
      <c r="L1898" s="5">
        <f t="shared" si="457"/>
        <v>8</v>
      </c>
      <c r="M1898" s="5">
        <f t="shared" si="458"/>
        <v>2023</v>
      </c>
      <c r="N1898" s="6">
        <v>240</v>
      </c>
      <c r="O1898" s="6">
        <f t="shared" si="466"/>
        <v>-240</v>
      </c>
      <c r="P1898" s="6">
        <f t="shared" si="450"/>
        <v>0</v>
      </c>
      <c r="Q1898" s="7">
        <f t="shared" si="459"/>
        <v>3366508.4500000011</v>
      </c>
      <c r="R1898" s="44" t="str">
        <f>VLOOKUP(F1898,'Set up'!$A$2:$E$70,5,FALSE)</f>
        <v>Chq</v>
      </c>
      <c r="S1898" s="1" t="s">
        <v>1856</v>
      </c>
    </row>
    <row r="1899" spans="1:19" ht="15" customHeight="1" x14ac:dyDescent="0.3">
      <c r="A1899" s="4">
        <v>45128</v>
      </c>
      <c r="B1899" s="5">
        <f t="shared" si="454"/>
        <v>7</v>
      </c>
      <c r="C1899" s="5">
        <f t="shared" si="455"/>
        <v>2023</v>
      </c>
      <c r="D1899" s="88" t="s">
        <v>1728</v>
      </c>
      <c r="E1899" s="5" t="str">
        <f>VLOOKUP(F1899,'Set up'!$A$2:$C$70,2,FALSE)</f>
        <v>C00000037</v>
      </c>
      <c r="F1899" s="1" t="s">
        <v>1309</v>
      </c>
      <c r="G1899" s="90" t="s">
        <v>1061</v>
      </c>
      <c r="H1899" s="5">
        <v>2</v>
      </c>
      <c r="I1899" s="5">
        <f>VLOOKUP(F1899,'Set up'!$A$2:$C$70,3,FALSE)</f>
        <v>30</v>
      </c>
      <c r="J1899" s="5">
        <f>VLOOKUP(F1899,'Set up'!$A$2:$D$70,4,FALSE)</f>
        <v>30</v>
      </c>
      <c r="K1899" s="4">
        <f t="shared" si="456"/>
        <v>45158</v>
      </c>
      <c r="L1899" s="5">
        <f t="shared" si="457"/>
        <v>8</v>
      </c>
      <c r="M1899" s="5">
        <f t="shared" si="458"/>
        <v>2023</v>
      </c>
      <c r="N1899" s="6">
        <v>190</v>
      </c>
      <c r="O1899" s="6">
        <f t="shared" si="466"/>
        <v>-190</v>
      </c>
      <c r="P1899" s="6">
        <f t="shared" si="450"/>
        <v>0</v>
      </c>
      <c r="Q1899" s="7">
        <f t="shared" si="459"/>
        <v>3366698.4500000011</v>
      </c>
      <c r="R1899" s="44" t="str">
        <f>VLOOKUP(F1899,'Set up'!$A$2:$E$70,5,FALSE)</f>
        <v>Chq</v>
      </c>
      <c r="S1899" s="1" t="s">
        <v>1856</v>
      </c>
    </row>
    <row r="1900" spans="1:19" ht="15" customHeight="1" x14ac:dyDescent="0.3">
      <c r="A1900" s="4">
        <v>45128</v>
      </c>
      <c r="B1900" s="5">
        <f t="shared" si="454"/>
        <v>7</v>
      </c>
      <c r="C1900" s="5">
        <f t="shared" si="455"/>
        <v>2023</v>
      </c>
      <c r="D1900" s="88" t="s">
        <v>1728</v>
      </c>
      <c r="E1900" s="5" t="str">
        <f>VLOOKUP(F1900,'Set up'!$A$2:$C$70,2,FALSE)</f>
        <v>C00000037</v>
      </c>
      <c r="F1900" s="1" t="s">
        <v>1309</v>
      </c>
      <c r="G1900" s="99" t="s">
        <v>1110</v>
      </c>
      <c r="H1900" s="5">
        <v>5</v>
      </c>
      <c r="I1900" s="5">
        <f>VLOOKUP(F1900,'Set up'!$A$2:$C$70,3,FALSE)</f>
        <v>30</v>
      </c>
      <c r="J1900" s="5">
        <f>VLOOKUP(F1900,'Set up'!$A$2:$D$70,4,FALSE)</f>
        <v>30</v>
      </c>
      <c r="K1900" s="4">
        <f t="shared" si="456"/>
        <v>45158</v>
      </c>
      <c r="L1900" s="5">
        <f t="shared" si="457"/>
        <v>8</v>
      </c>
      <c r="M1900" s="5">
        <f t="shared" si="458"/>
        <v>2023</v>
      </c>
      <c r="N1900" s="6">
        <v>312.5</v>
      </c>
      <c r="O1900" s="6">
        <f t="shared" si="466"/>
        <v>-312.5</v>
      </c>
      <c r="P1900" s="6">
        <f t="shared" si="450"/>
        <v>0</v>
      </c>
      <c r="Q1900" s="7">
        <f t="shared" si="459"/>
        <v>3367010.9500000011</v>
      </c>
      <c r="R1900" s="44" t="str">
        <f>VLOOKUP(F1900,'Set up'!$A$2:$E$70,5,FALSE)</f>
        <v>Chq</v>
      </c>
      <c r="S1900" s="1" t="s">
        <v>1856</v>
      </c>
    </row>
    <row r="1901" spans="1:19" ht="15" customHeight="1" x14ac:dyDescent="0.3">
      <c r="A1901" s="4">
        <v>45128</v>
      </c>
      <c r="B1901" s="5">
        <f t="shared" si="454"/>
        <v>7</v>
      </c>
      <c r="C1901" s="5">
        <f t="shared" si="455"/>
        <v>2023</v>
      </c>
      <c r="D1901" s="88" t="s">
        <v>1728</v>
      </c>
      <c r="E1901" s="5" t="str">
        <f>VLOOKUP(F1901,'Set up'!$A$2:$C$70,2,FALSE)</f>
        <v>C00000037</v>
      </c>
      <c r="F1901" s="1" t="s">
        <v>1309</v>
      </c>
      <c r="G1901" s="99" t="s">
        <v>865</v>
      </c>
      <c r="H1901" s="5">
        <v>1</v>
      </c>
      <c r="I1901" s="5">
        <f>VLOOKUP(F1901,'Set up'!$A$2:$C$70,3,FALSE)</f>
        <v>30</v>
      </c>
      <c r="J1901" s="5">
        <f>VLOOKUP(F1901,'Set up'!$A$2:$D$70,4,FALSE)</f>
        <v>30</v>
      </c>
      <c r="K1901" s="4">
        <f t="shared" si="456"/>
        <v>45158</v>
      </c>
      <c r="L1901" s="5">
        <f t="shared" si="457"/>
        <v>8</v>
      </c>
      <c r="M1901" s="5">
        <f t="shared" si="458"/>
        <v>2023</v>
      </c>
      <c r="N1901" s="6">
        <v>260</v>
      </c>
      <c r="O1901" s="6">
        <f t="shared" si="466"/>
        <v>-260</v>
      </c>
      <c r="P1901" s="6">
        <f t="shared" si="450"/>
        <v>0</v>
      </c>
      <c r="Q1901" s="7">
        <f t="shared" si="459"/>
        <v>3367270.9500000011</v>
      </c>
      <c r="R1901" s="44" t="str">
        <f>VLOOKUP(F1901,'Set up'!$A$2:$E$70,5,FALSE)</f>
        <v>Chq</v>
      </c>
      <c r="S1901" s="1" t="s">
        <v>1856</v>
      </c>
    </row>
    <row r="1902" spans="1:19" ht="15" customHeight="1" x14ac:dyDescent="0.3">
      <c r="A1902" s="4">
        <v>45128</v>
      </c>
      <c r="B1902" s="5">
        <f t="shared" si="454"/>
        <v>7</v>
      </c>
      <c r="C1902" s="5">
        <f t="shared" si="455"/>
        <v>2023</v>
      </c>
      <c r="D1902" s="88" t="s">
        <v>1728</v>
      </c>
      <c r="E1902" s="5" t="str">
        <f>VLOOKUP(F1902,'Set up'!$A$2:$C$70,2,FALSE)</f>
        <v>C00000037</v>
      </c>
      <c r="F1902" s="1" t="s">
        <v>1309</v>
      </c>
      <c r="G1902" s="99" t="s">
        <v>1546</v>
      </c>
      <c r="H1902" s="5">
        <v>1</v>
      </c>
      <c r="I1902" s="5">
        <f>VLOOKUP(F1902,'Set up'!$A$2:$C$70,3,FALSE)</f>
        <v>30</v>
      </c>
      <c r="J1902" s="5">
        <f>VLOOKUP(F1902,'Set up'!$A$2:$D$70,4,FALSE)</f>
        <v>30</v>
      </c>
      <c r="K1902" s="4">
        <f t="shared" si="456"/>
        <v>45158</v>
      </c>
      <c r="L1902" s="5">
        <f t="shared" si="457"/>
        <v>8</v>
      </c>
      <c r="M1902" s="5">
        <f t="shared" si="458"/>
        <v>2023</v>
      </c>
      <c r="N1902" s="6">
        <v>930</v>
      </c>
      <c r="O1902" s="6">
        <f t="shared" si="466"/>
        <v>-930</v>
      </c>
      <c r="P1902" s="6">
        <f t="shared" si="450"/>
        <v>0</v>
      </c>
      <c r="Q1902" s="7">
        <f t="shared" si="459"/>
        <v>3368200.9500000011</v>
      </c>
      <c r="R1902" s="44" t="str">
        <f>VLOOKUP(F1902,'Set up'!$A$2:$E$70,5,FALSE)</f>
        <v>Chq</v>
      </c>
      <c r="S1902" s="1" t="s">
        <v>1856</v>
      </c>
    </row>
    <row r="1903" spans="1:19" ht="15" customHeight="1" x14ac:dyDescent="0.3">
      <c r="A1903" s="4">
        <v>45131</v>
      </c>
      <c r="B1903" s="5">
        <f t="shared" si="454"/>
        <v>7</v>
      </c>
      <c r="C1903" s="5">
        <f t="shared" si="455"/>
        <v>2023</v>
      </c>
      <c r="D1903" s="88" t="s">
        <v>1729</v>
      </c>
      <c r="E1903" s="5" t="str">
        <f>VLOOKUP(F1903,'Set up'!$A$2:$C$70,2,FALSE)</f>
        <v>C00000034</v>
      </c>
      <c r="F1903" s="1" t="s">
        <v>1196</v>
      </c>
      <c r="G1903" s="99" t="s">
        <v>1356</v>
      </c>
      <c r="H1903" s="5">
        <v>2</v>
      </c>
      <c r="I1903" s="5" t="str">
        <f>VLOOKUP(F1903,'Set up'!$A$2:$C$70,3,FALSE)</f>
        <v>Cash</v>
      </c>
      <c r="J1903" s="5">
        <f>VLOOKUP(F1903,'Set up'!$A$2:$D$70,4,FALSE)</f>
        <v>0</v>
      </c>
      <c r="K1903" s="4">
        <f t="shared" si="456"/>
        <v>45131</v>
      </c>
      <c r="L1903" s="5">
        <f t="shared" si="457"/>
        <v>7</v>
      </c>
      <c r="M1903" s="5">
        <f t="shared" si="458"/>
        <v>2023</v>
      </c>
      <c r="N1903" s="6">
        <v>3652</v>
      </c>
      <c r="O1903" s="6">
        <f t="shared" ref="O1903:O1909" si="467">-N1903</f>
        <v>-3652</v>
      </c>
      <c r="P1903" s="6">
        <f t="shared" si="450"/>
        <v>0</v>
      </c>
      <c r="Q1903" s="7">
        <f t="shared" si="459"/>
        <v>3371852.9500000011</v>
      </c>
      <c r="R1903" s="44" t="str">
        <f>VLOOKUP(F1903,'Set up'!$A$2:$E$70,5,FALSE)</f>
        <v>Trsf</v>
      </c>
      <c r="S1903" s="1" t="s">
        <v>1868</v>
      </c>
    </row>
    <row r="1904" spans="1:19" ht="15" customHeight="1" x14ac:dyDescent="0.3">
      <c r="A1904" s="4">
        <v>45131</v>
      </c>
      <c r="B1904" s="5">
        <f t="shared" si="454"/>
        <v>7</v>
      </c>
      <c r="C1904" s="5">
        <f t="shared" si="455"/>
        <v>2023</v>
      </c>
      <c r="D1904" s="88" t="s">
        <v>1729</v>
      </c>
      <c r="E1904" s="5" t="str">
        <f>VLOOKUP(F1904,'Set up'!$A$2:$C$70,2,FALSE)</f>
        <v>C00000034</v>
      </c>
      <c r="F1904" s="1" t="s">
        <v>1196</v>
      </c>
      <c r="G1904" s="99" t="s">
        <v>1431</v>
      </c>
      <c r="H1904" s="5">
        <v>3</v>
      </c>
      <c r="I1904" s="5" t="str">
        <f>VLOOKUP(F1904,'Set up'!$A$2:$C$70,3,FALSE)</f>
        <v>Cash</v>
      </c>
      <c r="J1904" s="5">
        <f>VLOOKUP(F1904,'Set up'!$A$2:$D$70,4,FALSE)</f>
        <v>0</v>
      </c>
      <c r="K1904" s="4">
        <f t="shared" si="456"/>
        <v>45131</v>
      </c>
      <c r="L1904" s="5">
        <f t="shared" si="457"/>
        <v>7</v>
      </c>
      <c r="M1904" s="5">
        <f t="shared" si="458"/>
        <v>2023</v>
      </c>
      <c r="N1904" s="6">
        <v>675</v>
      </c>
      <c r="O1904" s="6">
        <f t="shared" si="467"/>
        <v>-675</v>
      </c>
      <c r="P1904" s="6">
        <f t="shared" si="450"/>
        <v>0</v>
      </c>
      <c r="Q1904" s="7">
        <f t="shared" si="459"/>
        <v>3372527.9500000011</v>
      </c>
      <c r="R1904" s="44" t="str">
        <f>VLOOKUP(F1904,'Set up'!$A$2:$E$70,5,FALSE)</f>
        <v>Trsf</v>
      </c>
      <c r="S1904" s="1" t="s">
        <v>1869</v>
      </c>
    </row>
    <row r="1905" spans="1:19" ht="15" customHeight="1" x14ac:dyDescent="0.3">
      <c r="A1905" s="4">
        <v>45131</v>
      </c>
      <c r="B1905" s="5">
        <f t="shared" si="454"/>
        <v>7</v>
      </c>
      <c r="C1905" s="5">
        <f t="shared" si="455"/>
        <v>2023</v>
      </c>
      <c r="D1905" s="88" t="s">
        <v>1729</v>
      </c>
      <c r="E1905" s="5" t="str">
        <f>VLOOKUP(F1905,'Set up'!$A$2:$C$70,2,FALSE)</f>
        <v>C00000034</v>
      </c>
      <c r="F1905" s="1" t="s">
        <v>1196</v>
      </c>
      <c r="G1905" s="99" t="s">
        <v>1624</v>
      </c>
      <c r="H1905" s="5">
        <v>1</v>
      </c>
      <c r="I1905" s="5" t="str">
        <f>VLOOKUP(F1905,'Set up'!$A$2:$C$70,3,FALSE)</f>
        <v>Cash</v>
      </c>
      <c r="J1905" s="5">
        <f>VLOOKUP(F1905,'Set up'!$A$2:$D$70,4,FALSE)</f>
        <v>0</v>
      </c>
      <c r="K1905" s="4">
        <f t="shared" si="456"/>
        <v>45131</v>
      </c>
      <c r="L1905" s="5">
        <f t="shared" si="457"/>
        <v>7</v>
      </c>
      <c r="M1905" s="5">
        <f t="shared" si="458"/>
        <v>2023</v>
      </c>
      <c r="N1905" s="6">
        <v>236</v>
      </c>
      <c r="O1905" s="6">
        <f t="shared" si="467"/>
        <v>-236</v>
      </c>
      <c r="P1905" s="6">
        <f t="shared" si="450"/>
        <v>0</v>
      </c>
      <c r="Q1905" s="7">
        <f t="shared" si="459"/>
        <v>3372763.9500000011</v>
      </c>
      <c r="R1905" s="44" t="str">
        <f>VLOOKUP(F1905,'Set up'!$A$2:$E$70,5,FALSE)</f>
        <v>Trsf</v>
      </c>
      <c r="S1905" s="1" t="s">
        <v>1870</v>
      </c>
    </row>
    <row r="1906" spans="1:19" ht="15" customHeight="1" x14ac:dyDescent="0.3">
      <c r="A1906" s="4">
        <v>45131</v>
      </c>
      <c r="B1906" s="5">
        <f t="shared" si="454"/>
        <v>7</v>
      </c>
      <c r="C1906" s="5">
        <f t="shared" si="455"/>
        <v>2023</v>
      </c>
      <c r="D1906" s="88" t="s">
        <v>1729</v>
      </c>
      <c r="E1906" s="5" t="str">
        <f>VLOOKUP(F1906,'Set up'!$A$2:$C$70,2,FALSE)</f>
        <v>C00000034</v>
      </c>
      <c r="F1906" s="1" t="s">
        <v>1196</v>
      </c>
      <c r="G1906" s="99" t="s">
        <v>1061</v>
      </c>
      <c r="H1906" s="5">
        <v>2</v>
      </c>
      <c r="I1906" s="5" t="str">
        <f>VLOOKUP(F1906,'Set up'!$A$2:$C$70,3,FALSE)</f>
        <v>Cash</v>
      </c>
      <c r="J1906" s="5">
        <f>VLOOKUP(F1906,'Set up'!$A$2:$D$70,4,FALSE)</f>
        <v>0</v>
      </c>
      <c r="K1906" s="4">
        <f t="shared" si="456"/>
        <v>45131</v>
      </c>
      <c r="L1906" s="5">
        <f t="shared" si="457"/>
        <v>7</v>
      </c>
      <c r="M1906" s="5">
        <f t="shared" si="458"/>
        <v>2023</v>
      </c>
      <c r="N1906" s="6">
        <v>190</v>
      </c>
      <c r="O1906" s="6">
        <f t="shared" si="467"/>
        <v>-190</v>
      </c>
      <c r="P1906" s="6">
        <f t="shared" si="450"/>
        <v>0</v>
      </c>
      <c r="Q1906" s="7">
        <f t="shared" si="459"/>
        <v>3372953.9500000011</v>
      </c>
      <c r="R1906" s="44" t="str">
        <f>VLOOKUP(F1906,'Set up'!$A$2:$E$70,5,FALSE)</f>
        <v>Trsf</v>
      </c>
      <c r="S1906" s="1" t="s">
        <v>1871</v>
      </c>
    </row>
    <row r="1907" spans="1:19" ht="15" customHeight="1" x14ac:dyDescent="0.3">
      <c r="A1907" s="4">
        <v>45131</v>
      </c>
      <c r="B1907" s="5">
        <f t="shared" si="454"/>
        <v>7</v>
      </c>
      <c r="C1907" s="5">
        <f t="shared" si="455"/>
        <v>2023</v>
      </c>
      <c r="D1907" s="88" t="s">
        <v>1729</v>
      </c>
      <c r="E1907" s="5" t="str">
        <f>VLOOKUP(F1907,'Set up'!$A$2:$C$70,2,FALSE)</f>
        <v>C00000034</v>
      </c>
      <c r="F1907" s="1" t="s">
        <v>1196</v>
      </c>
      <c r="G1907" s="99" t="s">
        <v>1110</v>
      </c>
      <c r="H1907" s="5">
        <v>3</v>
      </c>
      <c r="I1907" s="5" t="str">
        <f>VLOOKUP(F1907,'Set up'!$A$2:$C$70,3,FALSE)</f>
        <v>Cash</v>
      </c>
      <c r="J1907" s="5">
        <f>VLOOKUP(F1907,'Set up'!$A$2:$D$70,4,FALSE)</f>
        <v>0</v>
      </c>
      <c r="K1907" s="4">
        <f t="shared" si="456"/>
        <v>45131</v>
      </c>
      <c r="L1907" s="5">
        <f t="shared" si="457"/>
        <v>7</v>
      </c>
      <c r="M1907" s="5">
        <f t="shared" si="458"/>
        <v>2023</v>
      </c>
      <c r="N1907" s="6">
        <v>187.5</v>
      </c>
      <c r="O1907" s="6">
        <f>-187-0.5</f>
        <v>-187.5</v>
      </c>
      <c r="P1907" s="6">
        <f t="shared" si="450"/>
        <v>0</v>
      </c>
      <c r="Q1907" s="7">
        <f t="shared" si="459"/>
        <v>3373141.4500000011</v>
      </c>
      <c r="R1907" s="44" t="str">
        <f>VLOOKUP(F1907,'Set up'!$A$2:$E$70,5,FALSE)</f>
        <v>Trsf</v>
      </c>
      <c r="S1907" s="1" t="s">
        <v>1872</v>
      </c>
    </row>
    <row r="1908" spans="1:19" ht="15" customHeight="1" x14ac:dyDescent="0.3">
      <c r="A1908" s="4">
        <v>45132</v>
      </c>
      <c r="B1908" s="5">
        <f t="shared" si="454"/>
        <v>7</v>
      </c>
      <c r="C1908" s="5">
        <f t="shared" si="455"/>
        <v>2023</v>
      </c>
      <c r="D1908" s="88" t="s">
        <v>1730</v>
      </c>
      <c r="E1908" s="5" t="str">
        <f>VLOOKUP(F1908,'Set up'!$A$2:$C$70,2,FALSE)</f>
        <v>C00000038</v>
      </c>
      <c r="F1908" s="1" t="s">
        <v>1420</v>
      </c>
      <c r="G1908" s="103" t="s">
        <v>1630</v>
      </c>
      <c r="H1908" s="5">
        <v>1</v>
      </c>
      <c r="I1908" s="5" t="str">
        <f>VLOOKUP(F1908,'Set up'!$A$2:$C$70,3,FALSE)</f>
        <v>Cash</v>
      </c>
      <c r="J1908" s="5">
        <f>VLOOKUP(F1908,'Set up'!$A$2:$D$70,4,FALSE)</f>
        <v>0</v>
      </c>
      <c r="K1908" s="4">
        <f t="shared" si="456"/>
        <v>45132</v>
      </c>
      <c r="L1908" s="5">
        <f t="shared" si="457"/>
        <v>7</v>
      </c>
      <c r="M1908" s="5">
        <f t="shared" si="458"/>
        <v>2023</v>
      </c>
      <c r="N1908" s="6">
        <v>350</v>
      </c>
      <c r="O1908" s="6">
        <f t="shared" si="467"/>
        <v>-350</v>
      </c>
      <c r="P1908" s="6">
        <f t="shared" si="450"/>
        <v>0</v>
      </c>
      <c r="Q1908" s="7">
        <f t="shared" si="459"/>
        <v>3373491.4500000011</v>
      </c>
      <c r="R1908" s="44" t="str">
        <f>VLOOKUP(F1908,'Set up'!$A$2:$E$70,5,FALSE)</f>
        <v>Trsf</v>
      </c>
      <c r="S1908" s="1" t="s">
        <v>1786</v>
      </c>
    </row>
    <row r="1909" spans="1:19" ht="15" customHeight="1" x14ac:dyDescent="0.3">
      <c r="A1909" s="4">
        <v>45132</v>
      </c>
      <c r="B1909" s="5">
        <f t="shared" si="454"/>
        <v>7</v>
      </c>
      <c r="C1909" s="5">
        <f t="shared" si="455"/>
        <v>2023</v>
      </c>
      <c r="D1909" s="88" t="s">
        <v>1730</v>
      </c>
      <c r="E1909" s="5" t="str">
        <f>VLOOKUP(F1909,'Set up'!$A$2:$C$70,2,FALSE)</f>
        <v>C00000038</v>
      </c>
      <c r="F1909" s="1" t="s">
        <v>1420</v>
      </c>
      <c r="G1909" s="90" t="s">
        <v>1425</v>
      </c>
      <c r="H1909" s="5">
        <v>1</v>
      </c>
      <c r="I1909" s="5" t="str">
        <f>VLOOKUP(F1909,'Set up'!$A$2:$C$70,3,FALSE)</f>
        <v>Cash</v>
      </c>
      <c r="J1909" s="5">
        <f>VLOOKUP(F1909,'Set up'!$A$2:$D$70,4,FALSE)</f>
        <v>0</v>
      </c>
      <c r="K1909" s="4">
        <f t="shared" si="456"/>
        <v>45132</v>
      </c>
      <c r="L1909" s="5">
        <f t="shared" si="457"/>
        <v>7</v>
      </c>
      <c r="M1909" s="5">
        <f t="shared" si="458"/>
        <v>2023</v>
      </c>
      <c r="N1909" s="6">
        <v>55</v>
      </c>
      <c r="O1909" s="6">
        <f t="shared" si="467"/>
        <v>-55</v>
      </c>
      <c r="P1909" s="6">
        <f t="shared" ref="P1909:P1935" si="468">SUM(N1909+O1909)</f>
        <v>0</v>
      </c>
      <c r="Q1909" s="7">
        <f t="shared" si="459"/>
        <v>3373546.4500000011</v>
      </c>
      <c r="R1909" s="44" t="str">
        <f>VLOOKUP(F1909,'Set up'!$A$2:$E$70,5,FALSE)</f>
        <v>Trsf</v>
      </c>
      <c r="S1909" s="1" t="s">
        <v>1786</v>
      </c>
    </row>
    <row r="1910" spans="1:19" ht="15" customHeight="1" x14ac:dyDescent="0.3">
      <c r="A1910" s="4" t="s">
        <v>1732</v>
      </c>
      <c r="B1910" s="5">
        <f t="shared" si="454"/>
        <v>7</v>
      </c>
      <c r="C1910" s="5">
        <f t="shared" si="455"/>
        <v>2023</v>
      </c>
      <c r="D1910" s="88" t="s">
        <v>1731</v>
      </c>
      <c r="E1910" s="5" t="str">
        <f>VLOOKUP(F1910,'Set up'!$A$2:$C$70,2,FALSE)</f>
        <v>C00000020</v>
      </c>
      <c r="F1910" s="1" t="s">
        <v>409</v>
      </c>
      <c r="G1910" s="99" t="s">
        <v>1733</v>
      </c>
      <c r="H1910" s="5">
        <v>2</v>
      </c>
      <c r="I1910" s="5" t="str">
        <f>VLOOKUP(F1910,'Set up'!$A$2:$C$70,3,FALSE)</f>
        <v>Cash</v>
      </c>
      <c r="J1910" s="5">
        <f>VLOOKUP(F1910,'Set up'!$A$2:$D$70,4,FALSE)</f>
        <v>0</v>
      </c>
      <c r="K1910" s="4">
        <f t="shared" si="456"/>
        <v>45133</v>
      </c>
      <c r="L1910" s="5">
        <f t="shared" si="457"/>
        <v>7</v>
      </c>
      <c r="M1910" s="5">
        <f t="shared" si="458"/>
        <v>2023</v>
      </c>
      <c r="N1910" s="6">
        <v>3080</v>
      </c>
      <c r="O1910" s="6">
        <f>-N1910</f>
        <v>-3080</v>
      </c>
      <c r="P1910" s="6">
        <f t="shared" si="468"/>
        <v>0</v>
      </c>
      <c r="Q1910" s="7">
        <f t="shared" si="459"/>
        <v>3376626.4500000011</v>
      </c>
      <c r="R1910" s="44" t="str">
        <f>VLOOKUP(F1910,'Set up'!$A$2:$E$70,5,FALSE)</f>
        <v>Trsf</v>
      </c>
      <c r="S1910" s="1" t="s">
        <v>2477</v>
      </c>
    </row>
    <row r="1911" spans="1:19" ht="15" customHeight="1" x14ac:dyDescent="0.3">
      <c r="A1911" s="4" t="s">
        <v>1732</v>
      </c>
      <c r="B1911" s="5">
        <f t="shared" si="454"/>
        <v>7</v>
      </c>
      <c r="C1911" s="5">
        <f t="shared" si="455"/>
        <v>2023</v>
      </c>
      <c r="D1911" s="88" t="s">
        <v>1731</v>
      </c>
      <c r="E1911" s="5" t="str">
        <f>VLOOKUP(F1911,'Set up'!$A$2:$C$70,2,FALSE)</f>
        <v>C00000020</v>
      </c>
      <c r="F1911" s="1" t="s">
        <v>409</v>
      </c>
      <c r="G1911" s="99" t="s">
        <v>913</v>
      </c>
      <c r="H1911" s="5">
        <v>6</v>
      </c>
      <c r="I1911" s="5" t="str">
        <f>VLOOKUP(F1911,'Set up'!$A$2:$C$70,3,FALSE)</f>
        <v>Cash</v>
      </c>
      <c r="J1911" s="5">
        <f>VLOOKUP(F1911,'Set up'!$A$2:$D$70,4,FALSE)</f>
        <v>0</v>
      </c>
      <c r="K1911" s="4">
        <f t="shared" si="456"/>
        <v>45133</v>
      </c>
      <c r="L1911" s="5">
        <f t="shared" si="457"/>
        <v>7</v>
      </c>
      <c r="M1911" s="5">
        <f t="shared" si="458"/>
        <v>2023</v>
      </c>
      <c r="N1911" s="6">
        <v>1134</v>
      </c>
      <c r="O1911" s="6">
        <f>-N1911</f>
        <v>-1134</v>
      </c>
      <c r="P1911" s="6">
        <f t="shared" si="468"/>
        <v>0</v>
      </c>
      <c r="Q1911" s="7">
        <f t="shared" si="459"/>
        <v>3377760.4500000011</v>
      </c>
      <c r="R1911" s="44" t="str">
        <f>VLOOKUP(F1911,'Set up'!$A$2:$E$70,5,FALSE)</f>
        <v>Trsf</v>
      </c>
      <c r="S1911" s="1" t="s">
        <v>2478</v>
      </c>
    </row>
    <row r="1912" spans="1:19" ht="15" customHeight="1" x14ac:dyDescent="0.3">
      <c r="A1912" s="4" t="s">
        <v>1732</v>
      </c>
      <c r="B1912" s="5">
        <f t="shared" si="454"/>
        <v>7</v>
      </c>
      <c r="C1912" s="5">
        <f t="shared" si="455"/>
        <v>2023</v>
      </c>
      <c r="D1912" s="88" t="s">
        <v>1731</v>
      </c>
      <c r="E1912" s="5" t="str">
        <f>VLOOKUP(F1912,'Set up'!$A$2:$C$70,2,FALSE)</f>
        <v>C00000020</v>
      </c>
      <c r="F1912" s="1" t="s">
        <v>409</v>
      </c>
      <c r="G1912" s="99" t="s">
        <v>778</v>
      </c>
      <c r="H1912" s="5">
        <v>3</v>
      </c>
      <c r="I1912" s="5" t="str">
        <f>VLOOKUP(F1912,'Set up'!$A$2:$C$70,3,FALSE)</f>
        <v>Cash</v>
      </c>
      <c r="J1912" s="5">
        <f>VLOOKUP(F1912,'Set up'!$A$2:$D$70,4,FALSE)</f>
        <v>0</v>
      </c>
      <c r="K1912" s="4">
        <f t="shared" si="456"/>
        <v>45133</v>
      </c>
      <c r="L1912" s="5">
        <f t="shared" si="457"/>
        <v>7</v>
      </c>
      <c r="M1912" s="5">
        <f t="shared" si="458"/>
        <v>2023</v>
      </c>
      <c r="N1912" s="6">
        <v>600</v>
      </c>
      <c r="O1912" s="6">
        <f>-N1912</f>
        <v>-600</v>
      </c>
      <c r="P1912" s="6">
        <f t="shared" si="468"/>
        <v>0</v>
      </c>
      <c r="Q1912" s="7">
        <f t="shared" si="459"/>
        <v>3378360.4500000011</v>
      </c>
      <c r="R1912" s="44" t="str">
        <f>VLOOKUP(F1912,'Set up'!$A$2:$E$70,5,FALSE)</f>
        <v>Trsf</v>
      </c>
      <c r="S1912" s="1" t="s">
        <v>2479</v>
      </c>
    </row>
    <row r="1913" spans="1:19" ht="15" customHeight="1" x14ac:dyDescent="0.3">
      <c r="A1913" s="4" t="s">
        <v>1732</v>
      </c>
      <c r="B1913" s="5">
        <f t="shared" si="454"/>
        <v>7</v>
      </c>
      <c r="C1913" s="5">
        <f t="shared" si="455"/>
        <v>2023</v>
      </c>
      <c r="D1913" s="88" t="s">
        <v>1731</v>
      </c>
      <c r="E1913" s="5" t="str">
        <f>VLOOKUP(F1913,'Set up'!$A$2:$C$70,2,FALSE)</f>
        <v>C00000020</v>
      </c>
      <c r="F1913" s="1" t="s">
        <v>409</v>
      </c>
      <c r="G1913" s="99" t="s">
        <v>1061</v>
      </c>
      <c r="H1913" s="5">
        <v>4</v>
      </c>
      <c r="I1913" s="5" t="str">
        <f>VLOOKUP(F1913,'Set up'!$A$2:$C$70,3,FALSE)</f>
        <v>Cash</v>
      </c>
      <c r="J1913" s="5">
        <f>VLOOKUP(F1913,'Set up'!$A$2:$D$70,4,FALSE)</f>
        <v>0</v>
      </c>
      <c r="K1913" s="4">
        <f t="shared" si="456"/>
        <v>45133</v>
      </c>
      <c r="L1913" s="5">
        <f t="shared" si="457"/>
        <v>7</v>
      </c>
      <c r="M1913" s="5">
        <f t="shared" si="458"/>
        <v>2023</v>
      </c>
      <c r="N1913" s="6">
        <v>380</v>
      </c>
      <c r="O1913" s="6">
        <f>-N1913</f>
        <v>-380</v>
      </c>
      <c r="P1913" s="6">
        <f t="shared" si="468"/>
        <v>0</v>
      </c>
      <c r="Q1913" s="7">
        <f t="shared" si="459"/>
        <v>3378740.4500000011</v>
      </c>
      <c r="R1913" s="44" t="str">
        <f>VLOOKUP(F1913,'Set up'!$A$2:$E$70,5,FALSE)</f>
        <v>Trsf</v>
      </c>
      <c r="S1913" s="1" t="s">
        <v>2480</v>
      </c>
    </row>
    <row r="1914" spans="1:19" ht="15" customHeight="1" x14ac:dyDescent="0.3">
      <c r="A1914" s="4" t="s">
        <v>1732</v>
      </c>
      <c r="B1914" s="5">
        <f t="shared" si="454"/>
        <v>7</v>
      </c>
      <c r="C1914" s="5">
        <f t="shared" si="455"/>
        <v>2023</v>
      </c>
      <c r="D1914" s="88" t="s">
        <v>1731</v>
      </c>
      <c r="E1914" s="5" t="str">
        <f>VLOOKUP(F1914,'Set up'!$A$2:$C$70,2,FALSE)</f>
        <v>C00000020</v>
      </c>
      <c r="F1914" s="1" t="s">
        <v>409</v>
      </c>
      <c r="G1914" s="99" t="s">
        <v>1073</v>
      </c>
      <c r="H1914" s="5">
        <v>1</v>
      </c>
      <c r="I1914" s="5" t="str">
        <f>VLOOKUP(F1914,'Set up'!$A$2:$C$70,3,FALSE)</f>
        <v>Cash</v>
      </c>
      <c r="J1914" s="5">
        <f>VLOOKUP(F1914,'Set up'!$A$2:$D$70,4,FALSE)</f>
        <v>0</v>
      </c>
      <c r="K1914" s="4">
        <f t="shared" si="456"/>
        <v>45133</v>
      </c>
      <c r="L1914" s="5">
        <f t="shared" si="457"/>
        <v>7</v>
      </c>
      <c r="M1914" s="5">
        <f t="shared" si="458"/>
        <v>2023</v>
      </c>
      <c r="N1914" s="6">
        <v>1000</v>
      </c>
      <c r="O1914" s="6">
        <f>-N1914</f>
        <v>-1000</v>
      </c>
      <c r="P1914" s="6">
        <f t="shared" si="468"/>
        <v>0</v>
      </c>
      <c r="Q1914" s="7">
        <f t="shared" si="459"/>
        <v>3379740.4500000011</v>
      </c>
      <c r="R1914" s="44" t="str">
        <f>VLOOKUP(F1914,'Set up'!$A$2:$E$70,5,FALSE)</f>
        <v>Trsf</v>
      </c>
      <c r="S1914" s="1" t="s">
        <v>2481</v>
      </c>
    </row>
    <row r="1915" spans="1:19" ht="15" customHeight="1" x14ac:dyDescent="0.3">
      <c r="A1915" s="4">
        <v>45134</v>
      </c>
      <c r="B1915" s="5">
        <f t="shared" si="454"/>
        <v>7</v>
      </c>
      <c r="C1915" s="5">
        <f t="shared" si="455"/>
        <v>2023</v>
      </c>
      <c r="D1915" s="88" t="s">
        <v>1734</v>
      </c>
      <c r="E1915" s="5" t="str">
        <f>VLOOKUP(F1915,'Set up'!$A$2:$C$70,2,FALSE)</f>
        <v>C00000021</v>
      </c>
      <c r="F1915" s="1" t="s">
        <v>491</v>
      </c>
      <c r="G1915" s="99" t="s">
        <v>716</v>
      </c>
      <c r="H1915" s="5">
        <v>1</v>
      </c>
      <c r="I1915" s="5" t="str">
        <f>VLOOKUP(F1915,'Set up'!$A$2:$C$70,3,FALSE)</f>
        <v>Cash</v>
      </c>
      <c r="J1915" s="5">
        <f>VLOOKUP(F1915,'Set up'!$A$2:$D$70,4,FALSE)</f>
        <v>0</v>
      </c>
      <c r="K1915" s="4">
        <f t="shared" si="456"/>
        <v>45134</v>
      </c>
      <c r="L1915" s="5">
        <f t="shared" si="457"/>
        <v>7</v>
      </c>
      <c r="M1915" s="5">
        <f t="shared" si="458"/>
        <v>2023</v>
      </c>
      <c r="N1915" s="6">
        <v>1826</v>
      </c>
      <c r="O1915" s="6">
        <f t="shared" ref="O1915:O1918" si="469">-N1915</f>
        <v>-1826</v>
      </c>
      <c r="P1915" s="6">
        <f t="shared" si="468"/>
        <v>0</v>
      </c>
      <c r="Q1915" s="7">
        <f t="shared" si="459"/>
        <v>3381566.4500000011</v>
      </c>
      <c r="R1915" s="44" t="str">
        <f>VLOOKUP(F1915,'Set up'!$A$2:$E$70,5,FALSE)</f>
        <v>PD Chq</v>
      </c>
      <c r="S1915" s="1" t="s">
        <v>2404</v>
      </c>
    </row>
    <row r="1916" spans="1:19" ht="15" customHeight="1" x14ac:dyDescent="0.3">
      <c r="A1916" s="4">
        <v>45134</v>
      </c>
      <c r="B1916" s="5">
        <f t="shared" si="454"/>
        <v>7</v>
      </c>
      <c r="C1916" s="5">
        <f t="shared" si="455"/>
        <v>2023</v>
      </c>
      <c r="D1916" s="88" t="s">
        <v>1734</v>
      </c>
      <c r="E1916" s="5" t="str">
        <f>VLOOKUP(F1916,'Set up'!$A$2:$C$70,2,FALSE)</f>
        <v>C00000021</v>
      </c>
      <c r="F1916" s="1" t="s">
        <v>491</v>
      </c>
      <c r="G1916" s="99" t="s">
        <v>654</v>
      </c>
      <c r="H1916" s="5">
        <v>2</v>
      </c>
      <c r="I1916" s="5" t="str">
        <f>VLOOKUP(F1916,'Set up'!$A$2:$C$70,3,FALSE)</f>
        <v>Cash</v>
      </c>
      <c r="J1916" s="5">
        <f>VLOOKUP(F1916,'Set up'!$A$2:$D$70,4,FALSE)</f>
        <v>0</v>
      </c>
      <c r="K1916" s="4">
        <f t="shared" si="456"/>
        <v>45134</v>
      </c>
      <c r="L1916" s="5">
        <f t="shared" si="457"/>
        <v>7</v>
      </c>
      <c r="M1916" s="5">
        <f t="shared" si="458"/>
        <v>2023</v>
      </c>
      <c r="N1916" s="6">
        <v>498</v>
      </c>
      <c r="O1916" s="6">
        <f t="shared" si="469"/>
        <v>-498</v>
      </c>
      <c r="P1916" s="6">
        <f t="shared" si="468"/>
        <v>0</v>
      </c>
      <c r="Q1916" s="7">
        <f t="shared" si="459"/>
        <v>3382064.4500000011</v>
      </c>
      <c r="R1916" s="44" t="str">
        <f>VLOOKUP(F1916,'Set up'!$A$2:$E$70,5,FALSE)</f>
        <v>PD Chq</v>
      </c>
      <c r="S1916" s="1" t="s">
        <v>2404</v>
      </c>
    </row>
    <row r="1917" spans="1:19" ht="15" customHeight="1" x14ac:dyDescent="0.3">
      <c r="A1917" s="4">
        <v>45134</v>
      </c>
      <c r="B1917" s="5">
        <f t="shared" si="454"/>
        <v>7</v>
      </c>
      <c r="C1917" s="5">
        <f t="shared" si="455"/>
        <v>2023</v>
      </c>
      <c r="D1917" s="88" t="s">
        <v>1734</v>
      </c>
      <c r="E1917" s="5" t="str">
        <f>VLOOKUP(F1917,'Set up'!$A$2:$C$70,2,FALSE)</f>
        <v>C00000021</v>
      </c>
      <c r="F1917" s="1" t="s">
        <v>491</v>
      </c>
      <c r="G1917" s="99" t="s">
        <v>1061</v>
      </c>
      <c r="H1917" s="5">
        <v>1</v>
      </c>
      <c r="I1917" s="5" t="str">
        <f>VLOOKUP(F1917,'Set up'!$A$2:$C$70,3,FALSE)</f>
        <v>Cash</v>
      </c>
      <c r="J1917" s="5">
        <f>VLOOKUP(F1917,'Set up'!$A$2:$D$70,4,FALSE)</f>
        <v>0</v>
      </c>
      <c r="K1917" s="4">
        <f t="shared" si="456"/>
        <v>45134</v>
      </c>
      <c r="L1917" s="5">
        <f t="shared" si="457"/>
        <v>7</v>
      </c>
      <c r="M1917" s="5">
        <f t="shared" si="458"/>
        <v>2023</v>
      </c>
      <c r="N1917" s="6">
        <v>95</v>
      </c>
      <c r="O1917" s="6">
        <f t="shared" si="469"/>
        <v>-95</v>
      </c>
      <c r="P1917" s="6">
        <f t="shared" si="468"/>
        <v>0</v>
      </c>
      <c r="Q1917" s="7">
        <f t="shared" si="459"/>
        <v>3382159.4500000011</v>
      </c>
      <c r="R1917" s="44" t="str">
        <f>VLOOKUP(F1917,'Set up'!$A$2:$E$70,5,FALSE)</f>
        <v>PD Chq</v>
      </c>
      <c r="S1917" s="1" t="s">
        <v>2404</v>
      </c>
    </row>
    <row r="1918" spans="1:19" ht="15" customHeight="1" x14ac:dyDescent="0.3">
      <c r="A1918" s="4">
        <v>45134</v>
      </c>
      <c r="B1918" s="5">
        <f t="shared" si="454"/>
        <v>7</v>
      </c>
      <c r="C1918" s="5">
        <f t="shared" si="455"/>
        <v>2023</v>
      </c>
      <c r="D1918" s="88" t="s">
        <v>1734</v>
      </c>
      <c r="E1918" s="5" t="str">
        <f>VLOOKUP(F1918,'Set up'!$A$2:$C$70,2,FALSE)</f>
        <v>C00000021</v>
      </c>
      <c r="F1918" s="1" t="s">
        <v>491</v>
      </c>
      <c r="G1918" s="99" t="s">
        <v>800</v>
      </c>
      <c r="H1918" s="5">
        <v>1</v>
      </c>
      <c r="I1918" s="5" t="str">
        <f>VLOOKUP(F1918,'Set up'!$A$2:$C$70,3,FALSE)</f>
        <v>Cash</v>
      </c>
      <c r="J1918" s="5">
        <f>VLOOKUP(F1918,'Set up'!$A$2:$D$70,4,FALSE)</f>
        <v>0</v>
      </c>
      <c r="K1918" s="4">
        <f t="shared" si="456"/>
        <v>45134</v>
      </c>
      <c r="L1918" s="5">
        <f t="shared" si="457"/>
        <v>7</v>
      </c>
      <c r="M1918" s="5">
        <f t="shared" si="458"/>
        <v>2023</v>
      </c>
      <c r="N1918" s="6">
        <v>225</v>
      </c>
      <c r="O1918" s="6">
        <f t="shared" si="469"/>
        <v>-225</v>
      </c>
      <c r="P1918" s="6">
        <f t="shared" si="468"/>
        <v>0</v>
      </c>
      <c r="Q1918" s="7">
        <f t="shared" si="459"/>
        <v>3382384.4500000011</v>
      </c>
      <c r="R1918" s="44" t="str">
        <f>VLOOKUP(F1918,'Set up'!$A$2:$E$70,5,FALSE)</f>
        <v>PD Chq</v>
      </c>
      <c r="S1918" s="1" t="s">
        <v>2404</v>
      </c>
    </row>
    <row r="1919" spans="1:19" ht="15" customHeight="1" x14ac:dyDescent="0.3">
      <c r="A1919" s="4">
        <v>45134</v>
      </c>
      <c r="B1919" s="5">
        <f t="shared" si="454"/>
        <v>7</v>
      </c>
      <c r="C1919" s="5">
        <f t="shared" si="455"/>
        <v>2023</v>
      </c>
      <c r="D1919" s="88" t="s">
        <v>1735</v>
      </c>
      <c r="E1919" s="5" t="str">
        <f>VLOOKUP(F1919,'Set up'!$A$2:$C$70,2,FALSE)</f>
        <v>C00000020</v>
      </c>
      <c r="F1919" s="1" t="s">
        <v>409</v>
      </c>
      <c r="G1919" s="99" t="s">
        <v>1110</v>
      </c>
      <c r="H1919" s="5">
        <v>3</v>
      </c>
      <c r="I1919" s="5" t="str">
        <f>VLOOKUP(F1919,'Set up'!$A$2:$C$70,3,FALSE)</f>
        <v>Cash</v>
      </c>
      <c r="J1919" s="5">
        <f>VLOOKUP(F1919,'Set up'!$A$2:$D$70,4,FALSE)</f>
        <v>0</v>
      </c>
      <c r="K1919" s="4">
        <f t="shared" si="456"/>
        <v>45134</v>
      </c>
      <c r="L1919" s="5">
        <f t="shared" si="457"/>
        <v>7</v>
      </c>
      <c r="M1919" s="5">
        <f t="shared" si="458"/>
        <v>2023</v>
      </c>
      <c r="N1919" s="6">
        <v>187.5</v>
      </c>
      <c r="O1919" s="6">
        <f t="shared" ref="O1919:O1924" si="470">-N1919</f>
        <v>-187.5</v>
      </c>
      <c r="P1919" s="6">
        <f t="shared" si="468"/>
        <v>0</v>
      </c>
      <c r="Q1919" s="7">
        <f t="shared" si="459"/>
        <v>3382571.9500000011</v>
      </c>
      <c r="R1919" s="44" t="str">
        <f>VLOOKUP(F1919,'Set up'!$A$2:$E$70,5,FALSE)</f>
        <v>Trsf</v>
      </c>
      <c r="S1919" s="1" t="s">
        <v>2482</v>
      </c>
    </row>
    <row r="1920" spans="1:19" ht="15" customHeight="1" x14ac:dyDescent="0.3">
      <c r="A1920" s="4">
        <v>45134</v>
      </c>
      <c r="B1920" s="5">
        <f t="shared" si="454"/>
        <v>7</v>
      </c>
      <c r="C1920" s="5">
        <f t="shared" si="455"/>
        <v>2023</v>
      </c>
      <c r="D1920" s="88" t="s">
        <v>1736</v>
      </c>
      <c r="E1920" s="5" t="str">
        <f>VLOOKUP(F1920,'Set up'!$A$2:$C$70,2,FALSE)</f>
        <v>C00000020</v>
      </c>
      <c r="F1920" s="1" t="s">
        <v>409</v>
      </c>
      <c r="G1920" s="103" t="s">
        <v>1733</v>
      </c>
      <c r="H1920" s="5">
        <v>3</v>
      </c>
      <c r="I1920" s="5" t="str">
        <f>VLOOKUP(F1920,'Set up'!$A$2:$C$70,3,FALSE)</f>
        <v>Cash</v>
      </c>
      <c r="J1920" s="5">
        <f>VLOOKUP(F1920,'Set up'!$A$2:$D$70,4,FALSE)</f>
        <v>0</v>
      </c>
      <c r="K1920" s="4">
        <f t="shared" si="456"/>
        <v>45134</v>
      </c>
      <c r="L1920" s="5">
        <f t="shared" si="457"/>
        <v>7</v>
      </c>
      <c r="M1920" s="5">
        <f t="shared" si="458"/>
        <v>2023</v>
      </c>
      <c r="N1920" s="6">
        <v>4620</v>
      </c>
      <c r="O1920" s="6">
        <f t="shared" si="470"/>
        <v>-4620</v>
      </c>
      <c r="P1920" s="6">
        <f t="shared" si="468"/>
        <v>0</v>
      </c>
      <c r="Q1920" s="7">
        <f t="shared" si="459"/>
        <v>3387191.9500000011</v>
      </c>
      <c r="R1920" s="44" t="str">
        <f>VLOOKUP(F1920,'Set up'!$A$2:$E$70,5,FALSE)</f>
        <v>Trsf</v>
      </c>
      <c r="S1920" s="1" t="s">
        <v>2483</v>
      </c>
    </row>
    <row r="1921" spans="1:21" ht="15" customHeight="1" x14ac:dyDescent="0.3">
      <c r="A1921" s="4">
        <v>45134</v>
      </c>
      <c r="B1921" s="5">
        <f t="shared" si="454"/>
        <v>7</v>
      </c>
      <c r="C1921" s="5">
        <f t="shared" si="455"/>
        <v>2023</v>
      </c>
      <c r="D1921" s="88" t="s">
        <v>1736</v>
      </c>
      <c r="E1921" s="5" t="str">
        <f>VLOOKUP(F1921,'Set up'!$A$2:$C$70,2,FALSE)</f>
        <v>C00000020</v>
      </c>
      <c r="F1921" s="1" t="s">
        <v>409</v>
      </c>
      <c r="G1921" s="90" t="s">
        <v>913</v>
      </c>
      <c r="H1921" s="5">
        <v>9</v>
      </c>
      <c r="I1921" s="5" t="str">
        <f>VLOOKUP(F1921,'Set up'!$A$2:$C$70,3,FALSE)</f>
        <v>Cash</v>
      </c>
      <c r="J1921" s="5">
        <f>VLOOKUP(F1921,'Set up'!$A$2:$D$70,4,FALSE)</f>
        <v>0</v>
      </c>
      <c r="K1921" s="4">
        <f t="shared" si="456"/>
        <v>45134</v>
      </c>
      <c r="L1921" s="5">
        <f t="shared" si="457"/>
        <v>7</v>
      </c>
      <c r="M1921" s="5">
        <f t="shared" si="458"/>
        <v>2023</v>
      </c>
      <c r="N1921" s="6">
        <v>1701</v>
      </c>
      <c r="O1921" s="6">
        <f t="shared" si="470"/>
        <v>-1701</v>
      </c>
      <c r="P1921" s="6">
        <f t="shared" si="468"/>
        <v>0</v>
      </c>
      <c r="Q1921" s="7">
        <f t="shared" si="459"/>
        <v>3388892.9500000011</v>
      </c>
      <c r="R1921" s="44" t="str">
        <f>VLOOKUP(F1921,'Set up'!$A$2:$E$70,5,FALSE)</f>
        <v>Trsf</v>
      </c>
      <c r="S1921" s="1" t="s">
        <v>2484</v>
      </c>
    </row>
    <row r="1922" spans="1:21" ht="15" customHeight="1" x14ac:dyDescent="0.3">
      <c r="A1922" s="4">
        <v>45134</v>
      </c>
      <c r="B1922" s="5">
        <f t="shared" si="454"/>
        <v>7</v>
      </c>
      <c r="C1922" s="5">
        <f t="shared" si="455"/>
        <v>2023</v>
      </c>
      <c r="D1922" s="88" t="s">
        <v>1736</v>
      </c>
      <c r="E1922" s="5" t="str">
        <f>VLOOKUP(F1922,'Set up'!$A$2:$C$70,2,FALSE)</f>
        <v>C00000020</v>
      </c>
      <c r="F1922" s="1" t="s">
        <v>409</v>
      </c>
      <c r="G1922" s="90" t="s">
        <v>778</v>
      </c>
      <c r="H1922" s="5">
        <v>4</v>
      </c>
      <c r="I1922" s="5" t="str">
        <f>VLOOKUP(F1922,'Set up'!$A$2:$C$70,3,FALSE)</f>
        <v>Cash</v>
      </c>
      <c r="J1922" s="5">
        <f>VLOOKUP(F1922,'Set up'!$A$2:$D$70,4,FALSE)</f>
        <v>0</v>
      </c>
      <c r="K1922" s="4">
        <f t="shared" si="456"/>
        <v>45134</v>
      </c>
      <c r="L1922" s="5">
        <f t="shared" si="457"/>
        <v>7</v>
      </c>
      <c r="M1922" s="5">
        <f t="shared" si="458"/>
        <v>2023</v>
      </c>
      <c r="N1922" s="6">
        <v>800</v>
      </c>
      <c r="O1922" s="6">
        <f t="shared" si="470"/>
        <v>-800</v>
      </c>
      <c r="P1922" s="6">
        <f t="shared" si="468"/>
        <v>0</v>
      </c>
      <c r="Q1922" s="7">
        <f t="shared" si="459"/>
        <v>3389692.9500000011</v>
      </c>
      <c r="R1922" s="44" t="str">
        <f>VLOOKUP(F1922,'Set up'!$A$2:$E$70,5,FALSE)</f>
        <v>Trsf</v>
      </c>
      <c r="S1922" s="1" t="s">
        <v>2485</v>
      </c>
    </row>
    <row r="1923" spans="1:21" ht="15" customHeight="1" x14ac:dyDescent="0.3">
      <c r="A1923" s="4">
        <v>45134</v>
      </c>
      <c r="B1923" s="5">
        <f t="shared" ref="B1923:B1986" si="471">MONTH(A1923)</f>
        <v>7</v>
      </c>
      <c r="C1923" s="5">
        <f t="shared" ref="C1923:C1986" si="472">YEAR(A1923)</f>
        <v>2023</v>
      </c>
      <c r="D1923" s="88" t="s">
        <v>1737</v>
      </c>
      <c r="E1923" s="5" t="str">
        <f>VLOOKUP(F1923,'Set up'!$A$2:$C$70,2,FALSE)</f>
        <v>C00000003</v>
      </c>
      <c r="F1923" s="1" t="s">
        <v>20</v>
      </c>
      <c r="G1923" s="103" t="s">
        <v>67</v>
      </c>
      <c r="H1923" s="5">
        <v>2</v>
      </c>
      <c r="I1923" s="5">
        <f>VLOOKUP(F1923,'Set up'!$A$2:$C$70,3,FALSE)</f>
        <v>45</v>
      </c>
      <c r="J1923" s="5">
        <f>VLOOKUP(F1923,'Set up'!$A$2:$D$70,4,FALSE)</f>
        <v>45</v>
      </c>
      <c r="K1923" s="4">
        <f t="shared" ref="K1923:K1986" si="473">A1923+J1923</f>
        <v>45179</v>
      </c>
      <c r="L1923" s="5">
        <f t="shared" ref="L1923:L1986" si="474">MONTH(K1923)</f>
        <v>9</v>
      </c>
      <c r="M1923" s="5">
        <f t="shared" ref="M1923:M1986" si="475">YEAR(K1923)</f>
        <v>2023</v>
      </c>
      <c r="N1923" s="6">
        <v>3740</v>
      </c>
      <c r="O1923" s="6">
        <f t="shared" si="470"/>
        <v>-3740</v>
      </c>
      <c r="P1923" s="6">
        <f t="shared" si="468"/>
        <v>0</v>
      </c>
      <c r="Q1923" s="7">
        <f t="shared" ref="Q1923:Q1986" si="476">SUM(Q1922+N1923)</f>
        <v>3393432.9500000011</v>
      </c>
      <c r="R1923" s="44" t="str">
        <f>VLOOKUP(F1923,'Set up'!$A$2:$E$70,5,FALSE)</f>
        <v>PD Chq</v>
      </c>
      <c r="S1923" s="1" t="s">
        <v>1976</v>
      </c>
      <c r="U1923" s="1" t="s">
        <v>3603</v>
      </c>
    </row>
    <row r="1924" spans="1:21" ht="15" customHeight="1" x14ac:dyDescent="0.3">
      <c r="A1924" s="4">
        <v>45135</v>
      </c>
      <c r="B1924" s="5">
        <f t="shared" si="471"/>
        <v>7</v>
      </c>
      <c r="C1924" s="5">
        <f t="shared" si="472"/>
        <v>2023</v>
      </c>
      <c r="D1924" s="88" t="s">
        <v>1737</v>
      </c>
      <c r="E1924" s="5" t="str">
        <f>VLOOKUP(F1924,'Set up'!$A$2:$C$70,2,FALSE)</f>
        <v>C00000003</v>
      </c>
      <c r="F1924" s="1" t="s">
        <v>20</v>
      </c>
      <c r="G1924" s="90" t="s">
        <v>17</v>
      </c>
      <c r="H1924" s="5">
        <v>2</v>
      </c>
      <c r="I1924" s="5">
        <f>VLOOKUP(F1924,'Set up'!$A$2:$C$70,3,FALSE)</f>
        <v>45</v>
      </c>
      <c r="J1924" s="5">
        <f>VLOOKUP(F1924,'Set up'!$A$2:$D$70,4,FALSE)</f>
        <v>45</v>
      </c>
      <c r="K1924" s="4">
        <f t="shared" si="473"/>
        <v>45180</v>
      </c>
      <c r="L1924" s="5">
        <f t="shared" si="474"/>
        <v>9</v>
      </c>
      <c r="M1924" s="5">
        <f t="shared" si="475"/>
        <v>2023</v>
      </c>
      <c r="N1924" s="6">
        <v>220</v>
      </c>
      <c r="O1924" s="6">
        <f t="shared" si="470"/>
        <v>-220</v>
      </c>
      <c r="P1924" s="6">
        <f t="shared" si="468"/>
        <v>0</v>
      </c>
      <c r="Q1924" s="7">
        <f t="shared" si="476"/>
        <v>3393652.9500000011</v>
      </c>
      <c r="R1924" s="44" t="str">
        <f>VLOOKUP(F1924,'Set up'!$A$2:$E$70,5,FALSE)</f>
        <v>PD Chq</v>
      </c>
      <c r="S1924" s="1" t="s">
        <v>1976</v>
      </c>
      <c r="U1924" s="1" t="s">
        <v>3603</v>
      </c>
    </row>
    <row r="1925" spans="1:21" ht="15" customHeight="1" x14ac:dyDescent="0.3">
      <c r="A1925" s="4">
        <v>45138</v>
      </c>
      <c r="B1925" s="5">
        <f t="shared" si="471"/>
        <v>7</v>
      </c>
      <c r="C1925" s="5">
        <f t="shared" si="472"/>
        <v>2023</v>
      </c>
      <c r="D1925" s="88" t="s">
        <v>1747</v>
      </c>
      <c r="E1925" s="5" t="str">
        <f>VLOOKUP(F1925,'Set up'!$A$2:$C$70,2,FALSE)</f>
        <v>C00000013a</v>
      </c>
      <c r="F1925" s="1" t="s">
        <v>1453</v>
      </c>
      <c r="G1925" s="89" t="s">
        <v>1738</v>
      </c>
      <c r="H1925" s="5">
        <v>4</v>
      </c>
      <c r="I1925" s="5" t="str">
        <f>VLOOKUP(F1925,'Set up'!$A$2:$C$70,3,FALSE)</f>
        <v>Cash</v>
      </c>
      <c r="J1925" s="5">
        <f>VLOOKUP(F1925,'Set up'!$A$2:$D$70,4,FALSE)</f>
        <v>0</v>
      </c>
      <c r="K1925" s="4">
        <f t="shared" si="473"/>
        <v>45138</v>
      </c>
      <c r="L1925" s="5">
        <f t="shared" si="474"/>
        <v>7</v>
      </c>
      <c r="M1925" s="5">
        <f t="shared" si="475"/>
        <v>2023</v>
      </c>
      <c r="N1925" s="96">
        <v>7304</v>
      </c>
      <c r="O1925" s="6">
        <f t="shared" ref="O1925:O1935" si="477">-N1925</f>
        <v>-7304</v>
      </c>
      <c r="P1925" s="6">
        <f t="shared" si="468"/>
        <v>0</v>
      </c>
      <c r="Q1925" s="7">
        <f t="shared" si="476"/>
        <v>3400956.9500000011</v>
      </c>
      <c r="R1925" s="44" t="str">
        <f>VLOOKUP(F1925,'Set up'!$A$2:$E$70,5,FALSE)</f>
        <v>Chq</v>
      </c>
      <c r="S1925" s="1" t="s">
        <v>1788</v>
      </c>
    </row>
    <row r="1926" spans="1:21" ht="15" customHeight="1" x14ac:dyDescent="0.3">
      <c r="A1926" s="4">
        <v>45138</v>
      </c>
      <c r="B1926" s="5">
        <f t="shared" si="471"/>
        <v>7</v>
      </c>
      <c r="C1926" s="5">
        <f t="shared" si="472"/>
        <v>2023</v>
      </c>
      <c r="D1926" s="88" t="s">
        <v>1747</v>
      </c>
      <c r="E1926" s="5" t="str">
        <f>VLOOKUP(F1926,'Set up'!$A$2:$C$70,2,FALSE)</f>
        <v>C00000013a</v>
      </c>
      <c r="F1926" s="1" t="s">
        <v>1453</v>
      </c>
      <c r="G1926" s="90" t="s">
        <v>1739</v>
      </c>
      <c r="H1926" s="5">
        <v>5</v>
      </c>
      <c r="I1926" s="5" t="str">
        <f>VLOOKUP(F1926,'Set up'!$A$2:$C$70,3,FALSE)</f>
        <v>Cash</v>
      </c>
      <c r="J1926" s="5">
        <f>VLOOKUP(F1926,'Set up'!$A$2:$D$70,4,FALSE)</f>
        <v>0</v>
      </c>
      <c r="K1926" s="4">
        <f t="shared" si="473"/>
        <v>45138</v>
      </c>
      <c r="L1926" s="5">
        <f t="shared" si="474"/>
        <v>7</v>
      </c>
      <c r="M1926" s="5">
        <f t="shared" si="475"/>
        <v>2023</v>
      </c>
      <c r="N1926" s="96">
        <v>2133</v>
      </c>
      <c r="O1926" s="6">
        <f t="shared" si="477"/>
        <v>-2133</v>
      </c>
      <c r="P1926" s="6">
        <f t="shared" si="468"/>
        <v>0</v>
      </c>
      <c r="Q1926" s="7">
        <f t="shared" si="476"/>
        <v>3403089.9500000011</v>
      </c>
      <c r="R1926" s="44" t="str">
        <f>VLOOKUP(F1926,'Set up'!$A$2:$E$70,5,FALSE)</f>
        <v>Chq</v>
      </c>
      <c r="S1926" s="1" t="s">
        <v>1788</v>
      </c>
    </row>
    <row r="1927" spans="1:21" ht="15" customHeight="1" x14ac:dyDescent="0.3">
      <c r="A1927" s="4">
        <v>45138</v>
      </c>
      <c r="B1927" s="5">
        <f t="shared" si="471"/>
        <v>7</v>
      </c>
      <c r="C1927" s="5">
        <f t="shared" si="472"/>
        <v>2023</v>
      </c>
      <c r="D1927" s="88" t="s">
        <v>1747</v>
      </c>
      <c r="E1927" s="5" t="str">
        <f>VLOOKUP(F1927,'Set up'!$A$2:$C$70,2,FALSE)</f>
        <v>C00000013a</v>
      </c>
      <c r="F1927" s="1" t="s">
        <v>1453</v>
      </c>
      <c r="G1927" s="90" t="s">
        <v>1740</v>
      </c>
      <c r="H1927" s="5">
        <v>3</v>
      </c>
      <c r="I1927" s="5" t="str">
        <f>VLOOKUP(F1927,'Set up'!$A$2:$C$70,3,FALSE)</f>
        <v>Cash</v>
      </c>
      <c r="J1927" s="5">
        <f>VLOOKUP(F1927,'Set up'!$A$2:$D$70,4,FALSE)</f>
        <v>0</v>
      </c>
      <c r="K1927" s="4">
        <f t="shared" si="473"/>
        <v>45138</v>
      </c>
      <c r="L1927" s="5">
        <f t="shared" si="474"/>
        <v>7</v>
      </c>
      <c r="M1927" s="5">
        <f t="shared" si="475"/>
        <v>2023</v>
      </c>
      <c r="N1927" s="96">
        <v>1279.8000000000002</v>
      </c>
      <c r="O1927" s="6">
        <f t="shared" si="477"/>
        <v>-1279.8000000000002</v>
      </c>
      <c r="P1927" s="6">
        <f t="shared" si="468"/>
        <v>0</v>
      </c>
      <c r="Q1927" s="7">
        <f t="shared" si="476"/>
        <v>3404369.7500000009</v>
      </c>
      <c r="R1927" s="44" t="str">
        <f>VLOOKUP(F1927,'Set up'!$A$2:$E$70,5,FALSE)</f>
        <v>Chq</v>
      </c>
      <c r="S1927" s="1" t="s">
        <v>1788</v>
      </c>
    </row>
    <row r="1928" spans="1:21" ht="15" customHeight="1" x14ac:dyDescent="0.3">
      <c r="A1928" s="4">
        <v>45138</v>
      </c>
      <c r="B1928" s="5">
        <f t="shared" si="471"/>
        <v>7</v>
      </c>
      <c r="C1928" s="5">
        <f t="shared" si="472"/>
        <v>2023</v>
      </c>
      <c r="D1928" s="88" t="s">
        <v>1747</v>
      </c>
      <c r="E1928" s="5" t="str">
        <f>VLOOKUP(F1928,'Set up'!$A$2:$C$70,2,FALSE)</f>
        <v>C00000013a</v>
      </c>
      <c r="F1928" s="1" t="s">
        <v>1453</v>
      </c>
      <c r="G1928" s="90" t="s">
        <v>1654</v>
      </c>
      <c r="H1928" s="5">
        <v>16</v>
      </c>
      <c r="I1928" s="5" t="str">
        <f>VLOOKUP(F1928,'Set up'!$A$2:$C$70,3,FALSE)</f>
        <v>Cash</v>
      </c>
      <c r="J1928" s="5">
        <f>VLOOKUP(F1928,'Set up'!$A$2:$D$70,4,FALSE)</f>
        <v>0</v>
      </c>
      <c r="K1928" s="4">
        <f t="shared" si="473"/>
        <v>45138</v>
      </c>
      <c r="L1928" s="5">
        <f t="shared" si="474"/>
        <v>7</v>
      </c>
      <c r="M1928" s="5">
        <f t="shared" si="475"/>
        <v>2023</v>
      </c>
      <c r="N1928" s="96">
        <v>4128</v>
      </c>
      <c r="O1928" s="6">
        <f t="shared" si="477"/>
        <v>-4128</v>
      </c>
      <c r="P1928" s="6">
        <f t="shared" si="468"/>
        <v>0</v>
      </c>
      <c r="Q1928" s="7">
        <f t="shared" si="476"/>
        <v>3408497.7500000009</v>
      </c>
      <c r="R1928" s="44" t="str">
        <f>VLOOKUP(F1928,'Set up'!$A$2:$E$70,5,FALSE)</f>
        <v>Chq</v>
      </c>
      <c r="S1928" s="1" t="s">
        <v>1788</v>
      </c>
    </row>
    <row r="1929" spans="1:21" ht="15" customHeight="1" x14ac:dyDescent="0.3">
      <c r="A1929" s="4">
        <v>45138</v>
      </c>
      <c r="B1929" s="5">
        <f t="shared" si="471"/>
        <v>7</v>
      </c>
      <c r="C1929" s="5">
        <f t="shared" si="472"/>
        <v>2023</v>
      </c>
      <c r="D1929" s="88" t="s">
        <v>1747</v>
      </c>
      <c r="E1929" s="5" t="str">
        <f>VLOOKUP(F1929,'Set up'!$A$2:$C$70,2,FALSE)</f>
        <v>C00000013a</v>
      </c>
      <c r="F1929" s="1" t="s">
        <v>1453</v>
      </c>
      <c r="G1929" s="90" t="s">
        <v>1741</v>
      </c>
      <c r="H1929" s="5">
        <v>3</v>
      </c>
      <c r="I1929" s="5" t="str">
        <f>VLOOKUP(F1929,'Set up'!$A$2:$C$70,3,FALSE)</f>
        <v>Cash</v>
      </c>
      <c r="J1929" s="5">
        <f>VLOOKUP(F1929,'Set up'!$A$2:$D$70,4,FALSE)</f>
        <v>0</v>
      </c>
      <c r="K1929" s="4">
        <f t="shared" si="473"/>
        <v>45138</v>
      </c>
      <c r="L1929" s="5">
        <f t="shared" si="474"/>
        <v>7</v>
      </c>
      <c r="M1929" s="5">
        <f t="shared" si="475"/>
        <v>2023</v>
      </c>
      <c r="N1929" s="96">
        <v>2625</v>
      </c>
      <c r="O1929" s="6">
        <f t="shared" si="477"/>
        <v>-2625</v>
      </c>
      <c r="P1929" s="6">
        <f t="shared" si="468"/>
        <v>0</v>
      </c>
      <c r="Q1929" s="7">
        <f t="shared" si="476"/>
        <v>3411122.7500000009</v>
      </c>
      <c r="R1929" s="44" t="str">
        <f>VLOOKUP(F1929,'Set up'!$A$2:$E$70,5,FALSE)</f>
        <v>Chq</v>
      </c>
      <c r="S1929" s="1" t="s">
        <v>1788</v>
      </c>
    </row>
    <row r="1930" spans="1:21" ht="15" customHeight="1" x14ac:dyDescent="0.3">
      <c r="A1930" s="4">
        <v>45138</v>
      </c>
      <c r="B1930" s="5">
        <f t="shared" si="471"/>
        <v>7</v>
      </c>
      <c r="C1930" s="5">
        <f t="shared" si="472"/>
        <v>2023</v>
      </c>
      <c r="D1930" s="88" t="s">
        <v>1747</v>
      </c>
      <c r="E1930" s="5" t="str">
        <f>VLOOKUP(F1930,'Set up'!$A$2:$C$70,2,FALSE)</f>
        <v>C00000013a</v>
      </c>
      <c r="F1930" s="1" t="s">
        <v>1453</v>
      </c>
      <c r="G1930" s="90" t="s">
        <v>1469</v>
      </c>
      <c r="H1930" s="5">
        <v>3</v>
      </c>
      <c r="I1930" s="5" t="str">
        <f>VLOOKUP(F1930,'Set up'!$A$2:$C$70,3,FALSE)</f>
        <v>Cash</v>
      </c>
      <c r="J1930" s="5">
        <f>VLOOKUP(F1930,'Set up'!$A$2:$D$70,4,FALSE)</f>
        <v>0</v>
      </c>
      <c r="K1930" s="4">
        <f t="shared" si="473"/>
        <v>45138</v>
      </c>
      <c r="L1930" s="5">
        <f t="shared" si="474"/>
        <v>7</v>
      </c>
      <c r="M1930" s="5">
        <f t="shared" si="475"/>
        <v>2023</v>
      </c>
      <c r="N1930" s="96">
        <v>1290</v>
      </c>
      <c r="O1930" s="6">
        <f t="shared" si="477"/>
        <v>-1290</v>
      </c>
      <c r="P1930" s="6">
        <f t="shared" si="468"/>
        <v>0</v>
      </c>
      <c r="Q1930" s="7">
        <f t="shared" si="476"/>
        <v>3412412.7500000009</v>
      </c>
      <c r="R1930" s="44" t="str">
        <f>VLOOKUP(F1930,'Set up'!$A$2:$E$70,5,FALSE)</f>
        <v>Chq</v>
      </c>
      <c r="S1930" s="1" t="s">
        <v>1788</v>
      </c>
    </row>
    <row r="1931" spans="1:21" ht="15" customHeight="1" x14ac:dyDescent="0.3">
      <c r="A1931" s="4">
        <v>45138</v>
      </c>
      <c r="B1931" s="5">
        <f t="shared" si="471"/>
        <v>7</v>
      </c>
      <c r="C1931" s="5">
        <f t="shared" si="472"/>
        <v>2023</v>
      </c>
      <c r="D1931" s="88" t="s">
        <v>1747</v>
      </c>
      <c r="E1931" s="5" t="str">
        <f>VLOOKUP(F1931,'Set up'!$A$2:$C$70,2,FALSE)</f>
        <v>C00000013a</v>
      </c>
      <c r="F1931" s="1" t="s">
        <v>1453</v>
      </c>
      <c r="G1931" s="108" t="s">
        <v>1742</v>
      </c>
      <c r="H1931" s="5">
        <v>2</v>
      </c>
      <c r="I1931" s="5" t="str">
        <f>VLOOKUP(F1931,'Set up'!$A$2:$C$70,3,FALSE)</f>
        <v>Cash</v>
      </c>
      <c r="J1931" s="5">
        <f>VLOOKUP(F1931,'Set up'!$A$2:$D$70,4,FALSE)</f>
        <v>0</v>
      </c>
      <c r="K1931" s="4">
        <f t="shared" si="473"/>
        <v>45138</v>
      </c>
      <c r="L1931" s="5">
        <f t="shared" si="474"/>
        <v>7</v>
      </c>
      <c r="M1931" s="5">
        <f t="shared" si="475"/>
        <v>2023</v>
      </c>
      <c r="N1931" s="96">
        <v>120</v>
      </c>
      <c r="O1931" s="6">
        <f t="shared" si="477"/>
        <v>-120</v>
      </c>
      <c r="P1931" s="6">
        <f t="shared" si="468"/>
        <v>0</v>
      </c>
      <c r="Q1931" s="7">
        <f t="shared" si="476"/>
        <v>3412532.7500000009</v>
      </c>
      <c r="R1931" s="44" t="str">
        <f>VLOOKUP(F1931,'Set up'!$A$2:$E$70,5,FALSE)</f>
        <v>Chq</v>
      </c>
      <c r="S1931" s="1" t="s">
        <v>1788</v>
      </c>
    </row>
    <row r="1932" spans="1:21" ht="15" customHeight="1" x14ac:dyDescent="0.3">
      <c r="A1932" s="4">
        <v>45138</v>
      </c>
      <c r="B1932" s="5">
        <f t="shared" si="471"/>
        <v>7</v>
      </c>
      <c r="C1932" s="5">
        <f t="shared" si="472"/>
        <v>2023</v>
      </c>
      <c r="D1932" s="88" t="s">
        <v>1747</v>
      </c>
      <c r="E1932" s="5" t="str">
        <f>VLOOKUP(F1932,'Set up'!$A$2:$C$70,2,FALSE)</f>
        <v>C00000013a</v>
      </c>
      <c r="F1932" s="1" t="s">
        <v>1453</v>
      </c>
      <c r="G1932" s="99" t="s">
        <v>1743</v>
      </c>
      <c r="H1932" s="5">
        <v>1</v>
      </c>
      <c r="I1932" s="5" t="str">
        <f>VLOOKUP(F1932,'Set up'!$A$2:$C$70,3,FALSE)</f>
        <v>Cash</v>
      </c>
      <c r="J1932" s="5">
        <f>VLOOKUP(F1932,'Set up'!$A$2:$D$70,4,FALSE)</f>
        <v>0</v>
      </c>
      <c r="K1932" s="4">
        <f t="shared" si="473"/>
        <v>45138</v>
      </c>
      <c r="L1932" s="5">
        <f t="shared" si="474"/>
        <v>7</v>
      </c>
      <c r="M1932" s="5">
        <f t="shared" si="475"/>
        <v>2023</v>
      </c>
      <c r="N1932" s="96">
        <v>55.2</v>
      </c>
      <c r="O1932" s="6">
        <f t="shared" si="477"/>
        <v>-55.2</v>
      </c>
      <c r="P1932" s="6">
        <f t="shared" si="468"/>
        <v>0</v>
      </c>
      <c r="Q1932" s="7">
        <f t="shared" si="476"/>
        <v>3412587.9500000011</v>
      </c>
      <c r="R1932" s="44" t="str">
        <f>VLOOKUP(F1932,'Set up'!$A$2:$E$70,5,FALSE)</f>
        <v>Chq</v>
      </c>
      <c r="S1932" s="1" t="s">
        <v>1788</v>
      </c>
    </row>
    <row r="1933" spans="1:21" ht="15" customHeight="1" x14ac:dyDescent="0.3">
      <c r="A1933" s="4">
        <v>45138</v>
      </c>
      <c r="B1933" s="5">
        <f t="shared" si="471"/>
        <v>7</v>
      </c>
      <c r="C1933" s="5">
        <f t="shared" si="472"/>
        <v>2023</v>
      </c>
      <c r="D1933" s="88" t="s">
        <v>1747</v>
      </c>
      <c r="E1933" s="5" t="str">
        <f>VLOOKUP(F1933,'Set up'!$A$2:$C$70,2,FALSE)</f>
        <v>C00000013a</v>
      </c>
      <c r="F1933" s="1" t="s">
        <v>1453</v>
      </c>
      <c r="G1933" s="99" t="s">
        <v>1744</v>
      </c>
      <c r="H1933" s="5">
        <v>1</v>
      </c>
      <c r="I1933" s="5" t="str">
        <f>VLOOKUP(F1933,'Set up'!$A$2:$C$70,3,FALSE)</f>
        <v>Cash</v>
      </c>
      <c r="J1933" s="5">
        <f>VLOOKUP(F1933,'Set up'!$A$2:$D$70,4,FALSE)</f>
        <v>0</v>
      </c>
      <c r="K1933" s="4">
        <f t="shared" si="473"/>
        <v>45138</v>
      </c>
      <c r="L1933" s="5">
        <f t="shared" si="474"/>
        <v>7</v>
      </c>
      <c r="M1933" s="5">
        <f t="shared" si="475"/>
        <v>2023</v>
      </c>
      <c r="N1933" s="96">
        <v>1108.4000000000001</v>
      </c>
      <c r="O1933" s="6">
        <f t="shared" si="477"/>
        <v>-1108.4000000000001</v>
      </c>
      <c r="P1933" s="6">
        <f t="shared" si="468"/>
        <v>0</v>
      </c>
      <c r="Q1933" s="7">
        <f t="shared" si="476"/>
        <v>3413696.350000001</v>
      </c>
      <c r="R1933" s="44" t="str">
        <f>VLOOKUP(F1933,'Set up'!$A$2:$E$70,5,FALSE)</f>
        <v>Chq</v>
      </c>
      <c r="S1933" s="1" t="s">
        <v>1788</v>
      </c>
    </row>
    <row r="1934" spans="1:21" ht="15" customHeight="1" x14ac:dyDescent="0.3">
      <c r="A1934" s="4">
        <v>45138</v>
      </c>
      <c r="B1934" s="5">
        <f t="shared" si="471"/>
        <v>7</v>
      </c>
      <c r="C1934" s="5">
        <f t="shared" si="472"/>
        <v>2023</v>
      </c>
      <c r="D1934" s="88" t="s">
        <v>1747</v>
      </c>
      <c r="E1934" s="5" t="str">
        <f>VLOOKUP(F1934,'Set up'!$A$2:$C$70,2,FALSE)</f>
        <v>C00000013a</v>
      </c>
      <c r="F1934" s="1" t="s">
        <v>1453</v>
      </c>
      <c r="G1934" s="99" t="s">
        <v>1745</v>
      </c>
      <c r="H1934" s="5">
        <v>1</v>
      </c>
      <c r="I1934" s="5" t="str">
        <f>VLOOKUP(F1934,'Set up'!$A$2:$C$70,3,FALSE)</f>
        <v>Cash</v>
      </c>
      <c r="J1934" s="5">
        <f>VLOOKUP(F1934,'Set up'!$A$2:$D$70,4,FALSE)</f>
        <v>0</v>
      </c>
      <c r="K1934" s="4">
        <f t="shared" si="473"/>
        <v>45138</v>
      </c>
      <c r="L1934" s="5">
        <f t="shared" si="474"/>
        <v>7</v>
      </c>
      <c r="M1934" s="5">
        <f t="shared" si="475"/>
        <v>2023</v>
      </c>
      <c r="N1934" s="96">
        <v>280</v>
      </c>
      <c r="O1934" s="6">
        <f t="shared" si="477"/>
        <v>-280</v>
      </c>
      <c r="P1934" s="6">
        <f t="shared" si="468"/>
        <v>0</v>
      </c>
      <c r="Q1934" s="7">
        <f t="shared" si="476"/>
        <v>3413976.350000001</v>
      </c>
      <c r="R1934" s="44" t="str">
        <f>VLOOKUP(F1934,'Set up'!$A$2:$E$70,5,FALSE)</f>
        <v>Chq</v>
      </c>
      <c r="S1934" s="1" t="s">
        <v>1788</v>
      </c>
    </row>
    <row r="1935" spans="1:21" ht="15" customHeight="1" x14ac:dyDescent="0.3">
      <c r="A1935" s="4">
        <v>45138</v>
      </c>
      <c r="B1935" s="5">
        <f t="shared" si="471"/>
        <v>7</v>
      </c>
      <c r="C1935" s="5">
        <f t="shared" si="472"/>
        <v>2023</v>
      </c>
      <c r="D1935" s="88" t="s">
        <v>1747</v>
      </c>
      <c r="E1935" s="5" t="str">
        <f>VLOOKUP(F1935,'Set up'!$A$2:$C$70,2,FALSE)</f>
        <v>C00000013a</v>
      </c>
      <c r="F1935" s="1" t="s">
        <v>1453</v>
      </c>
      <c r="G1935" s="99" t="s">
        <v>1746</v>
      </c>
      <c r="H1935" s="5">
        <v>1</v>
      </c>
      <c r="I1935" s="5" t="str">
        <f>VLOOKUP(F1935,'Set up'!$A$2:$C$70,3,FALSE)</f>
        <v>Cash</v>
      </c>
      <c r="J1935" s="5">
        <f>VLOOKUP(F1935,'Set up'!$A$2:$D$70,4,FALSE)</f>
        <v>0</v>
      </c>
      <c r="K1935" s="4">
        <f t="shared" si="473"/>
        <v>45138</v>
      </c>
      <c r="L1935" s="5">
        <f t="shared" si="474"/>
        <v>7</v>
      </c>
      <c r="M1935" s="5">
        <f t="shared" si="475"/>
        <v>2023</v>
      </c>
      <c r="N1935" s="96">
        <v>260</v>
      </c>
      <c r="O1935" s="6">
        <f t="shared" si="477"/>
        <v>-260</v>
      </c>
      <c r="P1935" s="6">
        <f t="shared" si="468"/>
        <v>0</v>
      </c>
      <c r="Q1935" s="7">
        <f t="shared" si="476"/>
        <v>3414236.350000001</v>
      </c>
      <c r="R1935" s="44" t="str">
        <f>VLOOKUP(F1935,'Set up'!$A$2:$E$70,5,FALSE)</f>
        <v>Chq</v>
      </c>
      <c r="S1935" s="1" t="s">
        <v>1788</v>
      </c>
    </row>
    <row r="1936" spans="1:21" ht="15" customHeight="1" x14ac:dyDescent="0.3">
      <c r="A1936" s="4">
        <v>45139</v>
      </c>
      <c r="B1936" s="5">
        <f t="shared" si="471"/>
        <v>8</v>
      </c>
      <c r="C1936" s="5">
        <f t="shared" si="472"/>
        <v>2023</v>
      </c>
      <c r="D1936" s="88" t="s">
        <v>1791</v>
      </c>
      <c r="E1936" s="5" t="str">
        <f>VLOOKUP(F1936,'Set up'!$A$2:$C$70,2,FALSE)</f>
        <v>C00000034</v>
      </c>
      <c r="F1936" s="1" t="s">
        <v>1196</v>
      </c>
      <c r="G1936" s="89" t="s">
        <v>944</v>
      </c>
      <c r="H1936" s="5">
        <v>1</v>
      </c>
      <c r="I1936" s="5" t="str">
        <f>VLOOKUP(F1936,'Set up'!$A$2:$C$70,3,FALSE)</f>
        <v>Cash</v>
      </c>
      <c r="J1936" s="5">
        <f>VLOOKUP(F1936,'Set up'!$A$2:$D$70,4,FALSE)</f>
        <v>0</v>
      </c>
      <c r="K1936" s="4">
        <f t="shared" si="473"/>
        <v>45139</v>
      </c>
      <c r="L1936" s="5">
        <f t="shared" si="474"/>
        <v>8</v>
      </c>
      <c r="M1936" s="5">
        <f t="shared" si="475"/>
        <v>2023</v>
      </c>
      <c r="N1936" s="96">
        <v>420</v>
      </c>
      <c r="O1936" s="6">
        <f>-0.2-10-100-309.8</f>
        <v>-420</v>
      </c>
      <c r="P1936" s="6">
        <f t="shared" ref="P1936:P1999" si="478">SUM(N1936+O1936)</f>
        <v>0</v>
      </c>
      <c r="Q1936" s="7">
        <f t="shared" si="476"/>
        <v>3414656.350000001</v>
      </c>
      <c r="R1936" s="44" t="str">
        <f>VLOOKUP(F1936,'Set up'!$A$2:$E$70,5,FALSE)</f>
        <v>Trsf</v>
      </c>
      <c r="S1936" s="1" t="s">
        <v>1873</v>
      </c>
    </row>
    <row r="1937" spans="1:19" ht="15" customHeight="1" x14ac:dyDescent="0.3">
      <c r="A1937" s="4">
        <v>45139</v>
      </c>
      <c r="B1937" s="5">
        <f t="shared" si="471"/>
        <v>8</v>
      </c>
      <c r="C1937" s="5">
        <f t="shared" si="472"/>
        <v>2023</v>
      </c>
      <c r="D1937" s="88" t="s">
        <v>1791</v>
      </c>
      <c r="E1937" s="5" t="str">
        <f>VLOOKUP(F1937,'Set up'!$A$2:$C$70,2,FALSE)</f>
        <v>C00000034</v>
      </c>
      <c r="F1937" s="1" t="s">
        <v>1196</v>
      </c>
      <c r="G1937" s="11" t="s">
        <v>1431</v>
      </c>
      <c r="H1937" s="5">
        <v>1</v>
      </c>
      <c r="I1937" s="5" t="str">
        <f>VLOOKUP(F1937,'Set up'!$A$2:$C$70,3,FALSE)</f>
        <v>Cash</v>
      </c>
      <c r="J1937" s="5">
        <f>VLOOKUP(F1937,'Set up'!$A$2:$D$70,4,FALSE)</f>
        <v>0</v>
      </c>
      <c r="K1937" s="4">
        <f t="shared" si="473"/>
        <v>45139</v>
      </c>
      <c r="L1937" s="5">
        <f t="shared" si="474"/>
        <v>8</v>
      </c>
      <c r="M1937" s="5">
        <f t="shared" si="475"/>
        <v>2023</v>
      </c>
      <c r="N1937" s="96">
        <v>225</v>
      </c>
      <c r="O1937" s="6">
        <f t="shared" ref="O1937:O1939" si="479">-N1937</f>
        <v>-225</v>
      </c>
      <c r="P1937" s="6">
        <f t="shared" si="478"/>
        <v>0</v>
      </c>
      <c r="Q1937" s="7">
        <f t="shared" si="476"/>
        <v>3414881.350000001</v>
      </c>
      <c r="R1937" s="44" t="str">
        <f>VLOOKUP(F1937,'Set up'!$A$2:$E$70,5,FALSE)</f>
        <v>Trsf</v>
      </c>
      <c r="S1937" s="1" t="s">
        <v>1848</v>
      </c>
    </row>
    <row r="1938" spans="1:19" ht="15" customHeight="1" x14ac:dyDescent="0.3">
      <c r="A1938" s="4">
        <v>45139</v>
      </c>
      <c r="B1938" s="5">
        <f t="shared" si="471"/>
        <v>8</v>
      </c>
      <c r="C1938" s="5">
        <f t="shared" si="472"/>
        <v>2023</v>
      </c>
      <c r="D1938" s="88" t="s">
        <v>1791</v>
      </c>
      <c r="E1938" s="5" t="str">
        <f>VLOOKUP(F1938,'Set up'!$A$2:$C$70,2,FALSE)</f>
        <v>C00000034</v>
      </c>
      <c r="F1938" s="1" t="s">
        <v>1196</v>
      </c>
      <c r="G1938" s="90" t="s">
        <v>1793</v>
      </c>
      <c r="H1938" s="5">
        <v>1</v>
      </c>
      <c r="I1938" s="5" t="str">
        <f>VLOOKUP(F1938,'Set up'!$A$2:$C$70,3,FALSE)</f>
        <v>Cash</v>
      </c>
      <c r="J1938" s="5">
        <f>VLOOKUP(F1938,'Set up'!$A$2:$D$70,4,FALSE)</f>
        <v>0</v>
      </c>
      <c r="K1938" s="4">
        <f t="shared" si="473"/>
        <v>45139</v>
      </c>
      <c r="L1938" s="5">
        <f t="shared" si="474"/>
        <v>8</v>
      </c>
      <c r="M1938" s="5">
        <f t="shared" si="475"/>
        <v>2023</v>
      </c>
      <c r="N1938" s="96">
        <v>160</v>
      </c>
      <c r="O1938" s="6">
        <f t="shared" si="479"/>
        <v>-160</v>
      </c>
      <c r="P1938" s="6">
        <f t="shared" si="478"/>
        <v>0</v>
      </c>
      <c r="Q1938" s="7">
        <f t="shared" si="476"/>
        <v>3415041.350000001</v>
      </c>
      <c r="R1938" s="44" t="str">
        <f>VLOOKUP(F1938,'Set up'!$A$2:$E$70,5,FALSE)</f>
        <v>Trsf</v>
      </c>
      <c r="S1938" s="1" t="s">
        <v>1849</v>
      </c>
    </row>
    <row r="1939" spans="1:19" ht="15" customHeight="1" x14ac:dyDescent="0.3">
      <c r="A1939" s="4">
        <v>45139</v>
      </c>
      <c r="B1939" s="5">
        <f t="shared" si="471"/>
        <v>8</v>
      </c>
      <c r="C1939" s="5">
        <f t="shared" si="472"/>
        <v>2023</v>
      </c>
      <c r="D1939" s="88" t="s">
        <v>1792</v>
      </c>
      <c r="E1939" s="5" t="str">
        <f>VLOOKUP(F1939,'Set up'!$A$2:$C$70,2,FALSE)</f>
        <v>C00000009</v>
      </c>
      <c r="F1939" s="1" t="s">
        <v>58</v>
      </c>
      <c r="G1939" s="11" t="s">
        <v>1402</v>
      </c>
      <c r="H1939" s="5">
        <v>2</v>
      </c>
      <c r="I1939" s="5">
        <f>VLOOKUP(F1939,'Set up'!$A$2:$C$70,3,FALSE)</f>
        <v>60</v>
      </c>
      <c r="J1939" s="5">
        <f>VLOOKUP(F1939,'Set up'!$A$2:$D$70,4,FALSE)</f>
        <v>60</v>
      </c>
      <c r="K1939" s="4">
        <f t="shared" si="473"/>
        <v>45199</v>
      </c>
      <c r="L1939" s="5">
        <f t="shared" si="474"/>
        <v>9</v>
      </c>
      <c r="M1939" s="5">
        <f t="shared" si="475"/>
        <v>2023</v>
      </c>
      <c r="N1939" s="98">
        <v>3124</v>
      </c>
      <c r="O1939" s="6">
        <f t="shared" si="479"/>
        <v>-3124</v>
      </c>
      <c r="P1939" s="6">
        <f t="shared" si="478"/>
        <v>0</v>
      </c>
      <c r="Q1939" s="7">
        <f t="shared" si="476"/>
        <v>3418165.350000001</v>
      </c>
      <c r="R1939" s="44" t="str">
        <f>VLOOKUP(F1939,'Set up'!$A$2:$E$70,5,FALSE)</f>
        <v>Chq</v>
      </c>
      <c r="S1939" s="1" t="s">
        <v>2254</v>
      </c>
    </row>
    <row r="1940" spans="1:19" ht="15" customHeight="1" x14ac:dyDescent="0.3">
      <c r="A1940" s="4">
        <v>45139</v>
      </c>
      <c r="B1940" s="5">
        <f t="shared" si="471"/>
        <v>8</v>
      </c>
      <c r="C1940" s="5">
        <f t="shared" si="472"/>
        <v>2023</v>
      </c>
      <c r="D1940" s="88" t="s">
        <v>1794</v>
      </c>
      <c r="E1940" s="5" t="str">
        <f>VLOOKUP(F1940,'Set up'!$A$2:$C$70,2,FALSE)</f>
        <v>C00000014</v>
      </c>
      <c r="F1940" s="1" t="s">
        <v>262</v>
      </c>
      <c r="G1940" s="95" t="s">
        <v>303</v>
      </c>
      <c r="H1940" s="5">
        <v>2</v>
      </c>
      <c r="I1940" s="5" t="str">
        <f>VLOOKUP(F1940,'Set up'!$A$2:$C$70,3,FALSE)</f>
        <v>Cash</v>
      </c>
      <c r="J1940" s="5">
        <f>VLOOKUP(F1940,'Set up'!$A$2:$D$70,4,FALSE)</f>
        <v>0</v>
      </c>
      <c r="K1940" s="4">
        <f t="shared" si="473"/>
        <v>45139</v>
      </c>
      <c r="L1940" s="5">
        <f t="shared" si="474"/>
        <v>8</v>
      </c>
      <c r="M1940" s="5">
        <f t="shared" si="475"/>
        <v>2023</v>
      </c>
      <c r="N1940" s="96">
        <v>3388</v>
      </c>
      <c r="O1940" s="6">
        <f t="shared" ref="O1940:O1942" si="480">-N1940</f>
        <v>-3388</v>
      </c>
      <c r="P1940" s="6">
        <f t="shared" si="478"/>
        <v>0</v>
      </c>
      <c r="Q1940" s="7">
        <f t="shared" si="476"/>
        <v>3421553.350000001</v>
      </c>
      <c r="R1940" s="44" t="str">
        <f>VLOOKUP(F1940,'Set up'!$A$2:$E$70,5,FALSE)</f>
        <v>Cash</v>
      </c>
      <c r="S1940" s="1" t="s">
        <v>1842</v>
      </c>
    </row>
    <row r="1941" spans="1:19" ht="15" customHeight="1" x14ac:dyDescent="0.3">
      <c r="A1941" s="4">
        <v>45139</v>
      </c>
      <c r="B1941" s="5">
        <f t="shared" si="471"/>
        <v>8</v>
      </c>
      <c r="C1941" s="5">
        <f t="shared" si="472"/>
        <v>2023</v>
      </c>
      <c r="D1941" s="88" t="s">
        <v>1794</v>
      </c>
      <c r="E1941" s="5" t="str">
        <f>VLOOKUP(F1941,'Set up'!$A$2:$C$70,2,FALSE)</f>
        <v>C00000014</v>
      </c>
      <c r="F1941" s="1" t="s">
        <v>262</v>
      </c>
      <c r="G1941" s="90" t="s">
        <v>988</v>
      </c>
      <c r="H1941" s="5">
        <v>4</v>
      </c>
      <c r="I1941" s="5" t="str">
        <f>VLOOKUP(F1941,'Set up'!$A$2:$C$70,3,FALSE)</f>
        <v>Cash</v>
      </c>
      <c r="J1941" s="5">
        <f>VLOOKUP(F1941,'Set up'!$A$2:$D$70,4,FALSE)</f>
        <v>0</v>
      </c>
      <c r="K1941" s="4">
        <f t="shared" si="473"/>
        <v>45139</v>
      </c>
      <c r="L1941" s="5">
        <f t="shared" si="474"/>
        <v>8</v>
      </c>
      <c r="M1941" s="5">
        <f t="shared" si="475"/>
        <v>2023</v>
      </c>
      <c r="N1941" s="96">
        <v>936</v>
      </c>
      <c r="O1941" s="6">
        <f t="shared" si="480"/>
        <v>-936</v>
      </c>
      <c r="P1941" s="6">
        <f t="shared" si="478"/>
        <v>0</v>
      </c>
      <c r="Q1941" s="7">
        <f t="shared" si="476"/>
        <v>3422489.350000001</v>
      </c>
      <c r="R1941" s="44" t="str">
        <f>VLOOKUP(F1941,'Set up'!$A$2:$E$70,5,FALSE)</f>
        <v>Cash</v>
      </c>
      <c r="S1941" s="1" t="s">
        <v>1842</v>
      </c>
    </row>
    <row r="1942" spans="1:19" ht="15" customHeight="1" x14ac:dyDescent="0.3">
      <c r="A1942" s="4">
        <v>45139</v>
      </c>
      <c r="B1942" s="5">
        <f t="shared" si="471"/>
        <v>8</v>
      </c>
      <c r="C1942" s="5">
        <f t="shared" si="472"/>
        <v>2023</v>
      </c>
      <c r="D1942" s="88" t="s">
        <v>1794</v>
      </c>
      <c r="E1942" s="5" t="str">
        <f>VLOOKUP(F1942,'Set up'!$A$2:$C$70,2,FALSE)</f>
        <v>C00000014</v>
      </c>
      <c r="F1942" s="1" t="s">
        <v>262</v>
      </c>
      <c r="G1942" s="99" t="s">
        <v>1110</v>
      </c>
      <c r="H1942" s="5">
        <v>1</v>
      </c>
      <c r="I1942" s="5" t="str">
        <f>VLOOKUP(F1942,'Set up'!$A$2:$C$70,3,FALSE)</f>
        <v>Cash</v>
      </c>
      <c r="J1942" s="5">
        <f>VLOOKUP(F1942,'Set up'!$A$2:$D$70,4,FALSE)</f>
        <v>0</v>
      </c>
      <c r="K1942" s="4">
        <f t="shared" si="473"/>
        <v>45139</v>
      </c>
      <c r="L1942" s="5">
        <f t="shared" si="474"/>
        <v>8</v>
      </c>
      <c r="M1942" s="5">
        <f t="shared" si="475"/>
        <v>2023</v>
      </c>
      <c r="N1942" s="96">
        <v>62.5</v>
      </c>
      <c r="O1942" s="6">
        <f t="shared" si="480"/>
        <v>-62.5</v>
      </c>
      <c r="P1942" s="6">
        <f t="shared" si="478"/>
        <v>0</v>
      </c>
      <c r="Q1942" s="7">
        <f t="shared" si="476"/>
        <v>3422551.850000001</v>
      </c>
      <c r="R1942" s="44" t="str">
        <f>VLOOKUP(F1942,'Set up'!$A$2:$E$70,5,FALSE)</f>
        <v>Cash</v>
      </c>
      <c r="S1942" s="1" t="s">
        <v>1842</v>
      </c>
    </row>
    <row r="1943" spans="1:19" ht="15" customHeight="1" x14ac:dyDescent="0.3">
      <c r="A1943" s="4">
        <v>45140</v>
      </c>
      <c r="B1943" s="5">
        <f t="shared" si="471"/>
        <v>8</v>
      </c>
      <c r="C1943" s="5">
        <f t="shared" si="472"/>
        <v>2023</v>
      </c>
      <c r="D1943" s="88" t="s">
        <v>1795</v>
      </c>
      <c r="E1943" s="5" t="str">
        <f>VLOOKUP(F1943,'Set up'!$A$2:$C$70,2,FALSE)</f>
        <v>C00000010</v>
      </c>
      <c r="F1943" s="1" t="s">
        <v>62</v>
      </c>
      <c r="G1943" s="95" t="s">
        <v>1178</v>
      </c>
      <c r="H1943" s="5">
        <v>6</v>
      </c>
      <c r="I1943" s="5">
        <f>VLOOKUP(F1943,'Set up'!$A$2:$C$70,3,FALSE)</f>
        <v>120</v>
      </c>
      <c r="J1943" s="5">
        <f>VLOOKUP(F1943,'Set up'!$A$2:$D$70,4,FALSE)</f>
        <v>120</v>
      </c>
      <c r="K1943" s="4">
        <f t="shared" si="473"/>
        <v>45260</v>
      </c>
      <c r="L1943" s="5">
        <f t="shared" si="474"/>
        <v>11</v>
      </c>
      <c r="M1943" s="5">
        <f t="shared" si="475"/>
        <v>2023</v>
      </c>
      <c r="N1943" s="96">
        <v>9636</v>
      </c>
      <c r="O1943" s="6">
        <f t="shared" ref="O1943:O1958" si="481">-N1943</f>
        <v>-9636</v>
      </c>
      <c r="P1943" s="6">
        <f t="shared" si="478"/>
        <v>0</v>
      </c>
      <c r="Q1943" s="7">
        <f t="shared" si="476"/>
        <v>3432187.850000001</v>
      </c>
      <c r="R1943" s="44" t="str">
        <f>VLOOKUP(F1943,'Set up'!$A$2:$E$70,5,FALSE)</f>
        <v>Trsf</v>
      </c>
      <c r="S1943" s="1" t="s">
        <v>2338</v>
      </c>
    </row>
    <row r="1944" spans="1:19" ht="15" customHeight="1" x14ac:dyDescent="0.3">
      <c r="A1944" s="4">
        <v>45140</v>
      </c>
      <c r="B1944" s="5">
        <f t="shared" si="471"/>
        <v>8</v>
      </c>
      <c r="C1944" s="5">
        <f t="shared" si="472"/>
        <v>2023</v>
      </c>
      <c r="D1944" s="88" t="s">
        <v>1795</v>
      </c>
      <c r="E1944" s="5" t="str">
        <f>VLOOKUP(F1944,'Set up'!$A$2:$C$70,2,FALSE)</f>
        <v>C00000010</v>
      </c>
      <c r="F1944" s="1" t="s">
        <v>62</v>
      </c>
      <c r="G1944" s="90" t="s">
        <v>1543</v>
      </c>
      <c r="H1944" s="5">
        <v>10</v>
      </c>
      <c r="I1944" s="5">
        <f>VLOOKUP(F1944,'Set up'!$A$2:$C$70,3,FALSE)</f>
        <v>120</v>
      </c>
      <c r="J1944" s="5">
        <f>VLOOKUP(F1944,'Set up'!$A$2:$D$70,4,FALSE)</f>
        <v>120</v>
      </c>
      <c r="K1944" s="4">
        <f t="shared" si="473"/>
        <v>45260</v>
      </c>
      <c r="L1944" s="5">
        <f t="shared" si="474"/>
        <v>11</v>
      </c>
      <c r="M1944" s="5">
        <f t="shared" si="475"/>
        <v>2023</v>
      </c>
      <c r="N1944" s="96">
        <v>1800</v>
      </c>
      <c r="O1944" s="6">
        <f t="shared" si="481"/>
        <v>-1800</v>
      </c>
      <c r="P1944" s="6">
        <f t="shared" si="478"/>
        <v>0</v>
      </c>
      <c r="Q1944" s="7">
        <f t="shared" si="476"/>
        <v>3433987.850000001</v>
      </c>
      <c r="R1944" s="44" t="str">
        <f>VLOOKUP(F1944,'Set up'!$A$2:$E$70,5,FALSE)</f>
        <v>Trsf</v>
      </c>
      <c r="S1944" s="1" t="s">
        <v>2338</v>
      </c>
    </row>
    <row r="1945" spans="1:19" ht="15" customHeight="1" x14ac:dyDescent="0.3">
      <c r="A1945" s="4">
        <v>45140</v>
      </c>
      <c r="B1945" s="5">
        <f t="shared" si="471"/>
        <v>8</v>
      </c>
      <c r="C1945" s="5">
        <f t="shared" si="472"/>
        <v>2023</v>
      </c>
      <c r="D1945" s="88" t="s">
        <v>1795</v>
      </c>
      <c r="E1945" s="5" t="str">
        <f>VLOOKUP(F1945,'Set up'!$A$2:$C$70,2,FALSE)</f>
        <v>C00000010</v>
      </c>
      <c r="F1945" s="1" t="s">
        <v>62</v>
      </c>
      <c r="G1945" s="90" t="s">
        <v>791</v>
      </c>
      <c r="H1945" s="5">
        <v>15</v>
      </c>
      <c r="I1945" s="5">
        <f>VLOOKUP(F1945,'Set up'!$A$2:$C$70,3,FALSE)</f>
        <v>120</v>
      </c>
      <c r="J1945" s="5">
        <f>VLOOKUP(F1945,'Set up'!$A$2:$D$70,4,FALSE)</f>
        <v>120</v>
      </c>
      <c r="K1945" s="4">
        <f t="shared" si="473"/>
        <v>45260</v>
      </c>
      <c r="L1945" s="5">
        <f t="shared" si="474"/>
        <v>11</v>
      </c>
      <c r="M1945" s="5">
        <f t="shared" si="475"/>
        <v>2023</v>
      </c>
      <c r="N1945" s="96">
        <v>862.5</v>
      </c>
      <c r="O1945" s="6">
        <f t="shared" si="481"/>
        <v>-862.5</v>
      </c>
      <c r="P1945" s="6">
        <f t="shared" si="478"/>
        <v>0</v>
      </c>
      <c r="Q1945" s="7">
        <f t="shared" si="476"/>
        <v>3434850.350000001</v>
      </c>
      <c r="R1945" s="44" t="str">
        <f>VLOOKUP(F1945,'Set up'!$A$2:$E$70,5,FALSE)</f>
        <v>Trsf</v>
      </c>
      <c r="S1945" s="1" t="s">
        <v>2338</v>
      </c>
    </row>
    <row r="1946" spans="1:19" ht="15" customHeight="1" x14ac:dyDescent="0.3">
      <c r="A1946" s="4">
        <v>45140</v>
      </c>
      <c r="B1946" s="5">
        <f t="shared" si="471"/>
        <v>8</v>
      </c>
      <c r="C1946" s="5">
        <f t="shared" si="472"/>
        <v>2023</v>
      </c>
      <c r="D1946" s="88" t="s">
        <v>1795</v>
      </c>
      <c r="E1946" s="5" t="str">
        <f>VLOOKUP(F1946,'Set up'!$A$2:$C$70,2,FALSE)</f>
        <v>C00000010</v>
      </c>
      <c r="F1946" s="1" t="s">
        <v>62</v>
      </c>
      <c r="G1946" s="11" t="s">
        <v>46</v>
      </c>
      <c r="H1946" s="5">
        <v>4</v>
      </c>
      <c r="I1946" s="5">
        <f>VLOOKUP(F1946,'Set up'!$A$2:$C$70,3,FALSE)</f>
        <v>120</v>
      </c>
      <c r="J1946" s="5">
        <f>VLOOKUP(F1946,'Set up'!$A$2:$D$70,4,FALSE)</f>
        <v>120</v>
      </c>
      <c r="K1946" s="4">
        <f t="shared" si="473"/>
        <v>45260</v>
      </c>
      <c r="L1946" s="5">
        <f t="shared" si="474"/>
        <v>11</v>
      </c>
      <c r="M1946" s="5">
        <f t="shared" si="475"/>
        <v>2023</v>
      </c>
      <c r="N1946" s="96">
        <v>420</v>
      </c>
      <c r="O1946" s="6">
        <f t="shared" si="481"/>
        <v>-420</v>
      </c>
      <c r="P1946" s="6">
        <f t="shared" si="478"/>
        <v>0</v>
      </c>
      <c r="Q1946" s="7">
        <f t="shared" si="476"/>
        <v>3435270.350000001</v>
      </c>
      <c r="R1946" s="44" t="str">
        <f>VLOOKUP(F1946,'Set up'!$A$2:$E$70,5,FALSE)</f>
        <v>Trsf</v>
      </c>
      <c r="S1946" s="1" t="s">
        <v>2338</v>
      </c>
    </row>
    <row r="1947" spans="1:19" ht="15" customHeight="1" x14ac:dyDescent="0.3">
      <c r="A1947" s="4">
        <v>45140</v>
      </c>
      <c r="B1947" s="5">
        <f t="shared" si="471"/>
        <v>8</v>
      </c>
      <c r="C1947" s="5">
        <f t="shared" si="472"/>
        <v>2023</v>
      </c>
      <c r="D1947" s="88" t="s">
        <v>1795</v>
      </c>
      <c r="E1947" s="5" t="str">
        <f>VLOOKUP(F1947,'Set up'!$A$2:$C$70,2,FALSE)</f>
        <v>C00000010</v>
      </c>
      <c r="F1947" s="1" t="s">
        <v>62</v>
      </c>
      <c r="G1947" s="90" t="s">
        <v>944</v>
      </c>
      <c r="H1947" s="5">
        <v>1</v>
      </c>
      <c r="I1947" s="5">
        <f>VLOOKUP(F1947,'Set up'!$A$2:$C$70,3,FALSE)</f>
        <v>120</v>
      </c>
      <c r="J1947" s="5">
        <f>VLOOKUP(F1947,'Set up'!$A$2:$D$70,4,FALSE)</f>
        <v>120</v>
      </c>
      <c r="K1947" s="4">
        <f t="shared" si="473"/>
        <v>45260</v>
      </c>
      <c r="L1947" s="5">
        <f t="shared" si="474"/>
        <v>11</v>
      </c>
      <c r="M1947" s="5">
        <f t="shared" si="475"/>
        <v>2023</v>
      </c>
      <c r="N1947" s="96">
        <v>420</v>
      </c>
      <c r="O1947" s="6">
        <f t="shared" si="481"/>
        <v>-420</v>
      </c>
      <c r="P1947" s="6">
        <f t="shared" si="478"/>
        <v>0</v>
      </c>
      <c r="Q1947" s="7">
        <f t="shared" si="476"/>
        <v>3435690.350000001</v>
      </c>
      <c r="R1947" s="44" t="str">
        <f>VLOOKUP(F1947,'Set up'!$A$2:$E$70,5,FALSE)</f>
        <v>Trsf</v>
      </c>
      <c r="S1947" s="1" t="s">
        <v>2338</v>
      </c>
    </row>
    <row r="1948" spans="1:19" ht="15" customHeight="1" x14ac:dyDescent="0.3">
      <c r="A1948" s="4">
        <v>45140</v>
      </c>
      <c r="B1948" s="5">
        <f t="shared" si="471"/>
        <v>8</v>
      </c>
      <c r="C1948" s="5">
        <f t="shared" si="472"/>
        <v>2023</v>
      </c>
      <c r="D1948" s="88" t="s">
        <v>1795</v>
      </c>
      <c r="E1948" s="5" t="str">
        <f>VLOOKUP(F1948,'Set up'!$A$2:$C$70,2,FALSE)</f>
        <v>C00000010</v>
      </c>
      <c r="F1948" s="1" t="s">
        <v>62</v>
      </c>
      <c r="G1948" s="90" t="s">
        <v>614</v>
      </c>
      <c r="H1948" s="5">
        <v>1</v>
      </c>
      <c r="I1948" s="5">
        <f>VLOOKUP(F1948,'Set up'!$A$2:$C$70,3,FALSE)</f>
        <v>120</v>
      </c>
      <c r="J1948" s="5">
        <f>VLOOKUP(F1948,'Set up'!$A$2:$D$70,4,FALSE)</f>
        <v>120</v>
      </c>
      <c r="K1948" s="4">
        <f t="shared" si="473"/>
        <v>45260</v>
      </c>
      <c r="L1948" s="5">
        <f t="shared" si="474"/>
        <v>11</v>
      </c>
      <c r="M1948" s="5">
        <f t="shared" si="475"/>
        <v>2023</v>
      </c>
      <c r="N1948" s="96">
        <v>395</v>
      </c>
      <c r="O1948" s="6">
        <f t="shared" si="481"/>
        <v>-395</v>
      </c>
      <c r="P1948" s="6">
        <f t="shared" si="478"/>
        <v>0</v>
      </c>
      <c r="Q1948" s="7">
        <f t="shared" si="476"/>
        <v>3436085.350000001</v>
      </c>
      <c r="R1948" s="44" t="str">
        <f>VLOOKUP(F1948,'Set up'!$A$2:$E$70,5,FALSE)</f>
        <v>Trsf</v>
      </c>
      <c r="S1948" s="1" t="s">
        <v>2338</v>
      </c>
    </row>
    <row r="1949" spans="1:19" ht="15" customHeight="1" x14ac:dyDescent="0.3">
      <c r="A1949" s="4">
        <v>45141</v>
      </c>
      <c r="B1949" s="5">
        <f t="shared" si="471"/>
        <v>8</v>
      </c>
      <c r="C1949" s="5">
        <f t="shared" si="472"/>
        <v>2023</v>
      </c>
      <c r="D1949" s="88" t="s">
        <v>1797</v>
      </c>
      <c r="E1949" s="5" t="str">
        <f>VLOOKUP(F1949,'Set up'!$A$2:$C$70,2,FALSE)</f>
        <v>C00000006</v>
      </c>
      <c r="F1949" s="1" t="s">
        <v>43</v>
      </c>
      <c r="G1949" s="99" t="s">
        <v>95</v>
      </c>
      <c r="H1949" s="5">
        <v>1</v>
      </c>
      <c r="I1949" s="5" t="str">
        <f>VLOOKUP(F1949,'Set up'!$A$2:$C$70,3,FALSE)</f>
        <v>Cash</v>
      </c>
      <c r="J1949" s="5">
        <f>VLOOKUP(F1949,'Set up'!$A$2:$D$70,4,FALSE)</f>
        <v>0</v>
      </c>
      <c r="K1949" s="4">
        <f t="shared" si="473"/>
        <v>45141</v>
      </c>
      <c r="L1949" s="5">
        <f t="shared" si="474"/>
        <v>8</v>
      </c>
      <c r="M1949" s="5">
        <f t="shared" si="475"/>
        <v>2023</v>
      </c>
      <c r="N1949" s="96">
        <v>1738</v>
      </c>
      <c r="O1949" s="6">
        <f t="shared" si="481"/>
        <v>-1738</v>
      </c>
      <c r="P1949" s="6">
        <f t="shared" si="478"/>
        <v>0</v>
      </c>
      <c r="Q1949" s="7">
        <f t="shared" si="476"/>
        <v>3437823.350000001</v>
      </c>
      <c r="R1949" s="44" t="str">
        <f>VLOOKUP(F1949,'Set up'!$A$2:$E$70,5,FALSE)</f>
        <v>Chq</v>
      </c>
      <c r="S1949" s="1" t="s">
        <v>2085</v>
      </c>
    </row>
    <row r="1950" spans="1:19" ht="15" customHeight="1" x14ac:dyDescent="0.3">
      <c r="A1950" s="4">
        <v>45141</v>
      </c>
      <c r="B1950" s="5">
        <f t="shared" si="471"/>
        <v>8</v>
      </c>
      <c r="C1950" s="5">
        <f t="shared" si="472"/>
        <v>2023</v>
      </c>
      <c r="D1950" s="88" t="s">
        <v>1797</v>
      </c>
      <c r="E1950" s="5" t="str">
        <f>VLOOKUP(F1950,'Set up'!$A$2:$C$70,2,FALSE)</f>
        <v>C00000006</v>
      </c>
      <c r="F1950" s="1" t="s">
        <v>43</v>
      </c>
      <c r="G1950" s="90" t="s">
        <v>1796</v>
      </c>
      <c r="H1950" s="5">
        <v>2</v>
      </c>
      <c r="I1950" s="5" t="str">
        <f>VLOOKUP(F1950,'Set up'!$A$2:$C$70,3,FALSE)</f>
        <v>Cash</v>
      </c>
      <c r="J1950" s="5">
        <f>VLOOKUP(F1950,'Set up'!$A$2:$D$70,4,FALSE)</f>
        <v>0</v>
      </c>
      <c r="K1950" s="4">
        <f t="shared" si="473"/>
        <v>45141</v>
      </c>
      <c r="L1950" s="5">
        <f t="shared" si="474"/>
        <v>8</v>
      </c>
      <c r="M1950" s="5">
        <f t="shared" si="475"/>
        <v>2023</v>
      </c>
      <c r="N1950" s="96">
        <v>468</v>
      </c>
      <c r="O1950" s="6">
        <f t="shared" si="481"/>
        <v>-468</v>
      </c>
      <c r="P1950" s="6">
        <f t="shared" si="478"/>
        <v>0</v>
      </c>
      <c r="Q1950" s="7">
        <f t="shared" si="476"/>
        <v>3438291.350000001</v>
      </c>
      <c r="R1950" s="44" t="str">
        <f>VLOOKUP(F1950,'Set up'!$A$2:$E$70,5,FALSE)</f>
        <v>Chq</v>
      </c>
      <c r="S1950" s="1" t="s">
        <v>2085</v>
      </c>
    </row>
    <row r="1951" spans="1:19" ht="15" customHeight="1" x14ac:dyDescent="0.3">
      <c r="A1951" s="4">
        <v>45141</v>
      </c>
      <c r="B1951" s="5">
        <f t="shared" si="471"/>
        <v>8</v>
      </c>
      <c r="C1951" s="5">
        <f t="shared" si="472"/>
        <v>2023</v>
      </c>
      <c r="D1951" s="88" t="s">
        <v>1797</v>
      </c>
      <c r="E1951" s="5" t="str">
        <f>VLOOKUP(F1951,'Set up'!$A$2:$C$70,2,FALSE)</f>
        <v>C00000006</v>
      </c>
      <c r="F1951" s="1" t="s">
        <v>43</v>
      </c>
      <c r="G1951" s="90" t="s">
        <v>1793</v>
      </c>
      <c r="H1951" s="5">
        <v>1</v>
      </c>
      <c r="I1951" s="5" t="str">
        <f>VLOOKUP(F1951,'Set up'!$A$2:$C$70,3,FALSE)</f>
        <v>Cash</v>
      </c>
      <c r="J1951" s="5">
        <f>VLOOKUP(F1951,'Set up'!$A$2:$D$70,4,FALSE)</f>
        <v>0</v>
      </c>
      <c r="K1951" s="4">
        <f t="shared" si="473"/>
        <v>45141</v>
      </c>
      <c r="L1951" s="5">
        <f t="shared" si="474"/>
        <v>8</v>
      </c>
      <c r="M1951" s="5">
        <f t="shared" si="475"/>
        <v>2023</v>
      </c>
      <c r="N1951" s="96">
        <v>175</v>
      </c>
      <c r="O1951" s="6">
        <f t="shared" si="481"/>
        <v>-175</v>
      </c>
      <c r="P1951" s="6">
        <f t="shared" si="478"/>
        <v>0</v>
      </c>
      <c r="Q1951" s="7">
        <f t="shared" si="476"/>
        <v>3438466.350000001</v>
      </c>
      <c r="R1951" s="44" t="str">
        <f>VLOOKUP(F1951,'Set up'!$A$2:$E$70,5,FALSE)</f>
        <v>Chq</v>
      </c>
      <c r="S1951" s="1" t="s">
        <v>2085</v>
      </c>
    </row>
    <row r="1952" spans="1:19" ht="15" customHeight="1" x14ac:dyDescent="0.3">
      <c r="A1952" s="4">
        <v>45142</v>
      </c>
      <c r="B1952" s="5">
        <f t="shared" si="471"/>
        <v>8</v>
      </c>
      <c r="C1952" s="5">
        <f t="shared" si="472"/>
        <v>2023</v>
      </c>
      <c r="D1952" s="88" t="s">
        <v>1798</v>
      </c>
      <c r="E1952" s="5" t="str">
        <f>VLOOKUP(F1952,'Set up'!$A$2:$C$70,2,FALSE)</f>
        <v>C00000019</v>
      </c>
      <c r="F1952" s="1" t="s">
        <v>400</v>
      </c>
      <c r="G1952" s="90" t="s">
        <v>95</v>
      </c>
      <c r="H1952" s="5">
        <v>1</v>
      </c>
      <c r="I1952" s="5" t="str">
        <f>VLOOKUP(F1952,'Set up'!$A$2:$C$70,3,FALSE)</f>
        <v>Cash</v>
      </c>
      <c r="J1952" s="5">
        <f>VLOOKUP(F1952,'Set up'!$A$2:$D$70,4,FALSE)</f>
        <v>0</v>
      </c>
      <c r="K1952" s="4">
        <f t="shared" si="473"/>
        <v>45142</v>
      </c>
      <c r="L1952" s="5">
        <f t="shared" si="474"/>
        <v>8</v>
      </c>
      <c r="M1952" s="5">
        <f t="shared" si="475"/>
        <v>2023</v>
      </c>
      <c r="N1952" s="96">
        <v>1738</v>
      </c>
      <c r="O1952" s="6">
        <f>-499.3-1000-238.7</f>
        <v>-1738</v>
      </c>
      <c r="P1952" s="6">
        <f t="shared" si="478"/>
        <v>0</v>
      </c>
      <c r="Q1952" s="7">
        <f t="shared" si="476"/>
        <v>3440204.350000001</v>
      </c>
      <c r="R1952" s="44" t="str">
        <f>VLOOKUP(F1952,'Set up'!$A$2:$E$70,5,FALSE)</f>
        <v>Trsf</v>
      </c>
      <c r="S1952" s="1" t="s">
        <v>2380</v>
      </c>
    </row>
    <row r="1953" spans="1:19" ht="15" customHeight="1" x14ac:dyDescent="0.3">
      <c r="A1953" s="4">
        <v>45142</v>
      </c>
      <c r="B1953" s="5">
        <f t="shared" si="471"/>
        <v>8</v>
      </c>
      <c r="C1953" s="5">
        <f t="shared" si="472"/>
        <v>2023</v>
      </c>
      <c r="D1953" s="88" t="s">
        <v>1798</v>
      </c>
      <c r="E1953" s="5" t="str">
        <f>VLOOKUP(F1953,'Set up'!$A$2:$C$70,2,FALSE)</f>
        <v>C00000019</v>
      </c>
      <c r="F1953" s="1" t="s">
        <v>400</v>
      </c>
      <c r="G1953" s="90" t="s">
        <v>791</v>
      </c>
      <c r="H1953" s="5">
        <v>2</v>
      </c>
      <c r="I1953" s="5" t="str">
        <f>VLOOKUP(F1953,'Set up'!$A$2:$C$70,3,FALSE)</f>
        <v>Cash</v>
      </c>
      <c r="J1953" s="5">
        <f>VLOOKUP(F1953,'Set up'!$A$2:$D$70,4,FALSE)</f>
        <v>0</v>
      </c>
      <c r="K1953" s="4">
        <f t="shared" si="473"/>
        <v>45142</v>
      </c>
      <c r="L1953" s="5">
        <f t="shared" si="474"/>
        <v>8</v>
      </c>
      <c r="M1953" s="5">
        <f t="shared" si="475"/>
        <v>2023</v>
      </c>
      <c r="N1953" s="96">
        <v>125</v>
      </c>
      <c r="O1953" s="6">
        <f t="shared" si="481"/>
        <v>-125</v>
      </c>
      <c r="P1953" s="6">
        <f t="shared" si="478"/>
        <v>0</v>
      </c>
      <c r="Q1953" s="7">
        <f t="shared" si="476"/>
        <v>3440329.350000001</v>
      </c>
      <c r="R1953" s="44" t="str">
        <f>VLOOKUP(F1953,'Set up'!$A$2:$E$70,5,FALSE)</f>
        <v>Trsf</v>
      </c>
      <c r="S1953" s="1" t="s">
        <v>2381</v>
      </c>
    </row>
    <row r="1954" spans="1:19" ht="15" customHeight="1" x14ac:dyDescent="0.3">
      <c r="A1954" s="4">
        <v>45142</v>
      </c>
      <c r="B1954" s="5">
        <f t="shared" si="471"/>
        <v>8</v>
      </c>
      <c r="C1954" s="5">
        <f t="shared" si="472"/>
        <v>2023</v>
      </c>
      <c r="D1954" s="88" t="s">
        <v>1798</v>
      </c>
      <c r="E1954" s="5" t="str">
        <f>VLOOKUP(F1954,'Set up'!$A$2:$C$70,2,FALSE)</f>
        <v>C00000019</v>
      </c>
      <c r="F1954" s="1" t="s">
        <v>400</v>
      </c>
      <c r="G1954" s="90" t="s">
        <v>1469</v>
      </c>
      <c r="H1954" s="5">
        <v>1</v>
      </c>
      <c r="I1954" s="5" t="str">
        <f>VLOOKUP(F1954,'Set up'!$A$2:$C$70,3,FALSE)</f>
        <v>Cash</v>
      </c>
      <c r="J1954" s="5">
        <f>VLOOKUP(F1954,'Set up'!$A$2:$D$70,4,FALSE)</f>
        <v>0</v>
      </c>
      <c r="K1954" s="4">
        <f t="shared" si="473"/>
        <v>45142</v>
      </c>
      <c r="L1954" s="5">
        <f t="shared" si="474"/>
        <v>8</v>
      </c>
      <c r="M1954" s="5">
        <f t="shared" si="475"/>
        <v>2023</v>
      </c>
      <c r="N1954" s="96">
        <v>390</v>
      </c>
      <c r="O1954" s="6">
        <f t="shared" si="481"/>
        <v>-390</v>
      </c>
      <c r="P1954" s="6">
        <f t="shared" si="478"/>
        <v>0</v>
      </c>
      <c r="Q1954" s="7">
        <f t="shared" si="476"/>
        <v>3440719.350000001</v>
      </c>
      <c r="R1954" s="44" t="str">
        <f>VLOOKUP(F1954,'Set up'!$A$2:$E$70,5,FALSE)</f>
        <v>Trsf</v>
      </c>
      <c r="S1954" s="1" t="s">
        <v>2382</v>
      </c>
    </row>
    <row r="1955" spans="1:19" ht="15" customHeight="1" x14ac:dyDescent="0.3">
      <c r="A1955" s="4">
        <v>45142</v>
      </c>
      <c r="B1955" s="5">
        <f t="shared" si="471"/>
        <v>8</v>
      </c>
      <c r="C1955" s="5">
        <f t="shared" si="472"/>
        <v>2023</v>
      </c>
      <c r="D1955" s="88" t="s">
        <v>1798</v>
      </c>
      <c r="E1955" s="5" t="str">
        <f>VLOOKUP(F1955,'Set up'!$A$2:$C$70,2,FALSE)</f>
        <v>C00000019</v>
      </c>
      <c r="F1955" s="1" t="s">
        <v>400</v>
      </c>
      <c r="G1955" s="89" t="s">
        <v>944</v>
      </c>
      <c r="H1955" s="5">
        <v>1</v>
      </c>
      <c r="I1955" s="5" t="str">
        <f>VLOOKUP(F1955,'Set up'!$A$2:$C$70,3,FALSE)</f>
        <v>Cash</v>
      </c>
      <c r="J1955" s="5">
        <f>VLOOKUP(F1955,'Set up'!$A$2:$D$70,4,FALSE)</f>
        <v>0</v>
      </c>
      <c r="K1955" s="4">
        <f t="shared" si="473"/>
        <v>45142</v>
      </c>
      <c r="L1955" s="5">
        <f t="shared" si="474"/>
        <v>8</v>
      </c>
      <c r="M1955" s="5">
        <f t="shared" si="475"/>
        <v>2023</v>
      </c>
      <c r="N1955" s="96">
        <v>420</v>
      </c>
      <c r="O1955" s="6">
        <f>-246.3-173.7</f>
        <v>-420</v>
      </c>
      <c r="P1955" s="6">
        <f t="shared" si="478"/>
        <v>0</v>
      </c>
      <c r="Q1955" s="7">
        <f t="shared" si="476"/>
        <v>3441139.350000001</v>
      </c>
      <c r="R1955" s="44" t="str">
        <f>VLOOKUP(F1955,'Set up'!$A$2:$E$70,5,FALSE)</f>
        <v>Trsf</v>
      </c>
      <c r="S1955" s="1" t="s">
        <v>2384</v>
      </c>
    </row>
    <row r="1956" spans="1:19" ht="15" customHeight="1" x14ac:dyDescent="0.3">
      <c r="A1956" s="4">
        <v>45142</v>
      </c>
      <c r="B1956" s="5">
        <f t="shared" si="471"/>
        <v>8</v>
      </c>
      <c r="C1956" s="5">
        <f t="shared" si="472"/>
        <v>2023</v>
      </c>
      <c r="D1956" s="88" t="s">
        <v>1798</v>
      </c>
      <c r="E1956" s="5" t="str">
        <f>VLOOKUP(F1956,'Set up'!$A$2:$C$70,2,FALSE)</f>
        <v>C00000019</v>
      </c>
      <c r="F1956" s="1" t="s">
        <v>400</v>
      </c>
      <c r="G1956" s="90" t="s">
        <v>1460</v>
      </c>
      <c r="H1956" s="5">
        <v>1</v>
      </c>
      <c r="I1956" s="5" t="str">
        <f>VLOOKUP(F1956,'Set up'!$A$2:$C$70,3,FALSE)</f>
        <v>Cash</v>
      </c>
      <c r="J1956" s="5">
        <f>VLOOKUP(F1956,'Set up'!$A$2:$D$70,4,FALSE)</f>
        <v>0</v>
      </c>
      <c r="K1956" s="4">
        <f t="shared" si="473"/>
        <v>45142</v>
      </c>
      <c r="L1956" s="5">
        <f t="shared" si="474"/>
        <v>8</v>
      </c>
      <c r="M1956" s="5">
        <f t="shared" si="475"/>
        <v>2023</v>
      </c>
      <c r="N1956" s="96">
        <v>160</v>
      </c>
      <c r="O1956" s="6">
        <f t="shared" si="481"/>
        <v>-160</v>
      </c>
      <c r="P1956" s="6">
        <f t="shared" si="478"/>
        <v>0</v>
      </c>
      <c r="Q1956" s="7">
        <f t="shared" si="476"/>
        <v>3441299.350000001</v>
      </c>
      <c r="R1956" s="44" t="str">
        <f>VLOOKUP(F1956,'Set up'!$A$2:$E$70,5,FALSE)</f>
        <v>Trsf</v>
      </c>
      <c r="S1956" s="1" t="s">
        <v>2383</v>
      </c>
    </row>
    <row r="1957" spans="1:19" ht="15" customHeight="1" x14ac:dyDescent="0.3">
      <c r="A1957" s="4">
        <v>45142</v>
      </c>
      <c r="B1957" s="5">
        <f t="shared" si="471"/>
        <v>8</v>
      </c>
      <c r="C1957" s="5">
        <f t="shared" si="472"/>
        <v>2023</v>
      </c>
      <c r="D1957" s="88" t="s">
        <v>1798</v>
      </c>
      <c r="E1957" s="5" t="str">
        <f>VLOOKUP(F1957,'Set up'!$A$2:$C$70,2,FALSE)</f>
        <v>C00000019</v>
      </c>
      <c r="F1957" s="1" t="s">
        <v>400</v>
      </c>
      <c r="G1957" s="90" t="s">
        <v>894</v>
      </c>
      <c r="H1957" s="5">
        <v>1</v>
      </c>
      <c r="I1957" s="5" t="str">
        <f>VLOOKUP(F1957,'Set up'!$A$2:$C$70,3,FALSE)</f>
        <v>Cash</v>
      </c>
      <c r="J1957" s="5">
        <f>VLOOKUP(F1957,'Set up'!$A$2:$D$70,4,FALSE)</f>
        <v>0</v>
      </c>
      <c r="K1957" s="4">
        <f t="shared" si="473"/>
        <v>45142</v>
      </c>
      <c r="L1957" s="5">
        <f t="shared" si="474"/>
        <v>8</v>
      </c>
      <c r="M1957" s="5">
        <f t="shared" si="475"/>
        <v>2023</v>
      </c>
      <c r="N1957" s="96">
        <v>150</v>
      </c>
      <c r="O1957" s="6">
        <f t="shared" si="481"/>
        <v>-150</v>
      </c>
      <c r="P1957" s="6">
        <f t="shared" si="478"/>
        <v>0</v>
      </c>
      <c r="Q1957" s="7">
        <f t="shared" si="476"/>
        <v>3441449.350000001</v>
      </c>
      <c r="R1957" s="44" t="str">
        <f>VLOOKUP(F1957,'Set up'!$A$2:$E$70,5,FALSE)</f>
        <v>Trsf</v>
      </c>
      <c r="S1957" s="1" t="s">
        <v>2385</v>
      </c>
    </row>
    <row r="1958" spans="1:19" ht="15" customHeight="1" x14ac:dyDescent="0.3">
      <c r="A1958" s="4">
        <v>45142</v>
      </c>
      <c r="B1958" s="5">
        <f t="shared" si="471"/>
        <v>8</v>
      </c>
      <c r="C1958" s="5">
        <f t="shared" si="472"/>
        <v>2023</v>
      </c>
      <c r="D1958" s="88" t="s">
        <v>1798</v>
      </c>
      <c r="E1958" s="5" t="str">
        <f>VLOOKUP(F1958,'Set up'!$A$2:$C$70,2,FALSE)</f>
        <v>C00000019</v>
      </c>
      <c r="F1958" s="1" t="s">
        <v>400</v>
      </c>
      <c r="G1958" s="90" t="s">
        <v>1627</v>
      </c>
      <c r="H1958" s="5">
        <v>1</v>
      </c>
      <c r="I1958" s="5" t="str">
        <f>VLOOKUP(F1958,'Set up'!$A$2:$C$70,3,FALSE)</f>
        <v>Cash</v>
      </c>
      <c r="J1958" s="5">
        <f>VLOOKUP(F1958,'Set up'!$A$2:$D$70,4,FALSE)</f>
        <v>0</v>
      </c>
      <c r="K1958" s="4">
        <f t="shared" si="473"/>
        <v>45142</v>
      </c>
      <c r="L1958" s="5">
        <f t="shared" si="474"/>
        <v>8</v>
      </c>
      <c r="M1958" s="5">
        <f t="shared" si="475"/>
        <v>2023</v>
      </c>
      <c r="N1958" s="96">
        <v>260</v>
      </c>
      <c r="O1958" s="6">
        <f t="shared" si="481"/>
        <v>-260</v>
      </c>
      <c r="P1958" s="6">
        <f t="shared" si="478"/>
        <v>0</v>
      </c>
      <c r="Q1958" s="7">
        <f t="shared" si="476"/>
        <v>3441709.350000001</v>
      </c>
      <c r="R1958" s="44" t="str">
        <f>VLOOKUP(F1958,'Set up'!$A$2:$E$70,5,FALSE)</f>
        <v>Trsf</v>
      </c>
      <c r="S1958" s="1" t="s">
        <v>2386</v>
      </c>
    </row>
    <row r="1959" spans="1:19" ht="15" customHeight="1" x14ac:dyDescent="0.3">
      <c r="A1959" s="4">
        <v>45142</v>
      </c>
      <c r="B1959" s="5">
        <f t="shared" si="471"/>
        <v>8</v>
      </c>
      <c r="C1959" s="5">
        <f t="shared" si="472"/>
        <v>2023</v>
      </c>
      <c r="D1959" s="88" t="s">
        <v>1798</v>
      </c>
      <c r="E1959" s="5" t="str">
        <f>VLOOKUP(F1959,'Set up'!$A$2:$C$70,2,FALSE)</f>
        <v>C00000019</v>
      </c>
      <c r="F1959" s="1" t="s">
        <v>400</v>
      </c>
      <c r="G1959" s="89" t="s">
        <v>1468</v>
      </c>
      <c r="H1959" s="5">
        <v>1</v>
      </c>
      <c r="I1959" s="5" t="str">
        <f>VLOOKUP(F1959,'Set up'!$A$2:$C$70,3,FALSE)</f>
        <v>Cash</v>
      </c>
      <c r="J1959" s="5">
        <f>VLOOKUP(F1959,'Set up'!$A$2:$D$70,4,FALSE)</f>
        <v>0</v>
      </c>
      <c r="K1959" s="4">
        <f t="shared" si="473"/>
        <v>45142</v>
      </c>
      <c r="L1959" s="5">
        <f t="shared" si="474"/>
        <v>8</v>
      </c>
      <c r="M1959" s="5">
        <f t="shared" si="475"/>
        <v>2023</v>
      </c>
      <c r="N1959" s="96">
        <v>322.5</v>
      </c>
      <c r="O1959" s="6">
        <f>-256.3-66.2</f>
        <v>-322.5</v>
      </c>
      <c r="P1959" s="6">
        <f t="shared" si="478"/>
        <v>0</v>
      </c>
      <c r="Q1959" s="7">
        <f t="shared" si="476"/>
        <v>3442031.850000001</v>
      </c>
      <c r="R1959" s="44" t="str">
        <f>VLOOKUP(F1959,'Set up'!$A$2:$E$70,5,FALSE)</f>
        <v>Trsf</v>
      </c>
      <c r="S1959" s="1" t="s">
        <v>2491</v>
      </c>
    </row>
    <row r="1960" spans="1:19" ht="15" customHeight="1" x14ac:dyDescent="0.3">
      <c r="A1960" s="4">
        <v>45142</v>
      </c>
      <c r="B1960" s="5">
        <f t="shared" si="471"/>
        <v>8</v>
      </c>
      <c r="C1960" s="5">
        <f t="shared" si="472"/>
        <v>2023</v>
      </c>
      <c r="D1960" s="88" t="s">
        <v>1799</v>
      </c>
      <c r="E1960" s="5" t="str">
        <f>VLOOKUP(F1960,'Set up'!$A$2:$C$70,2,FALSE)</f>
        <v>C00000020</v>
      </c>
      <c r="F1960" s="1" t="s">
        <v>409</v>
      </c>
      <c r="G1960" s="99" t="s">
        <v>1733</v>
      </c>
      <c r="H1960" s="5">
        <v>2</v>
      </c>
      <c r="I1960" s="5" t="str">
        <f>VLOOKUP(F1960,'Set up'!$A$2:$C$70,3,FALSE)</f>
        <v>Cash</v>
      </c>
      <c r="J1960" s="5">
        <f>VLOOKUP(F1960,'Set up'!$A$2:$D$70,4,FALSE)</f>
        <v>0</v>
      </c>
      <c r="K1960" s="4">
        <f t="shared" si="473"/>
        <v>45142</v>
      </c>
      <c r="L1960" s="5">
        <f t="shared" si="474"/>
        <v>8</v>
      </c>
      <c r="M1960" s="5">
        <f t="shared" si="475"/>
        <v>2023</v>
      </c>
      <c r="N1960" s="96">
        <v>3124</v>
      </c>
      <c r="O1960" s="6">
        <f>-N1960</f>
        <v>-3124</v>
      </c>
      <c r="P1960" s="6">
        <f t="shared" si="478"/>
        <v>0</v>
      </c>
      <c r="Q1960" s="7">
        <f t="shared" si="476"/>
        <v>3445155.850000001</v>
      </c>
      <c r="R1960" s="44" t="str">
        <f>VLOOKUP(F1960,'Set up'!$A$2:$E$70,5,FALSE)</f>
        <v>Trsf</v>
      </c>
      <c r="S1960" s="1" t="s">
        <v>2486</v>
      </c>
    </row>
    <row r="1961" spans="1:19" ht="15" customHeight="1" x14ac:dyDescent="0.3">
      <c r="A1961" s="4">
        <v>45142</v>
      </c>
      <c r="B1961" s="5">
        <f t="shared" si="471"/>
        <v>8</v>
      </c>
      <c r="C1961" s="5">
        <f t="shared" si="472"/>
        <v>2023</v>
      </c>
      <c r="D1961" s="88" t="s">
        <v>1799</v>
      </c>
      <c r="E1961" s="5" t="str">
        <f>VLOOKUP(F1961,'Set up'!$A$2:$C$70,2,FALSE)</f>
        <v>C00000020</v>
      </c>
      <c r="F1961" s="1" t="s">
        <v>409</v>
      </c>
      <c r="G1961" s="99" t="s">
        <v>913</v>
      </c>
      <c r="H1961" s="5">
        <v>6</v>
      </c>
      <c r="I1961" s="5" t="str">
        <f>VLOOKUP(F1961,'Set up'!$A$2:$C$70,3,FALSE)</f>
        <v>Cash</v>
      </c>
      <c r="J1961" s="5">
        <f>VLOOKUP(F1961,'Set up'!$A$2:$D$70,4,FALSE)</f>
        <v>0</v>
      </c>
      <c r="K1961" s="4">
        <f t="shared" si="473"/>
        <v>45142</v>
      </c>
      <c r="L1961" s="5">
        <f t="shared" si="474"/>
        <v>8</v>
      </c>
      <c r="M1961" s="5">
        <f t="shared" si="475"/>
        <v>2023</v>
      </c>
      <c r="N1961" s="96">
        <v>1134</v>
      </c>
      <c r="O1961" s="6">
        <f>-N1961</f>
        <v>-1134</v>
      </c>
      <c r="P1961" s="6">
        <f t="shared" si="478"/>
        <v>0</v>
      </c>
      <c r="Q1961" s="7">
        <f t="shared" si="476"/>
        <v>3446289.850000001</v>
      </c>
      <c r="R1961" s="44" t="str">
        <f>VLOOKUP(F1961,'Set up'!$A$2:$E$70,5,FALSE)</f>
        <v>Trsf</v>
      </c>
      <c r="S1961" s="1" t="s">
        <v>2478</v>
      </c>
    </row>
    <row r="1962" spans="1:19" ht="15" customHeight="1" x14ac:dyDescent="0.3">
      <c r="A1962" s="4">
        <v>45142</v>
      </c>
      <c r="B1962" s="5">
        <f t="shared" si="471"/>
        <v>8</v>
      </c>
      <c r="C1962" s="5">
        <f t="shared" si="472"/>
        <v>2023</v>
      </c>
      <c r="D1962" s="88" t="s">
        <v>1799</v>
      </c>
      <c r="E1962" s="5" t="str">
        <f>VLOOKUP(F1962,'Set up'!$A$2:$C$70,2,FALSE)</f>
        <v>C00000020</v>
      </c>
      <c r="F1962" s="1" t="s">
        <v>409</v>
      </c>
      <c r="G1962" s="99" t="s">
        <v>778</v>
      </c>
      <c r="H1962" s="5">
        <v>3</v>
      </c>
      <c r="I1962" s="5" t="str">
        <f>VLOOKUP(F1962,'Set up'!$A$2:$C$70,3,FALSE)</f>
        <v>Cash</v>
      </c>
      <c r="J1962" s="5">
        <f>VLOOKUP(F1962,'Set up'!$A$2:$D$70,4,FALSE)</f>
        <v>0</v>
      </c>
      <c r="K1962" s="4">
        <f t="shared" si="473"/>
        <v>45142</v>
      </c>
      <c r="L1962" s="5">
        <f t="shared" si="474"/>
        <v>8</v>
      </c>
      <c r="M1962" s="5">
        <f t="shared" si="475"/>
        <v>2023</v>
      </c>
      <c r="N1962" s="96">
        <v>600</v>
      </c>
      <c r="O1962" s="6">
        <f>-N1962</f>
        <v>-600</v>
      </c>
      <c r="P1962" s="6">
        <f t="shared" si="478"/>
        <v>0</v>
      </c>
      <c r="Q1962" s="7">
        <f t="shared" si="476"/>
        <v>3446889.850000001</v>
      </c>
      <c r="R1962" s="44" t="str">
        <f>VLOOKUP(F1962,'Set up'!$A$2:$E$70,5,FALSE)</f>
        <v>Trsf</v>
      </c>
      <c r="S1962" s="1" t="s">
        <v>2479</v>
      </c>
    </row>
    <row r="1963" spans="1:19" ht="15" customHeight="1" x14ac:dyDescent="0.3">
      <c r="A1963" s="4">
        <v>45142</v>
      </c>
      <c r="B1963" s="5">
        <f t="shared" si="471"/>
        <v>8</v>
      </c>
      <c r="C1963" s="5">
        <f t="shared" si="472"/>
        <v>2023</v>
      </c>
      <c r="D1963" s="88" t="s">
        <v>1799</v>
      </c>
      <c r="E1963" s="5" t="str">
        <f>VLOOKUP(F1963,'Set up'!$A$2:$C$70,2,FALSE)</f>
        <v>C00000020</v>
      </c>
      <c r="F1963" s="1" t="s">
        <v>409</v>
      </c>
      <c r="G1963" s="99" t="s">
        <v>1073</v>
      </c>
      <c r="H1963" s="5">
        <v>1</v>
      </c>
      <c r="I1963" s="5" t="str">
        <f>VLOOKUP(F1963,'Set up'!$A$2:$C$70,3,FALSE)</f>
        <v>Cash</v>
      </c>
      <c r="J1963" s="5">
        <f>VLOOKUP(F1963,'Set up'!$A$2:$D$70,4,FALSE)</f>
        <v>0</v>
      </c>
      <c r="K1963" s="4">
        <f t="shared" si="473"/>
        <v>45142</v>
      </c>
      <c r="L1963" s="5">
        <f t="shared" si="474"/>
        <v>8</v>
      </c>
      <c r="M1963" s="5">
        <f t="shared" si="475"/>
        <v>2023</v>
      </c>
      <c r="N1963" s="96">
        <v>1000</v>
      </c>
      <c r="O1963" s="6">
        <f>-N1963</f>
        <v>-1000</v>
      </c>
      <c r="P1963" s="6">
        <f t="shared" si="478"/>
        <v>0</v>
      </c>
      <c r="Q1963" s="7">
        <f t="shared" si="476"/>
        <v>3447889.850000001</v>
      </c>
      <c r="R1963" s="44" t="str">
        <f>VLOOKUP(F1963,'Set up'!$A$2:$E$70,5,FALSE)</f>
        <v>Trsf</v>
      </c>
      <c r="S1963" s="1" t="s">
        <v>2481</v>
      </c>
    </row>
    <row r="1964" spans="1:19" ht="15" customHeight="1" x14ac:dyDescent="0.3">
      <c r="A1964" s="4">
        <v>45145</v>
      </c>
      <c r="B1964" s="5">
        <f t="shared" si="471"/>
        <v>8</v>
      </c>
      <c r="C1964" s="5">
        <f t="shared" si="472"/>
        <v>2023</v>
      </c>
      <c r="D1964" s="88" t="s">
        <v>1804</v>
      </c>
      <c r="E1964" s="5" t="str">
        <f>VLOOKUP(F1964,'Set up'!$A$2:$C$70,2,FALSE)</f>
        <v>C00000014</v>
      </c>
      <c r="F1964" s="1" t="s">
        <v>262</v>
      </c>
      <c r="G1964" s="99" t="s">
        <v>1800</v>
      </c>
      <c r="H1964" s="5">
        <v>2</v>
      </c>
      <c r="I1964" s="5" t="str">
        <f>VLOOKUP(F1964,'Set up'!$A$2:$C$70,3,FALSE)</f>
        <v>Cash</v>
      </c>
      <c r="J1964" s="5">
        <f>VLOOKUP(F1964,'Set up'!$A$2:$D$70,4,FALSE)</f>
        <v>0</v>
      </c>
      <c r="K1964" s="4">
        <f t="shared" si="473"/>
        <v>45145</v>
      </c>
      <c r="L1964" s="5">
        <f t="shared" si="474"/>
        <v>8</v>
      </c>
      <c r="M1964" s="5">
        <f t="shared" si="475"/>
        <v>2023</v>
      </c>
      <c r="N1964" s="96">
        <v>645</v>
      </c>
      <c r="O1964" s="6">
        <f t="shared" ref="O1964:O1967" si="482">-N1964</f>
        <v>-645</v>
      </c>
      <c r="P1964" s="6">
        <f t="shared" si="478"/>
        <v>0</v>
      </c>
      <c r="Q1964" s="7">
        <f t="shared" si="476"/>
        <v>3448534.850000001</v>
      </c>
      <c r="R1964" s="44" t="str">
        <f>VLOOKUP(F1964,'Set up'!$A$2:$E$70,5,FALSE)</f>
        <v>Cash</v>
      </c>
      <c r="S1964" s="1" t="s">
        <v>1843</v>
      </c>
    </row>
    <row r="1965" spans="1:19" ht="15" customHeight="1" x14ac:dyDescent="0.3">
      <c r="A1965" s="4">
        <v>45145</v>
      </c>
      <c r="B1965" s="5">
        <f t="shared" si="471"/>
        <v>8</v>
      </c>
      <c r="C1965" s="5">
        <f t="shared" si="472"/>
        <v>2023</v>
      </c>
      <c r="D1965" s="88" t="s">
        <v>1804</v>
      </c>
      <c r="E1965" s="5" t="str">
        <f>VLOOKUP(F1965,'Set up'!$A$2:$C$70,2,FALSE)</f>
        <v>C00000014</v>
      </c>
      <c r="F1965" s="1" t="s">
        <v>262</v>
      </c>
      <c r="G1965" s="99" t="s">
        <v>1801</v>
      </c>
      <c r="H1965" s="5">
        <v>1</v>
      </c>
      <c r="I1965" s="5" t="str">
        <f>VLOOKUP(F1965,'Set up'!$A$2:$C$70,3,FALSE)</f>
        <v>Cash</v>
      </c>
      <c r="J1965" s="5">
        <f>VLOOKUP(F1965,'Set up'!$A$2:$D$70,4,FALSE)</f>
        <v>0</v>
      </c>
      <c r="K1965" s="4">
        <f t="shared" si="473"/>
        <v>45145</v>
      </c>
      <c r="L1965" s="5">
        <f t="shared" si="474"/>
        <v>8</v>
      </c>
      <c r="M1965" s="5">
        <f t="shared" si="475"/>
        <v>2023</v>
      </c>
      <c r="N1965" s="96">
        <v>283.8</v>
      </c>
      <c r="O1965" s="6">
        <f t="shared" si="482"/>
        <v>-283.8</v>
      </c>
      <c r="P1965" s="6">
        <f t="shared" si="478"/>
        <v>0</v>
      </c>
      <c r="Q1965" s="7">
        <f t="shared" si="476"/>
        <v>3448818.6500000008</v>
      </c>
      <c r="R1965" s="44" t="str">
        <f>VLOOKUP(F1965,'Set up'!$A$2:$E$70,5,FALSE)</f>
        <v>Cash</v>
      </c>
      <c r="S1965" s="1" t="s">
        <v>1843</v>
      </c>
    </row>
    <row r="1966" spans="1:19" ht="15" customHeight="1" x14ac:dyDescent="0.3">
      <c r="A1966" s="4">
        <v>45145</v>
      </c>
      <c r="B1966" s="5">
        <f t="shared" si="471"/>
        <v>8</v>
      </c>
      <c r="C1966" s="5">
        <f t="shared" si="472"/>
        <v>2023</v>
      </c>
      <c r="D1966" s="88" t="s">
        <v>1804</v>
      </c>
      <c r="E1966" s="5" t="str">
        <f>VLOOKUP(F1966,'Set up'!$A$2:$C$70,2,FALSE)</f>
        <v>C00000014</v>
      </c>
      <c r="F1966" s="1" t="s">
        <v>262</v>
      </c>
      <c r="G1966" s="99" t="s">
        <v>1802</v>
      </c>
      <c r="H1966" s="5">
        <v>1</v>
      </c>
      <c r="I1966" s="5" t="str">
        <f>VLOOKUP(F1966,'Set up'!$A$2:$C$70,3,FALSE)</f>
        <v>Cash</v>
      </c>
      <c r="J1966" s="5">
        <f>VLOOKUP(F1966,'Set up'!$A$2:$D$70,4,FALSE)</f>
        <v>0</v>
      </c>
      <c r="K1966" s="4">
        <f t="shared" si="473"/>
        <v>45145</v>
      </c>
      <c r="L1966" s="5">
        <f t="shared" si="474"/>
        <v>8</v>
      </c>
      <c r="M1966" s="5">
        <f t="shared" si="475"/>
        <v>2023</v>
      </c>
      <c r="N1966" s="96">
        <v>160</v>
      </c>
      <c r="O1966" s="6">
        <f t="shared" si="482"/>
        <v>-160</v>
      </c>
      <c r="P1966" s="6">
        <f t="shared" si="478"/>
        <v>0</v>
      </c>
      <c r="Q1966" s="7">
        <f t="shared" si="476"/>
        <v>3448978.6500000008</v>
      </c>
      <c r="R1966" s="44" t="str">
        <f>VLOOKUP(F1966,'Set up'!$A$2:$E$70,5,FALSE)</f>
        <v>Cash</v>
      </c>
      <c r="S1966" s="1" t="s">
        <v>1843</v>
      </c>
    </row>
    <row r="1967" spans="1:19" ht="15" customHeight="1" x14ac:dyDescent="0.3">
      <c r="A1967" s="4">
        <v>45145</v>
      </c>
      <c r="B1967" s="5">
        <f t="shared" si="471"/>
        <v>8</v>
      </c>
      <c r="C1967" s="5">
        <f t="shared" si="472"/>
        <v>2023</v>
      </c>
      <c r="D1967" s="124" t="s">
        <v>1804</v>
      </c>
      <c r="E1967" s="5" t="str">
        <f>VLOOKUP(F1967,'Set up'!$A$2:$C$70,2,FALSE)</f>
        <v>C00000014</v>
      </c>
      <c r="F1967" s="1" t="s">
        <v>262</v>
      </c>
      <c r="G1967" s="99" t="s">
        <v>1803</v>
      </c>
      <c r="H1967" s="5">
        <v>1</v>
      </c>
      <c r="I1967" s="5" t="str">
        <f>VLOOKUP(F1967,'Set up'!$A$2:$C$70,3,FALSE)</f>
        <v>Cash</v>
      </c>
      <c r="J1967" s="5">
        <f>VLOOKUP(F1967,'Set up'!$A$2:$D$70,4,FALSE)</f>
        <v>0</v>
      </c>
      <c r="K1967" s="4">
        <f t="shared" si="473"/>
        <v>45145</v>
      </c>
      <c r="L1967" s="5">
        <f t="shared" si="474"/>
        <v>8</v>
      </c>
      <c r="M1967" s="5">
        <f t="shared" si="475"/>
        <v>2023</v>
      </c>
      <c r="N1967" s="96">
        <v>0</v>
      </c>
      <c r="O1967" s="6">
        <f t="shared" si="482"/>
        <v>0</v>
      </c>
      <c r="P1967" s="6">
        <f t="shared" si="478"/>
        <v>0</v>
      </c>
      <c r="Q1967" s="7">
        <f t="shared" si="476"/>
        <v>3448978.6500000008</v>
      </c>
      <c r="R1967" s="44" t="str">
        <f>VLOOKUP(F1967,'Set up'!$A$2:$E$70,5,FALSE)</f>
        <v>Cash</v>
      </c>
      <c r="S1967" s="1" t="s">
        <v>1843</v>
      </c>
    </row>
    <row r="1968" spans="1:19" ht="15" customHeight="1" x14ac:dyDescent="0.3">
      <c r="A1968" s="4">
        <v>45145</v>
      </c>
      <c r="B1968" s="5">
        <f t="shared" si="471"/>
        <v>8</v>
      </c>
      <c r="C1968" s="5">
        <f t="shared" si="472"/>
        <v>2023</v>
      </c>
      <c r="D1968" s="124" t="s">
        <v>1805</v>
      </c>
      <c r="E1968" s="5" t="str">
        <f>VLOOKUP(F1968,'Set up'!$A$2:$C$70,2,FALSE)</f>
        <v>C00000020</v>
      </c>
      <c r="F1968" s="1" t="s">
        <v>409</v>
      </c>
      <c r="G1968" s="99" t="s">
        <v>1110</v>
      </c>
      <c r="H1968" s="5">
        <v>4</v>
      </c>
      <c r="I1968" s="5" t="str">
        <f>VLOOKUP(F1968,'Set up'!$A$2:$C$70,3,FALSE)</f>
        <v>Cash</v>
      </c>
      <c r="J1968" s="5">
        <f>VLOOKUP(F1968,'Set up'!$A$2:$D$70,4,FALSE)</f>
        <v>0</v>
      </c>
      <c r="K1968" s="4">
        <f t="shared" si="473"/>
        <v>45145</v>
      </c>
      <c r="L1968" s="5">
        <f t="shared" si="474"/>
        <v>8</v>
      </c>
      <c r="M1968" s="5">
        <f t="shared" si="475"/>
        <v>2023</v>
      </c>
      <c r="N1968" s="96">
        <v>250</v>
      </c>
      <c r="O1968" s="6">
        <f>-N1968</f>
        <v>-250</v>
      </c>
      <c r="P1968" s="6">
        <f t="shared" si="478"/>
        <v>0</v>
      </c>
      <c r="Q1968" s="7">
        <f t="shared" si="476"/>
        <v>3449228.6500000008</v>
      </c>
      <c r="R1968" s="44" t="str">
        <f>VLOOKUP(F1968,'Set up'!$A$2:$E$70,5,FALSE)</f>
        <v>Trsf</v>
      </c>
      <c r="S1968" s="1" t="s">
        <v>2487</v>
      </c>
    </row>
    <row r="1969" spans="1:19" ht="15" customHeight="1" x14ac:dyDescent="0.3">
      <c r="A1969" s="4">
        <v>45145</v>
      </c>
      <c r="B1969" s="5">
        <f t="shared" si="471"/>
        <v>8</v>
      </c>
      <c r="C1969" s="5">
        <f t="shared" si="472"/>
        <v>2023</v>
      </c>
      <c r="D1969" s="124" t="s">
        <v>1806</v>
      </c>
      <c r="E1969" s="5" t="str">
        <f>VLOOKUP(F1969,'Set up'!$A$2:$C$70,2,FALSE)</f>
        <v>C00000020</v>
      </c>
      <c r="F1969" s="1" t="s">
        <v>409</v>
      </c>
      <c r="G1969" s="99" t="s">
        <v>1733</v>
      </c>
      <c r="H1969" s="5">
        <v>2</v>
      </c>
      <c r="I1969" s="5" t="str">
        <f>VLOOKUP(F1969,'Set up'!$A$2:$C$70,3,FALSE)</f>
        <v>Cash</v>
      </c>
      <c r="J1969" s="5">
        <f>VLOOKUP(F1969,'Set up'!$A$2:$D$70,4,FALSE)</f>
        <v>0</v>
      </c>
      <c r="K1969" s="4">
        <f t="shared" si="473"/>
        <v>45145</v>
      </c>
      <c r="L1969" s="5">
        <f t="shared" si="474"/>
        <v>8</v>
      </c>
      <c r="M1969" s="5">
        <f t="shared" si="475"/>
        <v>2023</v>
      </c>
      <c r="N1969" s="96">
        <v>3124</v>
      </c>
      <c r="O1969" s="6">
        <f>-N1969</f>
        <v>-3124</v>
      </c>
      <c r="P1969" s="6">
        <f t="shared" si="478"/>
        <v>0</v>
      </c>
      <c r="Q1969" s="7">
        <f t="shared" si="476"/>
        <v>3452352.6500000008</v>
      </c>
      <c r="R1969" s="44" t="str">
        <f>VLOOKUP(F1969,'Set up'!$A$2:$E$70,5,FALSE)</f>
        <v>Trsf</v>
      </c>
      <c r="S1969" s="1" t="s">
        <v>2486</v>
      </c>
    </row>
    <row r="1970" spans="1:19" ht="15" customHeight="1" x14ac:dyDescent="0.3">
      <c r="A1970" s="4">
        <v>45145</v>
      </c>
      <c r="B1970" s="5">
        <f t="shared" si="471"/>
        <v>8</v>
      </c>
      <c r="C1970" s="5">
        <f t="shared" si="472"/>
        <v>2023</v>
      </c>
      <c r="D1970" s="124" t="s">
        <v>1806</v>
      </c>
      <c r="E1970" s="5" t="str">
        <f>VLOOKUP(F1970,'Set up'!$A$2:$C$70,2,FALSE)</f>
        <v>C00000020</v>
      </c>
      <c r="F1970" s="1" t="s">
        <v>409</v>
      </c>
      <c r="G1970" s="99" t="s">
        <v>913</v>
      </c>
      <c r="H1970" s="5">
        <v>6</v>
      </c>
      <c r="I1970" s="5" t="str">
        <f>VLOOKUP(F1970,'Set up'!$A$2:$C$70,3,FALSE)</f>
        <v>Cash</v>
      </c>
      <c r="J1970" s="5">
        <f>VLOOKUP(F1970,'Set up'!$A$2:$D$70,4,FALSE)</f>
        <v>0</v>
      </c>
      <c r="K1970" s="4">
        <f t="shared" si="473"/>
        <v>45145</v>
      </c>
      <c r="L1970" s="5">
        <f t="shared" si="474"/>
        <v>8</v>
      </c>
      <c r="M1970" s="5">
        <f t="shared" si="475"/>
        <v>2023</v>
      </c>
      <c r="N1970" s="96">
        <v>1134</v>
      </c>
      <c r="O1970" s="6">
        <f>-N1970</f>
        <v>-1134</v>
      </c>
      <c r="P1970" s="6">
        <f t="shared" si="478"/>
        <v>0</v>
      </c>
      <c r="Q1970" s="7">
        <f t="shared" si="476"/>
        <v>3453486.6500000008</v>
      </c>
      <c r="R1970" s="44" t="str">
        <f>VLOOKUP(F1970,'Set up'!$A$2:$E$70,5,FALSE)</f>
        <v>Trsf</v>
      </c>
      <c r="S1970" s="1" t="s">
        <v>2478</v>
      </c>
    </row>
    <row r="1971" spans="1:19" ht="15" customHeight="1" x14ac:dyDescent="0.3">
      <c r="A1971" s="4">
        <v>45145</v>
      </c>
      <c r="B1971" s="5">
        <f t="shared" si="471"/>
        <v>8</v>
      </c>
      <c r="C1971" s="5">
        <f t="shared" si="472"/>
        <v>2023</v>
      </c>
      <c r="D1971" s="124" t="s">
        <v>1806</v>
      </c>
      <c r="E1971" s="5" t="str">
        <f>VLOOKUP(F1971,'Set up'!$A$2:$C$70,2,FALSE)</f>
        <v>C00000020</v>
      </c>
      <c r="F1971" s="1" t="s">
        <v>409</v>
      </c>
      <c r="G1971" s="99" t="s">
        <v>778</v>
      </c>
      <c r="H1971" s="5">
        <v>3</v>
      </c>
      <c r="I1971" s="5" t="str">
        <f>VLOOKUP(F1971,'Set up'!$A$2:$C$70,3,FALSE)</f>
        <v>Cash</v>
      </c>
      <c r="J1971" s="5">
        <f>VLOOKUP(F1971,'Set up'!$A$2:$D$70,4,FALSE)</f>
        <v>0</v>
      </c>
      <c r="K1971" s="4">
        <f t="shared" si="473"/>
        <v>45145</v>
      </c>
      <c r="L1971" s="5">
        <f t="shared" si="474"/>
        <v>8</v>
      </c>
      <c r="M1971" s="5">
        <f t="shared" si="475"/>
        <v>2023</v>
      </c>
      <c r="N1971" s="96">
        <v>600</v>
      </c>
      <c r="O1971" s="6">
        <f>-N1971</f>
        <v>-600</v>
      </c>
      <c r="P1971" s="6">
        <f t="shared" si="478"/>
        <v>0</v>
      </c>
      <c r="Q1971" s="7">
        <f t="shared" si="476"/>
        <v>3454086.6500000008</v>
      </c>
      <c r="R1971" s="44" t="str">
        <f>VLOOKUP(F1971,'Set up'!$A$2:$E$70,5,FALSE)</f>
        <v>Trsf</v>
      </c>
      <c r="S1971" s="1" t="s">
        <v>2479</v>
      </c>
    </row>
    <row r="1972" spans="1:19" ht="15" customHeight="1" x14ac:dyDescent="0.3">
      <c r="A1972" s="4">
        <v>45145</v>
      </c>
      <c r="B1972" s="5">
        <f t="shared" si="471"/>
        <v>8</v>
      </c>
      <c r="C1972" s="5">
        <f t="shared" si="472"/>
        <v>2023</v>
      </c>
      <c r="D1972" s="124" t="s">
        <v>1806</v>
      </c>
      <c r="E1972" s="5" t="str">
        <f>VLOOKUP(F1972,'Set up'!$A$2:$C$70,2,FALSE)</f>
        <v>C00000020</v>
      </c>
      <c r="F1972" s="1" t="s">
        <v>409</v>
      </c>
      <c r="G1972" s="99" t="s">
        <v>1073</v>
      </c>
      <c r="H1972" s="5">
        <v>1</v>
      </c>
      <c r="I1972" s="5" t="str">
        <f>VLOOKUP(F1972,'Set up'!$A$2:$C$70,3,FALSE)</f>
        <v>Cash</v>
      </c>
      <c r="J1972" s="5">
        <f>VLOOKUP(F1972,'Set up'!$A$2:$D$70,4,FALSE)</f>
        <v>0</v>
      </c>
      <c r="K1972" s="4">
        <f t="shared" si="473"/>
        <v>45145</v>
      </c>
      <c r="L1972" s="5">
        <f t="shared" si="474"/>
        <v>8</v>
      </c>
      <c r="M1972" s="5">
        <f t="shared" si="475"/>
        <v>2023</v>
      </c>
      <c r="N1972" s="96">
        <v>1000</v>
      </c>
      <c r="O1972" s="6">
        <f>-N1972</f>
        <v>-1000</v>
      </c>
      <c r="P1972" s="6">
        <f t="shared" si="478"/>
        <v>0</v>
      </c>
      <c r="Q1972" s="7">
        <f t="shared" si="476"/>
        <v>3455086.6500000008</v>
      </c>
      <c r="R1972" s="44" t="str">
        <f>VLOOKUP(F1972,'Set up'!$A$2:$E$70,5,FALSE)</f>
        <v>Trsf</v>
      </c>
      <c r="S1972" s="1" t="s">
        <v>2481</v>
      </c>
    </row>
    <row r="1973" spans="1:19" ht="15" customHeight="1" x14ac:dyDescent="0.3">
      <c r="A1973" s="4">
        <v>45145</v>
      </c>
      <c r="B1973" s="5">
        <f t="shared" si="471"/>
        <v>8</v>
      </c>
      <c r="C1973" s="5">
        <f t="shared" si="472"/>
        <v>2023</v>
      </c>
      <c r="D1973" s="88" t="s">
        <v>1807</v>
      </c>
      <c r="E1973" s="5" t="str">
        <f>VLOOKUP(F1973,'Set up'!$A$2:$C$70,2,FALSE)</f>
        <v>C00000034</v>
      </c>
      <c r="F1973" s="1" t="s">
        <v>1196</v>
      </c>
      <c r="G1973" s="99" t="s">
        <v>1431</v>
      </c>
      <c r="H1973" s="5">
        <v>1</v>
      </c>
      <c r="I1973" s="5" t="str">
        <f>VLOOKUP(F1973,'Set up'!$A$2:$C$70,3,FALSE)</f>
        <v>Cash</v>
      </c>
      <c r="J1973" s="5">
        <f>VLOOKUP(F1973,'Set up'!$A$2:$D$70,4,FALSE)</f>
        <v>0</v>
      </c>
      <c r="K1973" s="4">
        <f t="shared" si="473"/>
        <v>45145</v>
      </c>
      <c r="L1973" s="5">
        <f t="shared" si="474"/>
        <v>8</v>
      </c>
      <c r="M1973" s="5">
        <f t="shared" si="475"/>
        <v>2023</v>
      </c>
      <c r="N1973" s="96">
        <v>225</v>
      </c>
      <c r="O1973" s="6">
        <f t="shared" ref="O1973" si="483">-N1973</f>
        <v>-225</v>
      </c>
      <c r="P1973" s="6">
        <f t="shared" si="478"/>
        <v>0</v>
      </c>
      <c r="Q1973" s="7">
        <f t="shared" si="476"/>
        <v>3455311.6500000008</v>
      </c>
      <c r="R1973" s="44" t="str">
        <f>VLOOKUP(F1973,'Set up'!$A$2:$E$70,5,FALSE)</f>
        <v>Trsf</v>
      </c>
      <c r="S1973" s="1" t="s">
        <v>1848</v>
      </c>
    </row>
    <row r="1974" spans="1:19" ht="15" customHeight="1" x14ac:dyDescent="0.3">
      <c r="A1974" s="4">
        <v>45145</v>
      </c>
      <c r="B1974" s="5">
        <f t="shared" si="471"/>
        <v>8</v>
      </c>
      <c r="C1974" s="5">
        <f t="shared" si="472"/>
        <v>2023</v>
      </c>
      <c r="D1974" s="88" t="s">
        <v>1807</v>
      </c>
      <c r="E1974" s="5" t="str">
        <f>VLOOKUP(F1974,'Set up'!$A$2:$C$70,2,FALSE)</f>
        <v>C00000034</v>
      </c>
      <c r="F1974" s="1" t="s">
        <v>1196</v>
      </c>
      <c r="G1974" s="99" t="s">
        <v>1351</v>
      </c>
      <c r="H1974" s="5">
        <v>5</v>
      </c>
      <c r="I1974" s="5" t="str">
        <f>VLOOKUP(F1974,'Set up'!$A$2:$C$70,3,FALSE)</f>
        <v>Cash</v>
      </c>
      <c r="J1974" s="5">
        <f>VLOOKUP(F1974,'Set up'!$A$2:$D$70,4,FALSE)</f>
        <v>0</v>
      </c>
      <c r="K1974" s="4">
        <f t="shared" si="473"/>
        <v>45145</v>
      </c>
      <c r="L1974" s="5">
        <f t="shared" si="474"/>
        <v>8</v>
      </c>
      <c r="M1974" s="5">
        <f t="shared" si="475"/>
        <v>2023</v>
      </c>
      <c r="N1974" s="96">
        <v>695</v>
      </c>
      <c r="O1974" s="6">
        <f>-79.7-615.3</f>
        <v>-695</v>
      </c>
      <c r="P1974" s="6">
        <f t="shared" si="478"/>
        <v>0</v>
      </c>
      <c r="Q1974" s="7">
        <f t="shared" si="476"/>
        <v>3456006.6500000008</v>
      </c>
      <c r="R1974" s="44" t="str">
        <f>VLOOKUP(F1974,'Set up'!$A$2:$E$70,5,FALSE)</f>
        <v>Trsf</v>
      </c>
      <c r="S1974" s="1" t="s">
        <v>1874</v>
      </c>
    </row>
    <row r="1975" spans="1:19" ht="15" customHeight="1" x14ac:dyDescent="0.3">
      <c r="A1975" s="4">
        <v>45146</v>
      </c>
      <c r="B1975" s="5">
        <f t="shared" si="471"/>
        <v>8</v>
      </c>
      <c r="C1975" s="5">
        <f t="shared" si="472"/>
        <v>2023</v>
      </c>
      <c r="D1975" s="88" t="s">
        <v>1808</v>
      </c>
      <c r="E1975" s="5" t="str">
        <f>VLOOKUP(F1975,'Set up'!$A$2:$C$70,2,FALSE)</f>
        <v>C00000037</v>
      </c>
      <c r="F1975" s="1" t="s">
        <v>1309</v>
      </c>
      <c r="G1975" s="99" t="s">
        <v>707</v>
      </c>
      <c r="H1975" s="5">
        <v>1</v>
      </c>
      <c r="I1975" s="5">
        <f>VLOOKUP(F1975,'Set up'!$A$2:$C$70,3,FALSE)</f>
        <v>30</v>
      </c>
      <c r="J1975" s="5">
        <f>VLOOKUP(F1975,'Set up'!$A$2:$D$70,4,FALSE)</f>
        <v>30</v>
      </c>
      <c r="K1975" s="4">
        <f t="shared" si="473"/>
        <v>45176</v>
      </c>
      <c r="L1975" s="5">
        <f t="shared" si="474"/>
        <v>9</v>
      </c>
      <c r="M1975" s="5">
        <f t="shared" si="475"/>
        <v>2023</v>
      </c>
      <c r="N1975" s="96">
        <v>421.2</v>
      </c>
      <c r="O1975" s="6">
        <f t="shared" ref="O1975:O1977" si="484">-N1975</f>
        <v>-421.2</v>
      </c>
      <c r="P1975" s="6">
        <f t="shared" si="478"/>
        <v>0</v>
      </c>
      <c r="Q1975" s="7">
        <f t="shared" si="476"/>
        <v>3456427.850000001</v>
      </c>
      <c r="R1975" s="44" t="str">
        <f>VLOOKUP(F1975,'Set up'!$A$2:$E$70,5,FALSE)</f>
        <v>Chq</v>
      </c>
      <c r="S1975" s="1" t="s">
        <v>1857</v>
      </c>
    </row>
    <row r="1976" spans="1:19" ht="15" customHeight="1" x14ac:dyDescent="0.3">
      <c r="A1976" s="4">
        <v>45146</v>
      </c>
      <c r="B1976" s="5">
        <f t="shared" si="471"/>
        <v>8</v>
      </c>
      <c r="C1976" s="5">
        <f t="shared" si="472"/>
        <v>2023</v>
      </c>
      <c r="D1976" s="88" t="s">
        <v>1808</v>
      </c>
      <c r="E1976" s="5" t="str">
        <f>VLOOKUP(F1976,'Set up'!$A$2:$C$70,2,FALSE)</f>
        <v>C00000037</v>
      </c>
      <c r="F1976" s="1" t="s">
        <v>1309</v>
      </c>
      <c r="G1976" s="99" t="s">
        <v>1405</v>
      </c>
      <c r="H1976" s="5">
        <v>3</v>
      </c>
      <c r="I1976" s="5">
        <f>VLOOKUP(F1976,'Set up'!$A$2:$C$70,3,FALSE)</f>
        <v>30</v>
      </c>
      <c r="J1976" s="5">
        <f>VLOOKUP(F1976,'Set up'!$A$2:$D$70,4,FALSE)</f>
        <v>30</v>
      </c>
      <c r="K1976" s="4">
        <f t="shared" si="473"/>
        <v>45176</v>
      </c>
      <c r="L1976" s="5">
        <f t="shared" si="474"/>
        <v>9</v>
      </c>
      <c r="M1976" s="5">
        <f t="shared" si="475"/>
        <v>2023</v>
      </c>
      <c r="N1976" s="96">
        <v>144</v>
      </c>
      <c r="O1976" s="6">
        <f t="shared" si="484"/>
        <v>-144</v>
      </c>
      <c r="P1976" s="6">
        <f t="shared" si="478"/>
        <v>0</v>
      </c>
      <c r="Q1976" s="7">
        <f t="shared" si="476"/>
        <v>3456571.850000001</v>
      </c>
      <c r="R1976" s="44" t="str">
        <f>VLOOKUP(F1976,'Set up'!$A$2:$E$70,5,FALSE)</f>
        <v>Chq</v>
      </c>
      <c r="S1976" s="1" t="s">
        <v>1857</v>
      </c>
    </row>
    <row r="1977" spans="1:19" ht="15" customHeight="1" x14ac:dyDescent="0.3">
      <c r="A1977" s="4">
        <v>45147</v>
      </c>
      <c r="B1977" s="5">
        <f t="shared" si="471"/>
        <v>8</v>
      </c>
      <c r="C1977" s="5">
        <f t="shared" si="472"/>
        <v>2023</v>
      </c>
      <c r="D1977" s="88" t="s">
        <v>1809</v>
      </c>
      <c r="E1977" s="5" t="str">
        <f>VLOOKUP(F1977,'Set up'!$A$2:$C$70,2,FALSE)</f>
        <v>C00000009</v>
      </c>
      <c r="F1977" s="1" t="s">
        <v>58</v>
      </c>
      <c r="G1977" s="99" t="s">
        <v>46</v>
      </c>
      <c r="H1977" s="5">
        <v>2</v>
      </c>
      <c r="I1977" s="5">
        <f>VLOOKUP(F1977,'Set up'!$A$2:$C$70,3,FALSE)</f>
        <v>60</v>
      </c>
      <c r="J1977" s="5">
        <f>VLOOKUP(F1977,'Set up'!$A$2:$D$70,4,FALSE)</f>
        <v>60</v>
      </c>
      <c r="K1977" s="4">
        <f t="shared" si="473"/>
        <v>45207</v>
      </c>
      <c r="L1977" s="5">
        <f t="shared" si="474"/>
        <v>10</v>
      </c>
      <c r="M1977" s="5">
        <f t="shared" si="475"/>
        <v>2023</v>
      </c>
      <c r="N1977" s="96">
        <v>220</v>
      </c>
      <c r="O1977" s="6">
        <f t="shared" si="484"/>
        <v>-220</v>
      </c>
      <c r="P1977" s="6">
        <f t="shared" si="478"/>
        <v>0</v>
      </c>
      <c r="Q1977" s="7">
        <f t="shared" si="476"/>
        <v>3456791.850000001</v>
      </c>
      <c r="R1977" s="44" t="str">
        <f>VLOOKUP(F1977,'Set up'!$A$2:$E$70,5,FALSE)</f>
        <v>Chq</v>
      </c>
      <c r="S1977" s="1" t="s">
        <v>2254</v>
      </c>
    </row>
    <row r="1978" spans="1:19" ht="15" customHeight="1" x14ac:dyDescent="0.3">
      <c r="A1978" s="4">
        <v>45152</v>
      </c>
      <c r="B1978" s="5">
        <f t="shared" si="471"/>
        <v>8</v>
      </c>
      <c r="C1978" s="5">
        <f t="shared" si="472"/>
        <v>2023</v>
      </c>
      <c r="D1978" s="88" t="s">
        <v>1810</v>
      </c>
      <c r="E1978" s="5" t="str">
        <f>VLOOKUP(F1978,'Set up'!$A$2:$C$70,2,FALSE)</f>
        <v>C00000034</v>
      </c>
      <c r="F1978" s="1" t="s">
        <v>1196</v>
      </c>
      <c r="G1978" s="99" t="s">
        <v>1405</v>
      </c>
      <c r="H1978" s="5">
        <v>3</v>
      </c>
      <c r="I1978" s="5" t="str">
        <f>VLOOKUP(F1978,'Set up'!$A$2:$C$70,3,FALSE)</f>
        <v>Cash</v>
      </c>
      <c r="J1978" s="5">
        <f>VLOOKUP(F1978,'Set up'!$A$2:$D$70,4,FALSE)</f>
        <v>0</v>
      </c>
      <c r="K1978" s="4">
        <f t="shared" si="473"/>
        <v>45152</v>
      </c>
      <c r="L1978" s="5">
        <f t="shared" si="474"/>
        <v>8</v>
      </c>
      <c r="M1978" s="5">
        <f t="shared" si="475"/>
        <v>2023</v>
      </c>
      <c r="N1978" s="96">
        <v>150</v>
      </c>
      <c r="O1978" s="6">
        <f t="shared" ref="O1978:O1984" si="485">-N1978</f>
        <v>-150</v>
      </c>
      <c r="P1978" s="6">
        <f t="shared" si="478"/>
        <v>0</v>
      </c>
      <c r="Q1978" s="7">
        <f t="shared" si="476"/>
        <v>3456941.850000001</v>
      </c>
      <c r="R1978" s="44" t="str">
        <f>VLOOKUP(F1978,'Set up'!$A$2:$E$70,5,FALSE)</f>
        <v>Trsf</v>
      </c>
      <c r="S1978" s="1" t="s">
        <v>1850</v>
      </c>
    </row>
    <row r="1979" spans="1:19" ht="15" customHeight="1" x14ac:dyDescent="0.3">
      <c r="A1979" s="4">
        <v>45152</v>
      </c>
      <c r="B1979" s="5">
        <f t="shared" si="471"/>
        <v>8</v>
      </c>
      <c r="C1979" s="5">
        <f t="shared" si="472"/>
        <v>2023</v>
      </c>
      <c r="D1979" s="88" t="s">
        <v>1810</v>
      </c>
      <c r="E1979" s="5" t="str">
        <f>VLOOKUP(F1979,'Set up'!$A$2:$C$70,2,FALSE)</f>
        <v>C00000034</v>
      </c>
      <c r="F1979" s="1" t="s">
        <v>1196</v>
      </c>
      <c r="G1979" s="99" t="s">
        <v>1351</v>
      </c>
      <c r="H1979" s="5">
        <v>6</v>
      </c>
      <c r="I1979" s="5" t="str">
        <f>VLOOKUP(F1979,'Set up'!$A$2:$C$70,3,FALSE)</f>
        <v>Cash</v>
      </c>
      <c r="J1979" s="5">
        <f>VLOOKUP(F1979,'Set up'!$A$2:$D$70,4,FALSE)</f>
        <v>0</v>
      </c>
      <c r="K1979" s="4">
        <f t="shared" si="473"/>
        <v>45152</v>
      </c>
      <c r="L1979" s="5">
        <f t="shared" si="474"/>
        <v>8</v>
      </c>
      <c r="M1979" s="5">
        <f t="shared" si="475"/>
        <v>2023</v>
      </c>
      <c r="N1979" s="96">
        <v>834</v>
      </c>
      <c r="O1979" s="6">
        <f t="shared" si="485"/>
        <v>-834</v>
      </c>
      <c r="P1979" s="6">
        <f t="shared" si="478"/>
        <v>0</v>
      </c>
      <c r="Q1979" s="7">
        <f t="shared" si="476"/>
        <v>3457775.850000001</v>
      </c>
      <c r="R1979" s="44" t="str">
        <f>VLOOKUP(F1979,'Set up'!$A$2:$E$70,5,FALSE)</f>
        <v>Trsf</v>
      </c>
      <c r="S1979" s="1" t="s">
        <v>1851</v>
      </c>
    </row>
    <row r="1980" spans="1:19" ht="15" customHeight="1" x14ac:dyDescent="0.3">
      <c r="A1980" s="4">
        <v>45153</v>
      </c>
      <c r="B1980" s="5">
        <f t="shared" si="471"/>
        <v>8</v>
      </c>
      <c r="C1980" s="5">
        <f t="shared" si="472"/>
        <v>2023</v>
      </c>
      <c r="D1980" s="88" t="s">
        <v>1811</v>
      </c>
      <c r="E1980" s="5" t="str">
        <f>VLOOKUP(F1980,'Set up'!$A$2:$C$70,2,FALSE)</f>
        <v>C00000039</v>
      </c>
      <c r="F1980" s="1" t="s">
        <v>1620</v>
      </c>
      <c r="G1980" s="99" t="s">
        <v>708</v>
      </c>
      <c r="H1980" s="5">
        <v>1</v>
      </c>
      <c r="I1980" s="5" t="str">
        <f>VLOOKUP(F1980,'Set up'!$A$2:$C$70,3,FALSE)</f>
        <v>Cash</v>
      </c>
      <c r="J1980" s="5">
        <f>VLOOKUP(F1980,'Set up'!$A$2:$D$70,4,FALSE)</f>
        <v>0</v>
      </c>
      <c r="K1980" s="4">
        <f t="shared" si="473"/>
        <v>45153</v>
      </c>
      <c r="L1980" s="5">
        <f t="shared" si="474"/>
        <v>8</v>
      </c>
      <c r="M1980" s="5">
        <f t="shared" si="475"/>
        <v>2023</v>
      </c>
      <c r="N1980" s="96">
        <v>1562</v>
      </c>
      <c r="O1980" s="6">
        <f t="shared" si="485"/>
        <v>-1562</v>
      </c>
      <c r="P1980" s="6">
        <f t="shared" si="478"/>
        <v>0</v>
      </c>
      <c r="Q1980" s="7">
        <f t="shared" si="476"/>
        <v>3459337.850000001</v>
      </c>
      <c r="R1980" s="44" t="str">
        <f>VLOOKUP(F1980,'Set up'!$A$2:$E$70,5,FALSE)</f>
        <v>Trsf</v>
      </c>
      <c r="S1980" s="1" t="s">
        <v>1855</v>
      </c>
    </row>
    <row r="1981" spans="1:19" ht="15" customHeight="1" x14ac:dyDescent="0.3">
      <c r="A1981" s="4">
        <v>45153</v>
      </c>
      <c r="B1981" s="5">
        <f t="shared" si="471"/>
        <v>8</v>
      </c>
      <c r="C1981" s="5">
        <f t="shared" si="472"/>
        <v>2023</v>
      </c>
      <c r="D1981" s="88" t="s">
        <v>1811</v>
      </c>
      <c r="E1981" s="5" t="str">
        <f>VLOOKUP(F1981,'Set up'!$A$2:$C$70,2,FALSE)</f>
        <v>C00000039</v>
      </c>
      <c r="F1981" s="1" t="s">
        <v>1620</v>
      </c>
      <c r="G1981" s="99" t="s">
        <v>913</v>
      </c>
      <c r="H1981" s="5">
        <v>2</v>
      </c>
      <c r="I1981" s="5" t="str">
        <f>VLOOKUP(F1981,'Set up'!$A$2:$C$70,3,FALSE)</f>
        <v>Cash</v>
      </c>
      <c r="J1981" s="5">
        <f>VLOOKUP(F1981,'Set up'!$A$2:$D$70,4,FALSE)</f>
        <v>0</v>
      </c>
      <c r="K1981" s="4">
        <f t="shared" si="473"/>
        <v>45153</v>
      </c>
      <c r="L1981" s="5">
        <f t="shared" si="474"/>
        <v>8</v>
      </c>
      <c r="M1981" s="5">
        <f t="shared" si="475"/>
        <v>2023</v>
      </c>
      <c r="N1981" s="96">
        <v>378</v>
      </c>
      <c r="O1981" s="6">
        <f t="shared" si="485"/>
        <v>-378</v>
      </c>
      <c r="P1981" s="6">
        <f t="shared" si="478"/>
        <v>0</v>
      </c>
      <c r="Q1981" s="7">
        <f t="shared" si="476"/>
        <v>3459715.850000001</v>
      </c>
      <c r="R1981" s="44" t="str">
        <f>VLOOKUP(F1981,'Set up'!$A$2:$E$70,5,FALSE)</f>
        <v>Trsf</v>
      </c>
      <c r="S1981" s="1" t="s">
        <v>1855</v>
      </c>
    </row>
    <row r="1982" spans="1:19" ht="15" customHeight="1" x14ac:dyDescent="0.3">
      <c r="A1982" s="4">
        <v>45153</v>
      </c>
      <c r="B1982" s="5">
        <f t="shared" si="471"/>
        <v>8</v>
      </c>
      <c r="C1982" s="5">
        <f t="shared" si="472"/>
        <v>2023</v>
      </c>
      <c r="D1982" s="88" t="s">
        <v>1811</v>
      </c>
      <c r="E1982" s="5" t="str">
        <f>VLOOKUP(F1982,'Set up'!$A$2:$C$70,2,FALSE)</f>
        <v>C00000039</v>
      </c>
      <c r="F1982" s="1" t="s">
        <v>1620</v>
      </c>
      <c r="G1982" s="99" t="s">
        <v>1110</v>
      </c>
      <c r="H1982" s="5">
        <v>1</v>
      </c>
      <c r="I1982" s="5" t="str">
        <f>VLOOKUP(F1982,'Set up'!$A$2:$C$70,3,FALSE)</f>
        <v>Cash</v>
      </c>
      <c r="J1982" s="5">
        <f>VLOOKUP(F1982,'Set up'!$A$2:$D$70,4,FALSE)</f>
        <v>0</v>
      </c>
      <c r="K1982" s="4">
        <f t="shared" si="473"/>
        <v>45153</v>
      </c>
      <c r="L1982" s="5">
        <f t="shared" si="474"/>
        <v>8</v>
      </c>
      <c r="M1982" s="5">
        <f t="shared" si="475"/>
        <v>2023</v>
      </c>
      <c r="N1982" s="96">
        <v>62.5</v>
      </c>
      <c r="O1982" s="6">
        <f t="shared" si="485"/>
        <v>-62.5</v>
      </c>
      <c r="P1982" s="6">
        <f t="shared" si="478"/>
        <v>0</v>
      </c>
      <c r="Q1982" s="7">
        <f t="shared" si="476"/>
        <v>3459778.350000001</v>
      </c>
      <c r="R1982" s="44" t="str">
        <f>VLOOKUP(F1982,'Set up'!$A$2:$E$70,5,FALSE)</f>
        <v>Trsf</v>
      </c>
      <c r="S1982" s="1" t="s">
        <v>1855</v>
      </c>
    </row>
    <row r="1983" spans="1:19" ht="15" customHeight="1" x14ac:dyDescent="0.3">
      <c r="A1983" s="4">
        <v>45153</v>
      </c>
      <c r="B1983" s="5">
        <f t="shared" si="471"/>
        <v>8</v>
      </c>
      <c r="C1983" s="5">
        <f t="shared" si="472"/>
        <v>2023</v>
      </c>
      <c r="D1983" s="88" t="s">
        <v>1811</v>
      </c>
      <c r="E1983" s="5" t="str">
        <f>VLOOKUP(F1983,'Set up'!$A$2:$C$70,2,FALSE)</f>
        <v>C00000039</v>
      </c>
      <c r="F1983" s="1" t="s">
        <v>1620</v>
      </c>
      <c r="G1983" s="99" t="s">
        <v>1061</v>
      </c>
      <c r="H1983" s="5">
        <v>4</v>
      </c>
      <c r="I1983" s="5" t="str">
        <f>VLOOKUP(F1983,'Set up'!$A$2:$C$70,3,FALSE)</f>
        <v>Cash</v>
      </c>
      <c r="J1983" s="5">
        <f>VLOOKUP(F1983,'Set up'!$A$2:$D$70,4,FALSE)</f>
        <v>0</v>
      </c>
      <c r="K1983" s="4">
        <f t="shared" si="473"/>
        <v>45153</v>
      </c>
      <c r="L1983" s="5">
        <f t="shared" si="474"/>
        <v>8</v>
      </c>
      <c r="M1983" s="5">
        <f t="shared" si="475"/>
        <v>2023</v>
      </c>
      <c r="N1983" s="96">
        <v>380</v>
      </c>
      <c r="O1983" s="6">
        <f t="shared" si="485"/>
        <v>-380</v>
      </c>
      <c r="P1983" s="6">
        <f t="shared" si="478"/>
        <v>0</v>
      </c>
      <c r="Q1983" s="7">
        <f t="shared" si="476"/>
        <v>3460158.350000001</v>
      </c>
      <c r="R1983" s="44" t="str">
        <f>VLOOKUP(F1983,'Set up'!$A$2:$E$70,5,FALSE)</f>
        <v>Trsf</v>
      </c>
      <c r="S1983" s="1" t="s">
        <v>1855</v>
      </c>
    </row>
    <row r="1984" spans="1:19" ht="15" customHeight="1" x14ac:dyDescent="0.3">
      <c r="A1984" s="4">
        <v>45153</v>
      </c>
      <c r="B1984" s="5">
        <f t="shared" si="471"/>
        <v>8</v>
      </c>
      <c r="C1984" s="5">
        <f t="shared" si="472"/>
        <v>2023</v>
      </c>
      <c r="D1984" s="88" t="s">
        <v>1812</v>
      </c>
      <c r="E1984" s="5" t="str">
        <f>VLOOKUP(F1984,'Set up'!$A$2:$C$70,2,FALSE)</f>
        <v>C00000019</v>
      </c>
      <c r="F1984" s="1" t="s">
        <v>400</v>
      </c>
      <c r="G1984" s="90" t="s">
        <v>95</v>
      </c>
      <c r="H1984" s="5">
        <v>1</v>
      </c>
      <c r="I1984" s="5" t="str">
        <f>VLOOKUP(F1984,'Set up'!$A$2:$C$70,3,FALSE)</f>
        <v>Cash</v>
      </c>
      <c r="J1984" s="5">
        <f>VLOOKUP(F1984,'Set up'!$A$2:$D$70,4,FALSE)</f>
        <v>0</v>
      </c>
      <c r="K1984" s="4">
        <f t="shared" si="473"/>
        <v>45153</v>
      </c>
      <c r="L1984" s="5">
        <f t="shared" si="474"/>
        <v>8</v>
      </c>
      <c r="M1984" s="5">
        <f t="shared" si="475"/>
        <v>2023</v>
      </c>
      <c r="N1984" s="96">
        <v>1738</v>
      </c>
      <c r="O1984" s="6">
        <f t="shared" si="485"/>
        <v>-1738</v>
      </c>
      <c r="P1984" s="6">
        <f t="shared" si="478"/>
        <v>0</v>
      </c>
      <c r="Q1984" s="7">
        <f t="shared" si="476"/>
        <v>3461896.350000001</v>
      </c>
      <c r="R1984" s="44" t="str">
        <f>VLOOKUP(F1984,'Set up'!$A$2:$E$70,5,FALSE)</f>
        <v>Trsf</v>
      </c>
      <c r="S1984" s="1" t="s">
        <v>2492</v>
      </c>
    </row>
    <row r="1985" spans="1:21" ht="15" customHeight="1" x14ac:dyDescent="0.3">
      <c r="A1985" s="4" t="s">
        <v>1815</v>
      </c>
      <c r="B1985" s="5">
        <f t="shared" si="471"/>
        <v>8</v>
      </c>
      <c r="C1985" s="5">
        <f t="shared" si="472"/>
        <v>2023</v>
      </c>
      <c r="D1985" s="88" t="s">
        <v>1813</v>
      </c>
      <c r="E1985" s="5" t="str">
        <f>VLOOKUP(F1985,'Set up'!$A$2:$C$70,2,FALSE)</f>
        <v>C00000020</v>
      </c>
      <c r="F1985" s="1" t="s">
        <v>409</v>
      </c>
      <c r="G1985" s="99" t="s">
        <v>1110</v>
      </c>
      <c r="H1985" s="5">
        <v>2</v>
      </c>
      <c r="I1985" s="5" t="str">
        <f>VLOOKUP(F1985,'Set up'!$A$2:$C$70,3,FALSE)</f>
        <v>Cash</v>
      </c>
      <c r="J1985" s="5">
        <f>VLOOKUP(F1985,'Set up'!$A$2:$D$70,4,FALSE)</f>
        <v>0</v>
      </c>
      <c r="K1985" s="4">
        <f t="shared" si="473"/>
        <v>45153</v>
      </c>
      <c r="L1985" s="5">
        <f t="shared" si="474"/>
        <v>8</v>
      </c>
      <c r="M1985" s="5">
        <f t="shared" si="475"/>
        <v>2023</v>
      </c>
      <c r="N1985" s="96">
        <v>125</v>
      </c>
      <c r="O1985" s="6">
        <f>-N1985</f>
        <v>-125</v>
      </c>
      <c r="P1985" s="6">
        <f t="shared" si="478"/>
        <v>0</v>
      </c>
      <c r="Q1985" s="7">
        <f t="shared" si="476"/>
        <v>3462021.350000001</v>
      </c>
      <c r="R1985" s="44" t="str">
        <f>VLOOKUP(F1985,'Set up'!$A$2:$E$70,5,FALSE)</f>
        <v>Trsf</v>
      </c>
      <c r="S1985" s="1" t="s">
        <v>2488</v>
      </c>
    </row>
    <row r="1986" spans="1:21" ht="15" customHeight="1" x14ac:dyDescent="0.3">
      <c r="A1986" s="4" t="s">
        <v>1815</v>
      </c>
      <c r="B1986" s="5">
        <f t="shared" si="471"/>
        <v>8</v>
      </c>
      <c r="C1986" s="5">
        <f t="shared" si="472"/>
        <v>2023</v>
      </c>
      <c r="D1986" s="88" t="s">
        <v>1814</v>
      </c>
      <c r="E1986" s="5" t="str">
        <f>VLOOKUP(F1986,'Set up'!$A$2:$C$70,2,FALSE)</f>
        <v>C00000020</v>
      </c>
      <c r="F1986" s="1" t="s">
        <v>409</v>
      </c>
      <c r="G1986" s="99" t="s">
        <v>1733</v>
      </c>
      <c r="H1986" s="5">
        <v>2</v>
      </c>
      <c r="I1986" s="5" t="str">
        <f>VLOOKUP(F1986,'Set up'!$A$2:$C$70,3,FALSE)</f>
        <v>Cash</v>
      </c>
      <c r="J1986" s="5">
        <f>VLOOKUP(F1986,'Set up'!$A$2:$D$70,4,FALSE)</f>
        <v>0</v>
      </c>
      <c r="K1986" s="4">
        <f t="shared" si="473"/>
        <v>45153</v>
      </c>
      <c r="L1986" s="5">
        <f t="shared" si="474"/>
        <v>8</v>
      </c>
      <c r="M1986" s="5">
        <f t="shared" si="475"/>
        <v>2023</v>
      </c>
      <c r="N1986" s="96">
        <v>3124</v>
      </c>
      <c r="O1986" s="6">
        <f>-N1986</f>
        <v>-3124</v>
      </c>
      <c r="P1986" s="6">
        <f t="shared" si="478"/>
        <v>0</v>
      </c>
      <c r="Q1986" s="7">
        <f t="shared" si="476"/>
        <v>3465145.350000001</v>
      </c>
      <c r="R1986" s="44" t="str">
        <f>VLOOKUP(F1986,'Set up'!$A$2:$E$70,5,FALSE)</f>
        <v>Trsf</v>
      </c>
      <c r="S1986" s="1" t="s">
        <v>2486</v>
      </c>
    </row>
    <row r="1987" spans="1:21" ht="15" customHeight="1" x14ac:dyDescent="0.3">
      <c r="A1987" s="4" t="s">
        <v>1815</v>
      </c>
      <c r="B1987" s="5">
        <f t="shared" ref="B1987:B2050" si="486">MONTH(A1987)</f>
        <v>8</v>
      </c>
      <c r="C1987" s="5">
        <f t="shared" ref="C1987:C2050" si="487">YEAR(A1987)</f>
        <v>2023</v>
      </c>
      <c r="D1987" s="88" t="s">
        <v>1814</v>
      </c>
      <c r="E1987" s="5" t="str">
        <f>VLOOKUP(F1987,'Set up'!$A$2:$C$70,2,FALSE)</f>
        <v>C00000020</v>
      </c>
      <c r="F1987" s="1" t="s">
        <v>409</v>
      </c>
      <c r="G1987" s="99" t="s">
        <v>913</v>
      </c>
      <c r="H1987" s="5">
        <v>7</v>
      </c>
      <c r="I1987" s="5" t="str">
        <f>VLOOKUP(F1987,'Set up'!$A$2:$C$70,3,FALSE)</f>
        <v>Cash</v>
      </c>
      <c r="J1987" s="5">
        <f>VLOOKUP(F1987,'Set up'!$A$2:$D$70,4,FALSE)</f>
        <v>0</v>
      </c>
      <c r="K1987" s="4">
        <f t="shared" ref="K1987:K2050" si="488">A1987+J1987</f>
        <v>45153</v>
      </c>
      <c r="L1987" s="5">
        <f t="shared" ref="L1987:L2050" si="489">MONTH(K1987)</f>
        <v>8</v>
      </c>
      <c r="M1987" s="5">
        <f t="shared" ref="M1987:M2050" si="490">YEAR(K1987)</f>
        <v>2023</v>
      </c>
      <c r="N1987" s="96">
        <v>1323</v>
      </c>
      <c r="O1987" s="6">
        <f>-N1987</f>
        <v>-1323</v>
      </c>
      <c r="P1987" s="6">
        <f t="shared" si="478"/>
        <v>0</v>
      </c>
      <c r="Q1987" s="7">
        <f t="shared" ref="Q1987:Q2050" si="491">SUM(Q1986+N1987)</f>
        <v>3466468.350000001</v>
      </c>
      <c r="R1987" s="44" t="str">
        <f>VLOOKUP(F1987,'Set up'!$A$2:$E$70,5,FALSE)</f>
        <v>Trsf</v>
      </c>
      <c r="S1987" s="1" t="s">
        <v>2489</v>
      </c>
    </row>
    <row r="1988" spans="1:21" ht="15" customHeight="1" x14ac:dyDescent="0.3">
      <c r="A1988" s="4" t="s">
        <v>1815</v>
      </c>
      <c r="B1988" s="5">
        <f t="shared" si="486"/>
        <v>8</v>
      </c>
      <c r="C1988" s="5">
        <f t="shared" si="487"/>
        <v>2023</v>
      </c>
      <c r="D1988" s="88" t="s">
        <v>1814</v>
      </c>
      <c r="E1988" s="5" t="str">
        <f>VLOOKUP(F1988,'Set up'!$A$2:$C$70,2,FALSE)</f>
        <v>C00000020</v>
      </c>
      <c r="F1988" s="1" t="s">
        <v>409</v>
      </c>
      <c r="G1988" s="99" t="s">
        <v>778</v>
      </c>
      <c r="H1988" s="5">
        <v>3</v>
      </c>
      <c r="I1988" s="5" t="str">
        <f>VLOOKUP(F1988,'Set up'!$A$2:$C$70,3,FALSE)</f>
        <v>Cash</v>
      </c>
      <c r="J1988" s="5">
        <f>VLOOKUP(F1988,'Set up'!$A$2:$D$70,4,FALSE)</f>
        <v>0</v>
      </c>
      <c r="K1988" s="4">
        <f t="shared" si="488"/>
        <v>45153</v>
      </c>
      <c r="L1988" s="5">
        <f t="shared" si="489"/>
        <v>8</v>
      </c>
      <c r="M1988" s="5">
        <f t="shared" si="490"/>
        <v>2023</v>
      </c>
      <c r="N1988" s="96">
        <v>600</v>
      </c>
      <c r="O1988" s="6">
        <f>-N1988</f>
        <v>-600</v>
      </c>
      <c r="P1988" s="6">
        <f t="shared" si="478"/>
        <v>0</v>
      </c>
      <c r="Q1988" s="7">
        <f t="shared" si="491"/>
        <v>3467068.350000001</v>
      </c>
      <c r="R1988" s="44" t="str">
        <f>VLOOKUP(F1988,'Set up'!$A$2:$E$70,5,FALSE)</f>
        <v>Trsf</v>
      </c>
      <c r="S1988" s="1" t="s">
        <v>2479</v>
      </c>
    </row>
    <row r="1989" spans="1:21" ht="15" customHeight="1" x14ac:dyDescent="0.3">
      <c r="A1989" s="4" t="s">
        <v>1815</v>
      </c>
      <c r="B1989" s="5">
        <f t="shared" si="486"/>
        <v>8</v>
      </c>
      <c r="C1989" s="5">
        <f t="shared" si="487"/>
        <v>2023</v>
      </c>
      <c r="D1989" s="88" t="s">
        <v>1814</v>
      </c>
      <c r="E1989" s="5" t="str">
        <f>VLOOKUP(F1989,'Set up'!$A$2:$C$70,2,FALSE)</f>
        <v>C00000020</v>
      </c>
      <c r="F1989" s="1" t="s">
        <v>409</v>
      </c>
      <c r="G1989" s="99" t="s">
        <v>1061</v>
      </c>
      <c r="H1989" s="5">
        <v>4</v>
      </c>
      <c r="I1989" s="5" t="str">
        <f>VLOOKUP(F1989,'Set up'!$A$2:$C$70,3,FALSE)</f>
        <v>Cash</v>
      </c>
      <c r="J1989" s="5">
        <f>VLOOKUP(F1989,'Set up'!$A$2:$D$70,4,FALSE)</f>
        <v>0</v>
      </c>
      <c r="K1989" s="4">
        <f t="shared" si="488"/>
        <v>45153</v>
      </c>
      <c r="L1989" s="5">
        <f t="shared" si="489"/>
        <v>8</v>
      </c>
      <c r="M1989" s="5">
        <f t="shared" si="490"/>
        <v>2023</v>
      </c>
      <c r="N1989" s="96">
        <v>380</v>
      </c>
      <c r="O1989" s="6">
        <f>-N1989</f>
        <v>-380</v>
      </c>
      <c r="P1989" s="6">
        <f t="shared" si="478"/>
        <v>0</v>
      </c>
      <c r="Q1989" s="7">
        <f t="shared" si="491"/>
        <v>3467448.350000001</v>
      </c>
      <c r="R1989" s="44" t="str">
        <f>VLOOKUP(F1989,'Set up'!$A$2:$E$70,5,FALSE)</f>
        <v>Trsf</v>
      </c>
      <c r="S1989" s="1" t="s">
        <v>2480</v>
      </c>
    </row>
    <row r="1990" spans="1:21" ht="15" customHeight="1" x14ac:dyDescent="0.3">
      <c r="A1990" s="4">
        <v>45154</v>
      </c>
      <c r="B1990" s="5">
        <f t="shared" si="486"/>
        <v>8</v>
      </c>
      <c r="C1990" s="5">
        <f t="shared" si="487"/>
        <v>2023</v>
      </c>
      <c r="D1990" s="88" t="s">
        <v>1816</v>
      </c>
      <c r="E1990" s="5" t="str">
        <f>VLOOKUP(F1990,'Set up'!$A$2:$C$70,2,FALSE)</f>
        <v>C00000034</v>
      </c>
      <c r="F1990" s="1" t="s">
        <v>1196</v>
      </c>
      <c r="G1990" s="99" t="s">
        <v>1356</v>
      </c>
      <c r="H1990" s="5">
        <v>2</v>
      </c>
      <c r="I1990" s="5" t="str">
        <f>VLOOKUP(F1990,'Set up'!$A$2:$C$70,3,FALSE)</f>
        <v>Cash</v>
      </c>
      <c r="J1990" s="5">
        <f>VLOOKUP(F1990,'Set up'!$A$2:$D$70,4,FALSE)</f>
        <v>0</v>
      </c>
      <c r="K1990" s="4">
        <f t="shared" si="488"/>
        <v>45154</v>
      </c>
      <c r="L1990" s="5">
        <f t="shared" si="489"/>
        <v>8</v>
      </c>
      <c r="M1990" s="5">
        <f t="shared" si="490"/>
        <v>2023</v>
      </c>
      <c r="N1990" s="96">
        <v>3476</v>
      </c>
      <c r="O1990" s="6">
        <f>-2400.7-1075.3</f>
        <v>-3476</v>
      </c>
      <c r="P1990" s="6">
        <f t="shared" si="478"/>
        <v>0</v>
      </c>
      <c r="Q1990" s="7">
        <f t="shared" si="491"/>
        <v>3470924.350000001</v>
      </c>
      <c r="R1990" s="44" t="str">
        <f>VLOOKUP(F1990,'Set up'!$A$2:$E$70,5,FALSE)</f>
        <v>Trsf</v>
      </c>
      <c r="S1990" s="1" t="s">
        <v>1875</v>
      </c>
    </row>
    <row r="1991" spans="1:21" ht="15" customHeight="1" x14ac:dyDescent="0.3">
      <c r="A1991" s="4">
        <v>45154</v>
      </c>
      <c r="B1991" s="5">
        <f t="shared" si="486"/>
        <v>8</v>
      </c>
      <c r="C1991" s="5">
        <f t="shared" si="487"/>
        <v>2023</v>
      </c>
      <c r="D1991" s="88" t="s">
        <v>1816</v>
      </c>
      <c r="E1991" s="5" t="str">
        <f>VLOOKUP(F1991,'Set up'!$A$2:$C$70,2,FALSE)</f>
        <v>C00000034</v>
      </c>
      <c r="F1991" s="1" t="s">
        <v>1196</v>
      </c>
      <c r="G1991" s="99" t="s">
        <v>1431</v>
      </c>
      <c r="H1991" s="5">
        <v>4</v>
      </c>
      <c r="I1991" s="5" t="str">
        <f>VLOOKUP(F1991,'Set up'!$A$2:$C$70,3,FALSE)</f>
        <v>Cash</v>
      </c>
      <c r="J1991" s="5">
        <f>VLOOKUP(F1991,'Set up'!$A$2:$D$70,4,FALSE)</f>
        <v>0</v>
      </c>
      <c r="K1991" s="4">
        <f t="shared" si="488"/>
        <v>45154</v>
      </c>
      <c r="L1991" s="5">
        <f t="shared" si="489"/>
        <v>8</v>
      </c>
      <c r="M1991" s="5">
        <f t="shared" si="490"/>
        <v>2023</v>
      </c>
      <c r="N1991" s="96">
        <v>876</v>
      </c>
      <c r="O1991" s="6">
        <f t="shared" ref="O1991:O1998" si="492">-N1991</f>
        <v>-876</v>
      </c>
      <c r="P1991" s="6">
        <f t="shared" si="478"/>
        <v>0</v>
      </c>
      <c r="Q1991" s="7">
        <f t="shared" si="491"/>
        <v>3471800.350000001</v>
      </c>
      <c r="R1991" s="44" t="str">
        <f>VLOOKUP(F1991,'Set up'!$A$2:$E$70,5,FALSE)</f>
        <v>Trsf</v>
      </c>
      <c r="S1991" s="1" t="s">
        <v>1852</v>
      </c>
    </row>
    <row r="1992" spans="1:21" ht="15" customHeight="1" x14ac:dyDescent="0.3">
      <c r="A1992" s="4">
        <v>45154</v>
      </c>
      <c r="B1992" s="5">
        <f t="shared" si="486"/>
        <v>8</v>
      </c>
      <c r="C1992" s="5">
        <f t="shared" si="487"/>
        <v>2023</v>
      </c>
      <c r="D1992" s="88" t="s">
        <v>1816</v>
      </c>
      <c r="E1992" s="5" t="str">
        <f>VLOOKUP(F1992,'Set up'!$A$2:$C$70,2,FALSE)</f>
        <v>C00000034</v>
      </c>
      <c r="F1992" s="1" t="s">
        <v>1196</v>
      </c>
      <c r="G1992" s="99" t="s">
        <v>1352</v>
      </c>
      <c r="H1992" s="5">
        <v>5</v>
      </c>
      <c r="I1992" s="5" t="str">
        <f>VLOOKUP(F1992,'Set up'!$A$2:$C$70,3,FALSE)</f>
        <v>Cash</v>
      </c>
      <c r="J1992" s="5">
        <f>VLOOKUP(F1992,'Set up'!$A$2:$D$70,4,FALSE)</f>
        <v>0</v>
      </c>
      <c r="K1992" s="4">
        <f t="shared" si="488"/>
        <v>45154</v>
      </c>
      <c r="L1992" s="5">
        <f t="shared" si="489"/>
        <v>8</v>
      </c>
      <c r="M1992" s="5">
        <f t="shared" si="490"/>
        <v>2023</v>
      </c>
      <c r="N1992" s="96">
        <v>1095</v>
      </c>
      <c r="O1992" s="6">
        <f t="shared" si="492"/>
        <v>-1095</v>
      </c>
      <c r="P1992" s="6">
        <f t="shared" si="478"/>
        <v>0</v>
      </c>
      <c r="Q1992" s="7">
        <f t="shared" si="491"/>
        <v>3472895.350000001</v>
      </c>
      <c r="R1992" s="44" t="str">
        <f>VLOOKUP(F1992,'Set up'!$A$2:$E$70,5,FALSE)</f>
        <v>Trsf</v>
      </c>
      <c r="S1992" s="1" t="s">
        <v>1853</v>
      </c>
    </row>
    <row r="1993" spans="1:21" ht="15" customHeight="1" x14ac:dyDescent="0.3">
      <c r="A1993" s="4">
        <v>45154</v>
      </c>
      <c r="B1993" s="5">
        <f t="shared" si="486"/>
        <v>8</v>
      </c>
      <c r="C1993" s="5">
        <f t="shared" si="487"/>
        <v>2023</v>
      </c>
      <c r="D1993" s="88" t="s">
        <v>1816</v>
      </c>
      <c r="E1993" s="5" t="str">
        <f>VLOOKUP(F1993,'Set up'!$A$2:$C$70,2,FALSE)</f>
        <v>C00000034</v>
      </c>
      <c r="F1993" s="1" t="s">
        <v>1196</v>
      </c>
      <c r="G1993" s="99" t="s">
        <v>1817</v>
      </c>
      <c r="H1993" s="5">
        <v>3</v>
      </c>
      <c r="I1993" s="5" t="str">
        <f>VLOOKUP(F1993,'Set up'!$A$2:$C$70,3,FALSE)</f>
        <v>Cash</v>
      </c>
      <c r="J1993" s="5">
        <f>VLOOKUP(F1993,'Set up'!$A$2:$D$70,4,FALSE)</f>
        <v>0</v>
      </c>
      <c r="K1993" s="4">
        <f t="shared" si="488"/>
        <v>45154</v>
      </c>
      <c r="L1993" s="5">
        <f t="shared" si="489"/>
        <v>8</v>
      </c>
      <c r="M1993" s="5">
        <f t="shared" si="490"/>
        <v>2023</v>
      </c>
      <c r="N1993" s="96">
        <v>708</v>
      </c>
      <c r="O1993" s="6">
        <f t="shared" si="492"/>
        <v>-708</v>
      </c>
      <c r="P1993" s="6">
        <f t="shared" si="478"/>
        <v>0</v>
      </c>
      <c r="Q1993" s="7">
        <f t="shared" si="491"/>
        <v>3473603.350000001</v>
      </c>
      <c r="R1993" s="44" t="str">
        <f>VLOOKUP(F1993,'Set up'!$A$2:$E$70,5,FALSE)</f>
        <v>Trsf</v>
      </c>
      <c r="S1993" s="1" t="s">
        <v>1854</v>
      </c>
    </row>
    <row r="1994" spans="1:21" ht="15" customHeight="1" x14ac:dyDescent="0.3">
      <c r="A1994" s="4">
        <v>45154</v>
      </c>
      <c r="B1994" s="5">
        <f t="shared" si="486"/>
        <v>8</v>
      </c>
      <c r="C1994" s="5">
        <f t="shared" si="487"/>
        <v>2023</v>
      </c>
      <c r="D1994" s="88" t="s">
        <v>1816</v>
      </c>
      <c r="E1994" s="5" t="str">
        <f>VLOOKUP(F1994,'Set up'!$A$2:$C$70,2,FALSE)</f>
        <v>C00000034</v>
      </c>
      <c r="F1994" s="1" t="s">
        <v>1196</v>
      </c>
      <c r="G1994" s="99" t="s">
        <v>1061</v>
      </c>
      <c r="H1994" s="5">
        <v>3</v>
      </c>
      <c r="I1994" s="5" t="str">
        <f>VLOOKUP(F1994,'Set up'!$A$2:$C$70,3,FALSE)</f>
        <v>Cash</v>
      </c>
      <c r="J1994" s="5">
        <f>VLOOKUP(F1994,'Set up'!$A$2:$D$70,4,FALSE)</f>
        <v>0</v>
      </c>
      <c r="K1994" s="4">
        <f t="shared" si="488"/>
        <v>45154</v>
      </c>
      <c r="L1994" s="5">
        <f t="shared" si="489"/>
        <v>8</v>
      </c>
      <c r="M1994" s="5">
        <f t="shared" si="490"/>
        <v>2023</v>
      </c>
      <c r="N1994" s="96">
        <v>285</v>
      </c>
      <c r="O1994" s="6">
        <f>-245.7-39.3</f>
        <v>-285</v>
      </c>
      <c r="P1994" s="6">
        <f t="shared" si="478"/>
        <v>0</v>
      </c>
      <c r="Q1994" s="7">
        <f t="shared" si="491"/>
        <v>3473888.350000001</v>
      </c>
      <c r="R1994" s="44" t="str">
        <f>VLOOKUP(F1994,'Set up'!$A$2:$E$70,5,FALSE)</f>
        <v>Trsf</v>
      </c>
      <c r="S1994" s="1" t="s">
        <v>1947</v>
      </c>
    </row>
    <row r="1995" spans="1:21" ht="15" customHeight="1" x14ac:dyDescent="0.3">
      <c r="A1995" s="4">
        <v>45154</v>
      </c>
      <c r="B1995" s="5">
        <f t="shared" si="486"/>
        <v>8</v>
      </c>
      <c r="C1995" s="5">
        <f t="shared" si="487"/>
        <v>2023</v>
      </c>
      <c r="D1995" s="88" t="s">
        <v>1816</v>
      </c>
      <c r="E1995" s="5" t="str">
        <f>VLOOKUP(F1995,'Set up'!$A$2:$C$70,2,FALSE)</f>
        <v>C00000034</v>
      </c>
      <c r="F1995" s="1" t="s">
        <v>1196</v>
      </c>
      <c r="G1995" s="99" t="s">
        <v>1110</v>
      </c>
      <c r="H1995" s="5">
        <v>3</v>
      </c>
      <c r="I1995" s="5" t="str">
        <f>VLOOKUP(F1995,'Set up'!$A$2:$C$70,3,FALSE)</f>
        <v>Cash</v>
      </c>
      <c r="J1995" s="5">
        <f>VLOOKUP(F1995,'Set up'!$A$2:$D$70,4,FALSE)</f>
        <v>0</v>
      </c>
      <c r="K1995" s="4">
        <f t="shared" si="488"/>
        <v>45154</v>
      </c>
      <c r="L1995" s="5">
        <f t="shared" si="489"/>
        <v>8</v>
      </c>
      <c r="M1995" s="5">
        <f t="shared" si="490"/>
        <v>2023</v>
      </c>
      <c r="N1995" s="96">
        <v>187.5</v>
      </c>
      <c r="O1995" s="6">
        <f t="shared" si="492"/>
        <v>-187.5</v>
      </c>
      <c r="P1995" s="6">
        <f t="shared" si="478"/>
        <v>0</v>
      </c>
      <c r="Q1995" s="7">
        <f t="shared" si="491"/>
        <v>3474075.850000001</v>
      </c>
      <c r="R1995" s="44" t="str">
        <f>VLOOKUP(F1995,'Set up'!$A$2:$E$70,5,FALSE)</f>
        <v>Trsf</v>
      </c>
      <c r="S1995" s="1" t="s">
        <v>1948</v>
      </c>
    </row>
    <row r="1996" spans="1:21" ht="15" customHeight="1" x14ac:dyDescent="0.3">
      <c r="A1996" s="4">
        <v>45154</v>
      </c>
      <c r="B1996" s="5">
        <f t="shared" si="486"/>
        <v>8</v>
      </c>
      <c r="C1996" s="5">
        <f t="shared" si="487"/>
        <v>2023</v>
      </c>
      <c r="D1996" s="88" t="s">
        <v>1816</v>
      </c>
      <c r="E1996" s="5" t="str">
        <f>VLOOKUP(F1996,'Set up'!$A$2:$C$70,2,FALSE)</f>
        <v>C00000034</v>
      </c>
      <c r="F1996" s="1" t="s">
        <v>1196</v>
      </c>
      <c r="G1996" s="99" t="s">
        <v>1405</v>
      </c>
      <c r="H1996" s="5">
        <v>2</v>
      </c>
      <c r="I1996" s="5" t="str">
        <f>VLOOKUP(F1996,'Set up'!$A$2:$C$70,3,FALSE)</f>
        <v>Cash</v>
      </c>
      <c r="J1996" s="5">
        <f>VLOOKUP(F1996,'Set up'!$A$2:$D$70,4,FALSE)</f>
        <v>0</v>
      </c>
      <c r="K1996" s="4">
        <f t="shared" si="488"/>
        <v>45154</v>
      </c>
      <c r="L1996" s="5">
        <f t="shared" si="489"/>
        <v>8</v>
      </c>
      <c r="M1996" s="5">
        <f t="shared" si="490"/>
        <v>2023</v>
      </c>
      <c r="N1996" s="96">
        <v>100</v>
      </c>
      <c r="O1996" s="6">
        <f t="shared" si="492"/>
        <v>-100</v>
      </c>
      <c r="P1996" s="6">
        <f t="shared" si="478"/>
        <v>0</v>
      </c>
      <c r="Q1996" s="7">
        <f t="shared" si="491"/>
        <v>3474175.850000001</v>
      </c>
      <c r="R1996" s="44" t="str">
        <f>VLOOKUP(F1996,'Set up'!$A$2:$E$70,5,FALSE)</f>
        <v>Trsf</v>
      </c>
      <c r="S1996" s="1" t="s">
        <v>1949</v>
      </c>
    </row>
    <row r="1997" spans="1:21" ht="15" customHeight="1" x14ac:dyDescent="0.3">
      <c r="A1997" s="4">
        <v>45154</v>
      </c>
      <c r="B1997" s="5">
        <f t="shared" si="486"/>
        <v>8</v>
      </c>
      <c r="C1997" s="5">
        <f t="shared" si="487"/>
        <v>2023</v>
      </c>
      <c r="D1997" s="88" t="s">
        <v>1816</v>
      </c>
      <c r="E1997" s="5" t="str">
        <f>VLOOKUP(F1997,'Set up'!$A$2:$C$70,2,FALSE)</f>
        <v>C00000034</v>
      </c>
      <c r="F1997" s="1" t="s">
        <v>1196</v>
      </c>
      <c r="G1997" s="99" t="s">
        <v>1818</v>
      </c>
      <c r="H1997" s="5">
        <v>1</v>
      </c>
      <c r="I1997" s="5" t="str">
        <f>VLOOKUP(F1997,'Set up'!$A$2:$C$70,3,FALSE)</f>
        <v>Cash</v>
      </c>
      <c r="J1997" s="5">
        <f>VLOOKUP(F1997,'Set up'!$A$2:$D$70,4,FALSE)</f>
        <v>0</v>
      </c>
      <c r="K1997" s="4">
        <f t="shared" si="488"/>
        <v>45154</v>
      </c>
      <c r="L1997" s="5">
        <f t="shared" si="489"/>
        <v>8</v>
      </c>
      <c r="M1997" s="5">
        <f t="shared" si="490"/>
        <v>2023</v>
      </c>
      <c r="N1997" s="96">
        <v>160</v>
      </c>
      <c r="O1997" s="6">
        <f t="shared" si="492"/>
        <v>-160</v>
      </c>
      <c r="P1997" s="6">
        <f t="shared" si="478"/>
        <v>0</v>
      </c>
      <c r="Q1997" s="7">
        <f t="shared" si="491"/>
        <v>3474335.850000001</v>
      </c>
      <c r="R1997" s="44" t="str">
        <f>VLOOKUP(F1997,'Set up'!$A$2:$E$70,5,FALSE)</f>
        <v>Trsf</v>
      </c>
      <c r="S1997" s="1" t="s">
        <v>1950</v>
      </c>
    </row>
    <row r="1998" spans="1:21" ht="15" customHeight="1" x14ac:dyDescent="0.3">
      <c r="A1998" s="4">
        <v>45154</v>
      </c>
      <c r="B1998" s="5">
        <f t="shared" si="486"/>
        <v>8</v>
      </c>
      <c r="C1998" s="5">
        <f t="shared" si="487"/>
        <v>2023</v>
      </c>
      <c r="D1998" s="88" t="s">
        <v>1816</v>
      </c>
      <c r="E1998" s="5" t="str">
        <f>VLOOKUP(F1998,'Set up'!$A$2:$C$70,2,FALSE)</f>
        <v>C00000034</v>
      </c>
      <c r="F1998" s="1" t="s">
        <v>1196</v>
      </c>
      <c r="G1998" s="99" t="s">
        <v>1660</v>
      </c>
      <c r="H1998" s="5">
        <v>1</v>
      </c>
      <c r="I1998" s="5" t="str">
        <f>VLOOKUP(F1998,'Set up'!$A$2:$C$70,3,FALSE)</f>
        <v>Cash</v>
      </c>
      <c r="J1998" s="5">
        <f>VLOOKUP(F1998,'Set up'!$A$2:$D$70,4,FALSE)</f>
        <v>0</v>
      </c>
      <c r="K1998" s="4">
        <f t="shared" si="488"/>
        <v>45154</v>
      </c>
      <c r="L1998" s="5">
        <f t="shared" si="489"/>
        <v>8</v>
      </c>
      <c r="M1998" s="5">
        <f t="shared" si="490"/>
        <v>2023</v>
      </c>
      <c r="N1998" s="96">
        <v>165</v>
      </c>
      <c r="O1998" s="6">
        <f t="shared" si="492"/>
        <v>-165</v>
      </c>
      <c r="P1998" s="6">
        <f t="shared" si="478"/>
        <v>0</v>
      </c>
      <c r="Q1998" s="7">
        <f t="shared" si="491"/>
        <v>3474500.850000001</v>
      </c>
      <c r="R1998" s="44" t="str">
        <f>VLOOKUP(F1998,'Set up'!$A$2:$E$70,5,FALSE)</f>
        <v>Trsf</v>
      </c>
      <c r="S1998" s="1" t="s">
        <v>1951</v>
      </c>
    </row>
    <row r="1999" spans="1:21" ht="15" customHeight="1" x14ac:dyDescent="0.3">
      <c r="A1999" s="4">
        <v>45154</v>
      </c>
      <c r="B1999" s="5">
        <f t="shared" si="486"/>
        <v>8</v>
      </c>
      <c r="C1999" s="5">
        <f t="shared" si="487"/>
        <v>2023</v>
      </c>
      <c r="D1999" s="88" t="s">
        <v>1819</v>
      </c>
      <c r="E1999" s="5" t="str">
        <f>VLOOKUP(F1999,'Set up'!$A$2:$C$70,2,FALSE)</f>
        <v>C00000003</v>
      </c>
      <c r="F1999" s="1" t="s">
        <v>20</v>
      </c>
      <c r="G1999" s="99" t="s">
        <v>1431</v>
      </c>
      <c r="H1999" s="5">
        <v>1</v>
      </c>
      <c r="I1999" s="5">
        <f>VLOOKUP(F1999,'Set up'!$A$2:$C$70,3,FALSE)</f>
        <v>45</v>
      </c>
      <c r="J1999" s="5">
        <f>VLOOKUP(F1999,'Set up'!$A$2:$D$70,4,FALSE)</f>
        <v>45</v>
      </c>
      <c r="K1999" s="4">
        <f t="shared" si="488"/>
        <v>45199</v>
      </c>
      <c r="L1999" s="5">
        <f t="shared" si="489"/>
        <v>9</v>
      </c>
      <c r="M1999" s="5">
        <f t="shared" si="490"/>
        <v>2023</v>
      </c>
      <c r="N1999" s="96">
        <v>255</v>
      </c>
      <c r="O1999" s="6">
        <f>-N1999</f>
        <v>-255</v>
      </c>
      <c r="P1999" s="6">
        <f t="shared" si="478"/>
        <v>0</v>
      </c>
      <c r="Q1999" s="7">
        <f t="shared" si="491"/>
        <v>3474755.850000001</v>
      </c>
      <c r="R1999" s="44" t="str">
        <f>VLOOKUP(F1999,'Set up'!$A$2:$E$70,5,FALSE)</f>
        <v>PD Chq</v>
      </c>
      <c r="S1999" s="1" t="s">
        <v>2076</v>
      </c>
      <c r="U1999" s="1" t="s">
        <v>3603</v>
      </c>
    </row>
    <row r="2000" spans="1:21" ht="15" customHeight="1" x14ac:dyDescent="0.3">
      <c r="A2000" s="4">
        <v>45154</v>
      </c>
      <c r="B2000" s="5">
        <f t="shared" si="486"/>
        <v>8</v>
      </c>
      <c r="C2000" s="5">
        <f t="shared" si="487"/>
        <v>2023</v>
      </c>
      <c r="D2000" s="88" t="s">
        <v>1819</v>
      </c>
      <c r="E2000" s="5" t="str">
        <f>VLOOKUP(F2000,'Set up'!$A$2:$C$70,2,FALSE)</f>
        <v>C00000003</v>
      </c>
      <c r="F2000" s="1" t="s">
        <v>20</v>
      </c>
      <c r="G2000" s="99" t="s">
        <v>791</v>
      </c>
      <c r="H2000" s="5">
        <v>5</v>
      </c>
      <c r="I2000" s="5">
        <f>VLOOKUP(F2000,'Set up'!$A$2:$C$70,3,FALSE)</f>
        <v>45</v>
      </c>
      <c r="J2000" s="5">
        <f>VLOOKUP(F2000,'Set up'!$A$2:$D$70,4,FALSE)</f>
        <v>45</v>
      </c>
      <c r="K2000" s="4">
        <f t="shared" si="488"/>
        <v>45199</v>
      </c>
      <c r="L2000" s="5">
        <f t="shared" si="489"/>
        <v>9</v>
      </c>
      <c r="M2000" s="5">
        <f t="shared" si="490"/>
        <v>2023</v>
      </c>
      <c r="N2000" s="96">
        <v>325</v>
      </c>
      <c r="O2000" s="6">
        <f>-N2000</f>
        <v>-325</v>
      </c>
      <c r="P2000" s="6">
        <f t="shared" ref="P2000:P2029" si="493">SUM(N2000+O2000)</f>
        <v>0</v>
      </c>
      <c r="Q2000" s="7">
        <f t="shared" si="491"/>
        <v>3475080.850000001</v>
      </c>
      <c r="R2000" s="44" t="str">
        <f>VLOOKUP(F2000,'Set up'!$A$2:$E$70,5,FALSE)</f>
        <v>PD Chq</v>
      </c>
      <c r="S2000" s="1" t="s">
        <v>2077</v>
      </c>
      <c r="U2000" s="1" t="s">
        <v>3603</v>
      </c>
    </row>
    <row r="2001" spans="1:21" ht="15" customHeight="1" x14ac:dyDescent="0.3">
      <c r="A2001" s="4">
        <v>45154</v>
      </c>
      <c r="B2001" s="5">
        <f t="shared" si="486"/>
        <v>8</v>
      </c>
      <c r="C2001" s="5">
        <f t="shared" si="487"/>
        <v>2023</v>
      </c>
      <c r="D2001" s="88" t="s">
        <v>1819</v>
      </c>
      <c r="E2001" s="5" t="str">
        <f>VLOOKUP(F2001,'Set up'!$A$2:$C$70,2,FALSE)</f>
        <v>C00000003</v>
      </c>
      <c r="F2001" s="1" t="s">
        <v>20</v>
      </c>
      <c r="G2001" s="99" t="s">
        <v>1405</v>
      </c>
      <c r="H2001" s="5">
        <v>1</v>
      </c>
      <c r="I2001" s="5">
        <f>VLOOKUP(F2001,'Set up'!$A$2:$C$70,3,FALSE)</f>
        <v>45</v>
      </c>
      <c r="J2001" s="5">
        <f>VLOOKUP(F2001,'Set up'!$A$2:$D$70,4,FALSE)</f>
        <v>45</v>
      </c>
      <c r="K2001" s="4">
        <f t="shared" si="488"/>
        <v>45199</v>
      </c>
      <c r="L2001" s="5">
        <f t="shared" si="489"/>
        <v>9</v>
      </c>
      <c r="M2001" s="5">
        <f t="shared" si="490"/>
        <v>2023</v>
      </c>
      <c r="N2001" s="96">
        <v>50</v>
      </c>
      <c r="O2001" s="6">
        <f>-N2001</f>
        <v>-50</v>
      </c>
      <c r="P2001" s="6">
        <f t="shared" si="493"/>
        <v>0</v>
      </c>
      <c r="Q2001" s="7">
        <f t="shared" si="491"/>
        <v>3475130.850000001</v>
      </c>
      <c r="R2001" s="44" t="str">
        <f>VLOOKUP(F2001,'Set up'!$A$2:$E$70,5,FALSE)</f>
        <v>PD Chq</v>
      </c>
      <c r="S2001" s="1" t="s">
        <v>2078</v>
      </c>
      <c r="U2001" s="1" t="s">
        <v>3603</v>
      </c>
    </row>
    <row r="2002" spans="1:21" ht="15" customHeight="1" x14ac:dyDescent="0.3">
      <c r="A2002" s="4">
        <v>45155</v>
      </c>
      <c r="B2002" s="5">
        <f t="shared" si="486"/>
        <v>8</v>
      </c>
      <c r="C2002" s="5">
        <f t="shared" si="487"/>
        <v>2023</v>
      </c>
      <c r="D2002" s="88" t="s">
        <v>1820</v>
      </c>
      <c r="E2002" s="5" t="str">
        <f>VLOOKUP(F2002,'Set up'!$A$2:$C$70,2,FALSE)</f>
        <v>C00000014</v>
      </c>
      <c r="F2002" s="1" t="s">
        <v>262</v>
      </c>
      <c r="G2002" s="99" t="s">
        <v>303</v>
      </c>
      <c r="H2002" s="5">
        <v>1</v>
      </c>
      <c r="I2002" s="5" t="str">
        <f>VLOOKUP(F2002,'Set up'!$A$2:$C$70,3,FALSE)</f>
        <v>Cash</v>
      </c>
      <c r="J2002" s="5">
        <f>VLOOKUP(F2002,'Set up'!$A$2:$D$70,4,FALSE)</f>
        <v>0</v>
      </c>
      <c r="K2002" s="4">
        <f t="shared" si="488"/>
        <v>45155</v>
      </c>
      <c r="L2002" s="5">
        <f t="shared" si="489"/>
        <v>8</v>
      </c>
      <c r="M2002" s="5">
        <f t="shared" si="490"/>
        <v>2023</v>
      </c>
      <c r="N2002" s="96">
        <v>1694</v>
      </c>
      <c r="O2002" s="6">
        <f t="shared" ref="O2002:O2006" si="494">-N2002</f>
        <v>-1694</v>
      </c>
      <c r="P2002" s="6">
        <f t="shared" si="493"/>
        <v>0</v>
      </c>
      <c r="Q2002" s="7">
        <f t="shared" si="491"/>
        <v>3476824.850000001</v>
      </c>
      <c r="R2002" s="44" t="str">
        <f>VLOOKUP(F2002,'Set up'!$A$2:$E$70,5,FALSE)</f>
        <v>Cash</v>
      </c>
      <c r="S2002" s="1" t="s">
        <v>1844</v>
      </c>
    </row>
    <row r="2003" spans="1:21" ht="15" customHeight="1" x14ac:dyDescent="0.3">
      <c r="A2003" s="4">
        <v>45155</v>
      </c>
      <c r="B2003" s="5">
        <f t="shared" si="486"/>
        <v>8</v>
      </c>
      <c r="C2003" s="5">
        <f t="shared" si="487"/>
        <v>2023</v>
      </c>
      <c r="D2003" s="88" t="s">
        <v>1820</v>
      </c>
      <c r="E2003" s="5" t="str">
        <f>VLOOKUP(F2003,'Set up'!$A$2:$C$70,2,FALSE)</f>
        <v>C00000014</v>
      </c>
      <c r="F2003" s="1" t="s">
        <v>262</v>
      </c>
      <c r="G2003" s="99" t="s">
        <v>988</v>
      </c>
      <c r="H2003" s="5">
        <v>3</v>
      </c>
      <c r="I2003" s="5" t="str">
        <f>VLOOKUP(F2003,'Set up'!$A$2:$C$70,3,FALSE)</f>
        <v>Cash</v>
      </c>
      <c r="J2003" s="5">
        <f>VLOOKUP(F2003,'Set up'!$A$2:$D$70,4,FALSE)</f>
        <v>0</v>
      </c>
      <c r="K2003" s="4">
        <f t="shared" si="488"/>
        <v>45155</v>
      </c>
      <c r="L2003" s="5">
        <f t="shared" si="489"/>
        <v>8</v>
      </c>
      <c r="M2003" s="5">
        <f t="shared" si="490"/>
        <v>2023</v>
      </c>
      <c r="N2003" s="96">
        <v>702</v>
      </c>
      <c r="O2003" s="6">
        <f t="shared" si="494"/>
        <v>-702</v>
      </c>
      <c r="P2003" s="6">
        <f t="shared" si="493"/>
        <v>0</v>
      </c>
      <c r="Q2003" s="7">
        <f t="shared" si="491"/>
        <v>3477526.850000001</v>
      </c>
      <c r="R2003" s="44" t="str">
        <f>VLOOKUP(F2003,'Set up'!$A$2:$E$70,5,FALSE)</f>
        <v>Cash</v>
      </c>
      <c r="S2003" s="1" t="s">
        <v>1844</v>
      </c>
    </row>
    <row r="2004" spans="1:21" ht="15" customHeight="1" x14ac:dyDescent="0.3">
      <c r="A2004" s="4">
        <v>45155</v>
      </c>
      <c r="B2004" s="5">
        <f t="shared" si="486"/>
        <v>8</v>
      </c>
      <c r="C2004" s="5">
        <f t="shared" si="487"/>
        <v>2023</v>
      </c>
      <c r="D2004" s="88" t="s">
        <v>1820</v>
      </c>
      <c r="E2004" s="5" t="str">
        <f>VLOOKUP(F2004,'Set up'!$A$2:$C$70,2,FALSE)</f>
        <v>C00000014</v>
      </c>
      <c r="F2004" s="1" t="s">
        <v>262</v>
      </c>
      <c r="G2004" s="99" t="s">
        <v>1468</v>
      </c>
      <c r="H2004" s="5">
        <v>1</v>
      </c>
      <c r="I2004" s="5" t="str">
        <f>VLOOKUP(F2004,'Set up'!$A$2:$C$70,3,FALSE)</f>
        <v>Cash</v>
      </c>
      <c r="J2004" s="5">
        <f>VLOOKUP(F2004,'Set up'!$A$2:$D$70,4,FALSE)</f>
        <v>0</v>
      </c>
      <c r="K2004" s="4">
        <f t="shared" si="488"/>
        <v>45155</v>
      </c>
      <c r="L2004" s="5">
        <f t="shared" si="489"/>
        <v>8</v>
      </c>
      <c r="M2004" s="5">
        <f t="shared" si="490"/>
        <v>2023</v>
      </c>
      <c r="N2004" s="96">
        <v>322.5</v>
      </c>
      <c r="O2004" s="6">
        <f t="shared" si="494"/>
        <v>-322.5</v>
      </c>
      <c r="P2004" s="6">
        <f t="shared" si="493"/>
        <v>0</v>
      </c>
      <c r="Q2004" s="7">
        <f t="shared" si="491"/>
        <v>3477849.350000001</v>
      </c>
      <c r="R2004" s="44" t="str">
        <f>VLOOKUP(F2004,'Set up'!$A$2:$E$70,5,FALSE)</f>
        <v>Cash</v>
      </c>
      <c r="S2004" s="1" t="s">
        <v>1844</v>
      </c>
    </row>
    <row r="2005" spans="1:21" ht="15" customHeight="1" x14ac:dyDescent="0.3">
      <c r="A2005" s="4">
        <v>45155</v>
      </c>
      <c r="B2005" s="5">
        <f t="shared" si="486"/>
        <v>8</v>
      </c>
      <c r="C2005" s="5">
        <f t="shared" si="487"/>
        <v>2023</v>
      </c>
      <c r="D2005" s="88" t="s">
        <v>1820</v>
      </c>
      <c r="E2005" s="5" t="str">
        <f>VLOOKUP(F2005,'Set up'!$A$2:$C$70,2,FALSE)</f>
        <v>C00000014</v>
      </c>
      <c r="F2005" s="1" t="s">
        <v>262</v>
      </c>
      <c r="G2005" s="99" t="s">
        <v>894</v>
      </c>
      <c r="H2005" s="5">
        <v>1</v>
      </c>
      <c r="I2005" s="5" t="str">
        <f>VLOOKUP(F2005,'Set up'!$A$2:$C$70,3,FALSE)</f>
        <v>Cash</v>
      </c>
      <c r="J2005" s="5">
        <f>VLOOKUP(F2005,'Set up'!$A$2:$D$70,4,FALSE)</f>
        <v>0</v>
      </c>
      <c r="K2005" s="4">
        <f t="shared" si="488"/>
        <v>45155</v>
      </c>
      <c r="L2005" s="5">
        <f t="shared" si="489"/>
        <v>8</v>
      </c>
      <c r="M2005" s="5">
        <f t="shared" si="490"/>
        <v>2023</v>
      </c>
      <c r="N2005" s="96">
        <v>160</v>
      </c>
      <c r="O2005" s="6">
        <f t="shared" si="494"/>
        <v>-160</v>
      </c>
      <c r="P2005" s="6">
        <f t="shared" si="493"/>
        <v>0</v>
      </c>
      <c r="Q2005" s="7">
        <f t="shared" si="491"/>
        <v>3478009.350000001</v>
      </c>
      <c r="R2005" s="44" t="str">
        <f>VLOOKUP(F2005,'Set up'!$A$2:$E$70,5,FALSE)</f>
        <v>Cash</v>
      </c>
      <c r="S2005" s="1" t="s">
        <v>1844</v>
      </c>
    </row>
    <row r="2006" spans="1:21" ht="15" customHeight="1" x14ac:dyDescent="0.3">
      <c r="A2006" s="4">
        <v>45155</v>
      </c>
      <c r="B2006" s="5">
        <f t="shared" si="486"/>
        <v>8</v>
      </c>
      <c r="C2006" s="5">
        <f t="shared" si="487"/>
        <v>2023</v>
      </c>
      <c r="D2006" s="88" t="s">
        <v>1821</v>
      </c>
      <c r="E2006" s="5" t="str">
        <f>VLOOKUP(F2006,'Set up'!$A$2:$C$70,2,FALSE)</f>
        <v>C00000019</v>
      </c>
      <c r="F2006" s="1" t="s">
        <v>400</v>
      </c>
      <c r="G2006" s="99" t="s">
        <v>791</v>
      </c>
      <c r="H2006" s="5">
        <v>4</v>
      </c>
      <c r="I2006" s="5" t="str">
        <f>VLOOKUP(F2006,'Set up'!$A$2:$C$70,3,FALSE)</f>
        <v>Cash</v>
      </c>
      <c r="J2006" s="5">
        <f>VLOOKUP(F2006,'Set up'!$A$2:$D$70,4,FALSE)</f>
        <v>0</v>
      </c>
      <c r="K2006" s="4">
        <f t="shared" si="488"/>
        <v>45155</v>
      </c>
      <c r="L2006" s="5">
        <f t="shared" si="489"/>
        <v>8</v>
      </c>
      <c r="M2006" s="5">
        <f t="shared" si="490"/>
        <v>2023</v>
      </c>
      <c r="N2006" s="96">
        <v>250</v>
      </c>
      <c r="O2006" s="6">
        <f t="shared" si="494"/>
        <v>-250</v>
      </c>
      <c r="P2006" s="6">
        <f t="shared" si="493"/>
        <v>0</v>
      </c>
      <c r="Q2006" s="7">
        <f t="shared" si="491"/>
        <v>3478259.350000001</v>
      </c>
      <c r="R2006" s="44" t="str">
        <f>VLOOKUP(F2006,'Set up'!$A$2:$E$70,5,FALSE)</f>
        <v>Trsf</v>
      </c>
      <c r="S2006" s="1" t="s">
        <v>2493</v>
      </c>
    </row>
    <row r="2007" spans="1:21" ht="15" customHeight="1" x14ac:dyDescent="0.3">
      <c r="A2007" s="4">
        <v>45159</v>
      </c>
      <c r="B2007" s="5">
        <f t="shared" si="486"/>
        <v>8</v>
      </c>
      <c r="C2007" s="5">
        <f t="shared" si="487"/>
        <v>2023</v>
      </c>
      <c r="D2007" s="88" t="s">
        <v>1822</v>
      </c>
      <c r="E2007" s="5" t="str">
        <f>VLOOKUP(F2007,'Set up'!$A$2:$C$70,2,FALSE)</f>
        <v>C00000006</v>
      </c>
      <c r="F2007" s="1" t="s">
        <v>43</v>
      </c>
      <c r="G2007" s="99" t="s">
        <v>95</v>
      </c>
      <c r="H2007" s="5">
        <v>1</v>
      </c>
      <c r="I2007" s="5" t="str">
        <f>VLOOKUP(F2007,'Set up'!$A$2:$C$70,3,FALSE)</f>
        <v>Cash</v>
      </c>
      <c r="J2007" s="5">
        <f>VLOOKUP(F2007,'Set up'!$A$2:$D$70,4,FALSE)</f>
        <v>0</v>
      </c>
      <c r="K2007" s="4">
        <f t="shared" si="488"/>
        <v>45159</v>
      </c>
      <c r="L2007" s="5">
        <f t="shared" si="489"/>
        <v>8</v>
      </c>
      <c r="M2007" s="5">
        <f t="shared" si="490"/>
        <v>2023</v>
      </c>
      <c r="N2007" s="96">
        <v>1738</v>
      </c>
      <c r="O2007" s="6">
        <f>-N2007</f>
        <v>-1738</v>
      </c>
      <c r="P2007" s="6">
        <f t="shared" si="493"/>
        <v>0</v>
      </c>
      <c r="Q2007" s="7">
        <f t="shared" si="491"/>
        <v>3479997.350000001</v>
      </c>
      <c r="R2007" s="44" t="str">
        <f>VLOOKUP(F2007,'Set up'!$A$2:$E$70,5,FALSE)</f>
        <v>Chq</v>
      </c>
      <c r="S2007" s="1" t="s">
        <v>2085</v>
      </c>
    </row>
    <row r="2008" spans="1:21" ht="15" customHeight="1" x14ac:dyDescent="0.3">
      <c r="A2008" s="4">
        <v>45159</v>
      </c>
      <c r="B2008" s="5">
        <f t="shared" si="486"/>
        <v>8</v>
      </c>
      <c r="C2008" s="5">
        <f t="shared" si="487"/>
        <v>2023</v>
      </c>
      <c r="D2008" s="88" t="s">
        <v>1822</v>
      </c>
      <c r="E2008" s="5" t="str">
        <f>VLOOKUP(F2008,'Set up'!$A$2:$C$70,2,FALSE)</f>
        <v>C00000006</v>
      </c>
      <c r="F2008" s="1" t="s">
        <v>43</v>
      </c>
      <c r="G2008" s="99" t="s">
        <v>1796</v>
      </c>
      <c r="H2008" s="5">
        <v>3</v>
      </c>
      <c r="I2008" s="5" t="str">
        <f>VLOOKUP(F2008,'Set up'!$A$2:$C$70,3,FALSE)</f>
        <v>Cash</v>
      </c>
      <c r="J2008" s="5">
        <f>VLOOKUP(F2008,'Set up'!$A$2:$D$70,4,FALSE)</f>
        <v>0</v>
      </c>
      <c r="K2008" s="4">
        <f t="shared" si="488"/>
        <v>45159</v>
      </c>
      <c r="L2008" s="5">
        <f t="shared" si="489"/>
        <v>8</v>
      </c>
      <c r="M2008" s="5">
        <f t="shared" si="490"/>
        <v>2023</v>
      </c>
      <c r="N2008" s="96">
        <v>702</v>
      </c>
      <c r="O2008" s="6">
        <f>-N2008</f>
        <v>-702</v>
      </c>
      <c r="P2008" s="6">
        <f t="shared" si="493"/>
        <v>0</v>
      </c>
      <c r="Q2008" s="7">
        <f t="shared" si="491"/>
        <v>3480699.350000001</v>
      </c>
      <c r="R2008" s="44" t="str">
        <f>VLOOKUP(F2008,'Set up'!$A$2:$E$70,5,FALSE)</f>
        <v>Chq</v>
      </c>
      <c r="S2008" s="1" t="s">
        <v>2085</v>
      </c>
    </row>
    <row r="2009" spans="1:21" ht="15" customHeight="1" x14ac:dyDescent="0.3">
      <c r="A2009" s="4">
        <v>45160</v>
      </c>
      <c r="B2009" s="5">
        <f t="shared" si="486"/>
        <v>8</v>
      </c>
      <c r="C2009" s="5">
        <f t="shared" si="487"/>
        <v>2023</v>
      </c>
      <c r="D2009" s="88" t="s">
        <v>1823</v>
      </c>
      <c r="E2009" s="5" t="str">
        <f>VLOOKUP(F2009,'Set up'!$A$2:$C$70,2,FALSE)</f>
        <v>C00000037</v>
      </c>
      <c r="F2009" s="1" t="s">
        <v>1309</v>
      </c>
      <c r="G2009" s="99" t="s">
        <v>719</v>
      </c>
      <c r="H2009" s="5">
        <v>4</v>
      </c>
      <c r="I2009" s="5">
        <f>VLOOKUP(F2009,'Set up'!$A$2:$C$70,3,FALSE)</f>
        <v>30</v>
      </c>
      <c r="J2009" s="5">
        <f>VLOOKUP(F2009,'Set up'!$A$2:$D$70,4,FALSE)</f>
        <v>30</v>
      </c>
      <c r="K2009" s="4">
        <f t="shared" si="488"/>
        <v>45190</v>
      </c>
      <c r="L2009" s="5">
        <f t="shared" si="489"/>
        <v>9</v>
      </c>
      <c r="M2009" s="5">
        <f t="shared" si="490"/>
        <v>2023</v>
      </c>
      <c r="N2009" s="96">
        <v>6952</v>
      </c>
      <c r="O2009" s="6">
        <f t="shared" ref="O2009:O2014" si="495">-N2009</f>
        <v>-6952</v>
      </c>
      <c r="P2009" s="6">
        <f t="shared" si="493"/>
        <v>0</v>
      </c>
      <c r="Q2009" s="7">
        <f t="shared" si="491"/>
        <v>3487651.350000001</v>
      </c>
      <c r="R2009" s="44" t="str">
        <f>VLOOKUP(F2009,'Set up'!$A$2:$E$70,5,FALSE)</f>
        <v>Chq</v>
      </c>
      <c r="S2009" s="1" t="s">
        <v>1982</v>
      </c>
    </row>
    <row r="2010" spans="1:21" ht="15" customHeight="1" x14ac:dyDescent="0.3">
      <c r="A2010" s="4">
        <v>45160</v>
      </c>
      <c r="B2010" s="5">
        <f t="shared" si="486"/>
        <v>8</v>
      </c>
      <c r="C2010" s="5">
        <f t="shared" si="487"/>
        <v>2023</v>
      </c>
      <c r="D2010" s="88" t="s">
        <v>1823</v>
      </c>
      <c r="E2010" s="5" t="str">
        <f>VLOOKUP(F2010,'Set up'!$A$2:$C$70,2,FALSE)</f>
        <v>C00000037</v>
      </c>
      <c r="F2010" s="1" t="s">
        <v>1309</v>
      </c>
      <c r="G2010" s="99" t="s">
        <v>707</v>
      </c>
      <c r="H2010" s="5">
        <v>5</v>
      </c>
      <c r="I2010" s="5">
        <f>VLOOKUP(F2010,'Set up'!$A$2:$C$70,3,FALSE)</f>
        <v>30</v>
      </c>
      <c r="J2010" s="5">
        <f>VLOOKUP(F2010,'Set up'!$A$2:$D$70,4,FALSE)</f>
        <v>30</v>
      </c>
      <c r="K2010" s="4">
        <f t="shared" si="488"/>
        <v>45190</v>
      </c>
      <c r="L2010" s="5">
        <f t="shared" si="489"/>
        <v>9</v>
      </c>
      <c r="M2010" s="5">
        <f t="shared" si="490"/>
        <v>2023</v>
      </c>
      <c r="N2010" s="96">
        <v>2106</v>
      </c>
      <c r="O2010" s="6">
        <f t="shared" si="495"/>
        <v>-2106</v>
      </c>
      <c r="P2010" s="6">
        <f t="shared" si="493"/>
        <v>0</v>
      </c>
      <c r="Q2010" s="7">
        <f t="shared" si="491"/>
        <v>3489757.350000001</v>
      </c>
      <c r="R2010" s="44" t="str">
        <f>VLOOKUP(F2010,'Set up'!$A$2:$E$70,5,FALSE)</f>
        <v>Chq</v>
      </c>
      <c r="S2010" s="1" t="s">
        <v>1982</v>
      </c>
    </row>
    <row r="2011" spans="1:21" ht="15" customHeight="1" x14ac:dyDescent="0.3">
      <c r="A2011" s="4">
        <v>45160</v>
      </c>
      <c r="B2011" s="5">
        <f t="shared" si="486"/>
        <v>8</v>
      </c>
      <c r="C2011" s="5">
        <f t="shared" si="487"/>
        <v>2023</v>
      </c>
      <c r="D2011" s="88" t="s">
        <v>1823</v>
      </c>
      <c r="E2011" s="5" t="str">
        <f>VLOOKUP(F2011,'Set up'!$A$2:$C$70,2,FALSE)</f>
        <v>C00000037</v>
      </c>
      <c r="F2011" s="1" t="s">
        <v>1309</v>
      </c>
      <c r="G2011" s="99" t="s">
        <v>1405</v>
      </c>
      <c r="H2011" s="5">
        <v>3</v>
      </c>
      <c r="I2011" s="5">
        <f>VLOOKUP(F2011,'Set up'!$A$2:$C$70,3,FALSE)</f>
        <v>30</v>
      </c>
      <c r="J2011" s="5">
        <f>VLOOKUP(F2011,'Set up'!$A$2:$D$70,4,FALSE)</f>
        <v>30</v>
      </c>
      <c r="K2011" s="4">
        <f t="shared" si="488"/>
        <v>45190</v>
      </c>
      <c r="L2011" s="5">
        <f t="shared" si="489"/>
        <v>9</v>
      </c>
      <c r="M2011" s="5">
        <f t="shared" si="490"/>
        <v>2023</v>
      </c>
      <c r="N2011" s="96">
        <v>144</v>
      </c>
      <c r="O2011" s="6">
        <f t="shared" si="495"/>
        <v>-144</v>
      </c>
      <c r="P2011" s="6">
        <f t="shared" si="493"/>
        <v>0</v>
      </c>
      <c r="Q2011" s="7">
        <f t="shared" si="491"/>
        <v>3489901.350000001</v>
      </c>
      <c r="R2011" s="44" t="str">
        <f>VLOOKUP(F2011,'Set up'!$A$2:$E$70,5,FALSE)</f>
        <v>Chq</v>
      </c>
      <c r="S2011" s="1" t="s">
        <v>1982</v>
      </c>
    </row>
    <row r="2012" spans="1:21" ht="15" customHeight="1" x14ac:dyDescent="0.3">
      <c r="A2012" s="4">
        <v>45160</v>
      </c>
      <c r="B2012" s="5">
        <f t="shared" si="486"/>
        <v>8</v>
      </c>
      <c r="C2012" s="5">
        <f t="shared" si="487"/>
        <v>2023</v>
      </c>
      <c r="D2012" s="88" t="s">
        <v>1823</v>
      </c>
      <c r="E2012" s="5" t="str">
        <f>VLOOKUP(F2012,'Set up'!$A$2:$C$70,2,FALSE)</f>
        <v>C00000037</v>
      </c>
      <c r="F2012" s="1" t="s">
        <v>1309</v>
      </c>
      <c r="G2012" s="99" t="s">
        <v>1110</v>
      </c>
      <c r="H2012" s="5">
        <v>3</v>
      </c>
      <c r="I2012" s="5">
        <f>VLOOKUP(F2012,'Set up'!$A$2:$C$70,3,FALSE)</f>
        <v>30</v>
      </c>
      <c r="J2012" s="5">
        <f>VLOOKUP(F2012,'Set up'!$A$2:$D$70,4,FALSE)</f>
        <v>30</v>
      </c>
      <c r="K2012" s="4">
        <f t="shared" si="488"/>
        <v>45190</v>
      </c>
      <c r="L2012" s="5">
        <f t="shared" si="489"/>
        <v>9</v>
      </c>
      <c r="M2012" s="5">
        <f t="shared" si="490"/>
        <v>2023</v>
      </c>
      <c r="N2012" s="96">
        <v>187.5</v>
      </c>
      <c r="O2012" s="6">
        <f t="shared" si="495"/>
        <v>-187.5</v>
      </c>
      <c r="P2012" s="6">
        <f t="shared" si="493"/>
        <v>0</v>
      </c>
      <c r="Q2012" s="7">
        <f t="shared" si="491"/>
        <v>3490088.850000001</v>
      </c>
      <c r="R2012" s="44" t="str">
        <f>VLOOKUP(F2012,'Set up'!$A$2:$E$70,5,FALSE)</f>
        <v>Chq</v>
      </c>
      <c r="S2012" s="1" t="s">
        <v>1982</v>
      </c>
    </row>
    <row r="2013" spans="1:21" ht="15" customHeight="1" x14ac:dyDescent="0.3">
      <c r="A2013" s="4">
        <v>45160</v>
      </c>
      <c r="B2013" s="5">
        <f t="shared" si="486"/>
        <v>8</v>
      </c>
      <c r="C2013" s="5">
        <f t="shared" si="487"/>
        <v>2023</v>
      </c>
      <c r="D2013" s="88" t="s">
        <v>1823</v>
      </c>
      <c r="E2013" s="5" t="str">
        <f>VLOOKUP(F2013,'Set up'!$A$2:$C$70,2,FALSE)</f>
        <v>C00000037</v>
      </c>
      <c r="F2013" s="1" t="s">
        <v>1309</v>
      </c>
      <c r="G2013" s="99" t="s">
        <v>1468</v>
      </c>
      <c r="H2013" s="5">
        <v>2</v>
      </c>
      <c r="I2013" s="5">
        <f>VLOOKUP(F2013,'Set up'!$A$2:$C$70,3,FALSE)</f>
        <v>30</v>
      </c>
      <c r="J2013" s="5">
        <f>VLOOKUP(F2013,'Set up'!$A$2:$D$70,4,FALSE)</f>
        <v>30</v>
      </c>
      <c r="K2013" s="4">
        <f t="shared" si="488"/>
        <v>45190</v>
      </c>
      <c r="L2013" s="5">
        <f t="shared" si="489"/>
        <v>9</v>
      </c>
      <c r="M2013" s="5">
        <f t="shared" si="490"/>
        <v>2023</v>
      </c>
      <c r="N2013" s="96">
        <v>650</v>
      </c>
      <c r="O2013" s="6">
        <f t="shared" si="495"/>
        <v>-650</v>
      </c>
      <c r="P2013" s="6">
        <f t="shared" si="493"/>
        <v>0</v>
      </c>
      <c r="Q2013" s="7">
        <f t="shared" si="491"/>
        <v>3490738.850000001</v>
      </c>
      <c r="R2013" s="44" t="str">
        <f>VLOOKUP(F2013,'Set up'!$A$2:$E$70,5,FALSE)</f>
        <v>Chq</v>
      </c>
      <c r="S2013" s="1" t="s">
        <v>1982</v>
      </c>
    </row>
    <row r="2014" spans="1:21" ht="15" customHeight="1" x14ac:dyDescent="0.3">
      <c r="A2014" s="4">
        <v>45160</v>
      </c>
      <c r="B2014" s="5">
        <f t="shared" si="486"/>
        <v>8</v>
      </c>
      <c r="C2014" s="5">
        <f t="shared" si="487"/>
        <v>2023</v>
      </c>
      <c r="D2014" s="88" t="s">
        <v>1823</v>
      </c>
      <c r="E2014" s="5" t="str">
        <f>VLOOKUP(F2014,'Set up'!$A$2:$C$70,2,FALSE)</f>
        <v>C00000037</v>
      </c>
      <c r="F2014" s="1" t="s">
        <v>1309</v>
      </c>
      <c r="G2014" s="99" t="s">
        <v>1546</v>
      </c>
      <c r="H2014" s="5">
        <v>1</v>
      </c>
      <c r="I2014" s="5">
        <f>VLOOKUP(F2014,'Set up'!$A$2:$C$70,3,FALSE)</f>
        <v>30</v>
      </c>
      <c r="J2014" s="5">
        <f>VLOOKUP(F2014,'Set up'!$A$2:$D$70,4,FALSE)</f>
        <v>30</v>
      </c>
      <c r="K2014" s="4">
        <f t="shared" si="488"/>
        <v>45190</v>
      </c>
      <c r="L2014" s="5">
        <f t="shared" si="489"/>
        <v>9</v>
      </c>
      <c r="M2014" s="5">
        <f t="shared" si="490"/>
        <v>2023</v>
      </c>
      <c r="N2014" s="96">
        <v>930</v>
      </c>
      <c r="O2014" s="6">
        <f t="shared" si="495"/>
        <v>-930</v>
      </c>
      <c r="P2014" s="6">
        <f t="shared" si="493"/>
        <v>0</v>
      </c>
      <c r="Q2014" s="7">
        <f t="shared" si="491"/>
        <v>3491668.850000001</v>
      </c>
      <c r="R2014" s="44" t="str">
        <f>VLOOKUP(F2014,'Set up'!$A$2:$E$70,5,FALSE)</f>
        <v>Chq</v>
      </c>
      <c r="S2014" s="1" t="s">
        <v>1982</v>
      </c>
    </row>
    <row r="2015" spans="1:21" ht="15" customHeight="1" x14ac:dyDescent="0.3">
      <c r="A2015" s="4">
        <v>45160</v>
      </c>
      <c r="B2015" s="5">
        <f t="shared" si="486"/>
        <v>8</v>
      </c>
      <c r="C2015" s="5">
        <f t="shared" si="487"/>
        <v>2023</v>
      </c>
      <c r="D2015" s="88" t="s">
        <v>1824</v>
      </c>
      <c r="E2015" s="5" t="str">
        <f>VLOOKUP(F2015,'Set up'!$A$2:$C$70,2,FALSE)</f>
        <v>C00000020</v>
      </c>
      <c r="F2015" s="1" t="s">
        <v>409</v>
      </c>
      <c r="G2015" s="99" t="s">
        <v>1110</v>
      </c>
      <c r="H2015" s="5">
        <v>3</v>
      </c>
      <c r="I2015" s="5" t="str">
        <f>VLOOKUP(F2015,'Set up'!$A$2:$C$70,3,FALSE)</f>
        <v>Cash</v>
      </c>
      <c r="J2015" s="5">
        <f>VLOOKUP(F2015,'Set up'!$A$2:$D$70,4,FALSE)</f>
        <v>0</v>
      </c>
      <c r="K2015" s="4">
        <f t="shared" si="488"/>
        <v>45160</v>
      </c>
      <c r="L2015" s="5">
        <f t="shared" si="489"/>
        <v>8</v>
      </c>
      <c r="M2015" s="5">
        <f t="shared" si="490"/>
        <v>2023</v>
      </c>
      <c r="N2015" s="96">
        <v>187.5</v>
      </c>
      <c r="O2015" s="6">
        <f>-N2015</f>
        <v>-187.5</v>
      </c>
      <c r="P2015" s="6">
        <f t="shared" si="493"/>
        <v>0</v>
      </c>
      <c r="Q2015" s="7">
        <f t="shared" si="491"/>
        <v>3491856.350000001</v>
      </c>
      <c r="R2015" s="44" t="str">
        <f>VLOOKUP(F2015,'Set up'!$A$2:$E$70,5,FALSE)</f>
        <v>Trsf</v>
      </c>
      <c r="S2015" s="1" t="s">
        <v>2482</v>
      </c>
    </row>
    <row r="2016" spans="1:21" ht="15" customHeight="1" x14ac:dyDescent="0.3">
      <c r="A2016" s="4">
        <v>45160</v>
      </c>
      <c r="B2016" s="5">
        <f t="shared" si="486"/>
        <v>8</v>
      </c>
      <c r="C2016" s="5">
        <f t="shared" si="487"/>
        <v>2023</v>
      </c>
      <c r="D2016" s="88" t="s">
        <v>1825</v>
      </c>
      <c r="E2016" s="5" t="str">
        <f>VLOOKUP(F2016,'Set up'!$A$2:$C$70,2,FALSE)</f>
        <v>C00000020</v>
      </c>
      <c r="F2016" s="1" t="s">
        <v>409</v>
      </c>
      <c r="G2016" s="99" t="s">
        <v>1733</v>
      </c>
      <c r="H2016" s="5">
        <v>3</v>
      </c>
      <c r="I2016" s="5" t="str">
        <f>VLOOKUP(F2016,'Set up'!$A$2:$C$70,3,FALSE)</f>
        <v>Cash</v>
      </c>
      <c r="J2016" s="5">
        <f>VLOOKUP(F2016,'Set up'!$A$2:$D$70,4,FALSE)</f>
        <v>0</v>
      </c>
      <c r="K2016" s="4">
        <f t="shared" si="488"/>
        <v>45160</v>
      </c>
      <c r="L2016" s="5">
        <f t="shared" si="489"/>
        <v>8</v>
      </c>
      <c r="M2016" s="5">
        <f t="shared" si="490"/>
        <v>2023</v>
      </c>
      <c r="N2016" s="96">
        <v>4686</v>
      </c>
      <c r="O2016" s="6">
        <f>-3376.2-1309.8</f>
        <v>-4686</v>
      </c>
      <c r="P2016" s="6">
        <f t="shared" si="493"/>
        <v>0</v>
      </c>
      <c r="Q2016" s="7">
        <f t="shared" si="491"/>
        <v>3496542.350000001</v>
      </c>
      <c r="R2016" s="44" t="str">
        <f>VLOOKUP(F2016,'Set up'!$A$2:$E$70,5,FALSE)</f>
        <v>Trsf</v>
      </c>
      <c r="S2016" s="1" t="s">
        <v>2529</v>
      </c>
    </row>
    <row r="2017" spans="1:19" ht="15" customHeight="1" x14ac:dyDescent="0.3">
      <c r="A2017" s="4">
        <v>45160</v>
      </c>
      <c r="B2017" s="5">
        <f t="shared" si="486"/>
        <v>8</v>
      </c>
      <c r="C2017" s="5">
        <f t="shared" si="487"/>
        <v>2023</v>
      </c>
      <c r="D2017" s="88" t="s">
        <v>1825</v>
      </c>
      <c r="E2017" s="5" t="str">
        <f>VLOOKUP(F2017,'Set up'!$A$2:$C$70,2,FALSE)</f>
        <v>C00000020</v>
      </c>
      <c r="F2017" s="1" t="s">
        <v>409</v>
      </c>
      <c r="G2017" s="99" t="s">
        <v>913</v>
      </c>
      <c r="H2017" s="5">
        <v>9</v>
      </c>
      <c r="I2017" s="5" t="str">
        <f>VLOOKUP(F2017,'Set up'!$A$2:$C$70,3,FALSE)</f>
        <v>Cash</v>
      </c>
      <c r="J2017" s="5">
        <f>VLOOKUP(F2017,'Set up'!$A$2:$D$70,4,FALSE)</f>
        <v>0</v>
      </c>
      <c r="K2017" s="4">
        <f t="shared" si="488"/>
        <v>45160</v>
      </c>
      <c r="L2017" s="5">
        <f t="shared" si="489"/>
        <v>8</v>
      </c>
      <c r="M2017" s="5">
        <f t="shared" si="490"/>
        <v>2023</v>
      </c>
      <c r="N2017" s="96">
        <v>1701</v>
      </c>
      <c r="O2017" s="6">
        <f>-N2017</f>
        <v>-1701</v>
      </c>
      <c r="P2017" s="6">
        <f t="shared" si="493"/>
        <v>0</v>
      </c>
      <c r="Q2017" s="7">
        <f t="shared" si="491"/>
        <v>3498243.350000001</v>
      </c>
      <c r="R2017" s="44" t="str">
        <f>VLOOKUP(F2017,'Set up'!$A$2:$E$70,5,FALSE)</f>
        <v>Trsf</v>
      </c>
      <c r="S2017" s="1" t="s">
        <v>2530</v>
      </c>
    </row>
    <row r="2018" spans="1:19" ht="15" customHeight="1" x14ac:dyDescent="0.3">
      <c r="A2018" s="4">
        <v>45160</v>
      </c>
      <c r="B2018" s="5">
        <f t="shared" si="486"/>
        <v>8</v>
      </c>
      <c r="C2018" s="5">
        <f t="shared" si="487"/>
        <v>2023</v>
      </c>
      <c r="D2018" s="88" t="s">
        <v>1825</v>
      </c>
      <c r="E2018" s="5" t="str">
        <f>VLOOKUP(F2018,'Set up'!$A$2:$C$70,2,FALSE)</f>
        <v>C00000020</v>
      </c>
      <c r="F2018" s="1" t="s">
        <v>409</v>
      </c>
      <c r="G2018" s="99" t="s">
        <v>778</v>
      </c>
      <c r="H2018" s="5">
        <v>1</v>
      </c>
      <c r="I2018" s="5" t="str">
        <f>VLOOKUP(F2018,'Set up'!$A$2:$C$70,3,FALSE)</f>
        <v>Cash</v>
      </c>
      <c r="J2018" s="5">
        <f>VLOOKUP(F2018,'Set up'!$A$2:$D$70,4,FALSE)</f>
        <v>0</v>
      </c>
      <c r="K2018" s="4">
        <f t="shared" si="488"/>
        <v>45160</v>
      </c>
      <c r="L2018" s="5">
        <f t="shared" si="489"/>
        <v>8</v>
      </c>
      <c r="M2018" s="5">
        <f t="shared" si="490"/>
        <v>2023</v>
      </c>
      <c r="N2018" s="96">
        <v>200</v>
      </c>
      <c r="O2018" s="6">
        <f>-N2018</f>
        <v>-200</v>
      </c>
      <c r="P2018" s="6">
        <f t="shared" si="493"/>
        <v>0</v>
      </c>
      <c r="Q2018" s="7">
        <f t="shared" si="491"/>
        <v>3498443.350000001</v>
      </c>
      <c r="R2018" s="44" t="str">
        <f>VLOOKUP(F2018,'Set up'!$A$2:$E$70,5,FALSE)</f>
        <v>Trsf</v>
      </c>
      <c r="S2018" s="1" t="s">
        <v>2531</v>
      </c>
    </row>
    <row r="2019" spans="1:19" ht="15" customHeight="1" x14ac:dyDescent="0.3">
      <c r="A2019" s="4">
        <v>45160</v>
      </c>
      <c r="B2019" s="5">
        <f t="shared" si="486"/>
        <v>8</v>
      </c>
      <c r="C2019" s="5">
        <f t="shared" si="487"/>
        <v>2023</v>
      </c>
      <c r="D2019" s="88" t="s">
        <v>1826</v>
      </c>
      <c r="E2019" s="5" t="str">
        <f>VLOOKUP(F2019,'Set up'!$A$2:$C$70,2,FALSE)</f>
        <v>C00000019</v>
      </c>
      <c r="F2019" s="1" t="s">
        <v>400</v>
      </c>
      <c r="G2019" s="99" t="s">
        <v>95</v>
      </c>
      <c r="H2019" s="5">
        <v>1</v>
      </c>
      <c r="I2019" s="5" t="str">
        <f>VLOOKUP(F2019,'Set up'!$A$2:$C$70,3,FALSE)</f>
        <v>Cash</v>
      </c>
      <c r="J2019" s="5">
        <f>VLOOKUP(F2019,'Set up'!$A$2:$D$70,4,FALSE)</f>
        <v>0</v>
      </c>
      <c r="K2019" s="4">
        <f t="shared" si="488"/>
        <v>45160</v>
      </c>
      <c r="L2019" s="5">
        <f t="shared" si="489"/>
        <v>8</v>
      </c>
      <c r="M2019" s="5">
        <f t="shared" si="490"/>
        <v>2023</v>
      </c>
      <c r="N2019" s="96">
        <v>1738</v>
      </c>
      <c r="O2019" s="6">
        <f>-945.8-792.2</f>
        <v>-1738</v>
      </c>
      <c r="P2019" s="6">
        <f t="shared" si="493"/>
        <v>0</v>
      </c>
      <c r="Q2019" s="7">
        <f t="shared" si="491"/>
        <v>3500181.350000001</v>
      </c>
      <c r="R2019" s="44" t="str">
        <f>VLOOKUP(F2019,'Set up'!$A$2:$E$70,5,FALSE)</f>
        <v>Trsf</v>
      </c>
      <c r="S2019" s="1" t="s">
        <v>2539</v>
      </c>
    </row>
    <row r="2020" spans="1:19" ht="15" customHeight="1" x14ac:dyDescent="0.3">
      <c r="A2020" s="4">
        <v>45161</v>
      </c>
      <c r="B2020" s="5">
        <f t="shared" si="486"/>
        <v>8</v>
      </c>
      <c r="C2020" s="5">
        <f t="shared" si="487"/>
        <v>2023</v>
      </c>
      <c r="D2020" s="88" t="s">
        <v>1827</v>
      </c>
      <c r="E2020" s="5" t="str">
        <f>VLOOKUP(F2020,'Set up'!$A$2:$C$70,2,FALSE)</f>
        <v>C00000034</v>
      </c>
      <c r="F2020" s="1" t="s">
        <v>1196</v>
      </c>
      <c r="G2020" s="11" t="s">
        <v>1356</v>
      </c>
      <c r="H2020" s="5">
        <v>1</v>
      </c>
      <c r="I2020" s="5" t="str">
        <f>VLOOKUP(F2020,'Set up'!$A$2:$C$70,3,FALSE)</f>
        <v>Cash</v>
      </c>
      <c r="J2020" s="5">
        <f>VLOOKUP(F2020,'Set up'!$A$2:$D$70,4,FALSE)</f>
        <v>0</v>
      </c>
      <c r="K2020" s="4">
        <f t="shared" si="488"/>
        <v>45161</v>
      </c>
      <c r="L2020" s="5">
        <f t="shared" si="489"/>
        <v>8</v>
      </c>
      <c r="M2020" s="5">
        <f t="shared" si="490"/>
        <v>2023</v>
      </c>
      <c r="N2020" s="96">
        <v>1738</v>
      </c>
      <c r="O2020" s="6">
        <f t="shared" ref="O2020:O2028" si="496">-N2020</f>
        <v>-1738</v>
      </c>
      <c r="P2020" s="6">
        <f t="shared" si="493"/>
        <v>0</v>
      </c>
      <c r="Q2020" s="7">
        <f t="shared" si="491"/>
        <v>3501919.350000001</v>
      </c>
      <c r="R2020" s="44" t="str">
        <f>VLOOKUP(F2020,'Set up'!$A$2:$E$70,5,FALSE)</f>
        <v>Trsf</v>
      </c>
      <c r="S2020" s="1" t="s">
        <v>1952</v>
      </c>
    </row>
    <row r="2021" spans="1:19" ht="15" customHeight="1" x14ac:dyDescent="0.3">
      <c r="A2021" s="4">
        <v>45162</v>
      </c>
      <c r="B2021" s="5">
        <f t="shared" si="486"/>
        <v>8</v>
      </c>
      <c r="C2021" s="5">
        <f t="shared" si="487"/>
        <v>2023</v>
      </c>
      <c r="D2021" s="88" t="s">
        <v>1828</v>
      </c>
      <c r="E2021" s="5" t="str">
        <f>VLOOKUP(F2021,'Set up'!$A$2:$C$70,2,FALSE)</f>
        <v>C00000034</v>
      </c>
      <c r="F2021" s="1" t="s">
        <v>1196</v>
      </c>
      <c r="G2021" s="99" t="s">
        <v>1356</v>
      </c>
      <c r="H2021" s="5">
        <v>1</v>
      </c>
      <c r="I2021" s="5" t="str">
        <f>VLOOKUP(F2021,'Set up'!$A$2:$C$70,3,FALSE)</f>
        <v>Cash</v>
      </c>
      <c r="J2021" s="5">
        <f>VLOOKUP(F2021,'Set up'!$A$2:$D$70,4,FALSE)</f>
        <v>0</v>
      </c>
      <c r="K2021" s="4">
        <f t="shared" si="488"/>
        <v>45162</v>
      </c>
      <c r="L2021" s="5">
        <f t="shared" si="489"/>
        <v>8</v>
      </c>
      <c r="M2021" s="5">
        <f t="shared" si="490"/>
        <v>2023</v>
      </c>
      <c r="N2021" s="96">
        <v>1738</v>
      </c>
      <c r="O2021" s="6">
        <f t="shared" si="496"/>
        <v>-1738</v>
      </c>
      <c r="P2021" s="6">
        <f t="shared" si="493"/>
        <v>0</v>
      </c>
      <c r="Q2021" s="7">
        <f t="shared" si="491"/>
        <v>3503657.350000001</v>
      </c>
      <c r="R2021" s="44" t="str">
        <f>VLOOKUP(F2021,'Set up'!$A$2:$E$70,5,FALSE)</f>
        <v>Trsf</v>
      </c>
      <c r="S2021" s="1" t="s">
        <v>1953</v>
      </c>
    </row>
    <row r="2022" spans="1:19" ht="15" customHeight="1" x14ac:dyDescent="0.3">
      <c r="A2022" s="4">
        <v>45162</v>
      </c>
      <c r="B2022" s="5">
        <f t="shared" si="486"/>
        <v>8</v>
      </c>
      <c r="C2022" s="5">
        <f t="shared" si="487"/>
        <v>2023</v>
      </c>
      <c r="D2022" s="88" t="s">
        <v>1828</v>
      </c>
      <c r="E2022" s="5" t="str">
        <f>VLOOKUP(F2022,'Set up'!$A$2:$C$70,2,FALSE)</f>
        <v>C00000034</v>
      </c>
      <c r="F2022" s="1" t="s">
        <v>1196</v>
      </c>
      <c r="G2022" s="99" t="s">
        <v>1817</v>
      </c>
      <c r="H2022" s="5">
        <v>2</v>
      </c>
      <c r="I2022" s="5" t="str">
        <f>VLOOKUP(F2022,'Set up'!$A$2:$C$70,3,FALSE)</f>
        <v>Cash</v>
      </c>
      <c r="J2022" s="5">
        <f>VLOOKUP(F2022,'Set up'!$A$2:$D$70,4,FALSE)</f>
        <v>0</v>
      </c>
      <c r="K2022" s="4">
        <f t="shared" si="488"/>
        <v>45162</v>
      </c>
      <c r="L2022" s="5">
        <f t="shared" si="489"/>
        <v>8</v>
      </c>
      <c r="M2022" s="5">
        <f t="shared" si="490"/>
        <v>2023</v>
      </c>
      <c r="N2022" s="96">
        <v>472</v>
      </c>
      <c r="O2022" s="6">
        <f t="shared" si="496"/>
        <v>-472</v>
      </c>
      <c r="P2022" s="6">
        <f t="shared" si="493"/>
        <v>0</v>
      </c>
      <c r="Q2022" s="7">
        <f t="shared" si="491"/>
        <v>3504129.350000001</v>
      </c>
      <c r="R2022" s="44" t="str">
        <f>VLOOKUP(F2022,'Set up'!$A$2:$E$70,5,FALSE)</f>
        <v>Trsf</v>
      </c>
      <c r="S2022" s="1" t="s">
        <v>1954</v>
      </c>
    </row>
    <row r="2023" spans="1:19" ht="15" customHeight="1" x14ac:dyDescent="0.3">
      <c r="A2023" s="4">
        <v>45163</v>
      </c>
      <c r="B2023" s="5">
        <f t="shared" si="486"/>
        <v>8</v>
      </c>
      <c r="C2023" s="5">
        <f t="shared" si="487"/>
        <v>2023</v>
      </c>
      <c r="D2023" s="88" t="s">
        <v>1829</v>
      </c>
      <c r="E2023" s="5" t="str">
        <f>VLOOKUP(F2023,'Set up'!$A$2:$C$70,2,FALSE)</f>
        <v>C00000021</v>
      </c>
      <c r="F2023" s="1" t="s">
        <v>491</v>
      </c>
      <c r="G2023" s="99" t="s">
        <v>716</v>
      </c>
      <c r="H2023" s="5">
        <v>1</v>
      </c>
      <c r="I2023" s="5" t="str">
        <f>VLOOKUP(F2023,'Set up'!$A$2:$C$70,3,FALSE)</f>
        <v>Cash</v>
      </c>
      <c r="J2023" s="5">
        <f>VLOOKUP(F2023,'Set up'!$A$2:$D$70,4,FALSE)</f>
        <v>0</v>
      </c>
      <c r="K2023" s="4">
        <f t="shared" si="488"/>
        <v>45163</v>
      </c>
      <c r="L2023" s="5">
        <f t="shared" si="489"/>
        <v>8</v>
      </c>
      <c r="M2023" s="5">
        <f t="shared" si="490"/>
        <v>2023</v>
      </c>
      <c r="N2023" s="96">
        <v>1738</v>
      </c>
      <c r="O2023" s="6">
        <f t="shared" si="496"/>
        <v>-1738</v>
      </c>
      <c r="P2023" s="6">
        <f t="shared" si="493"/>
        <v>0</v>
      </c>
      <c r="Q2023" s="7">
        <f t="shared" si="491"/>
        <v>3505867.350000001</v>
      </c>
      <c r="R2023" s="44" t="str">
        <f>VLOOKUP(F2023,'Set up'!$A$2:$E$70,5,FALSE)</f>
        <v>PD Chq</v>
      </c>
      <c r="S2023" s="1" t="s">
        <v>1979</v>
      </c>
    </row>
    <row r="2024" spans="1:19" ht="15" customHeight="1" x14ac:dyDescent="0.3">
      <c r="A2024" s="4">
        <v>45163</v>
      </c>
      <c r="B2024" s="5">
        <f t="shared" si="486"/>
        <v>8</v>
      </c>
      <c r="C2024" s="5">
        <f t="shared" si="487"/>
        <v>2023</v>
      </c>
      <c r="D2024" s="88" t="s">
        <v>1829</v>
      </c>
      <c r="E2024" s="5" t="str">
        <f>VLOOKUP(F2024,'Set up'!$A$2:$C$70,2,FALSE)</f>
        <v>C00000021</v>
      </c>
      <c r="F2024" s="1" t="s">
        <v>491</v>
      </c>
      <c r="G2024" s="99" t="s">
        <v>654</v>
      </c>
      <c r="H2024" s="5">
        <v>3</v>
      </c>
      <c r="I2024" s="5" t="str">
        <f>VLOOKUP(F2024,'Set up'!$A$2:$C$70,3,FALSE)</f>
        <v>Cash</v>
      </c>
      <c r="J2024" s="5">
        <f>VLOOKUP(F2024,'Set up'!$A$2:$D$70,4,FALSE)</f>
        <v>0</v>
      </c>
      <c r="K2024" s="4">
        <f t="shared" si="488"/>
        <v>45163</v>
      </c>
      <c r="L2024" s="5">
        <f t="shared" si="489"/>
        <v>8</v>
      </c>
      <c r="M2024" s="5">
        <f t="shared" si="490"/>
        <v>2023</v>
      </c>
      <c r="N2024" s="96">
        <v>702</v>
      </c>
      <c r="O2024" s="6">
        <f t="shared" si="496"/>
        <v>-702</v>
      </c>
      <c r="P2024" s="6">
        <f t="shared" si="493"/>
        <v>0</v>
      </c>
      <c r="Q2024" s="7">
        <f t="shared" si="491"/>
        <v>3506569.350000001</v>
      </c>
      <c r="R2024" s="44" t="str">
        <f>VLOOKUP(F2024,'Set up'!$A$2:$E$70,5,FALSE)</f>
        <v>PD Chq</v>
      </c>
      <c r="S2024" s="1" t="s">
        <v>1979</v>
      </c>
    </row>
    <row r="2025" spans="1:19" ht="15" customHeight="1" x14ac:dyDescent="0.3">
      <c r="A2025" s="4">
        <v>45163</v>
      </c>
      <c r="B2025" s="5">
        <f t="shared" si="486"/>
        <v>8</v>
      </c>
      <c r="C2025" s="5">
        <f t="shared" si="487"/>
        <v>2023</v>
      </c>
      <c r="D2025" s="88" t="s">
        <v>1829</v>
      </c>
      <c r="E2025" s="5" t="str">
        <f>VLOOKUP(F2025,'Set up'!$A$2:$C$70,2,FALSE)</f>
        <v>C00000021</v>
      </c>
      <c r="F2025" s="1" t="s">
        <v>491</v>
      </c>
      <c r="G2025" s="99" t="s">
        <v>1061</v>
      </c>
      <c r="H2025" s="5">
        <v>1</v>
      </c>
      <c r="I2025" s="5" t="str">
        <f>VLOOKUP(F2025,'Set up'!$A$2:$C$70,3,FALSE)</f>
        <v>Cash</v>
      </c>
      <c r="J2025" s="5">
        <f>VLOOKUP(F2025,'Set up'!$A$2:$D$70,4,FALSE)</f>
        <v>0</v>
      </c>
      <c r="K2025" s="4">
        <f t="shared" si="488"/>
        <v>45163</v>
      </c>
      <c r="L2025" s="5">
        <f t="shared" si="489"/>
        <v>8</v>
      </c>
      <c r="M2025" s="5">
        <f t="shared" si="490"/>
        <v>2023</v>
      </c>
      <c r="N2025" s="96">
        <v>95</v>
      </c>
      <c r="O2025" s="6">
        <f t="shared" si="496"/>
        <v>-95</v>
      </c>
      <c r="P2025" s="6">
        <f t="shared" si="493"/>
        <v>0</v>
      </c>
      <c r="Q2025" s="7">
        <f t="shared" si="491"/>
        <v>3506664.350000001</v>
      </c>
      <c r="R2025" s="44" t="str">
        <f>VLOOKUP(F2025,'Set up'!$A$2:$E$70,5,FALSE)</f>
        <v>PD Chq</v>
      </c>
      <c r="S2025" s="1" t="s">
        <v>1979</v>
      </c>
    </row>
    <row r="2026" spans="1:19" ht="15" customHeight="1" x14ac:dyDescent="0.3">
      <c r="A2026" s="4">
        <v>45163</v>
      </c>
      <c r="B2026" s="5">
        <f t="shared" si="486"/>
        <v>8</v>
      </c>
      <c r="C2026" s="5">
        <f t="shared" si="487"/>
        <v>2023</v>
      </c>
      <c r="D2026" s="88" t="s">
        <v>1829</v>
      </c>
      <c r="E2026" s="5" t="str">
        <f>VLOOKUP(F2026,'Set up'!$A$2:$C$70,2,FALSE)</f>
        <v>C00000021</v>
      </c>
      <c r="F2026" s="1" t="s">
        <v>491</v>
      </c>
      <c r="G2026" s="99" t="s">
        <v>1110</v>
      </c>
      <c r="H2026" s="5">
        <v>5</v>
      </c>
      <c r="I2026" s="5" t="str">
        <f>VLOOKUP(F2026,'Set up'!$A$2:$C$70,3,FALSE)</f>
        <v>Cash</v>
      </c>
      <c r="J2026" s="5">
        <f>VLOOKUP(F2026,'Set up'!$A$2:$D$70,4,FALSE)</f>
        <v>0</v>
      </c>
      <c r="K2026" s="4">
        <f t="shared" si="488"/>
        <v>45163</v>
      </c>
      <c r="L2026" s="5">
        <f t="shared" si="489"/>
        <v>8</v>
      </c>
      <c r="M2026" s="5">
        <f t="shared" si="490"/>
        <v>2023</v>
      </c>
      <c r="N2026" s="96">
        <v>312.5</v>
      </c>
      <c r="O2026" s="6">
        <f t="shared" si="496"/>
        <v>-312.5</v>
      </c>
      <c r="P2026" s="6">
        <f t="shared" si="493"/>
        <v>0</v>
      </c>
      <c r="Q2026" s="7">
        <f t="shared" si="491"/>
        <v>3506976.850000001</v>
      </c>
      <c r="R2026" s="44" t="str">
        <f>VLOOKUP(F2026,'Set up'!$A$2:$E$70,5,FALSE)</f>
        <v>PD Chq</v>
      </c>
      <c r="S2026" s="1" t="s">
        <v>1979</v>
      </c>
    </row>
    <row r="2027" spans="1:19" ht="15" customHeight="1" x14ac:dyDescent="0.3">
      <c r="A2027" s="4">
        <v>45164</v>
      </c>
      <c r="B2027" s="5">
        <f t="shared" si="486"/>
        <v>8</v>
      </c>
      <c r="C2027" s="5">
        <f t="shared" si="487"/>
        <v>2023</v>
      </c>
      <c r="D2027" s="88" t="s">
        <v>1830</v>
      </c>
      <c r="E2027" s="5" t="str">
        <f>VLOOKUP(F2027,'Set up'!$A$2:$C$70,2,FALSE)</f>
        <v>C00000019</v>
      </c>
      <c r="F2027" s="1" t="s">
        <v>400</v>
      </c>
      <c r="G2027" s="99" t="s">
        <v>1411</v>
      </c>
      <c r="H2027" s="5">
        <v>1</v>
      </c>
      <c r="I2027" s="5" t="str">
        <f>VLOOKUP(F2027,'Set up'!$A$2:$C$70,3,FALSE)</f>
        <v>Cash</v>
      </c>
      <c r="J2027" s="5">
        <f>VLOOKUP(F2027,'Set up'!$A$2:$D$70,4,FALSE)</f>
        <v>0</v>
      </c>
      <c r="K2027" s="4">
        <f t="shared" si="488"/>
        <v>45164</v>
      </c>
      <c r="L2027" s="5">
        <f t="shared" si="489"/>
        <v>8</v>
      </c>
      <c r="M2027" s="5">
        <f t="shared" si="490"/>
        <v>2023</v>
      </c>
      <c r="N2027" s="96">
        <v>421.2</v>
      </c>
      <c r="O2027" s="6">
        <f t="shared" si="496"/>
        <v>-421.2</v>
      </c>
      <c r="P2027" s="6">
        <f t="shared" si="493"/>
        <v>0</v>
      </c>
      <c r="Q2027" s="7">
        <f t="shared" si="491"/>
        <v>3507398.0500000012</v>
      </c>
      <c r="R2027" s="44" t="str">
        <f>VLOOKUP(F2027,'Set up'!$A$2:$E$70,5,FALSE)</f>
        <v>Trsf</v>
      </c>
      <c r="S2027" s="1" t="s">
        <v>2540</v>
      </c>
    </row>
    <row r="2028" spans="1:19" ht="15" customHeight="1" x14ac:dyDescent="0.3">
      <c r="A2028" s="4">
        <v>45164</v>
      </c>
      <c r="B2028" s="5">
        <f t="shared" si="486"/>
        <v>8</v>
      </c>
      <c r="C2028" s="5">
        <f t="shared" si="487"/>
        <v>2023</v>
      </c>
      <c r="D2028" s="88" t="s">
        <v>1830</v>
      </c>
      <c r="E2028" s="5" t="str">
        <f>VLOOKUP(F2028,'Set up'!$A$2:$C$70,2,FALSE)</f>
        <v>C00000019</v>
      </c>
      <c r="F2028" s="1" t="s">
        <v>400</v>
      </c>
      <c r="G2028" s="99" t="s">
        <v>1469</v>
      </c>
      <c r="H2028" s="5">
        <v>1</v>
      </c>
      <c r="I2028" s="5" t="str">
        <f>VLOOKUP(F2028,'Set up'!$A$2:$C$70,3,FALSE)</f>
        <v>Cash</v>
      </c>
      <c r="J2028" s="5">
        <f>VLOOKUP(F2028,'Set up'!$A$2:$D$70,4,FALSE)</f>
        <v>0</v>
      </c>
      <c r="K2028" s="4">
        <f t="shared" si="488"/>
        <v>45164</v>
      </c>
      <c r="L2028" s="5">
        <f t="shared" si="489"/>
        <v>8</v>
      </c>
      <c r="M2028" s="5">
        <f t="shared" si="490"/>
        <v>2023</v>
      </c>
      <c r="N2028" s="96">
        <v>390</v>
      </c>
      <c r="O2028" s="6">
        <f t="shared" si="496"/>
        <v>-390</v>
      </c>
      <c r="P2028" s="6">
        <f t="shared" si="493"/>
        <v>0</v>
      </c>
      <c r="Q2028" s="7">
        <f t="shared" si="491"/>
        <v>3507788.0500000012</v>
      </c>
      <c r="R2028" s="44" t="str">
        <f>VLOOKUP(F2028,'Set up'!$A$2:$E$70,5,FALSE)</f>
        <v>Trsf</v>
      </c>
      <c r="S2028" s="1" t="s">
        <v>2541</v>
      </c>
    </row>
    <row r="2029" spans="1:19" ht="15" customHeight="1" x14ac:dyDescent="0.3">
      <c r="A2029" s="4">
        <v>45166</v>
      </c>
      <c r="B2029" s="5">
        <f t="shared" si="486"/>
        <v>8</v>
      </c>
      <c r="C2029" s="5">
        <f t="shared" si="487"/>
        <v>2023</v>
      </c>
      <c r="D2029" s="88" t="s">
        <v>1832</v>
      </c>
      <c r="E2029" s="5" t="str">
        <f>VLOOKUP(F2029,'Set up'!$A$2:$C$70,2,FALSE)</f>
        <v>C00000034</v>
      </c>
      <c r="F2029" s="1" t="s">
        <v>1196</v>
      </c>
      <c r="G2029" s="99" t="s">
        <v>1197</v>
      </c>
      <c r="H2029" s="5">
        <v>2</v>
      </c>
      <c r="I2029" s="5" t="str">
        <f>VLOOKUP(F2029,'Set up'!$A$2:$C$70,3,FALSE)</f>
        <v>Cash</v>
      </c>
      <c r="J2029" s="5">
        <f>VLOOKUP(F2029,'Set up'!$A$2:$D$70,4,FALSE)</f>
        <v>0</v>
      </c>
      <c r="K2029" s="4">
        <f t="shared" si="488"/>
        <v>45166</v>
      </c>
      <c r="L2029" s="5">
        <f t="shared" si="489"/>
        <v>8</v>
      </c>
      <c r="M2029" s="5">
        <f t="shared" si="490"/>
        <v>2023</v>
      </c>
      <c r="N2029" s="96">
        <v>3476</v>
      </c>
      <c r="O2029" s="6">
        <f t="shared" ref="O2029:O2037" si="497">-N2029</f>
        <v>-3476</v>
      </c>
      <c r="P2029" s="6">
        <f t="shared" si="493"/>
        <v>0</v>
      </c>
      <c r="Q2029" s="7">
        <f t="shared" si="491"/>
        <v>3511264.0500000012</v>
      </c>
      <c r="R2029" s="44" t="str">
        <f>VLOOKUP(F2029,'Set up'!$A$2:$E$70,5,FALSE)</f>
        <v>Trsf</v>
      </c>
      <c r="S2029" s="1" t="s">
        <v>1955</v>
      </c>
    </row>
    <row r="2030" spans="1:19" ht="15" customHeight="1" x14ac:dyDescent="0.3">
      <c r="A2030" s="4">
        <v>45166</v>
      </c>
      <c r="B2030" s="5">
        <f t="shared" si="486"/>
        <v>8</v>
      </c>
      <c r="C2030" s="5">
        <f t="shared" si="487"/>
        <v>2023</v>
      </c>
      <c r="D2030" s="88" t="s">
        <v>1832</v>
      </c>
      <c r="E2030" s="5" t="str">
        <f>VLOOKUP(F2030,'Set up'!$A$2:$C$70,2,FALSE)</f>
        <v>C00000034</v>
      </c>
      <c r="F2030" s="1" t="s">
        <v>1196</v>
      </c>
      <c r="G2030" s="99" t="s">
        <v>1831</v>
      </c>
      <c r="H2030" s="5">
        <v>2</v>
      </c>
      <c r="I2030" s="5" t="str">
        <f>VLOOKUP(F2030,'Set up'!$A$2:$C$70,3,FALSE)</f>
        <v>Cash</v>
      </c>
      <c r="J2030" s="5">
        <f>VLOOKUP(F2030,'Set up'!$A$2:$D$70,4,FALSE)</f>
        <v>0</v>
      </c>
      <c r="K2030" s="4">
        <f t="shared" si="488"/>
        <v>45166</v>
      </c>
      <c r="L2030" s="5">
        <f t="shared" si="489"/>
        <v>8</v>
      </c>
      <c r="M2030" s="5">
        <f t="shared" si="490"/>
        <v>2023</v>
      </c>
      <c r="N2030" s="96">
        <v>438</v>
      </c>
      <c r="O2030" s="6">
        <f t="shared" si="497"/>
        <v>-438</v>
      </c>
      <c r="P2030" s="6">
        <f t="shared" ref="P2030:P2093" si="498">SUM(N2030+O2030)</f>
        <v>0</v>
      </c>
      <c r="Q2030" s="7">
        <f t="shared" si="491"/>
        <v>3511702.0500000012</v>
      </c>
      <c r="R2030" s="44" t="str">
        <f>VLOOKUP(F2030,'Set up'!$A$2:$E$70,5,FALSE)</f>
        <v>Trsf</v>
      </c>
      <c r="S2030" s="1" t="s">
        <v>1956</v>
      </c>
    </row>
    <row r="2031" spans="1:19" ht="15" customHeight="1" x14ac:dyDescent="0.3">
      <c r="A2031" s="4">
        <v>45166</v>
      </c>
      <c r="B2031" s="5">
        <f t="shared" si="486"/>
        <v>8</v>
      </c>
      <c r="C2031" s="5">
        <f t="shared" si="487"/>
        <v>2023</v>
      </c>
      <c r="D2031" s="88" t="s">
        <v>1832</v>
      </c>
      <c r="E2031" s="5" t="str">
        <f>VLOOKUP(F2031,'Set up'!$A$2:$C$70,2,FALSE)</f>
        <v>C00000034</v>
      </c>
      <c r="F2031" s="1" t="s">
        <v>1196</v>
      </c>
      <c r="G2031" s="99" t="s">
        <v>1817</v>
      </c>
      <c r="H2031" s="5">
        <v>2</v>
      </c>
      <c r="I2031" s="5" t="str">
        <f>VLOOKUP(F2031,'Set up'!$A$2:$C$70,3,FALSE)</f>
        <v>Cash</v>
      </c>
      <c r="J2031" s="5">
        <f>VLOOKUP(F2031,'Set up'!$A$2:$D$70,4,FALSE)</f>
        <v>0</v>
      </c>
      <c r="K2031" s="4">
        <f t="shared" si="488"/>
        <v>45166</v>
      </c>
      <c r="L2031" s="5">
        <f t="shared" si="489"/>
        <v>8</v>
      </c>
      <c r="M2031" s="5">
        <f t="shared" si="490"/>
        <v>2023</v>
      </c>
      <c r="N2031" s="96">
        <v>472</v>
      </c>
      <c r="O2031" s="6">
        <f t="shared" si="497"/>
        <v>-472</v>
      </c>
      <c r="P2031" s="6">
        <f t="shared" si="498"/>
        <v>0</v>
      </c>
      <c r="Q2031" s="7">
        <f t="shared" si="491"/>
        <v>3512174.0500000012</v>
      </c>
      <c r="R2031" s="44" t="str">
        <f>VLOOKUP(F2031,'Set up'!$A$2:$E$70,5,FALSE)</f>
        <v>Trsf</v>
      </c>
      <c r="S2031" s="1" t="s">
        <v>1957</v>
      </c>
    </row>
    <row r="2032" spans="1:19" ht="15" customHeight="1" x14ac:dyDescent="0.3">
      <c r="A2032" s="4">
        <v>45166</v>
      </c>
      <c r="B2032" s="5">
        <f t="shared" si="486"/>
        <v>8</v>
      </c>
      <c r="C2032" s="5">
        <f t="shared" si="487"/>
        <v>2023</v>
      </c>
      <c r="D2032" s="88" t="s">
        <v>1832</v>
      </c>
      <c r="E2032" s="5" t="str">
        <f>VLOOKUP(F2032,'Set up'!$A$2:$C$70,2,FALSE)</f>
        <v>C00000034</v>
      </c>
      <c r="F2032" s="1" t="s">
        <v>1196</v>
      </c>
      <c r="G2032" s="99" t="s">
        <v>1061</v>
      </c>
      <c r="H2032" s="5">
        <v>2</v>
      </c>
      <c r="I2032" s="5" t="str">
        <f>VLOOKUP(F2032,'Set up'!$A$2:$C$70,3,FALSE)</f>
        <v>Cash</v>
      </c>
      <c r="J2032" s="5">
        <f>VLOOKUP(F2032,'Set up'!$A$2:$D$70,4,FALSE)</f>
        <v>0</v>
      </c>
      <c r="K2032" s="4">
        <f t="shared" si="488"/>
        <v>45166</v>
      </c>
      <c r="L2032" s="5">
        <f t="shared" si="489"/>
        <v>8</v>
      </c>
      <c r="M2032" s="5">
        <f t="shared" si="490"/>
        <v>2023</v>
      </c>
      <c r="N2032" s="96">
        <v>190</v>
      </c>
      <c r="O2032" s="6">
        <f t="shared" si="497"/>
        <v>-190</v>
      </c>
      <c r="P2032" s="6">
        <f t="shared" si="498"/>
        <v>0</v>
      </c>
      <c r="Q2032" s="7">
        <f t="shared" si="491"/>
        <v>3512364.0500000012</v>
      </c>
      <c r="R2032" s="44" t="str">
        <f>VLOOKUP(F2032,'Set up'!$A$2:$E$70,5,FALSE)</f>
        <v>Trsf</v>
      </c>
      <c r="S2032" s="1" t="s">
        <v>1958</v>
      </c>
    </row>
    <row r="2033" spans="1:19" ht="15" customHeight="1" x14ac:dyDescent="0.3">
      <c r="A2033" s="4">
        <v>45166</v>
      </c>
      <c r="B2033" s="5">
        <f t="shared" si="486"/>
        <v>8</v>
      </c>
      <c r="C2033" s="5">
        <f t="shared" si="487"/>
        <v>2023</v>
      </c>
      <c r="D2033" s="88" t="s">
        <v>1832</v>
      </c>
      <c r="E2033" s="5" t="str">
        <f>VLOOKUP(F2033,'Set up'!$A$2:$C$70,2,FALSE)</f>
        <v>C00000034</v>
      </c>
      <c r="F2033" s="1" t="s">
        <v>1196</v>
      </c>
      <c r="G2033" s="99" t="s">
        <v>1110</v>
      </c>
      <c r="H2033" s="5">
        <v>2</v>
      </c>
      <c r="I2033" s="5" t="str">
        <f>VLOOKUP(F2033,'Set up'!$A$2:$C$70,3,FALSE)</f>
        <v>Cash</v>
      </c>
      <c r="J2033" s="5">
        <f>VLOOKUP(F2033,'Set up'!$A$2:$D$70,4,FALSE)</f>
        <v>0</v>
      </c>
      <c r="K2033" s="4">
        <f t="shared" si="488"/>
        <v>45166</v>
      </c>
      <c r="L2033" s="5">
        <f t="shared" si="489"/>
        <v>8</v>
      </c>
      <c r="M2033" s="5">
        <f t="shared" si="490"/>
        <v>2023</v>
      </c>
      <c r="N2033" s="96">
        <v>125</v>
      </c>
      <c r="O2033" s="6">
        <f t="shared" si="497"/>
        <v>-125</v>
      </c>
      <c r="P2033" s="6">
        <f t="shared" si="498"/>
        <v>0</v>
      </c>
      <c r="Q2033" s="7">
        <f t="shared" si="491"/>
        <v>3512489.0500000012</v>
      </c>
      <c r="R2033" s="44" t="str">
        <f>VLOOKUP(F2033,'Set up'!$A$2:$E$70,5,FALSE)</f>
        <v>Trsf</v>
      </c>
      <c r="S2033" s="1" t="s">
        <v>1959</v>
      </c>
    </row>
    <row r="2034" spans="1:19" ht="15" customHeight="1" x14ac:dyDescent="0.3">
      <c r="A2034" s="4">
        <v>45166</v>
      </c>
      <c r="B2034" s="5">
        <f t="shared" si="486"/>
        <v>8</v>
      </c>
      <c r="C2034" s="5">
        <f t="shared" si="487"/>
        <v>2023</v>
      </c>
      <c r="D2034" s="88" t="s">
        <v>1832</v>
      </c>
      <c r="E2034" s="5" t="str">
        <f>VLOOKUP(F2034,'Set up'!$A$2:$C$70,2,FALSE)</f>
        <v>C00000034</v>
      </c>
      <c r="F2034" s="1" t="s">
        <v>1196</v>
      </c>
      <c r="G2034" s="99" t="s">
        <v>944</v>
      </c>
      <c r="H2034" s="5">
        <v>1</v>
      </c>
      <c r="I2034" s="5" t="str">
        <f>VLOOKUP(F2034,'Set up'!$A$2:$C$70,3,FALSE)</f>
        <v>Cash</v>
      </c>
      <c r="J2034" s="5">
        <f>VLOOKUP(F2034,'Set up'!$A$2:$D$70,4,FALSE)</f>
        <v>0</v>
      </c>
      <c r="K2034" s="4">
        <f t="shared" si="488"/>
        <v>45166</v>
      </c>
      <c r="L2034" s="5">
        <f t="shared" si="489"/>
        <v>8</v>
      </c>
      <c r="M2034" s="5">
        <f t="shared" si="490"/>
        <v>2023</v>
      </c>
      <c r="N2034" s="96">
        <v>420</v>
      </c>
      <c r="O2034" s="6">
        <f t="shared" si="497"/>
        <v>-420</v>
      </c>
      <c r="P2034" s="6">
        <f t="shared" si="498"/>
        <v>0</v>
      </c>
      <c r="Q2034" s="7">
        <f t="shared" si="491"/>
        <v>3512909.0500000012</v>
      </c>
      <c r="R2034" s="44" t="str">
        <f>VLOOKUP(F2034,'Set up'!$A$2:$E$70,5,FALSE)</f>
        <v>Trsf</v>
      </c>
      <c r="S2034" s="1" t="s">
        <v>1960</v>
      </c>
    </row>
    <row r="2035" spans="1:19" ht="15" customHeight="1" x14ac:dyDescent="0.3">
      <c r="A2035" s="4">
        <v>45166</v>
      </c>
      <c r="B2035" s="5">
        <f t="shared" si="486"/>
        <v>8</v>
      </c>
      <c r="C2035" s="5">
        <f t="shared" si="487"/>
        <v>2023</v>
      </c>
      <c r="D2035" s="88" t="s">
        <v>1832</v>
      </c>
      <c r="E2035" s="5" t="str">
        <f>VLOOKUP(F2035,'Set up'!$A$2:$C$70,2,FALSE)</f>
        <v>C00000034</v>
      </c>
      <c r="F2035" s="1" t="s">
        <v>1196</v>
      </c>
      <c r="G2035" s="99" t="s">
        <v>1818</v>
      </c>
      <c r="H2035" s="5">
        <v>1</v>
      </c>
      <c r="I2035" s="5" t="str">
        <f>VLOOKUP(F2035,'Set up'!$A$2:$C$70,3,FALSE)</f>
        <v>Cash</v>
      </c>
      <c r="J2035" s="5">
        <f>VLOOKUP(F2035,'Set up'!$A$2:$D$70,4,FALSE)</f>
        <v>0</v>
      </c>
      <c r="K2035" s="4">
        <f t="shared" si="488"/>
        <v>45166</v>
      </c>
      <c r="L2035" s="5">
        <f t="shared" si="489"/>
        <v>8</v>
      </c>
      <c r="M2035" s="5">
        <f t="shared" si="490"/>
        <v>2023</v>
      </c>
      <c r="N2035" s="96">
        <v>160</v>
      </c>
      <c r="O2035" s="6">
        <f t="shared" si="497"/>
        <v>-160</v>
      </c>
      <c r="P2035" s="6">
        <f t="shared" si="498"/>
        <v>0</v>
      </c>
      <c r="Q2035" s="7">
        <f t="shared" si="491"/>
        <v>3513069.0500000012</v>
      </c>
      <c r="R2035" s="44" t="str">
        <f>VLOOKUP(F2035,'Set up'!$A$2:$E$70,5,FALSE)</f>
        <v>Trsf</v>
      </c>
      <c r="S2035" s="1" t="s">
        <v>1961</v>
      </c>
    </row>
    <row r="2036" spans="1:19" ht="15" customHeight="1" x14ac:dyDescent="0.3">
      <c r="A2036" s="4">
        <v>45166</v>
      </c>
      <c r="B2036" s="5">
        <f t="shared" si="486"/>
        <v>8</v>
      </c>
      <c r="C2036" s="5">
        <f t="shared" si="487"/>
        <v>2023</v>
      </c>
      <c r="D2036" s="88" t="s">
        <v>1832</v>
      </c>
      <c r="E2036" s="5" t="str">
        <f>VLOOKUP(F2036,'Set up'!$A$2:$C$70,2,FALSE)</f>
        <v>C00000034</v>
      </c>
      <c r="F2036" s="1" t="s">
        <v>1196</v>
      </c>
      <c r="G2036" s="99" t="s">
        <v>1405</v>
      </c>
      <c r="H2036" s="5">
        <v>2</v>
      </c>
      <c r="I2036" s="5" t="str">
        <f>VLOOKUP(F2036,'Set up'!$A$2:$C$70,3,FALSE)</f>
        <v>Cash</v>
      </c>
      <c r="J2036" s="5">
        <f>VLOOKUP(F2036,'Set up'!$A$2:$D$70,4,FALSE)</f>
        <v>0</v>
      </c>
      <c r="K2036" s="4">
        <f t="shared" si="488"/>
        <v>45166</v>
      </c>
      <c r="L2036" s="5">
        <f t="shared" si="489"/>
        <v>8</v>
      </c>
      <c r="M2036" s="5">
        <f t="shared" si="490"/>
        <v>2023</v>
      </c>
      <c r="N2036" s="96">
        <v>100</v>
      </c>
      <c r="O2036" s="6">
        <f t="shared" si="497"/>
        <v>-100</v>
      </c>
      <c r="P2036" s="6">
        <f t="shared" si="498"/>
        <v>0</v>
      </c>
      <c r="Q2036" s="7">
        <f t="shared" si="491"/>
        <v>3513169.0500000012</v>
      </c>
      <c r="R2036" s="44" t="str">
        <f>VLOOKUP(F2036,'Set up'!$A$2:$E$70,5,FALSE)</f>
        <v>Trsf</v>
      </c>
      <c r="S2036" s="1" t="s">
        <v>1962</v>
      </c>
    </row>
    <row r="2037" spans="1:19" ht="15" customHeight="1" x14ac:dyDescent="0.3">
      <c r="A2037" s="4">
        <v>45166</v>
      </c>
      <c r="B2037" s="5">
        <f t="shared" si="486"/>
        <v>8</v>
      </c>
      <c r="C2037" s="5">
        <f t="shared" si="487"/>
        <v>2023</v>
      </c>
      <c r="D2037" s="88" t="s">
        <v>1832</v>
      </c>
      <c r="E2037" s="5" t="str">
        <f>VLOOKUP(F2037,'Set up'!$A$2:$C$70,2,FALSE)</f>
        <v>C00000034</v>
      </c>
      <c r="F2037" s="1" t="s">
        <v>1196</v>
      </c>
      <c r="G2037" s="99" t="s">
        <v>1242</v>
      </c>
      <c r="H2037" s="5">
        <v>16</v>
      </c>
      <c r="I2037" s="5" t="str">
        <f>VLOOKUP(F2037,'Set up'!$A$2:$C$70,3,FALSE)</f>
        <v>Cash</v>
      </c>
      <c r="J2037" s="5">
        <f>VLOOKUP(F2037,'Set up'!$A$2:$D$70,4,FALSE)</f>
        <v>0</v>
      </c>
      <c r="K2037" s="4">
        <f t="shared" si="488"/>
        <v>45166</v>
      </c>
      <c r="L2037" s="5">
        <f t="shared" si="489"/>
        <v>8</v>
      </c>
      <c r="M2037" s="5">
        <f t="shared" si="490"/>
        <v>2023</v>
      </c>
      <c r="N2037" s="96">
        <v>2224</v>
      </c>
      <c r="O2037" s="6">
        <f t="shared" si="497"/>
        <v>-2224</v>
      </c>
      <c r="P2037" s="6">
        <f t="shared" si="498"/>
        <v>0</v>
      </c>
      <c r="Q2037" s="7">
        <f t="shared" si="491"/>
        <v>3515393.0500000012</v>
      </c>
      <c r="R2037" s="44" t="str">
        <f>VLOOKUP(F2037,'Set up'!$A$2:$E$70,5,FALSE)</f>
        <v>Trsf</v>
      </c>
      <c r="S2037" s="1" t="s">
        <v>1963</v>
      </c>
    </row>
    <row r="2038" spans="1:19" ht="15" customHeight="1" x14ac:dyDescent="0.3">
      <c r="A2038" s="4">
        <v>45166</v>
      </c>
      <c r="B2038" s="5">
        <f t="shared" si="486"/>
        <v>8</v>
      </c>
      <c r="C2038" s="5">
        <f t="shared" si="487"/>
        <v>2023</v>
      </c>
      <c r="D2038" s="88" t="s">
        <v>1833</v>
      </c>
      <c r="E2038" s="5" t="str">
        <f>VLOOKUP(F2038,'Set up'!$A$2:$C$70,2,FALSE)</f>
        <v>C00000020</v>
      </c>
      <c r="F2038" s="1" t="s">
        <v>409</v>
      </c>
      <c r="G2038" s="99" t="s">
        <v>1110</v>
      </c>
      <c r="H2038" s="5">
        <v>2</v>
      </c>
      <c r="I2038" s="5" t="str">
        <f>VLOOKUP(F2038,'Set up'!$A$2:$C$70,3,FALSE)</f>
        <v>Cash</v>
      </c>
      <c r="J2038" s="5">
        <f>VLOOKUP(F2038,'Set up'!$A$2:$D$70,4,FALSE)</f>
        <v>0</v>
      </c>
      <c r="K2038" s="4">
        <f t="shared" si="488"/>
        <v>45166</v>
      </c>
      <c r="L2038" s="5">
        <f t="shared" si="489"/>
        <v>8</v>
      </c>
      <c r="M2038" s="5">
        <f t="shared" si="490"/>
        <v>2023</v>
      </c>
      <c r="N2038" s="96">
        <v>125</v>
      </c>
      <c r="O2038" s="6">
        <f>-N2038</f>
        <v>-125</v>
      </c>
      <c r="P2038" s="6">
        <f t="shared" si="498"/>
        <v>0</v>
      </c>
      <c r="Q2038" s="7">
        <f t="shared" si="491"/>
        <v>3515518.0500000012</v>
      </c>
      <c r="R2038" s="44" t="str">
        <f>VLOOKUP(F2038,'Set up'!$A$2:$E$70,5,FALSE)</f>
        <v>Trsf</v>
      </c>
      <c r="S2038" s="1" t="s">
        <v>2532</v>
      </c>
    </row>
    <row r="2039" spans="1:19" ht="15" customHeight="1" x14ac:dyDescent="0.3">
      <c r="A2039" s="4">
        <v>45166</v>
      </c>
      <c r="B2039" s="5">
        <f t="shared" si="486"/>
        <v>8</v>
      </c>
      <c r="C2039" s="5">
        <f t="shared" si="487"/>
        <v>2023</v>
      </c>
      <c r="D2039" s="88" t="s">
        <v>1834</v>
      </c>
      <c r="E2039" s="5" t="str">
        <f>VLOOKUP(F2039,'Set up'!$A$2:$C$70,2,FALSE)</f>
        <v>C00000020</v>
      </c>
      <c r="F2039" s="1" t="s">
        <v>409</v>
      </c>
      <c r="G2039" s="99" t="s">
        <v>1733</v>
      </c>
      <c r="H2039" s="5">
        <v>2</v>
      </c>
      <c r="I2039" s="5" t="str">
        <f>VLOOKUP(F2039,'Set up'!$A$2:$C$70,3,FALSE)</f>
        <v>Cash</v>
      </c>
      <c r="J2039" s="5">
        <f>VLOOKUP(F2039,'Set up'!$A$2:$D$70,4,FALSE)</f>
        <v>0</v>
      </c>
      <c r="K2039" s="4">
        <f t="shared" si="488"/>
        <v>45166</v>
      </c>
      <c r="L2039" s="5">
        <f t="shared" si="489"/>
        <v>8</v>
      </c>
      <c r="M2039" s="5">
        <f t="shared" si="490"/>
        <v>2023</v>
      </c>
      <c r="N2039" s="96">
        <v>3124</v>
      </c>
      <c r="O2039" s="6">
        <f>-N2039</f>
        <v>-3124</v>
      </c>
      <c r="P2039" s="6">
        <f t="shared" si="498"/>
        <v>0</v>
      </c>
      <c r="Q2039" s="7">
        <f t="shared" si="491"/>
        <v>3518642.0500000012</v>
      </c>
      <c r="R2039" s="44" t="str">
        <f>VLOOKUP(F2039,'Set up'!$A$2:$E$70,5,FALSE)</f>
        <v>Trsf</v>
      </c>
      <c r="S2039" s="1" t="s">
        <v>2533</v>
      </c>
    </row>
    <row r="2040" spans="1:19" ht="15" customHeight="1" x14ac:dyDescent="0.3">
      <c r="A2040" s="4">
        <v>45166</v>
      </c>
      <c r="B2040" s="5">
        <f t="shared" si="486"/>
        <v>8</v>
      </c>
      <c r="C2040" s="5">
        <f t="shared" si="487"/>
        <v>2023</v>
      </c>
      <c r="D2040" s="88" t="s">
        <v>1834</v>
      </c>
      <c r="E2040" s="5" t="str">
        <f>VLOOKUP(F2040,'Set up'!$A$2:$C$70,2,FALSE)</f>
        <v>C00000020</v>
      </c>
      <c r="F2040" s="1" t="s">
        <v>409</v>
      </c>
      <c r="G2040" s="99" t="s">
        <v>913</v>
      </c>
      <c r="H2040" s="5">
        <v>6</v>
      </c>
      <c r="I2040" s="5" t="str">
        <f>VLOOKUP(F2040,'Set up'!$A$2:$C$70,3,FALSE)</f>
        <v>Cash</v>
      </c>
      <c r="J2040" s="5">
        <f>VLOOKUP(F2040,'Set up'!$A$2:$D$70,4,FALSE)</f>
        <v>0</v>
      </c>
      <c r="K2040" s="4">
        <f t="shared" si="488"/>
        <v>45166</v>
      </c>
      <c r="L2040" s="5">
        <f t="shared" si="489"/>
        <v>8</v>
      </c>
      <c r="M2040" s="5">
        <f t="shared" si="490"/>
        <v>2023</v>
      </c>
      <c r="N2040" s="96">
        <v>1134</v>
      </c>
      <c r="O2040" s="6">
        <f>-N2040</f>
        <v>-1134</v>
      </c>
      <c r="P2040" s="6">
        <f t="shared" si="498"/>
        <v>0</v>
      </c>
      <c r="Q2040" s="7">
        <f t="shared" si="491"/>
        <v>3519776.0500000012</v>
      </c>
      <c r="R2040" s="44" t="str">
        <f>VLOOKUP(F2040,'Set up'!$A$2:$E$70,5,FALSE)</f>
        <v>Trsf</v>
      </c>
      <c r="S2040" s="1" t="s">
        <v>2534</v>
      </c>
    </row>
    <row r="2041" spans="1:19" ht="15" customHeight="1" x14ac:dyDescent="0.3">
      <c r="A2041" s="4">
        <v>45166</v>
      </c>
      <c r="B2041" s="5">
        <f t="shared" si="486"/>
        <v>8</v>
      </c>
      <c r="C2041" s="5">
        <f t="shared" si="487"/>
        <v>2023</v>
      </c>
      <c r="D2041" s="88" t="s">
        <v>1834</v>
      </c>
      <c r="E2041" s="5" t="str">
        <f>VLOOKUP(F2041,'Set up'!$A$2:$C$70,2,FALSE)</f>
        <v>C00000020</v>
      </c>
      <c r="F2041" s="1" t="s">
        <v>409</v>
      </c>
      <c r="G2041" s="99" t="s">
        <v>778</v>
      </c>
      <c r="H2041" s="5">
        <v>3</v>
      </c>
      <c r="I2041" s="5" t="str">
        <f>VLOOKUP(F2041,'Set up'!$A$2:$C$70,3,FALSE)</f>
        <v>Cash</v>
      </c>
      <c r="J2041" s="5">
        <f>VLOOKUP(F2041,'Set up'!$A$2:$D$70,4,FALSE)</f>
        <v>0</v>
      </c>
      <c r="K2041" s="4">
        <f t="shared" si="488"/>
        <v>45166</v>
      </c>
      <c r="L2041" s="5">
        <f t="shared" si="489"/>
        <v>8</v>
      </c>
      <c r="M2041" s="5">
        <f t="shared" si="490"/>
        <v>2023</v>
      </c>
      <c r="N2041" s="96">
        <v>600</v>
      </c>
      <c r="O2041" s="6">
        <f>-N2041</f>
        <v>-600</v>
      </c>
      <c r="P2041" s="6">
        <f t="shared" si="498"/>
        <v>0</v>
      </c>
      <c r="Q2041" s="7">
        <f t="shared" si="491"/>
        <v>3520376.0500000012</v>
      </c>
      <c r="R2041" s="44" t="str">
        <f>VLOOKUP(F2041,'Set up'!$A$2:$E$70,5,FALSE)</f>
        <v>Trsf</v>
      </c>
      <c r="S2041" s="1" t="s">
        <v>2535</v>
      </c>
    </row>
    <row r="2042" spans="1:19" ht="15" customHeight="1" x14ac:dyDescent="0.3">
      <c r="A2042" s="4">
        <v>45166</v>
      </c>
      <c r="B2042" s="5">
        <f t="shared" si="486"/>
        <v>8</v>
      </c>
      <c r="C2042" s="5">
        <f t="shared" si="487"/>
        <v>2023</v>
      </c>
      <c r="D2042" s="88" t="s">
        <v>1834</v>
      </c>
      <c r="E2042" s="5" t="str">
        <f>VLOOKUP(F2042,'Set up'!$A$2:$C$70,2,FALSE)</f>
        <v>C00000020</v>
      </c>
      <c r="F2042" s="1" t="s">
        <v>409</v>
      </c>
      <c r="G2042" s="99" t="s">
        <v>1073</v>
      </c>
      <c r="H2042" s="5">
        <v>1</v>
      </c>
      <c r="I2042" s="5" t="str">
        <f>VLOOKUP(F2042,'Set up'!$A$2:$C$70,3,FALSE)</f>
        <v>Cash</v>
      </c>
      <c r="J2042" s="5">
        <f>VLOOKUP(F2042,'Set up'!$A$2:$D$70,4,FALSE)</f>
        <v>0</v>
      </c>
      <c r="K2042" s="4">
        <f t="shared" si="488"/>
        <v>45166</v>
      </c>
      <c r="L2042" s="5">
        <f t="shared" si="489"/>
        <v>8</v>
      </c>
      <c r="M2042" s="5">
        <f t="shared" si="490"/>
        <v>2023</v>
      </c>
      <c r="N2042" s="96">
        <v>1000</v>
      </c>
      <c r="O2042" s="6">
        <f>-N2042</f>
        <v>-1000</v>
      </c>
      <c r="P2042" s="6">
        <f t="shared" si="498"/>
        <v>0</v>
      </c>
      <c r="Q2042" s="7">
        <f t="shared" si="491"/>
        <v>3521376.0500000012</v>
      </c>
      <c r="R2042" s="44" t="str">
        <f>VLOOKUP(F2042,'Set up'!$A$2:$E$70,5,FALSE)</f>
        <v>Trsf</v>
      </c>
      <c r="S2042" s="1" t="s">
        <v>2536</v>
      </c>
    </row>
    <row r="2043" spans="1:19" ht="15" customHeight="1" x14ac:dyDescent="0.3">
      <c r="A2043" s="4">
        <v>45168</v>
      </c>
      <c r="B2043" s="5">
        <f t="shared" si="486"/>
        <v>8</v>
      </c>
      <c r="C2043" s="5">
        <f t="shared" si="487"/>
        <v>2023</v>
      </c>
      <c r="D2043" s="88" t="s">
        <v>1835</v>
      </c>
      <c r="E2043" s="5" t="str">
        <f>VLOOKUP(F2043,'Set up'!$A$2:$C$70,2,FALSE)</f>
        <v>C00000019</v>
      </c>
      <c r="F2043" s="1" t="s">
        <v>400</v>
      </c>
      <c r="G2043" s="99" t="s">
        <v>95</v>
      </c>
      <c r="H2043" s="5">
        <v>1</v>
      </c>
      <c r="I2043" s="5" t="str">
        <f>VLOOKUP(F2043,'Set up'!$A$2:$C$70,3,FALSE)</f>
        <v>Cash</v>
      </c>
      <c r="J2043" s="5">
        <f>VLOOKUP(F2043,'Set up'!$A$2:$D$70,4,FALSE)</f>
        <v>0</v>
      </c>
      <c r="K2043" s="4">
        <f t="shared" si="488"/>
        <v>45168</v>
      </c>
      <c r="L2043" s="5">
        <f t="shared" si="489"/>
        <v>8</v>
      </c>
      <c r="M2043" s="5">
        <f t="shared" si="490"/>
        <v>2023</v>
      </c>
      <c r="N2043" s="96">
        <v>1738</v>
      </c>
      <c r="O2043" s="6">
        <f>-396.6-1341.4</f>
        <v>-1738</v>
      </c>
      <c r="P2043" s="6">
        <f t="shared" si="498"/>
        <v>0</v>
      </c>
      <c r="Q2043" s="7">
        <f t="shared" si="491"/>
        <v>3523114.0500000012</v>
      </c>
      <c r="R2043" s="44" t="str">
        <f>VLOOKUP(F2043,'Set up'!$A$2:$E$70,5,FALSE)</f>
        <v>Trsf</v>
      </c>
      <c r="S2043" s="1" t="s">
        <v>2633</v>
      </c>
    </row>
    <row r="2044" spans="1:19" ht="15" customHeight="1" x14ac:dyDescent="0.3">
      <c r="A2044" s="4" t="s">
        <v>1878</v>
      </c>
      <c r="B2044" s="5">
        <f t="shared" si="486"/>
        <v>9</v>
      </c>
      <c r="C2044" s="5">
        <f t="shared" si="487"/>
        <v>2023</v>
      </c>
      <c r="D2044" s="88" t="s">
        <v>1876</v>
      </c>
      <c r="E2044" s="5" t="str">
        <f>VLOOKUP(F2044,'Set up'!$A$2:$C$70,2,FALSE)</f>
        <v>C00000020</v>
      </c>
      <c r="F2044" s="1" t="s">
        <v>409</v>
      </c>
      <c r="G2044" s="103" t="s">
        <v>1110</v>
      </c>
      <c r="H2044" s="5">
        <v>2</v>
      </c>
      <c r="I2044" s="5" t="str">
        <f>VLOOKUP(F2044,'Set up'!$A$2:$C$70,3,FALSE)</f>
        <v>Cash</v>
      </c>
      <c r="J2044" s="5">
        <f>VLOOKUP(F2044,'Set up'!$A$2:$D$70,4,FALSE)</f>
        <v>0</v>
      </c>
      <c r="K2044" s="4">
        <f t="shared" si="488"/>
        <v>45170</v>
      </c>
      <c r="L2044" s="5">
        <f t="shared" si="489"/>
        <v>9</v>
      </c>
      <c r="M2044" s="5">
        <f t="shared" si="490"/>
        <v>2023</v>
      </c>
      <c r="N2044" s="96">
        <v>125</v>
      </c>
      <c r="O2044" s="6">
        <f>-N2044</f>
        <v>-125</v>
      </c>
      <c r="P2044" s="6">
        <f t="shared" si="498"/>
        <v>0</v>
      </c>
      <c r="Q2044" s="7">
        <f t="shared" si="491"/>
        <v>3523239.0500000012</v>
      </c>
      <c r="R2044" s="44" t="str">
        <f>VLOOKUP(F2044,'Set up'!$A$2:$E$70,5,FALSE)</f>
        <v>Trsf</v>
      </c>
      <c r="S2044" s="1" t="s">
        <v>2537</v>
      </c>
    </row>
    <row r="2045" spans="1:19" ht="15" customHeight="1" x14ac:dyDescent="0.3">
      <c r="A2045" s="4" t="s">
        <v>1878</v>
      </c>
      <c r="B2045" s="5">
        <f t="shared" si="486"/>
        <v>9</v>
      </c>
      <c r="C2045" s="5">
        <f t="shared" si="487"/>
        <v>2023</v>
      </c>
      <c r="D2045" s="88" t="s">
        <v>1877</v>
      </c>
      <c r="E2045" s="5" t="str">
        <f>VLOOKUP(F2045,'Set up'!$A$2:$C$70,2,FALSE)</f>
        <v>C00000020</v>
      </c>
      <c r="F2045" s="1" t="s">
        <v>409</v>
      </c>
      <c r="G2045" s="99" t="s">
        <v>1733</v>
      </c>
      <c r="H2045" s="5">
        <v>2</v>
      </c>
      <c r="I2045" s="5" t="str">
        <f>VLOOKUP(F2045,'Set up'!$A$2:$C$70,3,FALSE)</f>
        <v>Cash</v>
      </c>
      <c r="J2045" s="5">
        <f>VLOOKUP(F2045,'Set up'!$A$2:$D$70,4,FALSE)</f>
        <v>0</v>
      </c>
      <c r="K2045" s="4">
        <f t="shared" si="488"/>
        <v>45170</v>
      </c>
      <c r="L2045" s="5">
        <f t="shared" si="489"/>
        <v>9</v>
      </c>
      <c r="M2045" s="5">
        <f t="shared" si="490"/>
        <v>2023</v>
      </c>
      <c r="N2045" s="96">
        <v>3124</v>
      </c>
      <c r="O2045" s="6">
        <f>-N2045</f>
        <v>-3124</v>
      </c>
      <c r="P2045" s="6">
        <f t="shared" si="498"/>
        <v>0</v>
      </c>
      <c r="Q2045" s="7">
        <f t="shared" si="491"/>
        <v>3526363.0500000012</v>
      </c>
      <c r="R2045" s="44" t="str">
        <f>VLOOKUP(F2045,'Set up'!$A$2:$E$70,5,FALSE)</f>
        <v>Trsf</v>
      </c>
      <c r="S2045" s="1" t="s">
        <v>2580</v>
      </c>
    </row>
    <row r="2046" spans="1:19" ht="15" customHeight="1" x14ac:dyDescent="0.3">
      <c r="A2046" s="4" t="s">
        <v>1878</v>
      </c>
      <c r="B2046" s="5">
        <f t="shared" si="486"/>
        <v>9</v>
      </c>
      <c r="C2046" s="5">
        <f t="shared" si="487"/>
        <v>2023</v>
      </c>
      <c r="D2046" s="88" t="s">
        <v>1877</v>
      </c>
      <c r="E2046" s="5" t="str">
        <f>VLOOKUP(F2046,'Set up'!$A$2:$C$70,2,FALSE)</f>
        <v>C00000020</v>
      </c>
      <c r="F2046" s="1" t="s">
        <v>409</v>
      </c>
      <c r="G2046" s="99" t="s">
        <v>913</v>
      </c>
      <c r="H2046" s="5">
        <v>6</v>
      </c>
      <c r="I2046" s="5" t="str">
        <f>VLOOKUP(F2046,'Set up'!$A$2:$C$70,3,FALSE)</f>
        <v>Cash</v>
      </c>
      <c r="J2046" s="5">
        <f>VLOOKUP(F2046,'Set up'!$A$2:$D$70,4,FALSE)</f>
        <v>0</v>
      </c>
      <c r="K2046" s="4">
        <f t="shared" si="488"/>
        <v>45170</v>
      </c>
      <c r="L2046" s="5">
        <f t="shared" si="489"/>
        <v>9</v>
      </c>
      <c r="M2046" s="5">
        <f t="shared" si="490"/>
        <v>2023</v>
      </c>
      <c r="N2046" s="96">
        <v>1134</v>
      </c>
      <c r="O2046" s="6">
        <f>-N2046</f>
        <v>-1134</v>
      </c>
      <c r="P2046" s="6">
        <f t="shared" si="498"/>
        <v>0</v>
      </c>
      <c r="Q2046" s="7">
        <f t="shared" si="491"/>
        <v>3527497.0500000012</v>
      </c>
      <c r="R2046" s="44" t="str">
        <f>VLOOKUP(F2046,'Set up'!$A$2:$E$70,5,FALSE)</f>
        <v>Trsf</v>
      </c>
      <c r="S2046" s="1" t="s">
        <v>2582</v>
      </c>
    </row>
    <row r="2047" spans="1:19" ht="15" customHeight="1" x14ac:dyDescent="0.3">
      <c r="A2047" s="4" t="s">
        <v>1878</v>
      </c>
      <c r="B2047" s="5">
        <f t="shared" si="486"/>
        <v>9</v>
      </c>
      <c r="C2047" s="5">
        <f t="shared" si="487"/>
        <v>2023</v>
      </c>
      <c r="D2047" s="88" t="s">
        <v>1877</v>
      </c>
      <c r="E2047" s="5" t="str">
        <f>VLOOKUP(F2047,'Set up'!$A$2:$C$70,2,FALSE)</f>
        <v>C00000020</v>
      </c>
      <c r="F2047" s="1" t="s">
        <v>409</v>
      </c>
      <c r="G2047" s="99" t="s">
        <v>778</v>
      </c>
      <c r="H2047" s="5">
        <v>3</v>
      </c>
      <c r="I2047" s="5" t="str">
        <f>VLOOKUP(F2047,'Set up'!$A$2:$C$70,3,FALSE)</f>
        <v>Cash</v>
      </c>
      <c r="J2047" s="5">
        <f>VLOOKUP(F2047,'Set up'!$A$2:$D$70,4,FALSE)</f>
        <v>0</v>
      </c>
      <c r="K2047" s="4">
        <f t="shared" si="488"/>
        <v>45170</v>
      </c>
      <c r="L2047" s="5">
        <f t="shared" si="489"/>
        <v>9</v>
      </c>
      <c r="M2047" s="5">
        <f t="shared" si="490"/>
        <v>2023</v>
      </c>
      <c r="N2047" s="96">
        <v>600</v>
      </c>
      <c r="O2047" s="6">
        <f>-N2047</f>
        <v>-600</v>
      </c>
      <c r="P2047" s="6">
        <f t="shared" si="498"/>
        <v>0</v>
      </c>
      <c r="Q2047" s="7">
        <f t="shared" si="491"/>
        <v>3528097.0500000012</v>
      </c>
      <c r="R2047" s="44" t="str">
        <f>VLOOKUP(F2047,'Set up'!$A$2:$E$70,5,FALSE)</f>
        <v>Trsf</v>
      </c>
      <c r="S2047" s="1" t="s">
        <v>2583</v>
      </c>
    </row>
    <row r="2048" spans="1:19" ht="15" customHeight="1" x14ac:dyDescent="0.3">
      <c r="A2048" s="4" t="s">
        <v>1878</v>
      </c>
      <c r="B2048" s="5">
        <f t="shared" si="486"/>
        <v>9</v>
      </c>
      <c r="C2048" s="5">
        <f t="shared" si="487"/>
        <v>2023</v>
      </c>
      <c r="D2048" s="88" t="s">
        <v>1879</v>
      </c>
      <c r="E2048" s="5" t="str">
        <f>VLOOKUP(F2048,'Set up'!$A$2:$C$70,2,FALSE)</f>
        <v>C00000034</v>
      </c>
      <c r="F2048" s="1" t="s">
        <v>1196</v>
      </c>
      <c r="G2048" s="11" t="s">
        <v>1197</v>
      </c>
      <c r="H2048" s="5">
        <v>1</v>
      </c>
      <c r="I2048" s="5" t="str">
        <f>VLOOKUP(F2048,'Set up'!$A$2:$C$70,3,FALSE)</f>
        <v>Cash</v>
      </c>
      <c r="J2048" s="5">
        <f>VLOOKUP(F2048,'Set up'!$A$2:$D$70,4,FALSE)</f>
        <v>0</v>
      </c>
      <c r="K2048" s="4">
        <f t="shared" si="488"/>
        <v>45170</v>
      </c>
      <c r="L2048" s="5">
        <f t="shared" si="489"/>
        <v>9</v>
      </c>
      <c r="M2048" s="5">
        <f t="shared" si="490"/>
        <v>2023</v>
      </c>
      <c r="N2048" s="96">
        <v>1738</v>
      </c>
      <c r="O2048" s="6">
        <f t="shared" ref="O2048:O2057" si="499">-N2048</f>
        <v>-1738</v>
      </c>
      <c r="P2048" s="6">
        <f t="shared" si="498"/>
        <v>0</v>
      </c>
      <c r="Q2048" s="7">
        <f t="shared" si="491"/>
        <v>3529835.0500000012</v>
      </c>
      <c r="R2048" s="44" t="str">
        <f>VLOOKUP(F2048,'Set up'!$A$2:$E$70,5,FALSE)</f>
        <v>Trsf</v>
      </c>
      <c r="S2048" s="1" t="s">
        <v>1964</v>
      </c>
    </row>
    <row r="2049" spans="1:19" ht="15" customHeight="1" x14ac:dyDescent="0.3">
      <c r="A2049" s="4" t="s">
        <v>1878</v>
      </c>
      <c r="B2049" s="5">
        <f t="shared" si="486"/>
        <v>9</v>
      </c>
      <c r="C2049" s="5">
        <f t="shared" si="487"/>
        <v>2023</v>
      </c>
      <c r="D2049" s="88" t="s">
        <v>1879</v>
      </c>
      <c r="E2049" s="5" t="str">
        <f>VLOOKUP(F2049,'Set up'!$A$2:$C$70,2,FALSE)</f>
        <v>C00000034</v>
      </c>
      <c r="F2049" s="1" t="s">
        <v>1196</v>
      </c>
      <c r="G2049" s="90" t="s">
        <v>1110</v>
      </c>
      <c r="H2049" s="5">
        <v>1</v>
      </c>
      <c r="I2049" s="5" t="str">
        <f>VLOOKUP(F2049,'Set up'!$A$2:$C$70,3,FALSE)</f>
        <v>Cash</v>
      </c>
      <c r="J2049" s="5">
        <f>VLOOKUP(F2049,'Set up'!$A$2:$D$70,4,FALSE)</f>
        <v>0</v>
      </c>
      <c r="K2049" s="4">
        <f t="shared" si="488"/>
        <v>45170</v>
      </c>
      <c r="L2049" s="5">
        <f t="shared" si="489"/>
        <v>9</v>
      </c>
      <c r="M2049" s="5">
        <f t="shared" si="490"/>
        <v>2023</v>
      </c>
      <c r="N2049" s="96">
        <v>62.5</v>
      </c>
      <c r="O2049" s="6">
        <f t="shared" si="499"/>
        <v>-62.5</v>
      </c>
      <c r="P2049" s="6">
        <f t="shared" si="498"/>
        <v>0</v>
      </c>
      <c r="Q2049" s="7">
        <f t="shared" si="491"/>
        <v>3529897.5500000012</v>
      </c>
      <c r="R2049" s="44" t="str">
        <f>VLOOKUP(F2049,'Set up'!$A$2:$E$70,5,FALSE)</f>
        <v>Trsf</v>
      </c>
      <c r="S2049" s="1" t="s">
        <v>1965</v>
      </c>
    </row>
    <row r="2050" spans="1:19" ht="15" customHeight="1" x14ac:dyDescent="0.3">
      <c r="A2050" s="4" t="s">
        <v>1878</v>
      </c>
      <c r="B2050" s="5">
        <f t="shared" si="486"/>
        <v>9</v>
      </c>
      <c r="C2050" s="5">
        <f t="shared" si="487"/>
        <v>2023</v>
      </c>
      <c r="D2050" s="88" t="s">
        <v>1880</v>
      </c>
      <c r="E2050" s="5" t="str">
        <f>VLOOKUP(F2050,'Set up'!$A$2:$C$70,2,FALSE)</f>
        <v>C00000013a</v>
      </c>
      <c r="F2050" s="1" t="s">
        <v>1453</v>
      </c>
      <c r="G2050" s="99" t="s">
        <v>1738</v>
      </c>
      <c r="H2050" s="5">
        <v>5</v>
      </c>
      <c r="I2050" s="5" t="str">
        <f>VLOOKUP(F2050,'Set up'!$A$2:$C$70,3,FALSE)</f>
        <v>Cash</v>
      </c>
      <c r="J2050" s="5">
        <f>VLOOKUP(F2050,'Set up'!$A$2:$D$70,4,FALSE)</f>
        <v>0</v>
      </c>
      <c r="K2050" s="4">
        <f t="shared" si="488"/>
        <v>45170</v>
      </c>
      <c r="L2050" s="5">
        <f t="shared" si="489"/>
        <v>9</v>
      </c>
      <c r="M2050" s="5">
        <f t="shared" si="490"/>
        <v>2023</v>
      </c>
      <c r="N2050" s="96">
        <v>9130</v>
      </c>
      <c r="O2050" s="6">
        <f t="shared" si="499"/>
        <v>-9130</v>
      </c>
      <c r="P2050" s="6">
        <f t="shared" si="498"/>
        <v>0</v>
      </c>
      <c r="Q2050" s="7">
        <f t="shared" si="491"/>
        <v>3539027.5500000012</v>
      </c>
      <c r="R2050" s="44" t="str">
        <f>VLOOKUP(F2050,'Set up'!$A$2:$E$70,5,FALSE)</f>
        <v>Chq</v>
      </c>
      <c r="S2050" s="1" t="s">
        <v>1980</v>
      </c>
    </row>
    <row r="2051" spans="1:19" ht="15" customHeight="1" x14ac:dyDescent="0.3">
      <c r="A2051" s="4" t="s">
        <v>1878</v>
      </c>
      <c r="B2051" s="5">
        <f t="shared" ref="B2051:B2114" si="500">MONTH(A2051)</f>
        <v>9</v>
      </c>
      <c r="C2051" s="5">
        <f t="shared" ref="C2051:C2114" si="501">YEAR(A2051)</f>
        <v>2023</v>
      </c>
      <c r="D2051" s="88" t="s">
        <v>1880</v>
      </c>
      <c r="E2051" s="5" t="str">
        <f>VLOOKUP(F2051,'Set up'!$A$2:$C$70,2,FALSE)</f>
        <v>C00000013a</v>
      </c>
      <c r="F2051" s="1" t="s">
        <v>1453</v>
      </c>
      <c r="G2051" s="99" t="s">
        <v>1739</v>
      </c>
      <c r="H2051" s="5">
        <v>7</v>
      </c>
      <c r="I2051" s="5" t="str">
        <f>VLOOKUP(F2051,'Set up'!$A$2:$C$70,3,FALSE)</f>
        <v>Cash</v>
      </c>
      <c r="J2051" s="5">
        <f>VLOOKUP(F2051,'Set up'!$A$2:$D$70,4,FALSE)</f>
        <v>0</v>
      </c>
      <c r="K2051" s="4">
        <f t="shared" ref="K2051:K2114" si="502">A2051+J2051</f>
        <v>45170</v>
      </c>
      <c r="L2051" s="5">
        <f t="shared" ref="L2051:L2114" si="503">MONTH(K2051)</f>
        <v>9</v>
      </c>
      <c r="M2051" s="5">
        <f t="shared" ref="M2051:M2114" si="504">YEAR(K2051)</f>
        <v>2023</v>
      </c>
      <c r="N2051" s="96">
        <v>2986.2000000000003</v>
      </c>
      <c r="O2051" s="6">
        <f t="shared" si="499"/>
        <v>-2986.2000000000003</v>
      </c>
      <c r="P2051" s="6">
        <f t="shared" si="498"/>
        <v>0</v>
      </c>
      <c r="Q2051" s="7">
        <f t="shared" ref="Q2051:Q2114" si="505">SUM(Q2050+N2051)</f>
        <v>3542013.7500000014</v>
      </c>
      <c r="R2051" s="44" t="str">
        <f>VLOOKUP(F2051,'Set up'!$A$2:$E$70,5,FALSE)</f>
        <v>Chq</v>
      </c>
      <c r="S2051" s="1" t="s">
        <v>1980</v>
      </c>
    </row>
    <row r="2052" spans="1:19" ht="15" customHeight="1" x14ac:dyDescent="0.3">
      <c r="A2052" s="4" t="s">
        <v>1878</v>
      </c>
      <c r="B2052" s="5">
        <f t="shared" si="500"/>
        <v>9</v>
      </c>
      <c r="C2052" s="5">
        <f t="shared" si="501"/>
        <v>2023</v>
      </c>
      <c r="D2052" s="88" t="s">
        <v>1880</v>
      </c>
      <c r="E2052" s="5" t="str">
        <f>VLOOKUP(F2052,'Set up'!$A$2:$C$70,2,FALSE)</f>
        <v>C00000013a</v>
      </c>
      <c r="F2052" s="1" t="s">
        <v>1453</v>
      </c>
      <c r="G2052" s="99" t="s">
        <v>44</v>
      </c>
      <c r="H2052" s="5">
        <v>10</v>
      </c>
      <c r="I2052" s="5" t="str">
        <f>VLOOKUP(F2052,'Set up'!$A$2:$C$70,3,FALSE)</f>
        <v>Cash</v>
      </c>
      <c r="J2052" s="5">
        <f>VLOOKUP(F2052,'Set up'!$A$2:$D$70,4,FALSE)</f>
        <v>0</v>
      </c>
      <c r="K2052" s="4">
        <f t="shared" si="502"/>
        <v>45170</v>
      </c>
      <c r="L2052" s="5">
        <f t="shared" si="503"/>
        <v>9</v>
      </c>
      <c r="M2052" s="5">
        <f t="shared" si="504"/>
        <v>2023</v>
      </c>
      <c r="N2052" s="96">
        <v>2580</v>
      </c>
      <c r="O2052" s="6">
        <f t="shared" si="499"/>
        <v>-2580</v>
      </c>
      <c r="P2052" s="6">
        <f t="shared" si="498"/>
        <v>0</v>
      </c>
      <c r="Q2052" s="7">
        <f t="shared" si="505"/>
        <v>3544593.7500000014</v>
      </c>
      <c r="R2052" s="44" t="str">
        <f>VLOOKUP(F2052,'Set up'!$A$2:$E$70,5,FALSE)</f>
        <v>Chq</v>
      </c>
      <c r="S2052" s="1" t="s">
        <v>1980</v>
      </c>
    </row>
    <row r="2053" spans="1:19" ht="15" customHeight="1" x14ac:dyDescent="0.3">
      <c r="A2053" s="4" t="s">
        <v>1878</v>
      </c>
      <c r="B2053" s="5">
        <f t="shared" si="500"/>
        <v>9</v>
      </c>
      <c r="C2053" s="5">
        <f t="shared" si="501"/>
        <v>2023</v>
      </c>
      <c r="D2053" s="88" t="s">
        <v>1880</v>
      </c>
      <c r="E2053" s="5" t="str">
        <f>VLOOKUP(F2053,'Set up'!$A$2:$C$70,2,FALSE)</f>
        <v>C00000013a</v>
      </c>
      <c r="F2053" s="1" t="s">
        <v>1453</v>
      </c>
      <c r="G2053" s="99" t="s">
        <v>17</v>
      </c>
      <c r="H2053" s="5">
        <v>4</v>
      </c>
      <c r="I2053" s="5" t="str">
        <f>VLOOKUP(F2053,'Set up'!$A$2:$C$70,3,FALSE)</f>
        <v>Cash</v>
      </c>
      <c r="J2053" s="5">
        <f>VLOOKUP(F2053,'Set up'!$A$2:$D$70,4,FALSE)</f>
        <v>0</v>
      </c>
      <c r="K2053" s="4">
        <f t="shared" si="502"/>
        <v>45170</v>
      </c>
      <c r="L2053" s="5">
        <f t="shared" si="503"/>
        <v>9</v>
      </c>
      <c r="M2053" s="5">
        <f t="shared" si="504"/>
        <v>2023</v>
      </c>
      <c r="N2053" s="96">
        <v>440</v>
      </c>
      <c r="O2053" s="6">
        <f t="shared" si="499"/>
        <v>-440</v>
      </c>
      <c r="P2053" s="6">
        <f t="shared" si="498"/>
        <v>0</v>
      </c>
      <c r="Q2053" s="7">
        <f t="shared" si="505"/>
        <v>3545033.7500000014</v>
      </c>
      <c r="R2053" s="44" t="str">
        <f>VLOOKUP(F2053,'Set up'!$A$2:$E$70,5,FALSE)</f>
        <v>Chq</v>
      </c>
      <c r="S2053" s="1" t="s">
        <v>1980</v>
      </c>
    </row>
    <row r="2054" spans="1:19" ht="15" customHeight="1" x14ac:dyDescent="0.3">
      <c r="A2054" s="4" t="s">
        <v>1878</v>
      </c>
      <c r="B2054" s="5">
        <f t="shared" si="500"/>
        <v>9</v>
      </c>
      <c r="C2054" s="5">
        <f t="shared" si="501"/>
        <v>2023</v>
      </c>
      <c r="D2054" s="88" t="s">
        <v>1880</v>
      </c>
      <c r="E2054" s="5" t="str">
        <f>VLOOKUP(F2054,'Set up'!$A$2:$C$70,2,FALSE)</f>
        <v>C00000013a</v>
      </c>
      <c r="F2054" s="1" t="s">
        <v>1453</v>
      </c>
      <c r="G2054" s="99" t="s">
        <v>1742</v>
      </c>
      <c r="H2054" s="5">
        <v>1</v>
      </c>
      <c r="I2054" s="5" t="str">
        <f>VLOOKUP(F2054,'Set up'!$A$2:$C$70,3,FALSE)</f>
        <v>Cash</v>
      </c>
      <c r="J2054" s="5">
        <f>VLOOKUP(F2054,'Set up'!$A$2:$D$70,4,FALSE)</f>
        <v>0</v>
      </c>
      <c r="K2054" s="4">
        <f t="shared" si="502"/>
        <v>45170</v>
      </c>
      <c r="L2054" s="5">
        <f t="shared" si="503"/>
        <v>9</v>
      </c>
      <c r="M2054" s="5">
        <f t="shared" si="504"/>
        <v>2023</v>
      </c>
      <c r="N2054" s="96">
        <v>60</v>
      </c>
      <c r="O2054" s="6">
        <f t="shared" si="499"/>
        <v>-60</v>
      </c>
      <c r="P2054" s="6">
        <f t="shared" si="498"/>
        <v>0</v>
      </c>
      <c r="Q2054" s="7">
        <f t="shared" si="505"/>
        <v>3545093.7500000014</v>
      </c>
      <c r="R2054" s="44" t="str">
        <f>VLOOKUP(F2054,'Set up'!$A$2:$E$70,5,FALSE)</f>
        <v>Chq</v>
      </c>
      <c r="S2054" s="1" t="s">
        <v>1980</v>
      </c>
    </row>
    <row r="2055" spans="1:19" ht="15" customHeight="1" x14ac:dyDescent="0.3">
      <c r="A2055" s="4" t="s">
        <v>1878</v>
      </c>
      <c r="B2055" s="5">
        <f t="shared" si="500"/>
        <v>9</v>
      </c>
      <c r="C2055" s="5">
        <f t="shared" si="501"/>
        <v>2023</v>
      </c>
      <c r="D2055" s="88" t="s">
        <v>1880</v>
      </c>
      <c r="E2055" s="5" t="str">
        <f>VLOOKUP(F2055,'Set up'!$A$2:$C$70,2,FALSE)</f>
        <v>C00000013a</v>
      </c>
      <c r="F2055" s="1" t="s">
        <v>1453</v>
      </c>
      <c r="G2055" s="99" t="s">
        <v>1743</v>
      </c>
      <c r="H2055" s="5">
        <v>1</v>
      </c>
      <c r="I2055" s="5" t="str">
        <f>VLOOKUP(F2055,'Set up'!$A$2:$C$70,3,FALSE)</f>
        <v>Cash</v>
      </c>
      <c r="J2055" s="5">
        <f>VLOOKUP(F2055,'Set up'!$A$2:$D$70,4,FALSE)</f>
        <v>0</v>
      </c>
      <c r="K2055" s="4">
        <f t="shared" si="502"/>
        <v>45170</v>
      </c>
      <c r="L2055" s="5">
        <f t="shared" si="503"/>
        <v>9</v>
      </c>
      <c r="M2055" s="5">
        <f t="shared" si="504"/>
        <v>2023</v>
      </c>
      <c r="N2055" s="96">
        <v>55.2</v>
      </c>
      <c r="O2055" s="6">
        <f t="shared" si="499"/>
        <v>-55.2</v>
      </c>
      <c r="P2055" s="6">
        <f t="shared" si="498"/>
        <v>0</v>
      </c>
      <c r="Q2055" s="7">
        <f t="shared" si="505"/>
        <v>3545148.9500000016</v>
      </c>
      <c r="R2055" s="44" t="str">
        <f>VLOOKUP(F2055,'Set up'!$A$2:$E$70,5,FALSE)</f>
        <v>Chq</v>
      </c>
      <c r="S2055" s="1" t="s">
        <v>1980</v>
      </c>
    </row>
    <row r="2056" spans="1:19" ht="15" customHeight="1" x14ac:dyDescent="0.3">
      <c r="A2056" s="4" t="s">
        <v>1878</v>
      </c>
      <c r="B2056" s="5">
        <f t="shared" si="500"/>
        <v>9</v>
      </c>
      <c r="C2056" s="5">
        <f t="shared" si="501"/>
        <v>2023</v>
      </c>
      <c r="D2056" s="88" t="s">
        <v>1880</v>
      </c>
      <c r="E2056" s="5" t="str">
        <f>VLOOKUP(F2056,'Set up'!$A$2:$C$70,2,FALSE)</f>
        <v>C00000013a</v>
      </c>
      <c r="F2056" s="1" t="s">
        <v>1453</v>
      </c>
      <c r="G2056" s="99" t="s">
        <v>1118</v>
      </c>
      <c r="H2056" s="5">
        <v>2</v>
      </c>
      <c r="I2056" s="5" t="str">
        <f>VLOOKUP(F2056,'Set up'!$A$2:$C$70,3,FALSE)</f>
        <v>Cash</v>
      </c>
      <c r="J2056" s="5">
        <f>VLOOKUP(F2056,'Set up'!$A$2:$D$70,4,FALSE)</f>
        <v>0</v>
      </c>
      <c r="K2056" s="4">
        <f t="shared" si="502"/>
        <v>45170</v>
      </c>
      <c r="L2056" s="5">
        <f t="shared" si="503"/>
        <v>9</v>
      </c>
      <c r="M2056" s="5">
        <f t="shared" si="504"/>
        <v>2023</v>
      </c>
      <c r="N2056" s="96">
        <v>100</v>
      </c>
      <c r="O2056" s="6">
        <f t="shared" si="499"/>
        <v>-100</v>
      </c>
      <c r="P2056" s="6">
        <f t="shared" si="498"/>
        <v>0</v>
      </c>
      <c r="Q2056" s="7">
        <f t="shared" si="505"/>
        <v>3545248.9500000016</v>
      </c>
      <c r="R2056" s="44" t="str">
        <f>VLOOKUP(F2056,'Set up'!$A$2:$E$70,5,FALSE)</f>
        <v>Chq</v>
      </c>
      <c r="S2056" s="1" t="s">
        <v>1980</v>
      </c>
    </row>
    <row r="2057" spans="1:19" ht="15" customHeight="1" x14ac:dyDescent="0.3">
      <c r="A2057" s="4" t="s">
        <v>1878</v>
      </c>
      <c r="B2057" s="5">
        <f t="shared" si="500"/>
        <v>9</v>
      </c>
      <c r="C2057" s="5">
        <f t="shared" si="501"/>
        <v>2023</v>
      </c>
      <c r="D2057" s="88" t="s">
        <v>1880</v>
      </c>
      <c r="E2057" s="5" t="str">
        <f>VLOOKUP(F2057,'Set up'!$A$2:$C$70,2,FALSE)</f>
        <v>C00000013a</v>
      </c>
      <c r="F2057" s="1" t="s">
        <v>1453</v>
      </c>
      <c r="G2057" s="99" t="s">
        <v>614</v>
      </c>
      <c r="H2057" s="5">
        <v>1</v>
      </c>
      <c r="I2057" s="5" t="str">
        <f>VLOOKUP(F2057,'Set up'!$A$2:$C$70,3,FALSE)</f>
        <v>Cash</v>
      </c>
      <c r="J2057" s="5">
        <f>VLOOKUP(F2057,'Set up'!$A$2:$D$70,4,FALSE)</f>
        <v>0</v>
      </c>
      <c r="K2057" s="4">
        <f t="shared" si="502"/>
        <v>45170</v>
      </c>
      <c r="L2057" s="5">
        <f t="shared" si="503"/>
        <v>9</v>
      </c>
      <c r="M2057" s="5">
        <f t="shared" si="504"/>
        <v>2023</v>
      </c>
      <c r="N2057" s="96">
        <v>430</v>
      </c>
      <c r="O2057" s="6">
        <f t="shared" si="499"/>
        <v>-430</v>
      </c>
      <c r="P2057" s="6">
        <f t="shared" si="498"/>
        <v>0</v>
      </c>
      <c r="Q2057" s="7">
        <f t="shared" si="505"/>
        <v>3545678.9500000016</v>
      </c>
      <c r="R2057" s="44" t="str">
        <f>VLOOKUP(F2057,'Set up'!$A$2:$E$70,5,FALSE)</f>
        <v>Chq</v>
      </c>
      <c r="S2057" s="1" t="s">
        <v>1980</v>
      </c>
    </row>
    <row r="2058" spans="1:19" ht="15" customHeight="1" x14ac:dyDescent="0.3">
      <c r="A2058" s="4" t="s">
        <v>1878</v>
      </c>
      <c r="B2058" s="5">
        <f t="shared" si="500"/>
        <v>9</v>
      </c>
      <c r="C2058" s="5">
        <f t="shared" si="501"/>
        <v>2023</v>
      </c>
      <c r="D2058" s="88" t="s">
        <v>1881</v>
      </c>
      <c r="E2058" s="5" t="str">
        <f>VLOOKUP(F2058,'Set up'!$A$2:$C$70,2,FALSE)</f>
        <v>C00000020</v>
      </c>
      <c r="F2058" s="1" t="s">
        <v>409</v>
      </c>
      <c r="G2058" s="103" t="s">
        <v>1110</v>
      </c>
      <c r="H2058" s="5">
        <v>2</v>
      </c>
      <c r="I2058" s="5" t="str">
        <f>VLOOKUP(F2058,'Set up'!$A$2:$C$70,3,FALSE)</f>
        <v>Cash</v>
      </c>
      <c r="J2058" s="5">
        <f>VLOOKUP(F2058,'Set up'!$A$2:$D$70,4,FALSE)</f>
        <v>0</v>
      </c>
      <c r="K2058" s="4">
        <f t="shared" si="502"/>
        <v>45170</v>
      </c>
      <c r="L2058" s="5">
        <f t="shared" si="503"/>
        <v>9</v>
      </c>
      <c r="M2058" s="5">
        <f t="shared" si="504"/>
        <v>2023</v>
      </c>
      <c r="N2058" s="96">
        <v>125</v>
      </c>
      <c r="O2058" s="6">
        <f>-N2058</f>
        <v>-125</v>
      </c>
      <c r="P2058" s="6">
        <f t="shared" si="498"/>
        <v>0</v>
      </c>
      <c r="Q2058" s="7">
        <f t="shared" si="505"/>
        <v>3545803.9500000016</v>
      </c>
      <c r="R2058" s="44" t="str">
        <f>VLOOKUP(F2058,'Set up'!$A$2:$E$70,5,FALSE)</f>
        <v>Trsf</v>
      </c>
      <c r="S2058" s="1" t="s">
        <v>2584</v>
      </c>
    </row>
    <row r="2059" spans="1:19" ht="15" customHeight="1" x14ac:dyDescent="0.3">
      <c r="A2059" s="4" t="s">
        <v>1878</v>
      </c>
      <c r="B2059" s="5">
        <f t="shared" si="500"/>
        <v>9</v>
      </c>
      <c r="C2059" s="5">
        <f t="shared" si="501"/>
        <v>2023</v>
      </c>
      <c r="D2059" s="88" t="s">
        <v>1882</v>
      </c>
      <c r="E2059" s="5" t="str">
        <f>VLOOKUP(F2059,'Set up'!$A$2:$C$70,2,FALSE)</f>
        <v>C00000020</v>
      </c>
      <c r="F2059" s="1" t="s">
        <v>409</v>
      </c>
      <c r="G2059" s="103" t="s">
        <v>1733</v>
      </c>
      <c r="H2059" s="5">
        <v>2</v>
      </c>
      <c r="I2059" s="5" t="str">
        <f>VLOOKUP(F2059,'Set up'!$A$2:$C$70,3,FALSE)</f>
        <v>Cash</v>
      </c>
      <c r="J2059" s="5">
        <f>VLOOKUP(F2059,'Set up'!$A$2:$D$70,4,FALSE)</f>
        <v>0</v>
      </c>
      <c r="K2059" s="4">
        <f t="shared" si="502"/>
        <v>45170</v>
      </c>
      <c r="L2059" s="5">
        <f t="shared" si="503"/>
        <v>9</v>
      </c>
      <c r="M2059" s="5">
        <f t="shared" si="504"/>
        <v>2023</v>
      </c>
      <c r="N2059" s="96">
        <v>3212</v>
      </c>
      <c r="O2059" s="6">
        <f>-N2059</f>
        <v>-3212</v>
      </c>
      <c r="P2059" s="6">
        <f t="shared" si="498"/>
        <v>0</v>
      </c>
      <c r="Q2059" s="7">
        <f t="shared" si="505"/>
        <v>3549015.9500000016</v>
      </c>
      <c r="R2059" s="44" t="str">
        <f>VLOOKUP(F2059,'Set up'!$A$2:$E$70,5,FALSE)</f>
        <v>Trsf</v>
      </c>
      <c r="S2059" s="1" t="s">
        <v>2585</v>
      </c>
    </row>
    <row r="2060" spans="1:19" ht="15" customHeight="1" x14ac:dyDescent="0.3">
      <c r="A2060" s="4" t="s">
        <v>1878</v>
      </c>
      <c r="B2060" s="5">
        <f t="shared" si="500"/>
        <v>9</v>
      </c>
      <c r="C2060" s="5">
        <f t="shared" si="501"/>
        <v>2023</v>
      </c>
      <c r="D2060" s="88" t="s">
        <v>1882</v>
      </c>
      <c r="E2060" s="5" t="str">
        <f>VLOOKUP(F2060,'Set up'!$A$2:$C$70,2,FALSE)</f>
        <v>C00000020</v>
      </c>
      <c r="F2060" s="1" t="s">
        <v>409</v>
      </c>
      <c r="G2060" s="90" t="s">
        <v>913</v>
      </c>
      <c r="H2060" s="5">
        <v>6</v>
      </c>
      <c r="I2060" s="5" t="str">
        <f>VLOOKUP(F2060,'Set up'!$A$2:$C$70,3,FALSE)</f>
        <v>Cash</v>
      </c>
      <c r="J2060" s="5">
        <f>VLOOKUP(F2060,'Set up'!$A$2:$D$70,4,FALSE)</f>
        <v>0</v>
      </c>
      <c r="K2060" s="4">
        <f t="shared" si="502"/>
        <v>45170</v>
      </c>
      <c r="L2060" s="5">
        <f t="shared" si="503"/>
        <v>9</v>
      </c>
      <c r="M2060" s="5">
        <f t="shared" si="504"/>
        <v>2023</v>
      </c>
      <c r="N2060" s="96">
        <v>1134</v>
      </c>
      <c r="O2060" s="6">
        <f>-N2060</f>
        <v>-1134</v>
      </c>
      <c r="P2060" s="6">
        <f t="shared" si="498"/>
        <v>0</v>
      </c>
      <c r="Q2060" s="7">
        <f t="shared" si="505"/>
        <v>3550149.9500000016</v>
      </c>
      <c r="R2060" s="44" t="str">
        <f>VLOOKUP(F2060,'Set up'!$A$2:$E$70,5,FALSE)</f>
        <v>Trsf</v>
      </c>
      <c r="S2060" s="1" t="s">
        <v>2582</v>
      </c>
    </row>
    <row r="2061" spans="1:19" ht="15" customHeight="1" x14ac:dyDescent="0.3">
      <c r="A2061" s="4" t="s">
        <v>1878</v>
      </c>
      <c r="B2061" s="5">
        <f t="shared" si="500"/>
        <v>9</v>
      </c>
      <c r="C2061" s="5">
        <f t="shared" si="501"/>
        <v>2023</v>
      </c>
      <c r="D2061" s="88" t="s">
        <v>1882</v>
      </c>
      <c r="E2061" s="5" t="str">
        <f>VLOOKUP(F2061,'Set up'!$A$2:$C$70,2,FALSE)</f>
        <v>C00000020</v>
      </c>
      <c r="F2061" s="1" t="s">
        <v>409</v>
      </c>
      <c r="G2061" s="90" t="s">
        <v>778</v>
      </c>
      <c r="H2061" s="5">
        <v>3</v>
      </c>
      <c r="I2061" s="5" t="str">
        <f>VLOOKUP(F2061,'Set up'!$A$2:$C$70,3,FALSE)</f>
        <v>Cash</v>
      </c>
      <c r="J2061" s="5">
        <f>VLOOKUP(F2061,'Set up'!$A$2:$D$70,4,FALSE)</f>
        <v>0</v>
      </c>
      <c r="K2061" s="4">
        <f t="shared" si="502"/>
        <v>45170</v>
      </c>
      <c r="L2061" s="5">
        <f t="shared" si="503"/>
        <v>9</v>
      </c>
      <c r="M2061" s="5">
        <f t="shared" si="504"/>
        <v>2023</v>
      </c>
      <c r="N2061" s="96">
        <v>600</v>
      </c>
      <c r="O2061" s="6">
        <f>-N2061</f>
        <v>-600</v>
      </c>
      <c r="P2061" s="6">
        <f t="shared" si="498"/>
        <v>0</v>
      </c>
      <c r="Q2061" s="7">
        <f t="shared" si="505"/>
        <v>3550749.9500000016</v>
      </c>
      <c r="R2061" s="44" t="str">
        <f>VLOOKUP(F2061,'Set up'!$A$2:$E$70,5,FALSE)</f>
        <v>Trsf</v>
      </c>
      <c r="S2061" s="1" t="s">
        <v>2583</v>
      </c>
    </row>
    <row r="2062" spans="1:19" ht="15" customHeight="1" x14ac:dyDescent="0.3">
      <c r="A2062" s="4" t="s">
        <v>1878</v>
      </c>
      <c r="B2062" s="5">
        <f t="shared" si="500"/>
        <v>9</v>
      </c>
      <c r="C2062" s="5">
        <f t="shared" si="501"/>
        <v>2023</v>
      </c>
      <c r="D2062" s="88" t="s">
        <v>1882</v>
      </c>
      <c r="E2062" s="5" t="str">
        <f>VLOOKUP(F2062,'Set up'!$A$2:$C$70,2,FALSE)</f>
        <v>C00000020</v>
      </c>
      <c r="F2062" s="1" t="s">
        <v>409</v>
      </c>
      <c r="G2062" s="90" t="s">
        <v>1073</v>
      </c>
      <c r="H2062" s="5">
        <v>1</v>
      </c>
      <c r="I2062" s="5" t="str">
        <f>VLOOKUP(F2062,'Set up'!$A$2:$C$70,3,FALSE)</f>
        <v>Cash</v>
      </c>
      <c r="J2062" s="5">
        <f>VLOOKUP(F2062,'Set up'!$A$2:$D$70,4,FALSE)</f>
        <v>0</v>
      </c>
      <c r="K2062" s="4">
        <f t="shared" si="502"/>
        <v>45170</v>
      </c>
      <c r="L2062" s="5">
        <f t="shared" si="503"/>
        <v>9</v>
      </c>
      <c r="M2062" s="5">
        <f t="shared" si="504"/>
        <v>2023</v>
      </c>
      <c r="N2062" s="96">
        <v>1000</v>
      </c>
      <c r="O2062" s="6">
        <f>-N2062</f>
        <v>-1000</v>
      </c>
      <c r="P2062" s="6">
        <f t="shared" si="498"/>
        <v>0</v>
      </c>
      <c r="Q2062" s="7">
        <f t="shared" si="505"/>
        <v>3551749.9500000016</v>
      </c>
      <c r="R2062" s="44" t="str">
        <f>VLOOKUP(F2062,'Set up'!$A$2:$E$70,5,FALSE)</f>
        <v>Trsf</v>
      </c>
      <c r="S2062" s="1" t="s">
        <v>2587</v>
      </c>
    </row>
    <row r="2063" spans="1:19" ht="15" customHeight="1" x14ac:dyDescent="0.3">
      <c r="A2063" s="4">
        <v>45174</v>
      </c>
      <c r="B2063" s="5">
        <f t="shared" si="500"/>
        <v>9</v>
      </c>
      <c r="C2063" s="5">
        <f t="shared" si="501"/>
        <v>2023</v>
      </c>
      <c r="D2063" s="88" t="s">
        <v>1883</v>
      </c>
      <c r="E2063" s="5" t="str">
        <f>VLOOKUP(F2063,'Set up'!$A$2:$C$70,2,FALSE)</f>
        <v>C00000010</v>
      </c>
      <c r="F2063" s="1" t="s">
        <v>62</v>
      </c>
      <c r="G2063" s="99" t="s">
        <v>1178</v>
      </c>
      <c r="H2063" s="5">
        <v>6</v>
      </c>
      <c r="I2063" s="5">
        <f>VLOOKUP(F2063,'Set up'!$A$2:$C$70,3,FALSE)</f>
        <v>120</v>
      </c>
      <c r="J2063" s="5">
        <f>VLOOKUP(F2063,'Set up'!$A$2:$D$70,4,FALSE)</f>
        <v>120</v>
      </c>
      <c r="K2063" s="4">
        <f t="shared" si="502"/>
        <v>45294</v>
      </c>
      <c r="L2063" s="5">
        <f t="shared" si="503"/>
        <v>1</v>
      </c>
      <c r="M2063" s="5">
        <f t="shared" si="504"/>
        <v>2024</v>
      </c>
      <c r="N2063" s="96">
        <v>9372</v>
      </c>
      <c r="O2063" s="6">
        <f t="shared" ref="O2063:O2066" si="506">-N2063</f>
        <v>-9372</v>
      </c>
      <c r="P2063" s="6">
        <f t="shared" si="498"/>
        <v>0</v>
      </c>
      <c r="Q2063" s="7">
        <f t="shared" si="505"/>
        <v>3561121.9500000016</v>
      </c>
      <c r="R2063" s="44" t="str">
        <f>VLOOKUP(F2063,'Set up'!$A$2:$E$70,5,FALSE)</f>
        <v>Trsf</v>
      </c>
      <c r="S2063" s="1" t="s">
        <v>2419</v>
      </c>
    </row>
    <row r="2064" spans="1:19" ht="15" customHeight="1" x14ac:dyDescent="0.3">
      <c r="A2064" s="4">
        <v>45174</v>
      </c>
      <c r="B2064" s="5">
        <f t="shared" si="500"/>
        <v>9</v>
      </c>
      <c r="C2064" s="5">
        <f t="shared" si="501"/>
        <v>2023</v>
      </c>
      <c r="D2064" s="88" t="s">
        <v>1883</v>
      </c>
      <c r="E2064" s="5" t="str">
        <f>VLOOKUP(F2064,'Set up'!$A$2:$C$70,2,FALSE)</f>
        <v>C00000010</v>
      </c>
      <c r="F2064" s="1" t="s">
        <v>62</v>
      </c>
      <c r="G2064" s="99" t="s">
        <v>1543</v>
      </c>
      <c r="H2064" s="5">
        <v>10</v>
      </c>
      <c r="I2064" s="5">
        <f>VLOOKUP(F2064,'Set up'!$A$2:$C$70,3,FALSE)</f>
        <v>120</v>
      </c>
      <c r="J2064" s="5">
        <f>VLOOKUP(F2064,'Set up'!$A$2:$D$70,4,FALSE)</f>
        <v>120</v>
      </c>
      <c r="K2064" s="4">
        <f t="shared" si="502"/>
        <v>45294</v>
      </c>
      <c r="L2064" s="5">
        <f t="shared" si="503"/>
        <v>1</v>
      </c>
      <c r="M2064" s="5">
        <f t="shared" si="504"/>
        <v>2024</v>
      </c>
      <c r="N2064" s="96">
        <v>1800</v>
      </c>
      <c r="O2064" s="6">
        <f t="shared" si="506"/>
        <v>-1800</v>
      </c>
      <c r="P2064" s="6">
        <f t="shared" si="498"/>
        <v>0</v>
      </c>
      <c r="Q2064" s="7">
        <f t="shared" si="505"/>
        <v>3562921.9500000016</v>
      </c>
      <c r="R2064" s="44" t="str">
        <f>VLOOKUP(F2064,'Set up'!$A$2:$E$70,5,FALSE)</f>
        <v>Trsf</v>
      </c>
      <c r="S2064" s="1" t="s">
        <v>2419</v>
      </c>
    </row>
    <row r="2065" spans="1:19" ht="15" customHeight="1" x14ac:dyDescent="0.3">
      <c r="A2065" s="4">
        <v>45174</v>
      </c>
      <c r="B2065" s="5">
        <f t="shared" si="500"/>
        <v>9</v>
      </c>
      <c r="C2065" s="5">
        <f t="shared" si="501"/>
        <v>2023</v>
      </c>
      <c r="D2065" s="88" t="s">
        <v>1883</v>
      </c>
      <c r="E2065" s="5" t="str">
        <f>VLOOKUP(F2065,'Set up'!$A$2:$C$70,2,FALSE)</f>
        <v>C00000010</v>
      </c>
      <c r="F2065" s="1" t="s">
        <v>62</v>
      </c>
      <c r="G2065" s="99" t="s">
        <v>791</v>
      </c>
      <c r="H2065" s="5">
        <v>10</v>
      </c>
      <c r="I2065" s="5">
        <f>VLOOKUP(F2065,'Set up'!$A$2:$C$70,3,FALSE)</f>
        <v>120</v>
      </c>
      <c r="J2065" s="5">
        <f>VLOOKUP(F2065,'Set up'!$A$2:$D$70,4,FALSE)</f>
        <v>120</v>
      </c>
      <c r="K2065" s="4">
        <f t="shared" si="502"/>
        <v>45294</v>
      </c>
      <c r="L2065" s="5">
        <f t="shared" si="503"/>
        <v>1</v>
      </c>
      <c r="M2065" s="5">
        <f t="shared" si="504"/>
        <v>2024</v>
      </c>
      <c r="N2065" s="96">
        <v>575</v>
      </c>
      <c r="O2065" s="6">
        <f t="shared" si="506"/>
        <v>-575</v>
      </c>
      <c r="P2065" s="6">
        <f t="shared" si="498"/>
        <v>0</v>
      </c>
      <c r="Q2065" s="7">
        <f t="shared" si="505"/>
        <v>3563496.9500000016</v>
      </c>
      <c r="R2065" s="44" t="str">
        <f>VLOOKUP(F2065,'Set up'!$A$2:$E$70,5,FALSE)</f>
        <v>Trsf</v>
      </c>
      <c r="S2065" s="1" t="s">
        <v>2419</v>
      </c>
    </row>
    <row r="2066" spans="1:19" ht="15" customHeight="1" x14ac:dyDescent="0.3">
      <c r="A2066" s="4">
        <v>45174</v>
      </c>
      <c r="B2066" s="5">
        <f t="shared" si="500"/>
        <v>9</v>
      </c>
      <c r="C2066" s="5">
        <f t="shared" si="501"/>
        <v>2023</v>
      </c>
      <c r="D2066" s="88" t="s">
        <v>1883</v>
      </c>
      <c r="E2066" s="5" t="str">
        <f>VLOOKUP(F2066,'Set up'!$A$2:$C$70,2,FALSE)</f>
        <v>C00000010</v>
      </c>
      <c r="F2066" s="1" t="s">
        <v>62</v>
      </c>
      <c r="G2066" s="99" t="s">
        <v>46</v>
      </c>
      <c r="H2066" s="5">
        <v>4</v>
      </c>
      <c r="I2066" s="5">
        <f>VLOOKUP(F2066,'Set up'!$A$2:$C$70,3,FALSE)</f>
        <v>120</v>
      </c>
      <c r="J2066" s="5">
        <f>VLOOKUP(F2066,'Set up'!$A$2:$D$70,4,FALSE)</f>
        <v>120</v>
      </c>
      <c r="K2066" s="4">
        <f t="shared" si="502"/>
        <v>45294</v>
      </c>
      <c r="L2066" s="5">
        <f t="shared" si="503"/>
        <v>1</v>
      </c>
      <c r="M2066" s="5">
        <f t="shared" si="504"/>
        <v>2024</v>
      </c>
      <c r="N2066" s="96">
        <v>420</v>
      </c>
      <c r="O2066" s="6">
        <f t="shared" si="506"/>
        <v>-420</v>
      </c>
      <c r="P2066" s="6">
        <f t="shared" si="498"/>
        <v>0</v>
      </c>
      <c r="Q2066" s="7">
        <f t="shared" si="505"/>
        <v>3563916.9500000016</v>
      </c>
      <c r="R2066" s="44" t="str">
        <f>VLOOKUP(F2066,'Set up'!$A$2:$E$70,5,FALSE)</f>
        <v>Trsf</v>
      </c>
      <c r="S2066" s="1" t="s">
        <v>2419</v>
      </c>
    </row>
    <row r="2067" spans="1:19" ht="15" customHeight="1" x14ac:dyDescent="0.3">
      <c r="A2067" s="4">
        <v>45174</v>
      </c>
      <c r="B2067" s="5">
        <f t="shared" si="500"/>
        <v>9</v>
      </c>
      <c r="C2067" s="5">
        <f t="shared" si="501"/>
        <v>2023</v>
      </c>
      <c r="D2067" s="88" t="s">
        <v>1884</v>
      </c>
      <c r="E2067" s="5" t="str">
        <f>VLOOKUP(F2067,'Set up'!$A$2:$C$70,2,FALSE)</f>
        <v>C00000034</v>
      </c>
      <c r="F2067" s="1" t="s">
        <v>1196</v>
      </c>
      <c r="G2067" s="11" t="s">
        <v>1197</v>
      </c>
      <c r="H2067" s="5">
        <v>1</v>
      </c>
      <c r="I2067" s="5" t="str">
        <f>VLOOKUP(F2067,'Set up'!$A$2:$C$70,3,FALSE)</f>
        <v>Cash</v>
      </c>
      <c r="J2067" s="5">
        <f>VLOOKUP(F2067,'Set up'!$A$2:$D$70,4,FALSE)</f>
        <v>0</v>
      </c>
      <c r="K2067" s="4">
        <f t="shared" si="502"/>
        <v>45174</v>
      </c>
      <c r="L2067" s="5">
        <f t="shared" si="503"/>
        <v>9</v>
      </c>
      <c r="M2067" s="5">
        <f t="shared" si="504"/>
        <v>2023</v>
      </c>
      <c r="N2067" s="96">
        <v>1738</v>
      </c>
      <c r="O2067" s="6">
        <f t="shared" ref="O2067:O2078" si="507">-N2067</f>
        <v>-1738</v>
      </c>
      <c r="P2067" s="6">
        <f t="shared" si="498"/>
        <v>0</v>
      </c>
      <c r="Q2067" s="7">
        <f t="shared" si="505"/>
        <v>3565654.9500000016</v>
      </c>
      <c r="R2067" s="44" t="str">
        <f>VLOOKUP(F2067,'Set up'!$A$2:$E$70,5,FALSE)</f>
        <v>Trsf</v>
      </c>
      <c r="S2067" s="1" t="s">
        <v>1966</v>
      </c>
    </row>
    <row r="2068" spans="1:19" ht="15" customHeight="1" x14ac:dyDescent="0.3">
      <c r="A2068" s="4">
        <v>45175</v>
      </c>
      <c r="B2068" s="5">
        <f t="shared" si="500"/>
        <v>9</v>
      </c>
      <c r="C2068" s="5">
        <f t="shared" si="501"/>
        <v>2023</v>
      </c>
      <c r="D2068" s="88" t="s">
        <v>1885</v>
      </c>
      <c r="E2068" s="5" t="str">
        <f>VLOOKUP(F2068,'Set up'!$A$2:$C$70,2,FALSE)</f>
        <v>C00000014</v>
      </c>
      <c r="F2068" s="1" t="s">
        <v>262</v>
      </c>
      <c r="G2068" s="99" t="s">
        <v>303</v>
      </c>
      <c r="H2068" s="5">
        <v>2</v>
      </c>
      <c r="I2068" s="5" t="str">
        <f>VLOOKUP(F2068,'Set up'!$A$2:$C$70,3,FALSE)</f>
        <v>Cash</v>
      </c>
      <c r="J2068" s="5">
        <f>VLOOKUP(F2068,'Set up'!$A$2:$D$70,4,FALSE)</f>
        <v>0</v>
      </c>
      <c r="K2068" s="4">
        <f t="shared" si="502"/>
        <v>45175</v>
      </c>
      <c r="L2068" s="5">
        <f t="shared" si="503"/>
        <v>9</v>
      </c>
      <c r="M2068" s="5">
        <f t="shared" si="504"/>
        <v>2023</v>
      </c>
      <c r="N2068" s="96">
        <v>3388</v>
      </c>
      <c r="O2068" s="6">
        <f t="shared" si="507"/>
        <v>-3388</v>
      </c>
      <c r="P2068" s="6">
        <f t="shared" si="498"/>
        <v>0</v>
      </c>
      <c r="Q2068" s="7">
        <f t="shared" si="505"/>
        <v>3569042.9500000016</v>
      </c>
      <c r="R2068" s="44" t="str">
        <f>VLOOKUP(F2068,'Set up'!$A$2:$E$70,5,FALSE)</f>
        <v>Cash</v>
      </c>
      <c r="S2068" s="1" t="s">
        <v>1972</v>
      </c>
    </row>
    <row r="2069" spans="1:19" ht="15" customHeight="1" x14ac:dyDescent="0.3">
      <c r="A2069" s="4">
        <v>45175</v>
      </c>
      <c r="B2069" s="5">
        <f t="shared" si="500"/>
        <v>9</v>
      </c>
      <c r="C2069" s="5">
        <f t="shared" si="501"/>
        <v>2023</v>
      </c>
      <c r="D2069" s="88" t="s">
        <v>1885</v>
      </c>
      <c r="E2069" s="5" t="str">
        <f>VLOOKUP(F2069,'Set up'!$A$2:$C$70,2,FALSE)</f>
        <v>C00000014</v>
      </c>
      <c r="F2069" s="1" t="s">
        <v>262</v>
      </c>
      <c r="G2069" s="99" t="s">
        <v>988</v>
      </c>
      <c r="H2069" s="5">
        <v>6</v>
      </c>
      <c r="I2069" s="5" t="str">
        <f>VLOOKUP(F2069,'Set up'!$A$2:$C$70,3,FALSE)</f>
        <v>Cash</v>
      </c>
      <c r="J2069" s="5">
        <f>VLOOKUP(F2069,'Set up'!$A$2:$D$70,4,FALSE)</f>
        <v>0</v>
      </c>
      <c r="K2069" s="4">
        <f t="shared" si="502"/>
        <v>45175</v>
      </c>
      <c r="L2069" s="5">
        <f t="shared" si="503"/>
        <v>9</v>
      </c>
      <c r="M2069" s="5">
        <f t="shared" si="504"/>
        <v>2023</v>
      </c>
      <c r="N2069" s="96">
        <v>1404</v>
      </c>
      <c r="O2069" s="6">
        <f t="shared" si="507"/>
        <v>-1404</v>
      </c>
      <c r="P2069" s="6">
        <f t="shared" si="498"/>
        <v>0</v>
      </c>
      <c r="Q2069" s="7">
        <f t="shared" si="505"/>
        <v>3570446.9500000016</v>
      </c>
      <c r="R2069" s="44" t="str">
        <f>VLOOKUP(F2069,'Set up'!$A$2:$E$70,5,FALSE)</f>
        <v>Cash</v>
      </c>
      <c r="S2069" s="1" t="s">
        <v>1972</v>
      </c>
    </row>
    <row r="2070" spans="1:19" ht="15" customHeight="1" x14ac:dyDescent="0.3">
      <c r="A2070" s="4">
        <v>45175</v>
      </c>
      <c r="B2070" s="5">
        <f t="shared" si="500"/>
        <v>9</v>
      </c>
      <c r="C2070" s="5">
        <f t="shared" si="501"/>
        <v>2023</v>
      </c>
      <c r="D2070" s="88" t="s">
        <v>1885</v>
      </c>
      <c r="E2070" s="5" t="str">
        <f>VLOOKUP(F2070,'Set up'!$A$2:$C$70,2,FALSE)</f>
        <v>C00000014</v>
      </c>
      <c r="F2070" s="1" t="s">
        <v>262</v>
      </c>
      <c r="G2070" s="99" t="s">
        <v>1468</v>
      </c>
      <c r="H2070" s="5">
        <v>2</v>
      </c>
      <c r="I2070" s="5" t="str">
        <f>VLOOKUP(F2070,'Set up'!$A$2:$C$70,3,FALSE)</f>
        <v>Cash</v>
      </c>
      <c r="J2070" s="5">
        <f>VLOOKUP(F2070,'Set up'!$A$2:$D$70,4,FALSE)</f>
        <v>0</v>
      </c>
      <c r="K2070" s="4">
        <f t="shared" si="502"/>
        <v>45175</v>
      </c>
      <c r="L2070" s="5">
        <f t="shared" si="503"/>
        <v>9</v>
      </c>
      <c r="M2070" s="5">
        <f t="shared" si="504"/>
        <v>2023</v>
      </c>
      <c r="N2070" s="96">
        <v>645</v>
      </c>
      <c r="O2070" s="6">
        <f t="shared" si="507"/>
        <v>-645</v>
      </c>
      <c r="P2070" s="6">
        <f t="shared" si="498"/>
        <v>0</v>
      </c>
      <c r="Q2070" s="7">
        <f t="shared" si="505"/>
        <v>3571091.9500000016</v>
      </c>
      <c r="R2070" s="44" t="str">
        <f>VLOOKUP(F2070,'Set up'!$A$2:$E$70,5,FALSE)</f>
        <v>Cash</v>
      </c>
      <c r="S2070" s="1" t="s">
        <v>1972</v>
      </c>
    </row>
    <row r="2071" spans="1:19" ht="15" customHeight="1" x14ac:dyDescent="0.3">
      <c r="A2071" s="4">
        <v>45175</v>
      </c>
      <c r="B2071" s="5">
        <f t="shared" si="500"/>
        <v>9</v>
      </c>
      <c r="C2071" s="5">
        <f t="shared" si="501"/>
        <v>2023</v>
      </c>
      <c r="D2071" s="88" t="s">
        <v>1885</v>
      </c>
      <c r="E2071" s="5" t="str">
        <f>VLOOKUP(F2071,'Set up'!$A$2:$C$70,2,FALSE)</f>
        <v>C00000014</v>
      </c>
      <c r="F2071" s="1" t="s">
        <v>262</v>
      </c>
      <c r="G2071" s="99" t="s">
        <v>1886</v>
      </c>
      <c r="H2071" s="5">
        <v>2</v>
      </c>
      <c r="I2071" s="5" t="str">
        <f>VLOOKUP(F2071,'Set up'!$A$2:$C$70,3,FALSE)</f>
        <v>Cash</v>
      </c>
      <c r="J2071" s="5">
        <f>VLOOKUP(F2071,'Set up'!$A$2:$D$70,4,FALSE)</f>
        <v>0</v>
      </c>
      <c r="K2071" s="4">
        <f t="shared" si="502"/>
        <v>45175</v>
      </c>
      <c r="L2071" s="5">
        <f t="shared" si="503"/>
        <v>9</v>
      </c>
      <c r="M2071" s="5">
        <f t="shared" si="504"/>
        <v>2023</v>
      </c>
      <c r="N2071" s="96">
        <v>320</v>
      </c>
      <c r="O2071" s="6">
        <f t="shared" si="507"/>
        <v>-320</v>
      </c>
      <c r="P2071" s="6">
        <f t="shared" si="498"/>
        <v>0</v>
      </c>
      <c r="Q2071" s="7">
        <f t="shared" si="505"/>
        <v>3571411.9500000016</v>
      </c>
      <c r="R2071" s="44" t="str">
        <f>VLOOKUP(F2071,'Set up'!$A$2:$E$70,5,FALSE)</f>
        <v>Cash</v>
      </c>
      <c r="S2071" s="1" t="s">
        <v>1972</v>
      </c>
    </row>
    <row r="2072" spans="1:19" ht="15" customHeight="1" x14ac:dyDescent="0.3">
      <c r="A2072" s="4">
        <v>45175</v>
      </c>
      <c r="B2072" s="5">
        <f t="shared" si="500"/>
        <v>9</v>
      </c>
      <c r="C2072" s="5">
        <f t="shared" si="501"/>
        <v>2023</v>
      </c>
      <c r="D2072" s="88" t="s">
        <v>1885</v>
      </c>
      <c r="E2072" s="5" t="str">
        <f>VLOOKUP(F2072,'Set up'!$A$2:$C$70,2,FALSE)</f>
        <v>C00000014</v>
      </c>
      <c r="F2072" s="1" t="s">
        <v>262</v>
      </c>
      <c r="G2072" s="99" t="s">
        <v>1715</v>
      </c>
      <c r="H2072" s="5">
        <v>1</v>
      </c>
      <c r="I2072" s="5" t="str">
        <f>VLOOKUP(F2072,'Set up'!$A$2:$C$70,3,FALSE)</f>
        <v>Cash</v>
      </c>
      <c r="J2072" s="5">
        <f>VLOOKUP(F2072,'Set up'!$A$2:$D$70,4,FALSE)</f>
        <v>0</v>
      </c>
      <c r="K2072" s="4">
        <f t="shared" si="502"/>
        <v>45175</v>
      </c>
      <c r="L2072" s="5">
        <f t="shared" si="503"/>
        <v>9</v>
      </c>
      <c r="M2072" s="5">
        <f t="shared" si="504"/>
        <v>2023</v>
      </c>
      <c r="N2072" s="96">
        <v>165</v>
      </c>
      <c r="O2072" s="6">
        <f t="shared" si="507"/>
        <v>-165</v>
      </c>
      <c r="P2072" s="6">
        <f t="shared" si="498"/>
        <v>0</v>
      </c>
      <c r="Q2072" s="7">
        <f t="shared" si="505"/>
        <v>3571576.9500000016</v>
      </c>
      <c r="R2072" s="44" t="str">
        <f>VLOOKUP(F2072,'Set up'!$A$2:$E$70,5,FALSE)</f>
        <v>Cash</v>
      </c>
      <c r="S2072" s="1" t="s">
        <v>1972</v>
      </c>
    </row>
    <row r="2073" spans="1:19" ht="15" customHeight="1" x14ac:dyDescent="0.3">
      <c r="A2073" s="4">
        <v>45175</v>
      </c>
      <c r="B2073" s="5">
        <f t="shared" si="500"/>
        <v>9</v>
      </c>
      <c r="C2073" s="5">
        <f t="shared" si="501"/>
        <v>2023</v>
      </c>
      <c r="D2073" s="88" t="s">
        <v>1885</v>
      </c>
      <c r="E2073" s="5" t="str">
        <f>VLOOKUP(F2073,'Set up'!$A$2:$C$70,2,FALSE)</f>
        <v>C00000014</v>
      </c>
      <c r="F2073" s="1" t="s">
        <v>262</v>
      </c>
      <c r="G2073" s="99" t="s">
        <v>1061</v>
      </c>
      <c r="H2073" s="5">
        <v>1</v>
      </c>
      <c r="I2073" s="5" t="str">
        <f>VLOOKUP(F2073,'Set up'!$A$2:$C$70,3,FALSE)</f>
        <v>Cash</v>
      </c>
      <c r="J2073" s="5">
        <f>VLOOKUP(F2073,'Set up'!$A$2:$D$70,4,FALSE)</f>
        <v>0</v>
      </c>
      <c r="K2073" s="4">
        <f t="shared" si="502"/>
        <v>45175</v>
      </c>
      <c r="L2073" s="5">
        <f t="shared" si="503"/>
        <v>9</v>
      </c>
      <c r="M2073" s="5">
        <f t="shared" si="504"/>
        <v>2023</v>
      </c>
      <c r="N2073" s="96">
        <v>95</v>
      </c>
      <c r="O2073" s="6">
        <f t="shared" si="507"/>
        <v>-95</v>
      </c>
      <c r="P2073" s="6">
        <f t="shared" si="498"/>
        <v>0</v>
      </c>
      <c r="Q2073" s="7">
        <f t="shared" si="505"/>
        <v>3571671.9500000016</v>
      </c>
      <c r="R2073" s="44" t="str">
        <f>VLOOKUP(F2073,'Set up'!$A$2:$E$70,5,FALSE)</f>
        <v>Cash</v>
      </c>
      <c r="S2073" s="1" t="s">
        <v>1972</v>
      </c>
    </row>
    <row r="2074" spans="1:19" ht="15" customHeight="1" x14ac:dyDescent="0.3">
      <c r="A2074" s="4">
        <v>45175</v>
      </c>
      <c r="B2074" s="5">
        <f t="shared" si="500"/>
        <v>9</v>
      </c>
      <c r="C2074" s="5">
        <f t="shared" si="501"/>
        <v>2023</v>
      </c>
      <c r="D2074" s="88" t="s">
        <v>1887</v>
      </c>
      <c r="E2074" s="5" t="str">
        <f>VLOOKUP(F2074,'Set up'!$A$2:$C$70,2,FALSE)</f>
        <v>C00000014</v>
      </c>
      <c r="F2074" s="1" t="s">
        <v>262</v>
      </c>
      <c r="G2074" s="99" t="s">
        <v>1110</v>
      </c>
      <c r="H2074" s="5">
        <v>1</v>
      </c>
      <c r="I2074" s="5" t="str">
        <f>VLOOKUP(F2074,'Set up'!$A$2:$C$70,3,FALSE)</f>
        <v>Cash</v>
      </c>
      <c r="J2074" s="5">
        <f>VLOOKUP(F2074,'Set up'!$A$2:$D$70,4,FALSE)</f>
        <v>0</v>
      </c>
      <c r="K2074" s="4">
        <f t="shared" si="502"/>
        <v>45175</v>
      </c>
      <c r="L2074" s="5">
        <f t="shared" si="503"/>
        <v>9</v>
      </c>
      <c r="M2074" s="5">
        <f t="shared" si="504"/>
        <v>2023</v>
      </c>
      <c r="N2074" s="96">
        <v>62.5</v>
      </c>
      <c r="O2074" s="6">
        <f t="shared" si="507"/>
        <v>-62.5</v>
      </c>
      <c r="P2074" s="6">
        <f t="shared" si="498"/>
        <v>0</v>
      </c>
      <c r="Q2074" s="7">
        <f t="shared" si="505"/>
        <v>3571734.4500000016</v>
      </c>
      <c r="R2074" s="44" t="str">
        <f>VLOOKUP(F2074,'Set up'!$A$2:$E$70,5,FALSE)</f>
        <v>Cash</v>
      </c>
      <c r="S2074" s="1" t="s">
        <v>1972</v>
      </c>
    </row>
    <row r="2075" spans="1:19" ht="15" customHeight="1" x14ac:dyDescent="0.3">
      <c r="A2075" s="4">
        <v>45176</v>
      </c>
      <c r="B2075" s="5">
        <f t="shared" si="500"/>
        <v>9</v>
      </c>
      <c r="C2075" s="5">
        <f t="shared" si="501"/>
        <v>2023</v>
      </c>
      <c r="D2075" s="88" t="s">
        <v>1888</v>
      </c>
      <c r="E2075" s="5" t="str">
        <f>VLOOKUP(F2075,'Set up'!$A$2:$C$70,2,FALSE)</f>
        <v>C00000021</v>
      </c>
      <c r="F2075" s="1" t="s">
        <v>491</v>
      </c>
      <c r="G2075" s="107" t="s">
        <v>716</v>
      </c>
      <c r="H2075" s="5">
        <v>1</v>
      </c>
      <c r="I2075" s="5" t="str">
        <f>VLOOKUP(F2075,'Set up'!$A$2:$C$70,3,FALSE)</f>
        <v>Cash</v>
      </c>
      <c r="J2075" s="5">
        <f>VLOOKUP(F2075,'Set up'!$A$2:$D$70,4,FALSE)</f>
        <v>0</v>
      </c>
      <c r="K2075" s="4">
        <f t="shared" si="502"/>
        <v>45176</v>
      </c>
      <c r="L2075" s="5">
        <f t="shared" si="503"/>
        <v>9</v>
      </c>
      <c r="M2075" s="5">
        <f t="shared" si="504"/>
        <v>2023</v>
      </c>
      <c r="N2075" s="96">
        <v>1738</v>
      </c>
      <c r="O2075" s="6">
        <f t="shared" si="507"/>
        <v>-1738</v>
      </c>
      <c r="P2075" s="6">
        <f t="shared" si="498"/>
        <v>0</v>
      </c>
      <c r="Q2075" s="7">
        <f t="shared" si="505"/>
        <v>3573472.4500000016</v>
      </c>
      <c r="R2075" s="44" t="str">
        <f>VLOOKUP(F2075,'Set up'!$A$2:$E$70,5,FALSE)</f>
        <v>PD Chq</v>
      </c>
      <c r="S2075" s="1" t="s">
        <v>2457</v>
      </c>
    </row>
    <row r="2076" spans="1:19" ht="15" customHeight="1" x14ac:dyDescent="0.3">
      <c r="A2076" s="4">
        <v>45176</v>
      </c>
      <c r="B2076" s="5">
        <f t="shared" si="500"/>
        <v>9</v>
      </c>
      <c r="C2076" s="5">
        <f t="shared" si="501"/>
        <v>2023</v>
      </c>
      <c r="D2076" s="88" t="s">
        <v>1888</v>
      </c>
      <c r="E2076" s="5" t="str">
        <f>VLOOKUP(F2076,'Set up'!$A$2:$C$70,2,FALSE)</f>
        <v>C00000021</v>
      </c>
      <c r="F2076" s="1" t="s">
        <v>491</v>
      </c>
      <c r="G2076" s="99" t="s">
        <v>654</v>
      </c>
      <c r="H2076" s="5">
        <v>2</v>
      </c>
      <c r="I2076" s="5" t="str">
        <f>VLOOKUP(F2076,'Set up'!$A$2:$C$70,3,FALSE)</f>
        <v>Cash</v>
      </c>
      <c r="J2076" s="5">
        <f>VLOOKUP(F2076,'Set up'!$A$2:$D$70,4,FALSE)</f>
        <v>0</v>
      </c>
      <c r="K2076" s="4">
        <f t="shared" si="502"/>
        <v>45176</v>
      </c>
      <c r="L2076" s="5">
        <f t="shared" si="503"/>
        <v>9</v>
      </c>
      <c r="M2076" s="5">
        <f t="shared" si="504"/>
        <v>2023</v>
      </c>
      <c r="N2076" s="96">
        <v>468</v>
      </c>
      <c r="O2076" s="6">
        <f t="shared" si="507"/>
        <v>-468</v>
      </c>
      <c r="P2076" s="6">
        <f t="shared" si="498"/>
        <v>0</v>
      </c>
      <c r="Q2076" s="7">
        <f t="shared" si="505"/>
        <v>3573940.4500000016</v>
      </c>
      <c r="R2076" s="44" t="str">
        <f>VLOOKUP(F2076,'Set up'!$A$2:$E$70,5,FALSE)</f>
        <v>PD Chq</v>
      </c>
      <c r="S2076" s="1" t="s">
        <v>2457</v>
      </c>
    </row>
    <row r="2077" spans="1:19" ht="15" customHeight="1" x14ac:dyDescent="0.3">
      <c r="A2077" s="4">
        <v>45176</v>
      </c>
      <c r="B2077" s="5">
        <f t="shared" si="500"/>
        <v>9</v>
      </c>
      <c r="C2077" s="5">
        <f t="shared" si="501"/>
        <v>2023</v>
      </c>
      <c r="D2077" s="88" t="s">
        <v>1888</v>
      </c>
      <c r="E2077" s="5" t="str">
        <f>VLOOKUP(F2077,'Set up'!$A$2:$C$70,2,FALSE)</f>
        <v>C00000021</v>
      </c>
      <c r="F2077" s="1" t="s">
        <v>491</v>
      </c>
      <c r="G2077" s="99" t="s">
        <v>1061</v>
      </c>
      <c r="H2077" s="5">
        <v>1</v>
      </c>
      <c r="I2077" s="5" t="str">
        <f>VLOOKUP(F2077,'Set up'!$A$2:$C$70,3,FALSE)</f>
        <v>Cash</v>
      </c>
      <c r="J2077" s="5">
        <f>VLOOKUP(F2077,'Set up'!$A$2:$D$70,4,FALSE)</f>
        <v>0</v>
      </c>
      <c r="K2077" s="4">
        <f t="shared" si="502"/>
        <v>45176</v>
      </c>
      <c r="L2077" s="5">
        <f t="shared" si="503"/>
        <v>9</v>
      </c>
      <c r="M2077" s="5">
        <f t="shared" si="504"/>
        <v>2023</v>
      </c>
      <c r="N2077" s="96">
        <v>95</v>
      </c>
      <c r="O2077" s="6">
        <f t="shared" si="507"/>
        <v>-95</v>
      </c>
      <c r="P2077" s="6">
        <f t="shared" si="498"/>
        <v>0</v>
      </c>
      <c r="Q2077" s="7">
        <f t="shared" si="505"/>
        <v>3574035.4500000016</v>
      </c>
      <c r="R2077" s="44" t="str">
        <f>VLOOKUP(F2077,'Set up'!$A$2:$E$70,5,FALSE)</f>
        <v>PD Chq</v>
      </c>
      <c r="S2077" s="1" t="s">
        <v>2457</v>
      </c>
    </row>
    <row r="2078" spans="1:19" ht="15" customHeight="1" x14ac:dyDescent="0.3">
      <c r="A2078" s="4">
        <v>45176</v>
      </c>
      <c r="B2078" s="5">
        <f t="shared" si="500"/>
        <v>9</v>
      </c>
      <c r="C2078" s="5">
        <f t="shared" si="501"/>
        <v>2023</v>
      </c>
      <c r="D2078" s="88" t="s">
        <v>1888</v>
      </c>
      <c r="E2078" s="5" t="str">
        <f>VLOOKUP(F2078,'Set up'!$A$2:$C$70,2,FALSE)</f>
        <v>C00000021</v>
      </c>
      <c r="F2078" s="1" t="s">
        <v>491</v>
      </c>
      <c r="G2078" s="99" t="s">
        <v>1110</v>
      </c>
      <c r="H2078" s="5">
        <v>5</v>
      </c>
      <c r="I2078" s="5" t="str">
        <f>VLOOKUP(F2078,'Set up'!$A$2:$C$70,3,FALSE)</f>
        <v>Cash</v>
      </c>
      <c r="J2078" s="5">
        <f>VLOOKUP(F2078,'Set up'!$A$2:$D$70,4,FALSE)</f>
        <v>0</v>
      </c>
      <c r="K2078" s="4">
        <f t="shared" si="502"/>
        <v>45176</v>
      </c>
      <c r="L2078" s="5">
        <f t="shared" si="503"/>
        <v>9</v>
      </c>
      <c r="M2078" s="5">
        <f t="shared" si="504"/>
        <v>2023</v>
      </c>
      <c r="N2078" s="96">
        <v>312.5</v>
      </c>
      <c r="O2078" s="6">
        <f t="shared" si="507"/>
        <v>-312.5</v>
      </c>
      <c r="P2078" s="6">
        <f t="shared" si="498"/>
        <v>0</v>
      </c>
      <c r="Q2078" s="7">
        <f t="shared" si="505"/>
        <v>3574347.9500000016</v>
      </c>
      <c r="R2078" s="44" t="str">
        <f>VLOOKUP(F2078,'Set up'!$A$2:$E$70,5,FALSE)</f>
        <v>PD Chq</v>
      </c>
      <c r="S2078" s="1" t="s">
        <v>2457</v>
      </c>
    </row>
    <row r="2079" spans="1:19" ht="15" customHeight="1" x14ac:dyDescent="0.3">
      <c r="A2079" s="4">
        <v>45177</v>
      </c>
      <c r="B2079" s="5">
        <f t="shared" si="500"/>
        <v>9</v>
      </c>
      <c r="C2079" s="5">
        <f t="shared" si="501"/>
        <v>2023</v>
      </c>
      <c r="D2079" s="88" t="s">
        <v>1889</v>
      </c>
      <c r="E2079" s="5" t="str">
        <f>VLOOKUP(F2079,'Set up'!$A$2:$C$70,2,FALSE)</f>
        <v>C00000019</v>
      </c>
      <c r="F2079" s="1" t="s">
        <v>400</v>
      </c>
      <c r="G2079" s="99" t="s">
        <v>95</v>
      </c>
      <c r="H2079" s="5">
        <v>1</v>
      </c>
      <c r="I2079" s="5" t="str">
        <f>VLOOKUP(F2079,'Set up'!$A$2:$C$70,3,FALSE)</f>
        <v>Cash</v>
      </c>
      <c r="J2079" s="5">
        <f>VLOOKUP(F2079,'Set up'!$A$2:$D$70,4,FALSE)</f>
        <v>0</v>
      </c>
      <c r="K2079" s="4">
        <f t="shared" si="502"/>
        <v>45177</v>
      </c>
      <c r="L2079" s="5">
        <f t="shared" si="503"/>
        <v>9</v>
      </c>
      <c r="M2079" s="5">
        <f t="shared" si="504"/>
        <v>2023</v>
      </c>
      <c r="N2079" s="96">
        <v>1738</v>
      </c>
      <c r="O2079" s="6">
        <f>-158.6-1500-79.4</f>
        <v>-1738</v>
      </c>
      <c r="P2079" s="6">
        <f t="shared" si="498"/>
        <v>0</v>
      </c>
      <c r="Q2079" s="7">
        <f t="shared" si="505"/>
        <v>3576085.9500000016</v>
      </c>
      <c r="R2079" s="44" t="str">
        <f>VLOOKUP(F2079,'Set up'!$A$2:$E$70,5,FALSE)</f>
        <v>Trsf</v>
      </c>
      <c r="S2079" s="1" t="s">
        <v>2722</v>
      </c>
    </row>
    <row r="2080" spans="1:19" ht="15" customHeight="1" x14ac:dyDescent="0.3">
      <c r="A2080" s="4">
        <v>45177</v>
      </c>
      <c r="B2080" s="5">
        <f t="shared" si="500"/>
        <v>9</v>
      </c>
      <c r="C2080" s="5">
        <f t="shared" si="501"/>
        <v>2023</v>
      </c>
      <c r="D2080" s="88" t="s">
        <v>1889</v>
      </c>
      <c r="E2080" s="5" t="str">
        <f>VLOOKUP(F2080,'Set up'!$A$2:$C$70,2,FALSE)</f>
        <v>C00000019</v>
      </c>
      <c r="F2080" s="1" t="s">
        <v>400</v>
      </c>
      <c r="G2080" s="99" t="s">
        <v>1612</v>
      </c>
      <c r="H2080" s="5">
        <v>1</v>
      </c>
      <c r="I2080" s="5" t="str">
        <f>VLOOKUP(F2080,'Set up'!$A$2:$C$70,3,FALSE)</f>
        <v>Cash</v>
      </c>
      <c r="J2080" s="5">
        <f>VLOOKUP(F2080,'Set up'!$A$2:$D$70,4,FALSE)</f>
        <v>0</v>
      </c>
      <c r="K2080" s="4">
        <f t="shared" si="502"/>
        <v>45177</v>
      </c>
      <c r="L2080" s="5">
        <f t="shared" si="503"/>
        <v>9</v>
      </c>
      <c r="M2080" s="5">
        <f t="shared" si="504"/>
        <v>2023</v>
      </c>
      <c r="N2080" s="96">
        <v>522.6</v>
      </c>
      <c r="O2080" s="6">
        <f t="shared" ref="O2080:O2083" si="508">-N2080</f>
        <v>-522.6</v>
      </c>
      <c r="P2080" s="6">
        <f t="shared" si="498"/>
        <v>0</v>
      </c>
      <c r="Q2080" s="7">
        <f t="shared" si="505"/>
        <v>3576608.5500000017</v>
      </c>
      <c r="R2080" s="44" t="str">
        <f>VLOOKUP(F2080,'Set up'!$A$2:$E$70,5,FALSE)</f>
        <v>Trsf</v>
      </c>
      <c r="S2080" s="1" t="s">
        <v>2723</v>
      </c>
    </row>
    <row r="2081" spans="1:19" ht="15" customHeight="1" x14ac:dyDescent="0.3">
      <c r="A2081" s="4">
        <v>45177</v>
      </c>
      <c r="B2081" s="5">
        <f t="shared" si="500"/>
        <v>9</v>
      </c>
      <c r="C2081" s="5">
        <f t="shared" si="501"/>
        <v>2023</v>
      </c>
      <c r="D2081" s="88" t="s">
        <v>1889</v>
      </c>
      <c r="E2081" s="5" t="str">
        <f>VLOOKUP(F2081,'Set up'!$A$2:$C$70,2,FALSE)</f>
        <v>C00000019</v>
      </c>
      <c r="F2081" s="1" t="s">
        <v>400</v>
      </c>
      <c r="G2081" s="99" t="s">
        <v>791</v>
      </c>
      <c r="H2081" s="5">
        <v>4</v>
      </c>
      <c r="I2081" s="5" t="str">
        <f>VLOOKUP(F2081,'Set up'!$A$2:$C$70,3,FALSE)</f>
        <v>Cash</v>
      </c>
      <c r="J2081" s="5">
        <f>VLOOKUP(F2081,'Set up'!$A$2:$D$70,4,FALSE)</f>
        <v>0</v>
      </c>
      <c r="K2081" s="4">
        <f t="shared" si="502"/>
        <v>45177</v>
      </c>
      <c r="L2081" s="5">
        <f t="shared" si="503"/>
        <v>9</v>
      </c>
      <c r="M2081" s="5">
        <f t="shared" si="504"/>
        <v>2023</v>
      </c>
      <c r="N2081" s="96">
        <v>250</v>
      </c>
      <c r="O2081" s="6">
        <f t="shared" si="508"/>
        <v>-250</v>
      </c>
      <c r="P2081" s="6">
        <f t="shared" si="498"/>
        <v>0</v>
      </c>
      <c r="Q2081" s="7">
        <f t="shared" si="505"/>
        <v>3576858.5500000017</v>
      </c>
      <c r="R2081" s="44" t="str">
        <f>VLOOKUP(F2081,'Set up'!$A$2:$E$70,5,FALSE)</f>
        <v>Trsf</v>
      </c>
      <c r="S2081" s="1" t="s">
        <v>2724</v>
      </c>
    </row>
    <row r="2082" spans="1:19" ht="15" customHeight="1" x14ac:dyDescent="0.3">
      <c r="A2082" s="4">
        <v>45177</v>
      </c>
      <c r="B2082" s="5">
        <f t="shared" si="500"/>
        <v>9</v>
      </c>
      <c r="C2082" s="5">
        <f t="shared" si="501"/>
        <v>2023</v>
      </c>
      <c r="D2082" s="88" t="s">
        <v>1889</v>
      </c>
      <c r="E2082" s="5" t="str">
        <f>VLOOKUP(F2082,'Set up'!$A$2:$C$70,2,FALSE)</f>
        <v>C00000019</v>
      </c>
      <c r="F2082" s="1" t="s">
        <v>400</v>
      </c>
      <c r="G2082" s="99" t="s">
        <v>46</v>
      </c>
      <c r="H2082" s="5">
        <v>1</v>
      </c>
      <c r="I2082" s="5" t="str">
        <f>VLOOKUP(F2082,'Set up'!$A$2:$C$70,3,FALSE)</f>
        <v>Cash</v>
      </c>
      <c r="J2082" s="5">
        <f>VLOOKUP(F2082,'Set up'!$A$2:$D$70,4,FALSE)</f>
        <v>0</v>
      </c>
      <c r="K2082" s="4">
        <f t="shared" si="502"/>
        <v>45177</v>
      </c>
      <c r="L2082" s="5">
        <f t="shared" si="503"/>
        <v>9</v>
      </c>
      <c r="M2082" s="5">
        <f t="shared" si="504"/>
        <v>2023</v>
      </c>
      <c r="N2082" s="96">
        <v>105</v>
      </c>
      <c r="O2082" s="6">
        <f t="shared" si="508"/>
        <v>-105</v>
      </c>
      <c r="P2082" s="6">
        <f t="shared" si="498"/>
        <v>0</v>
      </c>
      <c r="Q2082" s="7">
        <f t="shared" si="505"/>
        <v>3576963.5500000017</v>
      </c>
      <c r="R2082" s="44" t="str">
        <f>VLOOKUP(F2082,'Set up'!$A$2:$E$70,5,FALSE)</f>
        <v>Trsf</v>
      </c>
      <c r="S2082" s="1" t="s">
        <v>2725</v>
      </c>
    </row>
    <row r="2083" spans="1:19" ht="15" customHeight="1" x14ac:dyDescent="0.3">
      <c r="A2083" s="4">
        <v>45177</v>
      </c>
      <c r="B2083" s="5">
        <f t="shared" si="500"/>
        <v>9</v>
      </c>
      <c r="C2083" s="5">
        <f t="shared" si="501"/>
        <v>2023</v>
      </c>
      <c r="D2083" s="88" t="s">
        <v>1889</v>
      </c>
      <c r="E2083" s="5" t="str">
        <f>VLOOKUP(F2083,'Set up'!$A$2:$C$70,2,FALSE)</f>
        <v>C00000019</v>
      </c>
      <c r="F2083" s="1" t="s">
        <v>400</v>
      </c>
      <c r="G2083" s="99" t="s">
        <v>1469</v>
      </c>
      <c r="H2083" s="5">
        <v>1</v>
      </c>
      <c r="I2083" s="5" t="str">
        <f>VLOOKUP(F2083,'Set up'!$A$2:$C$70,3,FALSE)</f>
        <v>Cash</v>
      </c>
      <c r="J2083" s="5">
        <f>VLOOKUP(F2083,'Set up'!$A$2:$D$70,4,FALSE)</f>
        <v>0</v>
      </c>
      <c r="K2083" s="4">
        <f t="shared" si="502"/>
        <v>45177</v>
      </c>
      <c r="L2083" s="5">
        <f t="shared" si="503"/>
        <v>9</v>
      </c>
      <c r="M2083" s="5">
        <f t="shared" si="504"/>
        <v>2023</v>
      </c>
      <c r="N2083" s="96">
        <v>390</v>
      </c>
      <c r="O2083" s="6">
        <f t="shared" si="508"/>
        <v>-390</v>
      </c>
      <c r="P2083" s="6">
        <f t="shared" si="498"/>
        <v>0</v>
      </c>
      <c r="Q2083" s="7">
        <f t="shared" si="505"/>
        <v>3577353.5500000017</v>
      </c>
      <c r="R2083" s="44" t="str">
        <f>VLOOKUP(F2083,'Set up'!$A$2:$E$70,5,FALSE)</f>
        <v>Trsf</v>
      </c>
      <c r="S2083" s="1" t="s">
        <v>2726</v>
      </c>
    </row>
    <row r="2084" spans="1:19" ht="15" customHeight="1" x14ac:dyDescent="0.3">
      <c r="A2084" s="4">
        <v>45177</v>
      </c>
      <c r="B2084" s="5">
        <f t="shared" si="500"/>
        <v>9</v>
      </c>
      <c r="C2084" s="5">
        <f t="shared" si="501"/>
        <v>2023</v>
      </c>
      <c r="D2084" s="88" t="s">
        <v>1890</v>
      </c>
      <c r="E2084" s="5" t="str">
        <f>VLOOKUP(F2084,'Set up'!$A$2:$C$70,2,FALSE)</f>
        <v>C00000009</v>
      </c>
      <c r="F2084" s="1" t="s">
        <v>58</v>
      </c>
      <c r="G2084" s="11" t="s">
        <v>949</v>
      </c>
      <c r="H2084" s="5">
        <v>12</v>
      </c>
      <c r="I2084" s="5">
        <f>VLOOKUP(F2084,'Set up'!$A$2:$C$70,3,FALSE)</f>
        <v>60</v>
      </c>
      <c r="J2084" s="5">
        <f>VLOOKUP(F2084,'Set up'!$A$2:$D$70,4,FALSE)</f>
        <v>60</v>
      </c>
      <c r="K2084" s="4">
        <f t="shared" si="502"/>
        <v>45237</v>
      </c>
      <c r="L2084" s="5">
        <f t="shared" si="503"/>
        <v>11</v>
      </c>
      <c r="M2084" s="5">
        <f t="shared" si="504"/>
        <v>2023</v>
      </c>
      <c r="N2084" s="96">
        <v>540</v>
      </c>
      <c r="O2084" s="6">
        <f t="shared" ref="O2084" si="509">-N2084</f>
        <v>-540</v>
      </c>
      <c r="P2084" s="6">
        <f t="shared" si="498"/>
        <v>0</v>
      </c>
      <c r="Q2084" s="7">
        <f t="shared" si="505"/>
        <v>3577893.5500000017</v>
      </c>
      <c r="R2084" s="44" t="str">
        <f>VLOOKUP(F2084,'Set up'!$A$2:$E$70,5,FALSE)</f>
        <v>Chq</v>
      </c>
      <c r="S2084" s="1" t="s">
        <v>2254</v>
      </c>
    </row>
    <row r="2085" spans="1:19" ht="15" customHeight="1" x14ac:dyDescent="0.3">
      <c r="A2085" s="4">
        <v>45178</v>
      </c>
      <c r="B2085" s="5">
        <f t="shared" si="500"/>
        <v>9</v>
      </c>
      <c r="C2085" s="5">
        <f t="shared" si="501"/>
        <v>2023</v>
      </c>
      <c r="D2085" s="88" t="s">
        <v>1891</v>
      </c>
      <c r="E2085" s="5" t="str">
        <f>VLOOKUP(F2085,'Set up'!$A$2:$C$70,2,FALSE)</f>
        <v>C00000020</v>
      </c>
      <c r="F2085" s="1" t="s">
        <v>409</v>
      </c>
      <c r="G2085" s="103" t="s">
        <v>1110</v>
      </c>
      <c r="H2085" s="5">
        <v>2</v>
      </c>
      <c r="I2085" s="5" t="str">
        <f>VLOOKUP(F2085,'Set up'!$A$2:$C$70,3,FALSE)</f>
        <v>Cash</v>
      </c>
      <c r="J2085" s="5">
        <f>VLOOKUP(F2085,'Set up'!$A$2:$D$70,4,FALSE)</f>
        <v>0</v>
      </c>
      <c r="K2085" s="4">
        <f t="shared" si="502"/>
        <v>45178</v>
      </c>
      <c r="L2085" s="5">
        <f t="shared" si="503"/>
        <v>9</v>
      </c>
      <c r="M2085" s="5">
        <f t="shared" si="504"/>
        <v>2023</v>
      </c>
      <c r="N2085" s="96">
        <v>125</v>
      </c>
      <c r="O2085" s="6">
        <f>-N2085</f>
        <v>-125</v>
      </c>
      <c r="P2085" s="6">
        <f t="shared" si="498"/>
        <v>0</v>
      </c>
      <c r="Q2085" s="7">
        <f t="shared" si="505"/>
        <v>3578018.5500000017</v>
      </c>
      <c r="R2085" s="44" t="str">
        <f>VLOOKUP(F2085,'Set up'!$A$2:$E$70,5,FALSE)</f>
        <v>Trsf</v>
      </c>
      <c r="S2085" s="1" t="s">
        <v>2584</v>
      </c>
    </row>
    <row r="2086" spans="1:19" ht="15" customHeight="1" x14ac:dyDescent="0.3">
      <c r="A2086" s="4">
        <v>45178</v>
      </c>
      <c r="B2086" s="5">
        <f t="shared" si="500"/>
        <v>9</v>
      </c>
      <c r="C2086" s="5">
        <f t="shared" si="501"/>
        <v>2023</v>
      </c>
      <c r="D2086" s="88" t="s">
        <v>1892</v>
      </c>
      <c r="E2086" s="5" t="str">
        <f>VLOOKUP(F2086,'Set up'!$A$2:$C$70,2,FALSE)</f>
        <v>C00000020</v>
      </c>
      <c r="F2086" s="1" t="s">
        <v>409</v>
      </c>
      <c r="G2086" s="103" t="s">
        <v>1733</v>
      </c>
      <c r="H2086" s="5">
        <v>2</v>
      </c>
      <c r="I2086" s="5" t="str">
        <f>VLOOKUP(F2086,'Set up'!$A$2:$C$70,3,FALSE)</f>
        <v>Cash</v>
      </c>
      <c r="J2086" s="5">
        <f>VLOOKUP(F2086,'Set up'!$A$2:$D$70,4,FALSE)</f>
        <v>0</v>
      </c>
      <c r="K2086" s="4">
        <f t="shared" si="502"/>
        <v>45178</v>
      </c>
      <c r="L2086" s="5">
        <f t="shared" si="503"/>
        <v>9</v>
      </c>
      <c r="M2086" s="5">
        <f t="shared" si="504"/>
        <v>2023</v>
      </c>
      <c r="N2086" s="96">
        <v>3212</v>
      </c>
      <c r="O2086" s="6">
        <f>-N2086</f>
        <v>-3212</v>
      </c>
      <c r="P2086" s="6">
        <f t="shared" si="498"/>
        <v>0</v>
      </c>
      <c r="Q2086" s="7">
        <f t="shared" si="505"/>
        <v>3581230.5500000017</v>
      </c>
      <c r="R2086" s="44" t="str">
        <f>VLOOKUP(F2086,'Set up'!$A$2:$E$70,5,FALSE)</f>
        <v>Trsf</v>
      </c>
      <c r="S2086" s="1" t="s">
        <v>2585</v>
      </c>
    </row>
    <row r="2087" spans="1:19" ht="15" customHeight="1" x14ac:dyDescent="0.3">
      <c r="A2087" s="4">
        <v>45178</v>
      </c>
      <c r="B2087" s="5">
        <f t="shared" si="500"/>
        <v>9</v>
      </c>
      <c r="C2087" s="5">
        <f t="shared" si="501"/>
        <v>2023</v>
      </c>
      <c r="D2087" s="88" t="s">
        <v>1892</v>
      </c>
      <c r="E2087" s="5" t="str">
        <f>VLOOKUP(F2087,'Set up'!$A$2:$C$70,2,FALSE)</f>
        <v>C00000020</v>
      </c>
      <c r="F2087" s="1" t="s">
        <v>409</v>
      </c>
      <c r="G2087" s="90" t="s">
        <v>913</v>
      </c>
      <c r="H2087" s="5">
        <v>6</v>
      </c>
      <c r="I2087" s="5" t="str">
        <f>VLOOKUP(F2087,'Set up'!$A$2:$C$70,3,FALSE)</f>
        <v>Cash</v>
      </c>
      <c r="J2087" s="5">
        <f>VLOOKUP(F2087,'Set up'!$A$2:$D$70,4,FALSE)</f>
        <v>0</v>
      </c>
      <c r="K2087" s="4">
        <f t="shared" si="502"/>
        <v>45178</v>
      </c>
      <c r="L2087" s="5">
        <f t="shared" si="503"/>
        <v>9</v>
      </c>
      <c r="M2087" s="5">
        <f t="shared" si="504"/>
        <v>2023</v>
      </c>
      <c r="N2087" s="96">
        <v>1134</v>
      </c>
      <c r="O2087" s="6">
        <f>-N2087</f>
        <v>-1134</v>
      </c>
      <c r="P2087" s="6">
        <f t="shared" si="498"/>
        <v>0</v>
      </c>
      <c r="Q2087" s="7">
        <f t="shared" si="505"/>
        <v>3582364.5500000017</v>
      </c>
      <c r="R2087" s="44" t="str">
        <f>VLOOKUP(F2087,'Set up'!$A$2:$E$70,5,FALSE)</f>
        <v>Trsf</v>
      </c>
      <c r="S2087" s="1" t="s">
        <v>2582</v>
      </c>
    </row>
    <row r="2088" spans="1:19" ht="15" customHeight="1" x14ac:dyDescent="0.3">
      <c r="A2088" s="4">
        <v>45178</v>
      </c>
      <c r="B2088" s="5">
        <f t="shared" si="500"/>
        <v>9</v>
      </c>
      <c r="C2088" s="5">
        <f t="shared" si="501"/>
        <v>2023</v>
      </c>
      <c r="D2088" s="88" t="s">
        <v>1892</v>
      </c>
      <c r="E2088" s="5" t="str">
        <f>VLOOKUP(F2088,'Set up'!$A$2:$C$70,2,FALSE)</f>
        <v>C00000020</v>
      </c>
      <c r="F2088" s="1" t="s">
        <v>409</v>
      </c>
      <c r="G2088" s="90" t="s">
        <v>778</v>
      </c>
      <c r="H2088" s="5">
        <v>2</v>
      </c>
      <c r="I2088" s="5" t="str">
        <f>VLOOKUP(F2088,'Set up'!$A$2:$C$70,3,FALSE)</f>
        <v>Cash</v>
      </c>
      <c r="J2088" s="5">
        <f>VLOOKUP(F2088,'Set up'!$A$2:$D$70,4,FALSE)</f>
        <v>0</v>
      </c>
      <c r="K2088" s="4">
        <f t="shared" si="502"/>
        <v>45178</v>
      </c>
      <c r="L2088" s="5">
        <f t="shared" si="503"/>
        <v>9</v>
      </c>
      <c r="M2088" s="5">
        <f t="shared" si="504"/>
        <v>2023</v>
      </c>
      <c r="N2088" s="96">
        <v>400</v>
      </c>
      <c r="O2088" s="6">
        <f>-N2088</f>
        <v>-400</v>
      </c>
      <c r="P2088" s="6">
        <f t="shared" si="498"/>
        <v>0</v>
      </c>
      <c r="Q2088" s="7">
        <f t="shared" si="505"/>
        <v>3582764.5500000017</v>
      </c>
      <c r="R2088" s="44" t="str">
        <f>VLOOKUP(F2088,'Set up'!$A$2:$E$70,5,FALSE)</f>
        <v>Trsf</v>
      </c>
      <c r="S2088" s="1" t="s">
        <v>2586</v>
      </c>
    </row>
    <row r="2089" spans="1:19" ht="15" customHeight="1" x14ac:dyDescent="0.3">
      <c r="A2089" s="4">
        <v>45178</v>
      </c>
      <c r="B2089" s="5">
        <f t="shared" si="500"/>
        <v>9</v>
      </c>
      <c r="C2089" s="5">
        <f t="shared" si="501"/>
        <v>2023</v>
      </c>
      <c r="D2089" s="88" t="s">
        <v>1892</v>
      </c>
      <c r="E2089" s="5" t="str">
        <f>VLOOKUP(F2089,'Set up'!$A$2:$C$70,2,FALSE)</f>
        <v>C00000020</v>
      </c>
      <c r="F2089" s="1" t="s">
        <v>409</v>
      </c>
      <c r="G2089" s="90" t="s">
        <v>1073</v>
      </c>
      <c r="H2089" s="5">
        <v>1</v>
      </c>
      <c r="I2089" s="5" t="str">
        <f>VLOOKUP(F2089,'Set up'!$A$2:$C$70,3,FALSE)</f>
        <v>Cash</v>
      </c>
      <c r="J2089" s="5">
        <f>VLOOKUP(F2089,'Set up'!$A$2:$D$70,4,FALSE)</f>
        <v>0</v>
      </c>
      <c r="K2089" s="4">
        <f t="shared" si="502"/>
        <v>45178</v>
      </c>
      <c r="L2089" s="5">
        <f t="shared" si="503"/>
        <v>9</v>
      </c>
      <c r="M2089" s="5">
        <f t="shared" si="504"/>
        <v>2023</v>
      </c>
      <c r="N2089" s="96">
        <v>1000</v>
      </c>
      <c r="O2089" s="6">
        <f>-N2089</f>
        <v>-1000</v>
      </c>
      <c r="P2089" s="6">
        <f t="shared" si="498"/>
        <v>0</v>
      </c>
      <c r="Q2089" s="7">
        <f t="shared" si="505"/>
        <v>3583764.5500000017</v>
      </c>
      <c r="R2089" s="44" t="str">
        <f>VLOOKUP(F2089,'Set up'!$A$2:$E$70,5,FALSE)</f>
        <v>Trsf</v>
      </c>
      <c r="S2089" s="1" t="s">
        <v>2587</v>
      </c>
    </row>
    <row r="2090" spans="1:19" ht="15" customHeight="1" x14ac:dyDescent="0.3">
      <c r="A2090" s="4">
        <v>45178</v>
      </c>
      <c r="B2090" s="5">
        <f t="shared" si="500"/>
        <v>9</v>
      </c>
      <c r="C2090" s="5">
        <f t="shared" si="501"/>
        <v>2023</v>
      </c>
      <c r="D2090" s="88" t="s">
        <v>1893</v>
      </c>
      <c r="E2090" s="5" t="str">
        <f>VLOOKUP(F2090,'Set up'!$A$2:$C$70,2,FALSE)</f>
        <v>C00000040</v>
      </c>
      <c r="F2090" s="1" t="s">
        <v>1702</v>
      </c>
      <c r="G2090" s="99" t="s">
        <v>1118</v>
      </c>
      <c r="H2090" s="5">
        <v>1</v>
      </c>
      <c r="I2090" s="5" t="str">
        <f>VLOOKUP(F2090,'Set up'!$A$2:$C$70,3,FALSE)</f>
        <v>Cash</v>
      </c>
      <c r="J2090" s="5">
        <f>VLOOKUP(F2090,'Set up'!$A$2:$D$70,4,FALSE)</f>
        <v>0</v>
      </c>
      <c r="K2090" s="4">
        <f t="shared" si="502"/>
        <v>45178</v>
      </c>
      <c r="L2090" s="5">
        <f t="shared" si="503"/>
        <v>9</v>
      </c>
      <c r="M2090" s="5">
        <f t="shared" si="504"/>
        <v>2023</v>
      </c>
      <c r="N2090" s="96">
        <v>48</v>
      </c>
      <c r="O2090" s="6">
        <f t="shared" ref="O2090:O2093" si="510">-N2090</f>
        <v>-48</v>
      </c>
      <c r="P2090" s="6">
        <f t="shared" si="498"/>
        <v>0</v>
      </c>
      <c r="Q2090" s="7">
        <f t="shared" si="505"/>
        <v>3583812.5500000017</v>
      </c>
      <c r="R2090" s="44" t="str">
        <f>VLOOKUP(F2090,'Set up'!$A$2:$E$70,5,FALSE)</f>
        <v>Cash</v>
      </c>
      <c r="S2090" s="1" t="s">
        <v>1978</v>
      </c>
    </row>
    <row r="2091" spans="1:19" ht="15" customHeight="1" x14ac:dyDescent="0.3">
      <c r="A2091" s="4">
        <v>45180</v>
      </c>
      <c r="B2091" s="5">
        <f t="shared" si="500"/>
        <v>9</v>
      </c>
      <c r="C2091" s="5">
        <f t="shared" si="501"/>
        <v>2023</v>
      </c>
      <c r="D2091" s="88" t="s">
        <v>1896</v>
      </c>
      <c r="E2091" s="5" t="str">
        <f>VLOOKUP(F2091,'Set up'!$A$2:$C$70,2,FALSE)</f>
        <v>C00000041</v>
      </c>
      <c r="F2091" s="1" t="s">
        <v>1704</v>
      </c>
      <c r="G2091" s="99" t="s">
        <v>1894</v>
      </c>
      <c r="H2091" s="5">
        <v>1</v>
      </c>
      <c r="I2091" s="5" t="str">
        <f>VLOOKUP(F2091,'Set up'!$A$2:$C$70,3,FALSE)</f>
        <v>Cash</v>
      </c>
      <c r="J2091" s="5">
        <f>VLOOKUP(F2091,'Set up'!$A$2:$D$70,4,FALSE)</f>
        <v>0</v>
      </c>
      <c r="K2091" s="4">
        <f t="shared" si="502"/>
        <v>45180</v>
      </c>
      <c r="L2091" s="5">
        <f t="shared" si="503"/>
        <v>9</v>
      </c>
      <c r="M2091" s="5">
        <f t="shared" si="504"/>
        <v>2023</v>
      </c>
      <c r="N2091" s="96">
        <v>1738</v>
      </c>
      <c r="O2091" s="6">
        <f t="shared" si="510"/>
        <v>-1738</v>
      </c>
      <c r="P2091" s="6">
        <f t="shared" si="498"/>
        <v>0</v>
      </c>
      <c r="Q2091" s="7">
        <f t="shared" si="505"/>
        <v>3585550.5500000017</v>
      </c>
      <c r="R2091" s="44" t="str">
        <f>VLOOKUP(F2091,'Set up'!$A$2:$E$70,5,FALSE)</f>
        <v>Trsf</v>
      </c>
      <c r="S2091" s="1" t="s">
        <v>1977</v>
      </c>
    </row>
    <row r="2092" spans="1:19" ht="15" customHeight="1" x14ac:dyDescent="0.3">
      <c r="A2092" s="4">
        <v>45180</v>
      </c>
      <c r="B2092" s="5">
        <f t="shared" si="500"/>
        <v>9</v>
      </c>
      <c r="C2092" s="5">
        <f t="shared" si="501"/>
        <v>2023</v>
      </c>
      <c r="D2092" s="88" t="s">
        <v>1896</v>
      </c>
      <c r="E2092" s="5" t="str">
        <f>VLOOKUP(F2092,'Set up'!$A$2:$C$70,2,FALSE)</f>
        <v>C00000041</v>
      </c>
      <c r="F2092" s="1" t="s">
        <v>1704</v>
      </c>
      <c r="G2092" s="99" t="s">
        <v>1895</v>
      </c>
      <c r="H2092" s="5">
        <v>1</v>
      </c>
      <c r="I2092" s="5" t="str">
        <f>VLOOKUP(F2092,'Set up'!$A$2:$C$70,3,FALSE)</f>
        <v>Cash</v>
      </c>
      <c r="J2092" s="5">
        <f>VLOOKUP(F2092,'Set up'!$A$2:$D$70,4,FALSE)</f>
        <v>0</v>
      </c>
      <c r="K2092" s="4">
        <f t="shared" si="502"/>
        <v>45180</v>
      </c>
      <c r="L2092" s="5">
        <f t="shared" si="503"/>
        <v>9</v>
      </c>
      <c r="M2092" s="5">
        <f t="shared" si="504"/>
        <v>2023</v>
      </c>
      <c r="N2092" s="96">
        <v>48</v>
      </c>
      <c r="O2092" s="6">
        <f t="shared" si="510"/>
        <v>-48</v>
      </c>
      <c r="P2092" s="6">
        <f t="shared" si="498"/>
        <v>0</v>
      </c>
      <c r="Q2092" s="7">
        <f t="shared" si="505"/>
        <v>3585598.5500000017</v>
      </c>
      <c r="R2092" s="44" t="str">
        <f>VLOOKUP(F2092,'Set up'!$A$2:$E$70,5,FALSE)</f>
        <v>Trsf</v>
      </c>
      <c r="S2092" s="1" t="s">
        <v>1977</v>
      </c>
    </row>
    <row r="2093" spans="1:19" ht="15" customHeight="1" x14ac:dyDescent="0.3">
      <c r="A2093" s="4">
        <v>45180</v>
      </c>
      <c r="B2093" s="5">
        <f t="shared" si="500"/>
        <v>9</v>
      </c>
      <c r="C2093" s="5">
        <f t="shared" si="501"/>
        <v>2023</v>
      </c>
      <c r="D2093" s="88" t="s">
        <v>1896</v>
      </c>
      <c r="E2093" s="5" t="str">
        <f>VLOOKUP(F2093,'Set up'!$A$2:$C$70,2,FALSE)</f>
        <v>C00000041</v>
      </c>
      <c r="F2093" s="1" t="s">
        <v>1704</v>
      </c>
      <c r="G2093" s="99" t="s">
        <v>864</v>
      </c>
      <c r="H2093" s="5">
        <v>2</v>
      </c>
      <c r="I2093" s="5" t="str">
        <f>VLOOKUP(F2093,'Set up'!$A$2:$C$70,3,FALSE)</f>
        <v>Cash</v>
      </c>
      <c r="J2093" s="5">
        <f>VLOOKUP(F2093,'Set up'!$A$2:$D$70,4,FALSE)</f>
        <v>0</v>
      </c>
      <c r="K2093" s="4">
        <f t="shared" si="502"/>
        <v>45180</v>
      </c>
      <c r="L2093" s="5">
        <f t="shared" si="503"/>
        <v>9</v>
      </c>
      <c r="M2093" s="5">
        <f t="shared" si="504"/>
        <v>2023</v>
      </c>
      <c r="N2093" s="96">
        <v>340</v>
      </c>
      <c r="O2093" s="6">
        <f t="shared" si="510"/>
        <v>-340</v>
      </c>
      <c r="P2093" s="6">
        <f t="shared" si="498"/>
        <v>0</v>
      </c>
      <c r="Q2093" s="7">
        <f t="shared" si="505"/>
        <v>3585938.5500000017</v>
      </c>
      <c r="R2093" s="44" t="str">
        <f>VLOOKUP(F2093,'Set up'!$A$2:$E$70,5,FALSE)</f>
        <v>Trsf</v>
      </c>
      <c r="S2093" s="1" t="s">
        <v>1977</v>
      </c>
    </row>
    <row r="2094" spans="1:19" ht="15" customHeight="1" x14ac:dyDescent="0.3">
      <c r="A2094" s="4">
        <v>45181</v>
      </c>
      <c r="B2094" s="5">
        <f t="shared" si="500"/>
        <v>9</v>
      </c>
      <c r="C2094" s="5">
        <f t="shared" si="501"/>
        <v>2023</v>
      </c>
      <c r="D2094" s="88" t="s">
        <v>1897</v>
      </c>
      <c r="E2094" s="5" t="str">
        <f>VLOOKUP(F2094,'Set up'!$A$2:$C$70,2,FALSE)</f>
        <v>C00000034</v>
      </c>
      <c r="F2094" s="1" t="s">
        <v>1196</v>
      </c>
      <c r="G2094" s="99" t="s">
        <v>1197</v>
      </c>
      <c r="H2094" s="5">
        <v>1</v>
      </c>
      <c r="I2094" s="5" t="str">
        <f>VLOOKUP(F2094,'Set up'!$A$2:$C$70,3,FALSE)</f>
        <v>Cash</v>
      </c>
      <c r="J2094" s="5">
        <f>VLOOKUP(F2094,'Set up'!$A$2:$D$70,4,FALSE)</f>
        <v>0</v>
      </c>
      <c r="K2094" s="4">
        <f t="shared" si="502"/>
        <v>45181</v>
      </c>
      <c r="L2094" s="5">
        <f t="shared" si="503"/>
        <v>9</v>
      </c>
      <c r="M2094" s="5">
        <f t="shared" si="504"/>
        <v>2023</v>
      </c>
      <c r="N2094" s="96">
        <v>1738</v>
      </c>
      <c r="O2094" s="6">
        <f>-6.7-1731.3</f>
        <v>-1738</v>
      </c>
      <c r="P2094" s="6">
        <f t="shared" ref="P2094:P2118" si="511">SUM(N2094+O2094)</f>
        <v>0</v>
      </c>
      <c r="Q2094" s="7">
        <f t="shared" si="505"/>
        <v>3587676.5500000017</v>
      </c>
      <c r="R2094" s="44" t="str">
        <f>VLOOKUP(F2094,'Set up'!$A$2:$E$70,5,FALSE)</f>
        <v>Trsf</v>
      </c>
      <c r="S2094" s="1" t="s">
        <v>2259</v>
      </c>
    </row>
    <row r="2095" spans="1:19" ht="15" customHeight="1" x14ac:dyDescent="0.3">
      <c r="A2095" s="4">
        <v>45181</v>
      </c>
      <c r="B2095" s="5">
        <f t="shared" si="500"/>
        <v>9</v>
      </c>
      <c r="C2095" s="5">
        <f t="shared" si="501"/>
        <v>2023</v>
      </c>
      <c r="D2095" s="88" t="s">
        <v>1897</v>
      </c>
      <c r="E2095" s="5" t="str">
        <f>VLOOKUP(F2095,'Set up'!$A$2:$C$70,2,FALSE)</f>
        <v>C00000034</v>
      </c>
      <c r="F2095" s="1" t="s">
        <v>1196</v>
      </c>
      <c r="G2095" s="99" t="s">
        <v>1431</v>
      </c>
      <c r="H2095" s="5">
        <v>1</v>
      </c>
      <c r="I2095" s="5" t="str">
        <f>VLOOKUP(F2095,'Set up'!$A$2:$C$70,3,FALSE)</f>
        <v>Cash</v>
      </c>
      <c r="J2095" s="5">
        <f>VLOOKUP(F2095,'Set up'!$A$2:$D$70,4,FALSE)</f>
        <v>0</v>
      </c>
      <c r="K2095" s="4">
        <f t="shared" si="502"/>
        <v>45181</v>
      </c>
      <c r="L2095" s="5">
        <f t="shared" si="503"/>
        <v>9</v>
      </c>
      <c r="M2095" s="5">
        <f t="shared" si="504"/>
        <v>2023</v>
      </c>
      <c r="N2095" s="96">
        <v>219</v>
      </c>
      <c r="O2095" s="6">
        <f t="shared" ref="O2095:O2100" si="512">-N2095</f>
        <v>-219</v>
      </c>
      <c r="P2095" s="6">
        <f t="shared" si="511"/>
        <v>0</v>
      </c>
      <c r="Q2095" s="7">
        <f t="shared" si="505"/>
        <v>3587895.5500000017</v>
      </c>
      <c r="R2095" s="44" t="str">
        <f>VLOOKUP(F2095,'Set up'!$A$2:$E$70,5,FALSE)</f>
        <v>Trsf</v>
      </c>
      <c r="S2095" s="1" t="s">
        <v>2260</v>
      </c>
    </row>
    <row r="2096" spans="1:19" ht="15" customHeight="1" x14ac:dyDescent="0.3">
      <c r="A2096" s="4">
        <v>45181</v>
      </c>
      <c r="B2096" s="5">
        <f t="shared" si="500"/>
        <v>9</v>
      </c>
      <c r="C2096" s="5">
        <f t="shared" si="501"/>
        <v>2023</v>
      </c>
      <c r="D2096" s="88" t="s">
        <v>1897</v>
      </c>
      <c r="E2096" s="5" t="str">
        <f>VLOOKUP(F2096,'Set up'!$A$2:$C$70,2,FALSE)</f>
        <v>C00000034</v>
      </c>
      <c r="F2096" s="1" t="s">
        <v>1196</v>
      </c>
      <c r="G2096" s="99" t="s">
        <v>1796</v>
      </c>
      <c r="H2096" s="5">
        <v>2</v>
      </c>
      <c r="I2096" s="5" t="str">
        <f>VLOOKUP(F2096,'Set up'!$A$2:$C$70,3,FALSE)</f>
        <v>Cash</v>
      </c>
      <c r="J2096" s="5">
        <f>VLOOKUP(F2096,'Set up'!$A$2:$D$70,4,FALSE)</f>
        <v>0</v>
      </c>
      <c r="K2096" s="4">
        <f t="shared" si="502"/>
        <v>45181</v>
      </c>
      <c r="L2096" s="5">
        <f t="shared" si="503"/>
        <v>9</v>
      </c>
      <c r="M2096" s="5">
        <f t="shared" si="504"/>
        <v>2023</v>
      </c>
      <c r="N2096" s="96">
        <v>438</v>
      </c>
      <c r="O2096" s="6">
        <f>-49.7-388.3</f>
        <v>-438</v>
      </c>
      <c r="P2096" s="6">
        <f t="shared" si="511"/>
        <v>0</v>
      </c>
      <c r="Q2096" s="7">
        <f t="shared" si="505"/>
        <v>3588333.5500000017</v>
      </c>
      <c r="R2096" s="44" t="str">
        <f>VLOOKUP(F2096,'Set up'!$A$2:$E$70,5,FALSE)</f>
        <v>Trsf</v>
      </c>
      <c r="S2096" s="1" t="s">
        <v>2406</v>
      </c>
    </row>
    <row r="2097" spans="1:21" ht="15" customHeight="1" x14ac:dyDescent="0.3">
      <c r="A2097" s="4">
        <v>45181</v>
      </c>
      <c r="B2097" s="5">
        <f t="shared" si="500"/>
        <v>9</v>
      </c>
      <c r="C2097" s="5">
        <f t="shared" si="501"/>
        <v>2023</v>
      </c>
      <c r="D2097" s="88" t="s">
        <v>1897</v>
      </c>
      <c r="E2097" s="5" t="str">
        <f>VLOOKUP(F2097,'Set up'!$A$2:$C$70,2,FALSE)</f>
        <v>C00000034</v>
      </c>
      <c r="F2097" s="1" t="s">
        <v>1196</v>
      </c>
      <c r="G2097" s="99" t="s">
        <v>1817</v>
      </c>
      <c r="H2097" s="5">
        <v>1</v>
      </c>
      <c r="I2097" s="5" t="str">
        <f>VLOOKUP(F2097,'Set up'!$A$2:$C$70,3,FALSE)</f>
        <v>Cash</v>
      </c>
      <c r="J2097" s="5">
        <f>VLOOKUP(F2097,'Set up'!$A$2:$D$70,4,FALSE)</f>
        <v>0</v>
      </c>
      <c r="K2097" s="4">
        <f t="shared" si="502"/>
        <v>45181</v>
      </c>
      <c r="L2097" s="5">
        <f t="shared" si="503"/>
        <v>9</v>
      </c>
      <c r="M2097" s="5">
        <f t="shared" si="504"/>
        <v>2023</v>
      </c>
      <c r="N2097" s="96">
        <v>236</v>
      </c>
      <c r="O2097" s="6">
        <f t="shared" si="512"/>
        <v>-236</v>
      </c>
      <c r="P2097" s="6">
        <f t="shared" si="511"/>
        <v>0</v>
      </c>
      <c r="Q2097" s="7">
        <f t="shared" si="505"/>
        <v>3588569.5500000017</v>
      </c>
      <c r="R2097" s="44" t="str">
        <f>VLOOKUP(F2097,'Set up'!$A$2:$E$70,5,FALSE)</f>
        <v>Trsf</v>
      </c>
      <c r="S2097" s="1" t="s">
        <v>2407</v>
      </c>
    </row>
    <row r="2098" spans="1:21" ht="15" customHeight="1" x14ac:dyDescent="0.3">
      <c r="A2098" s="4">
        <v>45181</v>
      </c>
      <c r="B2098" s="5">
        <f t="shared" si="500"/>
        <v>9</v>
      </c>
      <c r="C2098" s="5">
        <f t="shared" si="501"/>
        <v>2023</v>
      </c>
      <c r="D2098" s="88" t="s">
        <v>1897</v>
      </c>
      <c r="E2098" s="5" t="str">
        <f>VLOOKUP(F2098,'Set up'!$A$2:$C$70,2,FALSE)</f>
        <v>C00000034</v>
      </c>
      <c r="F2098" s="1" t="s">
        <v>1196</v>
      </c>
      <c r="G2098" s="99" t="s">
        <v>1061</v>
      </c>
      <c r="H2098" s="5">
        <v>2</v>
      </c>
      <c r="I2098" s="5" t="str">
        <f>VLOOKUP(F2098,'Set up'!$A$2:$C$70,3,FALSE)</f>
        <v>Cash</v>
      </c>
      <c r="J2098" s="5">
        <f>VLOOKUP(F2098,'Set up'!$A$2:$D$70,4,FALSE)</f>
        <v>0</v>
      </c>
      <c r="K2098" s="4">
        <f t="shared" si="502"/>
        <v>45181</v>
      </c>
      <c r="L2098" s="5">
        <f t="shared" si="503"/>
        <v>9</v>
      </c>
      <c r="M2098" s="5">
        <f t="shared" si="504"/>
        <v>2023</v>
      </c>
      <c r="N2098" s="96">
        <v>190</v>
      </c>
      <c r="O2098" s="6">
        <f t="shared" si="512"/>
        <v>-190</v>
      </c>
      <c r="P2098" s="6">
        <f t="shared" si="511"/>
        <v>0</v>
      </c>
      <c r="Q2098" s="7">
        <f t="shared" si="505"/>
        <v>3588759.5500000017</v>
      </c>
      <c r="R2098" s="44" t="str">
        <f>VLOOKUP(F2098,'Set up'!$A$2:$E$70,5,FALSE)</f>
        <v>Trsf</v>
      </c>
      <c r="S2098" s="1" t="s">
        <v>2408</v>
      </c>
    </row>
    <row r="2099" spans="1:21" ht="15" customHeight="1" x14ac:dyDescent="0.3">
      <c r="A2099" s="4">
        <v>45181</v>
      </c>
      <c r="B2099" s="5">
        <f t="shared" si="500"/>
        <v>9</v>
      </c>
      <c r="C2099" s="5">
        <f t="shared" si="501"/>
        <v>2023</v>
      </c>
      <c r="D2099" s="88" t="s">
        <v>1897</v>
      </c>
      <c r="E2099" s="5" t="str">
        <f>VLOOKUP(F2099,'Set up'!$A$2:$C$70,2,FALSE)</f>
        <v>C00000034</v>
      </c>
      <c r="F2099" s="1" t="s">
        <v>1196</v>
      </c>
      <c r="G2099" s="99" t="s">
        <v>1110</v>
      </c>
      <c r="H2099" s="5">
        <v>2</v>
      </c>
      <c r="I2099" s="5" t="str">
        <f>VLOOKUP(F2099,'Set up'!$A$2:$C$70,3,FALSE)</f>
        <v>Cash</v>
      </c>
      <c r="J2099" s="5">
        <f>VLOOKUP(F2099,'Set up'!$A$2:$D$70,4,FALSE)</f>
        <v>0</v>
      </c>
      <c r="K2099" s="4">
        <f t="shared" si="502"/>
        <v>45181</v>
      </c>
      <c r="L2099" s="5">
        <f t="shared" si="503"/>
        <v>9</v>
      </c>
      <c r="M2099" s="5">
        <f t="shared" si="504"/>
        <v>2023</v>
      </c>
      <c r="N2099" s="96">
        <v>125</v>
      </c>
      <c r="O2099" s="6">
        <f t="shared" si="512"/>
        <v>-125</v>
      </c>
      <c r="P2099" s="6">
        <f t="shared" si="511"/>
        <v>0</v>
      </c>
      <c r="Q2099" s="7">
        <f t="shared" si="505"/>
        <v>3588884.5500000017</v>
      </c>
      <c r="R2099" s="44" t="str">
        <f>VLOOKUP(F2099,'Set up'!$A$2:$E$70,5,FALSE)</f>
        <v>Trsf</v>
      </c>
      <c r="S2099" s="1" t="s">
        <v>2409</v>
      </c>
    </row>
    <row r="2100" spans="1:21" ht="15" customHeight="1" x14ac:dyDescent="0.3">
      <c r="A2100" s="4">
        <v>45181</v>
      </c>
      <c r="B2100" s="5">
        <f t="shared" si="500"/>
        <v>9</v>
      </c>
      <c r="C2100" s="5">
        <f t="shared" si="501"/>
        <v>2023</v>
      </c>
      <c r="D2100" s="88" t="s">
        <v>1897</v>
      </c>
      <c r="E2100" s="5" t="str">
        <f>VLOOKUP(F2100,'Set up'!$A$2:$C$70,2,FALSE)</f>
        <v>C00000034</v>
      </c>
      <c r="F2100" s="1" t="s">
        <v>1196</v>
      </c>
      <c r="G2100" s="99" t="s">
        <v>1242</v>
      </c>
      <c r="H2100" s="5">
        <v>6</v>
      </c>
      <c r="I2100" s="5" t="str">
        <f>VLOOKUP(F2100,'Set up'!$A$2:$C$70,3,FALSE)</f>
        <v>Cash</v>
      </c>
      <c r="J2100" s="5">
        <f>VLOOKUP(F2100,'Set up'!$A$2:$D$70,4,FALSE)</f>
        <v>0</v>
      </c>
      <c r="K2100" s="4">
        <f t="shared" si="502"/>
        <v>45181</v>
      </c>
      <c r="L2100" s="5">
        <f t="shared" si="503"/>
        <v>9</v>
      </c>
      <c r="M2100" s="5">
        <f t="shared" si="504"/>
        <v>2023</v>
      </c>
      <c r="N2100" s="96">
        <v>834</v>
      </c>
      <c r="O2100" s="6">
        <f t="shared" si="512"/>
        <v>-834</v>
      </c>
      <c r="P2100" s="6">
        <f t="shared" si="511"/>
        <v>0</v>
      </c>
      <c r="Q2100" s="7">
        <f t="shared" si="505"/>
        <v>3589718.5500000017</v>
      </c>
      <c r="R2100" s="44" t="str">
        <f>VLOOKUP(F2100,'Set up'!$A$2:$E$70,5,FALSE)</f>
        <v>Trsf</v>
      </c>
      <c r="S2100" s="1" t="s">
        <v>2410</v>
      </c>
    </row>
    <row r="2101" spans="1:21" ht="15" customHeight="1" x14ac:dyDescent="0.3">
      <c r="A2101" s="4">
        <v>45180</v>
      </c>
      <c r="B2101" s="5">
        <f t="shared" si="500"/>
        <v>9</v>
      </c>
      <c r="C2101" s="5">
        <f t="shared" si="501"/>
        <v>2023</v>
      </c>
      <c r="D2101" s="88" t="s">
        <v>1898</v>
      </c>
      <c r="E2101" s="5" t="str">
        <f>VLOOKUP(F2101,'Set up'!$A$2:$C$70,2,FALSE)</f>
        <v>C00000003</v>
      </c>
      <c r="F2101" s="1" t="s">
        <v>20</v>
      </c>
      <c r="G2101" s="99" t="s">
        <v>67</v>
      </c>
      <c r="H2101" s="5">
        <v>1</v>
      </c>
      <c r="I2101" s="5">
        <f>VLOOKUP(F2101,'Set up'!$A$2:$C$70,3,FALSE)</f>
        <v>45</v>
      </c>
      <c r="J2101" s="5">
        <f>VLOOKUP(F2101,'Set up'!$A$2:$D$70,4,FALSE)</f>
        <v>45</v>
      </c>
      <c r="K2101" s="4">
        <f t="shared" si="502"/>
        <v>45225</v>
      </c>
      <c r="L2101" s="5">
        <f t="shared" si="503"/>
        <v>10</v>
      </c>
      <c r="M2101" s="5">
        <f t="shared" si="504"/>
        <v>2023</v>
      </c>
      <c r="N2101" s="96">
        <v>1870</v>
      </c>
      <c r="O2101" s="6">
        <f>-N2101</f>
        <v>-1870</v>
      </c>
      <c r="P2101" s="6">
        <f t="shared" si="511"/>
        <v>0</v>
      </c>
      <c r="Q2101" s="7">
        <f t="shared" si="505"/>
        <v>3591588.5500000017</v>
      </c>
      <c r="R2101" s="44" t="str">
        <f>VLOOKUP(F2101,'Set up'!$A$2:$E$70,5,FALSE)</f>
        <v>PD Chq</v>
      </c>
      <c r="S2101" s="1" t="s">
        <v>2079</v>
      </c>
      <c r="U2101" s="1" t="s">
        <v>3603</v>
      </c>
    </row>
    <row r="2102" spans="1:21" ht="15" customHeight="1" x14ac:dyDescent="0.3">
      <c r="A2102" s="4">
        <v>45180</v>
      </c>
      <c r="B2102" s="5">
        <f t="shared" si="500"/>
        <v>9</v>
      </c>
      <c r="C2102" s="5">
        <f t="shared" si="501"/>
        <v>2023</v>
      </c>
      <c r="D2102" s="88" t="s">
        <v>1898</v>
      </c>
      <c r="E2102" s="5" t="str">
        <f>VLOOKUP(F2102,'Set up'!$A$2:$C$70,2,FALSE)</f>
        <v>C00000003</v>
      </c>
      <c r="F2102" s="1" t="s">
        <v>20</v>
      </c>
      <c r="G2102" s="99" t="s">
        <v>17</v>
      </c>
      <c r="H2102" s="5">
        <v>2</v>
      </c>
      <c r="I2102" s="5">
        <f>VLOOKUP(F2102,'Set up'!$A$2:$C$70,3,FALSE)</f>
        <v>45</v>
      </c>
      <c r="J2102" s="5">
        <f>VLOOKUP(F2102,'Set up'!$A$2:$D$70,4,FALSE)</f>
        <v>45</v>
      </c>
      <c r="K2102" s="4">
        <f t="shared" si="502"/>
        <v>45225</v>
      </c>
      <c r="L2102" s="5">
        <f t="shared" si="503"/>
        <v>10</v>
      </c>
      <c r="M2102" s="5">
        <f t="shared" si="504"/>
        <v>2023</v>
      </c>
      <c r="N2102" s="96">
        <v>220</v>
      </c>
      <c r="O2102" s="6">
        <f>-N2102</f>
        <v>-220</v>
      </c>
      <c r="P2102" s="6">
        <f t="shared" si="511"/>
        <v>0</v>
      </c>
      <c r="Q2102" s="7">
        <f t="shared" si="505"/>
        <v>3591808.5500000017</v>
      </c>
      <c r="R2102" s="44" t="str">
        <f>VLOOKUP(F2102,'Set up'!$A$2:$E$70,5,FALSE)</f>
        <v>PD Chq</v>
      </c>
      <c r="S2102" s="1" t="s">
        <v>2080</v>
      </c>
      <c r="U2102" s="1" t="s">
        <v>3603</v>
      </c>
    </row>
    <row r="2103" spans="1:21" ht="15" customHeight="1" x14ac:dyDescent="0.3">
      <c r="A2103" s="4">
        <v>45183</v>
      </c>
      <c r="B2103" s="5">
        <f t="shared" si="500"/>
        <v>9</v>
      </c>
      <c r="C2103" s="5">
        <f t="shared" si="501"/>
        <v>2023</v>
      </c>
      <c r="D2103" s="88" t="s">
        <v>1899</v>
      </c>
      <c r="E2103" s="5" t="str">
        <f>VLOOKUP(F2103,'Set up'!$A$2:$C$70,2,FALSE)</f>
        <v>C00000014</v>
      </c>
      <c r="F2103" s="1" t="s">
        <v>262</v>
      </c>
      <c r="G2103" s="95" t="s">
        <v>303</v>
      </c>
      <c r="H2103" s="5">
        <v>3</v>
      </c>
      <c r="I2103" s="5" t="str">
        <f>VLOOKUP(F2103,'Set up'!$A$2:$C$70,3,FALSE)</f>
        <v>Cash</v>
      </c>
      <c r="J2103" s="5">
        <f>VLOOKUP(F2103,'Set up'!$A$2:$D$70,4,FALSE)</f>
        <v>0</v>
      </c>
      <c r="K2103" s="4">
        <f t="shared" si="502"/>
        <v>45183</v>
      </c>
      <c r="L2103" s="5">
        <f t="shared" si="503"/>
        <v>9</v>
      </c>
      <c r="M2103" s="5">
        <f t="shared" si="504"/>
        <v>2023</v>
      </c>
      <c r="N2103" s="96">
        <v>5082</v>
      </c>
      <c r="O2103" s="6">
        <f t="shared" ref="O2103:O2108" si="513">-N2103</f>
        <v>-5082</v>
      </c>
      <c r="P2103" s="6">
        <f t="shared" si="511"/>
        <v>0</v>
      </c>
      <c r="Q2103" s="7">
        <f t="shared" si="505"/>
        <v>3596890.5500000017</v>
      </c>
      <c r="R2103" s="44" t="str">
        <f>VLOOKUP(F2103,'Set up'!$A$2:$E$70,5,FALSE)</f>
        <v>Cash</v>
      </c>
      <c r="S2103" s="1" t="s">
        <v>1973</v>
      </c>
    </row>
    <row r="2104" spans="1:21" ht="15" customHeight="1" x14ac:dyDescent="0.3">
      <c r="A2104" s="4">
        <v>45183</v>
      </c>
      <c r="B2104" s="5">
        <f t="shared" si="500"/>
        <v>9</v>
      </c>
      <c r="C2104" s="5">
        <f t="shared" si="501"/>
        <v>2023</v>
      </c>
      <c r="D2104" s="88" t="s">
        <v>1899</v>
      </c>
      <c r="E2104" s="5" t="str">
        <f>VLOOKUP(F2104,'Set up'!$A$2:$C$70,2,FALSE)</f>
        <v>C00000014</v>
      </c>
      <c r="F2104" s="1" t="s">
        <v>262</v>
      </c>
      <c r="G2104" s="90" t="s">
        <v>988</v>
      </c>
      <c r="H2104" s="5">
        <v>5</v>
      </c>
      <c r="I2104" s="5" t="str">
        <f>VLOOKUP(F2104,'Set up'!$A$2:$C$70,3,FALSE)</f>
        <v>Cash</v>
      </c>
      <c r="J2104" s="5">
        <f>VLOOKUP(F2104,'Set up'!$A$2:$D$70,4,FALSE)</f>
        <v>0</v>
      </c>
      <c r="K2104" s="4">
        <f t="shared" si="502"/>
        <v>45183</v>
      </c>
      <c r="L2104" s="5">
        <f t="shared" si="503"/>
        <v>9</v>
      </c>
      <c r="M2104" s="5">
        <f t="shared" si="504"/>
        <v>2023</v>
      </c>
      <c r="N2104" s="96">
        <v>1170</v>
      </c>
      <c r="O2104" s="6">
        <f t="shared" si="513"/>
        <v>-1170</v>
      </c>
      <c r="P2104" s="6">
        <f t="shared" si="511"/>
        <v>0</v>
      </c>
      <c r="Q2104" s="7">
        <f t="shared" si="505"/>
        <v>3598060.5500000017</v>
      </c>
      <c r="R2104" s="44" t="str">
        <f>VLOOKUP(F2104,'Set up'!$A$2:$E$70,5,FALSE)</f>
        <v>Cash</v>
      </c>
      <c r="S2104" s="1" t="s">
        <v>1973</v>
      </c>
    </row>
    <row r="2105" spans="1:21" ht="15" customHeight="1" x14ac:dyDescent="0.3">
      <c r="A2105" s="4">
        <v>45183</v>
      </c>
      <c r="B2105" s="5">
        <f t="shared" si="500"/>
        <v>9</v>
      </c>
      <c r="C2105" s="5">
        <f t="shared" si="501"/>
        <v>2023</v>
      </c>
      <c r="D2105" s="88" t="s">
        <v>1899</v>
      </c>
      <c r="E2105" s="5" t="str">
        <f>VLOOKUP(F2105,'Set up'!$A$2:$C$70,2,FALSE)</f>
        <v>C00000014</v>
      </c>
      <c r="F2105" s="1" t="s">
        <v>262</v>
      </c>
      <c r="G2105" s="1" t="s">
        <v>1468</v>
      </c>
      <c r="H2105" s="5">
        <v>2</v>
      </c>
      <c r="I2105" s="5" t="str">
        <f>VLOOKUP(F2105,'Set up'!$A$2:$C$70,3,FALSE)</f>
        <v>Cash</v>
      </c>
      <c r="J2105" s="5">
        <f>VLOOKUP(F2105,'Set up'!$A$2:$D$70,4,FALSE)</f>
        <v>0</v>
      </c>
      <c r="K2105" s="4">
        <f t="shared" si="502"/>
        <v>45183</v>
      </c>
      <c r="L2105" s="5">
        <f t="shared" si="503"/>
        <v>9</v>
      </c>
      <c r="M2105" s="5">
        <f t="shared" si="504"/>
        <v>2023</v>
      </c>
      <c r="N2105" s="96">
        <v>645</v>
      </c>
      <c r="O2105" s="6">
        <f t="shared" si="513"/>
        <v>-645</v>
      </c>
      <c r="P2105" s="6">
        <f t="shared" si="511"/>
        <v>0</v>
      </c>
      <c r="Q2105" s="7">
        <f t="shared" si="505"/>
        <v>3598705.5500000017</v>
      </c>
      <c r="R2105" s="44" t="str">
        <f>VLOOKUP(F2105,'Set up'!$A$2:$E$70,5,FALSE)</f>
        <v>Cash</v>
      </c>
      <c r="S2105" s="1" t="s">
        <v>1973</v>
      </c>
    </row>
    <row r="2106" spans="1:21" ht="15" customHeight="1" x14ac:dyDescent="0.3">
      <c r="A2106" s="4">
        <v>45183</v>
      </c>
      <c r="B2106" s="5">
        <f t="shared" si="500"/>
        <v>9</v>
      </c>
      <c r="C2106" s="5">
        <f t="shared" si="501"/>
        <v>2023</v>
      </c>
      <c r="D2106" s="88" t="s">
        <v>1899</v>
      </c>
      <c r="E2106" s="5" t="str">
        <f>VLOOKUP(F2106,'Set up'!$A$2:$C$70,2,FALSE)</f>
        <v>C00000014</v>
      </c>
      <c r="F2106" s="1" t="s">
        <v>262</v>
      </c>
      <c r="G2106" s="11" t="s">
        <v>1886</v>
      </c>
      <c r="H2106" s="5">
        <v>4</v>
      </c>
      <c r="I2106" s="5" t="str">
        <f>VLOOKUP(F2106,'Set up'!$A$2:$C$70,3,FALSE)</f>
        <v>Cash</v>
      </c>
      <c r="J2106" s="5">
        <f>VLOOKUP(F2106,'Set up'!$A$2:$D$70,4,FALSE)</f>
        <v>0</v>
      </c>
      <c r="K2106" s="4">
        <f t="shared" si="502"/>
        <v>45183</v>
      </c>
      <c r="L2106" s="5">
        <f t="shared" si="503"/>
        <v>9</v>
      </c>
      <c r="M2106" s="5">
        <f t="shared" si="504"/>
        <v>2023</v>
      </c>
      <c r="N2106" s="96">
        <v>640</v>
      </c>
      <c r="O2106" s="6">
        <f t="shared" si="513"/>
        <v>-640</v>
      </c>
      <c r="P2106" s="6">
        <f t="shared" si="511"/>
        <v>0</v>
      </c>
      <c r="Q2106" s="7">
        <f t="shared" si="505"/>
        <v>3599345.5500000017</v>
      </c>
      <c r="R2106" s="44" t="str">
        <f>VLOOKUP(F2106,'Set up'!$A$2:$E$70,5,FALSE)</f>
        <v>Cash</v>
      </c>
      <c r="S2106" s="1" t="s">
        <v>1973</v>
      </c>
    </row>
    <row r="2107" spans="1:21" ht="15" customHeight="1" x14ac:dyDescent="0.3">
      <c r="A2107" s="4">
        <v>45183</v>
      </c>
      <c r="B2107" s="5">
        <f t="shared" si="500"/>
        <v>9</v>
      </c>
      <c r="C2107" s="5">
        <f t="shared" si="501"/>
        <v>2023</v>
      </c>
      <c r="D2107" s="88" t="s">
        <v>1899</v>
      </c>
      <c r="E2107" s="5" t="str">
        <f>VLOOKUP(F2107,'Set up'!$A$2:$C$70,2,FALSE)</f>
        <v>C00000014</v>
      </c>
      <c r="F2107" s="1" t="s">
        <v>262</v>
      </c>
      <c r="G2107" s="90" t="s">
        <v>1715</v>
      </c>
      <c r="H2107" s="5">
        <v>2</v>
      </c>
      <c r="I2107" s="5" t="str">
        <f>VLOOKUP(F2107,'Set up'!$A$2:$C$70,3,FALSE)</f>
        <v>Cash</v>
      </c>
      <c r="J2107" s="5">
        <f>VLOOKUP(F2107,'Set up'!$A$2:$D$70,4,FALSE)</f>
        <v>0</v>
      </c>
      <c r="K2107" s="4">
        <f t="shared" si="502"/>
        <v>45183</v>
      </c>
      <c r="L2107" s="5">
        <f t="shared" si="503"/>
        <v>9</v>
      </c>
      <c r="M2107" s="5">
        <f t="shared" si="504"/>
        <v>2023</v>
      </c>
      <c r="N2107" s="96">
        <v>330</v>
      </c>
      <c r="O2107" s="6">
        <f t="shared" si="513"/>
        <v>-330</v>
      </c>
      <c r="P2107" s="6">
        <f t="shared" si="511"/>
        <v>0</v>
      </c>
      <c r="Q2107" s="7">
        <f t="shared" si="505"/>
        <v>3599675.5500000017</v>
      </c>
      <c r="R2107" s="44" t="str">
        <f>VLOOKUP(F2107,'Set up'!$A$2:$E$70,5,FALSE)</f>
        <v>Cash</v>
      </c>
      <c r="S2107" s="1" t="s">
        <v>1973</v>
      </c>
    </row>
    <row r="2108" spans="1:21" ht="15" customHeight="1" x14ac:dyDescent="0.3">
      <c r="A2108" s="4">
        <v>45183</v>
      </c>
      <c r="B2108" s="5">
        <f t="shared" si="500"/>
        <v>9</v>
      </c>
      <c r="C2108" s="5">
        <f t="shared" si="501"/>
        <v>2023</v>
      </c>
      <c r="D2108" s="88" t="s">
        <v>1899</v>
      </c>
      <c r="E2108" s="5" t="str">
        <f>VLOOKUP(F2108,'Set up'!$A$2:$C$70,2,FALSE)</f>
        <v>C00000014</v>
      </c>
      <c r="F2108" s="1" t="s">
        <v>262</v>
      </c>
      <c r="G2108" s="99" t="s">
        <v>1061</v>
      </c>
      <c r="H2108" s="5">
        <v>1</v>
      </c>
      <c r="I2108" s="5" t="str">
        <f>VLOOKUP(F2108,'Set up'!$A$2:$C$70,3,FALSE)</f>
        <v>Cash</v>
      </c>
      <c r="J2108" s="5">
        <f>VLOOKUP(F2108,'Set up'!$A$2:$D$70,4,FALSE)</f>
        <v>0</v>
      </c>
      <c r="K2108" s="4">
        <f t="shared" si="502"/>
        <v>45183</v>
      </c>
      <c r="L2108" s="5">
        <f t="shared" si="503"/>
        <v>9</v>
      </c>
      <c r="M2108" s="5">
        <f t="shared" si="504"/>
        <v>2023</v>
      </c>
      <c r="N2108" s="96">
        <v>95</v>
      </c>
      <c r="O2108" s="6">
        <f t="shared" si="513"/>
        <v>-95</v>
      </c>
      <c r="P2108" s="6">
        <f t="shared" si="511"/>
        <v>0</v>
      </c>
      <c r="Q2108" s="7">
        <f t="shared" si="505"/>
        <v>3599770.5500000017</v>
      </c>
      <c r="R2108" s="44" t="str">
        <f>VLOOKUP(F2108,'Set up'!$A$2:$E$70,5,FALSE)</f>
        <v>Cash</v>
      </c>
      <c r="S2108" s="1" t="s">
        <v>1973</v>
      </c>
    </row>
    <row r="2109" spans="1:21" ht="15" customHeight="1" x14ac:dyDescent="0.3">
      <c r="A2109" s="4">
        <v>45183</v>
      </c>
      <c r="B2109" s="5">
        <f t="shared" si="500"/>
        <v>9</v>
      </c>
      <c r="C2109" s="5">
        <f t="shared" si="501"/>
        <v>2023</v>
      </c>
      <c r="D2109" s="88" t="s">
        <v>1899</v>
      </c>
      <c r="E2109" s="5" t="str">
        <f>VLOOKUP(F2109,'Set up'!$A$2:$C$70,2,FALSE)</f>
        <v>C00000014</v>
      </c>
      <c r="F2109" s="1" t="s">
        <v>262</v>
      </c>
      <c r="G2109" s="99" t="s">
        <v>1110</v>
      </c>
      <c r="H2109" s="5">
        <v>2</v>
      </c>
      <c r="I2109" s="5" t="str">
        <f>VLOOKUP(F2109,'Set up'!$A$2:$C$70,3,FALSE)</f>
        <v>Cash</v>
      </c>
      <c r="J2109" s="5">
        <f>VLOOKUP(F2109,'Set up'!$A$2:$D$70,4,FALSE)</f>
        <v>0</v>
      </c>
      <c r="K2109" s="4">
        <f t="shared" si="502"/>
        <v>45183</v>
      </c>
      <c r="L2109" s="5">
        <f t="shared" si="503"/>
        <v>9</v>
      </c>
      <c r="M2109" s="5">
        <f t="shared" si="504"/>
        <v>2023</v>
      </c>
      <c r="N2109" s="96">
        <v>125</v>
      </c>
      <c r="O2109" s="6">
        <f t="shared" ref="O2109" si="514">-N2109</f>
        <v>-125</v>
      </c>
      <c r="P2109" s="6">
        <f t="shared" si="511"/>
        <v>0</v>
      </c>
      <c r="Q2109" s="7">
        <f t="shared" si="505"/>
        <v>3599895.5500000017</v>
      </c>
      <c r="R2109" s="44" t="str">
        <f>VLOOKUP(F2109,'Set up'!$A$2:$E$70,5,FALSE)</f>
        <v>Cash</v>
      </c>
      <c r="S2109" s="1" t="s">
        <v>1973</v>
      </c>
    </row>
    <row r="2110" spans="1:21" ht="15" customHeight="1" x14ac:dyDescent="0.3">
      <c r="A2110" s="4">
        <v>45182</v>
      </c>
      <c r="B2110" s="5">
        <f t="shared" si="500"/>
        <v>9</v>
      </c>
      <c r="C2110" s="5">
        <f t="shared" si="501"/>
        <v>2023</v>
      </c>
      <c r="D2110" s="88" t="s">
        <v>1900</v>
      </c>
      <c r="E2110" s="5" t="str">
        <f>VLOOKUP(F2110,'Set up'!$A$2:$C$70,2,FALSE)</f>
        <v>C00000020</v>
      </c>
      <c r="F2110" s="1" t="s">
        <v>409</v>
      </c>
      <c r="G2110" s="99" t="s">
        <v>1110</v>
      </c>
      <c r="H2110" s="5">
        <v>2</v>
      </c>
      <c r="I2110" s="5" t="str">
        <f>VLOOKUP(F2110,'Set up'!$A$2:$C$70,3,FALSE)</f>
        <v>Cash</v>
      </c>
      <c r="J2110" s="5">
        <f>VLOOKUP(F2110,'Set up'!$A$2:$D$70,4,FALSE)</f>
        <v>0</v>
      </c>
      <c r="K2110" s="4">
        <f t="shared" si="502"/>
        <v>45182</v>
      </c>
      <c r="L2110" s="5">
        <f t="shared" si="503"/>
        <v>9</v>
      </c>
      <c r="M2110" s="5">
        <f t="shared" si="504"/>
        <v>2023</v>
      </c>
      <c r="N2110" s="96">
        <v>125</v>
      </c>
      <c r="O2110" s="6">
        <f>-N2110</f>
        <v>-125</v>
      </c>
      <c r="P2110" s="6">
        <f t="shared" si="511"/>
        <v>0</v>
      </c>
      <c r="Q2110" s="7">
        <f t="shared" si="505"/>
        <v>3600020.5500000017</v>
      </c>
      <c r="R2110" s="44" t="str">
        <f>VLOOKUP(F2110,'Set up'!$A$2:$E$70,5,FALSE)</f>
        <v>Trsf</v>
      </c>
      <c r="S2110" s="1" t="s">
        <v>2584</v>
      </c>
    </row>
    <row r="2111" spans="1:21" ht="15" customHeight="1" x14ac:dyDescent="0.3">
      <c r="A2111" s="4">
        <v>45182</v>
      </c>
      <c r="B2111" s="5">
        <f t="shared" si="500"/>
        <v>9</v>
      </c>
      <c r="C2111" s="5">
        <f t="shared" si="501"/>
        <v>2023</v>
      </c>
      <c r="D2111" s="88" t="s">
        <v>1901</v>
      </c>
      <c r="E2111" s="5" t="str">
        <f>VLOOKUP(F2111,'Set up'!$A$2:$C$70,2,FALSE)</f>
        <v>C00000020</v>
      </c>
      <c r="F2111" s="1" t="s">
        <v>409</v>
      </c>
      <c r="G2111" s="103" t="s">
        <v>1733</v>
      </c>
      <c r="H2111" s="5">
        <v>2</v>
      </c>
      <c r="I2111" s="5" t="str">
        <f>VLOOKUP(F2111,'Set up'!$A$2:$C$70,3,FALSE)</f>
        <v>Cash</v>
      </c>
      <c r="J2111" s="5">
        <f>VLOOKUP(F2111,'Set up'!$A$2:$D$70,4,FALSE)</f>
        <v>0</v>
      </c>
      <c r="K2111" s="4">
        <f t="shared" si="502"/>
        <v>45182</v>
      </c>
      <c r="L2111" s="5">
        <f t="shared" si="503"/>
        <v>9</v>
      </c>
      <c r="M2111" s="5">
        <f t="shared" si="504"/>
        <v>2023</v>
      </c>
      <c r="N2111" s="96">
        <v>3212</v>
      </c>
      <c r="O2111" s="6">
        <f>-N2111</f>
        <v>-3212</v>
      </c>
      <c r="P2111" s="6">
        <f t="shared" si="511"/>
        <v>0</v>
      </c>
      <c r="Q2111" s="7">
        <f t="shared" si="505"/>
        <v>3603232.5500000017</v>
      </c>
      <c r="R2111" s="44" t="str">
        <f>VLOOKUP(F2111,'Set up'!$A$2:$E$70,5,FALSE)</f>
        <v>Trsf</v>
      </c>
      <c r="S2111" s="1" t="s">
        <v>2585</v>
      </c>
    </row>
    <row r="2112" spans="1:21" ht="15" customHeight="1" x14ac:dyDescent="0.3">
      <c r="A2112" s="4">
        <v>45182</v>
      </c>
      <c r="B2112" s="5">
        <f t="shared" si="500"/>
        <v>9</v>
      </c>
      <c r="C2112" s="5">
        <f t="shared" si="501"/>
        <v>2023</v>
      </c>
      <c r="D2112" s="88" t="s">
        <v>1901</v>
      </c>
      <c r="E2112" s="5" t="str">
        <f>VLOOKUP(F2112,'Set up'!$A$2:$C$70,2,FALSE)</f>
        <v>C00000020</v>
      </c>
      <c r="F2112" s="1" t="s">
        <v>409</v>
      </c>
      <c r="G2112" s="90" t="s">
        <v>913</v>
      </c>
      <c r="H2112" s="5">
        <v>6</v>
      </c>
      <c r="I2112" s="5" t="str">
        <f>VLOOKUP(F2112,'Set up'!$A$2:$C$70,3,FALSE)</f>
        <v>Cash</v>
      </c>
      <c r="J2112" s="5">
        <f>VLOOKUP(F2112,'Set up'!$A$2:$D$70,4,FALSE)</f>
        <v>0</v>
      </c>
      <c r="K2112" s="4">
        <f t="shared" si="502"/>
        <v>45182</v>
      </c>
      <c r="L2112" s="5">
        <f t="shared" si="503"/>
        <v>9</v>
      </c>
      <c r="M2112" s="5">
        <f t="shared" si="504"/>
        <v>2023</v>
      </c>
      <c r="N2112" s="96">
        <v>1134</v>
      </c>
      <c r="O2112" s="6">
        <f>-544.2-589.8</f>
        <v>-1134</v>
      </c>
      <c r="P2112" s="6">
        <f t="shared" si="511"/>
        <v>0</v>
      </c>
      <c r="Q2112" s="7">
        <f t="shared" si="505"/>
        <v>3604366.5500000017</v>
      </c>
      <c r="R2112" s="44" t="str">
        <f>VLOOKUP(F2112,'Set up'!$A$2:$E$70,5,FALSE)</f>
        <v>Trsf</v>
      </c>
      <c r="S2112" s="1" t="s">
        <v>2588</v>
      </c>
    </row>
    <row r="2113" spans="1:19" ht="15" customHeight="1" x14ac:dyDescent="0.3">
      <c r="A2113" s="4">
        <v>45182</v>
      </c>
      <c r="B2113" s="5">
        <f t="shared" si="500"/>
        <v>9</v>
      </c>
      <c r="C2113" s="5">
        <f t="shared" si="501"/>
        <v>2023</v>
      </c>
      <c r="D2113" s="88" t="s">
        <v>1901</v>
      </c>
      <c r="E2113" s="5" t="str">
        <f>VLOOKUP(F2113,'Set up'!$A$2:$C$70,2,FALSE)</f>
        <v>C00000020</v>
      </c>
      <c r="F2113" s="1" t="s">
        <v>409</v>
      </c>
      <c r="G2113" s="90" t="s">
        <v>778</v>
      </c>
      <c r="H2113" s="5">
        <v>3</v>
      </c>
      <c r="I2113" s="5" t="str">
        <f>VLOOKUP(F2113,'Set up'!$A$2:$C$70,3,FALSE)</f>
        <v>Cash</v>
      </c>
      <c r="J2113" s="5">
        <f>VLOOKUP(F2113,'Set up'!$A$2:$D$70,4,FALSE)</f>
        <v>0</v>
      </c>
      <c r="K2113" s="4">
        <f t="shared" si="502"/>
        <v>45182</v>
      </c>
      <c r="L2113" s="5">
        <f t="shared" si="503"/>
        <v>9</v>
      </c>
      <c r="M2113" s="5">
        <f t="shared" si="504"/>
        <v>2023</v>
      </c>
      <c r="N2113" s="96">
        <v>600</v>
      </c>
      <c r="O2113" s="6">
        <f>-N2113</f>
        <v>-600</v>
      </c>
      <c r="P2113" s="6">
        <f t="shared" si="511"/>
        <v>0</v>
      </c>
      <c r="Q2113" s="7">
        <f t="shared" si="505"/>
        <v>3604966.5500000017</v>
      </c>
      <c r="R2113" s="44" t="str">
        <f>VLOOKUP(F2113,'Set up'!$A$2:$E$70,5,FALSE)</f>
        <v>Trsf</v>
      </c>
      <c r="S2113" s="1" t="s">
        <v>2581</v>
      </c>
    </row>
    <row r="2114" spans="1:19" ht="15" customHeight="1" x14ac:dyDescent="0.3">
      <c r="A2114" s="4">
        <v>45182</v>
      </c>
      <c r="B2114" s="5">
        <f t="shared" si="500"/>
        <v>9</v>
      </c>
      <c r="C2114" s="5">
        <f t="shared" si="501"/>
        <v>2023</v>
      </c>
      <c r="D2114" s="88" t="s">
        <v>1901</v>
      </c>
      <c r="E2114" s="5" t="str">
        <f>VLOOKUP(F2114,'Set up'!$A$2:$C$70,2,FALSE)</f>
        <v>C00000020</v>
      </c>
      <c r="F2114" s="1" t="s">
        <v>409</v>
      </c>
      <c r="G2114" s="90" t="s">
        <v>1061</v>
      </c>
      <c r="H2114" s="5">
        <v>4</v>
      </c>
      <c r="I2114" s="5" t="str">
        <f>VLOOKUP(F2114,'Set up'!$A$2:$C$70,3,FALSE)</f>
        <v>Cash</v>
      </c>
      <c r="J2114" s="5">
        <f>VLOOKUP(F2114,'Set up'!$A$2:$D$70,4,FALSE)</f>
        <v>0</v>
      </c>
      <c r="K2114" s="4">
        <f t="shared" si="502"/>
        <v>45182</v>
      </c>
      <c r="L2114" s="5">
        <f t="shared" si="503"/>
        <v>9</v>
      </c>
      <c r="M2114" s="5">
        <f t="shared" si="504"/>
        <v>2023</v>
      </c>
      <c r="N2114" s="96">
        <v>380</v>
      </c>
      <c r="O2114" s="6">
        <f>-N2114</f>
        <v>-380</v>
      </c>
      <c r="P2114" s="6">
        <f t="shared" si="511"/>
        <v>0</v>
      </c>
      <c r="Q2114" s="7">
        <f t="shared" si="505"/>
        <v>3605346.5500000017</v>
      </c>
      <c r="R2114" s="44" t="str">
        <f>VLOOKUP(F2114,'Set up'!$A$2:$E$70,5,FALSE)</f>
        <v>Trsf</v>
      </c>
      <c r="S2114" s="1" t="s">
        <v>2589</v>
      </c>
    </row>
    <row r="2115" spans="1:19" ht="15" customHeight="1" x14ac:dyDescent="0.3">
      <c r="A2115" s="4">
        <v>45182</v>
      </c>
      <c r="B2115" s="5">
        <f t="shared" ref="B2115:B2178" si="515">MONTH(A2115)</f>
        <v>9</v>
      </c>
      <c r="C2115" s="5">
        <f t="shared" ref="C2115:C2178" si="516">YEAR(A2115)</f>
        <v>2023</v>
      </c>
      <c r="D2115" s="88" t="s">
        <v>1902</v>
      </c>
      <c r="E2115" s="5" t="str">
        <f>VLOOKUP(F2115,'Set up'!$A$2:$C$70,2,FALSE)</f>
        <v>C00000019</v>
      </c>
      <c r="F2115" s="1" t="s">
        <v>400</v>
      </c>
      <c r="G2115" s="99" t="s">
        <v>1468</v>
      </c>
      <c r="H2115" s="5">
        <v>1</v>
      </c>
      <c r="I2115" s="5" t="str">
        <f>VLOOKUP(F2115,'Set up'!$A$2:$C$70,3,FALSE)</f>
        <v>Cash</v>
      </c>
      <c r="J2115" s="5">
        <f>VLOOKUP(F2115,'Set up'!$A$2:$D$70,4,FALSE)</f>
        <v>0</v>
      </c>
      <c r="K2115" s="4">
        <f t="shared" ref="K2115:K2178" si="517">A2115+J2115</f>
        <v>45182</v>
      </c>
      <c r="L2115" s="5">
        <f t="shared" ref="L2115:L2178" si="518">MONTH(K2115)</f>
        <v>9</v>
      </c>
      <c r="M2115" s="5">
        <f t="shared" ref="M2115:M2178" si="519">YEAR(K2115)</f>
        <v>2023</v>
      </c>
      <c r="N2115" s="96">
        <v>322.5</v>
      </c>
      <c r="O2115" s="6">
        <f t="shared" ref="O2115" si="520">-N2115</f>
        <v>-322.5</v>
      </c>
      <c r="P2115" s="6">
        <f t="shared" si="511"/>
        <v>0</v>
      </c>
      <c r="Q2115" s="7">
        <f t="shared" ref="Q2115:Q2178" si="521">SUM(Q2114+N2115)</f>
        <v>3605669.0500000017</v>
      </c>
      <c r="R2115" s="44" t="str">
        <f>VLOOKUP(F2115,'Set up'!$A$2:$E$70,5,FALSE)</f>
        <v>Trsf</v>
      </c>
      <c r="S2115" s="1" t="s">
        <v>2727</v>
      </c>
    </row>
    <row r="2116" spans="1:19" ht="15" customHeight="1" x14ac:dyDescent="0.3">
      <c r="A2116" s="4">
        <v>45184</v>
      </c>
      <c r="B2116" s="5">
        <f t="shared" si="515"/>
        <v>9</v>
      </c>
      <c r="C2116" s="5">
        <f t="shared" si="516"/>
        <v>2023</v>
      </c>
      <c r="D2116" s="88" t="s">
        <v>1903</v>
      </c>
      <c r="E2116" s="5" t="str">
        <f>VLOOKUP(F2116,'Set up'!$A$2:$C$70,2,FALSE)</f>
        <v>C00000020</v>
      </c>
      <c r="F2116" s="1" t="s">
        <v>409</v>
      </c>
      <c r="G2116" s="103" t="s">
        <v>1110</v>
      </c>
      <c r="H2116" s="5">
        <v>2</v>
      </c>
      <c r="I2116" s="5" t="str">
        <f>VLOOKUP(F2116,'Set up'!$A$2:$C$70,3,FALSE)</f>
        <v>Cash</v>
      </c>
      <c r="J2116" s="5">
        <f>VLOOKUP(F2116,'Set up'!$A$2:$D$70,4,FALSE)</f>
        <v>0</v>
      </c>
      <c r="K2116" s="4">
        <f t="shared" si="517"/>
        <v>45184</v>
      </c>
      <c r="L2116" s="5">
        <f t="shared" si="518"/>
        <v>9</v>
      </c>
      <c r="M2116" s="5">
        <f t="shared" si="519"/>
        <v>2023</v>
      </c>
      <c r="N2116" s="96">
        <v>125</v>
      </c>
      <c r="O2116" s="6">
        <f>-N2116</f>
        <v>-125</v>
      </c>
      <c r="P2116" s="6">
        <f t="shared" si="511"/>
        <v>0</v>
      </c>
      <c r="Q2116" s="7">
        <f t="shared" si="521"/>
        <v>3605794.0500000017</v>
      </c>
      <c r="R2116" s="44" t="str">
        <f>VLOOKUP(F2116,'Set up'!$A$2:$E$70,5,FALSE)</f>
        <v>Trsf</v>
      </c>
      <c r="S2116" s="1" t="s">
        <v>2590</v>
      </c>
    </row>
    <row r="2117" spans="1:19" ht="15" customHeight="1" x14ac:dyDescent="0.3">
      <c r="A2117" s="4">
        <v>45184</v>
      </c>
      <c r="B2117" s="5">
        <f t="shared" si="515"/>
        <v>9</v>
      </c>
      <c r="C2117" s="5">
        <f t="shared" si="516"/>
        <v>2023</v>
      </c>
      <c r="D2117" s="88" t="s">
        <v>1904</v>
      </c>
      <c r="E2117" s="5" t="str">
        <f>VLOOKUP(F2117,'Set up'!$A$2:$C$70,2,FALSE)</f>
        <v>C00000020</v>
      </c>
      <c r="F2117" s="1" t="s">
        <v>409</v>
      </c>
      <c r="G2117" s="103" t="s">
        <v>1733</v>
      </c>
      <c r="H2117" s="5">
        <v>2</v>
      </c>
      <c r="I2117" s="5" t="str">
        <f>VLOOKUP(F2117,'Set up'!$A$2:$C$70,3,FALSE)</f>
        <v>Cash</v>
      </c>
      <c r="J2117" s="5">
        <f>VLOOKUP(F2117,'Set up'!$A$2:$D$70,4,FALSE)</f>
        <v>0</v>
      </c>
      <c r="K2117" s="4">
        <f t="shared" si="517"/>
        <v>45184</v>
      </c>
      <c r="L2117" s="5">
        <f t="shared" si="518"/>
        <v>9</v>
      </c>
      <c r="M2117" s="5">
        <f t="shared" si="519"/>
        <v>2023</v>
      </c>
      <c r="N2117" s="96">
        <v>3212</v>
      </c>
      <c r="O2117" s="6">
        <f>-N2117</f>
        <v>-3212</v>
      </c>
      <c r="P2117" s="6">
        <f t="shared" si="511"/>
        <v>0</v>
      </c>
      <c r="Q2117" s="7">
        <f t="shared" si="521"/>
        <v>3609006.0500000017</v>
      </c>
      <c r="R2117" s="44" t="str">
        <f>VLOOKUP(F2117,'Set up'!$A$2:$E$70,5,FALSE)</f>
        <v>Trsf</v>
      </c>
      <c r="S2117" s="1" t="s">
        <v>2591</v>
      </c>
    </row>
    <row r="2118" spans="1:19" ht="15" customHeight="1" x14ac:dyDescent="0.3">
      <c r="A2118" s="4">
        <v>45184</v>
      </c>
      <c r="B2118" s="5">
        <f t="shared" si="515"/>
        <v>9</v>
      </c>
      <c r="C2118" s="5">
        <f t="shared" si="516"/>
        <v>2023</v>
      </c>
      <c r="D2118" s="88" t="s">
        <v>1904</v>
      </c>
      <c r="E2118" s="5" t="str">
        <f>VLOOKUP(F2118,'Set up'!$A$2:$C$70,2,FALSE)</f>
        <v>C00000020</v>
      </c>
      <c r="F2118" s="1" t="s">
        <v>409</v>
      </c>
      <c r="G2118" s="90" t="s">
        <v>913</v>
      </c>
      <c r="H2118" s="5">
        <v>10</v>
      </c>
      <c r="I2118" s="5" t="str">
        <f>VLOOKUP(F2118,'Set up'!$A$2:$C$70,3,FALSE)</f>
        <v>Cash</v>
      </c>
      <c r="J2118" s="5">
        <f>VLOOKUP(F2118,'Set up'!$A$2:$D$70,4,FALSE)</f>
        <v>0</v>
      </c>
      <c r="K2118" s="4">
        <f t="shared" si="517"/>
        <v>45184</v>
      </c>
      <c r="L2118" s="5">
        <f t="shared" si="518"/>
        <v>9</v>
      </c>
      <c r="M2118" s="5">
        <f t="shared" si="519"/>
        <v>2023</v>
      </c>
      <c r="N2118" s="96">
        <v>1890</v>
      </c>
      <c r="O2118" s="6">
        <f>-N2118</f>
        <v>-1890</v>
      </c>
      <c r="P2118" s="6">
        <f t="shared" si="511"/>
        <v>0</v>
      </c>
      <c r="Q2118" s="7">
        <f t="shared" si="521"/>
        <v>3610896.0500000017</v>
      </c>
      <c r="R2118" s="44" t="str">
        <f>VLOOKUP(F2118,'Set up'!$A$2:$E$70,5,FALSE)</f>
        <v>Trsf</v>
      </c>
      <c r="S2118" s="1" t="s">
        <v>2593</v>
      </c>
    </row>
    <row r="2119" spans="1:19" ht="15" customHeight="1" x14ac:dyDescent="0.3">
      <c r="A2119" s="4">
        <v>45184</v>
      </c>
      <c r="B2119" s="5">
        <f t="shared" si="515"/>
        <v>9</v>
      </c>
      <c r="C2119" s="5">
        <f t="shared" si="516"/>
        <v>2023</v>
      </c>
      <c r="D2119" s="88" t="s">
        <v>1904</v>
      </c>
      <c r="E2119" s="5" t="str">
        <f>VLOOKUP(F2119,'Set up'!$A$2:$C$70,2,FALSE)</f>
        <v>C00000020</v>
      </c>
      <c r="F2119" s="1" t="s">
        <v>409</v>
      </c>
      <c r="G2119" s="90" t="s">
        <v>778</v>
      </c>
      <c r="H2119" s="5">
        <v>2</v>
      </c>
      <c r="I2119" s="5" t="str">
        <f>VLOOKUP(F2119,'Set up'!$A$2:$C$70,3,FALSE)</f>
        <v>Cash</v>
      </c>
      <c r="J2119" s="5">
        <f>VLOOKUP(F2119,'Set up'!$A$2:$D$70,4,FALSE)</f>
        <v>0</v>
      </c>
      <c r="K2119" s="4">
        <f t="shared" si="517"/>
        <v>45184</v>
      </c>
      <c r="L2119" s="5">
        <f t="shared" si="518"/>
        <v>9</v>
      </c>
      <c r="M2119" s="5">
        <f t="shared" si="519"/>
        <v>2023</v>
      </c>
      <c r="N2119" s="96">
        <v>400</v>
      </c>
      <c r="O2119" s="6">
        <f>-N2119</f>
        <v>-400</v>
      </c>
      <c r="P2119" s="6">
        <f t="shared" ref="P2119:P2139" si="522">SUM(N2119+O2119)</f>
        <v>0</v>
      </c>
      <c r="Q2119" s="7">
        <f t="shared" si="521"/>
        <v>3611296.0500000017</v>
      </c>
      <c r="R2119" s="44" t="str">
        <f>VLOOKUP(F2119,'Set up'!$A$2:$E$70,5,FALSE)</f>
        <v>Trsf</v>
      </c>
      <c r="S2119" s="1" t="s">
        <v>2594</v>
      </c>
    </row>
    <row r="2120" spans="1:19" ht="15" customHeight="1" x14ac:dyDescent="0.3">
      <c r="A2120" s="4">
        <v>45187</v>
      </c>
      <c r="B2120" s="5">
        <f t="shared" si="515"/>
        <v>9</v>
      </c>
      <c r="C2120" s="5">
        <f t="shared" si="516"/>
        <v>2023</v>
      </c>
      <c r="D2120" s="88" t="s">
        <v>1905</v>
      </c>
      <c r="E2120" s="5" t="str">
        <f>VLOOKUP(F2120,'Set up'!$A$2:$C$70,2,FALSE)</f>
        <v>C00000022</v>
      </c>
      <c r="F2120" s="1" t="s">
        <v>637</v>
      </c>
      <c r="G2120" s="99" t="s">
        <v>95</v>
      </c>
      <c r="H2120" s="5">
        <v>1</v>
      </c>
      <c r="I2120" s="5" t="str">
        <f>VLOOKUP(F2120,'Set up'!$A$2:$C$70,3,FALSE)</f>
        <v>Cash</v>
      </c>
      <c r="J2120" s="5">
        <f>VLOOKUP(F2120,'Set up'!$A$2:$D$70,4,FALSE)</f>
        <v>0</v>
      </c>
      <c r="K2120" s="4">
        <f t="shared" si="517"/>
        <v>45187</v>
      </c>
      <c r="L2120" s="5">
        <f t="shared" si="518"/>
        <v>9</v>
      </c>
      <c r="M2120" s="5">
        <f t="shared" si="519"/>
        <v>2023</v>
      </c>
      <c r="N2120" s="96">
        <v>1738</v>
      </c>
      <c r="O2120" s="6">
        <f t="shared" ref="O2120:O2124" si="523">-N2120</f>
        <v>-1738</v>
      </c>
      <c r="P2120" s="6">
        <f t="shared" si="522"/>
        <v>0</v>
      </c>
      <c r="Q2120" s="7">
        <f t="shared" si="521"/>
        <v>3613034.0500000017</v>
      </c>
      <c r="R2120" s="44" t="str">
        <f>VLOOKUP(F2120,'Set up'!$A$2:$E$70,5,FALSE)</f>
        <v>Trsf</v>
      </c>
      <c r="S2120" s="1" t="s">
        <v>2245</v>
      </c>
    </row>
    <row r="2121" spans="1:19" ht="15" customHeight="1" x14ac:dyDescent="0.3">
      <c r="A2121" s="4">
        <v>45187</v>
      </c>
      <c r="B2121" s="5">
        <f t="shared" si="515"/>
        <v>9</v>
      </c>
      <c r="C2121" s="5">
        <f t="shared" si="516"/>
        <v>2023</v>
      </c>
      <c r="D2121" s="88" t="s">
        <v>1905</v>
      </c>
      <c r="E2121" s="5" t="str">
        <f>VLOOKUP(F2121,'Set up'!$A$2:$C$70,2,FALSE)</f>
        <v>C00000022</v>
      </c>
      <c r="F2121" s="1" t="s">
        <v>637</v>
      </c>
      <c r="G2121" s="99" t="s">
        <v>1906</v>
      </c>
      <c r="H2121" s="5">
        <v>1</v>
      </c>
      <c r="I2121" s="5" t="str">
        <f>VLOOKUP(F2121,'Set up'!$A$2:$C$70,3,FALSE)</f>
        <v>Cash</v>
      </c>
      <c r="J2121" s="5">
        <f>VLOOKUP(F2121,'Set up'!$A$2:$D$70,4,FALSE)</f>
        <v>0</v>
      </c>
      <c r="K2121" s="4">
        <f t="shared" si="517"/>
        <v>45187</v>
      </c>
      <c r="L2121" s="5">
        <f t="shared" si="518"/>
        <v>9</v>
      </c>
      <c r="M2121" s="5">
        <f t="shared" si="519"/>
        <v>2023</v>
      </c>
      <c r="N2121" s="96">
        <v>3600</v>
      </c>
      <c r="O2121" s="6">
        <f>-1644.8-1955.2</f>
        <v>-3600</v>
      </c>
      <c r="P2121" s="6">
        <f t="shared" si="522"/>
        <v>0</v>
      </c>
      <c r="Q2121" s="7">
        <f t="shared" si="521"/>
        <v>3616634.0500000017</v>
      </c>
      <c r="R2121" s="44" t="str">
        <f>VLOOKUP(F2121,'Set up'!$A$2:$E$70,5,FALSE)</f>
        <v>Trsf</v>
      </c>
      <c r="S2121" s="1" t="s">
        <v>2882</v>
      </c>
    </row>
    <row r="2122" spans="1:19" ht="15" customHeight="1" x14ac:dyDescent="0.3">
      <c r="A2122" s="4">
        <v>45187</v>
      </c>
      <c r="B2122" s="5">
        <f t="shared" si="515"/>
        <v>9</v>
      </c>
      <c r="C2122" s="5">
        <f t="shared" si="516"/>
        <v>2023</v>
      </c>
      <c r="D2122" s="88" t="s">
        <v>1905</v>
      </c>
      <c r="E2122" s="5" t="str">
        <f>VLOOKUP(F2122,'Set up'!$A$2:$C$70,2,FALSE)</f>
        <v>C00000022</v>
      </c>
      <c r="F2122" s="1" t="s">
        <v>637</v>
      </c>
      <c r="G2122" s="99" t="s">
        <v>913</v>
      </c>
      <c r="H2122" s="5">
        <v>3</v>
      </c>
      <c r="I2122" s="5" t="str">
        <f>VLOOKUP(F2122,'Set up'!$A$2:$C$70,3,FALSE)</f>
        <v>Cash</v>
      </c>
      <c r="J2122" s="5">
        <f>VLOOKUP(F2122,'Set up'!$A$2:$D$70,4,FALSE)</f>
        <v>0</v>
      </c>
      <c r="K2122" s="4">
        <f t="shared" si="517"/>
        <v>45187</v>
      </c>
      <c r="L2122" s="5">
        <f t="shared" si="518"/>
        <v>9</v>
      </c>
      <c r="M2122" s="5">
        <f t="shared" si="519"/>
        <v>2023</v>
      </c>
      <c r="N2122" s="96">
        <v>702</v>
      </c>
      <c r="O2122" s="6">
        <f t="shared" si="523"/>
        <v>-702</v>
      </c>
      <c r="P2122" s="6">
        <f t="shared" si="522"/>
        <v>0</v>
      </c>
      <c r="Q2122" s="7">
        <f t="shared" si="521"/>
        <v>3617336.0500000017</v>
      </c>
      <c r="R2122" s="44" t="str">
        <f>VLOOKUP(F2122,'Set up'!$A$2:$E$70,5,FALSE)</f>
        <v>Trsf</v>
      </c>
      <c r="S2122" s="1" t="s">
        <v>2883</v>
      </c>
    </row>
    <row r="2123" spans="1:19" ht="15" customHeight="1" x14ac:dyDescent="0.3">
      <c r="A2123" s="4">
        <v>45187</v>
      </c>
      <c r="B2123" s="5">
        <f t="shared" si="515"/>
        <v>9</v>
      </c>
      <c r="C2123" s="5">
        <f t="shared" si="516"/>
        <v>2023</v>
      </c>
      <c r="D2123" s="88" t="s">
        <v>1905</v>
      </c>
      <c r="E2123" s="5" t="str">
        <f>VLOOKUP(F2123,'Set up'!$A$2:$C$70,2,FALSE)</f>
        <v>C00000022</v>
      </c>
      <c r="F2123" s="1" t="s">
        <v>637</v>
      </c>
      <c r="G2123" s="99" t="s">
        <v>1198</v>
      </c>
      <c r="H2123" s="5">
        <v>1</v>
      </c>
      <c r="I2123" s="5" t="str">
        <f>VLOOKUP(F2123,'Set up'!$A$2:$C$70,3,FALSE)</f>
        <v>Cash</v>
      </c>
      <c r="J2123" s="5">
        <f>VLOOKUP(F2123,'Set up'!$A$2:$D$70,4,FALSE)</f>
        <v>0</v>
      </c>
      <c r="K2123" s="4">
        <f t="shared" si="517"/>
        <v>45187</v>
      </c>
      <c r="L2123" s="5">
        <f t="shared" si="518"/>
        <v>9</v>
      </c>
      <c r="M2123" s="5">
        <f t="shared" si="519"/>
        <v>2023</v>
      </c>
      <c r="N2123" s="96">
        <v>234</v>
      </c>
      <c r="O2123" s="6">
        <f t="shared" si="523"/>
        <v>-234</v>
      </c>
      <c r="P2123" s="6">
        <f t="shared" si="522"/>
        <v>0</v>
      </c>
      <c r="Q2123" s="7">
        <f t="shared" si="521"/>
        <v>3617570.0500000017</v>
      </c>
      <c r="R2123" s="44" t="str">
        <f>VLOOKUP(F2123,'Set up'!$A$2:$E$70,5,FALSE)</f>
        <v>Trsf</v>
      </c>
      <c r="S2123" s="1" t="s">
        <v>2884</v>
      </c>
    </row>
    <row r="2124" spans="1:19" ht="15" customHeight="1" x14ac:dyDescent="0.3">
      <c r="A2124" s="4">
        <v>45187</v>
      </c>
      <c r="B2124" s="5">
        <f t="shared" si="515"/>
        <v>9</v>
      </c>
      <c r="C2124" s="5">
        <f t="shared" si="516"/>
        <v>2023</v>
      </c>
      <c r="D2124" s="88" t="s">
        <v>1905</v>
      </c>
      <c r="E2124" s="5" t="str">
        <f>VLOOKUP(F2124,'Set up'!$A$2:$C$70,2,FALSE)</f>
        <v>C00000022</v>
      </c>
      <c r="F2124" s="1" t="s">
        <v>637</v>
      </c>
      <c r="G2124" s="99" t="s">
        <v>1907</v>
      </c>
      <c r="H2124" s="5">
        <v>1</v>
      </c>
      <c r="I2124" s="5" t="str">
        <f>VLOOKUP(F2124,'Set up'!$A$2:$C$70,3,FALSE)</f>
        <v>Cash</v>
      </c>
      <c r="J2124" s="5">
        <f>VLOOKUP(F2124,'Set up'!$A$2:$D$70,4,FALSE)</f>
        <v>0</v>
      </c>
      <c r="K2124" s="4">
        <f t="shared" si="517"/>
        <v>45187</v>
      </c>
      <c r="L2124" s="5">
        <f t="shared" si="518"/>
        <v>9</v>
      </c>
      <c r="M2124" s="5">
        <f t="shared" si="519"/>
        <v>2023</v>
      </c>
      <c r="N2124" s="96">
        <v>250</v>
      </c>
      <c r="O2124" s="6">
        <f t="shared" si="523"/>
        <v>-250</v>
      </c>
      <c r="P2124" s="6">
        <f t="shared" si="522"/>
        <v>0</v>
      </c>
      <c r="Q2124" s="7">
        <f t="shared" si="521"/>
        <v>3617820.0500000017</v>
      </c>
      <c r="R2124" s="44" t="str">
        <f>VLOOKUP(F2124,'Set up'!$A$2:$E$70,5,FALSE)</f>
        <v>Trsf</v>
      </c>
      <c r="S2124" s="1" t="s">
        <v>2885</v>
      </c>
    </row>
    <row r="2125" spans="1:19" ht="15" customHeight="1" x14ac:dyDescent="0.3">
      <c r="A2125" s="4">
        <v>45187</v>
      </c>
      <c r="B2125" s="5">
        <f t="shared" si="515"/>
        <v>9</v>
      </c>
      <c r="C2125" s="5">
        <f t="shared" si="516"/>
        <v>2023</v>
      </c>
      <c r="D2125" s="88" t="s">
        <v>1905</v>
      </c>
      <c r="E2125" s="5" t="str">
        <f>VLOOKUP(F2125,'Set up'!$A$2:$C$70,2,FALSE)</f>
        <v>C00000022</v>
      </c>
      <c r="F2125" s="1" t="s">
        <v>637</v>
      </c>
      <c r="G2125" s="99" t="s">
        <v>1908</v>
      </c>
      <c r="H2125" s="5">
        <v>1</v>
      </c>
      <c r="I2125" s="5" t="str">
        <f>VLOOKUP(F2125,'Set up'!$A$2:$C$70,3,FALSE)</f>
        <v>Cash</v>
      </c>
      <c r="J2125" s="5">
        <f>VLOOKUP(F2125,'Set up'!$A$2:$D$70,4,FALSE)</f>
        <v>0</v>
      </c>
      <c r="K2125" s="4">
        <f t="shared" si="517"/>
        <v>45187</v>
      </c>
      <c r="L2125" s="5">
        <f t="shared" si="518"/>
        <v>9</v>
      </c>
      <c r="M2125" s="5">
        <f t="shared" si="519"/>
        <v>2023</v>
      </c>
      <c r="N2125" s="96">
        <v>175</v>
      </c>
      <c r="O2125" s="6">
        <f t="shared" ref="O2125" si="524">-N2125</f>
        <v>-175</v>
      </c>
      <c r="P2125" s="6">
        <f t="shared" si="522"/>
        <v>0</v>
      </c>
      <c r="Q2125" s="7">
        <f t="shared" si="521"/>
        <v>3617995.0500000017</v>
      </c>
      <c r="R2125" s="44" t="str">
        <f>VLOOKUP(F2125,'Set up'!$A$2:$E$70,5,FALSE)</f>
        <v>Trsf</v>
      </c>
      <c r="S2125" s="1" t="s">
        <v>2886</v>
      </c>
    </row>
    <row r="2126" spans="1:19" ht="15" customHeight="1" x14ac:dyDescent="0.3">
      <c r="A2126" s="4">
        <v>45188</v>
      </c>
      <c r="B2126" s="5">
        <f t="shared" si="515"/>
        <v>9</v>
      </c>
      <c r="C2126" s="5">
        <f t="shared" si="516"/>
        <v>2023</v>
      </c>
      <c r="D2126" s="88" t="s">
        <v>1909</v>
      </c>
      <c r="E2126" s="5" t="str">
        <f>VLOOKUP(F2126,'Set up'!$A$2:$C$70,2,FALSE)</f>
        <v>C00000013a</v>
      </c>
      <c r="F2126" s="1" t="s">
        <v>1453</v>
      </c>
      <c r="G2126" s="89" t="s">
        <v>1745</v>
      </c>
      <c r="H2126" s="5">
        <v>2</v>
      </c>
      <c r="I2126" s="5" t="str">
        <f>VLOOKUP(F2126,'Set up'!$A$2:$C$70,3,FALSE)</f>
        <v>Cash</v>
      </c>
      <c r="J2126" s="5">
        <f>VLOOKUP(F2126,'Set up'!$A$2:$D$70,4,FALSE)</f>
        <v>0</v>
      </c>
      <c r="K2126" s="4">
        <f t="shared" si="517"/>
        <v>45188</v>
      </c>
      <c r="L2126" s="5">
        <f t="shared" si="518"/>
        <v>9</v>
      </c>
      <c r="M2126" s="5">
        <f t="shared" si="519"/>
        <v>2023</v>
      </c>
      <c r="N2126" s="96">
        <v>560</v>
      </c>
      <c r="O2126" s="6">
        <f t="shared" ref="O2126" si="525">-N2126</f>
        <v>-560</v>
      </c>
      <c r="P2126" s="6">
        <f t="shared" si="522"/>
        <v>0</v>
      </c>
      <c r="Q2126" s="7">
        <f t="shared" si="521"/>
        <v>3618555.0500000017</v>
      </c>
      <c r="R2126" s="44" t="str">
        <f>VLOOKUP(F2126,'Set up'!$A$2:$E$70,5,FALSE)</f>
        <v>Chq</v>
      </c>
      <c r="S2126" s="1" t="s">
        <v>1981</v>
      </c>
    </row>
    <row r="2127" spans="1:19" ht="15" customHeight="1" x14ac:dyDescent="0.3">
      <c r="A2127" s="4">
        <v>45189</v>
      </c>
      <c r="B2127" s="5">
        <f t="shared" si="515"/>
        <v>9</v>
      </c>
      <c r="C2127" s="5">
        <f t="shared" si="516"/>
        <v>2023</v>
      </c>
      <c r="D2127" s="88" t="s">
        <v>1910</v>
      </c>
      <c r="E2127" s="5" t="str">
        <f>VLOOKUP(F2127,'Set up'!$A$2:$C$70,2,FALSE)</f>
        <v>C00000020</v>
      </c>
      <c r="F2127" s="1" t="s">
        <v>409</v>
      </c>
      <c r="G2127" s="99" t="s">
        <v>1110</v>
      </c>
      <c r="H2127" s="5">
        <v>2</v>
      </c>
      <c r="I2127" s="5" t="str">
        <f>VLOOKUP(F2127,'Set up'!$A$2:$C$70,3,FALSE)</f>
        <v>Cash</v>
      </c>
      <c r="J2127" s="5">
        <f>VLOOKUP(F2127,'Set up'!$A$2:$D$70,4,FALSE)</f>
        <v>0</v>
      </c>
      <c r="K2127" s="4">
        <f t="shared" si="517"/>
        <v>45189</v>
      </c>
      <c r="L2127" s="5">
        <f t="shared" si="518"/>
        <v>9</v>
      </c>
      <c r="M2127" s="5">
        <f t="shared" si="519"/>
        <v>2023</v>
      </c>
      <c r="N2127" s="96">
        <v>125</v>
      </c>
      <c r="O2127" s="6">
        <f t="shared" ref="O2127:O2132" si="526">-N2127</f>
        <v>-125</v>
      </c>
      <c r="P2127" s="6">
        <f t="shared" si="522"/>
        <v>0</v>
      </c>
      <c r="Q2127" s="7">
        <f t="shared" si="521"/>
        <v>3618680.0500000017</v>
      </c>
      <c r="R2127" s="44" t="str">
        <f>VLOOKUP(F2127,'Set up'!$A$2:$E$70,5,FALSE)</f>
        <v>Trsf</v>
      </c>
      <c r="S2127" s="1" t="s">
        <v>2590</v>
      </c>
    </row>
    <row r="2128" spans="1:19" ht="15" customHeight="1" x14ac:dyDescent="0.3">
      <c r="A2128" s="4">
        <v>45189</v>
      </c>
      <c r="B2128" s="5">
        <f t="shared" si="515"/>
        <v>9</v>
      </c>
      <c r="C2128" s="5">
        <f t="shared" si="516"/>
        <v>2023</v>
      </c>
      <c r="D2128" s="88" t="s">
        <v>1911</v>
      </c>
      <c r="E2128" s="5" t="str">
        <f>VLOOKUP(F2128,'Set up'!$A$2:$C$70,2,FALSE)</f>
        <v>C00000020</v>
      </c>
      <c r="F2128" s="1" t="s">
        <v>409</v>
      </c>
      <c r="G2128" s="99" t="s">
        <v>1733</v>
      </c>
      <c r="H2128" s="5">
        <v>2</v>
      </c>
      <c r="I2128" s="5" t="str">
        <f>VLOOKUP(F2128,'Set up'!$A$2:$C$70,3,FALSE)</f>
        <v>Cash</v>
      </c>
      <c r="J2128" s="5">
        <f>VLOOKUP(F2128,'Set up'!$A$2:$D$70,4,FALSE)</f>
        <v>0</v>
      </c>
      <c r="K2128" s="4">
        <f t="shared" si="517"/>
        <v>45189</v>
      </c>
      <c r="L2128" s="5">
        <f t="shared" si="518"/>
        <v>9</v>
      </c>
      <c r="M2128" s="5">
        <f t="shared" si="519"/>
        <v>2023</v>
      </c>
      <c r="N2128" s="96">
        <v>3212</v>
      </c>
      <c r="O2128" s="6">
        <f t="shared" si="526"/>
        <v>-3212</v>
      </c>
      <c r="P2128" s="6">
        <f t="shared" si="522"/>
        <v>0</v>
      </c>
      <c r="Q2128" s="7">
        <f t="shared" si="521"/>
        <v>3621892.0500000017</v>
      </c>
      <c r="R2128" s="44" t="str">
        <f>VLOOKUP(F2128,'Set up'!$A$2:$E$70,5,FALSE)</f>
        <v>Trsf</v>
      </c>
      <c r="S2128" s="1" t="s">
        <v>2591</v>
      </c>
    </row>
    <row r="2129" spans="1:19" ht="15" customHeight="1" x14ac:dyDescent="0.3">
      <c r="A2129" s="4">
        <v>45189</v>
      </c>
      <c r="B2129" s="5">
        <f t="shared" si="515"/>
        <v>9</v>
      </c>
      <c r="C2129" s="5">
        <f t="shared" si="516"/>
        <v>2023</v>
      </c>
      <c r="D2129" s="88" t="s">
        <v>1911</v>
      </c>
      <c r="E2129" s="5" t="str">
        <f>VLOOKUP(F2129,'Set up'!$A$2:$C$70,2,FALSE)</f>
        <v>C00000020</v>
      </c>
      <c r="F2129" s="1" t="s">
        <v>409</v>
      </c>
      <c r="G2129" s="99" t="s">
        <v>913</v>
      </c>
      <c r="H2129" s="5">
        <v>6</v>
      </c>
      <c r="I2129" s="5" t="str">
        <f>VLOOKUP(F2129,'Set up'!$A$2:$C$70,3,FALSE)</f>
        <v>Cash</v>
      </c>
      <c r="J2129" s="5">
        <f>VLOOKUP(F2129,'Set up'!$A$2:$D$70,4,FALSE)</f>
        <v>0</v>
      </c>
      <c r="K2129" s="4">
        <f t="shared" si="517"/>
        <v>45189</v>
      </c>
      <c r="L2129" s="5">
        <f t="shared" si="518"/>
        <v>9</v>
      </c>
      <c r="M2129" s="5">
        <f t="shared" si="519"/>
        <v>2023</v>
      </c>
      <c r="N2129" s="96">
        <v>1134</v>
      </c>
      <c r="O2129" s="6">
        <f t="shared" si="526"/>
        <v>-1134</v>
      </c>
      <c r="P2129" s="6">
        <f t="shared" si="522"/>
        <v>0</v>
      </c>
      <c r="Q2129" s="7">
        <f t="shared" si="521"/>
        <v>3623026.0500000017</v>
      </c>
      <c r="R2129" s="44" t="str">
        <f>VLOOKUP(F2129,'Set up'!$A$2:$E$70,5,FALSE)</f>
        <v>Trsf</v>
      </c>
      <c r="S2129" s="1" t="s">
        <v>2595</v>
      </c>
    </row>
    <row r="2130" spans="1:19" ht="15" customHeight="1" x14ac:dyDescent="0.3">
      <c r="A2130" s="4">
        <v>45189</v>
      </c>
      <c r="B2130" s="5">
        <f t="shared" si="515"/>
        <v>9</v>
      </c>
      <c r="C2130" s="5">
        <f t="shared" si="516"/>
        <v>2023</v>
      </c>
      <c r="D2130" s="88" t="s">
        <v>1911</v>
      </c>
      <c r="E2130" s="5" t="str">
        <f>VLOOKUP(F2130,'Set up'!$A$2:$C$70,2,FALSE)</f>
        <v>C00000020</v>
      </c>
      <c r="F2130" s="1" t="s">
        <v>409</v>
      </c>
      <c r="G2130" s="99" t="s">
        <v>778</v>
      </c>
      <c r="H2130" s="5">
        <v>3</v>
      </c>
      <c r="I2130" s="5" t="str">
        <f>VLOOKUP(F2130,'Set up'!$A$2:$C$70,3,FALSE)</f>
        <v>Cash</v>
      </c>
      <c r="J2130" s="5">
        <f>VLOOKUP(F2130,'Set up'!$A$2:$D$70,4,FALSE)</f>
        <v>0</v>
      </c>
      <c r="K2130" s="4">
        <f t="shared" si="517"/>
        <v>45189</v>
      </c>
      <c r="L2130" s="5">
        <f t="shared" si="518"/>
        <v>9</v>
      </c>
      <c r="M2130" s="5">
        <f t="shared" si="519"/>
        <v>2023</v>
      </c>
      <c r="N2130" s="96">
        <v>600</v>
      </c>
      <c r="O2130" s="6">
        <f t="shared" si="526"/>
        <v>-600</v>
      </c>
      <c r="P2130" s="6">
        <f t="shared" si="522"/>
        <v>0</v>
      </c>
      <c r="Q2130" s="7">
        <f t="shared" si="521"/>
        <v>3623626.0500000017</v>
      </c>
      <c r="R2130" s="44" t="str">
        <f>VLOOKUP(F2130,'Set up'!$A$2:$E$70,5,FALSE)</f>
        <v>Trsf</v>
      </c>
      <c r="S2130" s="1" t="s">
        <v>2581</v>
      </c>
    </row>
    <row r="2131" spans="1:19" ht="15" customHeight="1" x14ac:dyDescent="0.3">
      <c r="A2131" s="4">
        <v>45189</v>
      </c>
      <c r="B2131" s="5">
        <f t="shared" si="515"/>
        <v>9</v>
      </c>
      <c r="C2131" s="5">
        <f t="shared" si="516"/>
        <v>2023</v>
      </c>
      <c r="D2131" s="88" t="s">
        <v>1911</v>
      </c>
      <c r="E2131" s="5" t="str">
        <f>VLOOKUP(F2131,'Set up'!$A$2:$C$70,2,FALSE)</f>
        <v>C00000020</v>
      </c>
      <c r="F2131" s="1" t="s">
        <v>409</v>
      </c>
      <c r="G2131" s="99" t="s">
        <v>1073</v>
      </c>
      <c r="H2131" s="5">
        <v>1</v>
      </c>
      <c r="I2131" s="5" t="str">
        <f>VLOOKUP(F2131,'Set up'!$A$2:$C$70,3,FALSE)</f>
        <v>Cash</v>
      </c>
      <c r="J2131" s="5">
        <f>VLOOKUP(F2131,'Set up'!$A$2:$D$70,4,FALSE)</f>
        <v>0</v>
      </c>
      <c r="K2131" s="4">
        <f t="shared" si="517"/>
        <v>45189</v>
      </c>
      <c r="L2131" s="5">
        <f t="shared" si="518"/>
        <v>9</v>
      </c>
      <c r="M2131" s="5">
        <f t="shared" si="519"/>
        <v>2023</v>
      </c>
      <c r="N2131" s="96">
        <v>1000</v>
      </c>
      <c r="O2131" s="6">
        <f t="shared" si="526"/>
        <v>-1000</v>
      </c>
      <c r="P2131" s="6">
        <f t="shared" si="522"/>
        <v>0</v>
      </c>
      <c r="Q2131" s="7">
        <f t="shared" si="521"/>
        <v>3624626.0500000017</v>
      </c>
      <c r="R2131" s="44" t="str">
        <f>VLOOKUP(F2131,'Set up'!$A$2:$E$70,5,FALSE)</f>
        <v>Trsf</v>
      </c>
      <c r="S2131" s="1" t="s">
        <v>2592</v>
      </c>
    </row>
    <row r="2132" spans="1:19" ht="15" customHeight="1" x14ac:dyDescent="0.3">
      <c r="A2132" s="4">
        <v>45189</v>
      </c>
      <c r="B2132" s="5">
        <f t="shared" si="515"/>
        <v>9</v>
      </c>
      <c r="C2132" s="5">
        <f t="shared" si="516"/>
        <v>2023</v>
      </c>
      <c r="D2132" s="88" t="s">
        <v>1911</v>
      </c>
      <c r="E2132" s="5" t="str">
        <f>VLOOKUP(F2132,'Set up'!$A$2:$C$70,2,FALSE)</f>
        <v>C00000020</v>
      </c>
      <c r="F2132" s="1" t="s">
        <v>409</v>
      </c>
      <c r="G2132" s="99" t="s">
        <v>1061</v>
      </c>
      <c r="H2132" s="5">
        <v>4</v>
      </c>
      <c r="I2132" s="5" t="str">
        <f>VLOOKUP(F2132,'Set up'!$A$2:$C$70,3,FALSE)</f>
        <v>Cash</v>
      </c>
      <c r="J2132" s="5">
        <f>VLOOKUP(F2132,'Set up'!$A$2:$D$70,4,FALSE)</f>
        <v>0</v>
      </c>
      <c r="K2132" s="4">
        <f t="shared" si="517"/>
        <v>45189</v>
      </c>
      <c r="L2132" s="5">
        <f t="shared" si="518"/>
        <v>9</v>
      </c>
      <c r="M2132" s="5">
        <f t="shared" si="519"/>
        <v>2023</v>
      </c>
      <c r="N2132" s="96">
        <v>380</v>
      </c>
      <c r="O2132" s="6">
        <f t="shared" si="526"/>
        <v>-380</v>
      </c>
      <c r="P2132" s="6">
        <f t="shared" si="522"/>
        <v>0</v>
      </c>
      <c r="Q2132" s="7">
        <f t="shared" si="521"/>
        <v>3625006.0500000017</v>
      </c>
      <c r="R2132" s="44" t="str">
        <f>VLOOKUP(F2132,'Set up'!$A$2:$E$70,5,FALSE)</f>
        <v>Trsf</v>
      </c>
      <c r="S2132" s="1" t="s">
        <v>2589</v>
      </c>
    </row>
    <row r="2133" spans="1:19" ht="15" customHeight="1" x14ac:dyDescent="0.3">
      <c r="A2133" s="4">
        <v>45191</v>
      </c>
      <c r="B2133" s="5">
        <f t="shared" si="515"/>
        <v>9</v>
      </c>
      <c r="C2133" s="5">
        <f t="shared" si="516"/>
        <v>2023</v>
      </c>
      <c r="D2133" s="88" t="s">
        <v>1913</v>
      </c>
      <c r="E2133" s="5" t="str">
        <f>VLOOKUP(F2133,'Set up'!$A$2:$C$70,2,FALSE)</f>
        <v>C00000037</v>
      </c>
      <c r="F2133" s="1" t="s">
        <v>1309</v>
      </c>
      <c r="G2133" s="11" t="s">
        <v>1894</v>
      </c>
      <c r="H2133" s="5">
        <v>6</v>
      </c>
      <c r="I2133" s="5">
        <f>VLOOKUP(F2133,'Set up'!$A$2:$C$70,3,FALSE)</f>
        <v>30</v>
      </c>
      <c r="J2133" s="5">
        <f>VLOOKUP(F2133,'Set up'!$A$2:$D$70,4,FALSE)</f>
        <v>30</v>
      </c>
      <c r="K2133" s="4">
        <f t="shared" si="517"/>
        <v>45221</v>
      </c>
      <c r="L2133" s="5">
        <f t="shared" si="518"/>
        <v>10</v>
      </c>
      <c r="M2133" s="5">
        <f t="shared" si="519"/>
        <v>2023</v>
      </c>
      <c r="N2133" s="96">
        <v>10428</v>
      </c>
      <c r="O2133" s="6">
        <f t="shared" ref="O2133:O2139" si="527">-N2133</f>
        <v>-10428</v>
      </c>
      <c r="P2133" s="6">
        <f t="shared" si="522"/>
        <v>0</v>
      </c>
      <c r="Q2133" s="7">
        <f t="shared" si="521"/>
        <v>3635434.0500000017</v>
      </c>
      <c r="R2133" s="44" t="str">
        <f>VLOOKUP(F2133,'Set up'!$A$2:$E$70,5,FALSE)</f>
        <v>Chq</v>
      </c>
      <c r="S2133" s="1" t="s">
        <v>2069</v>
      </c>
    </row>
    <row r="2134" spans="1:19" ht="15" customHeight="1" x14ac:dyDescent="0.3">
      <c r="A2134" s="4">
        <v>45191</v>
      </c>
      <c r="B2134" s="5">
        <f t="shared" si="515"/>
        <v>9</v>
      </c>
      <c r="C2134" s="5">
        <f t="shared" si="516"/>
        <v>2023</v>
      </c>
      <c r="D2134" s="88" t="s">
        <v>1913</v>
      </c>
      <c r="E2134" s="5" t="str">
        <f>VLOOKUP(F2134,'Set up'!$A$2:$C$70,2,FALSE)</f>
        <v>C00000037</v>
      </c>
      <c r="F2134" s="1" t="s">
        <v>1309</v>
      </c>
      <c r="G2134" s="11" t="s">
        <v>1912</v>
      </c>
      <c r="H2134" s="5">
        <v>7</v>
      </c>
      <c r="I2134" s="5">
        <f>VLOOKUP(F2134,'Set up'!$A$2:$C$70,3,FALSE)</f>
        <v>30</v>
      </c>
      <c r="J2134" s="5">
        <f>VLOOKUP(F2134,'Set up'!$A$2:$D$70,4,FALSE)</f>
        <v>30</v>
      </c>
      <c r="K2134" s="4">
        <f t="shared" si="517"/>
        <v>45221</v>
      </c>
      <c r="L2134" s="5">
        <f t="shared" si="518"/>
        <v>10</v>
      </c>
      <c r="M2134" s="5">
        <f t="shared" si="519"/>
        <v>2023</v>
      </c>
      <c r="N2134" s="96">
        <v>2948.4</v>
      </c>
      <c r="O2134" s="6">
        <f t="shared" si="527"/>
        <v>-2948.4</v>
      </c>
      <c r="P2134" s="6">
        <f t="shared" si="522"/>
        <v>0</v>
      </c>
      <c r="Q2134" s="7">
        <f t="shared" si="521"/>
        <v>3638382.4500000016</v>
      </c>
      <c r="R2134" s="44" t="str">
        <f>VLOOKUP(F2134,'Set up'!$A$2:$E$70,5,FALSE)</f>
        <v>Chq</v>
      </c>
      <c r="S2134" s="1" t="s">
        <v>2070</v>
      </c>
    </row>
    <row r="2135" spans="1:19" ht="15" customHeight="1" x14ac:dyDescent="0.3">
      <c r="A2135" s="4">
        <v>45191</v>
      </c>
      <c r="B2135" s="5">
        <f t="shared" si="515"/>
        <v>9</v>
      </c>
      <c r="C2135" s="5">
        <f t="shared" si="516"/>
        <v>2023</v>
      </c>
      <c r="D2135" s="88" t="s">
        <v>1913</v>
      </c>
      <c r="E2135" s="5" t="str">
        <f>VLOOKUP(F2135,'Set up'!$A$2:$C$70,2,FALSE)</f>
        <v>C00000037</v>
      </c>
      <c r="F2135" s="1" t="s">
        <v>1309</v>
      </c>
      <c r="G2135" s="90" t="s">
        <v>1405</v>
      </c>
      <c r="H2135" s="5">
        <v>6</v>
      </c>
      <c r="I2135" s="5">
        <f>VLOOKUP(F2135,'Set up'!$A$2:$C$70,3,FALSE)</f>
        <v>30</v>
      </c>
      <c r="J2135" s="5">
        <f>VLOOKUP(F2135,'Set up'!$A$2:$D$70,4,FALSE)</f>
        <v>30</v>
      </c>
      <c r="K2135" s="4">
        <f t="shared" si="517"/>
        <v>45221</v>
      </c>
      <c r="L2135" s="5">
        <f t="shared" si="518"/>
        <v>10</v>
      </c>
      <c r="M2135" s="5">
        <f t="shared" si="519"/>
        <v>2023</v>
      </c>
      <c r="N2135" s="96">
        <v>288</v>
      </c>
      <c r="O2135" s="6">
        <f t="shared" si="527"/>
        <v>-288</v>
      </c>
      <c r="P2135" s="6">
        <f t="shared" si="522"/>
        <v>0</v>
      </c>
      <c r="Q2135" s="7">
        <f t="shared" si="521"/>
        <v>3638670.4500000016</v>
      </c>
      <c r="R2135" s="44" t="str">
        <f>VLOOKUP(F2135,'Set up'!$A$2:$E$70,5,FALSE)</f>
        <v>Chq</v>
      </c>
      <c r="S2135" s="1" t="s">
        <v>2071</v>
      </c>
    </row>
    <row r="2136" spans="1:19" ht="15" customHeight="1" x14ac:dyDescent="0.3">
      <c r="A2136" s="4">
        <v>45191</v>
      </c>
      <c r="B2136" s="5">
        <f t="shared" si="515"/>
        <v>9</v>
      </c>
      <c r="C2136" s="5">
        <f t="shared" si="516"/>
        <v>2023</v>
      </c>
      <c r="D2136" s="88" t="s">
        <v>1913</v>
      </c>
      <c r="E2136" s="5" t="str">
        <f>VLOOKUP(F2136,'Set up'!$A$2:$C$70,2,FALSE)</f>
        <v>C00000037</v>
      </c>
      <c r="F2136" s="1" t="s">
        <v>1309</v>
      </c>
      <c r="G2136" s="99" t="s">
        <v>1110</v>
      </c>
      <c r="H2136" s="5">
        <v>5</v>
      </c>
      <c r="I2136" s="5">
        <f>VLOOKUP(F2136,'Set up'!$A$2:$C$70,3,FALSE)</f>
        <v>30</v>
      </c>
      <c r="J2136" s="5">
        <f>VLOOKUP(F2136,'Set up'!$A$2:$D$70,4,FALSE)</f>
        <v>30</v>
      </c>
      <c r="K2136" s="4">
        <f t="shared" si="517"/>
        <v>45221</v>
      </c>
      <c r="L2136" s="5">
        <f t="shared" si="518"/>
        <v>10</v>
      </c>
      <c r="M2136" s="5">
        <f t="shared" si="519"/>
        <v>2023</v>
      </c>
      <c r="N2136" s="96">
        <v>312.5</v>
      </c>
      <c r="O2136" s="6">
        <f t="shared" si="527"/>
        <v>-312.5</v>
      </c>
      <c r="P2136" s="6">
        <f t="shared" si="522"/>
        <v>0</v>
      </c>
      <c r="Q2136" s="7">
        <f t="shared" si="521"/>
        <v>3638982.9500000016</v>
      </c>
      <c r="R2136" s="44" t="str">
        <f>VLOOKUP(F2136,'Set up'!$A$2:$E$70,5,FALSE)</f>
        <v>Chq</v>
      </c>
      <c r="S2136" s="1" t="s">
        <v>2072</v>
      </c>
    </row>
    <row r="2137" spans="1:19" ht="15" customHeight="1" x14ac:dyDescent="0.3">
      <c r="A2137" s="4">
        <v>45191</v>
      </c>
      <c r="B2137" s="5">
        <f t="shared" si="515"/>
        <v>9</v>
      </c>
      <c r="C2137" s="5">
        <f t="shared" si="516"/>
        <v>2023</v>
      </c>
      <c r="D2137" s="88" t="s">
        <v>1913</v>
      </c>
      <c r="E2137" s="5" t="str">
        <f>VLOOKUP(F2137,'Set up'!$A$2:$C$70,2,FALSE)</f>
        <v>C00000037</v>
      </c>
      <c r="F2137" s="1" t="s">
        <v>1309</v>
      </c>
      <c r="G2137" s="90" t="s">
        <v>44</v>
      </c>
      <c r="H2137" s="5">
        <v>2</v>
      </c>
      <c r="I2137" s="5">
        <f>VLOOKUP(F2137,'Set up'!$A$2:$C$70,3,FALSE)</f>
        <v>30</v>
      </c>
      <c r="J2137" s="5">
        <f>VLOOKUP(F2137,'Set up'!$A$2:$D$70,4,FALSE)</f>
        <v>30</v>
      </c>
      <c r="K2137" s="4">
        <f t="shared" si="517"/>
        <v>45221</v>
      </c>
      <c r="L2137" s="5">
        <f t="shared" si="518"/>
        <v>10</v>
      </c>
      <c r="M2137" s="5">
        <f t="shared" si="519"/>
        <v>2023</v>
      </c>
      <c r="N2137" s="96">
        <v>520</v>
      </c>
      <c r="O2137" s="6">
        <f t="shared" si="527"/>
        <v>-520</v>
      </c>
      <c r="P2137" s="6">
        <f t="shared" si="522"/>
        <v>0</v>
      </c>
      <c r="Q2137" s="7">
        <f t="shared" si="521"/>
        <v>3639502.9500000016</v>
      </c>
      <c r="R2137" s="44" t="str">
        <f>VLOOKUP(F2137,'Set up'!$A$2:$E$70,5,FALSE)</f>
        <v>Chq</v>
      </c>
      <c r="S2137" s="1" t="s">
        <v>2073</v>
      </c>
    </row>
    <row r="2138" spans="1:19" ht="15" customHeight="1" x14ac:dyDescent="0.3">
      <c r="A2138" s="4">
        <v>45191</v>
      </c>
      <c r="B2138" s="5">
        <f t="shared" si="515"/>
        <v>9</v>
      </c>
      <c r="C2138" s="5">
        <f t="shared" si="516"/>
        <v>2023</v>
      </c>
      <c r="D2138" s="88" t="s">
        <v>1913</v>
      </c>
      <c r="E2138" s="5" t="str">
        <f>VLOOKUP(F2138,'Set up'!$A$2:$C$70,2,FALSE)</f>
        <v>C00000037</v>
      </c>
      <c r="F2138" s="1" t="s">
        <v>1309</v>
      </c>
      <c r="G2138" s="99" t="s">
        <v>1546</v>
      </c>
      <c r="H2138" s="5">
        <v>1</v>
      </c>
      <c r="I2138" s="5">
        <f>VLOOKUP(F2138,'Set up'!$A$2:$C$70,3,FALSE)</f>
        <v>30</v>
      </c>
      <c r="J2138" s="5">
        <f>VLOOKUP(F2138,'Set up'!$A$2:$D$70,4,FALSE)</f>
        <v>30</v>
      </c>
      <c r="K2138" s="4">
        <f t="shared" si="517"/>
        <v>45221</v>
      </c>
      <c r="L2138" s="5">
        <f t="shared" si="518"/>
        <v>10</v>
      </c>
      <c r="M2138" s="5">
        <f t="shared" si="519"/>
        <v>2023</v>
      </c>
      <c r="N2138" s="96">
        <v>930</v>
      </c>
      <c r="O2138" s="6">
        <f t="shared" si="527"/>
        <v>-930</v>
      </c>
      <c r="P2138" s="6">
        <f t="shared" si="522"/>
        <v>0</v>
      </c>
      <c r="Q2138" s="7">
        <f t="shared" si="521"/>
        <v>3640432.9500000016</v>
      </c>
      <c r="R2138" s="44" t="str">
        <f>VLOOKUP(F2138,'Set up'!$A$2:$E$70,5,FALSE)</f>
        <v>Chq</v>
      </c>
      <c r="S2138" s="1" t="s">
        <v>2074</v>
      </c>
    </row>
    <row r="2139" spans="1:19" ht="15" customHeight="1" x14ac:dyDescent="0.3">
      <c r="A2139" s="4">
        <v>45191</v>
      </c>
      <c r="B2139" s="5">
        <f t="shared" si="515"/>
        <v>9</v>
      </c>
      <c r="C2139" s="5">
        <f t="shared" si="516"/>
        <v>2023</v>
      </c>
      <c r="D2139" s="88" t="s">
        <v>1913</v>
      </c>
      <c r="E2139" s="5" t="str">
        <f>VLOOKUP(F2139,'Set up'!$A$2:$C$70,2,FALSE)</f>
        <v>C00000037</v>
      </c>
      <c r="F2139" s="1" t="s">
        <v>1309</v>
      </c>
      <c r="G2139" s="99" t="s">
        <v>1061</v>
      </c>
      <c r="H2139" s="5">
        <v>2</v>
      </c>
      <c r="I2139" s="5">
        <f>VLOOKUP(F2139,'Set up'!$A$2:$C$70,3,FALSE)</f>
        <v>30</v>
      </c>
      <c r="J2139" s="5">
        <f>VLOOKUP(F2139,'Set up'!$A$2:$D$70,4,FALSE)</f>
        <v>30</v>
      </c>
      <c r="K2139" s="4">
        <f t="shared" si="517"/>
        <v>45221</v>
      </c>
      <c r="L2139" s="5">
        <f t="shared" si="518"/>
        <v>10</v>
      </c>
      <c r="M2139" s="5">
        <f t="shared" si="519"/>
        <v>2023</v>
      </c>
      <c r="N2139" s="96">
        <v>190</v>
      </c>
      <c r="O2139" s="6">
        <f t="shared" si="527"/>
        <v>-190</v>
      </c>
      <c r="P2139" s="6">
        <f t="shared" si="522"/>
        <v>0</v>
      </c>
      <c r="Q2139" s="7">
        <f t="shared" si="521"/>
        <v>3640622.9500000016</v>
      </c>
      <c r="R2139" s="44" t="str">
        <f>VLOOKUP(F2139,'Set up'!$A$2:$E$70,5,FALSE)</f>
        <v>Chq</v>
      </c>
      <c r="S2139" s="1" t="s">
        <v>2075</v>
      </c>
    </row>
    <row r="2140" spans="1:19" ht="15" customHeight="1" x14ac:dyDescent="0.3">
      <c r="A2140" s="4" t="s">
        <v>1915</v>
      </c>
      <c r="B2140" s="5">
        <f t="shared" si="515"/>
        <v>9</v>
      </c>
      <c r="C2140" s="5">
        <f t="shared" si="516"/>
        <v>2023</v>
      </c>
      <c r="D2140" s="88" t="s">
        <v>1914</v>
      </c>
      <c r="E2140" s="5" t="str">
        <f>VLOOKUP(F2140,'Set up'!$A$2:$C$70,2,FALSE)</f>
        <v>C00000014</v>
      </c>
      <c r="F2140" s="1" t="s">
        <v>262</v>
      </c>
      <c r="G2140" s="99" t="s">
        <v>303</v>
      </c>
      <c r="H2140" s="5">
        <v>2</v>
      </c>
      <c r="I2140" s="5" t="str">
        <f>VLOOKUP(F2140,'Set up'!$A$2:$C$70,3,FALSE)</f>
        <v>Cash</v>
      </c>
      <c r="J2140" s="5">
        <f>VLOOKUP(F2140,'Set up'!$A$2:$D$70,4,FALSE)</f>
        <v>0</v>
      </c>
      <c r="K2140" s="4">
        <f t="shared" si="517"/>
        <v>45191</v>
      </c>
      <c r="L2140" s="5">
        <f t="shared" si="518"/>
        <v>9</v>
      </c>
      <c r="M2140" s="5">
        <f t="shared" si="519"/>
        <v>2023</v>
      </c>
      <c r="N2140" s="96">
        <v>3388</v>
      </c>
      <c r="O2140" s="6">
        <f t="shared" ref="O2140:O2146" si="528">-N2140</f>
        <v>-3388</v>
      </c>
      <c r="P2140" s="6">
        <f t="shared" ref="P2140:P2154" si="529">SUM(N2140+O2140)</f>
        <v>0</v>
      </c>
      <c r="Q2140" s="7">
        <f t="shared" si="521"/>
        <v>3644010.9500000016</v>
      </c>
      <c r="R2140" s="44" t="str">
        <f>VLOOKUP(F2140,'Set up'!$A$2:$E$70,5,FALSE)</f>
        <v>Cash</v>
      </c>
      <c r="S2140" s="1" t="s">
        <v>1974</v>
      </c>
    </row>
    <row r="2141" spans="1:19" ht="15" customHeight="1" x14ac:dyDescent="0.3">
      <c r="A2141" s="4" t="s">
        <v>1915</v>
      </c>
      <c r="B2141" s="5">
        <f t="shared" si="515"/>
        <v>9</v>
      </c>
      <c r="C2141" s="5">
        <f t="shared" si="516"/>
        <v>2023</v>
      </c>
      <c r="D2141" s="88" t="s">
        <v>1914</v>
      </c>
      <c r="E2141" s="5" t="str">
        <f>VLOOKUP(F2141,'Set up'!$A$2:$C$70,2,FALSE)</f>
        <v>C00000014</v>
      </c>
      <c r="F2141" s="1" t="s">
        <v>262</v>
      </c>
      <c r="G2141" s="99" t="s">
        <v>988</v>
      </c>
      <c r="H2141" s="5">
        <v>4</v>
      </c>
      <c r="I2141" s="5" t="str">
        <f>VLOOKUP(F2141,'Set up'!$A$2:$C$70,3,FALSE)</f>
        <v>Cash</v>
      </c>
      <c r="J2141" s="5">
        <f>VLOOKUP(F2141,'Set up'!$A$2:$D$70,4,FALSE)</f>
        <v>0</v>
      </c>
      <c r="K2141" s="4">
        <f t="shared" si="517"/>
        <v>45191</v>
      </c>
      <c r="L2141" s="5">
        <f t="shared" si="518"/>
        <v>9</v>
      </c>
      <c r="M2141" s="5">
        <f t="shared" si="519"/>
        <v>2023</v>
      </c>
      <c r="N2141" s="96">
        <v>936</v>
      </c>
      <c r="O2141" s="6">
        <f t="shared" si="528"/>
        <v>-936</v>
      </c>
      <c r="P2141" s="6">
        <f t="shared" si="529"/>
        <v>0</v>
      </c>
      <c r="Q2141" s="7">
        <f t="shared" si="521"/>
        <v>3644946.9500000016</v>
      </c>
      <c r="R2141" s="44" t="str">
        <f>VLOOKUP(F2141,'Set up'!$A$2:$E$70,5,FALSE)</f>
        <v>Cash</v>
      </c>
      <c r="S2141" s="1" t="s">
        <v>1974</v>
      </c>
    </row>
    <row r="2142" spans="1:19" ht="15" customHeight="1" x14ac:dyDescent="0.3">
      <c r="A2142" s="4" t="s">
        <v>1915</v>
      </c>
      <c r="B2142" s="5">
        <f t="shared" si="515"/>
        <v>9</v>
      </c>
      <c r="C2142" s="5">
        <f t="shared" si="516"/>
        <v>2023</v>
      </c>
      <c r="D2142" s="88" t="s">
        <v>1914</v>
      </c>
      <c r="E2142" s="5" t="str">
        <f>VLOOKUP(F2142,'Set up'!$A$2:$C$70,2,FALSE)</f>
        <v>C00000014</v>
      </c>
      <c r="F2142" s="1" t="s">
        <v>262</v>
      </c>
      <c r="G2142" s="99" t="s">
        <v>1468</v>
      </c>
      <c r="H2142" s="5">
        <v>1</v>
      </c>
      <c r="I2142" s="5" t="str">
        <f>VLOOKUP(F2142,'Set up'!$A$2:$C$70,3,FALSE)</f>
        <v>Cash</v>
      </c>
      <c r="J2142" s="5">
        <f>VLOOKUP(F2142,'Set up'!$A$2:$D$70,4,FALSE)</f>
        <v>0</v>
      </c>
      <c r="K2142" s="4">
        <f t="shared" si="517"/>
        <v>45191</v>
      </c>
      <c r="L2142" s="5">
        <f t="shared" si="518"/>
        <v>9</v>
      </c>
      <c r="M2142" s="5">
        <f t="shared" si="519"/>
        <v>2023</v>
      </c>
      <c r="N2142" s="96">
        <v>322.5</v>
      </c>
      <c r="O2142" s="6">
        <f t="shared" si="528"/>
        <v>-322.5</v>
      </c>
      <c r="P2142" s="6">
        <f t="shared" si="529"/>
        <v>0</v>
      </c>
      <c r="Q2142" s="7">
        <f t="shared" si="521"/>
        <v>3645269.4500000016</v>
      </c>
      <c r="R2142" s="44" t="str">
        <f>VLOOKUP(F2142,'Set up'!$A$2:$E$70,5,FALSE)</f>
        <v>Cash</v>
      </c>
      <c r="S2142" s="1" t="s">
        <v>1974</v>
      </c>
    </row>
    <row r="2143" spans="1:19" ht="15" customHeight="1" x14ac:dyDescent="0.3">
      <c r="A2143" s="4" t="s">
        <v>1915</v>
      </c>
      <c r="B2143" s="5">
        <f t="shared" si="515"/>
        <v>9</v>
      </c>
      <c r="C2143" s="5">
        <f t="shared" si="516"/>
        <v>2023</v>
      </c>
      <c r="D2143" s="88" t="s">
        <v>1914</v>
      </c>
      <c r="E2143" s="5" t="str">
        <f>VLOOKUP(F2143,'Set up'!$A$2:$C$70,2,FALSE)</f>
        <v>C00000014</v>
      </c>
      <c r="F2143" s="1" t="s">
        <v>262</v>
      </c>
      <c r="G2143" s="99" t="s">
        <v>1886</v>
      </c>
      <c r="H2143" s="5">
        <v>1</v>
      </c>
      <c r="I2143" s="5" t="str">
        <f>VLOOKUP(F2143,'Set up'!$A$2:$C$70,3,FALSE)</f>
        <v>Cash</v>
      </c>
      <c r="J2143" s="5">
        <f>VLOOKUP(F2143,'Set up'!$A$2:$D$70,4,FALSE)</f>
        <v>0</v>
      </c>
      <c r="K2143" s="4">
        <f t="shared" si="517"/>
        <v>45191</v>
      </c>
      <c r="L2143" s="5">
        <f t="shared" si="518"/>
        <v>9</v>
      </c>
      <c r="M2143" s="5">
        <f t="shared" si="519"/>
        <v>2023</v>
      </c>
      <c r="N2143" s="96">
        <v>160</v>
      </c>
      <c r="O2143" s="6">
        <f t="shared" si="528"/>
        <v>-160</v>
      </c>
      <c r="P2143" s="6">
        <f t="shared" si="529"/>
        <v>0</v>
      </c>
      <c r="Q2143" s="7">
        <f t="shared" si="521"/>
        <v>3645429.4500000016</v>
      </c>
      <c r="R2143" s="44" t="str">
        <f>VLOOKUP(F2143,'Set up'!$A$2:$E$70,5,FALSE)</f>
        <v>Cash</v>
      </c>
      <c r="S2143" s="1" t="s">
        <v>1974</v>
      </c>
    </row>
    <row r="2144" spans="1:19" ht="15" customHeight="1" x14ac:dyDescent="0.3">
      <c r="A2144" s="4" t="s">
        <v>1915</v>
      </c>
      <c r="B2144" s="5">
        <f t="shared" si="515"/>
        <v>9</v>
      </c>
      <c r="C2144" s="5">
        <f t="shared" si="516"/>
        <v>2023</v>
      </c>
      <c r="D2144" s="88" t="s">
        <v>1914</v>
      </c>
      <c r="E2144" s="5" t="str">
        <f>VLOOKUP(F2144,'Set up'!$A$2:$C$70,2,FALSE)</f>
        <v>C00000014</v>
      </c>
      <c r="F2144" s="1" t="s">
        <v>262</v>
      </c>
      <c r="G2144" s="99" t="s">
        <v>1715</v>
      </c>
      <c r="H2144" s="5">
        <v>1</v>
      </c>
      <c r="I2144" s="5" t="str">
        <f>VLOOKUP(F2144,'Set up'!$A$2:$C$70,3,FALSE)</f>
        <v>Cash</v>
      </c>
      <c r="J2144" s="5">
        <f>VLOOKUP(F2144,'Set up'!$A$2:$D$70,4,FALSE)</f>
        <v>0</v>
      </c>
      <c r="K2144" s="4">
        <f t="shared" si="517"/>
        <v>45191</v>
      </c>
      <c r="L2144" s="5">
        <f t="shared" si="518"/>
        <v>9</v>
      </c>
      <c r="M2144" s="5">
        <f t="shared" si="519"/>
        <v>2023</v>
      </c>
      <c r="N2144" s="96">
        <v>165</v>
      </c>
      <c r="O2144" s="6">
        <f t="shared" si="528"/>
        <v>-165</v>
      </c>
      <c r="P2144" s="6">
        <f t="shared" si="529"/>
        <v>0</v>
      </c>
      <c r="Q2144" s="7">
        <f t="shared" si="521"/>
        <v>3645594.4500000016</v>
      </c>
      <c r="R2144" s="44" t="str">
        <f>VLOOKUP(F2144,'Set up'!$A$2:$E$70,5,FALSE)</f>
        <v>Cash</v>
      </c>
      <c r="S2144" s="1" t="s">
        <v>1974</v>
      </c>
    </row>
    <row r="2145" spans="1:19" ht="15" customHeight="1" x14ac:dyDescent="0.3">
      <c r="A2145" s="4" t="s">
        <v>1915</v>
      </c>
      <c r="B2145" s="5">
        <f t="shared" si="515"/>
        <v>9</v>
      </c>
      <c r="C2145" s="5">
        <f t="shared" si="516"/>
        <v>2023</v>
      </c>
      <c r="D2145" s="88" t="s">
        <v>1914</v>
      </c>
      <c r="E2145" s="5" t="str">
        <f>VLOOKUP(F2145,'Set up'!$A$2:$C$70,2,FALSE)</f>
        <v>C00000014</v>
      </c>
      <c r="F2145" s="1" t="s">
        <v>262</v>
      </c>
      <c r="G2145" s="99" t="s">
        <v>17</v>
      </c>
      <c r="H2145" s="5">
        <v>1</v>
      </c>
      <c r="I2145" s="5" t="str">
        <f>VLOOKUP(F2145,'Set up'!$A$2:$C$70,3,FALSE)</f>
        <v>Cash</v>
      </c>
      <c r="J2145" s="5">
        <f>VLOOKUP(F2145,'Set up'!$A$2:$D$70,4,FALSE)</f>
        <v>0</v>
      </c>
      <c r="K2145" s="4">
        <f t="shared" si="517"/>
        <v>45191</v>
      </c>
      <c r="L2145" s="5">
        <f t="shared" si="518"/>
        <v>9</v>
      </c>
      <c r="M2145" s="5">
        <f t="shared" si="519"/>
        <v>2023</v>
      </c>
      <c r="N2145" s="96">
        <v>105</v>
      </c>
      <c r="O2145" s="6">
        <f t="shared" si="528"/>
        <v>-105</v>
      </c>
      <c r="P2145" s="6">
        <f t="shared" si="529"/>
        <v>0</v>
      </c>
      <c r="Q2145" s="7">
        <f t="shared" si="521"/>
        <v>3645699.4500000016</v>
      </c>
      <c r="R2145" s="44" t="str">
        <f>VLOOKUP(F2145,'Set up'!$A$2:$E$70,5,FALSE)</f>
        <v>Cash</v>
      </c>
      <c r="S2145" s="1" t="s">
        <v>1974</v>
      </c>
    </row>
    <row r="2146" spans="1:19" ht="15" customHeight="1" x14ac:dyDescent="0.3">
      <c r="A2146" s="4" t="s">
        <v>1915</v>
      </c>
      <c r="B2146" s="5">
        <f t="shared" si="515"/>
        <v>9</v>
      </c>
      <c r="C2146" s="5">
        <f t="shared" si="516"/>
        <v>2023</v>
      </c>
      <c r="D2146" s="88" t="s">
        <v>1914</v>
      </c>
      <c r="E2146" s="5" t="str">
        <f>VLOOKUP(F2146,'Set up'!$A$2:$C$70,2,FALSE)</f>
        <v>C00000014</v>
      </c>
      <c r="F2146" s="1" t="s">
        <v>262</v>
      </c>
      <c r="G2146" s="99" t="s">
        <v>1110</v>
      </c>
      <c r="H2146" s="5">
        <v>3</v>
      </c>
      <c r="I2146" s="5" t="str">
        <f>VLOOKUP(F2146,'Set up'!$A$2:$C$70,3,FALSE)</f>
        <v>Cash</v>
      </c>
      <c r="J2146" s="5">
        <f>VLOOKUP(F2146,'Set up'!$A$2:$D$70,4,FALSE)</f>
        <v>0</v>
      </c>
      <c r="K2146" s="4">
        <f t="shared" si="517"/>
        <v>45191</v>
      </c>
      <c r="L2146" s="5">
        <f t="shared" si="518"/>
        <v>9</v>
      </c>
      <c r="M2146" s="5">
        <f t="shared" si="519"/>
        <v>2023</v>
      </c>
      <c r="N2146" s="96">
        <v>187.5</v>
      </c>
      <c r="O2146" s="6">
        <f t="shared" si="528"/>
        <v>-187.5</v>
      </c>
      <c r="P2146" s="6">
        <f t="shared" si="529"/>
        <v>0</v>
      </c>
      <c r="Q2146" s="7">
        <f t="shared" si="521"/>
        <v>3645886.9500000016</v>
      </c>
      <c r="R2146" s="44" t="str">
        <f>VLOOKUP(F2146,'Set up'!$A$2:$E$70,5,FALSE)</f>
        <v>Cash</v>
      </c>
      <c r="S2146" s="1" t="s">
        <v>1974</v>
      </c>
    </row>
    <row r="2147" spans="1:19" ht="15" customHeight="1" x14ac:dyDescent="0.3">
      <c r="A2147" s="4">
        <v>45192</v>
      </c>
      <c r="B2147" s="5">
        <f t="shared" si="515"/>
        <v>9</v>
      </c>
      <c r="C2147" s="5">
        <f t="shared" si="516"/>
        <v>2023</v>
      </c>
      <c r="D2147" s="88" t="s">
        <v>1916</v>
      </c>
      <c r="E2147" s="5" t="str">
        <f>VLOOKUP(F2147,'Set up'!$A$2:$C$70,2,FALSE)</f>
        <v>C00000019</v>
      </c>
      <c r="F2147" s="1" t="s">
        <v>400</v>
      </c>
      <c r="G2147" s="99" t="s">
        <v>95</v>
      </c>
      <c r="H2147" s="5">
        <v>1</v>
      </c>
      <c r="I2147" s="5" t="str">
        <f>VLOOKUP(F2147,'Set up'!$A$2:$C$70,3,FALSE)</f>
        <v>Cash</v>
      </c>
      <c r="J2147" s="5">
        <f>VLOOKUP(F2147,'Set up'!$A$2:$D$70,4,FALSE)</f>
        <v>0</v>
      </c>
      <c r="K2147" s="4">
        <f t="shared" si="517"/>
        <v>45192</v>
      </c>
      <c r="L2147" s="5">
        <f t="shared" si="518"/>
        <v>9</v>
      </c>
      <c r="M2147" s="5">
        <f t="shared" si="519"/>
        <v>2023</v>
      </c>
      <c r="N2147" s="96">
        <v>1738</v>
      </c>
      <c r="O2147" s="6">
        <f>-330.5-1400-7.5</f>
        <v>-1738</v>
      </c>
      <c r="P2147" s="6">
        <f t="shared" si="529"/>
        <v>0</v>
      </c>
      <c r="Q2147" s="7">
        <f t="shared" si="521"/>
        <v>3647624.9500000016</v>
      </c>
      <c r="R2147" s="44" t="str">
        <f>VLOOKUP(F2147,'Set up'!$A$2:$E$70,5,FALSE)</f>
        <v>Trsf</v>
      </c>
      <c r="S2147" s="1" t="s">
        <v>2776</v>
      </c>
    </row>
    <row r="2148" spans="1:19" ht="15" customHeight="1" x14ac:dyDescent="0.3">
      <c r="A2148" s="4">
        <v>45192</v>
      </c>
      <c r="B2148" s="5">
        <f t="shared" si="515"/>
        <v>9</v>
      </c>
      <c r="C2148" s="5">
        <f t="shared" si="516"/>
        <v>2023</v>
      </c>
      <c r="D2148" s="88" t="s">
        <v>1916</v>
      </c>
      <c r="E2148" s="5" t="str">
        <f>VLOOKUP(F2148,'Set up'!$A$2:$C$70,2,FALSE)</f>
        <v>C00000019</v>
      </c>
      <c r="F2148" s="1" t="s">
        <v>400</v>
      </c>
      <c r="G2148" s="99" t="s">
        <v>1469</v>
      </c>
      <c r="H2148" s="5">
        <v>1</v>
      </c>
      <c r="I2148" s="5" t="str">
        <f>VLOOKUP(F2148,'Set up'!$A$2:$C$70,3,FALSE)</f>
        <v>Cash</v>
      </c>
      <c r="J2148" s="5">
        <f>VLOOKUP(F2148,'Set up'!$A$2:$D$70,4,FALSE)</f>
        <v>0</v>
      </c>
      <c r="K2148" s="4">
        <f t="shared" si="517"/>
        <v>45192</v>
      </c>
      <c r="L2148" s="5">
        <f t="shared" si="518"/>
        <v>9</v>
      </c>
      <c r="M2148" s="5">
        <f t="shared" si="519"/>
        <v>2023</v>
      </c>
      <c r="N2148" s="96">
        <v>390</v>
      </c>
      <c r="O2148" s="6">
        <f>-N2148</f>
        <v>-390</v>
      </c>
      <c r="P2148" s="6">
        <f t="shared" si="529"/>
        <v>0</v>
      </c>
      <c r="Q2148" s="7">
        <f t="shared" si="521"/>
        <v>3648014.9500000016</v>
      </c>
      <c r="R2148" s="44" t="str">
        <f>VLOOKUP(F2148,'Set up'!$A$2:$E$70,5,FALSE)</f>
        <v>Trsf</v>
      </c>
      <c r="S2148" s="1" t="s">
        <v>2777</v>
      </c>
    </row>
    <row r="2149" spans="1:19" ht="15" customHeight="1" x14ac:dyDescent="0.3">
      <c r="A2149" s="4">
        <v>45195</v>
      </c>
      <c r="B2149" s="5">
        <f t="shared" si="515"/>
        <v>9</v>
      </c>
      <c r="C2149" s="5">
        <f t="shared" si="516"/>
        <v>2023</v>
      </c>
      <c r="D2149" s="88" t="s">
        <v>1919</v>
      </c>
      <c r="E2149" s="5" t="str">
        <f>VLOOKUP(F2149,'Set up'!$A$2:$C$70,2,FALSE)</f>
        <v>C00000034</v>
      </c>
      <c r="F2149" s="1" t="s">
        <v>1196</v>
      </c>
      <c r="G2149" s="99" t="s">
        <v>1917</v>
      </c>
      <c r="H2149" s="5">
        <v>1</v>
      </c>
      <c r="I2149" s="5" t="str">
        <f>VLOOKUP(F2149,'Set up'!$A$2:$C$70,3,FALSE)</f>
        <v>Cash</v>
      </c>
      <c r="J2149" s="5">
        <f>VLOOKUP(F2149,'Set up'!$A$2:$D$70,4,FALSE)</f>
        <v>0</v>
      </c>
      <c r="K2149" s="4">
        <f t="shared" si="517"/>
        <v>45195</v>
      </c>
      <c r="L2149" s="5">
        <f t="shared" si="518"/>
        <v>9</v>
      </c>
      <c r="M2149" s="5">
        <f t="shared" si="519"/>
        <v>2023</v>
      </c>
      <c r="N2149" s="96">
        <v>390</v>
      </c>
      <c r="O2149" s="6">
        <f t="shared" ref="O2149:O2150" si="530">-N2149</f>
        <v>-390</v>
      </c>
      <c r="P2149" s="6">
        <f t="shared" si="529"/>
        <v>0</v>
      </c>
      <c r="Q2149" s="7">
        <f t="shared" si="521"/>
        <v>3648404.9500000016</v>
      </c>
      <c r="R2149" s="44" t="str">
        <f>VLOOKUP(F2149,'Set up'!$A$2:$E$70,5,FALSE)</f>
        <v>Trsf</v>
      </c>
      <c r="S2149" s="1" t="s">
        <v>2411</v>
      </c>
    </row>
    <row r="2150" spans="1:19" ht="15" customHeight="1" x14ac:dyDescent="0.3">
      <c r="A2150" s="4">
        <v>45195</v>
      </c>
      <c r="B2150" s="5">
        <f t="shared" si="515"/>
        <v>9</v>
      </c>
      <c r="C2150" s="5">
        <f t="shared" si="516"/>
        <v>2023</v>
      </c>
      <c r="D2150" s="88" t="s">
        <v>1919</v>
      </c>
      <c r="E2150" s="5" t="str">
        <f>VLOOKUP(F2150,'Set up'!$A$2:$C$70,2,FALSE)</f>
        <v>C00000034</v>
      </c>
      <c r="F2150" s="1" t="s">
        <v>1196</v>
      </c>
      <c r="G2150" s="99" t="s">
        <v>1796</v>
      </c>
      <c r="H2150" s="5">
        <v>1</v>
      </c>
      <c r="I2150" s="5" t="str">
        <f>VLOOKUP(F2150,'Set up'!$A$2:$C$70,3,FALSE)</f>
        <v>Cash</v>
      </c>
      <c r="J2150" s="5">
        <f>VLOOKUP(F2150,'Set up'!$A$2:$D$70,4,FALSE)</f>
        <v>0</v>
      </c>
      <c r="K2150" s="4">
        <f t="shared" si="517"/>
        <v>45195</v>
      </c>
      <c r="L2150" s="5">
        <f t="shared" si="518"/>
        <v>9</v>
      </c>
      <c r="M2150" s="5">
        <f t="shared" si="519"/>
        <v>2023</v>
      </c>
      <c r="N2150" s="96">
        <v>219</v>
      </c>
      <c r="O2150" s="6">
        <f t="shared" si="530"/>
        <v>-219</v>
      </c>
      <c r="P2150" s="6">
        <f t="shared" si="529"/>
        <v>0</v>
      </c>
      <c r="Q2150" s="7">
        <f t="shared" si="521"/>
        <v>3648623.9500000016</v>
      </c>
      <c r="R2150" s="44" t="str">
        <f>VLOOKUP(F2150,'Set up'!$A$2:$E$70,5,FALSE)</f>
        <v>Trsf</v>
      </c>
      <c r="S2150" s="1" t="s">
        <v>2412</v>
      </c>
    </row>
    <row r="2151" spans="1:19" ht="15" customHeight="1" x14ac:dyDescent="0.3">
      <c r="A2151" s="4">
        <v>45195</v>
      </c>
      <c r="B2151" s="5">
        <f t="shared" si="515"/>
        <v>9</v>
      </c>
      <c r="C2151" s="5">
        <f t="shared" si="516"/>
        <v>2023</v>
      </c>
      <c r="D2151" s="88" t="s">
        <v>1919</v>
      </c>
      <c r="E2151" s="5" t="str">
        <f>VLOOKUP(F2151,'Set up'!$A$2:$C$70,2,FALSE)</f>
        <v>C00000034</v>
      </c>
      <c r="F2151" s="1" t="s">
        <v>1196</v>
      </c>
      <c r="G2151" s="99" t="s">
        <v>1918</v>
      </c>
      <c r="H2151" s="5">
        <v>2</v>
      </c>
      <c r="I2151" s="5" t="str">
        <f>VLOOKUP(F2151,'Set up'!$A$2:$C$70,3,FALSE)</f>
        <v>Cash</v>
      </c>
      <c r="J2151" s="5">
        <f>VLOOKUP(F2151,'Set up'!$A$2:$D$70,4,FALSE)</f>
        <v>0</v>
      </c>
      <c r="K2151" s="4">
        <f t="shared" si="517"/>
        <v>45195</v>
      </c>
      <c r="L2151" s="5">
        <f t="shared" si="518"/>
        <v>9</v>
      </c>
      <c r="M2151" s="5">
        <f t="shared" si="519"/>
        <v>2023</v>
      </c>
      <c r="N2151" s="96">
        <v>531</v>
      </c>
      <c r="O2151" s="6">
        <f>-117.7-413.3</f>
        <v>-531</v>
      </c>
      <c r="P2151" s="6">
        <f t="shared" si="529"/>
        <v>0</v>
      </c>
      <c r="Q2151" s="7">
        <f t="shared" si="521"/>
        <v>3649154.9500000016</v>
      </c>
      <c r="R2151" s="44" t="str">
        <f>VLOOKUP(F2151,'Set up'!$A$2:$E$70,5,FALSE)</f>
        <v>Trsf</v>
      </c>
      <c r="S2151" s="1" t="s">
        <v>2413</v>
      </c>
    </row>
    <row r="2152" spans="1:19" ht="15" customHeight="1" x14ac:dyDescent="0.3">
      <c r="A2152" s="4">
        <v>45195</v>
      </c>
      <c r="B2152" s="5">
        <f t="shared" si="515"/>
        <v>9</v>
      </c>
      <c r="C2152" s="5">
        <f t="shared" si="516"/>
        <v>2023</v>
      </c>
      <c r="D2152" s="88" t="s">
        <v>1919</v>
      </c>
      <c r="E2152" s="5" t="str">
        <f>VLOOKUP(F2152,'Set up'!$A$2:$C$70,2,FALSE)</f>
        <v>C00000034</v>
      </c>
      <c r="F2152" s="1" t="s">
        <v>1196</v>
      </c>
      <c r="G2152" s="99" t="s">
        <v>1061</v>
      </c>
      <c r="H2152" s="5">
        <v>1</v>
      </c>
      <c r="I2152" s="5" t="str">
        <f>VLOOKUP(F2152,'Set up'!$A$2:$C$70,3,FALSE)</f>
        <v>Cash</v>
      </c>
      <c r="J2152" s="5">
        <f>VLOOKUP(F2152,'Set up'!$A$2:$D$70,4,FALSE)</f>
        <v>0</v>
      </c>
      <c r="K2152" s="4">
        <f t="shared" si="517"/>
        <v>45195</v>
      </c>
      <c r="L2152" s="5">
        <f t="shared" si="518"/>
        <v>9</v>
      </c>
      <c r="M2152" s="5">
        <f t="shared" si="519"/>
        <v>2023</v>
      </c>
      <c r="N2152" s="96">
        <v>95</v>
      </c>
      <c r="O2152" s="6">
        <f t="shared" ref="O2152:O2156" si="531">-N2152</f>
        <v>-95</v>
      </c>
      <c r="P2152" s="6">
        <f t="shared" si="529"/>
        <v>0</v>
      </c>
      <c r="Q2152" s="7">
        <f t="shared" si="521"/>
        <v>3649249.9500000016</v>
      </c>
      <c r="R2152" s="44" t="str">
        <f>VLOOKUP(F2152,'Set up'!$A$2:$E$70,5,FALSE)</f>
        <v>Trsf</v>
      </c>
      <c r="S2152" s="1" t="s">
        <v>2414</v>
      </c>
    </row>
    <row r="2153" spans="1:19" ht="15" customHeight="1" x14ac:dyDescent="0.3">
      <c r="A2153" s="4">
        <v>45195</v>
      </c>
      <c r="B2153" s="5">
        <f t="shared" si="515"/>
        <v>9</v>
      </c>
      <c r="C2153" s="5">
        <f t="shared" si="516"/>
        <v>2023</v>
      </c>
      <c r="D2153" s="88" t="s">
        <v>1920</v>
      </c>
      <c r="E2153" s="5" t="str">
        <f>VLOOKUP(F2153,'Set up'!$A$2:$C$70,2,FALSE)</f>
        <v>C00000019</v>
      </c>
      <c r="F2153" s="1" t="s">
        <v>400</v>
      </c>
      <c r="G2153" s="99" t="s">
        <v>944</v>
      </c>
      <c r="H2153" s="5">
        <v>1</v>
      </c>
      <c r="I2153" s="5" t="str">
        <f>VLOOKUP(F2153,'Set up'!$A$2:$C$70,3,FALSE)</f>
        <v>Cash</v>
      </c>
      <c r="J2153" s="5">
        <f>VLOOKUP(F2153,'Set up'!$A$2:$D$70,4,FALSE)</f>
        <v>0</v>
      </c>
      <c r="K2153" s="4">
        <f t="shared" si="517"/>
        <v>45195</v>
      </c>
      <c r="L2153" s="5">
        <f t="shared" si="518"/>
        <v>9</v>
      </c>
      <c r="M2153" s="5">
        <f t="shared" si="519"/>
        <v>2023</v>
      </c>
      <c r="N2153" s="96">
        <v>420</v>
      </c>
      <c r="O2153" s="6">
        <f t="shared" si="531"/>
        <v>-420</v>
      </c>
      <c r="P2153" s="6">
        <f t="shared" si="529"/>
        <v>0</v>
      </c>
      <c r="Q2153" s="7">
        <f t="shared" si="521"/>
        <v>3649669.9500000016</v>
      </c>
      <c r="R2153" s="44" t="str">
        <f>VLOOKUP(F2153,'Set up'!$A$2:$E$70,5,FALSE)</f>
        <v>Trsf</v>
      </c>
      <c r="S2153" s="1" t="s">
        <v>2778</v>
      </c>
    </row>
    <row r="2154" spans="1:19" ht="15" customHeight="1" x14ac:dyDescent="0.3">
      <c r="A2154" s="4">
        <v>45195</v>
      </c>
      <c r="B2154" s="5">
        <f t="shared" si="515"/>
        <v>9</v>
      </c>
      <c r="C2154" s="5">
        <f t="shared" si="516"/>
        <v>2023</v>
      </c>
      <c r="D2154" s="88" t="s">
        <v>1920</v>
      </c>
      <c r="E2154" s="5" t="str">
        <f>VLOOKUP(F2154,'Set up'!$A$2:$C$70,2,FALSE)</f>
        <v>C00000019</v>
      </c>
      <c r="F2154" s="1" t="s">
        <v>400</v>
      </c>
      <c r="G2154" s="99" t="s">
        <v>1411</v>
      </c>
      <c r="H2154" s="5">
        <v>1</v>
      </c>
      <c r="I2154" s="5" t="str">
        <f>VLOOKUP(F2154,'Set up'!$A$2:$C$70,3,FALSE)</f>
        <v>Cash</v>
      </c>
      <c r="J2154" s="5">
        <f>VLOOKUP(F2154,'Set up'!$A$2:$D$70,4,FALSE)</f>
        <v>0</v>
      </c>
      <c r="K2154" s="4">
        <f t="shared" si="517"/>
        <v>45195</v>
      </c>
      <c r="L2154" s="5">
        <f t="shared" si="518"/>
        <v>9</v>
      </c>
      <c r="M2154" s="5">
        <f t="shared" si="519"/>
        <v>2023</v>
      </c>
      <c r="N2154" s="96">
        <v>421.2</v>
      </c>
      <c r="O2154" s="6">
        <f>-182.5-238.7</f>
        <v>-421.2</v>
      </c>
      <c r="P2154" s="6">
        <f t="shared" si="529"/>
        <v>0</v>
      </c>
      <c r="Q2154" s="7">
        <f t="shared" si="521"/>
        <v>3650091.1500000018</v>
      </c>
      <c r="R2154" s="44" t="str">
        <f>VLOOKUP(F2154,'Set up'!$A$2:$E$70,5,FALSE)</f>
        <v>Trsf</v>
      </c>
      <c r="S2154" s="1" t="s">
        <v>2779</v>
      </c>
    </row>
    <row r="2155" spans="1:19" ht="15" customHeight="1" x14ac:dyDescent="0.3">
      <c r="A2155" s="4">
        <v>45195</v>
      </c>
      <c r="B2155" s="5">
        <f t="shared" si="515"/>
        <v>9</v>
      </c>
      <c r="C2155" s="5">
        <f t="shared" si="516"/>
        <v>2023</v>
      </c>
      <c r="D2155" s="88" t="s">
        <v>1920</v>
      </c>
      <c r="E2155" s="5" t="str">
        <f>VLOOKUP(F2155,'Set up'!$A$2:$C$70,2,FALSE)</f>
        <v>C00000019</v>
      </c>
      <c r="F2155" s="1" t="s">
        <v>400</v>
      </c>
      <c r="G2155" s="99" t="s">
        <v>791</v>
      </c>
      <c r="H2155" s="5">
        <v>4</v>
      </c>
      <c r="I2155" s="5" t="str">
        <f>VLOOKUP(F2155,'Set up'!$A$2:$C$70,3,FALSE)</f>
        <v>Cash</v>
      </c>
      <c r="J2155" s="5">
        <f>VLOOKUP(F2155,'Set up'!$A$2:$D$70,4,FALSE)</f>
        <v>0</v>
      </c>
      <c r="K2155" s="4">
        <f t="shared" si="517"/>
        <v>45195</v>
      </c>
      <c r="L2155" s="5">
        <f t="shared" si="518"/>
        <v>9</v>
      </c>
      <c r="M2155" s="5">
        <f t="shared" si="519"/>
        <v>2023</v>
      </c>
      <c r="N2155" s="96">
        <v>250</v>
      </c>
      <c r="O2155" s="6">
        <f t="shared" si="531"/>
        <v>-250</v>
      </c>
      <c r="P2155" s="6">
        <f t="shared" ref="P2155:P2167" si="532">SUM(N2155+O2155)</f>
        <v>0</v>
      </c>
      <c r="Q2155" s="7">
        <f t="shared" si="521"/>
        <v>3650341.1500000018</v>
      </c>
      <c r="R2155" s="44" t="str">
        <f>VLOOKUP(F2155,'Set up'!$A$2:$E$70,5,FALSE)</f>
        <v>Trsf</v>
      </c>
      <c r="S2155" s="1" t="s">
        <v>2780</v>
      </c>
    </row>
    <row r="2156" spans="1:19" ht="15" customHeight="1" x14ac:dyDescent="0.3">
      <c r="A2156" s="4">
        <v>45195</v>
      </c>
      <c r="B2156" s="5">
        <f t="shared" si="515"/>
        <v>9</v>
      </c>
      <c r="C2156" s="5">
        <f t="shared" si="516"/>
        <v>2023</v>
      </c>
      <c r="D2156" s="88" t="s">
        <v>1920</v>
      </c>
      <c r="E2156" s="5" t="str">
        <f>VLOOKUP(F2156,'Set up'!$A$2:$C$70,2,FALSE)</f>
        <v>C00000019</v>
      </c>
      <c r="F2156" s="1" t="s">
        <v>400</v>
      </c>
      <c r="G2156" s="99" t="s">
        <v>46</v>
      </c>
      <c r="H2156" s="5">
        <v>1</v>
      </c>
      <c r="I2156" s="5" t="str">
        <f>VLOOKUP(F2156,'Set up'!$A$2:$C$70,3,FALSE)</f>
        <v>Cash</v>
      </c>
      <c r="J2156" s="5">
        <f>VLOOKUP(F2156,'Set up'!$A$2:$D$70,4,FALSE)</f>
        <v>0</v>
      </c>
      <c r="K2156" s="4">
        <f t="shared" si="517"/>
        <v>45195</v>
      </c>
      <c r="L2156" s="5">
        <f t="shared" si="518"/>
        <v>9</v>
      </c>
      <c r="M2156" s="5">
        <f t="shared" si="519"/>
        <v>2023</v>
      </c>
      <c r="N2156" s="96">
        <v>105</v>
      </c>
      <c r="O2156" s="6">
        <f t="shared" si="531"/>
        <v>-105</v>
      </c>
      <c r="P2156" s="6">
        <f t="shared" si="532"/>
        <v>0</v>
      </c>
      <c r="Q2156" s="7">
        <f t="shared" si="521"/>
        <v>3650446.1500000018</v>
      </c>
      <c r="R2156" s="44" t="str">
        <f>VLOOKUP(F2156,'Set up'!$A$2:$E$70,5,FALSE)</f>
        <v>Trsf</v>
      </c>
      <c r="S2156" s="1" t="s">
        <v>2780</v>
      </c>
    </row>
    <row r="2157" spans="1:19" ht="15" customHeight="1" x14ac:dyDescent="0.3">
      <c r="A2157" s="4">
        <v>45196</v>
      </c>
      <c r="B2157" s="5">
        <f t="shared" si="515"/>
        <v>9</v>
      </c>
      <c r="C2157" s="5">
        <f t="shared" si="516"/>
        <v>2023</v>
      </c>
      <c r="D2157" s="88" t="s">
        <v>1921</v>
      </c>
      <c r="E2157" s="5" t="str">
        <f>VLOOKUP(F2157,'Set up'!$A$2:$C$70,2,FALSE)</f>
        <v>C00000020</v>
      </c>
      <c r="F2157" s="1" t="s">
        <v>409</v>
      </c>
      <c r="G2157" s="103" t="s">
        <v>1110</v>
      </c>
      <c r="H2157" s="5">
        <v>8</v>
      </c>
      <c r="I2157" s="5" t="str">
        <f>VLOOKUP(F2157,'Set up'!$A$2:$C$70,3,FALSE)</f>
        <v>Cash</v>
      </c>
      <c r="J2157" s="5">
        <f>VLOOKUP(F2157,'Set up'!$A$2:$D$70,4,FALSE)</f>
        <v>0</v>
      </c>
      <c r="K2157" s="4">
        <f t="shared" si="517"/>
        <v>45196</v>
      </c>
      <c r="L2157" s="5">
        <f t="shared" si="518"/>
        <v>9</v>
      </c>
      <c r="M2157" s="5">
        <f t="shared" si="519"/>
        <v>2023</v>
      </c>
      <c r="N2157" s="96">
        <v>500</v>
      </c>
      <c r="O2157" s="6">
        <f>-N2157</f>
        <v>-500</v>
      </c>
      <c r="P2157" s="6">
        <f t="shared" si="532"/>
        <v>0</v>
      </c>
      <c r="Q2157" s="7">
        <f t="shared" si="521"/>
        <v>3650946.1500000018</v>
      </c>
      <c r="R2157" s="44" t="str">
        <f>VLOOKUP(F2157,'Set up'!$A$2:$E$70,5,FALSE)</f>
        <v>Trsf</v>
      </c>
      <c r="S2157" s="1" t="s">
        <v>2596</v>
      </c>
    </row>
    <row r="2158" spans="1:19" ht="15" customHeight="1" x14ac:dyDescent="0.3">
      <c r="A2158" s="4">
        <v>45196</v>
      </c>
      <c r="B2158" s="5">
        <f t="shared" si="515"/>
        <v>9</v>
      </c>
      <c r="C2158" s="5">
        <f t="shared" si="516"/>
        <v>2023</v>
      </c>
      <c r="D2158" s="88" t="s">
        <v>1923</v>
      </c>
      <c r="E2158" s="5" t="str">
        <f>VLOOKUP(F2158,'Set up'!$A$2:$C$70,2,FALSE)</f>
        <v>C00000020</v>
      </c>
      <c r="F2158" s="1" t="s">
        <v>409</v>
      </c>
      <c r="G2158" s="99" t="s">
        <v>1733</v>
      </c>
      <c r="H2158" s="5">
        <v>8</v>
      </c>
      <c r="I2158" s="5" t="str">
        <f>VLOOKUP(F2158,'Set up'!$A$2:$C$70,3,FALSE)</f>
        <v>Cash</v>
      </c>
      <c r="J2158" s="5">
        <f>VLOOKUP(F2158,'Set up'!$A$2:$D$70,4,FALSE)</f>
        <v>0</v>
      </c>
      <c r="K2158" s="4">
        <f t="shared" si="517"/>
        <v>45196</v>
      </c>
      <c r="L2158" s="5">
        <f t="shared" si="518"/>
        <v>9</v>
      </c>
      <c r="M2158" s="5">
        <f t="shared" si="519"/>
        <v>2023</v>
      </c>
      <c r="N2158" s="96">
        <v>12848</v>
      </c>
      <c r="O2158" s="6">
        <f>-4852.2-7995.8</f>
        <v>-12848</v>
      </c>
      <c r="P2158" s="6">
        <f t="shared" si="532"/>
        <v>0</v>
      </c>
      <c r="Q2158" s="7">
        <f t="shared" si="521"/>
        <v>3663794.1500000018</v>
      </c>
      <c r="R2158" s="44" t="str">
        <f>VLOOKUP(F2158,'Set up'!$A$2:$E$70,5,FALSE)</f>
        <v>Trsf</v>
      </c>
      <c r="S2158" s="1" t="s">
        <v>2597</v>
      </c>
    </row>
    <row r="2159" spans="1:19" ht="15" customHeight="1" x14ac:dyDescent="0.3">
      <c r="A2159" s="4">
        <v>45196</v>
      </c>
      <c r="B2159" s="5">
        <f t="shared" si="515"/>
        <v>9</v>
      </c>
      <c r="C2159" s="5">
        <f t="shared" si="516"/>
        <v>2023</v>
      </c>
      <c r="D2159" s="88" t="s">
        <v>1923</v>
      </c>
      <c r="E2159" s="5" t="str">
        <f>VLOOKUP(F2159,'Set up'!$A$2:$C$70,2,FALSE)</f>
        <v>C00000020</v>
      </c>
      <c r="F2159" s="1" t="s">
        <v>409</v>
      </c>
      <c r="G2159" s="99" t="s">
        <v>913</v>
      </c>
      <c r="H2159" s="5">
        <v>24</v>
      </c>
      <c r="I2159" s="5" t="str">
        <f>VLOOKUP(F2159,'Set up'!$A$2:$C$70,3,FALSE)</f>
        <v>Cash</v>
      </c>
      <c r="J2159" s="5">
        <f>VLOOKUP(F2159,'Set up'!$A$2:$D$70,4,FALSE)</f>
        <v>0</v>
      </c>
      <c r="K2159" s="4">
        <f t="shared" si="517"/>
        <v>45196</v>
      </c>
      <c r="L2159" s="5">
        <f t="shared" si="518"/>
        <v>9</v>
      </c>
      <c r="M2159" s="5">
        <f t="shared" si="519"/>
        <v>2023</v>
      </c>
      <c r="N2159" s="96">
        <v>4536</v>
      </c>
      <c r="O2159" s="6">
        <f>-N2159</f>
        <v>-4536</v>
      </c>
      <c r="P2159" s="6">
        <f t="shared" si="532"/>
        <v>0</v>
      </c>
      <c r="Q2159" s="7">
        <f t="shared" si="521"/>
        <v>3668330.1500000018</v>
      </c>
      <c r="R2159" s="44" t="str">
        <f>VLOOKUP(F2159,'Set up'!$A$2:$E$70,5,FALSE)</f>
        <v>Trsf</v>
      </c>
      <c r="S2159" s="1" t="s">
        <v>2598</v>
      </c>
    </row>
    <row r="2160" spans="1:19" ht="15" customHeight="1" x14ac:dyDescent="0.3">
      <c r="A2160" s="4">
        <v>45196</v>
      </c>
      <c r="B2160" s="5">
        <f t="shared" si="515"/>
        <v>9</v>
      </c>
      <c r="C2160" s="5">
        <f t="shared" si="516"/>
        <v>2023</v>
      </c>
      <c r="D2160" s="88" t="s">
        <v>1923</v>
      </c>
      <c r="E2160" s="5" t="str">
        <f>VLOOKUP(F2160,'Set up'!$A$2:$C$70,2,FALSE)</f>
        <v>C00000020</v>
      </c>
      <c r="F2160" s="1" t="s">
        <v>409</v>
      </c>
      <c r="G2160" s="99" t="s">
        <v>1922</v>
      </c>
      <c r="H2160" s="5">
        <v>12</v>
      </c>
      <c r="I2160" s="5" t="str">
        <f>VLOOKUP(F2160,'Set up'!$A$2:$C$70,3,FALSE)</f>
        <v>Cash</v>
      </c>
      <c r="J2160" s="5">
        <f>VLOOKUP(F2160,'Set up'!$A$2:$D$70,4,FALSE)</f>
        <v>0</v>
      </c>
      <c r="K2160" s="4">
        <f t="shared" si="517"/>
        <v>45196</v>
      </c>
      <c r="L2160" s="5">
        <f t="shared" si="518"/>
        <v>9</v>
      </c>
      <c r="M2160" s="5">
        <f t="shared" si="519"/>
        <v>2023</v>
      </c>
      <c r="N2160" s="96">
        <v>2808</v>
      </c>
      <c r="O2160" s="6">
        <f>-N2160</f>
        <v>-2808</v>
      </c>
      <c r="P2160" s="6">
        <f t="shared" si="532"/>
        <v>0</v>
      </c>
      <c r="Q2160" s="7">
        <f t="shared" si="521"/>
        <v>3671138.1500000018</v>
      </c>
      <c r="R2160" s="44" t="str">
        <f>VLOOKUP(F2160,'Set up'!$A$2:$E$70,5,FALSE)</f>
        <v>Trsf</v>
      </c>
      <c r="S2160" s="1" t="s">
        <v>2599</v>
      </c>
    </row>
    <row r="2161" spans="1:19" ht="15" customHeight="1" x14ac:dyDescent="0.3">
      <c r="A2161" s="4">
        <v>45196</v>
      </c>
      <c r="B2161" s="5">
        <f t="shared" si="515"/>
        <v>9</v>
      </c>
      <c r="C2161" s="5">
        <f t="shared" si="516"/>
        <v>2023</v>
      </c>
      <c r="D2161" s="88" t="s">
        <v>1923</v>
      </c>
      <c r="E2161" s="5" t="str">
        <f>VLOOKUP(F2161,'Set up'!$A$2:$C$70,2,FALSE)</f>
        <v>C00000020</v>
      </c>
      <c r="F2161" s="1" t="s">
        <v>409</v>
      </c>
      <c r="G2161" s="99" t="s">
        <v>1073</v>
      </c>
      <c r="H2161" s="5">
        <v>1</v>
      </c>
      <c r="I2161" s="5" t="str">
        <f>VLOOKUP(F2161,'Set up'!$A$2:$C$70,3,FALSE)</f>
        <v>Cash</v>
      </c>
      <c r="J2161" s="5">
        <f>VLOOKUP(F2161,'Set up'!$A$2:$D$70,4,FALSE)</f>
        <v>0</v>
      </c>
      <c r="K2161" s="4">
        <f t="shared" si="517"/>
        <v>45196</v>
      </c>
      <c r="L2161" s="5">
        <f t="shared" si="518"/>
        <v>9</v>
      </c>
      <c r="M2161" s="5">
        <f t="shared" si="519"/>
        <v>2023</v>
      </c>
      <c r="N2161" s="96">
        <v>1000</v>
      </c>
      <c r="O2161" s="6">
        <f>-N2161</f>
        <v>-1000</v>
      </c>
      <c r="P2161" s="6">
        <f t="shared" si="532"/>
        <v>0</v>
      </c>
      <c r="Q2161" s="7">
        <f t="shared" si="521"/>
        <v>3672138.1500000018</v>
      </c>
      <c r="R2161" s="44" t="str">
        <f>VLOOKUP(F2161,'Set up'!$A$2:$E$70,5,FALSE)</f>
        <v>Trsf</v>
      </c>
      <c r="S2161" s="1" t="s">
        <v>2600</v>
      </c>
    </row>
    <row r="2162" spans="1:19" ht="15" customHeight="1" x14ac:dyDescent="0.3">
      <c r="A2162" s="4">
        <v>45196</v>
      </c>
      <c r="B2162" s="5">
        <f t="shared" si="515"/>
        <v>9</v>
      </c>
      <c r="C2162" s="5">
        <f t="shared" si="516"/>
        <v>2023</v>
      </c>
      <c r="D2162" s="88" t="s">
        <v>1923</v>
      </c>
      <c r="E2162" s="5" t="str">
        <f>VLOOKUP(F2162,'Set up'!$A$2:$C$70,2,FALSE)</f>
        <v>C00000020</v>
      </c>
      <c r="F2162" s="1" t="s">
        <v>409</v>
      </c>
      <c r="G2162" s="99" t="s">
        <v>1061</v>
      </c>
      <c r="H2162" s="5">
        <v>4</v>
      </c>
      <c r="I2162" s="5" t="str">
        <f>VLOOKUP(F2162,'Set up'!$A$2:$C$70,3,FALSE)</f>
        <v>Cash</v>
      </c>
      <c r="J2162" s="5">
        <f>VLOOKUP(F2162,'Set up'!$A$2:$D$70,4,FALSE)</f>
        <v>0</v>
      </c>
      <c r="K2162" s="4">
        <f t="shared" si="517"/>
        <v>45196</v>
      </c>
      <c r="L2162" s="5">
        <f t="shared" si="518"/>
        <v>9</v>
      </c>
      <c r="M2162" s="5">
        <f t="shared" si="519"/>
        <v>2023</v>
      </c>
      <c r="N2162" s="96">
        <v>380</v>
      </c>
      <c r="O2162" s="6">
        <f>-N2162</f>
        <v>-380</v>
      </c>
      <c r="P2162" s="6">
        <f t="shared" si="532"/>
        <v>0</v>
      </c>
      <c r="Q2162" s="7">
        <f t="shared" si="521"/>
        <v>3672518.1500000018</v>
      </c>
      <c r="R2162" s="44" t="str">
        <f>VLOOKUP(F2162,'Set up'!$A$2:$E$70,5,FALSE)</f>
        <v>Trsf</v>
      </c>
      <c r="S2162" s="1" t="s">
        <v>2601</v>
      </c>
    </row>
    <row r="2163" spans="1:19" ht="15" customHeight="1" x14ac:dyDescent="0.3">
      <c r="A2163" s="4">
        <v>45198</v>
      </c>
      <c r="B2163" s="5">
        <f t="shared" si="515"/>
        <v>9</v>
      </c>
      <c r="C2163" s="5">
        <f t="shared" si="516"/>
        <v>2023</v>
      </c>
      <c r="D2163" s="88" t="s">
        <v>1924</v>
      </c>
      <c r="E2163" s="5" t="str">
        <f>VLOOKUP(F2163,'Set up'!$A$2:$C$70,2,FALSE)</f>
        <v>C00000034</v>
      </c>
      <c r="F2163" s="1" t="s">
        <v>1196</v>
      </c>
      <c r="G2163" s="90" t="s">
        <v>1110</v>
      </c>
      <c r="H2163" s="5">
        <v>4</v>
      </c>
      <c r="I2163" s="5" t="str">
        <f>VLOOKUP(F2163,'Set up'!$A$2:$C$70,3,FALSE)</f>
        <v>Cash</v>
      </c>
      <c r="J2163" s="5">
        <f>VLOOKUP(F2163,'Set up'!$A$2:$D$70,4,FALSE)</f>
        <v>0</v>
      </c>
      <c r="K2163" s="4">
        <f t="shared" si="517"/>
        <v>45198</v>
      </c>
      <c r="L2163" s="5">
        <f t="shared" si="518"/>
        <v>9</v>
      </c>
      <c r="M2163" s="5">
        <f t="shared" si="519"/>
        <v>2023</v>
      </c>
      <c r="N2163" s="96">
        <v>250</v>
      </c>
      <c r="O2163" s="6">
        <f t="shared" ref="O2163" si="533">-N2163</f>
        <v>-250</v>
      </c>
      <c r="P2163" s="6">
        <f t="shared" si="532"/>
        <v>0</v>
      </c>
      <c r="Q2163" s="7">
        <f t="shared" si="521"/>
        <v>3672768.1500000018</v>
      </c>
      <c r="R2163" s="44" t="str">
        <f>VLOOKUP(F2163,'Set up'!$A$2:$E$70,5,FALSE)</f>
        <v>Trsf</v>
      </c>
      <c r="S2163" s="1" t="s">
        <v>2415</v>
      </c>
    </row>
    <row r="2164" spans="1:19" ht="15" customHeight="1" x14ac:dyDescent="0.3">
      <c r="A2164" s="4">
        <v>45199</v>
      </c>
      <c r="B2164" s="5">
        <f t="shared" si="515"/>
        <v>9</v>
      </c>
      <c r="C2164" s="5">
        <f t="shared" si="516"/>
        <v>2023</v>
      </c>
      <c r="D2164" s="88" t="s">
        <v>1925</v>
      </c>
      <c r="E2164" s="5" t="str">
        <f>VLOOKUP(F2164,'Set up'!$A$2:$C$70,2,FALSE)</f>
        <v>C00000020</v>
      </c>
      <c r="F2164" s="1" t="s">
        <v>409</v>
      </c>
      <c r="G2164" s="99" t="s">
        <v>1110</v>
      </c>
      <c r="H2164" s="5">
        <v>5</v>
      </c>
      <c r="I2164" s="5" t="str">
        <f>VLOOKUP(F2164,'Set up'!$A$2:$C$70,3,FALSE)</f>
        <v>Cash</v>
      </c>
      <c r="J2164" s="5">
        <f>VLOOKUP(F2164,'Set up'!$A$2:$D$70,4,FALSE)</f>
        <v>0</v>
      </c>
      <c r="K2164" s="4">
        <f t="shared" si="517"/>
        <v>45199</v>
      </c>
      <c r="L2164" s="5">
        <f t="shared" si="518"/>
        <v>9</v>
      </c>
      <c r="M2164" s="5">
        <f t="shared" si="519"/>
        <v>2023</v>
      </c>
      <c r="N2164" s="96">
        <v>312.5</v>
      </c>
      <c r="O2164" s="6">
        <f>-N2164</f>
        <v>-312.5</v>
      </c>
      <c r="P2164" s="6">
        <f t="shared" si="532"/>
        <v>0</v>
      </c>
      <c r="Q2164" s="7">
        <f t="shared" si="521"/>
        <v>3673080.6500000018</v>
      </c>
      <c r="R2164" s="44" t="str">
        <f>VLOOKUP(F2164,'Set up'!$A$2:$E$70,5,FALSE)</f>
        <v>Trsf</v>
      </c>
      <c r="S2164" s="1" t="s">
        <v>2602</v>
      </c>
    </row>
    <row r="2165" spans="1:19" ht="15" customHeight="1" x14ac:dyDescent="0.3">
      <c r="A2165" s="4">
        <v>45199</v>
      </c>
      <c r="B2165" s="5">
        <f t="shared" si="515"/>
        <v>9</v>
      </c>
      <c r="C2165" s="5">
        <f t="shared" si="516"/>
        <v>2023</v>
      </c>
      <c r="D2165" s="88" t="s">
        <v>1926</v>
      </c>
      <c r="E2165" s="5" t="str">
        <f>VLOOKUP(F2165,'Set up'!$A$2:$C$70,2,FALSE)</f>
        <v>C00000020</v>
      </c>
      <c r="F2165" s="1" t="s">
        <v>409</v>
      </c>
      <c r="G2165" s="99" t="s">
        <v>1894</v>
      </c>
      <c r="H2165" s="5">
        <v>5</v>
      </c>
      <c r="I2165" s="5" t="str">
        <f>VLOOKUP(F2165,'Set up'!$A$2:$C$70,3,FALSE)</f>
        <v>Cash</v>
      </c>
      <c r="J2165" s="5">
        <f>VLOOKUP(F2165,'Set up'!$A$2:$D$70,4,FALSE)</f>
        <v>0</v>
      </c>
      <c r="K2165" s="4">
        <f t="shared" si="517"/>
        <v>45199</v>
      </c>
      <c r="L2165" s="5">
        <f t="shared" si="518"/>
        <v>9</v>
      </c>
      <c r="M2165" s="5">
        <f t="shared" si="519"/>
        <v>2023</v>
      </c>
      <c r="N2165" s="96">
        <v>8030</v>
      </c>
      <c r="O2165" s="6">
        <f>-4567.7-3462.3</f>
        <v>-8030</v>
      </c>
      <c r="P2165" s="6">
        <f t="shared" si="532"/>
        <v>0</v>
      </c>
      <c r="Q2165" s="7">
        <f t="shared" si="521"/>
        <v>3681110.6500000018</v>
      </c>
      <c r="R2165" s="44" t="str">
        <f>VLOOKUP(F2165,'Set up'!$A$2:$E$70,5,FALSE)</f>
        <v>Trsf</v>
      </c>
      <c r="S2165" s="1" t="s">
        <v>2603</v>
      </c>
    </row>
    <row r="2166" spans="1:19" ht="15" customHeight="1" x14ac:dyDescent="0.3">
      <c r="A2166" s="4">
        <v>45199</v>
      </c>
      <c r="B2166" s="5">
        <f t="shared" si="515"/>
        <v>9</v>
      </c>
      <c r="C2166" s="5">
        <f t="shared" si="516"/>
        <v>2023</v>
      </c>
      <c r="D2166" s="88" t="s">
        <v>1926</v>
      </c>
      <c r="E2166" s="5" t="str">
        <f>VLOOKUP(F2166,'Set up'!$A$2:$C$70,2,FALSE)</f>
        <v>C00000020</v>
      </c>
      <c r="F2166" s="1" t="s">
        <v>409</v>
      </c>
      <c r="G2166" s="99" t="s">
        <v>913</v>
      </c>
      <c r="H2166" s="5">
        <v>15</v>
      </c>
      <c r="I2166" s="5" t="str">
        <f>VLOOKUP(F2166,'Set up'!$A$2:$C$70,3,FALSE)</f>
        <v>Cash</v>
      </c>
      <c r="J2166" s="5">
        <f>VLOOKUP(F2166,'Set up'!$A$2:$D$70,4,FALSE)</f>
        <v>0</v>
      </c>
      <c r="K2166" s="4">
        <f t="shared" si="517"/>
        <v>45199</v>
      </c>
      <c r="L2166" s="5">
        <f t="shared" si="518"/>
        <v>9</v>
      </c>
      <c r="M2166" s="5">
        <f t="shared" si="519"/>
        <v>2023</v>
      </c>
      <c r="N2166" s="96">
        <v>2835</v>
      </c>
      <c r="O2166" s="6">
        <f>-N2166</f>
        <v>-2835</v>
      </c>
      <c r="P2166" s="6">
        <f t="shared" si="532"/>
        <v>0</v>
      </c>
      <c r="Q2166" s="7">
        <f t="shared" si="521"/>
        <v>3683945.6500000018</v>
      </c>
      <c r="R2166" s="44" t="str">
        <f>VLOOKUP(F2166,'Set up'!$A$2:$E$70,5,FALSE)</f>
        <v>Trsf</v>
      </c>
      <c r="S2166" s="1" t="s">
        <v>2604</v>
      </c>
    </row>
    <row r="2167" spans="1:19" ht="15" customHeight="1" x14ac:dyDescent="0.3">
      <c r="A2167" s="4">
        <v>45199</v>
      </c>
      <c r="B2167" s="5">
        <f t="shared" si="515"/>
        <v>9</v>
      </c>
      <c r="C2167" s="5">
        <f t="shared" si="516"/>
        <v>2023</v>
      </c>
      <c r="D2167" s="88" t="s">
        <v>1926</v>
      </c>
      <c r="E2167" s="5" t="str">
        <f>VLOOKUP(F2167,'Set up'!$A$2:$C$70,2,FALSE)</f>
        <v>C00000020</v>
      </c>
      <c r="F2167" s="1" t="s">
        <v>409</v>
      </c>
      <c r="G2167" s="99" t="s">
        <v>1922</v>
      </c>
      <c r="H2167" s="5">
        <v>8</v>
      </c>
      <c r="I2167" s="5" t="str">
        <f>VLOOKUP(F2167,'Set up'!$A$2:$C$70,3,FALSE)</f>
        <v>Cash</v>
      </c>
      <c r="J2167" s="5">
        <f>VLOOKUP(F2167,'Set up'!$A$2:$D$70,4,FALSE)</f>
        <v>0</v>
      </c>
      <c r="K2167" s="4">
        <f t="shared" si="517"/>
        <v>45199</v>
      </c>
      <c r="L2167" s="5">
        <f t="shared" si="518"/>
        <v>9</v>
      </c>
      <c r="M2167" s="5">
        <f t="shared" si="519"/>
        <v>2023</v>
      </c>
      <c r="N2167" s="96">
        <v>1872</v>
      </c>
      <c r="O2167" s="6">
        <f>-N2167</f>
        <v>-1872</v>
      </c>
      <c r="P2167" s="6">
        <f t="shared" si="532"/>
        <v>0</v>
      </c>
      <c r="Q2167" s="7">
        <f t="shared" si="521"/>
        <v>3685817.6500000018</v>
      </c>
      <c r="R2167" s="44" t="str">
        <f>VLOOKUP(F2167,'Set up'!$A$2:$E$70,5,FALSE)</f>
        <v>Trsf</v>
      </c>
      <c r="S2167" s="1" t="s">
        <v>2605</v>
      </c>
    </row>
    <row r="2168" spans="1:19" ht="15" customHeight="1" x14ac:dyDescent="0.3">
      <c r="A2168" s="4">
        <v>45199</v>
      </c>
      <c r="B2168" s="5">
        <f t="shared" si="515"/>
        <v>9</v>
      </c>
      <c r="C2168" s="5">
        <f t="shared" si="516"/>
        <v>2023</v>
      </c>
      <c r="D2168" s="88" t="s">
        <v>1926</v>
      </c>
      <c r="E2168" s="5" t="str">
        <f>VLOOKUP(F2168,'Set up'!$A$2:$C$70,2,FALSE)</f>
        <v>C00000020</v>
      </c>
      <c r="F2168" s="1" t="s">
        <v>409</v>
      </c>
      <c r="G2168" s="99" t="s">
        <v>1073</v>
      </c>
      <c r="H2168" s="5">
        <v>1</v>
      </c>
      <c r="I2168" s="5" t="str">
        <f>VLOOKUP(F2168,'Set up'!$A$2:$C$70,3,FALSE)</f>
        <v>Cash</v>
      </c>
      <c r="J2168" s="5">
        <f>VLOOKUP(F2168,'Set up'!$A$2:$D$70,4,FALSE)</f>
        <v>0</v>
      </c>
      <c r="K2168" s="4">
        <f t="shared" si="517"/>
        <v>45199</v>
      </c>
      <c r="L2168" s="5">
        <f t="shared" si="518"/>
        <v>9</v>
      </c>
      <c r="M2168" s="5">
        <f t="shared" si="519"/>
        <v>2023</v>
      </c>
      <c r="N2168" s="96">
        <v>1000</v>
      </c>
      <c r="O2168" s="6">
        <f>-N2168</f>
        <v>-1000</v>
      </c>
      <c r="P2168" s="6">
        <f t="shared" ref="P2168:P2228" si="534">SUM(N2168+O2168)</f>
        <v>0</v>
      </c>
      <c r="Q2168" s="7">
        <f t="shared" si="521"/>
        <v>3686817.6500000018</v>
      </c>
      <c r="R2168" s="44" t="str">
        <f>VLOOKUP(F2168,'Set up'!$A$2:$E$70,5,FALSE)</f>
        <v>Trsf</v>
      </c>
      <c r="S2168" s="1" t="s">
        <v>2606</v>
      </c>
    </row>
    <row r="2169" spans="1:19" ht="15" customHeight="1" x14ac:dyDescent="0.3">
      <c r="A2169" s="4">
        <v>45199</v>
      </c>
      <c r="B2169" s="5">
        <f t="shared" si="515"/>
        <v>9</v>
      </c>
      <c r="C2169" s="5">
        <f t="shared" si="516"/>
        <v>2023</v>
      </c>
      <c r="D2169" s="88" t="s">
        <v>1926</v>
      </c>
      <c r="E2169" s="5" t="str">
        <f>VLOOKUP(F2169,'Set up'!$A$2:$C$70,2,FALSE)</f>
        <v>C00000020</v>
      </c>
      <c r="F2169" s="1" t="s">
        <v>409</v>
      </c>
      <c r="G2169" s="99" t="s">
        <v>1061</v>
      </c>
      <c r="H2169" s="5">
        <v>4</v>
      </c>
      <c r="I2169" s="5" t="str">
        <f>VLOOKUP(F2169,'Set up'!$A$2:$C$70,3,FALSE)</f>
        <v>Cash</v>
      </c>
      <c r="J2169" s="5">
        <f>VLOOKUP(F2169,'Set up'!$A$2:$D$70,4,FALSE)</f>
        <v>0</v>
      </c>
      <c r="K2169" s="4">
        <f t="shared" si="517"/>
        <v>45199</v>
      </c>
      <c r="L2169" s="5">
        <f t="shared" si="518"/>
        <v>9</v>
      </c>
      <c r="M2169" s="5">
        <f t="shared" si="519"/>
        <v>2023</v>
      </c>
      <c r="N2169" s="96">
        <v>380</v>
      </c>
      <c r="O2169" s="6">
        <f>-N2169</f>
        <v>-380</v>
      </c>
      <c r="P2169" s="6">
        <f t="shared" si="534"/>
        <v>0</v>
      </c>
      <c r="Q2169" s="7">
        <f t="shared" si="521"/>
        <v>3687197.6500000018</v>
      </c>
      <c r="R2169" s="44" t="str">
        <f>VLOOKUP(F2169,'Set up'!$A$2:$E$70,5,FALSE)</f>
        <v>Trsf</v>
      </c>
      <c r="S2169" s="1" t="s">
        <v>2607</v>
      </c>
    </row>
    <row r="2170" spans="1:19" ht="15" customHeight="1" x14ac:dyDescent="0.3">
      <c r="A2170" s="4">
        <v>45201</v>
      </c>
      <c r="B2170" s="5">
        <f t="shared" si="515"/>
        <v>10</v>
      </c>
      <c r="C2170" s="5">
        <f t="shared" si="516"/>
        <v>2023</v>
      </c>
      <c r="D2170" s="88" t="s">
        <v>1988</v>
      </c>
      <c r="E2170" s="5" t="str">
        <f>VLOOKUP(F2170,'Set up'!$A$2:$C$70,2,FALSE)</f>
        <v>C00000014</v>
      </c>
      <c r="F2170" s="1" t="s">
        <v>262</v>
      </c>
      <c r="G2170" s="99" t="s">
        <v>303</v>
      </c>
      <c r="H2170" s="5">
        <v>2</v>
      </c>
      <c r="I2170" s="5" t="str">
        <f>VLOOKUP(F2170,'Set up'!$A$2:$C$70,3,FALSE)</f>
        <v>Cash</v>
      </c>
      <c r="J2170" s="5">
        <f>VLOOKUP(F2170,'Set up'!$A$2:$D$70,4,FALSE)</f>
        <v>0</v>
      </c>
      <c r="K2170" s="4">
        <f t="shared" si="517"/>
        <v>45201</v>
      </c>
      <c r="L2170" s="5">
        <f t="shared" si="518"/>
        <v>10</v>
      </c>
      <c r="M2170" s="5">
        <f t="shared" si="519"/>
        <v>2023</v>
      </c>
      <c r="N2170" s="96">
        <v>3388</v>
      </c>
      <c r="O2170" s="6">
        <f t="shared" ref="O2170:O2178" si="535">-N2170</f>
        <v>-3388</v>
      </c>
      <c r="P2170" s="6">
        <f t="shared" si="534"/>
        <v>0</v>
      </c>
      <c r="Q2170" s="7">
        <f t="shared" si="521"/>
        <v>3690585.6500000018</v>
      </c>
      <c r="R2170" s="44" t="str">
        <f>VLOOKUP(F2170,'Set up'!$A$2:$E$70,5,FALSE)</f>
        <v>Cash</v>
      </c>
      <c r="S2170" s="1" t="s">
        <v>2081</v>
      </c>
    </row>
    <row r="2171" spans="1:19" ht="15" customHeight="1" x14ac:dyDescent="0.3">
      <c r="A2171" s="4">
        <v>45201</v>
      </c>
      <c r="B2171" s="5">
        <f t="shared" si="515"/>
        <v>10</v>
      </c>
      <c r="C2171" s="5">
        <f t="shared" si="516"/>
        <v>2023</v>
      </c>
      <c r="D2171" s="88" t="s">
        <v>1988</v>
      </c>
      <c r="E2171" s="5" t="str">
        <f>VLOOKUP(F2171,'Set up'!$A$2:$C$70,2,FALSE)</f>
        <v>C00000014</v>
      </c>
      <c r="F2171" s="1" t="s">
        <v>262</v>
      </c>
      <c r="G2171" s="99" t="s">
        <v>988</v>
      </c>
      <c r="H2171" s="5">
        <v>3</v>
      </c>
      <c r="I2171" s="5" t="str">
        <f>VLOOKUP(F2171,'Set up'!$A$2:$C$70,3,FALSE)</f>
        <v>Cash</v>
      </c>
      <c r="J2171" s="5">
        <f>VLOOKUP(F2171,'Set up'!$A$2:$D$70,4,FALSE)</f>
        <v>0</v>
      </c>
      <c r="K2171" s="4">
        <f t="shared" si="517"/>
        <v>45201</v>
      </c>
      <c r="L2171" s="5">
        <f t="shared" si="518"/>
        <v>10</v>
      </c>
      <c r="M2171" s="5">
        <f t="shared" si="519"/>
        <v>2023</v>
      </c>
      <c r="N2171" s="96">
        <v>702</v>
      </c>
      <c r="O2171" s="6">
        <f t="shared" si="535"/>
        <v>-702</v>
      </c>
      <c r="P2171" s="6">
        <f t="shared" si="534"/>
        <v>0</v>
      </c>
      <c r="Q2171" s="7">
        <f t="shared" si="521"/>
        <v>3691287.6500000018</v>
      </c>
      <c r="R2171" s="44" t="str">
        <f>VLOOKUP(F2171,'Set up'!$A$2:$E$70,5,FALSE)</f>
        <v>Cash</v>
      </c>
      <c r="S2171" s="1" t="s">
        <v>2081</v>
      </c>
    </row>
    <row r="2172" spans="1:19" ht="15" customHeight="1" x14ac:dyDescent="0.3">
      <c r="A2172" s="4">
        <v>45201</v>
      </c>
      <c r="B2172" s="5">
        <f t="shared" si="515"/>
        <v>10</v>
      </c>
      <c r="C2172" s="5">
        <f t="shared" si="516"/>
        <v>2023</v>
      </c>
      <c r="D2172" s="88" t="s">
        <v>1988</v>
      </c>
      <c r="E2172" s="5" t="str">
        <f>VLOOKUP(F2172,'Set up'!$A$2:$C$70,2,FALSE)</f>
        <v>C00000014</v>
      </c>
      <c r="F2172" s="1" t="s">
        <v>262</v>
      </c>
      <c r="G2172" s="99" t="s">
        <v>44</v>
      </c>
      <c r="H2172" s="5">
        <v>2</v>
      </c>
      <c r="I2172" s="5" t="str">
        <f>VLOOKUP(F2172,'Set up'!$A$2:$C$70,3,FALSE)</f>
        <v>Cash</v>
      </c>
      <c r="J2172" s="5">
        <f>VLOOKUP(F2172,'Set up'!$A$2:$D$70,4,FALSE)</f>
        <v>0</v>
      </c>
      <c r="K2172" s="4">
        <f t="shared" si="517"/>
        <v>45201</v>
      </c>
      <c r="L2172" s="5">
        <f t="shared" si="518"/>
        <v>10</v>
      </c>
      <c r="M2172" s="5">
        <f t="shared" si="519"/>
        <v>2023</v>
      </c>
      <c r="N2172" s="96">
        <v>516</v>
      </c>
      <c r="O2172" s="6">
        <f t="shared" si="535"/>
        <v>-516</v>
      </c>
      <c r="P2172" s="6">
        <f t="shared" si="534"/>
        <v>0</v>
      </c>
      <c r="Q2172" s="7">
        <f t="shared" si="521"/>
        <v>3691803.6500000018</v>
      </c>
      <c r="R2172" s="44" t="str">
        <f>VLOOKUP(F2172,'Set up'!$A$2:$E$70,5,FALSE)</f>
        <v>Cash</v>
      </c>
      <c r="S2172" s="1" t="s">
        <v>2081</v>
      </c>
    </row>
    <row r="2173" spans="1:19" ht="15" customHeight="1" x14ac:dyDescent="0.3">
      <c r="A2173" s="4">
        <v>45201</v>
      </c>
      <c r="B2173" s="5">
        <f t="shared" si="515"/>
        <v>10</v>
      </c>
      <c r="C2173" s="5">
        <f t="shared" si="516"/>
        <v>2023</v>
      </c>
      <c r="D2173" s="88" t="s">
        <v>1988</v>
      </c>
      <c r="E2173" s="5" t="str">
        <f>VLOOKUP(F2173,'Set up'!$A$2:$C$70,2,FALSE)</f>
        <v>C00000014</v>
      </c>
      <c r="F2173" s="1" t="s">
        <v>262</v>
      </c>
      <c r="G2173" s="99" t="s">
        <v>1886</v>
      </c>
      <c r="H2173" s="5">
        <v>2</v>
      </c>
      <c r="I2173" s="5" t="str">
        <f>VLOOKUP(F2173,'Set up'!$A$2:$C$70,3,FALSE)</f>
        <v>Cash</v>
      </c>
      <c r="J2173" s="5">
        <f>VLOOKUP(F2173,'Set up'!$A$2:$D$70,4,FALSE)</f>
        <v>0</v>
      </c>
      <c r="K2173" s="4">
        <f t="shared" si="517"/>
        <v>45201</v>
      </c>
      <c r="L2173" s="5">
        <f t="shared" si="518"/>
        <v>10</v>
      </c>
      <c r="M2173" s="5">
        <f t="shared" si="519"/>
        <v>2023</v>
      </c>
      <c r="N2173" s="96">
        <v>320</v>
      </c>
      <c r="O2173" s="6">
        <f t="shared" si="535"/>
        <v>-320</v>
      </c>
      <c r="P2173" s="6">
        <f t="shared" si="534"/>
        <v>0</v>
      </c>
      <c r="Q2173" s="7">
        <f t="shared" si="521"/>
        <v>3692123.6500000018</v>
      </c>
      <c r="R2173" s="44" t="str">
        <f>VLOOKUP(F2173,'Set up'!$A$2:$E$70,5,FALSE)</f>
        <v>Cash</v>
      </c>
      <c r="S2173" s="1" t="s">
        <v>2081</v>
      </c>
    </row>
    <row r="2174" spans="1:19" ht="15" customHeight="1" x14ac:dyDescent="0.3">
      <c r="A2174" s="4">
        <v>45201</v>
      </c>
      <c r="B2174" s="5">
        <f t="shared" si="515"/>
        <v>10</v>
      </c>
      <c r="C2174" s="5">
        <f t="shared" si="516"/>
        <v>2023</v>
      </c>
      <c r="D2174" s="88" t="s">
        <v>1988</v>
      </c>
      <c r="E2174" s="5" t="str">
        <f>VLOOKUP(F2174,'Set up'!$A$2:$C$70,2,FALSE)</f>
        <v>C00000014</v>
      </c>
      <c r="F2174" s="1" t="s">
        <v>262</v>
      </c>
      <c r="G2174" s="99" t="s">
        <v>1715</v>
      </c>
      <c r="H2174" s="5">
        <v>1</v>
      </c>
      <c r="I2174" s="5" t="str">
        <f>VLOOKUP(F2174,'Set up'!$A$2:$C$70,3,FALSE)</f>
        <v>Cash</v>
      </c>
      <c r="J2174" s="5">
        <f>VLOOKUP(F2174,'Set up'!$A$2:$D$70,4,FALSE)</f>
        <v>0</v>
      </c>
      <c r="K2174" s="4">
        <f t="shared" si="517"/>
        <v>45201</v>
      </c>
      <c r="L2174" s="5">
        <f t="shared" si="518"/>
        <v>10</v>
      </c>
      <c r="M2174" s="5">
        <f t="shared" si="519"/>
        <v>2023</v>
      </c>
      <c r="N2174" s="96">
        <v>165</v>
      </c>
      <c r="O2174" s="6">
        <f t="shared" si="535"/>
        <v>-165</v>
      </c>
      <c r="P2174" s="6">
        <f t="shared" si="534"/>
        <v>0</v>
      </c>
      <c r="Q2174" s="7">
        <f t="shared" si="521"/>
        <v>3692288.6500000018</v>
      </c>
      <c r="R2174" s="44" t="str">
        <f>VLOOKUP(F2174,'Set up'!$A$2:$E$70,5,FALSE)</f>
        <v>Cash</v>
      </c>
      <c r="S2174" s="1" t="s">
        <v>2081</v>
      </c>
    </row>
    <row r="2175" spans="1:19" ht="15" customHeight="1" x14ac:dyDescent="0.3">
      <c r="A2175" s="4">
        <v>45201</v>
      </c>
      <c r="B2175" s="5">
        <f t="shared" si="515"/>
        <v>10</v>
      </c>
      <c r="C2175" s="5">
        <f t="shared" si="516"/>
        <v>2023</v>
      </c>
      <c r="D2175" s="88" t="s">
        <v>1988</v>
      </c>
      <c r="E2175" s="5" t="str">
        <f>VLOOKUP(F2175,'Set up'!$A$2:$C$70,2,FALSE)</f>
        <v>C00000014</v>
      </c>
      <c r="F2175" s="1" t="s">
        <v>262</v>
      </c>
      <c r="G2175" s="99" t="s">
        <v>17</v>
      </c>
      <c r="H2175" s="5">
        <v>1</v>
      </c>
      <c r="I2175" s="5" t="str">
        <f>VLOOKUP(F2175,'Set up'!$A$2:$C$70,3,FALSE)</f>
        <v>Cash</v>
      </c>
      <c r="J2175" s="5">
        <f>VLOOKUP(F2175,'Set up'!$A$2:$D$70,4,FALSE)</f>
        <v>0</v>
      </c>
      <c r="K2175" s="4">
        <f t="shared" si="517"/>
        <v>45201</v>
      </c>
      <c r="L2175" s="5">
        <f t="shared" si="518"/>
        <v>10</v>
      </c>
      <c r="M2175" s="5">
        <f t="shared" si="519"/>
        <v>2023</v>
      </c>
      <c r="N2175" s="96">
        <v>105</v>
      </c>
      <c r="O2175" s="6">
        <f t="shared" si="535"/>
        <v>-105</v>
      </c>
      <c r="P2175" s="6">
        <f t="shared" si="534"/>
        <v>0</v>
      </c>
      <c r="Q2175" s="7">
        <f t="shared" si="521"/>
        <v>3692393.6500000018</v>
      </c>
      <c r="R2175" s="44" t="str">
        <f>VLOOKUP(F2175,'Set up'!$A$2:$E$70,5,FALSE)</f>
        <v>Cash</v>
      </c>
      <c r="S2175" s="1" t="s">
        <v>2081</v>
      </c>
    </row>
    <row r="2176" spans="1:19" ht="15" customHeight="1" x14ac:dyDescent="0.3">
      <c r="A2176" s="4">
        <v>45201</v>
      </c>
      <c r="B2176" s="5">
        <f t="shared" si="515"/>
        <v>10</v>
      </c>
      <c r="C2176" s="5">
        <f t="shared" si="516"/>
        <v>2023</v>
      </c>
      <c r="D2176" s="88" t="s">
        <v>1988</v>
      </c>
      <c r="E2176" s="5" t="str">
        <f>VLOOKUP(F2176,'Set up'!$A$2:$C$70,2,FALSE)</f>
        <v>C00000014</v>
      </c>
      <c r="F2176" s="1" t="s">
        <v>262</v>
      </c>
      <c r="G2176" s="99" t="s">
        <v>1110</v>
      </c>
      <c r="H2176" s="5">
        <v>1</v>
      </c>
      <c r="I2176" s="5" t="str">
        <f>VLOOKUP(F2176,'Set up'!$A$2:$C$70,3,FALSE)</f>
        <v>Cash</v>
      </c>
      <c r="J2176" s="5">
        <f>VLOOKUP(F2176,'Set up'!$A$2:$D$70,4,FALSE)</f>
        <v>0</v>
      </c>
      <c r="K2176" s="4">
        <f t="shared" si="517"/>
        <v>45201</v>
      </c>
      <c r="L2176" s="5">
        <f t="shared" si="518"/>
        <v>10</v>
      </c>
      <c r="M2176" s="5">
        <f t="shared" si="519"/>
        <v>2023</v>
      </c>
      <c r="N2176" s="96">
        <v>62.5</v>
      </c>
      <c r="O2176" s="6">
        <f t="shared" si="535"/>
        <v>-62.5</v>
      </c>
      <c r="P2176" s="6">
        <f t="shared" si="534"/>
        <v>0</v>
      </c>
      <c r="Q2176" s="7">
        <f t="shared" si="521"/>
        <v>3692456.1500000018</v>
      </c>
      <c r="R2176" s="44" t="str">
        <f>VLOOKUP(F2176,'Set up'!$A$2:$E$70,5,FALSE)</f>
        <v>Cash</v>
      </c>
      <c r="S2176" s="1" t="s">
        <v>2081</v>
      </c>
    </row>
    <row r="2177" spans="1:19" ht="15" customHeight="1" x14ac:dyDescent="0.3">
      <c r="A2177" s="4">
        <v>45202</v>
      </c>
      <c r="B2177" s="5">
        <f t="shared" si="515"/>
        <v>10</v>
      </c>
      <c r="C2177" s="5">
        <f t="shared" si="516"/>
        <v>2023</v>
      </c>
      <c r="D2177" s="88" t="s">
        <v>1990</v>
      </c>
      <c r="E2177" s="5" t="str">
        <f>VLOOKUP(F2177,'Set up'!$A$2:$C$70,2,FALSE)</f>
        <v>C00000013a</v>
      </c>
      <c r="F2177" s="1" t="s">
        <v>1453</v>
      </c>
      <c r="G2177" s="89" t="s">
        <v>1989</v>
      </c>
      <c r="H2177" s="5">
        <v>2</v>
      </c>
      <c r="I2177" s="5" t="str">
        <f>VLOOKUP(F2177,'Set up'!$A$2:$C$70,3,FALSE)</f>
        <v>Cash</v>
      </c>
      <c r="J2177" s="5">
        <f>VLOOKUP(F2177,'Set up'!$A$2:$D$70,4,FALSE)</f>
        <v>0</v>
      </c>
      <c r="K2177" s="4">
        <f t="shared" si="517"/>
        <v>45202</v>
      </c>
      <c r="L2177" s="5">
        <f t="shared" si="518"/>
        <v>10</v>
      </c>
      <c r="M2177" s="5">
        <f t="shared" si="519"/>
        <v>2023</v>
      </c>
      <c r="N2177" s="96">
        <v>580</v>
      </c>
      <c r="O2177" s="6">
        <f t="shared" si="535"/>
        <v>-580</v>
      </c>
      <c r="P2177" s="6">
        <f t="shared" si="534"/>
        <v>0</v>
      </c>
      <c r="Q2177" s="7">
        <f t="shared" si="521"/>
        <v>3693036.1500000018</v>
      </c>
      <c r="R2177" s="44" t="str">
        <f>VLOOKUP(F2177,'Set up'!$A$2:$E$70,5,FALSE)</f>
        <v>Chq</v>
      </c>
      <c r="S2177" s="1" t="s">
        <v>2086</v>
      </c>
    </row>
    <row r="2178" spans="1:19" ht="15" customHeight="1" x14ac:dyDescent="0.3">
      <c r="A2178" s="4">
        <v>45202</v>
      </c>
      <c r="B2178" s="5">
        <f t="shared" si="515"/>
        <v>10</v>
      </c>
      <c r="C2178" s="5">
        <f t="shared" si="516"/>
        <v>2023</v>
      </c>
      <c r="D2178" s="88" t="s">
        <v>1990</v>
      </c>
      <c r="E2178" s="5" t="str">
        <f>VLOOKUP(F2178,'Set up'!$A$2:$C$70,2,FALSE)</f>
        <v>C00000013a</v>
      </c>
      <c r="F2178" s="1" t="s">
        <v>1453</v>
      </c>
      <c r="G2178" s="90" t="s">
        <v>44</v>
      </c>
      <c r="H2178" s="5">
        <v>4</v>
      </c>
      <c r="I2178" s="5" t="str">
        <f>VLOOKUP(F2178,'Set up'!$A$2:$C$70,3,FALSE)</f>
        <v>Cash</v>
      </c>
      <c r="J2178" s="5">
        <f>VLOOKUP(F2178,'Set up'!$A$2:$D$70,4,FALSE)</f>
        <v>0</v>
      </c>
      <c r="K2178" s="4">
        <f t="shared" si="517"/>
        <v>45202</v>
      </c>
      <c r="L2178" s="5">
        <f t="shared" si="518"/>
        <v>10</v>
      </c>
      <c r="M2178" s="5">
        <f t="shared" si="519"/>
        <v>2023</v>
      </c>
      <c r="N2178" s="96">
        <v>1032</v>
      </c>
      <c r="O2178" s="6">
        <f t="shared" si="535"/>
        <v>-1032</v>
      </c>
      <c r="P2178" s="6">
        <f t="shared" si="534"/>
        <v>0</v>
      </c>
      <c r="Q2178" s="7">
        <f t="shared" si="521"/>
        <v>3694068.1500000018</v>
      </c>
      <c r="R2178" s="44" t="str">
        <f>VLOOKUP(F2178,'Set up'!$A$2:$E$70,5,FALSE)</f>
        <v>Chq</v>
      </c>
      <c r="S2178" s="1" t="s">
        <v>2086</v>
      </c>
    </row>
    <row r="2179" spans="1:19" ht="15" customHeight="1" x14ac:dyDescent="0.3">
      <c r="A2179" s="4">
        <v>45202</v>
      </c>
      <c r="B2179" s="5">
        <f t="shared" ref="B2179:B2242" si="536">MONTH(A2179)</f>
        <v>10</v>
      </c>
      <c r="C2179" s="5">
        <f t="shared" ref="C2179:C2242" si="537">YEAR(A2179)</f>
        <v>2023</v>
      </c>
      <c r="D2179" s="88" t="s">
        <v>1991</v>
      </c>
      <c r="E2179" s="5" t="str">
        <f>VLOOKUP(F2179,'Set up'!$A$2:$C$70,2,FALSE)</f>
        <v>C00000019</v>
      </c>
      <c r="F2179" s="1" t="s">
        <v>400</v>
      </c>
      <c r="G2179" s="90" t="s">
        <v>95</v>
      </c>
      <c r="H2179" s="5">
        <v>1</v>
      </c>
      <c r="I2179" s="5" t="str">
        <f>VLOOKUP(F2179,'Set up'!$A$2:$C$70,3,FALSE)</f>
        <v>Cash</v>
      </c>
      <c r="J2179" s="5">
        <f>VLOOKUP(F2179,'Set up'!$A$2:$D$70,4,FALSE)</f>
        <v>0</v>
      </c>
      <c r="K2179" s="4">
        <f t="shared" ref="K2179:K2242" si="538">A2179+J2179</f>
        <v>45202</v>
      </c>
      <c r="L2179" s="5">
        <f t="shared" ref="L2179:L2242" si="539">MONTH(K2179)</f>
        <v>10</v>
      </c>
      <c r="M2179" s="5">
        <f t="shared" ref="M2179:M2242" si="540">YEAR(K2179)</f>
        <v>2023</v>
      </c>
      <c r="N2179" s="96">
        <v>1804</v>
      </c>
      <c r="O2179" s="6">
        <f>-406.3-1397.7</f>
        <v>-1804</v>
      </c>
      <c r="P2179" s="6">
        <f t="shared" si="534"/>
        <v>0</v>
      </c>
      <c r="Q2179" s="7">
        <f t="shared" ref="Q2179:Q2242" si="541">SUM(Q2178+N2179)</f>
        <v>3695872.1500000018</v>
      </c>
      <c r="R2179" s="44" t="str">
        <f>VLOOKUP(F2179,'Set up'!$A$2:$E$70,5,FALSE)</f>
        <v>Trsf</v>
      </c>
      <c r="S2179" s="1" t="s">
        <v>2781</v>
      </c>
    </row>
    <row r="2180" spans="1:19" ht="15" customHeight="1" x14ac:dyDescent="0.3">
      <c r="A2180" s="4">
        <v>45202</v>
      </c>
      <c r="B2180" s="5">
        <f t="shared" si="536"/>
        <v>10</v>
      </c>
      <c r="C2180" s="5">
        <f t="shared" si="537"/>
        <v>2023</v>
      </c>
      <c r="D2180" s="88" t="s">
        <v>1991</v>
      </c>
      <c r="E2180" s="5" t="str">
        <f>VLOOKUP(F2180,'Set up'!$A$2:$C$70,2,FALSE)</f>
        <v>C00000019</v>
      </c>
      <c r="F2180" s="1" t="s">
        <v>400</v>
      </c>
      <c r="G2180" s="90" t="s">
        <v>1469</v>
      </c>
      <c r="H2180" s="5">
        <v>1</v>
      </c>
      <c r="I2180" s="5" t="str">
        <f>VLOOKUP(F2180,'Set up'!$A$2:$C$70,3,FALSE)</f>
        <v>Cash</v>
      </c>
      <c r="J2180" s="5">
        <f>VLOOKUP(F2180,'Set up'!$A$2:$D$70,4,FALSE)</f>
        <v>0</v>
      </c>
      <c r="K2180" s="4">
        <f t="shared" si="538"/>
        <v>45202</v>
      </c>
      <c r="L2180" s="5">
        <f t="shared" si="539"/>
        <v>10</v>
      </c>
      <c r="M2180" s="5">
        <f t="shared" si="540"/>
        <v>2023</v>
      </c>
      <c r="N2180" s="96">
        <v>390</v>
      </c>
      <c r="O2180" s="6">
        <f t="shared" ref="O2180" si="542">-N2180</f>
        <v>-390</v>
      </c>
      <c r="P2180" s="6">
        <f t="shared" si="534"/>
        <v>0</v>
      </c>
      <c r="Q2180" s="7">
        <f t="shared" si="541"/>
        <v>3696262.1500000018</v>
      </c>
      <c r="R2180" s="44" t="str">
        <f>VLOOKUP(F2180,'Set up'!$A$2:$E$70,5,FALSE)</f>
        <v>Trsf</v>
      </c>
      <c r="S2180" s="1" t="s">
        <v>2782</v>
      </c>
    </row>
    <row r="2181" spans="1:19" ht="15" customHeight="1" x14ac:dyDescent="0.3">
      <c r="A2181" s="4">
        <v>45202</v>
      </c>
      <c r="B2181" s="5">
        <f t="shared" si="536"/>
        <v>10</v>
      </c>
      <c r="C2181" s="5">
        <f t="shared" si="537"/>
        <v>2023</v>
      </c>
      <c r="D2181" s="88" t="s">
        <v>1991</v>
      </c>
      <c r="E2181" s="5" t="str">
        <f>VLOOKUP(F2181,'Set up'!$A$2:$C$70,2,FALSE)</f>
        <v>C00000019</v>
      </c>
      <c r="F2181" s="1" t="s">
        <v>400</v>
      </c>
      <c r="G2181" s="90" t="s">
        <v>1411</v>
      </c>
      <c r="H2181" s="5">
        <v>1</v>
      </c>
      <c r="I2181" s="5" t="str">
        <f>VLOOKUP(F2181,'Set up'!$A$2:$C$70,3,FALSE)</f>
        <v>Cash</v>
      </c>
      <c r="J2181" s="5">
        <f>VLOOKUP(F2181,'Set up'!$A$2:$D$70,4,FALSE)</f>
        <v>0</v>
      </c>
      <c r="K2181" s="4">
        <f t="shared" si="538"/>
        <v>45202</v>
      </c>
      <c r="L2181" s="5">
        <f t="shared" si="539"/>
        <v>10</v>
      </c>
      <c r="M2181" s="5">
        <f t="shared" si="540"/>
        <v>2023</v>
      </c>
      <c r="N2181" s="96">
        <v>421.2</v>
      </c>
      <c r="O2181" s="6">
        <f>-212.3-208.9</f>
        <v>-421.20000000000005</v>
      </c>
      <c r="P2181" s="6">
        <f t="shared" si="534"/>
        <v>-5.6843418860808015E-14</v>
      </c>
      <c r="Q2181" s="7">
        <f t="shared" si="541"/>
        <v>3696683.350000002</v>
      </c>
      <c r="R2181" s="44" t="str">
        <f>VLOOKUP(F2181,'Set up'!$A$2:$E$70,5,FALSE)</f>
        <v>Trsf</v>
      </c>
      <c r="S2181" s="1" t="s">
        <v>2933</v>
      </c>
    </row>
    <row r="2182" spans="1:19" ht="15" customHeight="1" x14ac:dyDescent="0.3">
      <c r="A2182" s="4">
        <v>45203</v>
      </c>
      <c r="B2182" s="5">
        <f t="shared" si="536"/>
        <v>10</v>
      </c>
      <c r="C2182" s="5">
        <f t="shared" si="537"/>
        <v>2023</v>
      </c>
      <c r="D2182" s="88" t="s">
        <v>1992</v>
      </c>
      <c r="E2182" s="5" t="str">
        <f>VLOOKUP(F2182,'Set up'!$A$2:$C$70,2,FALSE)</f>
        <v>C00000021</v>
      </c>
      <c r="F2182" s="1" t="s">
        <v>491</v>
      </c>
      <c r="G2182" s="100" t="s">
        <v>716</v>
      </c>
      <c r="H2182" s="5">
        <v>1</v>
      </c>
      <c r="I2182" s="5" t="str">
        <f>VLOOKUP(F2182,'Set up'!$A$2:$C$70,3,FALSE)</f>
        <v>Cash</v>
      </c>
      <c r="J2182" s="5">
        <f>VLOOKUP(F2182,'Set up'!$A$2:$D$70,4,FALSE)</f>
        <v>0</v>
      </c>
      <c r="K2182" s="4">
        <f t="shared" si="538"/>
        <v>45203</v>
      </c>
      <c r="L2182" s="5">
        <f t="shared" si="539"/>
        <v>10</v>
      </c>
      <c r="M2182" s="5">
        <f t="shared" si="540"/>
        <v>2023</v>
      </c>
      <c r="N2182" s="96">
        <v>1738</v>
      </c>
      <c r="O2182" s="6">
        <f t="shared" ref="O2182:O2184" si="543">-N2182</f>
        <v>-1738</v>
      </c>
      <c r="P2182" s="6">
        <f t="shared" si="534"/>
        <v>0</v>
      </c>
      <c r="Q2182" s="7">
        <f t="shared" si="541"/>
        <v>3698421.350000002</v>
      </c>
      <c r="R2182" s="44" t="str">
        <f>VLOOKUP(F2182,'Set up'!$A$2:$E$70,5,FALSE)</f>
        <v>PD Chq</v>
      </c>
      <c r="S2182" s="1" t="s">
        <v>2458</v>
      </c>
    </row>
    <row r="2183" spans="1:19" ht="15" customHeight="1" x14ac:dyDescent="0.3">
      <c r="A2183" s="4">
        <v>45203</v>
      </c>
      <c r="B2183" s="5">
        <f t="shared" si="536"/>
        <v>10</v>
      </c>
      <c r="C2183" s="5">
        <f t="shared" si="537"/>
        <v>2023</v>
      </c>
      <c r="D2183" s="88" t="s">
        <v>1992</v>
      </c>
      <c r="E2183" s="5" t="str">
        <f>VLOOKUP(F2183,'Set up'!$A$2:$C$70,2,FALSE)</f>
        <v>C00000021</v>
      </c>
      <c r="F2183" s="1" t="s">
        <v>491</v>
      </c>
      <c r="G2183" s="99" t="s">
        <v>654</v>
      </c>
      <c r="H2183" s="5">
        <v>3</v>
      </c>
      <c r="I2183" s="5" t="str">
        <f>VLOOKUP(F2183,'Set up'!$A$2:$C$70,3,FALSE)</f>
        <v>Cash</v>
      </c>
      <c r="J2183" s="5">
        <f>VLOOKUP(F2183,'Set up'!$A$2:$D$70,4,FALSE)</f>
        <v>0</v>
      </c>
      <c r="K2183" s="4">
        <f t="shared" si="538"/>
        <v>45203</v>
      </c>
      <c r="L2183" s="5">
        <f t="shared" si="539"/>
        <v>10</v>
      </c>
      <c r="M2183" s="5">
        <f t="shared" si="540"/>
        <v>2023</v>
      </c>
      <c r="N2183" s="96">
        <v>702</v>
      </c>
      <c r="O2183" s="6">
        <f t="shared" si="543"/>
        <v>-702</v>
      </c>
      <c r="P2183" s="6">
        <f t="shared" si="534"/>
        <v>0</v>
      </c>
      <c r="Q2183" s="7">
        <f t="shared" si="541"/>
        <v>3699123.350000002</v>
      </c>
      <c r="R2183" s="44" t="str">
        <f>VLOOKUP(F2183,'Set up'!$A$2:$E$70,5,FALSE)</f>
        <v>PD Chq</v>
      </c>
      <c r="S2183" s="1" t="s">
        <v>2458</v>
      </c>
    </row>
    <row r="2184" spans="1:19" ht="15" customHeight="1" x14ac:dyDescent="0.3">
      <c r="A2184" s="4">
        <v>45203</v>
      </c>
      <c r="B2184" s="5">
        <f t="shared" si="536"/>
        <v>10</v>
      </c>
      <c r="C2184" s="5">
        <f t="shared" si="537"/>
        <v>2023</v>
      </c>
      <c r="D2184" s="88" t="s">
        <v>1992</v>
      </c>
      <c r="E2184" s="5" t="str">
        <f>VLOOKUP(F2184,'Set up'!$A$2:$C$70,2,FALSE)</f>
        <v>C00000021</v>
      </c>
      <c r="F2184" s="1" t="s">
        <v>491</v>
      </c>
      <c r="G2184" s="99" t="s">
        <v>1061</v>
      </c>
      <c r="H2184" s="5">
        <v>1</v>
      </c>
      <c r="I2184" s="5" t="str">
        <f>VLOOKUP(F2184,'Set up'!$A$2:$C$70,3,FALSE)</f>
        <v>Cash</v>
      </c>
      <c r="J2184" s="5">
        <f>VLOOKUP(F2184,'Set up'!$A$2:$D$70,4,FALSE)</f>
        <v>0</v>
      </c>
      <c r="K2184" s="4">
        <f t="shared" si="538"/>
        <v>45203</v>
      </c>
      <c r="L2184" s="5">
        <f t="shared" si="539"/>
        <v>10</v>
      </c>
      <c r="M2184" s="5">
        <f t="shared" si="540"/>
        <v>2023</v>
      </c>
      <c r="N2184" s="96">
        <v>95</v>
      </c>
      <c r="O2184" s="6">
        <f t="shared" si="543"/>
        <v>-95</v>
      </c>
      <c r="P2184" s="6">
        <f t="shared" si="534"/>
        <v>0</v>
      </c>
      <c r="Q2184" s="7">
        <f t="shared" si="541"/>
        <v>3699218.350000002</v>
      </c>
      <c r="R2184" s="44" t="str">
        <f>VLOOKUP(F2184,'Set up'!$A$2:$E$70,5,FALSE)</f>
        <v>PD Chq</v>
      </c>
      <c r="S2184" s="1" t="s">
        <v>2458</v>
      </c>
    </row>
    <row r="2185" spans="1:19" ht="15" customHeight="1" x14ac:dyDescent="0.3">
      <c r="A2185" s="4" t="s">
        <v>1995</v>
      </c>
      <c r="B2185" s="5">
        <f t="shared" si="536"/>
        <v>10</v>
      </c>
      <c r="C2185" s="5">
        <f t="shared" si="537"/>
        <v>2023</v>
      </c>
      <c r="D2185" s="88" t="s">
        <v>1993</v>
      </c>
      <c r="E2185" s="5" t="str">
        <f>VLOOKUP(F2185,'Set up'!$A$2:$C$70,2,FALSE)</f>
        <v>C00000020</v>
      </c>
      <c r="F2185" s="1" t="s">
        <v>409</v>
      </c>
      <c r="G2185" s="99" t="s">
        <v>1110</v>
      </c>
      <c r="H2185" s="5">
        <v>2</v>
      </c>
      <c r="I2185" s="5" t="str">
        <f>VLOOKUP(F2185,'Set up'!$A$2:$C$70,3,FALSE)</f>
        <v>Cash</v>
      </c>
      <c r="J2185" s="5">
        <f>VLOOKUP(F2185,'Set up'!$A$2:$D$70,4,FALSE)</f>
        <v>0</v>
      </c>
      <c r="K2185" s="4">
        <f t="shared" si="538"/>
        <v>45204</v>
      </c>
      <c r="L2185" s="5">
        <f t="shared" si="539"/>
        <v>10</v>
      </c>
      <c r="M2185" s="5">
        <f t="shared" si="540"/>
        <v>2023</v>
      </c>
      <c r="N2185" s="96">
        <v>125</v>
      </c>
      <c r="O2185" s="6">
        <f>-N2185</f>
        <v>-125</v>
      </c>
      <c r="P2185" s="6">
        <f t="shared" si="534"/>
        <v>0</v>
      </c>
      <c r="Q2185" s="7">
        <f t="shared" si="541"/>
        <v>3699343.350000002</v>
      </c>
      <c r="R2185" s="44" t="str">
        <f>VLOOKUP(F2185,'Set up'!$A$2:$E$70,5,FALSE)</f>
        <v>Trsf</v>
      </c>
      <c r="S2185" s="1" t="s">
        <v>2608</v>
      </c>
    </row>
    <row r="2186" spans="1:19" ht="15" customHeight="1" x14ac:dyDescent="0.3">
      <c r="A2186" s="4" t="s">
        <v>1995</v>
      </c>
      <c r="B2186" s="5">
        <f t="shared" si="536"/>
        <v>10</v>
      </c>
      <c r="C2186" s="5">
        <f t="shared" si="537"/>
        <v>2023</v>
      </c>
      <c r="D2186" s="88" t="s">
        <v>1994</v>
      </c>
      <c r="E2186" s="5" t="str">
        <f>VLOOKUP(F2186,'Set up'!$A$2:$C$70,2,FALSE)</f>
        <v>C00000020</v>
      </c>
      <c r="F2186" s="1" t="s">
        <v>409</v>
      </c>
      <c r="G2186" s="99" t="s">
        <v>1733</v>
      </c>
      <c r="H2186" s="5">
        <v>2</v>
      </c>
      <c r="I2186" s="5" t="str">
        <f>VLOOKUP(F2186,'Set up'!$A$2:$C$70,3,FALSE)</f>
        <v>Cash</v>
      </c>
      <c r="J2186" s="5">
        <f>VLOOKUP(F2186,'Set up'!$A$2:$D$70,4,FALSE)</f>
        <v>0</v>
      </c>
      <c r="K2186" s="4">
        <f t="shared" si="538"/>
        <v>45204</v>
      </c>
      <c r="L2186" s="5">
        <f t="shared" si="539"/>
        <v>10</v>
      </c>
      <c r="M2186" s="5">
        <f t="shared" si="540"/>
        <v>2023</v>
      </c>
      <c r="N2186" s="96">
        <v>3256</v>
      </c>
      <c r="O2186" s="6">
        <f>-N2186</f>
        <v>-3256</v>
      </c>
      <c r="P2186" s="6">
        <f t="shared" si="534"/>
        <v>0</v>
      </c>
      <c r="Q2186" s="7">
        <f t="shared" si="541"/>
        <v>3702599.350000002</v>
      </c>
      <c r="R2186" s="44" t="str">
        <f>VLOOKUP(F2186,'Set up'!$A$2:$E$70,5,FALSE)</f>
        <v>Trsf</v>
      </c>
      <c r="S2186" s="1" t="s">
        <v>2609</v>
      </c>
    </row>
    <row r="2187" spans="1:19" ht="15" customHeight="1" x14ac:dyDescent="0.3">
      <c r="A2187" s="4" t="s">
        <v>1995</v>
      </c>
      <c r="B2187" s="5">
        <f t="shared" si="536"/>
        <v>10</v>
      </c>
      <c r="C2187" s="5">
        <f t="shared" si="537"/>
        <v>2023</v>
      </c>
      <c r="D2187" s="88" t="s">
        <v>1994</v>
      </c>
      <c r="E2187" s="5" t="str">
        <f>VLOOKUP(F2187,'Set up'!$A$2:$C$70,2,FALSE)</f>
        <v>C00000020</v>
      </c>
      <c r="F2187" s="1" t="s">
        <v>409</v>
      </c>
      <c r="G2187" s="99" t="s">
        <v>913</v>
      </c>
      <c r="H2187" s="5">
        <v>6</v>
      </c>
      <c r="I2187" s="5" t="str">
        <f>VLOOKUP(F2187,'Set up'!$A$2:$C$70,3,FALSE)</f>
        <v>Cash</v>
      </c>
      <c r="J2187" s="5">
        <f>VLOOKUP(F2187,'Set up'!$A$2:$D$70,4,FALSE)</f>
        <v>0</v>
      </c>
      <c r="K2187" s="4">
        <f t="shared" si="538"/>
        <v>45204</v>
      </c>
      <c r="L2187" s="5">
        <f t="shared" si="539"/>
        <v>10</v>
      </c>
      <c r="M2187" s="5">
        <f t="shared" si="540"/>
        <v>2023</v>
      </c>
      <c r="N2187" s="96">
        <v>1080</v>
      </c>
      <c r="O2187" s="6">
        <f>-N2187</f>
        <v>-1080</v>
      </c>
      <c r="P2187" s="6">
        <f t="shared" si="534"/>
        <v>0</v>
      </c>
      <c r="Q2187" s="7">
        <f t="shared" si="541"/>
        <v>3703679.350000002</v>
      </c>
      <c r="R2187" s="44" t="str">
        <f>VLOOKUP(F2187,'Set up'!$A$2:$E$70,5,FALSE)</f>
        <v>Trsf</v>
      </c>
      <c r="S2187" s="1" t="s">
        <v>2610</v>
      </c>
    </row>
    <row r="2188" spans="1:19" ht="15" customHeight="1" x14ac:dyDescent="0.3">
      <c r="A2188" s="4" t="s">
        <v>1995</v>
      </c>
      <c r="B2188" s="5">
        <f t="shared" si="536"/>
        <v>10</v>
      </c>
      <c r="C2188" s="5">
        <f t="shared" si="537"/>
        <v>2023</v>
      </c>
      <c r="D2188" s="88" t="s">
        <v>1994</v>
      </c>
      <c r="E2188" s="5" t="str">
        <f>VLOOKUP(F2188,'Set up'!$A$2:$C$70,2,FALSE)</f>
        <v>C00000020</v>
      </c>
      <c r="F2188" s="1" t="s">
        <v>409</v>
      </c>
      <c r="G2188" s="99" t="s">
        <v>1922</v>
      </c>
      <c r="H2188" s="5">
        <v>3</v>
      </c>
      <c r="I2188" s="5" t="str">
        <f>VLOOKUP(F2188,'Set up'!$A$2:$C$70,3,FALSE)</f>
        <v>Cash</v>
      </c>
      <c r="J2188" s="5">
        <f>VLOOKUP(F2188,'Set up'!$A$2:$D$70,4,FALSE)</f>
        <v>0</v>
      </c>
      <c r="K2188" s="4">
        <f t="shared" si="538"/>
        <v>45204</v>
      </c>
      <c r="L2188" s="5">
        <f t="shared" si="539"/>
        <v>10</v>
      </c>
      <c r="M2188" s="5">
        <f t="shared" si="540"/>
        <v>2023</v>
      </c>
      <c r="N2188" s="96">
        <v>702</v>
      </c>
      <c r="O2188" s="6">
        <f>-N2188</f>
        <v>-702</v>
      </c>
      <c r="P2188" s="6">
        <f t="shared" si="534"/>
        <v>0</v>
      </c>
      <c r="Q2188" s="7">
        <f t="shared" si="541"/>
        <v>3704381.350000002</v>
      </c>
      <c r="R2188" s="44" t="str">
        <f>VLOOKUP(F2188,'Set up'!$A$2:$E$70,5,FALSE)</f>
        <v>Trsf</v>
      </c>
      <c r="S2188" s="1" t="s">
        <v>2611</v>
      </c>
    </row>
    <row r="2189" spans="1:19" ht="15" customHeight="1" x14ac:dyDescent="0.3">
      <c r="A2189" s="4" t="s">
        <v>1995</v>
      </c>
      <c r="B2189" s="5">
        <f t="shared" si="536"/>
        <v>10</v>
      </c>
      <c r="C2189" s="5">
        <f t="shared" si="537"/>
        <v>2023</v>
      </c>
      <c r="D2189" s="88" t="s">
        <v>1994</v>
      </c>
      <c r="E2189" s="5" t="str">
        <f>VLOOKUP(F2189,'Set up'!$A$2:$C$70,2,FALSE)</f>
        <v>C00000020</v>
      </c>
      <c r="F2189" s="1" t="s">
        <v>409</v>
      </c>
      <c r="G2189" s="99" t="s">
        <v>1073</v>
      </c>
      <c r="H2189" s="5">
        <v>1</v>
      </c>
      <c r="I2189" s="5" t="str">
        <f>VLOOKUP(F2189,'Set up'!$A$2:$C$70,3,FALSE)</f>
        <v>Cash</v>
      </c>
      <c r="J2189" s="5">
        <f>VLOOKUP(F2189,'Set up'!$A$2:$D$70,4,FALSE)</f>
        <v>0</v>
      </c>
      <c r="K2189" s="4">
        <f t="shared" si="538"/>
        <v>45204</v>
      </c>
      <c r="L2189" s="5">
        <f t="shared" si="539"/>
        <v>10</v>
      </c>
      <c r="M2189" s="5">
        <f t="shared" si="540"/>
        <v>2023</v>
      </c>
      <c r="N2189" s="96">
        <v>1000</v>
      </c>
      <c r="O2189" s="6">
        <f>-N2189</f>
        <v>-1000</v>
      </c>
      <c r="P2189" s="6">
        <f t="shared" si="534"/>
        <v>0</v>
      </c>
      <c r="Q2189" s="7">
        <f t="shared" si="541"/>
        <v>3705381.350000002</v>
      </c>
      <c r="R2189" s="44" t="str">
        <f>VLOOKUP(F2189,'Set up'!$A$2:$E$70,5,FALSE)</f>
        <v>Trsf</v>
      </c>
      <c r="S2189" s="1" t="s">
        <v>2606</v>
      </c>
    </row>
    <row r="2190" spans="1:19" ht="15" customHeight="1" x14ac:dyDescent="0.3">
      <c r="A2190" s="4">
        <v>45205</v>
      </c>
      <c r="B2190" s="5">
        <f t="shared" si="536"/>
        <v>10</v>
      </c>
      <c r="C2190" s="5">
        <f t="shared" si="537"/>
        <v>2023</v>
      </c>
      <c r="D2190" s="88" t="s">
        <v>1996</v>
      </c>
      <c r="E2190" s="5" t="str">
        <f>VLOOKUP(F2190,'Set up'!$A$2:$C$70,2,FALSE)</f>
        <v>C00000022</v>
      </c>
      <c r="F2190" s="1" t="s">
        <v>637</v>
      </c>
      <c r="G2190" s="99" t="s">
        <v>1997</v>
      </c>
      <c r="H2190" s="5">
        <v>1</v>
      </c>
      <c r="I2190" s="5" t="str">
        <f>VLOOKUP(F2190,'Set up'!$A$2:$C$70,3,FALSE)</f>
        <v>Cash</v>
      </c>
      <c r="J2190" s="5">
        <f>VLOOKUP(F2190,'Set up'!$A$2:$D$70,4,FALSE)</f>
        <v>0</v>
      </c>
      <c r="K2190" s="4">
        <f t="shared" si="538"/>
        <v>45205</v>
      </c>
      <c r="L2190" s="5">
        <f t="shared" si="539"/>
        <v>10</v>
      </c>
      <c r="M2190" s="5">
        <f t="shared" si="540"/>
        <v>2023</v>
      </c>
      <c r="N2190" s="96">
        <v>3600</v>
      </c>
      <c r="O2190" s="6">
        <f>-653.8-2946.2</f>
        <v>-3600</v>
      </c>
      <c r="P2190" s="6">
        <f t="shared" si="534"/>
        <v>0</v>
      </c>
      <c r="Q2190" s="7">
        <f t="shared" si="541"/>
        <v>3708981.350000002</v>
      </c>
      <c r="R2190" s="44" t="str">
        <f>VLOOKUP(F2190,'Set up'!$A$2:$E$70,5,FALSE)</f>
        <v>Trsf</v>
      </c>
      <c r="S2190" s="1" t="s">
        <v>2888</v>
      </c>
    </row>
    <row r="2191" spans="1:19" ht="15" customHeight="1" x14ac:dyDescent="0.3">
      <c r="A2191" s="4">
        <v>45205</v>
      </c>
      <c r="B2191" s="5">
        <f t="shared" si="536"/>
        <v>10</v>
      </c>
      <c r="C2191" s="5">
        <f t="shared" si="537"/>
        <v>2023</v>
      </c>
      <c r="D2191" s="88" t="s">
        <v>1996</v>
      </c>
      <c r="E2191" s="5" t="str">
        <f>VLOOKUP(F2191,'Set up'!$A$2:$C$70,2,FALSE)</f>
        <v>C00000022</v>
      </c>
      <c r="F2191" s="1" t="s">
        <v>637</v>
      </c>
      <c r="G2191" s="99" t="s">
        <v>913</v>
      </c>
      <c r="H2191" s="5">
        <v>2</v>
      </c>
      <c r="I2191" s="5" t="str">
        <f>VLOOKUP(F2191,'Set up'!$A$2:$C$70,3,FALSE)</f>
        <v>Cash</v>
      </c>
      <c r="J2191" s="5">
        <f>VLOOKUP(F2191,'Set up'!$A$2:$D$70,4,FALSE)</f>
        <v>0</v>
      </c>
      <c r="K2191" s="4">
        <f t="shared" si="538"/>
        <v>45205</v>
      </c>
      <c r="L2191" s="5">
        <f t="shared" si="539"/>
        <v>10</v>
      </c>
      <c r="M2191" s="5">
        <f t="shared" si="540"/>
        <v>2023</v>
      </c>
      <c r="N2191" s="96">
        <v>468</v>
      </c>
      <c r="O2191" s="6">
        <f t="shared" ref="O2191" si="544">-N2191</f>
        <v>-468</v>
      </c>
      <c r="P2191" s="6">
        <f t="shared" si="534"/>
        <v>0</v>
      </c>
      <c r="Q2191" s="7">
        <f t="shared" si="541"/>
        <v>3709449.350000002</v>
      </c>
      <c r="R2191" s="44" t="str">
        <f>VLOOKUP(F2191,'Set up'!$A$2:$E$70,5,FALSE)</f>
        <v>Trsf</v>
      </c>
      <c r="S2191" s="1" t="s">
        <v>2887</v>
      </c>
    </row>
    <row r="2192" spans="1:19" ht="15" customHeight="1" x14ac:dyDescent="0.3">
      <c r="A2192" s="4">
        <v>45205</v>
      </c>
      <c r="B2192" s="5">
        <f t="shared" si="536"/>
        <v>10</v>
      </c>
      <c r="C2192" s="5">
        <f t="shared" si="537"/>
        <v>2023</v>
      </c>
      <c r="D2192" s="88" t="s">
        <v>1998</v>
      </c>
      <c r="E2192" s="5" t="str">
        <f>VLOOKUP(F2192,'Set up'!$A$2:$C$70,2,FALSE)</f>
        <v>C00000010</v>
      </c>
      <c r="F2192" s="1" t="s">
        <v>62</v>
      </c>
      <c r="G2192" s="99" t="s">
        <v>1178</v>
      </c>
      <c r="H2192" s="5">
        <v>6</v>
      </c>
      <c r="I2192" s="5">
        <f>VLOOKUP(F2192,'Set up'!$A$2:$C$70,3,FALSE)</f>
        <v>120</v>
      </c>
      <c r="J2192" s="5">
        <f>VLOOKUP(F2192,'Set up'!$A$2:$D$70,4,FALSE)</f>
        <v>120</v>
      </c>
      <c r="K2192" s="4">
        <f t="shared" si="538"/>
        <v>45325</v>
      </c>
      <c r="L2192" s="5">
        <f t="shared" si="539"/>
        <v>2</v>
      </c>
      <c r="M2192" s="5">
        <f t="shared" si="540"/>
        <v>2024</v>
      </c>
      <c r="N2192" s="96">
        <v>9636</v>
      </c>
      <c r="O2192" s="6">
        <f t="shared" ref="O2192:O2196" si="545">-N2192</f>
        <v>-9636</v>
      </c>
      <c r="P2192" s="6">
        <f t="shared" si="534"/>
        <v>0</v>
      </c>
      <c r="Q2192" s="7">
        <f t="shared" si="541"/>
        <v>3719085.350000002</v>
      </c>
      <c r="R2192" s="44" t="str">
        <f>VLOOKUP(F2192,'Set up'!$A$2:$E$70,5,FALSE)</f>
        <v>Trsf</v>
      </c>
      <c r="S2192" s="1" t="s">
        <v>2490</v>
      </c>
    </row>
    <row r="2193" spans="1:19" ht="15" customHeight="1" x14ac:dyDescent="0.3">
      <c r="A2193" s="4">
        <v>45205</v>
      </c>
      <c r="B2193" s="5">
        <f t="shared" si="536"/>
        <v>10</v>
      </c>
      <c r="C2193" s="5">
        <f t="shared" si="537"/>
        <v>2023</v>
      </c>
      <c r="D2193" s="88" t="s">
        <v>1998</v>
      </c>
      <c r="E2193" s="5" t="str">
        <f>VLOOKUP(F2193,'Set up'!$A$2:$C$70,2,FALSE)</f>
        <v>C00000010</v>
      </c>
      <c r="F2193" s="1" t="s">
        <v>62</v>
      </c>
      <c r="G2193" s="99" t="s">
        <v>1543</v>
      </c>
      <c r="H2193" s="5">
        <v>5</v>
      </c>
      <c r="I2193" s="5">
        <f>VLOOKUP(F2193,'Set up'!$A$2:$C$70,3,FALSE)</f>
        <v>120</v>
      </c>
      <c r="J2193" s="5">
        <f>VLOOKUP(F2193,'Set up'!$A$2:$D$70,4,FALSE)</f>
        <v>120</v>
      </c>
      <c r="K2193" s="4">
        <f t="shared" si="538"/>
        <v>45325</v>
      </c>
      <c r="L2193" s="5">
        <f t="shared" si="539"/>
        <v>2</v>
      </c>
      <c r="M2193" s="5">
        <f t="shared" si="540"/>
        <v>2024</v>
      </c>
      <c r="N2193" s="96">
        <v>900</v>
      </c>
      <c r="O2193" s="6">
        <f t="shared" si="545"/>
        <v>-900</v>
      </c>
      <c r="P2193" s="6">
        <f t="shared" si="534"/>
        <v>0</v>
      </c>
      <c r="Q2193" s="7">
        <f t="shared" si="541"/>
        <v>3719985.350000002</v>
      </c>
      <c r="R2193" s="44" t="str">
        <f>VLOOKUP(F2193,'Set up'!$A$2:$E$70,5,FALSE)</f>
        <v>Trsf</v>
      </c>
      <c r="S2193" s="1" t="s">
        <v>2490</v>
      </c>
    </row>
    <row r="2194" spans="1:19" ht="15" customHeight="1" x14ac:dyDescent="0.3">
      <c r="A2194" s="4">
        <v>45205</v>
      </c>
      <c r="B2194" s="5">
        <f t="shared" si="536"/>
        <v>10</v>
      </c>
      <c r="C2194" s="5">
        <f t="shared" si="537"/>
        <v>2023</v>
      </c>
      <c r="D2194" s="88" t="s">
        <v>1998</v>
      </c>
      <c r="E2194" s="5" t="str">
        <f>VLOOKUP(F2194,'Set up'!$A$2:$C$70,2,FALSE)</f>
        <v>C00000010</v>
      </c>
      <c r="F2194" s="1" t="s">
        <v>62</v>
      </c>
      <c r="G2194" s="99" t="s">
        <v>791</v>
      </c>
      <c r="H2194" s="5">
        <v>10</v>
      </c>
      <c r="I2194" s="5">
        <f>VLOOKUP(F2194,'Set up'!$A$2:$C$70,3,FALSE)</f>
        <v>120</v>
      </c>
      <c r="J2194" s="5">
        <f>VLOOKUP(F2194,'Set up'!$A$2:$D$70,4,FALSE)</f>
        <v>120</v>
      </c>
      <c r="K2194" s="4">
        <f t="shared" si="538"/>
        <v>45325</v>
      </c>
      <c r="L2194" s="5">
        <f t="shared" si="539"/>
        <v>2</v>
      </c>
      <c r="M2194" s="5">
        <f t="shared" si="540"/>
        <v>2024</v>
      </c>
      <c r="N2194" s="96">
        <v>575</v>
      </c>
      <c r="O2194" s="6">
        <f t="shared" si="545"/>
        <v>-575</v>
      </c>
      <c r="P2194" s="6">
        <f t="shared" si="534"/>
        <v>0</v>
      </c>
      <c r="Q2194" s="7">
        <f t="shared" si="541"/>
        <v>3720560.350000002</v>
      </c>
      <c r="R2194" s="44" t="str">
        <f>VLOOKUP(F2194,'Set up'!$A$2:$E$70,5,FALSE)</f>
        <v>Trsf</v>
      </c>
      <c r="S2194" s="1" t="s">
        <v>2490</v>
      </c>
    </row>
    <row r="2195" spans="1:19" ht="15" customHeight="1" x14ac:dyDescent="0.3">
      <c r="A2195" s="4">
        <v>45205</v>
      </c>
      <c r="B2195" s="5">
        <f t="shared" si="536"/>
        <v>10</v>
      </c>
      <c r="C2195" s="5">
        <f t="shared" si="537"/>
        <v>2023</v>
      </c>
      <c r="D2195" s="88" t="s">
        <v>1998</v>
      </c>
      <c r="E2195" s="5" t="str">
        <f>VLOOKUP(F2195,'Set up'!$A$2:$C$70,2,FALSE)</f>
        <v>C00000010</v>
      </c>
      <c r="F2195" s="1" t="s">
        <v>62</v>
      </c>
      <c r="G2195" s="99" t="s">
        <v>46</v>
      </c>
      <c r="H2195" s="5">
        <v>4</v>
      </c>
      <c r="I2195" s="5">
        <f>VLOOKUP(F2195,'Set up'!$A$2:$C$70,3,FALSE)</f>
        <v>120</v>
      </c>
      <c r="J2195" s="5">
        <f>VLOOKUP(F2195,'Set up'!$A$2:$D$70,4,FALSE)</f>
        <v>120</v>
      </c>
      <c r="K2195" s="4">
        <f t="shared" si="538"/>
        <v>45325</v>
      </c>
      <c r="L2195" s="5">
        <f t="shared" si="539"/>
        <v>2</v>
      </c>
      <c r="M2195" s="5">
        <f t="shared" si="540"/>
        <v>2024</v>
      </c>
      <c r="N2195" s="96">
        <v>420</v>
      </c>
      <c r="O2195" s="6">
        <f t="shared" si="545"/>
        <v>-420</v>
      </c>
      <c r="P2195" s="6">
        <f t="shared" si="534"/>
        <v>0</v>
      </c>
      <c r="Q2195" s="7">
        <f t="shared" si="541"/>
        <v>3720980.350000002</v>
      </c>
      <c r="R2195" s="44" t="str">
        <f>VLOOKUP(F2195,'Set up'!$A$2:$E$70,5,FALSE)</f>
        <v>Trsf</v>
      </c>
      <c r="S2195" s="1" t="s">
        <v>2490</v>
      </c>
    </row>
    <row r="2196" spans="1:19" ht="15" customHeight="1" x14ac:dyDescent="0.3">
      <c r="A2196" s="4">
        <v>45205</v>
      </c>
      <c r="B2196" s="5">
        <f t="shared" si="536"/>
        <v>10</v>
      </c>
      <c r="C2196" s="5">
        <f t="shared" si="537"/>
        <v>2023</v>
      </c>
      <c r="D2196" s="88" t="s">
        <v>1998</v>
      </c>
      <c r="E2196" s="5" t="str">
        <f>VLOOKUP(F2196,'Set up'!$A$2:$C$70,2,FALSE)</f>
        <v>C00000010</v>
      </c>
      <c r="F2196" s="1" t="s">
        <v>62</v>
      </c>
      <c r="G2196" s="99" t="s">
        <v>44</v>
      </c>
      <c r="H2196" s="5">
        <v>1</v>
      </c>
      <c r="I2196" s="5">
        <f>VLOOKUP(F2196,'Set up'!$A$2:$C$70,3,FALSE)</f>
        <v>120</v>
      </c>
      <c r="J2196" s="5">
        <f>VLOOKUP(F2196,'Set up'!$A$2:$D$70,4,FALSE)</f>
        <v>120</v>
      </c>
      <c r="K2196" s="4">
        <f t="shared" si="538"/>
        <v>45325</v>
      </c>
      <c r="L2196" s="5">
        <f t="shared" si="539"/>
        <v>2</v>
      </c>
      <c r="M2196" s="5">
        <f t="shared" si="540"/>
        <v>2024</v>
      </c>
      <c r="N2196" s="96">
        <v>238</v>
      </c>
      <c r="O2196" s="6">
        <f t="shared" si="545"/>
        <v>-238</v>
      </c>
      <c r="P2196" s="6">
        <f t="shared" si="534"/>
        <v>0</v>
      </c>
      <c r="Q2196" s="7">
        <f t="shared" si="541"/>
        <v>3721218.350000002</v>
      </c>
      <c r="R2196" s="44" t="str">
        <f>VLOOKUP(F2196,'Set up'!$A$2:$E$70,5,FALSE)</f>
        <v>Trsf</v>
      </c>
      <c r="S2196" s="1" t="s">
        <v>2490</v>
      </c>
    </row>
    <row r="2197" spans="1:19" ht="15" customHeight="1" x14ac:dyDescent="0.3">
      <c r="A2197" s="4">
        <v>45205</v>
      </c>
      <c r="B2197" s="5">
        <f t="shared" si="536"/>
        <v>10</v>
      </c>
      <c r="C2197" s="5">
        <f t="shared" si="537"/>
        <v>2023</v>
      </c>
      <c r="D2197" s="88" t="s">
        <v>1999</v>
      </c>
      <c r="E2197" s="5" t="str">
        <f>VLOOKUP(F2197,'Set up'!$A$2:$C$70,2,FALSE)</f>
        <v>C00000020</v>
      </c>
      <c r="F2197" s="1" t="s">
        <v>409</v>
      </c>
      <c r="G2197" s="99" t="s">
        <v>1110</v>
      </c>
      <c r="H2197" s="5">
        <v>4</v>
      </c>
      <c r="I2197" s="5" t="str">
        <f>VLOOKUP(F2197,'Set up'!$A$2:$C$70,3,FALSE)</f>
        <v>Cash</v>
      </c>
      <c r="J2197" s="5">
        <f>VLOOKUP(F2197,'Set up'!$A$2:$D$70,4,FALSE)</f>
        <v>0</v>
      </c>
      <c r="K2197" s="4">
        <f t="shared" si="538"/>
        <v>45205</v>
      </c>
      <c r="L2197" s="5">
        <f t="shared" si="539"/>
        <v>10</v>
      </c>
      <c r="M2197" s="5">
        <f t="shared" si="540"/>
        <v>2023</v>
      </c>
      <c r="N2197" s="96">
        <v>250</v>
      </c>
      <c r="O2197" s="6">
        <f>-N2197</f>
        <v>-250</v>
      </c>
      <c r="P2197" s="6">
        <f t="shared" si="534"/>
        <v>0</v>
      </c>
      <c r="Q2197" s="7">
        <f t="shared" si="541"/>
        <v>3721468.350000002</v>
      </c>
      <c r="R2197" s="44" t="str">
        <f>VLOOKUP(F2197,'Set up'!$A$2:$E$70,5,FALSE)</f>
        <v>Trsf</v>
      </c>
      <c r="S2197" s="1" t="s">
        <v>2612</v>
      </c>
    </row>
    <row r="2198" spans="1:19" ht="15" customHeight="1" x14ac:dyDescent="0.3">
      <c r="A2198" s="4">
        <v>45205</v>
      </c>
      <c r="B2198" s="5">
        <f t="shared" si="536"/>
        <v>10</v>
      </c>
      <c r="C2198" s="5">
        <f t="shared" si="537"/>
        <v>2023</v>
      </c>
      <c r="D2198" s="88" t="s">
        <v>1999</v>
      </c>
      <c r="E2198" s="5" t="str">
        <f>VLOOKUP(F2198,'Set up'!$A$2:$C$70,2,FALSE)</f>
        <v>C00000020</v>
      </c>
      <c r="F2198" s="1" t="s">
        <v>409</v>
      </c>
      <c r="G2198" s="99" t="s">
        <v>913</v>
      </c>
      <c r="H2198" s="5">
        <v>2</v>
      </c>
      <c r="I2198" s="5" t="str">
        <f>VLOOKUP(F2198,'Set up'!$A$2:$C$70,3,FALSE)</f>
        <v>Cash</v>
      </c>
      <c r="J2198" s="5">
        <f>VLOOKUP(F2198,'Set up'!$A$2:$D$70,4,FALSE)</f>
        <v>0</v>
      </c>
      <c r="K2198" s="4">
        <f t="shared" si="538"/>
        <v>45205</v>
      </c>
      <c r="L2198" s="5">
        <f t="shared" si="539"/>
        <v>10</v>
      </c>
      <c r="M2198" s="5">
        <f t="shared" si="540"/>
        <v>2023</v>
      </c>
      <c r="N2198" s="96">
        <v>360</v>
      </c>
      <c r="O2198" s="6">
        <f>-N2198</f>
        <v>-360</v>
      </c>
      <c r="P2198" s="6">
        <f t="shared" si="534"/>
        <v>0</v>
      </c>
      <c r="Q2198" s="7">
        <f t="shared" si="541"/>
        <v>3721828.350000002</v>
      </c>
      <c r="R2198" s="44" t="str">
        <f>VLOOKUP(F2198,'Set up'!$A$2:$E$70,5,FALSE)</f>
        <v>Trsf</v>
      </c>
      <c r="S2198" s="1" t="s">
        <v>2613</v>
      </c>
    </row>
    <row r="2199" spans="1:19" ht="15" customHeight="1" x14ac:dyDescent="0.3">
      <c r="A2199" s="4">
        <v>45206</v>
      </c>
      <c r="B2199" s="5">
        <f t="shared" si="536"/>
        <v>10</v>
      </c>
      <c r="C2199" s="5">
        <f t="shared" si="537"/>
        <v>2023</v>
      </c>
      <c r="D2199" s="88" t="s">
        <v>2000</v>
      </c>
      <c r="E2199" s="5" t="str">
        <f>VLOOKUP(F2199,'Set up'!$A$2:$C$70,2,FALSE)</f>
        <v>C00000006</v>
      </c>
      <c r="F2199" s="1" t="s">
        <v>43</v>
      </c>
      <c r="G2199" s="99" t="s">
        <v>95</v>
      </c>
      <c r="H2199" s="5">
        <v>2</v>
      </c>
      <c r="I2199" s="5" t="str">
        <f>VLOOKUP(F2199,'Set up'!$A$2:$C$70,3,FALSE)</f>
        <v>Cash</v>
      </c>
      <c r="J2199" s="5">
        <f>VLOOKUP(F2199,'Set up'!$A$2:$D$70,4,FALSE)</f>
        <v>0</v>
      </c>
      <c r="K2199" s="4">
        <f t="shared" si="538"/>
        <v>45206</v>
      </c>
      <c r="L2199" s="5">
        <f t="shared" si="539"/>
        <v>10</v>
      </c>
      <c r="M2199" s="5">
        <f t="shared" si="540"/>
        <v>2023</v>
      </c>
      <c r="N2199" s="96">
        <v>3476</v>
      </c>
      <c r="O2199" s="6">
        <f>-N2199</f>
        <v>-3476</v>
      </c>
      <c r="P2199" s="6">
        <f t="shared" si="534"/>
        <v>0</v>
      </c>
      <c r="Q2199" s="7">
        <f t="shared" si="541"/>
        <v>3725304.350000002</v>
      </c>
      <c r="R2199" s="44" t="str">
        <f>VLOOKUP(F2199,'Set up'!$A$2:$E$70,5,FALSE)</f>
        <v>Chq</v>
      </c>
      <c r="S2199" s="1" t="s">
        <v>2247</v>
      </c>
    </row>
    <row r="2200" spans="1:19" ht="15" customHeight="1" x14ac:dyDescent="0.3">
      <c r="A2200" s="4">
        <v>45206</v>
      </c>
      <c r="B2200" s="5">
        <f t="shared" si="536"/>
        <v>10</v>
      </c>
      <c r="C2200" s="5">
        <f t="shared" si="537"/>
        <v>2023</v>
      </c>
      <c r="D2200" s="88" t="s">
        <v>2000</v>
      </c>
      <c r="E2200" s="5" t="str">
        <f>VLOOKUP(F2200,'Set up'!$A$2:$C$70,2,FALSE)</f>
        <v>C00000006</v>
      </c>
      <c r="F2200" s="1" t="s">
        <v>43</v>
      </c>
      <c r="G2200" s="99" t="s">
        <v>1796</v>
      </c>
      <c r="H2200" s="5">
        <v>3</v>
      </c>
      <c r="I2200" s="5" t="str">
        <f>VLOOKUP(F2200,'Set up'!$A$2:$C$70,3,FALSE)</f>
        <v>Cash</v>
      </c>
      <c r="J2200" s="5">
        <f>VLOOKUP(F2200,'Set up'!$A$2:$D$70,4,FALSE)</f>
        <v>0</v>
      </c>
      <c r="K2200" s="4">
        <f t="shared" si="538"/>
        <v>45206</v>
      </c>
      <c r="L2200" s="5">
        <f t="shared" si="539"/>
        <v>10</v>
      </c>
      <c r="M2200" s="5">
        <f t="shared" si="540"/>
        <v>2023</v>
      </c>
      <c r="N2200" s="96">
        <v>702</v>
      </c>
      <c r="O2200" s="6">
        <f>-N2200</f>
        <v>-702</v>
      </c>
      <c r="P2200" s="6">
        <f t="shared" si="534"/>
        <v>0</v>
      </c>
      <c r="Q2200" s="7">
        <f t="shared" si="541"/>
        <v>3726006.350000002</v>
      </c>
      <c r="R2200" s="44" t="str">
        <f>VLOOKUP(F2200,'Set up'!$A$2:$E$70,5,FALSE)</f>
        <v>Chq</v>
      </c>
      <c r="S2200" s="1" t="s">
        <v>2246</v>
      </c>
    </row>
    <row r="2201" spans="1:19" ht="15" customHeight="1" x14ac:dyDescent="0.3">
      <c r="A2201" s="4">
        <v>45206</v>
      </c>
      <c r="B2201" s="5">
        <f t="shared" si="536"/>
        <v>10</v>
      </c>
      <c r="C2201" s="5">
        <f t="shared" si="537"/>
        <v>2023</v>
      </c>
      <c r="D2201" s="88" t="s">
        <v>2000</v>
      </c>
      <c r="E2201" s="5" t="str">
        <f>VLOOKUP(F2201,'Set up'!$A$2:$C$70,2,FALSE)</f>
        <v>C00000006</v>
      </c>
      <c r="F2201" s="1" t="s">
        <v>43</v>
      </c>
      <c r="G2201" s="99" t="s">
        <v>1912</v>
      </c>
      <c r="H2201" s="5">
        <v>1</v>
      </c>
      <c r="I2201" s="5" t="str">
        <f>VLOOKUP(F2201,'Set up'!$A$2:$C$70,3,FALSE)</f>
        <v>Cash</v>
      </c>
      <c r="J2201" s="5">
        <f>VLOOKUP(F2201,'Set up'!$A$2:$D$70,4,FALSE)</f>
        <v>0</v>
      </c>
      <c r="K2201" s="4">
        <f t="shared" si="538"/>
        <v>45206</v>
      </c>
      <c r="L2201" s="5">
        <f t="shared" si="539"/>
        <v>10</v>
      </c>
      <c r="M2201" s="5">
        <f t="shared" si="540"/>
        <v>2023</v>
      </c>
      <c r="N2201" s="96">
        <v>421.2</v>
      </c>
      <c r="O2201" s="6">
        <f>-421</f>
        <v>-421</v>
      </c>
      <c r="P2201" s="6">
        <f t="shared" si="534"/>
        <v>0.19999999999998863</v>
      </c>
      <c r="Q2201" s="7">
        <f t="shared" si="541"/>
        <v>3726427.5500000021</v>
      </c>
      <c r="R2201" s="44" t="str">
        <f>VLOOKUP(F2201,'Set up'!$A$2:$E$70,5,FALSE)</f>
        <v>Chq</v>
      </c>
      <c r="S2201" s="1" t="s">
        <v>2248</v>
      </c>
    </row>
    <row r="2202" spans="1:19" ht="15" customHeight="1" x14ac:dyDescent="0.3">
      <c r="A2202" s="4">
        <v>45206</v>
      </c>
      <c r="B2202" s="5">
        <f t="shared" si="536"/>
        <v>10</v>
      </c>
      <c r="C2202" s="5">
        <f t="shared" si="537"/>
        <v>2023</v>
      </c>
      <c r="D2202" s="88" t="s">
        <v>2000</v>
      </c>
      <c r="E2202" s="5" t="str">
        <f>VLOOKUP(F2202,'Set up'!$A$2:$C$70,2,FALSE)</f>
        <v>C00000006</v>
      </c>
      <c r="F2202" s="1" t="s">
        <v>43</v>
      </c>
      <c r="G2202" s="99" t="s">
        <v>46</v>
      </c>
      <c r="H2202" s="5">
        <v>2</v>
      </c>
      <c r="I2202" s="5" t="str">
        <f>VLOOKUP(F2202,'Set up'!$A$2:$C$70,3,FALSE)</f>
        <v>Cash</v>
      </c>
      <c r="J2202" s="5">
        <f>VLOOKUP(F2202,'Set up'!$A$2:$D$70,4,FALSE)</f>
        <v>0</v>
      </c>
      <c r="K2202" s="4">
        <f t="shared" si="538"/>
        <v>45206</v>
      </c>
      <c r="L2202" s="5">
        <f t="shared" si="539"/>
        <v>10</v>
      </c>
      <c r="M2202" s="5">
        <f t="shared" si="540"/>
        <v>2023</v>
      </c>
      <c r="N2202" s="96">
        <v>210</v>
      </c>
      <c r="O2202" s="6">
        <f>-N2202</f>
        <v>-210</v>
      </c>
      <c r="P2202" s="6">
        <f t="shared" si="534"/>
        <v>0</v>
      </c>
      <c r="Q2202" s="7">
        <f t="shared" si="541"/>
        <v>3726637.5500000021</v>
      </c>
      <c r="R2202" s="44" t="str">
        <f>VLOOKUP(F2202,'Set up'!$A$2:$E$70,5,FALSE)</f>
        <v>Chq</v>
      </c>
      <c r="S2202" s="1" t="s">
        <v>2246</v>
      </c>
    </row>
    <row r="2203" spans="1:19" ht="15" customHeight="1" x14ac:dyDescent="0.3">
      <c r="A2203" s="4">
        <v>45206</v>
      </c>
      <c r="B2203" s="5">
        <f t="shared" si="536"/>
        <v>10</v>
      </c>
      <c r="C2203" s="5">
        <f t="shared" si="537"/>
        <v>2023</v>
      </c>
      <c r="D2203" s="88" t="s">
        <v>2000</v>
      </c>
      <c r="E2203" s="5" t="str">
        <f>VLOOKUP(F2203,'Set up'!$A$2:$C$70,2,FALSE)</f>
        <v>C00000006</v>
      </c>
      <c r="F2203" s="1" t="s">
        <v>43</v>
      </c>
      <c r="G2203" s="99" t="s">
        <v>44</v>
      </c>
      <c r="H2203" s="5">
        <v>1</v>
      </c>
      <c r="I2203" s="5" t="str">
        <f>VLOOKUP(F2203,'Set up'!$A$2:$C$70,3,FALSE)</f>
        <v>Cash</v>
      </c>
      <c r="J2203" s="5">
        <f>VLOOKUP(F2203,'Set up'!$A$2:$D$70,4,FALSE)</f>
        <v>0</v>
      </c>
      <c r="K2203" s="4">
        <f t="shared" si="538"/>
        <v>45206</v>
      </c>
      <c r="L2203" s="5">
        <f t="shared" si="539"/>
        <v>10</v>
      </c>
      <c r="M2203" s="5">
        <f t="shared" si="540"/>
        <v>2023</v>
      </c>
      <c r="N2203" s="96">
        <v>258</v>
      </c>
      <c r="O2203" s="6">
        <f>-N2203</f>
        <v>-258</v>
      </c>
      <c r="P2203" s="6">
        <f t="shared" si="534"/>
        <v>0</v>
      </c>
      <c r="Q2203" s="7">
        <f t="shared" si="541"/>
        <v>3726895.5500000021</v>
      </c>
      <c r="R2203" s="44" t="str">
        <f>VLOOKUP(F2203,'Set up'!$A$2:$E$70,5,FALSE)</f>
        <v>Chq</v>
      </c>
      <c r="S2203" s="1" t="s">
        <v>2246</v>
      </c>
    </row>
    <row r="2204" spans="1:19" ht="15" customHeight="1" x14ac:dyDescent="0.3">
      <c r="A2204" s="4">
        <v>45211</v>
      </c>
      <c r="B2204" s="5">
        <f t="shared" si="536"/>
        <v>10</v>
      </c>
      <c r="C2204" s="5">
        <f t="shared" si="537"/>
        <v>2023</v>
      </c>
      <c r="D2204" s="88" t="s">
        <v>2001</v>
      </c>
      <c r="E2204" s="5" t="str">
        <f>VLOOKUP(F2204,'Set up'!$A$2:$C$70,2,FALSE)</f>
        <v>C00000020</v>
      </c>
      <c r="F2204" s="1" t="s">
        <v>409</v>
      </c>
      <c r="G2204" s="99" t="s">
        <v>1110</v>
      </c>
      <c r="H2204" s="5">
        <v>2</v>
      </c>
      <c r="I2204" s="5" t="str">
        <f>VLOOKUP(F2204,'Set up'!$A$2:$C$70,3,FALSE)</f>
        <v>Cash</v>
      </c>
      <c r="J2204" s="5">
        <f>VLOOKUP(F2204,'Set up'!$A$2:$D$70,4,FALSE)</f>
        <v>0</v>
      </c>
      <c r="K2204" s="4">
        <f t="shared" si="538"/>
        <v>45211</v>
      </c>
      <c r="L2204" s="5">
        <f t="shared" si="539"/>
        <v>10</v>
      </c>
      <c r="M2204" s="5">
        <f t="shared" si="540"/>
        <v>2023</v>
      </c>
      <c r="N2204" s="96">
        <v>125</v>
      </c>
      <c r="O2204" s="6">
        <f>-N2204</f>
        <v>-125</v>
      </c>
      <c r="P2204" s="6">
        <f t="shared" si="534"/>
        <v>0</v>
      </c>
      <c r="Q2204" s="7">
        <f t="shared" si="541"/>
        <v>3727020.5500000021</v>
      </c>
      <c r="R2204" s="44" t="str">
        <f>VLOOKUP(F2204,'Set up'!$A$2:$E$70,5,FALSE)</f>
        <v>Trsf</v>
      </c>
      <c r="S2204" s="1" t="s">
        <v>2608</v>
      </c>
    </row>
    <row r="2205" spans="1:19" ht="15" customHeight="1" x14ac:dyDescent="0.3">
      <c r="A2205" s="4">
        <v>45211</v>
      </c>
      <c r="B2205" s="5">
        <f t="shared" si="536"/>
        <v>10</v>
      </c>
      <c r="C2205" s="5">
        <f t="shared" si="537"/>
        <v>2023</v>
      </c>
      <c r="D2205" s="88" t="s">
        <v>2001</v>
      </c>
      <c r="E2205" s="5" t="str">
        <f>VLOOKUP(F2205,'Set up'!$A$2:$C$70,2,FALSE)</f>
        <v>C00000020</v>
      </c>
      <c r="F2205" s="1" t="s">
        <v>409</v>
      </c>
      <c r="G2205" s="99" t="s">
        <v>2002</v>
      </c>
      <c r="H2205" s="5">
        <v>1</v>
      </c>
      <c r="I2205" s="5" t="str">
        <f>VLOOKUP(F2205,'Set up'!$A$2:$C$70,3,FALSE)</f>
        <v>Cash</v>
      </c>
      <c r="J2205" s="5">
        <f>VLOOKUP(F2205,'Set up'!$A$2:$D$70,4,FALSE)</f>
        <v>0</v>
      </c>
      <c r="K2205" s="4">
        <f t="shared" si="538"/>
        <v>45211</v>
      </c>
      <c r="L2205" s="5">
        <f t="shared" si="539"/>
        <v>10</v>
      </c>
      <c r="M2205" s="5">
        <f t="shared" si="540"/>
        <v>2023</v>
      </c>
      <c r="N2205" s="96">
        <v>900</v>
      </c>
      <c r="O2205" s="6">
        <f>-N2205</f>
        <v>-900</v>
      </c>
      <c r="P2205" s="6">
        <f t="shared" si="534"/>
        <v>0</v>
      </c>
      <c r="Q2205" s="7">
        <f t="shared" si="541"/>
        <v>3727920.5500000021</v>
      </c>
      <c r="R2205" s="44" t="str">
        <f>VLOOKUP(F2205,'Set up'!$A$2:$E$70,5,FALSE)</f>
        <v>Trsf</v>
      </c>
      <c r="S2205" s="1" t="s">
        <v>2614</v>
      </c>
    </row>
    <row r="2206" spans="1:19" ht="15" customHeight="1" x14ac:dyDescent="0.3">
      <c r="A2206" s="4">
        <v>45209</v>
      </c>
      <c r="B2206" s="5">
        <f t="shared" si="536"/>
        <v>10</v>
      </c>
      <c r="C2206" s="5">
        <f t="shared" si="537"/>
        <v>2023</v>
      </c>
      <c r="D2206" s="88" t="s">
        <v>2003</v>
      </c>
      <c r="E2206" s="5" t="str">
        <f>VLOOKUP(F2206,'Set up'!$A$2:$C$70,2,FALSE)</f>
        <v>C00000022</v>
      </c>
      <c r="F2206" s="1" t="s">
        <v>637</v>
      </c>
      <c r="G2206" s="99" t="s">
        <v>1198</v>
      </c>
      <c r="H2206" s="5">
        <v>1</v>
      </c>
      <c r="I2206" s="5" t="str">
        <f>VLOOKUP(F2206,'Set up'!$A$2:$C$70,3,FALSE)</f>
        <v>Cash</v>
      </c>
      <c r="J2206" s="5">
        <f>VLOOKUP(F2206,'Set up'!$A$2:$D$70,4,FALSE)</f>
        <v>0</v>
      </c>
      <c r="K2206" s="4">
        <f t="shared" si="538"/>
        <v>45209</v>
      </c>
      <c r="L2206" s="5">
        <f t="shared" si="539"/>
        <v>10</v>
      </c>
      <c r="M2206" s="5">
        <f t="shared" si="540"/>
        <v>2023</v>
      </c>
      <c r="N2206" s="96">
        <v>234</v>
      </c>
      <c r="O2206" s="6">
        <f t="shared" ref="O2206:O2207" si="546">-N2206</f>
        <v>-234</v>
      </c>
      <c r="P2206" s="6">
        <f t="shared" si="534"/>
        <v>0</v>
      </c>
      <c r="Q2206" s="7">
        <f t="shared" si="541"/>
        <v>3728154.5500000021</v>
      </c>
      <c r="R2206" s="44" t="str">
        <f>VLOOKUP(F2206,'Set up'!$A$2:$E$70,5,FALSE)</f>
        <v>Trsf</v>
      </c>
      <c r="S2206" s="1" t="s">
        <v>2889</v>
      </c>
    </row>
    <row r="2207" spans="1:19" ht="15" customHeight="1" x14ac:dyDescent="0.3">
      <c r="A2207" s="4">
        <v>45209</v>
      </c>
      <c r="B2207" s="5">
        <f t="shared" si="536"/>
        <v>10</v>
      </c>
      <c r="C2207" s="5">
        <f t="shared" si="537"/>
        <v>2023</v>
      </c>
      <c r="D2207" s="88" t="s">
        <v>2003</v>
      </c>
      <c r="E2207" s="5" t="str">
        <f>VLOOKUP(F2207,'Set up'!$A$2:$C$70,2,FALSE)</f>
        <v>C00000022</v>
      </c>
      <c r="F2207" s="1" t="s">
        <v>637</v>
      </c>
      <c r="G2207" s="99" t="s">
        <v>566</v>
      </c>
      <c r="H2207" s="5">
        <v>1</v>
      </c>
      <c r="I2207" s="5" t="str">
        <f>VLOOKUP(F2207,'Set up'!$A$2:$C$70,3,FALSE)</f>
        <v>Cash</v>
      </c>
      <c r="J2207" s="5">
        <f>VLOOKUP(F2207,'Set up'!$A$2:$D$70,4,FALSE)</f>
        <v>0</v>
      </c>
      <c r="K2207" s="4">
        <f t="shared" si="538"/>
        <v>45209</v>
      </c>
      <c r="L2207" s="5">
        <f t="shared" si="539"/>
        <v>10</v>
      </c>
      <c r="M2207" s="5">
        <f t="shared" si="540"/>
        <v>2023</v>
      </c>
      <c r="N2207" s="96">
        <v>110</v>
      </c>
      <c r="O2207" s="6">
        <f t="shared" si="546"/>
        <v>-110</v>
      </c>
      <c r="P2207" s="6">
        <f t="shared" si="534"/>
        <v>0</v>
      </c>
      <c r="Q2207" s="7">
        <f t="shared" si="541"/>
        <v>3728264.5500000021</v>
      </c>
      <c r="R2207" s="44" t="str">
        <f>VLOOKUP(F2207,'Set up'!$A$2:$E$70,5,FALSE)</f>
        <v>Trsf</v>
      </c>
      <c r="S2207" s="1" t="s">
        <v>2890</v>
      </c>
    </row>
    <row r="2208" spans="1:19" ht="15" customHeight="1" x14ac:dyDescent="0.3">
      <c r="A2208" s="4" t="s">
        <v>2004</v>
      </c>
      <c r="B2208" s="5">
        <f t="shared" si="536"/>
        <v>10</v>
      </c>
      <c r="C2208" s="5">
        <f t="shared" si="537"/>
        <v>2023</v>
      </c>
      <c r="D2208" s="88" t="s">
        <v>2005</v>
      </c>
      <c r="E2208" s="5" t="str">
        <f>VLOOKUP(F2208,'Set up'!$A$2:$C$70,2,FALSE)</f>
        <v>C00000014</v>
      </c>
      <c r="F2208" s="1" t="s">
        <v>262</v>
      </c>
      <c r="G2208" s="99" t="s">
        <v>303</v>
      </c>
      <c r="H2208" s="5">
        <v>1</v>
      </c>
      <c r="I2208" s="5" t="str">
        <f>VLOOKUP(F2208,'Set up'!$A$2:$C$70,3,FALSE)</f>
        <v>Cash</v>
      </c>
      <c r="J2208" s="5">
        <f>VLOOKUP(F2208,'Set up'!$A$2:$D$70,4,FALSE)</f>
        <v>0</v>
      </c>
      <c r="K2208" s="4">
        <f t="shared" si="538"/>
        <v>45210</v>
      </c>
      <c r="L2208" s="5">
        <f t="shared" si="539"/>
        <v>10</v>
      </c>
      <c r="M2208" s="5">
        <f t="shared" si="540"/>
        <v>2023</v>
      </c>
      <c r="N2208" s="96">
        <v>1694</v>
      </c>
      <c r="O2208" s="6">
        <f t="shared" ref="O2208:O2212" si="547">-N2208</f>
        <v>-1694</v>
      </c>
      <c r="P2208" s="6">
        <f t="shared" si="534"/>
        <v>0</v>
      </c>
      <c r="Q2208" s="7">
        <f t="shared" si="541"/>
        <v>3729958.5500000021</v>
      </c>
      <c r="R2208" s="44" t="str">
        <f>VLOOKUP(F2208,'Set up'!$A$2:$E$70,5,FALSE)</f>
        <v>Cash</v>
      </c>
      <c r="S2208" s="1" t="s">
        <v>2118</v>
      </c>
    </row>
    <row r="2209" spans="1:19" ht="15" customHeight="1" x14ac:dyDescent="0.3">
      <c r="A2209" s="4" t="s">
        <v>2004</v>
      </c>
      <c r="B2209" s="5">
        <f t="shared" si="536"/>
        <v>10</v>
      </c>
      <c r="C2209" s="5">
        <f t="shared" si="537"/>
        <v>2023</v>
      </c>
      <c r="D2209" s="88" t="s">
        <v>2005</v>
      </c>
      <c r="E2209" s="5" t="str">
        <f>VLOOKUP(F2209,'Set up'!$A$2:$C$70,2,FALSE)</f>
        <v>C00000014</v>
      </c>
      <c r="F2209" s="1" t="s">
        <v>262</v>
      </c>
      <c r="G2209" s="99" t="s">
        <v>988</v>
      </c>
      <c r="H2209" s="5">
        <v>3</v>
      </c>
      <c r="I2209" s="5" t="str">
        <f>VLOOKUP(F2209,'Set up'!$A$2:$C$70,3,FALSE)</f>
        <v>Cash</v>
      </c>
      <c r="J2209" s="5">
        <f>VLOOKUP(F2209,'Set up'!$A$2:$D$70,4,FALSE)</f>
        <v>0</v>
      </c>
      <c r="K2209" s="4">
        <f t="shared" si="538"/>
        <v>45210</v>
      </c>
      <c r="L2209" s="5">
        <f t="shared" si="539"/>
        <v>10</v>
      </c>
      <c r="M2209" s="5">
        <f t="shared" si="540"/>
        <v>2023</v>
      </c>
      <c r="N2209" s="96">
        <v>702</v>
      </c>
      <c r="O2209" s="6">
        <f t="shared" si="547"/>
        <v>-702</v>
      </c>
      <c r="P2209" s="6">
        <f t="shared" si="534"/>
        <v>0</v>
      </c>
      <c r="Q2209" s="7">
        <f t="shared" si="541"/>
        <v>3730660.5500000021</v>
      </c>
      <c r="R2209" s="44" t="str">
        <f>VLOOKUP(F2209,'Set up'!$A$2:$E$70,5,FALSE)</f>
        <v>Cash</v>
      </c>
      <c r="S2209" s="1" t="s">
        <v>2118</v>
      </c>
    </row>
    <row r="2210" spans="1:19" ht="15" customHeight="1" x14ac:dyDescent="0.3">
      <c r="A2210" s="4" t="s">
        <v>2004</v>
      </c>
      <c r="B2210" s="5">
        <f t="shared" si="536"/>
        <v>10</v>
      </c>
      <c r="C2210" s="5">
        <f t="shared" si="537"/>
        <v>2023</v>
      </c>
      <c r="D2210" s="88" t="s">
        <v>2005</v>
      </c>
      <c r="E2210" s="5" t="str">
        <f>VLOOKUP(F2210,'Set up'!$A$2:$C$70,2,FALSE)</f>
        <v>C00000014</v>
      </c>
      <c r="F2210" s="1" t="s">
        <v>262</v>
      </c>
      <c r="G2210" s="99" t="s">
        <v>44</v>
      </c>
      <c r="H2210" s="5">
        <v>1</v>
      </c>
      <c r="I2210" s="5" t="str">
        <f>VLOOKUP(F2210,'Set up'!$A$2:$C$70,3,FALSE)</f>
        <v>Cash</v>
      </c>
      <c r="J2210" s="5">
        <f>VLOOKUP(F2210,'Set up'!$A$2:$D$70,4,FALSE)</f>
        <v>0</v>
      </c>
      <c r="K2210" s="4">
        <f t="shared" si="538"/>
        <v>45210</v>
      </c>
      <c r="L2210" s="5">
        <f t="shared" si="539"/>
        <v>10</v>
      </c>
      <c r="M2210" s="5">
        <f t="shared" si="540"/>
        <v>2023</v>
      </c>
      <c r="N2210" s="96">
        <v>258</v>
      </c>
      <c r="O2210" s="6">
        <f t="shared" si="547"/>
        <v>-258</v>
      </c>
      <c r="P2210" s="6">
        <f t="shared" si="534"/>
        <v>0</v>
      </c>
      <c r="Q2210" s="7">
        <f t="shared" si="541"/>
        <v>3730918.5500000021</v>
      </c>
      <c r="R2210" s="44" t="str">
        <f>VLOOKUP(F2210,'Set up'!$A$2:$E$70,5,FALSE)</f>
        <v>Cash</v>
      </c>
      <c r="S2210" s="1" t="s">
        <v>2118</v>
      </c>
    </row>
    <row r="2211" spans="1:19" ht="15" customHeight="1" x14ac:dyDescent="0.3">
      <c r="A2211" s="4" t="s">
        <v>2004</v>
      </c>
      <c r="B2211" s="5">
        <f t="shared" si="536"/>
        <v>10</v>
      </c>
      <c r="C2211" s="5">
        <f t="shared" si="537"/>
        <v>2023</v>
      </c>
      <c r="D2211" s="88" t="s">
        <v>2005</v>
      </c>
      <c r="E2211" s="5" t="str">
        <f>VLOOKUP(F2211,'Set up'!$A$2:$C$70,2,FALSE)</f>
        <v>C00000014</v>
      </c>
      <c r="F2211" s="1" t="s">
        <v>262</v>
      </c>
      <c r="G2211" s="99" t="s">
        <v>17</v>
      </c>
      <c r="H2211" s="5">
        <v>1</v>
      </c>
      <c r="I2211" s="5" t="str">
        <f>VLOOKUP(F2211,'Set up'!$A$2:$C$70,3,FALSE)</f>
        <v>Cash</v>
      </c>
      <c r="J2211" s="5">
        <f>VLOOKUP(F2211,'Set up'!$A$2:$D$70,4,FALSE)</f>
        <v>0</v>
      </c>
      <c r="K2211" s="4">
        <f t="shared" si="538"/>
        <v>45210</v>
      </c>
      <c r="L2211" s="5">
        <f t="shared" si="539"/>
        <v>10</v>
      </c>
      <c r="M2211" s="5">
        <f t="shared" si="540"/>
        <v>2023</v>
      </c>
      <c r="N2211" s="96">
        <v>105</v>
      </c>
      <c r="O2211" s="6">
        <f t="shared" si="547"/>
        <v>-105</v>
      </c>
      <c r="P2211" s="6">
        <f t="shared" si="534"/>
        <v>0</v>
      </c>
      <c r="Q2211" s="7">
        <f t="shared" si="541"/>
        <v>3731023.5500000021</v>
      </c>
      <c r="R2211" s="44" t="str">
        <f>VLOOKUP(F2211,'Set up'!$A$2:$E$70,5,FALSE)</f>
        <v>Cash</v>
      </c>
      <c r="S2211" s="1" t="s">
        <v>2118</v>
      </c>
    </row>
    <row r="2212" spans="1:19" ht="15" customHeight="1" x14ac:dyDescent="0.3">
      <c r="A2212" s="4" t="s">
        <v>2004</v>
      </c>
      <c r="B2212" s="5">
        <f t="shared" si="536"/>
        <v>10</v>
      </c>
      <c r="C2212" s="5">
        <f t="shared" si="537"/>
        <v>2023</v>
      </c>
      <c r="D2212" s="88" t="s">
        <v>2005</v>
      </c>
      <c r="E2212" s="5" t="str">
        <f>VLOOKUP(F2212,'Set up'!$A$2:$C$70,2,FALSE)</f>
        <v>C00000014</v>
      </c>
      <c r="F2212" s="1" t="s">
        <v>262</v>
      </c>
      <c r="G2212" s="99" t="s">
        <v>949</v>
      </c>
      <c r="H2212" s="5">
        <v>3</v>
      </c>
      <c r="I2212" s="5" t="str">
        <f>VLOOKUP(F2212,'Set up'!$A$2:$C$70,3,FALSE)</f>
        <v>Cash</v>
      </c>
      <c r="J2212" s="5">
        <f>VLOOKUP(F2212,'Set up'!$A$2:$D$70,4,FALSE)</f>
        <v>0</v>
      </c>
      <c r="K2212" s="4">
        <f t="shared" si="538"/>
        <v>45210</v>
      </c>
      <c r="L2212" s="5">
        <f t="shared" si="539"/>
        <v>10</v>
      </c>
      <c r="M2212" s="5">
        <f t="shared" si="540"/>
        <v>2023</v>
      </c>
      <c r="N2212" s="96">
        <v>150</v>
      </c>
      <c r="O2212" s="6">
        <f t="shared" si="547"/>
        <v>-150</v>
      </c>
      <c r="P2212" s="6">
        <f t="shared" si="534"/>
        <v>0</v>
      </c>
      <c r="Q2212" s="7">
        <f t="shared" si="541"/>
        <v>3731173.5500000021</v>
      </c>
      <c r="R2212" s="44" t="str">
        <f>VLOOKUP(F2212,'Set up'!$A$2:$E$70,5,FALSE)</f>
        <v>Cash</v>
      </c>
      <c r="S2212" s="1" t="s">
        <v>2118</v>
      </c>
    </row>
    <row r="2213" spans="1:19" ht="15" customHeight="1" x14ac:dyDescent="0.3">
      <c r="A2213" s="4" t="s">
        <v>2004</v>
      </c>
      <c r="B2213" s="5">
        <f t="shared" si="536"/>
        <v>10</v>
      </c>
      <c r="C2213" s="5">
        <f t="shared" si="537"/>
        <v>2023</v>
      </c>
      <c r="D2213" s="88" t="s">
        <v>2007</v>
      </c>
      <c r="E2213" s="5" t="str">
        <f>VLOOKUP(F2213,'Set up'!$A$2:$C$70,2,FALSE)</f>
        <v>C00000034</v>
      </c>
      <c r="F2213" s="1" t="s">
        <v>1196</v>
      </c>
      <c r="G2213" s="99" t="s">
        <v>2006</v>
      </c>
      <c r="H2213" s="5">
        <v>1</v>
      </c>
      <c r="I2213" s="5" t="str">
        <f>VLOOKUP(F2213,'Set up'!$A$2:$C$70,3,FALSE)</f>
        <v>Cash</v>
      </c>
      <c r="J2213" s="5">
        <f>VLOOKUP(F2213,'Set up'!$A$2:$D$70,4,FALSE)</f>
        <v>0</v>
      </c>
      <c r="K2213" s="4">
        <f t="shared" si="538"/>
        <v>45210</v>
      </c>
      <c r="L2213" s="5">
        <f t="shared" si="539"/>
        <v>10</v>
      </c>
      <c r="M2213" s="5">
        <f t="shared" si="540"/>
        <v>2023</v>
      </c>
      <c r="N2213" s="96">
        <v>1732.5</v>
      </c>
      <c r="O2213" s="6">
        <f>-241.7-1000-490.8</f>
        <v>-1732.5</v>
      </c>
      <c r="P2213" s="6">
        <f t="shared" si="534"/>
        <v>0</v>
      </c>
      <c r="Q2213" s="7">
        <f t="shared" si="541"/>
        <v>3732906.0500000021</v>
      </c>
      <c r="R2213" s="44" t="str">
        <f>VLOOKUP(F2213,'Set up'!$A$2:$E$70,5,FALSE)</f>
        <v>Trsf</v>
      </c>
      <c r="S2213" s="1" t="s">
        <v>2628</v>
      </c>
    </row>
    <row r="2214" spans="1:19" ht="15" customHeight="1" x14ac:dyDescent="0.3">
      <c r="A2214" s="4" t="s">
        <v>2004</v>
      </c>
      <c r="B2214" s="5">
        <f t="shared" si="536"/>
        <v>10</v>
      </c>
      <c r="C2214" s="5">
        <f t="shared" si="537"/>
        <v>2023</v>
      </c>
      <c r="D2214" s="88" t="s">
        <v>2007</v>
      </c>
      <c r="E2214" s="5" t="str">
        <f>VLOOKUP(F2214,'Set up'!$A$2:$C$70,2,FALSE)</f>
        <v>C00000034</v>
      </c>
      <c r="F2214" s="1" t="s">
        <v>1196</v>
      </c>
      <c r="G2214" s="99" t="s">
        <v>1110</v>
      </c>
      <c r="H2214" s="5">
        <v>5</v>
      </c>
      <c r="I2214" s="5" t="str">
        <f>VLOOKUP(F2214,'Set up'!$A$2:$C$70,3,FALSE)</f>
        <v>Cash</v>
      </c>
      <c r="J2214" s="5">
        <f>VLOOKUP(F2214,'Set up'!$A$2:$D$70,4,FALSE)</f>
        <v>0</v>
      </c>
      <c r="K2214" s="4">
        <f t="shared" si="538"/>
        <v>45210</v>
      </c>
      <c r="L2214" s="5">
        <f t="shared" si="539"/>
        <v>10</v>
      </c>
      <c r="M2214" s="5">
        <f t="shared" si="540"/>
        <v>2023</v>
      </c>
      <c r="N2214" s="96">
        <v>312.5</v>
      </c>
      <c r="O2214" s="6">
        <f t="shared" ref="O2214" si="548">-N2214</f>
        <v>-312.5</v>
      </c>
      <c r="P2214" s="6">
        <f t="shared" si="534"/>
        <v>0</v>
      </c>
      <c r="Q2214" s="7">
        <f t="shared" si="541"/>
        <v>3733218.5500000021</v>
      </c>
      <c r="R2214" s="44" t="str">
        <f>VLOOKUP(F2214,'Set up'!$A$2:$E$70,5,FALSE)</f>
        <v>Trsf</v>
      </c>
      <c r="S2214" s="1" t="s">
        <v>2629</v>
      </c>
    </row>
    <row r="2215" spans="1:19" ht="15" customHeight="1" x14ac:dyDescent="0.3">
      <c r="A2215" s="4" t="s">
        <v>2009</v>
      </c>
      <c r="B2215" s="5">
        <f t="shared" si="536"/>
        <v>10</v>
      </c>
      <c r="C2215" s="5">
        <f t="shared" si="537"/>
        <v>2023</v>
      </c>
      <c r="D2215" s="88" t="s">
        <v>2008</v>
      </c>
      <c r="E2215" s="5" t="str">
        <f>VLOOKUP(F2215,'Set up'!$A$2:$C$70,2,FALSE)</f>
        <v>C00000009</v>
      </c>
      <c r="F2215" s="1" t="s">
        <v>58</v>
      </c>
      <c r="G2215" s="99" t="s">
        <v>707</v>
      </c>
      <c r="H2215" s="5">
        <v>2</v>
      </c>
      <c r="I2215" s="5">
        <f>VLOOKUP(F2215,'Set up'!$A$2:$C$70,3,FALSE)</f>
        <v>60</v>
      </c>
      <c r="J2215" s="5">
        <f>VLOOKUP(F2215,'Set up'!$A$2:$D$70,4,FALSE)</f>
        <v>60</v>
      </c>
      <c r="K2215" s="4">
        <f t="shared" si="538"/>
        <v>45273</v>
      </c>
      <c r="L2215" s="5">
        <f t="shared" si="539"/>
        <v>12</v>
      </c>
      <c r="M2215" s="5">
        <f t="shared" si="540"/>
        <v>2023</v>
      </c>
      <c r="N2215" s="96">
        <v>594</v>
      </c>
      <c r="O2215" s="6">
        <f t="shared" ref="O2215:O2217" si="549">-N2215</f>
        <v>-594</v>
      </c>
      <c r="P2215" s="6">
        <f t="shared" si="534"/>
        <v>0</v>
      </c>
      <c r="Q2215" s="7">
        <f t="shared" si="541"/>
        <v>3733812.5500000021</v>
      </c>
      <c r="R2215" s="44" t="str">
        <f>VLOOKUP(F2215,'Set up'!$A$2:$E$70,5,FALSE)</f>
        <v>Chq</v>
      </c>
      <c r="S2215" s="1" t="s">
        <v>2418</v>
      </c>
    </row>
    <row r="2216" spans="1:19" ht="15" customHeight="1" x14ac:dyDescent="0.3">
      <c r="A2216" s="4" t="s">
        <v>2009</v>
      </c>
      <c r="B2216" s="5">
        <f t="shared" si="536"/>
        <v>10</v>
      </c>
      <c r="C2216" s="5">
        <f t="shared" si="537"/>
        <v>2023</v>
      </c>
      <c r="D2216" s="88" t="s">
        <v>2008</v>
      </c>
      <c r="E2216" s="5" t="str">
        <f>VLOOKUP(F2216,'Set up'!$A$2:$C$70,2,FALSE)</f>
        <v>C00000009</v>
      </c>
      <c r="F2216" s="1" t="s">
        <v>58</v>
      </c>
      <c r="G2216" s="99" t="s">
        <v>1007</v>
      </c>
      <c r="H2216" s="5">
        <v>2</v>
      </c>
      <c r="I2216" s="5">
        <f>VLOOKUP(F2216,'Set up'!$A$2:$C$70,3,FALSE)</f>
        <v>60</v>
      </c>
      <c r="J2216" s="5">
        <f>VLOOKUP(F2216,'Set up'!$A$2:$D$70,4,FALSE)</f>
        <v>60</v>
      </c>
      <c r="K2216" s="4">
        <f t="shared" si="538"/>
        <v>45273</v>
      </c>
      <c r="L2216" s="5">
        <f t="shared" si="539"/>
        <v>12</v>
      </c>
      <c r="M2216" s="5">
        <f t="shared" si="540"/>
        <v>2023</v>
      </c>
      <c r="N2216" s="96">
        <v>594</v>
      </c>
      <c r="O2216" s="6">
        <f t="shared" si="549"/>
        <v>-594</v>
      </c>
      <c r="P2216" s="6">
        <f t="shared" si="534"/>
        <v>0</v>
      </c>
      <c r="Q2216" s="7">
        <f t="shared" si="541"/>
        <v>3734406.5500000021</v>
      </c>
      <c r="R2216" s="44" t="str">
        <f>VLOOKUP(F2216,'Set up'!$A$2:$E$70,5,FALSE)</f>
        <v>Chq</v>
      </c>
      <c r="S2216" s="1" t="s">
        <v>2418</v>
      </c>
    </row>
    <row r="2217" spans="1:19" ht="15" customHeight="1" x14ac:dyDescent="0.3">
      <c r="A2217" s="4" t="s">
        <v>2009</v>
      </c>
      <c r="B2217" s="5">
        <f t="shared" si="536"/>
        <v>10</v>
      </c>
      <c r="C2217" s="5">
        <f t="shared" si="537"/>
        <v>2023</v>
      </c>
      <c r="D2217" s="88" t="s">
        <v>2008</v>
      </c>
      <c r="E2217" s="5" t="str">
        <f>VLOOKUP(F2217,'Set up'!$A$2:$C$70,2,FALSE)</f>
        <v>C00000009</v>
      </c>
      <c r="F2217" s="1" t="s">
        <v>58</v>
      </c>
      <c r="G2217" s="99" t="s">
        <v>46</v>
      </c>
      <c r="H2217" s="5">
        <v>4</v>
      </c>
      <c r="I2217" s="5">
        <f>VLOOKUP(F2217,'Set up'!$A$2:$C$70,3,FALSE)</f>
        <v>60</v>
      </c>
      <c r="J2217" s="5">
        <f>VLOOKUP(F2217,'Set up'!$A$2:$D$70,4,FALSE)</f>
        <v>60</v>
      </c>
      <c r="K2217" s="4">
        <f t="shared" si="538"/>
        <v>45273</v>
      </c>
      <c r="L2217" s="5">
        <f t="shared" si="539"/>
        <v>12</v>
      </c>
      <c r="M2217" s="5">
        <f t="shared" si="540"/>
        <v>2023</v>
      </c>
      <c r="N2217" s="96">
        <v>440</v>
      </c>
      <c r="O2217" s="6">
        <f t="shared" si="549"/>
        <v>-440</v>
      </c>
      <c r="P2217" s="6">
        <f t="shared" si="534"/>
        <v>0</v>
      </c>
      <c r="Q2217" s="7">
        <f t="shared" si="541"/>
        <v>3734846.5500000021</v>
      </c>
      <c r="R2217" s="44" t="str">
        <f>VLOOKUP(F2217,'Set up'!$A$2:$E$70,5,FALSE)</f>
        <v>Chq</v>
      </c>
      <c r="S2217" s="1" t="s">
        <v>2418</v>
      </c>
    </row>
    <row r="2218" spans="1:19" ht="15" customHeight="1" x14ac:dyDescent="0.3">
      <c r="A2218" s="4" t="s">
        <v>2009</v>
      </c>
      <c r="B2218" s="5">
        <f t="shared" si="536"/>
        <v>10</v>
      </c>
      <c r="C2218" s="5">
        <f t="shared" si="537"/>
        <v>2023</v>
      </c>
      <c r="D2218" s="88" t="s">
        <v>2010</v>
      </c>
      <c r="E2218" s="5" t="str">
        <f>VLOOKUP(F2218,'Set up'!$A$2:$C$70,2,FALSE)</f>
        <v>C00000019</v>
      </c>
      <c r="F2218" s="1" t="s">
        <v>400</v>
      </c>
      <c r="G2218" s="99" t="s">
        <v>95</v>
      </c>
      <c r="H2218" s="5">
        <v>1</v>
      </c>
      <c r="I2218" s="5" t="str">
        <f>VLOOKUP(F2218,'Set up'!$A$2:$C$70,3,FALSE)</f>
        <v>Cash</v>
      </c>
      <c r="J2218" s="5">
        <f>VLOOKUP(F2218,'Set up'!$A$2:$D$70,4,FALSE)</f>
        <v>0</v>
      </c>
      <c r="K2218" s="4">
        <f t="shared" si="538"/>
        <v>45213</v>
      </c>
      <c r="L2218" s="5">
        <f t="shared" si="539"/>
        <v>10</v>
      </c>
      <c r="M2218" s="5">
        <f t="shared" si="540"/>
        <v>2023</v>
      </c>
      <c r="N2218" s="96">
        <v>1738</v>
      </c>
      <c r="O2218" s="6">
        <f>-791.1-946.9</f>
        <v>-1738</v>
      </c>
      <c r="P2218" s="6">
        <f t="shared" si="534"/>
        <v>0</v>
      </c>
      <c r="Q2218" s="7">
        <f t="shared" si="541"/>
        <v>3736584.5500000021</v>
      </c>
      <c r="R2218" s="44" t="str">
        <f>VLOOKUP(F2218,'Set up'!$A$2:$E$70,5,FALSE)</f>
        <v>Trsf</v>
      </c>
      <c r="S2218" s="1" t="s">
        <v>2934</v>
      </c>
    </row>
    <row r="2219" spans="1:19" ht="15" customHeight="1" x14ac:dyDescent="0.3">
      <c r="A2219" s="4" t="s">
        <v>2009</v>
      </c>
      <c r="B2219" s="5">
        <f t="shared" si="536"/>
        <v>10</v>
      </c>
      <c r="C2219" s="5">
        <f t="shared" si="537"/>
        <v>2023</v>
      </c>
      <c r="D2219" s="88" t="s">
        <v>2011</v>
      </c>
      <c r="E2219" s="5" t="str">
        <f>VLOOKUP(F2219,'Set up'!$A$2:$C$70,2,FALSE)</f>
        <v>C00000022</v>
      </c>
      <c r="F2219" s="1" t="s">
        <v>637</v>
      </c>
      <c r="G2219" s="99" t="s">
        <v>95</v>
      </c>
      <c r="H2219" s="5">
        <v>1</v>
      </c>
      <c r="I2219" s="5" t="str">
        <f>VLOOKUP(F2219,'Set up'!$A$2:$C$70,3,FALSE)</f>
        <v>Cash</v>
      </c>
      <c r="J2219" s="5">
        <f>VLOOKUP(F2219,'Set up'!$A$2:$D$70,4,FALSE)</f>
        <v>0</v>
      </c>
      <c r="K2219" s="4">
        <f t="shared" si="538"/>
        <v>45213</v>
      </c>
      <c r="L2219" s="5">
        <f t="shared" si="539"/>
        <v>10</v>
      </c>
      <c r="M2219" s="5">
        <f t="shared" si="540"/>
        <v>2023</v>
      </c>
      <c r="N2219" s="96">
        <v>1738</v>
      </c>
      <c r="O2219" s="6">
        <f>-241.8-1496.2</f>
        <v>-1738</v>
      </c>
      <c r="P2219" s="6">
        <f t="shared" si="534"/>
        <v>0</v>
      </c>
      <c r="Q2219" s="7">
        <f t="shared" si="541"/>
        <v>3738322.5500000021</v>
      </c>
      <c r="R2219" s="44" t="str">
        <f>VLOOKUP(F2219,'Set up'!$A$2:$E$70,5,FALSE)</f>
        <v>Trsf</v>
      </c>
      <c r="S2219" s="1" t="s">
        <v>2990</v>
      </c>
    </row>
    <row r="2220" spans="1:19" ht="15" customHeight="1" x14ac:dyDescent="0.3">
      <c r="A2220" s="4">
        <v>45216</v>
      </c>
      <c r="B2220" s="5">
        <f t="shared" si="536"/>
        <v>10</v>
      </c>
      <c r="C2220" s="5">
        <f t="shared" si="537"/>
        <v>2023</v>
      </c>
      <c r="D2220" s="88" t="s">
        <v>2013</v>
      </c>
      <c r="E2220" s="5" t="str">
        <f>VLOOKUP(F2220,'Set up'!$A$2:$C$70,2,FALSE)</f>
        <v>C00000042</v>
      </c>
      <c r="F2220" s="1" t="s">
        <v>2012</v>
      </c>
      <c r="G2220" s="99" t="s">
        <v>1110</v>
      </c>
      <c r="H2220" s="5">
        <v>5</v>
      </c>
      <c r="I2220" s="5" t="str">
        <f>VLOOKUP(F2220,'Set up'!$A$2:$C$70,3,FALSE)</f>
        <v>Cash</v>
      </c>
      <c r="J2220" s="5">
        <f>VLOOKUP(F2220,'Set up'!$A$2:$D$70,4,FALSE)</f>
        <v>0</v>
      </c>
      <c r="K2220" s="4">
        <f t="shared" si="538"/>
        <v>45216</v>
      </c>
      <c r="L2220" s="5">
        <f t="shared" si="539"/>
        <v>10</v>
      </c>
      <c r="M2220" s="5">
        <f t="shared" si="540"/>
        <v>2023</v>
      </c>
      <c r="N2220" s="96">
        <v>312.5</v>
      </c>
      <c r="O2220" s="6">
        <f>-N2220</f>
        <v>-312.5</v>
      </c>
      <c r="P2220" s="6">
        <f t="shared" si="534"/>
        <v>0</v>
      </c>
      <c r="Q2220" s="7">
        <f t="shared" si="541"/>
        <v>3738635.0500000021</v>
      </c>
      <c r="R2220" s="44" t="str">
        <f>VLOOKUP(F2220,'Set up'!$A$2:$E$70,5,FALSE)</f>
        <v>Trsf</v>
      </c>
      <c r="S2220" s="1" t="s">
        <v>2615</v>
      </c>
    </row>
    <row r="2221" spans="1:19" ht="15" customHeight="1" x14ac:dyDescent="0.3">
      <c r="A2221" s="4">
        <v>45216</v>
      </c>
      <c r="B2221" s="5">
        <f t="shared" si="536"/>
        <v>10</v>
      </c>
      <c r="C2221" s="5">
        <f t="shared" si="537"/>
        <v>2023</v>
      </c>
      <c r="D2221" s="88" t="s">
        <v>2014</v>
      </c>
      <c r="E2221" s="5" t="str">
        <f>VLOOKUP(F2221,'Set up'!$A$2:$C$70,2,FALSE)</f>
        <v>C00000042</v>
      </c>
      <c r="F2221" s="1" t="s">
        <v>2012</v>
      </c>
      <c r="G2221" s="99" t="s">
        <v>1733</v>
      </c>
      <c r="H2221" s="5">
        <v>5</v>
      </c>
      <c r="I2221" s="5" t="str">
        <f>VLOOKUP(F2221,'Set up'!$A$2:$C$70,3,FALSE)</f>
        <v>Cash</v>
      </c>
      <c r="J2221" s="5">
        <f>VLOOKUP(F2221,'Set up'!$A$2:$D$70,4,FALSE)</f>
        <v>0</v>
      </c>
      <c r="K2221" s="4">
        <f t="shared" si="538"/>
        <v>45216</v>
      </c>
      <c r="L2221" s="5">
        <f t="shared" si="539"/>
        <v>10</v>
      </c>
      <c r="M2221" s="5">
        <f t="shared" si="540"/>
        <v>2023</v>
      </c>
      <c r="N2221" s="96">
        <v>8140</v>
      </c>
      <c r="O2221" s="6">
        <f>-1340.2-6799.8</f>
        <v>-8140</v>
      </c>
      <c r="P2221" s="6">
        <f t="shared" si="534"/>
        <v>0</v>
      </c>
      <c r="Q2221" s="7">
        <f t="shared" si="541"/>
        <v>3746775.0500000021</v>
      </c>
      <c r="R2221" s="44" t="str">
        <f>VLOOKUP(F2221,'Set up'!$A$2:$E$70,5,FALSE)</f>
        <v>Trsf</v>
      </c>
      <c r="S2221" s="1" t="s">
        <v>2616</v>
      </c>
    </row>
    <row r="2222" spans="1:19" ht="15" customHeight="1" x14ac:dyDescent="0.3">
      <c r="A2222" s="4">
        <v>45216</v>
      </c>
      <c r="B2222" s="5">
        <f t="shared" si="536"/>
        <v>10</v>
      </c>
      <c r="C2222" s="5">
        <f t="shared" si="537"/>
        <v>2023</v>
      </c>
      <c r="D2222" s="88" t="s">
        <v>2014</v>
      </c>
      <c r="E2222" s="5" t="str">
        <f>VLOOKUP(F2222,'Set up'!$A$2:$C$70,2,FALSE)</f>
        <v>C00000042</v>
      </c>
      <c r="F2222" s="1" t="s">
        <v>2012</v>
      </c>
      <c r="G2222" s="99" t="s">
        <v>913</v>
      </c>
      <c r="H2222" s="5">
        <v>15</v>
      </c>
      <c r="I2222" s="5" t="str">
        <f>VLOOKUP(F2222,'Set up'!$A$2:$C$70,3,FALSE)</f>
        <v>Cash</v>
      </c>
      <c r="J2222" s="5">
        <f>VLOOKUP(F2222,'Set up'!$A$2:$D$70,4,FALSE)</f>
        <v>0</v>
      </c>
      <c r="K2222" s="4">
        <f t="shared" si="538"/>
        <v>45216</v>
      </c>
      <c r="L2222" s="5">
        <f t="shared" si="539"/>
        <v>10</v>
      </c>
      <c r="M2222" s="5">
        <f t="shared" si="540"/>
        <v>2023</v>
      </c>
      <c r="N2222" s="96">
        <v>2700</v>
      </c>
      <c r="O2222" s="6">
        <f>-N2222</f>
        <v>-2700</v>
      </c>
      <c r="P2222" s="6">
        <f t="shared" si="534"/>
        <v>0</v>
      </c>
      <c r="Q2222" s="7">
        <f t="shared" si="541"/>
        <v>3749475.0500000021</v>
      </c>
      <c r="R2222" s="44" t="str">
        <f>VLOOKUP(F2222,'Set up'!$A$2:$E$70,5,FALSE)</f>
        <v>Trsf</v>
      </c>
      <c r="S2222" s="1" t="s">
        <v>2617</v>
      </c>
    </row>
    <row r="2223" spans="1:19" ht="15" customHeight="1" x14ac:dyDescent="0.3">
      <c r="A2223" s="4">
        <v>45216</v>
      </c>
      <c r="B2223" s="5">
        <f t="shared" si="536"/>
        <v>10</v>
      </c>
      <c r="C2223" s="5">
        <f t="shared" si="537"/>
        <v>2023</v>
      </c>
      <c r="D2223" s="88" t="s">
        <v>2014</v>
      </c>
      <c r="E2223" s="5" t="str">
        <f>VLOOKUP(F2223,'Set up'!$A$2:$C$70,2,FALSE)</f>
        <v>C00000042</v>
      </c>
      <c r="F2223" s="1" t="s">
        <v>2012</v>
      </c>
      <c r="G2223" s="99" t="s">
        <v>1922</v>
      </c>
      <c r="H2223" s="5">
        <v>7</v>
      </c>
      <c r="I2223" s="5" t="str">
        <f>VLOOKUP(F2223,'Set up'!$A$2:$C$70,3,FALSE)</f>
        <v>Cash</v>
      </c>
      <c r="J2223" s="5">
        <f>VLOOKUP(F2223,'Set up'!$A$2:$D$70,4,FALSE)</f>
        <v>0</v>
      </c>
      <c r="K2223" s="4">
        <f t="shared" si="538"/>
        <v>45216</v>
      </c>
      <c r="L2223" s="5">
        <f t="shared" si="539"/>
        <v>10</v>
      </c>
      <c r="M2223" s="5">
        <f t="shared" si="540"/>
        <v>2023</v>
      </c>
      <c r="N2223" s="96">
        <v>1638</v>
      </c>
      <c r="O2223" s="6">
        <f>-N2223</f>
        <v>-1638</v>
      </c>
      <c r="P2223" s="6">
        <f t="shared" si="534"/>
        <v>0</v>
      </c>
      <c r="Q2223" s="7">
        <f t="shared" si="541"/>
        <v>3751113.0500000021</v>
      </c>
      <c r="R2223" s="44" t="str">
        <f>VLOOKUP(F2223,'Set up'!$A$2:$E$70,5,FALSE)</f>
        <v>Trsf</v>
      </c>
      <c r="S2223" s="1" t="s">
        <v>2618</v>
      </c>
    </row>
    <row r="2224" spans="1:19" ht="15" customHeight="1" x14ac:dyDescent="0.3">
      <c r="A2224" s="4">
        <v>45216</v>
      </c>
      <c r="B2224" s="5">
        <f t="shared" si="536"/>
        <v>10</v>
      </c>
      <c r="C2224" s="5">
        <f t="shared" si="537"/>
        <v>2023</v>
      </c>
      <c r="D2224" s="88" t="s">
        <v>2014</v>
      </c>
      <c r="E2224" s="5" t="str">
        <f>VLOOKUP(F2224,'Set up'!$A$2:$C$70,2,FALSE)</f>
        <v>C00000042</v>
      </c>
      <c r="F2224" s="1" t="s">
        <v>2012</v>
      </c>
      <c r="G2224" s="99" t="s">
        <v>2002</v>
      </c>
      <c r="H2224" s="5">
        <v>2</v>
      </c>
      <c r="I2224" s="5" t="str">
        <f>VLOOKUP(F2224,'Set up'!$A$2:$C$70,3,FALSE)</f>
        <v>Cash</v>
      </c>
      <c r="J2224" s="5">
        <f>VLOOKUP(F2224,'Set up'!$A$2:$D$70,4,FALSE)</f>
        <v>0</v>
      </c>
      <c r="K2224" s="4">
        <f t="shared" si="538"/>
        <v>45216</v>
      </c>
      <c r="L2224" s="5">
        <f t="shared" si="539"/>
        <v>10</v>
      </c>
      <c r="M2224" s="5">
        <f t="shared" si="540"/>
        <v>2023</v>
      </c>
      <c r="N2224" s="96">
        <v>1800</v>
      </c>
      <c r="O2224" s="6">
        <f>-N2224</f>
        <v>-1800</v>
      </c>
      <c r="P2224" s="6">
        <f t="shared" si="534"/>
        <v>0</v>
      </c>
      <c r="Q2224" s="7">
        <f t="shared" si="541"/>
        <v>3752913.0500000021</v>
      </c>
      <c r="R2224" s="44" t="str">
        <f>VLOOKUP(F2224,'Set up'!$A$2:$E$70,5,FALSE)</f>
        <v>Trsf</v>
      </c>
      <c r="S2224" s="1" t="s">
        <v>2619</v>
      </c>
    </row>
    <row r="2225" spans="1:19" ht="15" customHeight="1" x14ac:dyDescent="0.3">
      <c r="A2225" s="4">
        <v>45216</v>
      </c>
      <c r="B2225" s="5">
        <f t="shared" si="536"/>
        <v>10</v>
      </c>
      <c r="C2225" s="5">
        <f t="shared" si="537"/>
        <v>2023</v>
      </c>
      <c r="D2225" s="88" t="s">
        <v>2014</v>
      </c>
      <c r="E2225" s="5" t="str">
        <f>VLOOKUP(F2225,'Set up'!$A$2:$C$70,2,FALSE)</f>
        <v>C00000042</v>
      </c>
      <c r="F2225" s="1" t="s">
        <v>2012</v>
      </c>
      <c r="G2225" s="99" t="s">
        <v>1061</v>
      </c>
      <c r="H2225" s="5">
        <v>4</v>
      </c>
      <c r="I2225" s="5" t="str">
        <f>VLOOKUP(F2225,'Set up'!$A$2:$C$70,3,FALSE)</f>
        <v>Cash</v>
      </c>
      <c r="J2225" s="5">
        <f>VLOOKUP(F2225,'Set up'!$A$2:$D$70,4,FALSE)</f>
        <v>0</v>
      </c>
      <c r="K2225" s="4">
        <f t="shared" si="538"/>
        <v>45216</v>
      </c>
      <c r="L2225" s="5">
        <f t="shared" si="539"/>
        <v>10</v>
      </c>
      <c r="M2225" s="5">
        <f t="shared" si="540"/>
        <v>2023</v>
      </c>
      <c r="N2225" s="96">
        <v>380</v>
      </c>
      <c r="O2225" s="6">
        <f>-N2225</f>
        <v>-380</v>
      </c>
      <c r="P2225" s="6">
        <f t="shared" si="534"/>
        <v>0</v>
      </c>
      <c r="Q2225" s="7">
        <f t="shared" si="541"/>
        <v>3753293.0500000021</v>
      </c>
      <c r="R2225" s="44" t="str">
        <f>VLOOKUP(F2225,'Set up'!$A$2:$E$70,5,FALSE)</f>
        <v>Trsf</v>
      </c>
      <c r="S2225" s="1" t="s">
        <v>2620</v>
      </c>
    </row>
    <row r="2226" spans="1:19" ht="15" customHeight="1" x14ac:dyDescent="0.3">
      <c r="A2226" s="4">
        <v>45218</v>
      </c>
      <c r="B2226" s="5">
        <f t="shared" si="536"/>
        <v>10</v>
      </c>
      <c r="C2226" s="5">
        <f t="shared" si="537"/>
        <v>2023</v>
      </c>
      <c r="D2226" s="88" t="s">
        <v>2016</v>
      </c>
      <c r="E2226" s="5" t="str">
        <f>VLOOKUP(F2226,'Set up'!$A$2:$C$70,2,FALSE)</f>
        <v>C00000009</v>
      </c>
      <c r="F2226" s="1" t="s">
        <v>58</v>
      </c>
      <c r="G2226" s="99"/>
      <c r="H2226" s="5">
        <v>2</v>
      </c>
      <c r="I2226" s="5">
        <f>VLOOKUP(F2226,'Set up'!$A$2:$C$70,3,FALSE)</f>
        <v>60</v>
      </c>
      <c r="J2226" s="5">
        <f>VLOOKUP(F2226,'Set up'!$A$2:$D$70,4,FALSE)</f>
        <v>60</v>
      </c>
      <c r="K2226" s="4">
        <f t="shared" si="538"/>
        <v>45278</v>
      </c>
      <c r="L2226" s="5">
        <f t="shared" si="539"/>
        <v>12</v>
      </c>
      <c r="M2226" s="5">
        <f t="shared" si="540"/>
        <v>2023</v>
      </c>
      <c r="N2226" s="96">
        <v>3212</v>
      </c>
      <c r="O2226" s="6">
        <f t="shared" ref="O2226:O2227" si="550">-N2226</f>
        <v>-3212</v>
      </c>
      <c r="P2226" s="6">
        <f t="shared" si="534"/>
        <v>0</v>
      </c>
      <c r="Q2226" s="7">
        <f t="shared" si="541"/>
        <v>3756505.0500000021</v>
      </c>
      <c r="R2226" s="44" t="str">
        <f>VLOOKUP(F2226,'Set up'!$A$2:$E$70,5,FALSE)</f>
        <v>Chq</v>
      </c>
      <c r="S2226" s="1" t="s">
        <v>2418</v>
      </c>
    </row>
    <row r="2227" spans="1:19" ht="15" customHeight="1" x14ac:dyDescent="0.3">
      <c r="A2227" s="4">
        <v>45218</v>
      </c>
      <c r="B2227" s="5">
        <f t="shared" si="536"/>
        <v>10</v>
      </c>
      <c r="C2227" s="5">
        <f t="shared" si="537"/>
        <v>2023</v>
      </c>
      <c r="D2227" s="88" t="s">
        <v>2016</v>
      </c>
      <c r="E2227" s="5" t="str">
        <f>VLOOKUP(F2227,'Set up'!$A$2:$C$70,2,FALSE)</f>
        <v>C00000009</v>
      </c>
      <c r="F2227" s="1" t="s">
        <v>58</v>
      </c>
      <c r="G2227" s="99"/>
      <c r="H2227" s="5">
        <v>1</v>
      </c>
      <c r="I2227" s="5">
        <f>VLOOKUP(F2227,'Set up'!$A$2:$C$70,3,FALSE)</f>
        <v>60</v>
      </c>
      <c r="J2227" s="5">
        <f>VLOOKUP(F2227,'Set up'!$A$2:$D$70,4,FALSE)</f>
        <v>60</v>
      </c>
      <c r="K2227" s="4">
        <f t="shared" si="538"/>
        <v>45278</v>
      </c>
      <c r="L2227" s="5">
        <f t="shared" si="539"/>
        <v>12</v>
      </c>
      <c r="M2227" s="5">
        <f t="shared" si="540"/>
        <v>2023</v>
      </c>
      <c r="N2227" s="96">
        <v>1606</v>
      </c>
      <c r="O2227" s="6">
        <f t="shared" si="550"/>
        <v>-1606</v>
      </c>
      <c r="P2227" s="6">
        <f t="shared" si="534"/>
        <v>0</v>
      </c>
      <c r="Q2227" s="7">
        <f t="shared" si="541"/>
        <v>3758111.0500000021</v>
      </c>
      <c r="R2227" s="44" t="str">
        <f>VLOOKUP(F2227,'Set up'!$A$2:$E$70,5,FALSE)</f>
        <v>Chq</v>
      </c>
      <c r="S2227" s="1" t="s">
        <v>2418</v>
      </c>
    </row>
    <row r="2228" spans="1:19" ht="15" customHeight="1" x14ac:dyDescent="0.3">
      <c r="A2228" s="4" t="s">
        <v>2018</v>
      </c>
      <c r="B2228" s="5">
        <f t="shared" si="536"/>
        <v>10</v>
      </c>
      <c r="C2228" s="5">
        <f t="shared" si="537"/>
        <v>2023</v>
      </c>
      <c r="D2228" s="88" t="s">
        <v>2017</v>
      </c>
      <c r="E2228" s="5" t="str">
        <f>VLOOKUP(F2228,'Set up'!$A$2:$C$70,2,FALSE)</f>
        <v>C00000042</v>
      </c>
      <c r="F2228" s="1" t="s">
        <v>2012</v>
      </c>
      <c r="G2228" s="99" t="s">
        <v>913</v>
      </c>
      <c r="H2228" s="5">
        <v>15</v>
      </c>
      <c r="I2228" s="5" t="str">
        <f>VLOOKUP(F2228,'Set up'!$A$2:$C$70,3,FALSE)</f>
        <v>Cash</v>
      </c>
      <c r="J2228" s="5">
        <f>VLOOKUP(F2228,'Set up'!$A$2:$D$70,4,FALSE)</f>
        <v>0</v>
      </c>
      <c r="K2228" s="4">
        <f t="shared" si="538"/>
        <v>45219</v>
      </c>
      <c r="L2228" s="5">
        <f t="shared" si="539"/>
        <v>10</v>
      </c>
      <c r="M2228" s="5">
        <f t="shared" si="540"/>
        <v>2023</v>
      </c>
      <c r="N2228" s="96">
        <v>2700</v>
      </c>
      <c r="O2228" s="6">
        <f>-1682.2-1017.8</f>
        <v>-2700</v>
      </c>
      <c r="P2228" s="6">
        <f t="shared" si="534"/>
        <v>0</v>
      </c>
      <c r="Q2228" s="7">
        <f t="shared" si="541"/>
        <v>3760811.0500000021</v>
      </c>
      <c r="R2228" s="44" t="str">
        <f>VLOOKUP(F2228,'Set up'!$A$2:$E$70,5,FALSE)</f>
        <v>Trsf</v>
      </c>
      <c r="S2228" s="1" t="s">
        <v>2621</v>
      </c>
    </row>
    <row r="2229" spans="1:19" ht="15" customHeight="1" x14ac:dyDescent="0.3">
      <c r="A2229" s="4">
        <v>45220</v>
      </c>
      <c r="B2229" s="5">
        <f t="shared" si="536"/>
        <v>10</v>
      </c>
      <c r="C2229" s="5">
        <f t="shared" si="537"/>
        <v>2023</v>
      </c>
      <c r="D2229" s="88" t="s">
        <v>2019</v>
      </c>
      <c r="E2229" s="5" t="e">
        <f>VLOOKUP(F2229,'Set up'!$A$2:$C$70,2,FALSE)</f>
        <v>#N/A</v>
      </c>
      <c r="F2229" s="1" t="s">
        <v>1044</v>
      </c>
      <c r="G2229" s="1" t="s">
        <v>1044</v>
      </c>
      <c r="H2229" s="5">
        <v>0</v>
      </c>
      <c r="I2229" s="5" t="e">
        <f>VLOOKUP(F2229,'Set up'!$A$2:$C$70,3,FALSE)</f>
        <v>#N/A</v>
      </c>
      <c r="J2229" s="5" t="e">
        <f>VLOOKUP(F2229,'Set up'!$A$2:$D$70,4,FALSE)</f>
        <v>#N/A</v>
      </c>
      <c r="K2229" s="4" t="e">
        <f t="shared" si="538"/>
        <v>#N/A</v>
      </c>
      <c r="L2229" s="5" t="e">
        <f t="shared" si="539"/>
        <v>#N/A</v>
      </c>
      <c r="M2229" s="5" t="e">
        <f t="shared" si="540"/>
        <v>#N/A</v>
      </c>
      <c r="N2229" s="96">
        <v>0</v>
      </c>
      <c r="P2229" s="6">
        <f t="shared" ref="P2229:P2258" si="551">SUM(N2229+O2229)</f>
        <v>0</v>
      </c>
      <c r="Q2229" s="7">
        <f t="shared" si="541"/>
        <v>3760811.0500000021</v>
      </c>
      <c r="R2229" s="44" t="e">
        <f>VLOOKUP(F2229,'Set up'!$A$2:$E$70,5,FALSE)</f>
        <v>#N/A</v>
      </c>
    </row>
    <row r="2230" spans="1:19" ht="15" customHeight="1" x14ac:dyDescent="0.3">
      <c r="A2230" s="4">
        <v>45220</v>
      </c>
      <c r="B2230" s="5">
        <f t="shared" si="536"/>
        <v>10</v>
      </c>
      <c r="C2230" s="5">
        <f t="shared" si="537"/>
        <v>2023</v>
      </c>
      <c r="D2230" s="88" t="s">
        <v>2019</v>
      </c>
      <c r="E2230" s="5" t="e">
        <f>VLOOKUP(F2230,'Set up'!$A$2:$C$70,2,FALSE)</f>
        <v>#N/A</v>
      </c>
      <c r="F2230" s="1" t="s">
        <v>1044</v>
      </c>
      <c r="G2230" s="1" t="s">
        <v>1044</v>
      </c>
      <c r="H2230" s="5">
        <v>0</v>
      </c>
      <c r="I2230" s="5" t="e">
        <f>VLOOKUP(F2230,'Set up'!$A$2:$C$70,3,FALSE)</f>
        <v>#N/A</v>
      </c>
      <c r="J2230" s="5" t="e">
        <f>VLOOKUP(F2230,'Set up'!$A$2:$D$70,4,FALSE)</f>
        <v>#N/A</v>
      </c>
      <c r="K2230" s="4" t="e">
        <f t="shared" si="538"/>
        <v>#N/A</v>
      </c>
      <c r="L2230" s="5" t="e">
        <f t="shared" si="539"/>
        <v>#N/A</v>
      </c>
      <c r="M2230" s="5" t="e">
        <f t="shared" si="540"/>
        <v>#N/A</v>
      </c>
      <c r="N2230" s="96">
        <v>0</v>
      </c>
      <c r="P2230" s="6">
        <f t="shared" si="551"/>
        <v>0</v>
      </c>
      <c r="Q2230" s="7">
        <f t="shared" si="541"/>
        <v>3760811.0500000021</v>
      </c>
      <c r="R2230" s="44" t="e">
        <f>VLOOKUP(F2230,'Set up'!$A$2:$E$70,5,FALSE)</f>
        <v>#N/A</v>
      </c>
    </row>
    <row r="2231" spans="1:19" ht="15" customHeight="1" x14ac:dyDescent="0.3">
      <c r="A2231" s="4">
        <v>45220</v>
      </c>
      <c r="B2231" s="5">
        <f t="shared" si="536"/>
        <v>10</v>
      </c>
      <c r="C2231" s="5">
        <f t="shared" si="537"/>
        <v>2023</v>
      </c>
      <c r="D2231" s="88" t="s">
        <v>2019</v>
      </c>
      <c r="E2231" s="5" t="e">
        <f>VLOOKUP(F2231,'Set up'!$A$2:$C$70,2,FALSE)</f>
        <v>#N/A</v>
      </c>
      <c r="F2231" s="1" t="s">
        <v>1044</v>
      </c>
      <c r="G2231" s="1" t="s">
        <v>1044</v>
      </c>
      <c r="H2231" s="5">
        <v>0</v>
      </c>
      <c r="I2231" s="5" t="e">
        <f>VLOOKUP(F2231,'Set up'!$A$2:$C$70,3,FALSE)</f>
        <v>#N/A</v>
      </c>
      <c r="J2231" s="5" t="e">
        <f>VLOOKUP(F2231,'Set up'!$A$2:$D$70,4,FALSE)</f>
        <v>#N/A</v>
      </c>
      <c r="K2231" s="4" t="e">
        <f t="shared" si="538"/>
        <v>#N/A</v>
      </c>
      <c r="L2231" s="5" t="e">
        <f t="shared" si="539"/>
        <v>#N/A</v>
      </c>
      <c r="M2231" s="5" t="e">
        <f t="shared" si="540"/>
        <v>#N/A</v>
      </c>
      <c r="N2231" s="96">
        <v>0</v>
      </c>
      <c r="P2231" s="6">
        <f t="shared" si="551"/>
        <v>0</v>
      </c>
      <c r="Q2231" s="7">
        <f t="shared" si="541"/>
        <v>3760811.0500000021</v>
      </c>
      <c r="R2231" s="44" t="e">
        <f>VLOOKUP(F2231,'Set up'!$A$2:$E$70,5,FALSE)</f>
        <v>#N/A</v>
      </c>
    </row>
    <row r="2232" spans="1:19" ht="15" customHeight="1" x14ac:dyDescent="0.3">
      <c r="A2232" s="4">
        <v>45220</v>
      </c>
      <c r="B2232" s="5">
        <f t="shared" si="536"/>
        <v>10</v>
      </c>
      <c r="C2232" s="5">
        <f t="shared" si="537"/>
        <v>2023</v>
      </c>
      <c r="D2232" s="88" t="s">
        <v>2019</v>
      </c>
      <c r="E2232" s="5" t="e">
        <f>VLOOKUP(F2232,'Set up'!$A$2:$C$70,2,FALSE)</f>
        <v>#N/A</v>
      </c>
      <c r="F2232" s="1" t="s">
        <v>1044</v>
      </c>
      <c r="G2232" s="1" t="s">
        <v>1044</v>
      </c>
      <c r="H2232" s="5">
        <v>0</v>
      </c>
      <c r="I2232" s="5" t="e">
        <f>VLOOKUP(F2232,'Set up'!$A$2:$C$70,3,FALSE)</f>
        <v>#N/A</v>
      </c>
      <c r="J2232" s="5" t="e">
        <f>VLOOKUP(F2232,'Set up'!$A$2:$D$70,4,FALSE)</f>
        <v>#N/A</v>
      </c>
      <c r="K2232" s="4" t="e">
        <f t="shared" si="538"/>
        <v>#N/A</v>
      </c>
      <c r="L2232" s="5" t="e">
        <f t="shared" si="539"/>
        <v>#N/A</v>
      </c>
      <c r="M2232" s="5" t="e">
        <f t="shared" si="540"/>
        <v>#N/A</v>
      </c>
      <c r="N2232" s="96">
        <v>0</v>
      </c>
      <c r="P2232" s="6">
        <f t="shared" si="551"/>
        <v>0</v>
      </c>
      <c r="Q2232" s="7">
        <f t="shared" si="541"/>
        <v>3760811.0500000021</v>
      </c>
      <c r="R2232" s="44" t="e">
        <f>VLOOKUP(F2232,'Set up'!$A$2:$E$70,5,FALSE)</f>
        <v>#N/A</v>
      </c>
    </row>
    <row r="2233" spans="1:19" ht="15" customHeight="1" x14ac:dyDescent="0.3">
      <c r="A2233" s="4">
        <v>45220</v>
      </c>
      <c r="B2233" s="5">
        <f t="shared" si="536"/>
        <v>10</v>
      </c>
      <c r="C2233" s="5">
        <f t="shared" si="537"/>
        <v>2023</v>
      </c>
      <c r="D2233" s="88" t="s">
        <v>2019</v>
      </c>
      <c r="E2233" s="5" t="e">
        <f>VLOOKUP(F2233,'Set up'!$A$2:$C$70,2,FALSE)</f>
        <v>#N/A</v>
      </c>
      <c r="F2233" s="1" t="s">
        <v>1044</v>
      </c>
      <c r="G2233" s="1" t="s">
        <v>1044</v>
      </c>
      <c r="H2233" s="5">
        <v>0</v>
      </c>
      <c r="I2233" s="5" t="e">
        <f>VLOOKUP(F2233,'Set up'!$A$2:$C$70,3,FALSE)</f>
        <v>#N/A</v>
      </c>
      <c r="J2233" s="5" t="e">
        <f>VLOOKUP(F2233,'Set up'!$A$2:$D$70,4,FALSE)</f>
        <v>#N/A</v>
      </c>
      <c r="K2233" s="4" t="e">
        <f t="shared" si="538"/>
        <v>#N/A</v>
      </c>
      <c r="L2233" s="5" t="e">
        <f t="shared" si="539"/>
        <v>#N/A</v>
      </c>
      <c r="M2233" s="5" t="e">
        <f t="shared" si="540"/>
        <v>#N/A</v>
      </c>
      <c r="N2233" s="96">
        <v>0</v>
      </c>
      <c r="P2233" s="6">
        <f t="shared" si="551"/>
        <v>0</v>
      </c>
      <c r="Q2233" s="7">
        <f t="shared" si="541"/>
        <v>3760811.0500000021</v>
      </c>
      <c r="R2233" s="44" t="e">
        <f>VLOOKUP(F2233,'Set up'!$A$2:$E$70,5,FALSE)</f>
        <v>#N/A</v>
      </c>
    </row>
    <row r="2234" spans="1:19" ht="15" customHeight="1" x14ac:dyDescent="0.3">
      <c r="A2234" s="4">
        <v>45220</v>
      </c>
      <c r="B2234" s="5">
        <f t="shared" si="536"/>
        <v>10</v>
      </c>
      <c r="C2234" s="5">
        <f t="shared" si="537"/>
        <v>2023</v>
      </c>
      <c r="D2234" s="88" t="s">
        <v>2019</v>
      </c>
      <c r="E2234" s="5" t="e">
        <f>VLOOKUP(F2234,'Set up'!$A$2:$C$70,2,FALSE)</f>
        <v>#N/A</v>
      </c>
      <c r="F2234" s="1" t="s">
        <v>1044</v>
      </c>
      <c r="G2234" s="1" t="s">
        <v>1044</v>
      </c>
      <c r="H2234" s="5">
        <v>0</v>
      </c>
      <c r="I2234" s="5" t="e">
        <f>VLOOKUP(F2234,'Set up'!$A$2:$C$70,3,FALSE)</f>
        <v>#N/A</v>
      </c>
      <c r="J2234" s="5" t="e">
        <f>VLOOKUP(F2234,'Set up'!$A$2:$D$70,4,FALSE)</f>
        <v>#N/A</v>
      </c>
      <c r="K2234" s="4" t="e">
        <f t="shared" si="538"/>
        <v>#N/A</v>
      </c>
      <c r="L2234" s="5" t="e">
        <f t="shared" si="539"/>
        <v>#N/A</v>
      </c>
      <c r="M2234" s="5" t="e">
        <f t="shared" si="540"/>
        <v>#N/A</v>
      </c>
      <c r="N2234" s="96">
        <v>0</v>
      </c>
      <c r="P2234" s="6">
        <f t="shared" si="551"/>
        <v>0</v>
      </c>
      <c r="Q2234" s="7">
        <f t="shared" si="541"/>
        <v>3760811.0500000021</v>
      </c>
      <c r="R2234" s="44" t="e">
        <f>VLOOKUP(F2234,'Set up'!$A$2:$E$70,5,FALSE)</f>
        <v>#N/A</v>
      </c>
    </row>
    <row r="2235" spans="1:19" ht="15" customHeight="1" x14ac:dyDescent="0.3">
      <c r="A2235" s="4">
        <v>45224</v>
      </c>
      <c r="B2235" s="5">
        <f t="shared" si="536"/>
        <v>10</v>
      </c>
      <c r="C2235" s="5">
        <f t="shared" si="537"/>
        <v>2023</v>
      </c>
      <c r="D2235" s="88" t="s">
        <v>2020</v>
      </c>
      <c r="E2235" s="5" t="str">
        <f>VLOOKUP(F2235,'Set up'!$A$2:$C$70,2,FALSE)</f>
        <v>C00000042</v>
      </c>
      <c r="F2235" s="1" t="s">
        <v>2012</v>
      </c>
      <c r="G2235" s="99" t="s">
        <v>1110</v>
      </c>
      <c r="H2235" s="5">
        <v>4</v>
      </c>
      <c r="I2235" s="5" t="str">
        <f>VLOOKUP(F2235,'Set up'!$A$2:$C$70,3,FALSE)</f>
        <v>Cash</v>
      </c>
      <c r="J2235" s="5">
        <f>VLOOKUP(F2235,'Set up'!$A$2:$D$70,4,FALSE)</f>
        <v>0</v>
      </c>
      <c r="K2235" s="4">
        <f t="shared" si="538"/>
        <v>45224</v>
      </c>
      <c r="L2235" s="5">
        <f t="shared" si="539"/>
        <v>10</v>
      </c>
      <c r="M2235" s="5">
        <f t="shared" si="540"/>
        <v>2023</v>
      </c>
      <c r="N2235" s="96">
        <v>250</v>
      </c>
      <c r="O2235" s="6">
        <f>-N2235</f>
        <v>-250</v>
      </c>
      <c r="P2235" s="6">
        <f t="shared" si="551"/>
        <v>0</v>
      </c>
      <c r="Q2235" s="7">
        <f t="shared" si="541"/>
        <v>3761061.0500000021</v>
      </c>
      <c r="R2235" s="44" t="str">
        <f>VLOOKUP(F2235,'Set up'!$A$2:$E$70,5,FALSE)</f>
        <v>Trsf</v>
      </c>
      <c r="S2235" s="1" t="s">
        <v>2622</v>
      </c>
    </row>
    <row r="2236" spans="1:19" ht="15" customHeight="1" x14ac:dyDescent="0.3">
      <c r="A2236" s="4">
        <v>45224</v>
      </c>
      <c r="B2236" s="5">
        <f t="shared" si="536"/>
        <v>10</v>
      </c>
      <c r="C2236" s="5">
        <f t="shared" si="537"/>
        <v>2023</v>
      </c>
      <c r="D2236" s="88" t="s">
        <v>2021</v>
      </c>
      <c r="E2236" s="5" t="str">
        <f>VLOOKUP(F2236,'Set up'!$A$2:$C$70,2,FALSE)</f>
        <v>C00000042</v>
      </c>
      <c r="F2236" s="1" t="s">
        <v>2012</v>
      </c>
      <c r="G2236" s="99" t="s">
        <v>1733</v>
      </c>
      <c r="H2236" s="5">
        <v>4</v>
      </c>
      <c r="I2236" s="5" t="str">
        <f>VLOOKUP(F2236,'Set up'!$A$2:$C$70,3,FALSE)</f>
        <v>Cash</v>
      </c>
      <c r="J2236" s="5">
        <f>VLOOKUP(F2236,'Set up'!$A$2:$D$70,4,FALSE)</f>
        <v>0</v>
      </c>
      <c r="K2236" s="4">
        <f t="shared" si="538"/>
        <v>45224</v>
      </c>
      <c r="L2236" s="5">
        <f t="shared" si="539"/>
        <v>10</v>
      </c>
      <c r="M2236" s="5">
        <f t="shared" si="540"/>
        <v>2023</v>
      </c>
      <c r="N2236" s="96">
        <v>6512</v>
      </c>
      <c r="O2236" s="6">
        <f>-232.2-3500-2779.8</f>
        <v>-6512</v>
      </c>
      <c r="P2236" s="6">
        <f t="shared" si="551"/>
        <v>0</v>
      </c>
      <c r="Q2236" s="7">
        <f t="shared" si="541"/>
        <v>3767573.0500000021</v>
      </c>
      <c r="R2236" s="44" t="str">
        <f>VLOOKUP(F2236,'Set up'!$A$2:$E$70,5,FALSE)</f>
        <v>Trsf</v>
      </c>
      <c r="S2236" s="1" t="s">
        <v>2674</v>
      </c>
    </row>
    <row r="2237" spans="1:19" ht="15" customHeight="1" x14ac:dyDescent="0.3">
      <c r="A2237" s="4">
        <v>45224</v>
      </c>
      <c r="B2237" s="5">
        <f t="shared" si="536"/>
        <v>10</v>
      </c>
      <c r="C2237" s="5">
        <f t="shared" si="537"/>
        <v>2023</v>
      </c>
      <c r="D2237" s="88" t="s">
        <v>2021</v>
      </c>
      <c r="E2237" s="5" t="str">
        <f>VLOOKUP(F2237,'Set up'!$A$2:$C$70,2,FALSE)</f>
        <v>C00000042</v>
      </c>
      <c r="F2237" s="1" t="s">
        <v>2012</v>
      </c>
      <c r="G2237" s="99" t="s">
        <v>1922</v>
      </c>
      <c r="H2237" s="5">
        <v>6</v>
      </c>
      <c r="I2237" s="5" t="str">
        <f>VLOOKUP(F2237,'Set up'!$A$2:$C$70,3,FALSE)</f>
        <v>Cash</v>
      </c>
      <c r="J2237" s="5">
        <f>VLOOKUP(F2237,'Set up'!$A$2:$D$70,4,FALSE)</f>
        <v>0</v>
      </c>
      <c r="K2237" s="4">
        <f t="shared" si="538"/>
        <v>45224</v>
      </c>
      <c r="L2237" s="5">
        <f t="shared" si="539"/>
        <v>10</v>
      </c>
      <c r="M2237" s="5">
        <f t="shared" si="540"/>
        <v>2023</v>
      </c>
      <c r="N2237" s="96">
        <v>1404</v>
      </c>
      <c r="O2237" s="6">
        <f>-N2237</f>
        <v>-1404</v>
      </c>
      <c r="P2237" s="6">
        <f t="shared" si="551"/>
        <v>0</v>
      </c>
      <c r="Q2237" s="7">
        <f t="shared" si="541"/>
        <v>3768977.0500000021</v>
      </c>
      <c r="R2237" s="44" t="str">
        <f>VLOOKUP(F2237,'Set up'!$A$2:$E$70,5,FALSE)</f>
        <v>Trsf</v>
      </c>
      <c r="S2237" s="1" t="s">
        <v>2675</v>
      </c>
    </row>
    <row r="2238" spans="1:19" ht="15" customHeight="1" x14ac:dyDescent="0.3">
      <c r="A2238" s="4">
        <v>45224</v>
      </c>
      <c r="B2238" s="5">
        <f t="shared" si="536"/>
        <v>10</v>
      </c>
      <c r="C2238" s="5">
        <f t="shared" si="537"/>
        <v>2023</v>
      </c>
      <c r="D2238" s="88" t="s">
        <v>2027</v>
      </c>
      <c r="E2238" s="5" t="str">
        <f>VLOOKUP(F2238,'Set up'!$A$2:$C$70,2,FALSE)</f>
        <v>C00000012</v>
      </c>
      <c r="F2238" s="1" t="s">
        <v>2928</v>
      </c>
      <c r="G2238" s="99" t="s">
        <v>2022</v>
      </c>
      <c r="H2238" s="5">
        <v>11</v>
      </c>
      <c r="I2238" s="5" t="str">
        <f>VLOOKUP(F2238,'Set up'!$A$2:$C$70,3,FALSE)</f>
        <v>Cash</v>
      </c>
      <c r="J2238" s="5">
        <f>VLOOKUP(F2238,'Set up'!$A$2:$D$70,4,FALSE)</f>
        <v>0</v>
      </c>
      <c r="K2238" s="4">
        <f t="shared" si="538"/>
        <v>45224</v>
      </c>
      <c r="L2238" s="5">
        <f t="shared" si="539"/>
        <v>10</v>
      </c>
      <c r="M2238" s="5">
        <f t="shared" si="540"/>
        <v>2023</v>
      </c>
      <c r="N2238" s="96">
        <v>2530</v>
      </c>
      <c r="O2238" s="6">
        <f t="shared" ref="O2238:O2246" si="552">-N2238</f>
        <v>-2530</v>
      </c>
      <c r="P2238" s="6">
        <f t="shared" si="551"/>
        <v>0</v>
      </c>
      <c r="Q2238" s="7">
        <f t="shared" si="541"/>
        <v>3771507.0500000021</v>
      </c>
      <c r="R2238" s="44" t="str">
        <f>VLOOKUP(F2238,'Set up'!$A$2:$E$70,5,FALSE)</f>
        <v>Cash</v>
      </c>
      <c r="S2238" s="1" t="s">
        <v>2089</v>
      </c>
    </row>
    <row r="2239" spans="1:19" ht="15" customHeight="1" x14ac:dyDescent="0.3">
      <c r="A2239" s="4">
        <v>45224</v>
      </c>
      <c r="B2239" s="5">
        <f t="shared" si="536"/>
        <v>10</v>
      </c>
      <c r="C2239" s="5">
        <f t="shared" si="537"/>
        <v>2023</v>
      </c>
      <c r="D2239" s="88" t="s">
        <v>2027</v>
      </c>
      <c r="E2239" s="5" t="str">
        <f>VLOOKUP(F2239,'Set up'!$A$2:$C$70,2,FALSE)</f>
        <v>C00000012</v>
      </c>
      <c r="F2239" s="1" t="s">
        <v>2928</v>
      </c>
      <c r="G2239" s="99" t="s">
        <v>2023</v>
      </c>
      <c r="H2239" s="5">
        <v>1</v>
      </c>
      <c r="I2239" s="5" t="str">
        <f>VLOOKUP(F2239,'Set up'!$A$2:$C$70,3,FALSE)</f>
        <v>Cash</v>
      </c>
      <c r="J2239" s="5">
        <f>VLOOKUP(F2239,'Set up'!$A$2:$D$70,4,FALSE)</f>
        <v>0</v>
      </c>
      <c r="K2239" s="4">
        <f t="shared" si="538"/>
        <v>45224</v>
      </c>
      <c r="L2239" s="5">
        <f t="shared" si="539"/>
        <v>10</v>
      </c>
      <c r="M2239" s="5">
        <f t="shared" si="540"/>
        <v>2023</v>
      </c>
      <c r="N2239" s="96">
        <v>475.2</v>
      </c>
      <c r="O2239" s="6">
        <f t="shared" si="552"/>
        <v>-475.2</v>
      </c>
      <c r="P2239" s="6">
        <f t="shared" si="551"/>
        <v>0</v>
      </c>
      <c r="Q2239" s="7">
        <f t="shared" si="541"/>
        <v>3771982.2500000023</v>
      </c>
      <c r="R2239" s="44" t="str">
        <f>VLOOKUP(F2239,'Set up'!$A$2:$E$70,5,FALSE)</f>
        <v>Cash</v>
      </c>
      <c r="S2239" s="1" t="s">
        <v>2089</v>
      </c>
    </row>
    <row r="2240" spans="1:19" ht="15" customHeight="1" x14ac:dyDescent="0.3">
      <c r="A2240" s="4">
        <v>45224</v>
      </c>
      <c r="B2240" s="5">
        <f t="shared" si="536"/>
        <v>10</v>
      </c>
      <c r="C2240" s="5">
        <f t="shared" si="537"/>
        <v>2023</v>
      </c>
      <c r="D2240" s="88" t="s">
        <v>2027</v>
      </c>
      <c r="E2240" s="5" t="str">
        <f>VLOOKUP(F2240,'Set up'!$A$2:$C$70,2,FALSE)</f>
        <v>C00000012</v>
      </c>
      <c r="F2240" s="1" t="s">
        <v>2928</v>
      </c>
      <c r="G2240" s="99" t="s">
        <v>2024</v>
      </c>
      <c r="H2240" s="5">
        <v>1</v>
      </c>
      <c r="I2240" s="5" t="str">
        <f>VLOOKUP(F2240,'Set up'!$A$2:$C$70,3,FALSE)</f>
        <v>Cash</v>
      </c>
      <c r="J2240" s="5">
        <f>VLOOKUP(F2240,'Set up'!$A$2:$D$70,4,FALSE)</f>
        <v>0</v>
      </c>
      <c r="K2240" s="4">
        <f t="shared" si="538"/>
        <v>45224</v>
      </c>
      <c r="L2240" s="5">
        <f t="shared" si="539"/>
        <v>10</v>
      </c>
      <c r="M2240" s="5">
        <f t="shared" si="540"/>
        <v>2023</v>
      </c>
      <c r="N2240" s="96">
        <v>120</v>
      </c>
      <c r="O2240" s="6">
        <f t="shared" si="552"/>
        <v>-120</v>
      </c>
      <c r="P2240" s="6">
        <f t="shared" si="551"/>
        <v>0</v>
      </c>
      <c r="Q2240" s="7">
        <f t="shared" si="541"/>
        <v>3772102.2500000023</v>
      </c>
      <c r="R2240" s="44" t="str">
        <f>VLOOKUP(F2240,'Set up'!$A$2:$E$70,5,FALSE)</f>
        <v>Cash</v>
      </c>
      <c r="S2240" s="1" t="s">
        <v>2089</v>
      </c>
    </row>
    <row r="2241" spans="1:19" ht="15" customHeight="1" x14ac:dyDescent="0.3">
      <c r="A2241" s="4">
        <v>45224</v>
      </c>
      <c r="B2241" s="5">
        <f t="shared" si="536"/>
        <v>10</v>
      </c>
      <c r="C2241" s="5">
        <f t="shared" si="537"/>
        <v>2023</v>
      </c>
      <c r="D2241" s="88" t="s">
        <v>2027</v>
      </c>
      <c r="E2241" s="5" t="str">
        <f>VLOOKUP(F2241,'Set up'!$A$2:$C$70,2,FALSE)</f>
        <v>C00000012</v>
      </c>
      <c r="F2241" s="1" t="s">
        <v>2928</v>
      </c>
      <c r="G2241" s="99" t="s">
        <v>2025</v>
      </c>
      <c r="H2241" s="5">
        <v>1</v>
      </c>
      <c r="I2241" s="5" t="str">
        <f>VLOOKUP(F2241,'Set up'!$A$2:$C$70,3,FALSE)</f>
        <v>Cash</v>
      </c>
      <c r="J2241" s="5">
        <f>VLOOKUP(F2241,'Set up'!$A$2:$D$70,4,FALSE)</f>
        <v>0</v>
      </c>
      <c r="K2241" s="4">
        <f t="shared" si="538"/>
        <v>45224</v>
      </c>
      <c r="L2241" s="5">
        <f t="shared" si="539"/>
        <v>10</v>
      </c>
      <c r="M2241" s="5">
        <f t="shared" si="540"/>
        <v>2023</v>
      </c>
      <c r="N2241" s="96">
        <v>310</v>
      </c>
      <c r="O2241" s="6">
        <f t="shared" si="552"/>
        <v>-310</v>
      </c>
      <c r="P2241" s="6">
        <f t="shared" si="551"/>
        <v>0</v>
      </c>
      <c r="Q2241" s="7">
        <f t="shared" si="541"/>
        <v>3772412.2500000023</v>
      </c>
      <c r="R2241" s="44" t="str">
        <f>VLOOKUP(F2241,'Set up'!$A$2:$E$70,5,FALSE)</f>
        <v>Cash</v>
      </c>
      <c r="S2241" s="1" t="s">
        <v>2089</v>
      </c>
    </row>
    <row r="2242" spans="1:19" ht="15" customHeight="1" x14ac:dyDescent="0.3">
      <c r="A2242" s="4">
        <v>45224</v>
      </c>
      <c r="B2242" s="5">
        <f t="shared" si="536"/>
        <v>10</v>
      </c>
      <c r="C2242" s="5">
        <f t="shared" si="537"/>
        <v>2023</v>
      </c>
      <c r="D2242" s="88" t="s">
        <v>2027</v>
      </c>
      <c r="E2242" s="5" t="str">
        <f>VLOOKUP(F2242,'Set up'!$A$2:$C$70,2,FALSE)</f>
        <v>C00000012</v>
      </c>
      <c r="F2242" s="1" t="s">
        <v>2928</v>
      </c>
      <c r="G2242" s="99" t="s">
        <v>2026</v>
      </c>
      <c r="H2242" s="5">
        <v>1</v>
      </c>
      <c r="I2242" s="5" t="str">
        <f>VLOOKUP(F2242,'Set up'!$A$2:$C$70,3,FALSE)</f>
        <v>Cash</v>
      </c>
      <c r="J2242" s="5">
        <f>VLOOKUP(F2242,'Set up'!$A$2:$D$70,4,FALSE)</f>
        <v>0</v>
      </c>
      <c r="K2242" s="4">
        <f t="shared" si="538"/>
        <v>45224</v>
      </c>
      <c r="L2242" s="5">
        <f t="shared" si="539"/>
        <v>10</v>
      </c>
      <c r="M2242" s="5">
        <f t="shared" si="540"/>
        <v>2023</v>
      </c>
      <c r="N2242" s="96">
        <v>100</v>
      </c>
      <c r="O2242" s="6">
        <f t="shared" si="552"/>
        <v>-100</v>
      </c>
      <c r="P2242" s="6">
        <f t="shared" si="551"/>
        <v>0</v>
      </c>
      <c r="Q2242" s="7">
        <f t="shared" si="541"/>
        <v>3772512.2500000023</v>
      </c>
      <c r="R2242" s="44" t="str">
        <f>VLOOKUP(F2242,'Set up'!$A$2:$E$70,5,FALSE)</f>
        <v>Cash</v>
      </c>
      <c r="S2242" s="1" t="s">
        <v>2089</v>
      </c>
    </row>
    <row r="2243" spans="1:19" ht="15" customHeight="1" x14ac:dyDescent="0.3">
      <c r="A2243" s="4">
        <v>45224</v>
      </c>
      <c r="B2243" s="5">
        <f t="shared" ref="B2243:B2306" si="553">MONTH(A2243)</f>
        <v>10</v>
      </c>
      <c r="C2243" s="5">
        <f t="shared" ref="C2243:C2306" si="554">YEAR(A2243)</f>
        <v>2023</v>
      </c>
      <c r="D2243" s="88" t="s">
        <v>2028</v>
      </c>
      <c r="E2243" s="5" t="str">
        <f>VLOOKUP(F2243,'Set up'!$A$2:$C$70,2,FALSE)</f>
        <v>C00000021</v>
      </c>
      <c r="F2243" s="1" t="s">
        <v>491</v>
      </c>
      <c r="G2243" s="99" t="s">
        <v>67</v>
      </c>
      <c r="H2243" s="5">
        <v>1</v>
      </c>
      <c r="I2243" s="5" t="str">
        <f>VLOOKUP(F2243,'Set up'!$A$2:$C$70,3,FALSE)</f>
        <v>Cash</v>
      </c>
      <c r="J2243" s="5">
        <f>VLOOKUP(F2243,'Set up'!$A$2:$D$70,4,FALSE)</f>
        <v>0</v>
      </c>
      <c r="K2243" s="4">
        <f t="shared" ref="K2243:K2306" si="555">A2243+J2243</f>
        <v>45224</v>
      </c>
      <c r="L2243" s="5">
        <f t="shared" ref="L2243:L2306" si="556">MONTH(K2243)</f>
        <v>10</v>
      </c>
      <c r="M2243" s="5">
        <f t="shared" ref="M2243:M2306" si="557">YEAR(K2243)</f>
        <v>2023</v>
      </c>
      <c r="N2243" s="96">
        <v>1738</v>
      </c>
      <c r="O2243" s="6">
        <f t="shared" si="552"/>
        <v>-1738</v>
      </c>
      <c r="P2243" s="6">
        <f t="shared" si="551"/>
        <v>0</v>
      </c>
      <c r="Q2243" s="7">
        <f t="shared" ref="Q2243:Q2306" si="558">SUM(Q2242+N2243)</f>
        <v>3774250.2500000023</v>
      </c>
      <c r="R2243" s="44" t="str">
        <f>VLOOKUP(F2243,'Set up'!$A$2:$E$70,5,FALSE)</f>
        <v>PD Chq</v>
      </c>
      <c r="S2243" s="1" t="s">
        <v>2543</v>
      </c>
    </row>
    <row r="2244" spans="1:19" ht="15" customHeight="1" x14ac:dyDescent="0.3">
      <c r="A2244" s="4">
        <v>45224</v>
      </c>
      <c r="B2244" s="5">
        <f t="shared" si="553"/>
        <v>10</v>
      </c>
      <c r="C2244" s="5">
        <f t="shared" si="554"/>
        <v>2023</v>
      </c>
      <c r="D2244" s="88" t="s">
        <v>2028</v>
      </c>
      <c r="E2244" s="5" t="str">
        <f>VLOOKUP(F2244,'Set up'!$A$2:$C$70,2,FALSE)</f>
        <v>C00000021</v>
      </c>
      <c r="F2244" s="1" t="s">
        <v>491</v>
      </c>
      <c r="G2244" s="99" t="s">
        <v>913</v>
      </c>
      <c r="H2244" s="5">
        <v>2</v>
      </c>
      <c r="I2244" s="5" t="str">
        <f>VLOOKUP(F2244,'Set up'!$A$2:$C$70,3,FALSE)</f>
        <v>Cash</v>
      </c>
      <c r="J2244" s="5">
        <f>VLOOKUP(F2244,'Set up'!$A$2:$D$70,4,FALSE)</f>
        <v>0</v>
      </c>
      <c r="K2244" s="4">
        <f t="shared" si="555"/>
        <v>45224</v>
      </c>
      <c r="L2244" s="5">
        <f t="shared" si="556"/>
        <v>10</v>
      </c>
      <c r="M2244" s="5">
        <f t="shared" si="557"/>
        <v>2023</v>
      </c>
      <c r="N2244" s="96">
        <v>468</v>
      </c>
      <c r="O2244" s="6">
        <f t="shared" si="552"/>
        <v>-468</v>
      </c>
      <c r="P2244" s="6">
        <f t="shared" si="551"/>
        <v>0</v>
      </c>
      <c r="Q2244" s="7">
        <f t="shared" si="558"/>
        <v>3774718.2500000023</v>
      </c>
      <c r="R2244" s="44" t="str">
        <f>VLOOKUP(F2244,'Set up'!$A$2:$E$70,5,FALSE)</f>
        <v>PD Chq</v>
      </c>
      <c r="S2244" s="1" t="s">
        <v>2543</v>
      </c>
    </row>
    <row r="2245" spans="1:19" ht="15" customHeight="1" x14ac:dyDescent="0.3">
      <c r="A2245" s="4">
        <v>45224</v>
      </c>
      <c r="B2245" s="5">
        <f t="shared" si="553"/>
        <v>10</v>
      </c>
      <c r="C2245" s="5">
        <f t="shared" si="554"/>
        <v>2023</v>
      </c>
      <c r="D2245" s="88" t="s">
        <v>2028</v>
      </c>
      <c r="E2245" s="5" t="str">
        <f>VLOOKUP(F2245,'Set up'!$A$2:$C$70,2,FALSE)</f>
        <v>C00000021</v>
      </c>
      <c r="F2245" s="1" t="s">
        <v>491</v>
      </c>
      <c r="G2245" s="99" t="s">
        <v>1061</v>
      </c>
      <c r="H2245" s="5">
        <v>1</v>
      </c>
      <c r="I2245" s="5" t="str">
        <f>VLOOKUP(F2245,'Set up'!$A$2:$C$70,3,FALSE)</f>
        <v>Cash</v>
      </c>
      <c r="J2245" s="5">
        <f>VLOOKUP(F2245,'Set up'!$A$2:$D$70,4,FALSE)</f>
        <v>0</v>
      </c>
      <c r="K2245" s="4">
        <f t="shared" si="555"/>
        <v>45224</v>
      </c>
      <c r="L2245" s="5">
        <f t="shared" si="556"/>
        <v>10</v>
      </c>
      <c r="M2245" s="5">
        <f t="shared" si="557"/>
        <v>2023</v>
      </c>
      <c r="N2245" s="96">
        <v>95</v>
      </c>
      <c r="O2245" s="6">
        <f t="shared" si="552"/>
        <v>-95</v>
      </c>
      <c r="P2245" s="6">
        <f t="shared" si="551"/>
        <v>0</v>
      </c>
      <c r="Q2245" s="7">
        <f t="shared" si="558"/>
        <v>3774813.2500000023</v>
      </c>
      <c r="R2245" s="44" t="str">
        <f>VLOOKUP(F2245,'Set up'!$A$2:$E$70,5,FALSE)</f>
        <v>PD Chq</v>
      </c>
      <c r="S2245" s="1" t="s">
        <v>2543</v>
      </c>
    </row>
    <row r="2246" spans="1:19" ht="15" customHeight="1" x14ac:dyDescent="0.3">
      <c r="A2246" s="4">
        <v>45224</v>
      </c>
      <c r="B2246" s="5">
        <f t="shared" si="553"/>
        <v>10</v>
      </c>
      <c r="C2246" s="5">
        <f t="shared" si="554"/>
        <v>2023</v>
      </c>
      <c r="D2246" s="88" t="s">
        <v>2028</v>
      </c>
      <c r="E2246" s="5" t="str">
        <f>VLOOKUP(F2246,'Set up'!$A$2:$C$70,2,FALSE)</f>
        <v>C00000021</v>
      </c>
      <c r="F2246" s="1" t="s">
        <v>491</v>
      </c>
      <c r="G2246" s="99" t="s">
        <v>2029</v>
      </c>
      <c r="H2246" s="5">
        <v>1</v>
      </c>
      <c r="I2246" s="5" t="str">
        <f>VLOOKUP(F2246,'Set up'!$A$2:$C$70,3,FALSE)</f>
        <v>Cash</v>
      </c>
      <c r="J2246" s="5">
        <f>VLOOKUP(F2246,'Set up'!$A$2:$D$70,4,FALSE)</f>
        <v>0</v>
      </c>
      <c r="K2246" s="4">
        <f t="shared" si="555"/>
        <v>45224</v>
      </c>
      <c r="L2246" s="5">
        <f t="shared" si="556"/>
        <v>10</v>
      </c>
      <c r="M2246" s="5">
        <f t="shared" si="557"/>
        <v>2023</v>
      </c>
      <c r="N2246" s="96">
        <v>260</v>
      </c>
      <c r="O2246" s="6">
        <f t="shared" si="552"/>
        <v>-260</v>
      </c>
      <c r="P2246" s="6">
        <f t="shared" si="551"/>
        <v>0</v>
      </c>
      <c r="Q2246" s="7">
        <f t="shared" si="558"/>
        <v>3775073.2500000023</v>
      </c>
      <c r="R2246" s="44" t="str">
        <f>VLOOKUP(F2246,'Set up'!$A$2:$E$70,5,FALSE)</f>
        <v>PD Chq</v>
      </c>
      <c r="S2246" s="1" t="s">
        <v>2543</v>
      </c>
    </row>
    <row r="2247" spans="1:19" ht="15" customHeight="1" x14ac:dyDescent="0.3">
      <c r="A2247" s="4">
        <v>45225</v>
      </c>
      <c r="B2247" s="5">
        <f t="shared" si="553"/>
        <v>10</v>
      </c>
      <c r="C2247" s="5">
        <f t="shared" si="554"/>
        <v>2023</v>
      </c>
      <c r="D2247" s="88" t="s">
        <v>2030</v>
      </c>
      <c r="E2247" s="5" t="str">
        <f>VLOOKUP(F2247,'Set up'!$A$2:$C$70,2,FALSE)</f>
        <v>C00000019</v>
      </c>
      <c r="F2247" s="1" t="s">
        <v>400</v>
      </c>
      <c r="G2247" s="99" t="s">
        <v>95</v>
      </c>
      <c r="H2247" s="5">
        <v>1</v>
      </c>
      <c r="I2247" s="5" t="str">
        <f>VLOOKUP(F2247,'Set up'!$A$2:$C$70,3,FALSE)</f>
        <v>Cash</v>
      </c>
      <c r="J2247" s="5">
        <f>VLOOKUP(F2247,'Set up'!$A$2:$D$70,4,FALSE)</f>
        <v>0</v>
      </c>
      <c r="K2247" s="4">
        <f t="shared" si="555"/>
        <v>45225</v>
      </c>
      <c r="L2247" s="5">
        <f t="shared" si="556"/>
        <v>10</v>
      </c>
      <c r="M2247" s="5">
        <f t="shared" si="557"/>
        <v>2023</v>
      </c>
      <c r="N2247" s="96">
        <v>1738</v>
      </c>
      <c r="O2247" s="6">
        <f>-53.1-1500-184.9</f>
        <v>-1738</v>
      </c>
      <c r="P2247" s="6">
        <f t="shared" si="551"/>
        <v>0</v>
      </c>
      <c r="Q2247" s="7">
        <f t="shared" si="558"/>
        <v>3776811.2500000023</v>
      </c>
      <c r="R2247" s="44" t="str">
        <f>VLOOKUP(F2247,'Set up'!$A$2:$E$70,5,FALSE)</f>
        <v>Trsf</v>
      </c>
      <c r="S2247" s="1" t="s">
        <v>2971</v>
      </c>
    </row>
    <row r="2248" spans="1:19" ht="15" customHeight="1" x14ac:dyDescent="0.3">
      <c r="A2248" s="4">
        <v>45225</v>
      </c>
      <c r="B2248" s="5">
        <f t="shared" si="553"/>
        <v>10</v>
      </c>
      <c r="C2248" s="5">
        <f t="shared" si="554"/>
        <v>2023</v>
      </c>
      <c r="D2248" s="88" t="s">
        <v>2030</v>
      </c>
      <c r="E2248" s="5" t="str">
        <f>VLOOKUP(F2248,'Set up'!$A$2:$C$70,2,FALSE)</f>
        <v>C00000019</v>
      </c>
      <c r="F2248" s="1" t="s">
        <v>400</v>
      </c>
      <c r="G2248" s="99" t="s">
        <v>1411</v>
      </c>
      <c r="H2248" s="5">
        <v>1</v>
      </c>
      <c r="I2248" s="5" t="str">
        <f>VLOOKUP(F2248,'Set up'!$A$2:$C$70,3,FALSE)</f>
        <v>Cash</v>
      </c>
      <c r="J2248" s="5">
        <f>VLOOKUP(F2248,'Set up'!$A$2:$D$70,4,FALSE)</f>
        <v>0</v>
      </c>
      <c r="K2248" s="4">
        <f t="shared" si="555"/>
        <v>45225</v>
      </c>
      <c r="L2248" s="5">
        <f t="shared" si="556"/>
        <v>10</v>
      </c>
      <c r="M2248" s="5">
        <f t="shared" si="557"/>
        <v>2023</v>
      </c>
      <c r="N2248" s="96">
        <v>405</v>
      </c>
      <c r="O2248" s="6">
        <f t="shared" ref="O2248" si="559">-N2248</f>
        <v>-405</v>
      </c>
      <c r="P2248" s="6">
        <f t="shared" si="551"/>
        <v>0</v>
      </c>
      <c r="Q2248" s="7">
        <f t="shared" si="558"/>
        <v>3777216.2500000023</v>
      </c>
      <c r="R2248" s="44" t="str">
        <f>VLOOKUP(F2248,'Set up'!$A$2:$E$70,5,FALSE)</f>
        <v>Trsf</v>
      </c>
      <c r="S2248" s="1" t="s">
        <v>2972</v>
      </c>
    </row>
    <row r="2249" spans="1:19" ht="15" customHeight="1" x14ac:dyDescent="0.3">
      <c r="A2249" s="4">
        <v>45225</v>
      </c>
      <c r="B2249" s="5">
        <f t="shared" si="553"/>
        <v>10</v>
      </c>
      <c r="C2249" s="5">
        <f t="shared" si="554"/>
        <v>2023</v>
      </c>
      <c r="D2249" s="88" t="s">
        <v>2030</v>
      </c>
      <c r="E2249" s="5" t="str">
        <f>VLOOKUP(F2249,'Set up'!$A$2:$C$70,2,FALSE)</f>
        <v>C00000019</v>
      </c>
      <c r="F2249" s="1" t="s">
        <v>400</v>
      </c>
      <c r="G2249" s="99" t="s">
        <v>791</v>
      </c>
      <c r="H2249" s="5">
        <v>3</v>
      </c>
      <c r="I2249" s="5" t="str">
        <f>VLOOKUP(F2249,'Set up'!$A$2:$C$70,3,FALSE)</f>
        <v>Cash</v>
      </c>
      <c r="J2249" s="5">
        <f>VLOOKUP(F2249,'Set up'!$A$2:$D$70,4,FALSE)</f>
        <v>0</v>
      </c>
      <c r="K2249" s="4">
        <f t="shared" si="555"/>
        <v>45225</v>
      </c>
      <c r="L2249" s="5">
        <f t="shared" si="556"/>
        <v>10</v>
      </c>
      <c r="M2249" s="5">
        <f t="shared" si="557"/>
        <v>2023</v>
      </c>
      <c r="N2249" s="96">
        <v>187.5</v>
      </c>
      <c r="O2249" s="6">
        <f>-110.1-77.4</f>
        <v>-187.5</v>
      </c>
      <c r="P2249" s="6">
        <f t="shared" si="551"/>
        <v>0</v>
      </c>
      <c r="Q2249" s="7">
        <f t="shared" si="558"/>
        <v>3777403.7500000023</v>
      </c>
      <c r="R2249" s="44" t="str">
        <f>VLOOKUP(F2249,'Set up'!$A$2:$E$70,5,FALSE)</f>
        <v>Trsf</v>
      </c>
      <c r="S2249" s="1" t="s">
        <v>2973</v>
      </c>
    </row>
    <row r="2250" spans="1:19" ht="15" customHeight="1" x14ac:dyDescent="0.3">
      <c r="A2250" s="4">
        <v>45225</v>
      </c>
      <c r="B2250" s="5">
        <f t="shared" si="553"/>
        <v>10</v>
      </c>
      <c r="C2250" s="5">
        <f t="shared" si="554"/>
        <v>2023</v>
      </c>
      <c r="D2250" s="88" t="s">
        <v>2030</v>
      </c>
      <c r="E2250" s="5" t="str">
        <f>VLOOKUP(F2250,'Set up'!$A$2:$C$70,2,FALSE)</f>
        <v>C00000019</v>
      </c>
      <c r="F2250" s="1" t="s">
        <v>400</v>
      </c>
      <c r="G2250" s="99" t="s">
        <v>46</v>
      </c>
      <c r="H2250" s="5">
        <v>1</v>
      </c>
      <c r="I2250" s="5" t="str">
        <f>VLOOKUP(F2250,'Set up'!$A$2:$C$70,3,FALSE)</f>
        <v>Cash</v>
      </c>
      <c r="J2250" s="5">
        <f>VLOOKUP(F2250,'Set up'!$A$2:$D$70,4,FALSE)</f>
        <v>0</v>
      </c>
      <c r="K2250" s="4">
        <f t="shared" si="555"/>
        <v>45225</v>
      </c>
      <c r="L2250" s="5">
        <f t="shared" si="556"/>
        <v>10</v>
      </c>
      <c r="M2250" s="5">
        <f t="shared" si="557"/>
        <v>2023</v>
      </c>
      <c r="N2250" s="96">
        <v>105</v>
      </c>
      <c r="O2250" s="6">
        <f t="shared" ref="O2250:O2251" si="560">-N2250</f>
        <v>-105</v>
      </c>
      <c r="P2250" s="6">
        <f t="shared" si="551"/>
        <v>0</v>
      </c>
      <c r="Q2250" s="7">
        <f t="shared" si="558"/>
        <v>3777508.7500000023</v>
      </c>
      <c r="R2250" s="44" t="str">
        <f>VLOOKUP(F2250,'Set up'!$A$2:$E$70,5,FALSE)</f>
        <v>Trsf</v>
      </c>
      <c r="S2250" s="1" t="s">
        <v>2974</v>
      </c>
    </row>
    <row r="2251" spans="1:19" ht="15" customHeight="1" x14ac:dyDescent="0.3">
      <c r="A2251" s="4">
        <v>45225</v>
      </c>
      <c r="B2251" s="5">
        <f t="shared" si="553"/>
        <v>10</v>
      </c>
      <c r="C2251" s="5">
        <f t="shared" si="554"/>
        <v>2023</v>
      </c>
      <c r="D2251" s="88" t="s">
        <v>2030</v>
      </c>
      <c r="E2251" s="5" t="str">
        <f>VLOOKUP(F2251,'Set up'!$A$2:$C$70,2,FALSE)</f>
        <v>C00000019</v>
      </c>
      <c r="F2251" s="1" t="s">
        <v>400</v>
      </c>
      <c r="G2251" s="99" t="s">
        <v>949</v>
      </c>
      <c r="H2251" s="5">
        <v>2</v>
      </c>
      <c r="I2251" s="5" t="str">
        <f>VLOOKUP(F2251,'Set up'!$A$2:$C$70,3,FALSE)</f>
        <v>Cash</v>
      </c>
      <c r="J2251" s="5">
        <f>VLOOKUP(F2251,'Set up'!$A$2:$D$70,4,FALSE)</f>
        <v>0</v>
      </c>
      <c r="K2251" s="4">
        <f t="shared" si="555"/>
        <v>45225</v>
      </c>
      <c r="L2251" s="5">
        <f t="shared" si="556"/>
        <v>10</v>
      </c>
      <c r="M2251" s="5">
        <f t="shared" si="557"/>
        <v>2023</v>
      </c>
      <c r="N2251" s="96">
        <v>100</v>
      </c>
      <c r="O2251" s="6">
        <f t="shared" si="560"/>
        <v>-100</v>
      </c>
      <c r="P2251" s="6">
        <f t="shared" si="551"/>
        <v>0</v>
      </c>
      <c r="Q2251" s="7">
        <f t="shared" si="558"/>
        <v>3777608.7500000023</v>
      </c>
      <c r="R2251" s="44" t="str">
        <f>VLOOKUP(F2251,'Set up'!$A$2:$E$70,5,FALSE)</f>
        <v>Trsf</v>
      </c>
      <c r="S2251" s="1" t="s">
        <v>2975</v>
      </c>
    </row>
    <row r="2252" spans="1:19" ht="15" customHeight="1" x14ac:dyDescent="0.3">
      <c r="A2252" s="4">
        <v>45225</v>
      </c>
      <c r="B2252" s="5">
        <f t="shared" si="553"/>
        <v>10</v>
      </c>
      <c r="C2252" s="5">
        <f t="shared" si="554"/>
        <v>2023</v>
      </c>
      <c r="D2252" s="88" t="s">
        <v>2031</v>
      </c>
      <c r="E2252" s="5" t="str">
        <f>VLOOKUP(F2252,'Set up'!$A$2:$C$70,2,FALSE)</f>
        <v>C00000042</v>
      </c>
      <c r="F2252" s="1" t="s">
        <v>2012</v>
      </c>
      <c r="G2252" s="99" t="s">
        <v>1073</v>
      </c>
      <c r="H2252" s="5">
        <v>1</v>
      </c>
      <c r="I2252" s="5" t="str">
        <f>VLOOKUP(F2252,'Set up'!$A$2:$C$70,3,FALSE)</f>
        <v>Cash</v>
      </c>
      <c r="J2252" s="5">
        <f>VLOOKUP(F2252,'Set up'!$A$2:$D$70,4,FALSE)</f>
        <v>0</v>
      </c>
      <c r="K2252" s="4">
        <f t="shared" si="555"/>
        <v>45225</v>
      </c>
      <c r="L2252" s="5">
        <f t="shared" si="556"/>
        <v>10</v>
      </c>
      <c r="M2252" s="5">
        <f t="shared" si="557"/>
        <v>2023</v>
      </c>
      <c r="N2252" s="96">
        <v>1000</v>
      </c>
      <c r="O2252" s="6">
        <f>-N2252</f>
        <v>-1000</v>
      </c>
      <c r="P2252" s="6">
        <f t="shared" si="551"/>
        <v>0</v>
      </c>
      <c r="Q2252" s="7">
        <f t="shared" si="558"/>
        <v>3778608.7500000023</v>
      </c>
      <c r="R2252" s="44" t="str">
        <f>VLOOKUP(F2252,'Set up'!$A$2:$E$70,5,FALSE)</f>
        <v>Trsf</v>
      </c>
      <c r="S2252" s="1" t="s">
        <v>2676</v>
      </c>
    </row>
    <row r="2253" spans="1:19" ht="15" customHeight="1" x14ac:dyDescent="0.3">
      <c r="A2253" s="4">
        <v>45226</v>
      </c>
      <c r="B2253" s="5">
        <f t="shared" si="553"/>
        <v>10</v>
      </c>
      <c r="C2253" s="5">
        <f t="shared" si="554"/>
        <v>2023</v>
      </c>
      <c r="D2253" s="88" t="s">
        <v>2032</v>
      </c>
      <c r="E2253" s="5" t="str">
        <f>VLOOKUP(F2253,'Set up'!$A$2:$C$70,2,FALSE)</f>
        <v>C00000019</v>
      </c>
      <c r="F2253" s="1" t="s">
        <v>400</v>
      </c>
      <c r="G2253" s="99" t="s">
        <v>44</v>
      </c>
      <c r="H2253" s="5">
        <v>1</v>
      </c>
      <c r="I2253" s="5" t="str">
        <f>VLOOKUP(F2253,'Set up'!$A$2:$C$70,3,FALSE)</f>
        <v>Cash</v>
      </c>
      <c r="J2253" s="5">
        <f>VLOOKUP(F2253,'Set up'!$A$2:$D$70,4,FALSE)</f>
        <v>0</v>
      </c>
      <c r="K2253" s="4">
        <f t="shared" si="555"/>
        <v>45226</v>
      </c>
      <c r="L2253" s="5">
        <f t="shared" si="556"/>
        <v>10</v>
      </c>
      <c r="M2253" s="5">
        <f t="shared" si="557"/>
        <v>2023</v>
      </c>
      <c r="N2253" s="96">
        <v>258</v>
      </c>
      <c r="O2253" s="6">
        <f t="shared" ref="O2253:O2254" si="561">-N2253</f>
        <v>-258</v>
      </c>
      <c r="P2253" s="6">
        <f t="shared" si="551"/>
        <v>0</v>
      </c>
      <c r="Q2253" s="7">
        <f t="shared" si="558"/>
        <v>3778866.7500000023</v>
      </c>
      <c r="R2253" s="44" t="str">
        <f>VLOOKUP(F2253,'Set up'!$A$2:$E$70,5,FALSE)</f>
        <v>Trsf</v>
      </c>
      <c r="S2253" s="1" t="s">
        <v>2976</v>
      </c>
    </row>
    <row r="2254" spans="1:19" ht="15" customHeight="1" x14ac:dyDescent="0.3">
      <c r="A2254" s="4">
        <v>45226</v>
      </c>
      <c r="B2254" s="5">
        <f t="shared" si="553"/>
        <v>10</v>
      </c>
      <c r="C2254" s="5">
        <f t="shared" si="554"/>
        <v>2023</v>
      </c>
      <c r="D2254" s="88" t="s">
        <v>2032</v>
      </c>
      <c r="E2254" s="5" t="str">
        <f>VLOOKUP(F2254,'Set up'!$A$2:$C$70,2,FALSE)</f>
        <v>C00000019</v>
      </c>
      <c r="F2254" s="1" t="s">
        <v>400</v>
      </c>
      <c r="G2254" s="99" t="s">
        <v>1469</v>
      </c>
      <c r="H2254" s="5">
        <v>1</v>
      </c>
      <c r="I2254" s="5" t="str">
        <f>VLOOKUP(F2254,'Set up'!$A$2:$C$70,3,FALSE)</f>
        <v>Cash</v>
      </c>
      <c r="J2254" s="5">
        <f>VLOOKUP(F2254,'Set up'!$A$2:$D$70,4,FALSE)</f>
        <v>0</v>
      </c>
      <c r="K2254" s="4">
        <f t="shared" si="555"/>
        <v>45226</v>
      </c>
      <c r="L2254" s="5">
        <f t="shared" si="556"/>
        <v>10</v>
      </c>
      <c r="M2254" s="5">
        <f t="shared" si="557"/>
        <v>2023</v>
      </c>
      <c r="N2254" s="96">
        <v>390</v>
      </c>
      <c r="O2254" s="6">
        <f t="shared" si="561"/>
        <v>-390</v>
      </c>
      <c r="P2254" s="6">
        <f t="shared" si="551"/>
        <v>0</v>
      </c>
      <c r="Q2254" s="7">
        <f t="shared" si="558"/>
        <v>3779256.7500000023</v>
      </c>
      <c r="R2254" s="44" t="str">
        <f>VLOOKUP(F2254,'Set up'!$A$2:$E$70,5,FALSE)</f>
        <v>Trsf</v>
      </c>
      <c r="S2254" s="1" t="s">
        <v>2977</v>
      </c>
    </row>
    <row r="2255" spans="1:19" ht="15" customHeight="1" x14ac:dyDescent="0.3">
      <c r="A2255" s="4">
        <v>45226</v>
      </c>
      <c r="B2255" s="5">
        <f t="shared" si="553"/>
        <v>10</v>
      </c>
      <c r="C2255" s="5">
        <f t="shared" si="554"/>
        <v>2023</v>
      </c>
      <c r="D2255" s="88" t="s">
        <v>2033</v>
      </c>
      <c r="E2255" s="5" t="str">
        <f>VLOOKUP(F2255,'Set up'!$A$2:$C$70,2,FALSE)</f>
        <v>C00000034</v>
      </c>
      <c r="F2255" s="1" t="s">
        <v>1196</v>
      </c>
      <c r="G2255" s="11" t="s">
        <v>1351</v>
      </c>
      <c r="H2255" s="5">
        <v>5</v>
      </c>
      <c r="I2255" s="5" t="str">
        <f>VLOOKUP(F2255,'Set up'!$A$2:$C$70,3,FALSE)</f>
        <v>Cash</v>
      </c>
      <c r="J2255" s="5">
        <f>VLOOKUP(F2255,'Set up'!$A$2:$D$70,4,FALSE)</f>
        <v>0</v>
      </c>
      <c r="K2255" s="4">
        <f t="shared" si="555"/>
        <v>45226</v>
      </c>
      <c r="L2255" s="5">
        <f t="shared" si="556"/>
        <v>10</v>
      </c>
      <c r="M2255" s="5">
        <f t="shared" si="557"/>
        <v>2023</v>
      </c>
      <c r="N2255" s="96">
        <v>695</v>
      </c>
      <c r="O2255" s="6">
        <f>-196.7-498.3</f>
        <v>-695</v>
      </c>
      <c r="P2255" s="6">
        <f t="shared" si="551"/>
        <v>0</v>
      </c>
      <c r="Q2255" s="7">
        <f t="shared" si="558"/>
        <v>3779951.7500000023</v>
      </c>
      <c r="R2255" s="44" t="str">
        <f>VLOOKUP(F2255,'Set up'!$A$2:$E$70,5,FALSE)</f>
        <v>Trsf</v>
      </c>
      <c r="S2255" s="1" t="s">
        <v>2826</v>
      </c>
    </row>
    <row r="2256" spans="1:19" ht="15" customHeight="1" x14ac:dyDescent="0.3">
      <c r="A2256" s="4">
        <v>45227</v>
      </c>
      <c r="B2256" s="5">
        <f t="shared" si="553"/>
        <v>10</v>
      </c>
      <c r="C2256" s="5">
        <f t="shared" si="554"/>
        <v>2023</v>
      </c>
      <c r="D2256" s="88" t="s">
        <v>2034</v>
      </c>
      <c r="E2256" s="5" t="str">
        <f>VLOOKUP(F2256,'Set up'!$A$2:$C$70,2,FALSE)</f>
        <v>C00000042</v>
      </c>
      <c r="F2256" s="1" t="s">
        <v>2012</v>
      </c>
      <c r="G2256" s="99" t="s">
        <v>1110</v>
      </c>
      <c r="H2256" s="5">
        <v>3</v>
      </c>
      <c r="I2256" s="5" t="str">
        <f>VLOOKUP(F2256,'Set up'!$A$2:$C$70,3,FALSE)</f>
        <v>Cash</v>
      </c>
      <c r="J2256" s="5">
        <f>VLOOKUP(F2256,'Set up'!$A$2:$D$70,4,FALSE)</f>
        <v>0</v>
      </c>
      <c r="K2256" s="4">
        <f t="shared" si="555"/>
        <v>45227</v>
      </c>
      <c r="L2256" s="5">
        <f t="shared" si="556"/>
        <v>10</v>
      </c>
      <c r="M2256" s="5">
        <f t="shared" si="557"/>
        <v>2023</v>
      </c>
      <c r="N2256" s="96">
        <v>187.5</v>
      </c>
      <c r="O2256" s="6">
        <f>-N2256</f>
        <v>-187.5</v>
      </c>
      <c r="P2256" s="6">
        <f t="shared" si="551"/>
        <v>0</v>
      </c>
      <c r="Q2256" s="7">
        <f t="shared" si="558"/>
        <v>3780139.2500000023</v>
      </c>
      <c r="R2256" s="44" t="str">
        <f>VLOOKUP(F2256,'Set up'!$A$2:$E$70,5,FALSE)</f>
        <v>Trsf</v>
      </c>
      <c r="S2256" s="1" t="s">
        <v>2677</v>
      </c>
    </row>
    <row r="2257" spans="1:19" ht="15" customHeight="1" x14ac:dyDescent="0.3">
      <c r="A2257" s="4">
        <v>45227</v>
      </c>
      <c r="B2257" s="5">
        <f t="shared" si="553"/>
        <v>10</v>
      </c>
      <c r="C2257" s="5">
        <f t="shared" si="554"/>
        <v>2023</v>
      </c>
      <c r="D2257" s="88" t="s">
        <v>2035</v>
      </c>
      <c r="E2257" s="5" t="str">
        <f>VLOOKUP(F2257,'Set up'!$A$2:$C$70,2,FALSE)</f>
        <v>C00000042</v>
      </c>
      <c r="F2257" s="1" t="s">
        <v>2012</v>
      </c>
      <c r="G2257" s="99" t="s">
        <v>1733</v>
      </c>
      <c r="H2257" s="5">
        <v>3</v>
      </c>
      <c r="I2257" s="5" t="str">
        <f>VLOOKUP(F2257,'Set up'!$A$2:$C$70,3,FALSE)</f>
        <v>Cash</v>
      </c>
      <c r="J2257" s="5">
        <f>VLOOKUP(F2257,'Set up'!$A$2:$D$70,4,FALSE)</f>
        <v>0</v>
      </c>
      <c r="K2257" s="4">
        <f t="shared" si="555"/>
        <v>45227</v>
      </c>
      <c r="L2257" s="5">
        <f t="shared" si="556"/>
        <v>10</v>
      </c>
      <c r="M2257" s="5">
        <f t="shared" si="557"/>
        <v>2023</v>
      </c>
      <c r="N2257" s="96">
        <v>4884</v>
      </c>
      <c r="O2257" s="6">
        <f>-N2257</f>
        <v>-4884</v>
      </c>
      <c r="P2257" s="6">
        <f t="shared" si="551"/>
        <v>0</v>
      </c>
      <c r="Q2257" s="7">
        <f t="shared" si="558"/>
        <v>3785023.2500000023</v>
      </c>
      <c r="R2257" s="44" t="str">
        <f>VLOOKUP(F2257,'Set up'!$A$2:$E$70,5,FALSE)</f>
        <v>Trsf</v>
      </c>
      <c r="S2257" s="1" t="s">
        <v>2678</v>
      </c>
    </row>
    <row r="2258" spans="1:19" ht="15" customHeight="1" x14ac:dyDescent="0.3">
      <c r="A2258" s="4">
        <v>45227</v>
      </c>
      <c r="B2258" s="5">
        <f t="shared" si="553"/>
        <v>10</v>
      </c>
      <c r="C2258" s="5">
        <f t="shared" si="554"/>
        <v>2023</v>
      </c>
      <c r="D2258" s="88" t="s">
        <v>2035</v>
      </c>
      <c r="E2258" s="5" t="str">
        <f>VLOOKUP(F2258,'Set up'!$A$2:$C$70,2,FALSE)</f>
        <v>C00000042</v>
      </c>
      <c r="F2258" s="1" t="s">
        <v>2012</v>
      </c>
      <c r="G2258" s="99" t="s">
        <v>913</v>
      </c>
      <c r="H2258" s="5">
        <v>9</v>
      </c>
      <c r="I2258" s="5" t="str">
        <f>VLOOKUP(F2258,'Set up'!$A$2:$C$70,3,FALSE)</f>
        <v>Cash</v>
      </c>
      <c r="J2258" s="5">
        <f>VLOOKUP(F2258,'Set up'!$A$2:$D$70,4,FALSE)</f>
        <v>0</v>
      </c>
      <c r="K2258" s="4">
        <f t="shared" si="555"/>
        <v>45227</v>
      </c>
      <c r="L2258" s="5">
        <f t="shared" si="556"/>
        <v>10</v>
      </c>
      <c r="M2258" s="5">
        <f t="shared" si="557"/>
        <v>2023</v>
      </c>
      <c r="N2258" s="96">
        <v>1620</v>
      </c>
      <c r="O2258" s="6">
        <f>-N2258</f>
        <v>-1620</v>
      </c>
      <c r="P2258" s="6">
        <f t="shared" si="551"/>
        <v>0</v>
      </c>
      <c r="Q2258" s="7">
        <f t="shared" si="558"/>
        <v>3786643.2500000023</v>
      </c>
      <c r="R2258" s="44" t="str">
        <f>VLOOKUP(F2258,'Set up'!$A$2:$E$70,5,FALSE)</f>
        <v>Trsf</v>
      </c>
      <c r="S2258" s="1" t="s">
        <v>2679</v>
      </c>
    </row>
    <row r="2259" spans="1:19" ht="15" customHeight="1" x14ac:dyDescent="0.3">
      <c r="A2259" s="4">
        <v>45227</v>
      </c>
      <c r="B2259" s="5">
        <f t="shared" si="553"/>
        <v>10</v>
      </c>
      <c r="C2259" s="5">
        <f t="shared" si="554"/>
        <v>2023</v>
      </c>
      <c r="D2259" s="88" t="s">
        <v>2035</v>
      </c>
      <c r="E2259" s="5" t="str">
        <f>VLOOKUP(F2259,'Set up'!$A$2:$C$70,2,FALSE)</f>
        <v>C00000042</v>
      </c>
      <c r="F2259" s="1" t="s">
        <v>2012</v>
      </c>
      <c r="G2259" s="99" t="s">
        <v>1922</v>
      </c>
      <c r="H2259" s="5">
        <v>4</v>
      </c>
      <c r="I2259" s="5" t="str">
        <f>VLOOKUP(F2259,'Set up'!$A$2:$C$70,3,FALSE)</f>
        <v>Cash</v>
      </c>
      <c r="J2259" s="5">
        <f>VLOOKUP(F2259,'Set up'!$A$2:$D$70,4,FALSE)</f>
        <v>0</v>
      </c>
      <c r="K2259" s="4">
        <f t="shared" si="555"/>
        <v>45227</v>
      </c>
      <c r="L2259" s="5">
        <f t="shared" si="556"/>
        <v>10</v>
      </c>
      <c r="M2259" s="5">
        <f t="shared" si="557"/>
        <v>2023</v>
      </c>
      <c r="N2259" s="96">
        <v>936</v>
      </c>
      <c r="O2259" s="6">
        <f>-N2259</f>
        <v>-936</v>
      </c>
      <c r="P2259" s="6">
        <f t="shared" ref="P2259:P2322" si="562">SUM(N2259+O2259)</f>
        <v>0</v>
      </c>
      <c r="Q2259" s="7">
        <f t="shared" si="558"/>
        <v>3787579.2500000023</v>
      </c>
      <c r="R2259" s="44" t="str">
        <f>VLOOKUP(F2259,'Set up'!$A$2:$E$70,5,FALSE)</f>
        <v>Trsf</v>
      </c>
      <c r="S2259" s="1" t="s">
        <v>2680</v>
      </c>
    </row>
    <row r="2260" spans="1:19" ht="15" customHeight="1" x14ac:dyDescent="0.3">
      <c r="A2260" s="4">
        <v>45229</v>
      </c>
      <c r="B2260" s="5">
        <f t="shared" si="553"/>
        <v>10</v>
      </c>
      <c r="C2260" s="5">
        <f t="shared" si="554"/>
        <v>2023</v>
      </c>
      <c r="D2260" s="88" t="s">
        <v>2036</v>
      </c>
      <c r="E2260" s="5" t="str">
        <f>VLOOKUP(F2260,'Set up'!$A$2:$C$70,2,FALSE)</f>
        <v>C00000037</v>
      </c>
      <c r="F2260" s="1" t="s">
        <v>1309</v>
      </c>
      <c r="G2260" s="99" t="s">
        <v>1894</v>
      </c>
      <c r="H2260" s="5">
        <v>5</v>
      </c>
      <c r="I2260" s="5">
        <f>VLOOKUP(F2260,'Set up'!$A$2:$C$70,3,FALSE)</f>
        <v>30</v>
      </c>
      <c r="J2260" s="5">
        <f>VLOOKUP(F2260,'Set up'!$A$2:$D$70,4,FALSE)</f>
        <v>30</v>
      </c>
      <c r="K2260" s="4">
        <f t="shared" si="555"/>
        <v>45259</v>
      </c>
      <c r="L2260" s="5">
        <f t="shared" si="556"/>
        <v>11</v>
      </c>
      <c r="M2260" s="5">
        <f t="shared" si="557"/>
        <v>2023</v>
      </c>
      <c r="N2260" s="96">
        <v>8690</v>
      </c>
      <c r="O2260" s="6">
        <f t="shared" ref="O2260:O2268" si="563">-N2260</f>
        <v>-8690</v>
      </c>
      <c r="P2260" s="6">
        <f t="shared" si="562"/>
        <v>0</v>
      </c>
      <c r="Q2260" s="7">
        <f t="shared" si="558"/>
        <v>3796269.2500000023</v>
      </c>
      <c r="R2260" s="44" t="str">
        <f>VLOOKUP(F2260,'Set up'!$A$2:$E$70,5,FALSE)</f>
        <v>Chq</v>
      </c>
      <c r="S2260" s="1" t="s">
        <v>2121</v>
      </c>
    </row>
    <row r="2261" spans="1:19" ht="15" customHeight="1" x14ac:dyDescent="0.3">
      <c r="A2261" s="4">
        <v>45229</v>
      </c>
      <c r="B2261" s="5">
        <f t="shared" si="553"/>
        <v>10</v>
      </c>
      <c r="C2261" s="5">
        <f t="shared" si="554"/>
        <v>2023</v>
      </c>
      <c r="D2261" s="88" t="s">
        <v>2036</v>
      </c>
      <c r="E2261" s="5" t="str">
        <f>VLOOKUP(F2261,'Set up'!$A$2:$C$70,2,FALSE)</f>
        <v>C00000037</v>
      </c>
      <c r="F2261" s="1" t="s">
        <v>1309</v>
      </c>
      <c r="G2261" s="99" t="s">
        <v>1545</v>
      </c>
      <c r="H2261" s="5">
        <v>5</v>
      </c>
      <c r="I2261" s="5">
        <f>VLOOKUP(F2261,'Set up'!$A$2:$C$70,3,FALSE)</f>
        <v>30</v>
      </c>
      <c r="J2261" s="5">
        <f>VLOOKUP(F2261,'Set up'!$A$2:$D$70,4,FALSE)</f>
        <v>30</v>
      </c>
      <c r="K2261" s="4">
        <f t="shared" si="555"/>
        <v>45259</v>
      </c>
      <c r="L2261" s="5">
        <f t="shared" si="556"/>
        <v>11</v>
      </c>
      <c r="M2261" s="5">
        <f t="shared" si="557"/>
        <v>2023</v>
      </c>
      <c r="N2261" s="96">
        <v>2613</v>
      </c>
      <c r="O2261" s="6">
        <f t="shared" si="563"/>
        <v>-2613</v>
      </c>
      <c r="P2261" s="6">
        <f t="shared" si="562"/>
        <v>0</v>
      </c>
      <c r="Q2261" s="7">
        <f t="shared" si="558"/>
        <v>3798882.2500000023</v>
      </c>
      <c r="R2261" s="44" t="str">
        <f>VLOOKUP(F2261,'Set up'!$A$2:$E$70,5,FALSE)</f>
        <v>Chq</v>
      </c>
      <c r="S2261" s="1" t="s">
        <v>2122</v>
      </c>
    </row>
    <row r="2262" spans="1:19" ht="15" customHeight="1" x14ac:dyDescent="0.3">
      <c r="A2262" s="4">
        <v>45229</v>
      </c>
      <c r="B2262" s="5">
        <f t="shared" si="553"/>
        <v>10</v>
      </c>
      <c r="C2262" s="5">
        <f t="shared" si="554"/>
        <v>2023</v>
      </c>
      <c r="D2262" s="88" t="s">
        <v>2036</v>
      </c>
      <c r="E2262" s="5" t="str">
        <f>VLOOKUP(F2262,'Set up'!$A$2:$C$70,2,FALSE)</f>
        <v>C00000037</v>
      </c>
      <c r="F2262" s="1" t="s">
        <v>1309</v>
      </c>
      <c r="G2262" s="99" t="s">
        <v>707</v>
      </c>
      <c r="H2262" s="5">
        <v>2</v>
      </c>
      <c r="I2262" s="5">
        <f>VLOOKUP(F2262,'Set up'!$A$2:$C$70,3,FALSE)</f>
        <v>30</v>
      </c>
      <c r="J2262" s="5">
        <f>VLOOKUP(F2262,'Set up'!$A$2:$D$70,4,FALSE)</f>
        <v>30</v>
      </c>
      <c r="K2262" s="4">
        <f t="shared" si="555"/>
        <v>45259</v>
      </c>
      <c r="L2262" s="5">
        <f t="shared" si="556"/>
        <v>11</v>
      </c>
      <c r="M2262" s="5">
        <f t="shared" si="557"/>
        <v>2023</v>
      </c>
      <c r="N2262" s="96">
        <v>842.4</v>
      </c>
      <c r="O2262" s="6">
        <f t="shared" si="563"/>
        <v>-842.4</v>
      </c>
      <c r="P2262" s="6">
        <f t="shared" si="562"/>
        <v>0</v>
      </c>
      <c r="Q2262" s="7">
        <f t="shared" si="558"/>
        <v>3799724.6500000022</v>
      </c>
      <c r="R2262" s="44" t="str">
        <f>VLOOKUP(F2262,'Set up'!$A$2:$E$70,5,FALSE)</f>
        <v>Chq</v>
      </c>
      <c r="S2262" s="1" t="s">
        <v>2123</v>
      </c>
    </row>
    <row r="2263" spans="1:19" ht="15" customHeight="1" x14ac:dyDescent="0.3">
      <c r="A2263" s="4">
        <v>45229</v>
      </c>
      <c r="B2263" s="5">
        <f t="shared" si="553"/>
        <v>10</v>
      </c>
      <c r="C2263" s="5">
        <f t="shared" si="554"/>
        <v>2023</v>
      </c>
      <c r="D2263" s="88" t="s">
        <v>2036</v>
      </c>
      <c r="E2263" s="5" t="str">
        <f>VLOOKUP(F2263,'Set up'!$A$2:$C$70,2,FALSE)</f>
        <v>C00000037</v>
      </c>
      <c r="F2263" s="1" t="s">
        <v>1309</v>
      </c>
      <c r="G2263" s="99" t="s">
        <v>1405</v>
      </c>
      <c r="H2263" s="5">
        <v>6</v>
      </c>
      <c r="I2263" s="5">
        <f>VLOOKUP(F2263,'Set up'!$A$2:$C$70,3,FALSE)</f>
        <v>30</v>
      </c>
      <c r="J2263" s="5">
        <f>VLOOKUP(F2263,'Set up'!$A$2:$D$70,4,FALSE)</f>
        <v>30</v>
      </c>
      <c r="K2263" s="4">
        <f t="shared" si="555"/>
        <v>45259</v>
      </c>
      <c r="L2263" s="5">
        <f t="shared" si="556"/>
        <v>11</v>
      </c>
      <c r="M2263" s="5">
        <f t="shared" si="557"/>
        <v>2023</v>
      </c>
      <c r="N2263" s="96">
        <v>288</v>
      </c>
      <c r="O2263" s="6">
        <f t="shared" si="563"/>
        <v>-288</v>
      </c>
      <c r="P2263" s="6">
        <f t="shared" si="562"/>
        <v>0</v>
      </c>
      <c r="Q2263" s="7">
        <f t="shared" si="558"/>
        <v>3800012.6500000022</v>
      </c>
      <c r="R2263" s="44" t="str">
        <f>VLOOKUP(F2263,'Set up'!$A$2:$E$70,5,FALSE)</f>
        <v>Chq</v>
      </c>
      <c r="S2263" s="1" t="s">
        <v>2124</v>
      </c>
    </row>
    <row r="2264" spans="1:19" ht="15" customHeight="1" x14ac:dyDescent="0.3">
      <c r="A2264" s="4">
        <v>45229</v>
      </c>
      <c r="B2264" s="5">
        <f t="shared" si="553"/>
        <v>10</v>
      </c>
      <c r="C2264" s="5">
        <f t="shared" si="554"/>
        <v>2023</v>
      </c>
      <c r="D2264" s="88" t="s">
        <v>2036</v>
      </c>
      <c r="E2264" s="5" t="str">
        <f>VLOOKUP(F2264,'Set up'!$A$2:$C$70,2,FALSE)</f>
        <v>C00000037</v>
      </c>
      <c r="F2264" s="1" t="s">
        <v>1309</v>
      </c>
      <c r="G2264" s="99" t="s">
        <v>1110</v>
      </c>
      <c r="H2264" s="5">
        <v>10</v>
      </c>
      <c r="I2264" s="5">
        <f>VLOOKUP(F2264,'Set up'!$A$2:$C$70,3,FALSE)</f>
        <v>30</v>
      </c>
      <c r="J2264" s="5">
        <f>VLOOKUP(F2264,'Set up'!$A$2:$D$70,4,FALSE)</f>
        <v>30</v>
      </c>
      <c r="K2264" s="4">
        <f t="shared" si="555"/>
        <v>45259</v>
      </c>
      <c r="L2264" s="5">
        <f t="shared" si="556"/>
        <v>11</v>
      </c>
      <c r="M2264" s="5">
        <f t="shared" si="557"/>
        <v>2023</v>
      </c>
      <c r="N2264" s="96">
        <v>625</v>
      </c>
      <c r="O2264" s="6">
        <f t="shared" si="563"/>
        <v>-625</v>
      </c>
      <c r="P2264" s="6">
        <f t="shared" si="562"/>
        <v>0</v>
      </c>
      <c r="Q2264" s="7">
        <f t="shared" si="558"/>
        <v>3800637.6500000022</v>
      </c>
      <c r="R2264" s="44" t="str">
        <f>VLOOKUP(F2264,'Set up'!$A$2:$E$70,5,FALSE)</f>
        <v>Chq</v>
      </c>
      <c r="S2264" s="1" t="s">
        <v>2125</v>
      </c>
    </row>
    <row r="2265" spans="1:19" ht="15" customHeight="1" x14ac:dyDescent="0.3">
      <c r="A2265" s="4">
        <v>45229</v>
      </c>
      <c r="B2265" s="5">
        <f t="shared" si="553"/>
        <v>10</v>
      </c>
      <c r="C2265" s="5">
        <f t="shared" si="554"/>
        <v>2023</v>
      </c>
      <c r="D2265" s="88" t="s">
        <v>2036</v>
      </c>
      <c r="E2265" s="5" t="str">
        <f>VLOOKUP(F2265,'Set up'!$A$2:$C$70,2,FALSE)</f>
        <v>C00000037</v>
      </c>
      <c r="F2265" s="1" t="s">
        <v>1309</v>
      </c>
      <c r="G2265" s="99" t="s">
        <v>44</v>
      </c>
      <c r="H2265" s="5">
        <v>1</v>
      </c>
      <c r="I2265" s="5">
        <f>VLOOKUP(F2265,'Set up'!$A$2:$C$70,3,FALSE)</f>
        <v>30</v>
      </c>
      <c r="J2265" s="5">
        <f>VLOOKUP(F2265,'Set up'!$A$2:$D$70,4,FALSE)</f>
        <v>30</v>
      </c>
      <c r="K2265" s="4">
        <f t="shared" si="555"/>
        <v>45259</v>
      </c>
      <c r="L2265" s="5">
        <f t="shared" si="556"/>
        <v>11</v>
      </c>
      <c r="M2265" s="5">
        <f t="shared" si="557"/>
        <v>2023</v>
      </c>
      <c r="N2265" s="96">
        <v>260</v>
      </c>
      <c r="O2265" s="6">
        <f t="shared" si="563"/>
        <v>-260</v>
      </c>
      <c r="P2265" s="6">
        <f t="shared" si="562"/>
        <v>0</v>
      </c>
      <c r="Q2265" s="7">
        <f t="shared" si="558"/>
        <v>3800897.6500000022</v>
      </c>
      <c r="R2265" s="44" t="str">
        <f>VLOOKUP(F2265,'Set up'!$A$2:$E$70,5,FALSE)</f>
        <v>Chq</v>
      </c>
      <c r="S2265" s="1" t="s">
        <v>2126</v>
      </c>
    </row>
    <row r="2266" spans="1:19" ht="15" customHeight="1" x14ac:dyDescent="0.3">
      <c r="A2266" s="4">
        <v>45229</v>
      </c>
      <c r="B2266" s="5">
        <f t="shared" si="553"/>
        <v>10</v>
      </c>
      <c r="C2266" s="5">
        <f t="shared" si="554"/>
        <v>2023</v>
      </c>
      <c r="D2266" s="88" t="s">
        <v>2036</v>
      </c>
      <c r="E2266" s="5" t="str">
        <f>VLOOKUP(F2266,'Set up'!$A$2:$C$70,2,FALSE)</f>
        <v>C00000037</v>
      </c>
      <c r="F2266" s="1" t="s">
        <v>1309</v>
      </c>
      <c r="G2266" s="99" t="s">
        <v>1061</v>
      </c>
      <c r="H2266" s="5">
        <v>3</v>
      </c>
      <c r="I2266" s="5">
        <f>VLOOKUP(F2266,'Set up'!$A$2:$C$70,3,FALSE)</f>
        <v>30</v>
      </c>
      <c r="J2266" s="5">
        <f>VLOOKUP(F2266,'Set up'!$A$2:$D$70,4,FALSE)</f>
        <v>30</v>
      </c>
      <c r="K2266" s="4">
        <f t="shared" si="555"/>
        <v>45259</v>
      </c>
      <c r="L2266" s="5">
        <f t="shared" si="556"/>
        <v>11</v>
      </c>
      <c r="M2266" s="5">
        <f t="shared" si="557"/>
        <v>2023</v>
      </c>
      <c r="N2266" s="96">
        <v>285</v>
      </c>
      <c r="O2266" s="6">
        <f t="shared" si="563"/>
        <v>-285</v>
      </c>
      <c r="P2266" s="6">
        <f t="shared" si="562"/>
        <v>0</v>
      </c>
      <c r="Q2266" s="7">
        <f t="shared" si="558"/>
        <v>3801182.6500000022</v>
      </c>
      <c r="R2266" s="44" t="str">
        <f>VLOOKUP(F2266,'Set up'!$A$2:$E$70,5,FALSE)</f>
        <v>Chq</v>
      </c>
      <c r="S2266" s="1" t="s">
        <v>2127</v>
      </c>
    </row>
    <row r="2267" spans="1:19" ht="15" customHeight="1" x14ac:dyDescent="0.3">
      <c r="A2267" s="4">
        <v>45229</v>
      </c>
      <c r="B2267" s="5">
        <f t="shared" si="553"/>
        <v>10</v>
      </c>
      <c r="C2267" s="5">
        <f t="shared" si="554"/>
        <v>2023</v>
      </c>
      <c r="D2267" s="88" t="s">
        <v>2036</v>
      </c>
      <c r="E2267" s="5" t="str">
        <f>VLOOKUP(F2267,'Set up'!$A$2:$C$70,2,FALSE)</f>
        <v>C00000037</v>
      </c>
      <c r="F2267" s="1" t="s">
        <v>1309</v>
      </c>
      <c r="G2267" s="99" t="s">
        <v>1546</v>
      </c>
      <c r="H2267" s="5">
        <v>1</v>
      </c>
      <c r="I2267" s="5">
        <f>VLOOKUP(F2267,'Set up'!$A$2:$C$70,3,FALSE)</f>
        <v>30</v>
      </c>
      <c r="J2267" s="5">
        <f>VLOOKUP(F2267,'Set up'!$A$2:$D$70,4,FALSE)</f>
        <v>30</v>
      </c>
      <c r="K2267" s="4">
        <f t="shared" si="555"/>
        <v>45259</v>
      </c>
      <c r="L2267" s="5">
        <f t="shared" si="556"/>
        <v>11</v>
      </c>
      <c r="M2267" s="5">
        <f t="shared" si="557"/>
        <v>2023</v>
      </c>
      <c r="N2267" s="96">
        <v>930</v>
      </c>
      <c r="O2267" s="6">
        <f t="shared" si="563"/>
        <v>-930</v>
      </c>
      <c r="P2267" s="6">
        <f t="shared" si="562"/>
        <v>0</v>
      </c>
      <c r="Q2267" s="7">
        <f t="shared" si="558"/>
        <v>3802112.6500000022</v>
      </c>
      <c r="R2267" s="44" t="str">
        <f>VLOOKUP(F2267,'Set up'!$A$2:$E$70,5,FALSE)</f>
        <v>Chq</v>
      </c>
      <c r="S2267" s="1" t="s">
        <v>2128</v>
      </c>
    </row>
    <row r="2268" spans="1:19" ht="15" customHeight="1" x14ac:dyDescent="0.3">
      <c r="A2268" s="4">
        <v>45229</v>
      </c>
      <c r="B2268" s="5">
        <f t="shared" si="553"/>
        <v>10</v>
      </c>
      <c r="C2268" s="5">
        <f t="shared" si="554"/>
        <v>2023</v>
      </c>
      <c r="D2268" s="88" t="s">
        <v>2036</v>
      </c>
      <c r="E2268" s="5" t="str">
        <f>VLOOKUP(F2268,'Set up'!$A$2:$C$70,2,FALSE)</f>
        <v>C00000037</v>
      </c>
      <c r="F2268" s="1" t="s">
        <v>1309</v>
      </c>
      <c r="G2268" s="99" t="s">
        <v>1399</v>
      </c>
      <c r="H2268" s="5">
        <v>6</v>
      </c>
      <c r="I2268" s="5">
        <f>VLOOKUP(F2268,'Set up'!$A$2:$C$70,3,FALSE)</f>
        <v>30</v>
      </c>
      <c r="J2268" s="5">
        <f>VLOOKUP(F2268,'Set up'!$A$2:$D$70,4,FALSE)</f>
        <v>30</v>
      </c>
      <c r="K2268" s="4">
        <f t="shared" si="555"/>
        <v>45259</v>
      </c>
      <c r="L2268" s="5">
        <f t="shared" si="556"/>
        <v>11</v>
      </c>
      <c r="M2268" s="5">
        <f t="shared" si="557"/>
        <v>2023</v>
      </c>
      <c r="N2268" s="96">
        <v>930</v>
      </c>
      <c r="O2268" s="6">
        <f t="shared" si="563"/>
        <v>-930</v>
      </c>
      <c r="P2268" s="6">
        <f t="shared" si="562"/>
        <v>0</v>
      </c>
      <c r="Q2268" s="7">
        <f t="shared" si="558"/>
        <v>3803042.6500000022</v>
      </c>
      <c r="R2268" s="44" t="str">
        <f>VLOOKUP(F2268,'Set up'!$A$2:$E$70,5,FALSE)</f>
        <v>Chq</v>
      </c>
      <c r="S2268" s="1" t="s">
        <v>2128</v>
      </c>
    </row>
    <row r="2269" spans="1:19" ht="15" customHeight="1" x14ac:dyDescent="0.3">
      <c r="A2269" s="4">
        <v>45229</v>
      </c>
      <c r="B2269" s="5">
        <f t="shared" si="553"/>
        <v>10</v>
      </c>
      <c r="C2269" s="5">
        <f t="shared" si="554"/>
        <v>2023</v>
      </c>
      <c r="D2269" s="88" t="s">
        <v>2090</v>
      </c>
      <c r="E2269" s="5" t="str">
        <f>VLOOKUP(F2269,'Set up'!$A$2:$C$70,2,FALSE)</f>
        <v>C00000042</v>
      </c>
      <c r="F2269" s="1" t="s">
        <v>2012</v>
      </c>
      <c r="G2269" s="99" t="s">
        <v>1073</v>
      </c>
      <c r="H2269" s="5">
        <v>1</v>
      </c>
      <c r="I2269" s="5" t="str">
        <f>VLOOKUP(F2269,'Set up'!$A$2:$C$70,3,FALSE)</f>
        <v>Cash</v>
      </c>
      <c r="J2269" s="5">
        <f>VLOOKUP(F2269,'Set up'!$A$2:$D$70,4,FALSE)</f>
        <v>0</v>
      </c>
      <c r="K2269" s="4">
        <f t="shared" si="555"/>
        <v>45229</v>
      </c>
      <c r="L2269" s="5">
        <f t="shared" si="556"/>
        <v>10</v>
      </c>
      <c r="M2269" s="5">
        <f t="shared" si="557"/>
        <v>2023</v>
      </c>
      <c r="N2269" s="96">
        <v>1000</v>
      </c>
      <c r="O2269" s="6">
        <f>-N2269</f>
        <v>-1000</v>
      </c>
      <c r="P2269" s="6">
        <f t="shared" si="562"/>
        <v>0</v>
      </c>
      <c r="Q2269" s="7">
        <f t="shared" si="558"/>
        <v>3804042.6500000022</v>
      </c>
      <c r="R2269" s="44" t="str">
        <f>VLOOKUP(F2269,'Set up'!$A$2:$E$70,5,FALSE)</f>
        <v>Trsf</v>
      </c>
      <c r="S2269" s="1" t="s">
        <v>2676</v>
      </c>
    </row>
    <row r="2270" spans="1:19" ht="15" customHeight="1" x14ac:dyDescent="0.3">
      <c r="A2270" s="4">
        <v>45231</v>
      </c>
      <c r="B2270" s="5">
        <f t="shared" si="553"/>
        <v>11</v>
      </c>
      <c r="C2270" s="5">
        <f t="shared" si="554"/>
        <v>2023</v>
      </c>
      <c r="D2270" s="88" t="s">
        <v>2091</v>
      </c>
      <c r="E2270" s="5" t="str">
        <f>VLOOKUP(F2270,'Set up'!$A$2:$C$70,2,FALSE)</f>
        <v>C00000013a</v>
      </c>
      <c r="F2270" s="1" t="s">
        <v>1453</v>
      </c>
      <c r="G2270" s="99" t="s">
        <v>1738</v>
      </c>
      <c r="H2270" s="5">
        <v>1</v>
      </c>
      <c r="I2270" s="5" t="str">
        <f>VLOOKUP(F2270,'Set up'!$A$2:$C$70,3,FALSE)</f>
        <v>Cash</v>
      </c>
      <c r="J2270" s="5">
        <f>VLOOKUP(F2270,'Set up'!$A$2:$D$70,4,FALSE)</f>
        <v>0</v>
      </c>
      <c r="K2270" s="4">
        <f t="shared" si="555"/>
        <v>45231</v>
      </c>
      <c r="L2270" s="5">
        <f t="shared" si="556"/>
        <v>11</v>
      </c>
      <c r="M2270" s="5">
        <f t="shared" si="557"/>
        <v>2023</v>
      </c>
      <c r="N2270" s="96">
        <v>1826</v>
      </c>
      <c r="O2270" s="6">
        <f t="shared" ref="O2270:O2277" si="564">-N2270</f>
        <v>-1826</v>
      </c>
      <c r="P2270" s="6">
        <f t="shared" si="562"/>
        <v>0</v>
      </c>
      <c r="Q2270" s="7">
        <f t="shared" si="558"/>
        <v>3805868.6500000022</v>
      </c>
      <c r="R2270" s="44" t="str">
        <f>VLOOKUP(F2270,'Set up'!$A$2:$E$70,5,FALSE)</f>
        <v>Chq</v>
      </c>
      <c r="S2270" s="1" t="s">
        <v>2099</v>
      </c>
    </row>
    <row r="2271" spans="1:19" ht="15" customHeight="1" x14ac:dyDescent="0.3">
      <c r="A2271" s="4">
        <v>45231</v>
      </c>
      <c r="B2271" s="5">
        <f t="shared" si="553"/>
        <v>11</v>
      </c>
      <c r="C2271" s="5">
        <f t="shared" si="554"/>
        <v>2023</v>
      </c>
      <c r="D2271" s="88" t="s">
        <v>2091</v>
      </c>
      <c r="E2271" s="5" t="str">
        <f>VLOOKUP(F2271,'Set up'!$A$2:$C$70,2,FALSE)</f>
        <v>C00000013a</v>
      </c>
      <c r="F2271" s="1" t="s">
        <v>1453</v>
      </c>
      <c r="G2271" s="99" t="s">
        <v>1739</v>
      </c>
      <c r="H2271" s="5">
        <v>2</v>
      </c>
      <c r="I2271" s="5" t="str">
        <f>VLOOKUP(F2271,'Set up'!$A$2:$C$70,3,FALSE)</f>
        <v>Cash</v>
      </c>
      <c r="J2271" s="5">
        <f>VLOOKUP(F2271,'Set up'!$A$2:$D$70,4,FALSE)</f>
        <v>0</v>
      </c>
      <c r="K2271" s="4">
        <f t="shared" si="555"/>
        <v>45231</v>
      </c>
      <c r="L2271" s="5">
        <f t="shared" si="556"/>
        <v>11</v>
      </c>
      <c r="M2271" s="5">
        <f t="shared" si="557"/>
        <v>2023</v>
      </c>
      <c r="N2271" s="96">
        <v>853.2</v>
      </c>
      <c r="O2271" s="6">
        <f t="shared" si="564"/>
        <v>-853.2</v>
      </c>
      <c r="P2271" s="6">
        <f t="shared" si="562"/>
        <v>0</v>
      </c>
      <c r="Q2271" s="7">
        <f t="shared" si="558"/>
        <v>3806721.8500000024</v>
      </c>
      <c r="R2271" s="44" t="str">
        <f>VLOOKUP(F2271,'Set up'!$A$2:$E$70,5,FALSE)</f>
        <v>Chq</v>
      </c>
      <c r="S2271" s="1" t="s">
        <v>2099</v>
      </c>
    </row>
    <row r="2272" spans="1:19" ht="15" customHeight="1" x14ac:dyDescent="0.3">
      <c r="A2272" s="4">
        <v>45231</v>
      </c>
      <c r="B2272" s="5">
        <f t="shared" si="553"/>
        <v>11</v>
      </c>
      <c r="C2272" s="5">
        <f t="shared" si="554"/>
        <v>2023</v>
      </c>
      <c r="D2272" s="88" t="s">
        <v>2091</v>
      </c>
      <c r="E2272" s="5" t="str">
        <f>VLOOKUP(F2272,'Set up'!$A$2:$C$70,2,FALSE)</f>
        <v>C00000013a</v>
      </c>
      <c r="F2272" s="1" t="s">
        <v>1453</v>
      </c>
      <c r="G2272" s="99" t="s">
        <v>1740</v>
      </c>
      <c r="H2272" s="5">
        <v>1</v>
      </c>
      <c r="I2272" s="5" t="str">
        <f>VLOOKUP(F2272,'Set up'!$A$2:$C$70,3,FALSE)</f>
        <v>Cash</v>
      </c>
      <c r="J2272" s="5">
        <f>VLOOKUP(F2272,'Set up'!$A$2:$D$70,4,FALSE)</f>
        <v>0</v>
      </c>
      <c r="K2272" s="4">
        <f t="shared" si="555"/>
        <v>45231</v>
      </c>
      <c r="L2272" s="5">
        <f t="shared" si="556"/>
        <v>11</v>
      </c>
      <c r="M2272" s="5">
        <f t="shared" si="557"/>
        <v>2023</v>
      </c>
      <c r="N2272" s="96">
        <v>426.6</v>
      </c>
      <c r="O2272" s="6">
        <f t="shared" si="564"/>
        <v>-426.6</v>
      </c>
      <c r="P2272" s="6">
        <f t="shared" si="562"/>
        <v>0</v>
      </c>
      <c r="Q2272" s="7">
        <f t="shared" si="558"/>
        <v>3807148.4500000025</v>
      </c>
      <c r="R2272" s="44" t="str">
        <f>VLOOKUP(F2272,'Set up'!$A$2:$E$70,5,FALSE)</f>
        <v>Chq</v>
      </c>
      <c r="S2272" s="1" t="s">
        <v>2099</v>
      </c>
    </row>
    <row r="2273" spans="1:19" ht="15" customHeight="1" x14ac:dyDescent="0.3">
      <c r="A2273" s="4">
        <v>45231</v>
      </c>
      <c r="B2273" s="5">
        <f t="shared" si="553"/>
        <v>11</v>
      </c>
      <c r="C2273" s="5">
        <f t="shared" si="554"/>
        <v>2023</v>
      </c>
      <c r="D2273" s="88" t="s">
        <v>2091</v>
      </c>
      <c r="E2273" s="5" t="str">
        <f>VLOOKUP(F2273,'Set up'!$A$2:$C$70,2,FALSE)</f>
        <v>C00000013a</v>
      </c>
      <c r="F2273" s="1" t="s">
        <v>1453</v>
      </c>
      <c r="G2273" s="99" t="s">
        <v>44</v>
      </c>
      <c r="H2273" s="5">
        <v>2</v>
      </c>
      <c r="I2273" s="5" t="str">
        <f>VLOOKUP(F2273,'Set up'!$A$2:$C$70,3,FALSE)</f>
        <v>Cash</v>
      </c>
      <c r="J2273" s="5">
        <f>VLOOKUP(F2273,'Set up'!$A$2:$D$70,4,FALSE)</f>
        <v>0</v>
      </c>
      <c r="K2273" s="4">
        <f t="shared" si="555"/>
        <v>45231</v>
      </c>
      <c r="L2273" s="5">
        <f t="shared" si="556"/>
        <v>11</v>
      </c>
      <c r="M2273" s="5">
        <f t="shared" si="557"/>
        <v>2023</v>
      </c>
      <c r="N2273" s="96">
        <v>516</v>
      </c>
      <c r="O2273" s="6">
        <f t="shared" si="564"/>
        <v>-516</v>
      </c>
      <c r="P2273" s="6">
        <f t="shared" si="562"/>
        <v>0</v>
      </c>
      <c r="Q2273" s="7">
        <f t="shared" si="558"/>
        <v>3807664.4500000025</v>
      </c>
      <c r="R2273" s="44" t="str">
        <f>VLOOKUP(F2273,'Set up'!$A$2:$E$70,5,FALSE)</f>
        <v>Chq</v>
      </c>
      <c r="S2273" s="1" t="s">
        <v>2099</v>
      </c>
    </row>
    <row r="2274" spans="1:19" ht="15" customHeight="1" x14ac:dyDescent="0.3">
      <c r="A2274" s="4">
        <v>45231</v>
      </c>
      <c r="B2274" s="5">
        <f t="shared" si="553"/>
        <v>11</v>
      </c>
      <c r="C2274" s="5">
        <f t="shared" si="554"/>
        <v>2023</v>
      </c>
      <c r="D2274" s="88" t="s">
        <v>2091</v>
      </c>
      <c r="E2274" s="5" t="str">
        <f>VLOOKUP(F2274,'Set up'!$A$2:$C$70,2,FALSE)</f>
        <v>C00000013a</v>
      </c>
      <c r="F2274" s="1" t="s">
        <v>1453</v>
      </c>
      <c r="G2274" s="99" t="s">
        <v>17</v>
      </c>
      <c r="H2274" s="5">
        <v>1</v>
      </c>
      <c r="I2274" s="5" t="str">
        <f>VLOOKUP(F2274,'Set up'!$A$2:$C$70,3,FALSE)</f>
        <v>Cash</v>
      </c>
      <c r="J2274" s="5">
        <f>VLOOKUP(F2274,'Set up'!$A$2:$D$70,4,FALSE)</f>
        <v>0</v>
      </c>
      <c r="K2274" s="4">
        <f t="shared" si="555"/>
        <v>45231</v>
      </c>
      <c r="L2274" s="5">
        <f t="shared" si="556"/>
        <v>11</v>
      </c>
      <c r="M2274" s="5">
        <f t="shared" si="557"/>
        <v>2023</v>
      </c>
      <c r="N2274" s="96">
        <v>110</v>
      </c>
      <c r="O2274" s="6">
        <f t="shared" si="564"/>
        <v>-110</v>
      </c>
      <c r="P2274" s="6">
        <f t="shared" si="562"/>
        <v>0</v>
      </c>
      <c r="Q2274" s="7">
        <f t="shared" si="558"/>
        <v>3807774.4500000025</v>
      </c>
      <c r="R2274" s="44" t="str">
        <f>VLOOKUP(F2274,'Set up'!$A$2:$E$70,5,FALSE)</f>
        <v>Chq</v>
      </c>
      <c r="S2274" s="1" t="s">
        <v>2099</v>
      </c>
    </row>
    <row r="2275" spans="1:19" ht="15" customHeight="1" x14ac:dyDescent="0.3">
      <c r="A2275" s="4">
        <v>45233</v>
      </c>
      <c r="B2275" s="5">
        <f t="shared" si="553"/>
        <v>11</v>
      </c>
      <c r="C2275" s="5">
        <f t="shared" si="554"/>
        <v>2023</v>
      </c>
      <c r="D2275" s="88" t="s">
        <v>2092</v>
      </c>
      <c r="E2275" s="5" t="str">
        <f>VLOOKUP(F2275,'Set up'!$A$2:$C$70,2,FALSE)</f>
        <v>C00000012</v>
      </c>
      <c r="F2275" s="1" t="s">
        <v>2928</v>
      </c>
      <c r="G2275" s="99" t="s">
        <v>1258</v>
      </c>
      <c r="H2275" s="5">
        <v>3</v>
      </c>
      <c r="I2275" s="5" t="str">
        <f>VLOOKUP(F2275,'Set up'!$A$2:$C$70,3,FALSE)</f>
        <v>Cash</v>
      </c>
      <c r="J2275" s="5">
        <f>VLOOKUP(F2275,'Set up'!$A$2:$D$70,4,FALSE)</f>
        <v>0</v>
      </c>
      <c r="K2275" s="4">
        <f t="shared" si="555"/>
        <v>45233</v>
      </c>
      <c r="L2275" s="5">
        <f t="shared" si="556"/>
        <v>11</v>
      </c>
      <c r="M2275" s="5">
        <f t="shared" si="557"/>
        <v>2023</v>
      </c>
      <c r="N2275" s="96">
        <v>810</v>
      </c>
      <c r="O2275" s="6">
        <f t="shared" si="564"/>
        <v>-810</v>
      </c>
      <c r="P2275" s="6">
        <f t="shared" si="562"/>
        <v>0</v>
      </c>
      <c r="Q2275" s="7">
        <f t="shared" si="558"/>
        <v>3808584.4500000025</v>
      </c>
      <c r="R2275" s="44" t="str">
        <f>VLOOKUP(F2275,'Set up'!$A$2:$E$70,5,FALSE)</f>
        <v>Cash</v>
      </c>
      <c r="S2275" s="1" t="s">
        <v>2100</v>
      </c>
    </row>
    <row r="2276" spans="1:19" ht="15" customHeight="1" x14ac:dyDescent="0.3">
      <c r="A2276" s="4">
        <v>45233</v>
      </c>
      <c r="B2276" s="5">
        <f t="shared" si="553"/>
        <v>11</v>
      </c>
      <c r="C2276" s="5">
        <f t="shared" si="554"/>
        <v>2023</v>
      </c>
      <c r="D2276" s="88" t="s">
        <v>2092</v>
      </c>
      <c r="E2276" s="5" t="str">
        <f>VLOOKUP(F2276,'Set up'!$A$2:$C$70,2,FALSE)</f>
        <v>C00000012</v>
      </c>
      <c r="F2276" s="1" t="s">
        <v>2928</v>
      </c>
      <c r="G2276" s="99" t="s">
        <v>913</v>
      </c>
      <c r="H2276" s="5">
        <v>1</v>
      </c>
      <c r="I2276" s="5" t="str">
        <f>VLOOKUP(F2276,'Set up'!$A$2:$C$70,3,FALSE)</f>
        <v>Cash</v>
      </c>
      <c r="J2276" s="5">
        <f>VLOOKUP(F2276,'Set up'!$A$2:$D$70,4,FALSE)</f>
        <v>0</v>
      </c>
      <c r="K2276" s="4">
        <f t="shared" si="555"/>
        <v>45233</v>
      </c>
      <c r="L2276" s="5">
        <f t="shared" si="556"/>
        <v>11</v>
      </c>
      <c r="M2276" s="5">
        <f t="shared" si="557"/>
        <v>2023</v>
      </c>
      <c r="N2276" s="96">
        <v>264</v>
      </c>
      <c r="O2276" s="6">
        <f t="shared" si="564"/>
        <v>-264</v>
      </c>
      <c r="P2276" s="6">
        <f t="shared" si="562"/>
        <v>0</v>
      </c>
      <c r="Q2276" s="7">
        <f t="shared" si="558"/>
        <v>3808848.4500000025</v>
      </c>
      <c r="R2276" s="44" t="str">
        <f>VLOOKUP(F2276,'Set up'!$A$2:$E$70,5,FALSE)</f>
        <v>Cash</v>
      </c>
      <c r="S2276" s="1" t="s">
        <v>2100</v>
      </c>
    </row>
    <row r="2277" spans="1:19" ht="15" customHeight="1" x14ac:dyDescent="0.3">
      <c r="A2277" s="4">
        <v>45233</v>
      </c>
      <c r="B2277" s="5">
        <f t="shared" si="553"/>
        <v>11</v>
      </c>
      <c r="C2277" s="5">
        <f t="shared" si="554"/>
        <v>2023</v>
      </c>
      <c r="D2277" s="88" t="s">
        <v>2092</v>
      </c>
      <c r="E2277" s="5" t="str">
        <f>VLOOKUP(F2277,'Set up'!$A$2:$C$70,2,FALSE)</f>
        <v>C00000012</v>
      </c>
      <c r="F2277" s="1" t="s">
        <v>2928</v>
      </c>
      <c r="G2277" s="99" t="s">
        <v>2026</v>
      </c>
      <c r="H2277" s="5">
        <v>1</v>
      </c>
      <c r="I2277" s="5" t="str">
        <f>VLOOKUP(F2277,'Set up'!$A$2:$C$70,3,FALSE)</f>
        <v>Cash</v>
      </c>
      <c r="J2277" s="5">
        <f>VLOOKUP(F2277,'Set up'!$A$2:$D$70,4,FALSE)</f>
        <v>0</v>
      </c>
      <c r="K2277" s="4">
        <f t="shared" si="555"/>
        <v>45233</v>
      </c>
      <c r="L2277" s="5">
        <f t="shared" si="556"/>
        <v>11</v>
      </c>
      <c r="M2277" s="5">
        <f t="shared" si="557"/>
        <v>2023</v>
      </c>
      <c r="N2277" s="96">
        <v>100</v>
      </c>
      <c r="O2277" s="6">
        <f t="shared" si="564"/>
        <v>-100</v>
      </c>
      <c r="P2277" s="6">
        <f t="shared" si="562"/>
        <v>0</v>
      </c>
      <c r="Q2277" s="7">
        <f t="shared" si="558"/>
        <v>3808948.4500000025</v>
      </c>
      <c r="R2277" s="44" t="str">
        <f>VLOOKUP(F2277,'Set up'!$A$2:$E$70,5,FALSE)</f>
        <v>Cash</v>
      </c>
      <c r="S2277" s="1" t="s">
        <v>2100</v>
      </c>
    </row>
    <row r="2278" spans="1:19" ht="15" customHeight="1" x14ac:dyDescent="0.3">
      <c r="A2278" s="4">
        <v>45233</v>
      </c>
      <c r="B2278" s="5">
        <f t="shared" si="553"/>
        <v>11</v>
      </c>
      <c r="C2278" s="5">
        <f t="shared" si="554"/>
        <v>2023</v>
      </c>
      <c r="D2278" s="88" t="s">
        <v>2149</v>
      </c>
      <c r="E2278" s="5" t="str">
        <f>VLOOKUP(F2278,'Set up'!$A$2:$C$70,2,FALSE)</f>
        <v>C00000019</v>
      </c>
      <c r="F2278" s="1" t="s">
        <v>400</v>
      </c>
      <c r="G2278" s="99" t="s">
        <v>95</v>
      </c>
      <c r="H2278" s="5">
        <v>1</v>
      </c>
      <c r="I2278" s="5" t="str">
        <f>VLOOKUP(F2278,'Set up'!$A$2:$C$70,3,FALSE)</f>
        <v>Cash</v>
      </c>
      <c r="J2278" s="5">
        <f>VLOOKUP(F2278,'Set up'!$A$2:$D$70,4,FALSE)</f>
        <v>0</v>
      </c>
      <c r="K2278" s="4">
        <f t="shared" si="555"/>
        <v>45233</v>
      </c>
      <c r="L2278" s="5">
        <f t="shared" si="556"/>
        <v>11</v>
      </c>
      <c r="M2278" s="5">
        <f t="shared" si="557"/>
        <v>2023</v>
      </c>
      <c r="N2278" s="96">
        <v>1738</v>
      </c>
      <c r="O2278" s="6">
        <f>-1069.6-500-168.4</f>
        <v>-1738</v>
      </c>
      <c r="P2278" s="6">
        <f t="shared" si="562"/>
        <v>0</v>
      </c>
      <c r="Q2278" s="7">
        <f t="shared" si="558"/>
        <v>3810686.4500000025</v>
      </c>
      <c r="R2278" s="44" t="str">
        <f>VLOOKUP(F2278,'Set up'!$A$2:$E$70,5,FALSE)</f>
        <v>Trsf</v>
      </c>
      <c r="S2278" s="1" t="s">
        <v>3035</v>
      </c>
    </row>
    <row r="2279" spans="1:19" ht="15" customHeight="1" x14ac:dyDescent="0.3">
      <c r="A2279" s="4">
        <v>45233</v>
      </c>
      <c r="B2279" s="5">
        <f t="shared" si="553"/>
        <v>11</v>
      </c>
      <c r="C2279" s="5">
        <f t="shared" si="554"/>
        <v>2023</v>
      </c>
      <c r="D2279" s="88" t="s">
        <v>2149</v>
      </c>
      <c r="E2279" s="5" t="str">
        <f>VLOOKUP(F2279,'Set up'!$A$2:$C$70,2,FALSE)</f>
        <v>C00000019</v>
      </c>
      <c r="F2279" s="1" t="s">
        <v>400</v>
      </c>
      <c r="G2279" s="99" t="s">
        <v>1411</v>
      </c>
      <c r="H2279" s="5">
        <v>1</v>
      </c>
      <c r="I2279" s="5" t="str">
        <f>VLOOKUP(F2279,'Set up'!$A$2:$C$70,3,FALSE)</f>
        <v>Cash</v>
      </c>
      <c r="J2279" s="5">
        <f>VLOOKUP(F2279,'Set up'!$A$2:$D$70,4,FALSE)</f>
        <v>0</v>
      </c>
      <c r="K2279" s="4">
        <f t="shared" si="555"/>
        <v>45233</v>
      </c>
      <c r="L2279" s="5">
        <f t="shared" si="556"/>
        <v>11</v>
      </c>
      <c r="M2279" s="5">
        <f t="shared" si="557"/>
        <v>2023</v>
      </c>
      <c r="N2279" s="96">
        <v>405</v>
      </c>
      <c r="O2279" s="6">
        <f t="shared" ref="O2279:O2281" si="565">-N2279</f>
        <v>-405</v>
      </c>
      <c r="P2279" s="6">
        <f t="shared" si="562"/>
        <v>0</v>
      </c>
      <c r="Q2279" s="7">
        <f t="shared" si="558"/>
        <v>3811091.4500000025</v>
      </c>
      <c r="R2279" s="44" t="str">
        <f>VLOOKUP(F2279,'Set up'!$A$2:$E$70,5,FALSE)</f>
        <v>Trsf</v>
      </c>
      <c r="S2279" s="1" t="s">
        <v>3044</v>
      </c>
    </row>
    <row r="2280" spans="1:19" ht="15" customHeight="1" x14ac:dyDescent="0.3">
      <c r="A2280" s="4">
        <v>45233</v>
      </c>
      <c r="B2280" s="5">
        <f t="shared" si="553"/>
        <v>11</v>
      </c>
      <c r="C2280" s="5">
        <f t="shared" si="554"/>
        <v>2023</v>
      </c>
      <c r="D2280" s="88" t="s">
        <v>2149</v>
      </c>
      <c r="E2280" s="5" t="str">
        <f>VLOOKUP(F2280,'Set up'!$A$2:$C$70,2,FALSE)</f>
        <v>C00000019</v>
      </c>
      <c r="F2280" s="1" t="s">
        <v>400</v>
      </c>
      <c r="G2280" s="99" t="s">
        <v>791</v>
      </c>
      <c r="H2280" s="5">
        <v>2</v>
      </c>
      <c r="I2280" s="5" t="str">
        <f>VLOOKUP(F2280,'Set up'!$A$2:$C$70,3,FALSE)</f>
        <v>Cash</v>
      </c>
      <c r="J2280" s="5">
        <f>VLOOKUP(F2280,'Set up'!$A$2:$D$70,4,FALSE)</f>
        <v>0</v>
      </c>
      <c r="K2280" s="4">
        <f t="shared" si="555"/>
        <v>45233</v>
      </c>
      <c r="L2280" s="5">
        <f t="shared" si="556"/>
        <v>11</v>
      </c>
      <c r="M2280" s="5">
        <f t="shared" si="557"/>
        <v>2023</v>
      </c>
      <c r="N2280" s="96">
        <v>125</v>
      </c>
      <c r="O2280" s="6">
        <f t="shared" si="565"/>
        <v>-125</v>
      </c>
      <c r="P2280" s="6">
        <f t="shared" si="562"/>
        <v>0</v>
      </c>
      <c r="Q2280" s="7">
        <f t="shared" si="558"/>
        <v>3811216.4500000025</v>
      </c>
      <c r="R2280" s="44" t="str">
        <f>VLOOKUP(F2280,'Set up'!$A$2:$E$70,5,FALSE)</f>
        <v>Trsf</v>
      </c>
      <c r="S2280" s="1" t="s">
        <v>3045</v>
      </c>
    </row>
    <row r="2281" spans="1:19" ht="15" customHeight="1" x14ac:dyDescent="0.3">
      <c r="A2281" s="4">
        <v>45233</v>
      </c>
      <c r="B2281" s="5">
        <f t="shared" si="553"/>
        <v>11</v>
      </c>
      <c r="C2281" s="5">
        <f t="shared" si="554"/>
        <v>2023</v>
      </c>
      <c r="D2281" s="88" t="s">
        <v>2149</v>
      </c>
      <c r="E2281" s="5" t="str">
        <f>VLOOKUP(F2281,'Set up'!$A$2:$C$70,2,FALSE)</f>
        <v>C00000019</v>
      </c>
      <c r="F2281" s="1" t="s">
        <v>400</v>
      </c>
      <c r="G2281" s="99" t="s">
        <v>1886</v>
      </c>
      <c r="H2281" s="5">
        <v>1</v>
      </c>
      <c r="I2281" s="5" t="str">
        <f>VLOOKUP(F2281,'Set up'!$A$2:$C$70,3,FALSE)</f>
        <v>Cash</v>
      </c>
      <c r="J2281" s="5">
        <f>VLOOKUP(F2281,'Set up'!$A$2:$D$70,4,FALSE)</f>
        <v>0</v>
      </c>
      <c r="K2281" s="4">
        <f t="shared" si="555"/>
        <v>45233</v>
      </c>
      <c r="L2281" s="5">
        <f t="shared" si="556"/>
        <v>11</v>
      </c>
      <c r="M2281" s="5">
        <f t="shared" si="557"/>
        <v>2023</v>
      </c>
      <c r="N2281" s="96">
        <v>150</v>
      </c>
      <c r="O2281" s="6">
        <f t="shared" si="565"/>
        <v>-150</v>
      </c>
      <c r="P2281" s="6">
        <f t="shared" si="562"/>
        <v>0</v>
      </c>
      <c r="Q2281" s="7">
        <f t="shared" si="558"/>
        <v>3811366.4500000025</v>
      </c>
      <c r="R2281" s="44" t="str">
        <f>VLOOKUP(F2281,'Set up'!$A$2:$E$70,5,FALSE)</f>
        <v>Trsf</v>
      </c>
      <c r="S2281" s="1" t="s">
        <v>3046</v>
      </c>
    </row>
    <row r="2282" spans="1:19" ht="15" customHeight="1" x14ac:dyDescent="0.3">
      <c r="A2282" s="4">
        <v>45234</v>
      </c>
      <c r="B2282" s="5">
        <f t="shared" si="553"/>
        <v>11</v>
      </c>
      <c r="C2282" s="5">
        <f t="shared" si="554"/>
        <v>2023</v>
      </c>
      <c r="D2282" s="88" t="s">
        <v>2150</v>
      </c>
      <c r="E2282" s="5" t="str">
        <f>VLOOKUP(F2282,'Set up'!$A$2:$C$70,2,FALSE)</f>
        <v>C00000034</v>
      </c>
      <c r="F2282" s="1" t="s">
        <v>1196</v>
      </c>
      <c r="G2282" s="99" t="s">
        <v>2006</v>
      </c>
      <c r="H2282" s="5">
        <v>1</v>
      </c>
      <c r="I2282" s="5" t="str">
        <f>VLOOKUP(F2282,'Set up'!$A$2:$C$70,3,FALSE)</f>
        <v>Cash</v>
      </c>
      <c r="J2282" s="5">
        <f>VLOOKUP(F2282,'Set up'!$A$2:$D$70,4,FALSE)</f>
        <v>0</v>
      </c>
      <c r="K2282" s="4">
        <f t="shared" si="555"/>
        <v>45234</v>
      </c>
      <c r="L2282" s="5">
        <f t="shared" si="556"/>
        <v>11</v>
      </c>
      <c r="M2282" s="5">
        <f t="shared" si="557"/>
        <v>2023</v>
      </c>
      <c r="N2282" s="96">
        <v>1777.5</v>
      </c>
      <c r="O2282" s="6">
        <f>-501.7</f>
        <v>-501.7</v>
      </c>
      <c r="P2282" s="6">
        <f t="shared" si="562"/>
        <v>1275.8</v>
      </c>
      <c r="Q2282" s="7">
        <f t="shared" si="558"/>
        <v>3813143.9500000025</v>
      </c>
      <c r="R2282" s="44" t="str">
        <f>VLOOKUP(F2282,'Set up'!$A$2:$E$70,5,FALSE)</f>
        <v>Trsf</v>
      </c>
      <c r="S2282" s="1" t="s">
        <v>2827</v>
      </c>
    </row>
    <row r="2283" spans="1:19" ht="15" customHeight="1" x14ac:dyDescent="0.3">
      <c r="A2283" s="4">
        <v>45234</v>
      </c>
      <c r="B2283" s="5">
        <f t="shared" si="553"/>
        <v>11</v>
      </c>
      <c r="C2283" s="5">
        <f t="shared" si="554"/>
        <v>2023</v>
      </c>
      <c r="D2283" s="88" t="s">
        <v>2150</v>
      </c>
      <c r="E2283" s="5" t="str">
        <f>VLOOKUP(F2283,'Set up'!$A$2:$C$70,2,FALSE)</f>
        <v>C00000034</v>
      </c>
      <c r="F2283" s="1" t="s">
        <v>1196</v>
      </c>
      <c r="G2283" s="99" t="s">
        <v>1431</v>
      </c>
      <c r="H2283" s="5">
        <v>1</v>
      </c>
      <c r="I2283" s="5" t="str">
        <f>VLOOKUP(F2283,'Set up'!$A$2:$C$70,3,FALSE)</f>
        <v>Cash</v>
      </c>
      <c r="J2283" s="5">
        <f>VLOOKUP(F2283,'Set up'!$A$2:$D$70,4,FALSE)</f>
        <v>0</v>
      </c>
      <c r="K2283" s="4">
        <f t="shared" si="555"/>
        <v>45234</v>
      </c>
      <c r="L2283" s="5">
        <f t="shared" si="556"/>
        <v>11</v>
      </c>
      <c r="M2283" s="5">
        <f t="shared" si="557"/>
        <v>2023</v>
      </c>
      <c r="N2283" s="96">
        <v>219</v>
      </c>
      <c r="P2283" s="6">
        <f t="shared" si="562"/>
        <v>219</v>
      </c>
      <c r="Q2283" s="7">
        <f t="shared" si="558"/>
        <v>3813362.9500000025</v>
      </c>
      <c r="R2283" s="44" t="str">
        <f>VLOOKUP(F2283,'Set up'!$A$2:$E$70,5,FALSE)</f>
        <v>Trsf</v>
      </c>
    </row>
    <row r="2284" spans="1:19" ht="15" customHeight="1" x14ac:dyDescent="0.3">
      <c r="A2284" s="4">
        <v>45234</v>
      </c>
      <c r="B2284" s="5">
        <f t="shared" si="553"/>
        <v>11</v>
      </c>
      <c r="C2284" s="5">
        <f t="shared" si="554"/>
        <v>2023</v>
      </c>
      <c r="D2284" s="88" t="s">
        <v>2150</v>
      </c>
      <c r="E2284" s="5" t="str">
        <f>VLOOKUP(F2284,'Set up'!$A$2:$C$70,2,FALSE)</f>
        <v>C00000034</v>
      </c>
      <c r="F2284" s="1" t="s">
        <v>1196</v>
      </c>
      <c r="G2284" s="99" t="s">
        <v>1796</v>
      </c>
      <c r="H2284" s="5">
        <v>2</v>
      </c>
      <c r="I2284" s="5" t="str">
        <f>VLOOKUP(F2284,'Set up'!$A$2:$C$70,3,FALSE)</f>
        <v>Cash</v>
      </c>
      <c r="J2284" s="5">
        <f>VLOOKUP(F2284,'Set up'!$A$2:$D$70,4,FALSE)</f>
        <v>0</v>
      </c>
      <c r="K2284" s="4">
        <f t="shared" si="555"/>
        <v>45234</v>
      </c>
      <c r="L2284" s="5">
        <f t="shared" si="556"/>
        <v>11</v>
      </c>
      <c r="M2284" s="5">
        <f t="shared" si="557"/>
        <v>2023</v>
      </c>
      <c r="N2284" s="96">
        <v>438</v>
      </c>
      <c r="P2284" s="6">
        <f t="shared" si="562"/>
        <v>438</v>
      </c>
      <c r="Q2284" s="7">
        <f t="shared" si="558"/>
        <v>3813800.9500000025</v>
      </c>
      <c r="R2284" s="44" t="str">
        <f>VLOOKUP(F2284,'Set up'!$A$2:$E$70,5,FALSE)</f>
        <v>Trsf</v>
      </c>
    </row>
    <row r="2285" spans="1:19" ht="15" customHeight="1" x14ac:dyDescent="0.3">
      <c r="A2285" s="4">
        <v>45234</v>
      </c>
      <c r="B2285" s="5">
        <f t="shared" si="553"/>
        <v>11</v>
      </c>
      <c r="C2285" s="5">
        <f t="shared" si="554"/>
        <v>2023</v>
      </c>
      <c r="D2285" s="88" t="s">
        <v>2150</v>
      </c>
      <c r="E2285" s="5" t="str">
        <f>VLOOKUP(F2285,'Set up'!$A$2:$C$70,2,FALSE)</f>
        <v>C00000034</v>
      </c>
      <c r="F2285" s="1" t="s">
        <v>1196</v>
      </c>
      <c r="G2285" s="99" t="s">
        <v>1817</v>
      </c>
      <c r="H2285" s="5">
        <v>1</v>
      </c>
      <c r="I2285" s="5" t="str">
        <f>VLOOKUP(F2285,'Set up'!$A$2:$C$70,3,FALSE)</f>
        <v>Cash</v>
      </c>
      <c r="J2285" s="5">
        <f>VLOOKUP(F2285,'Set up'!$A$2:$D$70,4,FALSE)</f>
        <v>0</v>
      </c>
      <c r="K2285" s="4">
        <f t="shared" si="555"/>
        <v>45234</v>
      </c>
      <c r="L2285" s="5">
        <f t="shared" si="556"/>
        <v>11</v>
      </c>
      <c r="M2285" s="5">
        <f t="shared" si="557"/>
        <v>2023</v>
      </c>
      <c r="N2285" s="96">
        <v>236</v>
      </c>
      <c r="P2285" s="6">
        <f t="shared" si="562"/>
        <v>236</v>
      </c>
      <c r="Q2285" s="7">
        <f t="shared" si="558"/>
        <v>3814036.9500000025</v>
      </c>
      <c r="R2285" s="44" t="str">
        <f>VLOOKUP(F2285,'Set up'!$A$2:$E$70,5,FALSE)</f>
        <v>Trsf</v>
      </c>
    </row>
    <row r="2286" spans="1:19" ht="15" customHeight="1" x14ac:dyDescent="0.3">
      <c r="A2286" s="4">
        <v>45234</v>
      </c>
      <c r="B2286" s="5">
        <f t="shared" si="553"/>
        <v>11</v>
      </c>
      <c r="C2286" s="5">
        <f t="shared" si="554"/>
        <v>2023</v>
      </c>
      <c r="D2286" s="88" t="s">
        <v>2150</v>
      </c>
      <c r="E2286" s="5" t="str">
        <f>VLOOKUP(F2286,'Set up'!$A$2:$C$70,2,FALSE)</f>
        <v>C00000034</v>
      </c>
      <c r="F2286" s="1" t="s">
        <v>1196</v>
      </c>
      <c r="G2286" s="99" t="s">
        <v>1061</v>
      </c>
      <c r="H2286" s="5">
        <v>1</v>
      </c>
      <c r="I2286" s="5" t="str">
        <f>VLOOKUP(F2286,'Set up'!$A$2:$C$70,3,FALSE)</f>
        <v>Cash</v>
      </c>
      <c r="J2286" s="5">
        <f>VLOOKUP(F2286,'Set up'!$A$2:$D$70,4,FALSE)</f>
        <v>0</v>
      </c>
      <c r="K2286" s="4">
        <f t="shared" si="555"/>
        <v>45234</v>
      </c>
      <c r="L2286" s="5">
        <f t="shared" si="556"/>
        <v>11</v>
      </c>
      <c r="M2286" s="5">
        <f t="shared" si="557"/>
        <v>2023</v>
      </c>
      <c r="N2286" s="96">
        <v>95</v>
      </c>
      <c r="P2286" s="6">
        <f t="shared" si="562"/>
        <v>95</v>
      </c>
      <c r="Q2286" s="7">
        <f t="shared" si="558"/>
        <v>3814131.9500000025</v>
      </c>
      <c r="R2286" s="44" t="str">
        <f>VLOOKUP(F2286,'Set up'!$A$2:$E$70,5,FALSE)</f>
        <v>Trsf</v>
      </c>
    </row>
    <row r="2287" spans="1:19" ht="15" customHeight="1" x14ac:dyDescent="0.3">
      <c r="A2287" s="4">
        <v>45234</v>
      </c>
      <c r="B2287" s="5">
        <f t="shared" si="553"/>
        <v>11</v>
      </c>
      <c r="C2287" s="5">
        <f t="shared" si="554"/>
        <v>2023</v>
      </c>
      <c r="D2287" s="88" t="s">
        <v>2150</v>
      </c>
      <c r="E2287" s="5" t="str">
        <f>VLOOKUP(F2287,'Set up'!$A$2:$C$70,2,FALSE)</f>
        <v>C00000034</v>
      </c>
      <c r="F2287" s="1" t="s">
        <v>1196</v>
      </c>
      <c r="G2287" s="99" t="s">
        <v>1110</v>
      </c>
      <c r="H2287" s="5">
        <v>5</v>
      </c>
      <c r="I2287" s="5" t="str">
        <f>VLOOKUP(F2287,'Set up'!$A$2:$C$70,3,FALSE)</f>
        <v>Cash</v>
      </c>
      <c r="J2287" s="5">
        <f>VLOOKUP(F2287,'Set up'!$A$2:$D$70,4,FALSE)</f>
        <v>0</v>
      </c>
      <c r="K2287" s="4">
        <f t="shared" si="555"/>
        <v>45234</v>
      </c>
      <c r="L2287" s="5">
        <f t="shared" si="556"/>
        <v>11</v>
      </c>
      <c r="M2287" s="5">
        <f t="shared" si="557"/>
        <v>2023</v>
      </c>
      <c r="N2287" s="96">
        <v>312.5</v>
      </c>
      <c r="P2287" s="6">
        <f t="shared" si="562"/>
        <v>312.5</v>
      </c>
      <c r="Q2287" s="7">
        <f t="shared" si="558"/>
        <v>3814444.4500000025</v>
      </c>
      <c r="R2287" s="44" t="str">
        <f>VLOOKUP(F2287,'Set up'!$A$2:$E$70,5,FALSE)</f>
        <v>Trsf</v>
      </c>
    </row>
    <row r="2288" spans="1:19" ht="15" customHeight="1" x14ac:dyDescent="0.3">
      <c r="A2288" s="4">
        <v>45236</v>
      </c>
      <c r="B2288" s="5">
        <f t="shared" si="553"/>
        <v>11</v>
      </c>
      <c r="C2288" s="5">
        <f t="shared" si="554"/>
        <v>2023</v>
      </c>
      <c r="D2288" s="88" t="s">
        <v>2151</v>
      </c>
      <c r="E2288" s="5" t="str">
        <f>VLOOKUP(F2288,'Set up'!$A$2:$C$70,2,FALSE)</f>
        <v>C00000042</v>
      </c>
      <c r="F2288" s="1" t="s">
        <v>2012</v>
      </c>
      <c r="G2288" s="99" t="s">
        <v>1110</v>
      </c>
      <c r="H2288" s="5">
        <v>7</v>
      </c>
      <c r="I2288" s="5" t="str">
        <f>VLOOKUP(F2288,'Set up'!$A$2:$C$70,3,FALSE)</f>
        <v>Cash</v>
      </c>
      <c r="J2288" s="5">
        <f>VLOOKUP(F2288,'Set up'!$A$2:$D$70,4,FALSE)</f>
        <v>0</v>
      </c>
      <c r="K2288" s="4">
        <f t="shared" si="555"/>
        <v>45236</v>
      </c>
      <c r="L2288" s="5">
        <f t="shared" si="556"/>
        <v>11</v>
      </c>
      <c r="M2288" s="5">
        <f t="shared" si="557"/>
        <v>2023</v>
      </c>
      <c r="N2288" s="96">
        <v>437.5</v>
      </c>
      <c r="O2288" s="6">
        <f>-N2288</f>
        <v>-437.5</v>
      </c>
      <c r="P2288" s="6">
        <f t="shared" si="562"/>
        <v>0</v>
      </c>
      <c r="Q2288" s="7">
        <f t="shared" si="558"/>
        <v>3814881.9500000025</v>
      </c>
      <c r="R2288" s="44" t="str">
        <f>VLOOKUP(F2288,'Set up'!$A$2:$E$70,5,FALSE)</f>
        <v>Trsf</v>
      </c>
      <c r="S2288" s="1" t="s">
        <v>2681</v>
      </c>
    </row>
    <row r="2289" spans="1:19" ht="15" customHeight="1" x14ac:dyDescent="0.3">
      <c r="A2289" s="4">
        <v>45236</v>
      </c>
      <c r="B2289" s="5">
        <f t="shared" si="553"/>
        <v>11</v>
      </c>
      <c r="C2289" s="5">
        <f t="shared" si="554"/>
        <v>2023</v>
      </c>
      <c r="D2289" s="88" t="s">
        <v>2152</v>
      </c>
      <c r="E2289" s="5" t="str">
        <f>VLOOKUP(F2289,'Set up'!$A$2:$C$70,2,FALSE)</f>
        <v>C00000042</v>
      </c>
      <c r="F2289" s="1" t="s">
        <v>2012</v>
      </c>
      <c r="G2289" s="99" t="s">
        <v>1733</v>
      </c>
      <c r="H2289" s="5">
        <v>7</v>
      </c>
      <c r="I2289" s="5" t="str">
        <f>VLOOKUP(F2289,'Set up'!$A$2:$C$70,3,FALSE)</f>
        <v>Cash</v>
      </c>
      <c r="J2289" s="5">
        <f>VLOOKUP(F2289,'Set up'!$A$2:$D$70,4,FALSE)</f>
        <v>0</v>
      </c>
      <c r="K2289" s="4">
        <f t="shared" si="555"/>
        <v>45236</v>
      </c>
      <c r="L2289" s="5">
        <f t="shared" si="556"/>
        <v>11</v>
      </c>
      <c r="M2289" s="5">
        <f t="shared" si="557"/>
        <v>2023</v>
      </c>
      <c r="N2289" s="96">
        <v>11242</v>
      </c>
      <c r="O2289" s="6">
        <f>-2251.2-6500-2490.8</f>
        <v>-11242</v>
      </c>
      <c r="P2289" s="6">
        <f t="shared" si="562"/>
        <v>0</v>
      </c>
      <c r="Q2289" s="7">
        <f t="shared" si="558"/>
        <v>3826123.9500000025</v>
      </c>
      <c r="R2289" s="44" t="str">
        <f>VLOOKUP(F2289,'Set up'!$A$2:$E$70,5,FALSE)</f>
        <v>Trsf</v>
      </c>
      <c r="S2289" s="1" t="s">
        <v>2708</v>
      </c>
    </row>
    <row r="2290" spans="1:19" ht="15" customHeight="1" x14ac:dyDescent="0.3">
      <c r="A2290" s="4">
        <v>45236</v>
      </c>
      <c r="B2290" s="5">
        <f t="shared" si="553"/>
        <v>11</v>
      </c>
      <c r="C2290" s="5">
        <f t="shared" si="554"/>
        <v>2023</v>
      </c>
      <c r="D2290" s="88" t="s">
        <v>2152</v>
      </c>
      <c r="E2290" s="5" t="str">
        <f>VLOOKUP(F2290,'Set up'!$A$2:$C$70,2,FALSE)</f>
        <v>C00000042</v>
      </c>
      <c r="F2290" s="1" t="s">
        <v>2012</v>
      </c>
      <c r="G2290" s="99" t="s">
        <v>913</v>
      </c>
      <c r="H2290" s="5">
        <v>22</v>
      </c>
      <c r="I2290" s="5" t="str">
        <f>VLOOKUP(F2290,'Set up'!$A$2:$C$70,3,FALSE)</f>
        <v>Cash</v>
      </c>
      <c r="J2290" s="5">
        <f>VLOOKUP(F2290,'Set up'!$A$2:$D$70,4,FALSE)</f>
        <v>0</v>
      </c>
      <c r="K2290" s="4">
        <f t="shared" si="555"/>
        <v>45236</v>
      </c>
      <c r="L2290" s="5">
        <f t="shared" si="556"/>
        <v>11</v>
      </c>
      <c r="M2290" s="5">
        <f t="shared" si="557"/>
        <v>2023</v>
      </c>
      <c r="N2290" s="96">
        <v>3828</v>
      </c>
      <c r="O2290" s="6">
        <f>-N2290</f>
        <v>-3828</v>
      </c>
      <c r="P2290" s="6">
        <f t="shared" si="562"/>
        <v>0</v>
      </c>
      <c r="Q2290" s="7">
        <f t="shared" si="558"/>
        <v>3829951.9500000025</v>
      </c>
      <c r="R2290" s="44" t="str">
        <f>VLOOKUP(F2290,'Set up'!$A$2:$E$70,5,FALSE)</f>
        <v>Trsf</v>
      </c>
      <c r="S2290" s="1" t="s">
        <v>2682</v>
      </c>
    </row>
    <row r="2291" spans="1:19" ht="15" customHeight="1" x14ac:dyDescent="0.3">
      <c r="A2291" s="4">
        <v>45236</v>
      </c>
      <c r="B2291" s="5">
        <f t="shared" si="553"/>
        <v>11</v>
      </c>
      <c r="C2291" s="5">
        <f t="shared" si="554"/>
        <v>2023</v>
      </c>
      <c r="D2291" s="88" t="s">
        <v>2152</v>
      </c>
      <c r="E2291" s="5" t="str">
        <f>VLOOKUP(F2291,'Set up'!$A$2:$C$70,2,FALSE)</f>
        <v>C00000042</v>
      </c>
      <c r="F2291" s="1" t="s">
        <v>2012</v>
      </c>
      <c r="G2291" s="99" t="s">
        <v>1922</v>
      </c>
      <c r="H2291" s="5">
        <v>11</v>
      </c>
      <c r="I2291" s="5" t="str">
        <f>VLOOKUP(F2291,'Set up'!$A$2:$C$70,3,FALSE)</f>
        <v>Cash</v>
      </c>
      <c r="J2291" s="5">
        <f>VLOOKUP(F2291,'Set up'!$A$2:$D$70,4,FALSE)</f>
        <v>0</v>
      </c>
      <c r="K2291" s="4">
        <f t="shared" si="555"/>
        <v>45236</v>
      </c>
      <c r="L2291" s="5">
        <f t="shared" si="556"/>
        <v>11</v>
      </c>
      <c r="M2291" s="5">
        <f t="shared" si="557"/>
        <v>2023</v>
      </c>
      <c r="N2291" s="96">
        <v>2574</v>
      </c>
      <c r="O2291" s="6">
        <f>-N2291</f>
        <v>-2574</v>
      </c>
      <c r="P2291" s="6">
        <f t="shared" si="562"/>
        <v>0</v>
      </c>
      <c r="Q2291" s="7">
        <f t="shared" si="558"/>
        <v>3832525.9500000025</v>
      </c>
      <c r="R2291" s="44" t="str">
        <f>VLOOKUP(F2291,'Set up'!$A$2:$E$70,5,FALSE)</f>
        <v>Trsf</v>
      </c>
      <c r="S2291" s="1" t="s">
        <v>2683</v>
      </c>
    </row>
    <row r="2292" spans="1:19" ht="15" customHeight="1" x14ac:dyDescent="0.3">
      <c r="A2292" s="4">
        <v>45236</v>
      </c>
      <c r="B2292" s="5">
        <f t="shared" si="553"/>
        <v>11</v>
      </c>
      <c r="C2292" s="5">
        <f t="shared" si="554"/>
        <v>2023</v>
      </c>
      <c r="D2292" s="88" t="s">
        <v>2152</v>
      </c>
      <c r="E2292" s="5" t="str">
        <f>VLOOKUP(F2292,'Set up'!$A$2:$C$70,2,FALSE)</f>
        <v>C00000042</v>
      </c>
      <c r="F2292" s="1" t="s">
        <v>2012</v>
      </c>
      <c r="G2292" s="99" t="s">
        <v>1073</v>
      </c>
      <c r="H2292" s="5">
        <v>1</v>
      </c>
      <c r="I2292" s="5" t="str">
        <f>VLOOKUP(F2292,'Set up'!$A$2:$C$70,3,FALSE)</f>
        <v>Cash</v>
      </c>
      <c r="J2292" s="5">
        <f>VLOOKUP(F2292,'Set up'!$A$2:$D$70,4,FALSE)</f>
        <v>0</v>
      </c>
      <c r="K2292" s="4">
        <f t="shared" si="555"/>
        <v>45236</v>
      </c>
      <c r="L2292" s="5">
        <f t="shared" si="556"/>
        <v>11</v>
      </c>
      <c r="M2292" s="5">
        <f t="shared" si="557"/>
        <v>2023</v>
      </c>
      <c r="N2292" s="96">
        <v>1000</v>
      </c>
      <c r="O2292" s="6">
        <f>-N2292</f>
        <v>-1000</v>
      </c>
      <c r="P2292" s="6">
        <f t="shared" si="562"/>
        <v>0</v>
      </c>
      <c r="Q2292" s="7">
        <f t="shared" si="558"/>
        <v>3833525.9500000025</v>
      </c>
      <c r="R2292" s="44" t="str">
        <f>VLOOKUP(F2292,'Set up'!$A$2:$E$70,5,FALSE)</f>
        <v>Trsf</v>
      </c>
      <c r="S2292" s="1" t="s">
        <v>2684</v>
      </c>
    </row>
    <row r="2293" spans="1:19" ht="15" customHeight="1" x14ac:dyDescent="0.3">
      <c r="A2293" s="4">
        <v>45236</v>
      </c>
      <c r="B2293" s="5">
        <f t="shared" si="553"/>
        <v>11</v>
      </c>
      <c r="C2293" s="5">
        <f t="shared" si="554"/>
        <v>2023</v>
      </c>
      <c r="D2293" s="88" t="s">
        <v>2152</v>
      </c>
      <c r="E2293" s="5" t="str">
        <f>VLOOKUP(F2293,'Set up'!$A$2:$C$70,2,FALSE)</f>
        <v>C00000042</v>
      </c>
      <c r="F2293" s="1" t="s">
        <v>2012</v>
      </c>
      <c r="G2293" s="99" t="s">
        <v>1061</v>
      </c>
      <c r="H2293" s="5">
        <v>4</v>
      </c>
      <c r="I2293" s="5" t="str">
        <f>VLOOKUP(F2293,'Set up'!$A$2:$C$70,3,FALSE)</f>
        <v>Cash</v>
      </c>
      <c r="J2293" s="5">
        <f>VLOOKUP(F2293,'Set up'!$A$2:$D$70,4,FALSE)</f>
        <v>0</v>
      </c>
      <c r="K2293" s="4">
        <f t="shared" si="555"/>
        <v>45236</v>
      </c>
      <c r="L2293" s="5">
        <f t="shared" si="556"/>
        <v>11</v>
      </c>
      <c r="M2293" s="5">
        <f t="shared" si="557"/>
        <v>2023</v>
      </c>
      <c r="N2293" s="96">
        <v>380</v>
      </c>
      <c r="O2293" s="6">
        <f>-N2293</f>
        <v>-380</v>
      </c>
      <c r="P2293" s="6">
        <f t="shared" si="562"/>
        <v>0</v>
      </c>
      <c r="Q2293" s="7">
        <f t="shared" si="558"/>
        <v>3833905.9500000025</v>
      </c>
      <c r="R2293" s="44" t="str">
        <f>VLOOKUP(F2293,'Set up'!$A$2:$E$70,5,FALSE)</f>
        <v>Trsf</v>
      </c>
      <c r="S2293" s="1" t="s">
        <v>2685</v>
      </c>
    </row>
    <row r="2294" spans="1:19" ht="15" customHeight="1" x14ac:dyDescent="0.3">
      <c r="A2294" s="4">
        <v>45237</v>
      </c>
      <c r="B2294" s="5">
        <f t="shared" si="553"/>
        <v>11</v>
      </c>
      <c r="C2294" s="5">
        <f t="shared" si="554"/>
        <v>2023</v>
      </c>
      <c r="D2294" s="88" t="s">
        <v>2153</v>
      </c>
      <c r="E2294" s="5" t="str">
        <f>VLOOKUP(F2294,'Set up'!$A$2:$C$70,2,FALSE)</f>
        <v>C00000021</v>
      </c>
      <c r="F2294" s="1" t="s">
        <v>491</v>
      </c>
      <c r="G2294" s="99" t="s">
        <v>67</v>
      </c>
      <c r="H2294" s="5">
        <v>1</v>
      </c>
      <c r="I2294" s="5" t="str">
        <f>VLOOKUP(F2294,'Set up'!$A$2:$C$70,3,FALSE)</f>
        <v>Cash</v>
      </c>
      <c r="J2294" s="5">
        <f>VLOOKUP(F2294,'Set up'!$A$2:$D$70,4,FALSE)</f>
        <v>0</v>
      </c>
      <c r="K2294" s="4">
        <f t="shared" si="555"/>
        <v>45237</v>
      </c>
      <c r="L2294" s="5">
        <f t="shared" si="556"/>
        <v>11</v>
      </c>
      <c r="M2294" s="5">
        <f t="shared" si="557"/>
        <v>2023</v>
      </c>
      <c r="N2294" s="96">
        <v>1738</v>
      </c>
      <c r="O2294" s="6">
        <f t="shared" ref="O2294:O2298" si="566">-N2294</f>
        <v>-1738</v>
      </c>
      <c r="P2294" s="6">
        <f t="shared" si="562"/>
        <v>0</v>
      </c>
      <c r="Q2294" s="7">
        <f t="shared" si="558"/>
        <v>3835643.9500000025</v>
      </c>
      <c r="R2294" s="44" t="str">
        <f>VLOOKUP(F2294,'Set up'!$A$2:$E$70,5,FALSE)</f>
        <v>PD Chq</v>
      </c>
      <c r="S2294" s="1" t="s">
        <v>2579</v>
      </c>
    </row>
    <row r="2295" spans="1:19" ht="15" customHeight="1" x14ac:dyDescent="0.3">
      <c r="A2295" s="4">
        <v>45237</v>
      </c>
      <c r="B2295" s="5">
        <f t="shared" si="553"/>
        <v>11</v>
      </c>
      <c r="C2295" s="5">
        <f t="shared" si="554"/>
        <v>2023</v>
      </c>
      <c r="D2295" s="88" t="s">
        <v>2153</v>
      </c>
      <c r="E2295" s="5" t="str">
        <f>VLOOKUP(F2295,'Set up'!$A$2:$C$70,2,FALSE)</f>
        <v>C00000021</v>
      </c>
      <c r="F2295" s="1" t="s">
        <v>491</v>
      </c>
      <c r="G2295" s="99" t="s">
        <v>913</v>
      </c>
      <c r="H2295" s="5">
        <v>2</v>
      </c>
      <c r="I2295" s="5" t="str">
        <f>VLOOKUP(F2295,'Set up'!$A$2:$C$70,3,FALSE)</f>
        <v>Cash</v>
      </c>
      <c r="J2295" s="5">
        <f>VLOOKUP(F2295,'Set up'!$A$2:$D$70,4,FALSE)</f>
        <v>0</v>
      </c>
      <c r="K2295" s="4">
        <f t="shared" si="555"/>
        <v>45237</v>
      </c>
      <c r="L2295" s="5">
        <f t="shared" si="556"/>
        <v>11</v>
      </c>
      <c r="M2295" s="5">
        <f t="shared" si="557"/>
        <v>2023</v>
      </c>
      <c r="N2295" s="96">
        <v>450</v>
      </c>
      <c r="O2295" s="6">
        <f t="shared" si="566"/>
        <v>-450</v>
      </c>
      <c r="P2295" s="6">
        <f t="shared" si="562"/>
        <v>0</v>
      </c>
      <c r="Q2295" s="7">
        <f t="shared" si="558"/>
        <v>3836093.9500000025</v>
      </c>
      <c r="R2295" s="44" t="str">
        <f>VLOOKUP(F2295,'Set up'!$A$2:$E$70,5,FALSE)</f>
        <v>PD Chq</v>
      </c>
      <c r="S2295" s="1" t="s">
        <v>2579</v>
      </c>
    </row>
    <row r="2296" spans="1:19" ht="15" customHeight="1" x14ac:dyDescent="0.3">
      <c r="A2296" s="4">
        <v>45237</v>
      </c>
      <c r="B2296" s="5">
        <f t="shared" si="553"/>
        <v>11</v>
      </c>
      <c r="C2296" s="5">
        <f t="shared" si="554"/>
        <v>2023</v>
      </c>
      <c r="D2296" s="88" t="s">
        <v>2153</v>
      </c>
      <c r="E2296" s="5" t="str">
        <f>VLOOKUP(F2296,'Set up'!$A$2:$C$70,2,FALSE)</f>
        <v>C00000021</v>
      </c>
      <c r="F2296" s="1" t="s">
        <v>491</v>
      </c>
      <c r="G2296" s="99" t="s">
        <v>2093</v>
      </c>
      <c r="H2296" s="5">
        <v>1</v>
      </c>
      <c r="I2296" s="5" t="str">
        <f>VLOOKUP(F2296,'Set up'!$A$2:$C$70,3,FALSE)</f>
        <v>Cash</v>
      </c>
      <c r="J2296" s="5">
        <f>VLOOKUP(F2296,'Set up'!$A$2:$D$70,4,FALSE)</f>
        <v>0</v>
      </c>
      <c r="K2296" s="4">
        <f t="shared" si="555"/>
        <v>45237</v>
      </c>
      <c r="L2296" s="5">
        <f t="shared" si="556"/>
        <v>11</v>
      </c>
      <c r="M2296" s="5">
        <f t="shared" si="557"/>
        <v>2023</v>
      </c>
      <c r="N2296" s="96">
        <v>277.5</v>
      </c>
      <c r="O2296" s="6">
        <f t="shared" si="566"/>
        <v>-277.5</v>
      </c>
      <c r="P2296" s="6">
        <f t="shared" si="562"/>
        <v>0</v>
      </c>
      <c r="Q2296" s="7">
        <f t="shared" si="558"/>
        <v>3836371.4500000025</v>
      </c>
      <c r="R2296" s="44" t="str">
        <f>VLOOKUP(F2296,'Set up'!$A$2:$E$70,5,FALSE)</f>
        <v>PD Chq</v>
      </c>
      <c r="S2296" s="1" t="s">
        <v>2579</v>
      </c>
    </row>
    <row r="2297" spans="1:19" ht="15" customHeight="1" x14ac:dyDescent="0.3">
      <c r="A2297" s="4">
        <v>45237</v>
      </c>
      <c r="B2297" s="5">
        <f t="shared" si="553"/>
        <v>11</v>
      </c>
      <c r="C2297" s="5">
        <f t="shared" si="554"/>
        <v>2023</v>
      </c>
      <c r="D2297" s="88" t="s">
        <v>2153</v>
      </c>
      <c r="E2297" s="5" t="str">
        <f>VLOOKUP(F2297,'Set up'!$A$2:$C$70,2,FALSE)</f>
        <v>C00000021</v>
      </c>
      <c r="F2297" s="1" t="s">
        <v>491</v>
      </c>
      <c r="G2297" s="99" t="s">
        <v>1061</v>
      </c>
      <c r="H2297" s="5">
        <v>1</v>
      </c>
      <c r="I2297" s="5" t="str">
        <f>VLOOKUP(F2297,'Set up'!$A$2:$C$70,3,FALSE)</f>
        <v>Cash</v>
      </c>
      <c r="J2297" s="5">
        <f>VLOOKUP(F2297,'Set up'!$A$2:$D$70,4,FALSE)</f>
        <v>0</v>
      </c>
      <c r="K2297" s="4">
        <f t="shared" si="555"/>
        <v>45237</v>
      </c>
      <c r="L2297" s="5">
        <f t="shared" si="556"/>
        <v>11</v>
      </c>
      <c r="M2297" s="5">
        <f t="shared" si="557"/>
        <v>2023</v>
      </c>
      <c r="N2297" s="96">
        <v>95</v>
      </c>
      <c r="O2297" s="6">
        <f t="shared" si="566"/>
        <v>-95</v>
      </c>
      <c r="P2297" s="6">
        <f t="shared" si="562"/>
        <v>0</v>
      </c>
      <c r="Q2297" s="7">
        <f t="shared" si="558"/>
        <v>3836466.4500000025</v>
      </c>
      <c r="R2297" s="44" t="str">
        <f>VLOOKUP(F2297,'Set up'!$A$2:$E$70,5,FALSE)</f>
        <v>PD Chq</v>
      </c>
      <c r="S2297" s="1" t="s">
        <v>2579</v>
      </c>
    </row>
    <row r="2298" spans="1:19" ht="15" customHeight="1" x14ac:dyDescent="0.3">
      <c r="A2298" s="4">
        <v>45237</v>
      </c>
      <c r="B2298" s="5">
        <f t="shared" si="553"/>
        <v>11</v>
      </c>
      <c r="C2298" s="5">
        <f t="shared" si="554"/>
        <v>2023</v>
      </c>
      <c r="D2298" s="88" t="s">
        <v>2153</v>
      </c>
      <c r="E2298" s="5" t="str">
        <f>VLOOKUP(F2298,'Set up'!$A$2:$C$70,2,FALSE)</f>
        <v>C00000021</v>
      </c>
      <c r="F2298" s="1" t="s">
        <v>491</v>
      </c>
      <c r="G2298" s="99" t="s">
        <v>44</v>
      </c>
      <c r="H2298" s="5">
        <v>1</v>
      </c>
      <c r="I2298" s="5" t="str">
        <f>VLOOKUP(F2298,'Set up'!$A$2:$C$70,3,FALSE)</f>
        <v>Cash</v>
      </c>
      <c r="J2298" s="5">
        <f>VLOOKUP(F2298,'Set up'!$A$2:$D$70,4,FALSE)</f>
        <v>0</v>
      </c>
      <c r="K2298" s="4">
        <f t="shared" si="555"/>
        <v>45237</v>
      </c>
      <c r="L2298" s="5">
        <f t="shared" si="556"/>
        <v>11</v>
      </c>
      <c r="M2298" s="5">
        <f t="shared" si="557"/>
        <v>2023</v>
      </c>
      <c r="N2298" s="96">
        <v>258</v>
      </c>
      <c r="O2298" s="6">
        <f t="shared" si="566"/>
        <v>-258</v>
      </c>
      <c r="P2298" s="6">
        <f t="shared" si="562"/>
        <v>0</v>
      </c>
      <c r="Q2298" s="7">
        <f t="shared" si="558"/>
        <v>3836724.4500000025</v>
      </c>
      <c r="R2298" s="44" t="str">
        <f>VLOOKUP(F2298,'Set up'!$A$2:$E$70,5,FALSE)</f>
        <v>PD Chq</v>
      </c>
      <c r="S2298" s="1" t="s">
        <v>2579</v>
      </c>
    </row>
    <row r="2299" spans="1:19" ht="15" customHeight="1" x14ac:dyDescent="0.3">
      <c r="A2299" s="4">
        <v>45239</v>
      </c>
      <c r="B2299" s="5">
        <f t="shared" si="553"/>
        <v>11</v>
      </c>
      <c r="C2299" s="5">
        <f t="shared" si="554"/>
        <v>2023</v>
      </c>
      <c r="D2299" s="88" t="s">
        <v>2154</v>
      </c>
      <c r="E2299" s="5" t="str">
        <f>VLOOKUP(F2299,'Set up'!$A$2:$C$70,2,FALSE)</f>
        <v>C00000014</v>
      </c>
      <c r="F2299" s="1" t="s">
        <v>262</v>
      </c>
      <c r="G2299" s="99" t="s">
        <v>303</v>
      </c>
      <c r="H2299" s="5">
        <v>2</v>
      </c>
      <c r="I2299" s="5" t="str">
        <f>VLOOKUP(F2299,'Set up'!$A$2:$C$70,3,FALSE)</f>
        <v>Cash</v>
      </c>
      <c r="J2299" s="5">
        <f>VLOOKUP(F2299,'Set up'!$A$2:$D$70,4,FALSE)</f>
        <v>0</v>
      </c>
      <c r="K2299" s="4">
        <f t="shared" si="555"/>
        <v>45239</v>
      </c>
      <c r="L2299" s="5">
        <f t="shared" si="556"/>
        <v>11</v>
      </c>
      <c r="M2299" s="5">
        <f t="shared" si="557"/>
        <v>2023</v>
      </c>
      <c r="N2299" s="96">
        <v>3212</v>
      </c>
      <c r="O2299" s="6">
        <f t="shared" ref="O2299:O2305" si="567">-N2299</f>
        <v>-3212</v>
      </c>
      <c r="P2299" s="6">
        <f t="shared" si="562"/>
        <v>0</v>
      </c>
      <c r="Q2299" s="7">
        <f t="shared" si="558"/>
        <v>3839936.4500000025</v>
      </c>
      <c r="R2299" s="44" t="str">
        <f>VLOOKUP(F2299,'Set up'!$A$2:$E$70,5,FALSE)</f>
        <v>Cash</v>
      </c>
      <c r="S2299" s="1" t="s">
        <v>2117</v>
      </c>
    </row>
    <row r="2300" spans="1:19" ht="15" customHeight="1" x14ac:dyDescent="0.3">
      <c r="A2300" s="4">
        <v>45239</v>
      </c>
      <c r="B2300" s="5">
        <f t="shared" si="553"/>
        <v>11</v>
      </c>
      <c r="C2300" s="5">
        <f t="shared" si="554"/>
        <v>2023</v>
      </c>
      <c r="D2300" s="88" t="s">
        <v>2154</v>
      </c>
      <c r="E2300" s="5" t="str">
        <f>VLOOKUP(F2300,'Set up'!$A$2:$C$70,2,FALSE)</f>
        <v>C00000014</v>
      </c>
      <c r="F2300" s="1" t="s">
        <v>262</v>
      </c>
      <c r="G2300" s="99" t="s">
        <v>2094</v>
      </c>
      <c r="H2300" s="5">
        <v>5</v>
      </c>
      <c r="I2300" s="5" t="str">
        <f>VLOOKUP(F2300,'Set up'!$A$2:$C$70,3,FALSE)</f>
        <v>Cash</v>
      </c>
      <c r="J2300" s="5">
        <f>VLOOKUP(F2300,'Set up'!$A$2:$D$70,4,FALSE)</f>
        <v>0</v>
      </c>
      <c r="K2300" s="4">
        <f t="shared" si="555"/>
        <v>45239</v>
      </c>
      <c r="L2300" s="5">
        <f t="shared" si="556"/>
        <v>11</v>
      </c>
      <c r="M2300" s="5">
        <f t="shared" si="557"/>
        <v>2023</v>
      </c>
      <c r="N2300" s="96">
        <v>1295</v>
      </c>
      <c r="O2300" s="6">
        <f t="shared" si="567"/>
        <v>-1295</v>
      </c>
      <c r="P2300" s="6">
        <f t="shared" si="562"/>
        <v>0</v>
      </c>
      <c r="Q2300" s="7">
        <f t="shared" si="558"/>
        <v>3841231.4500000025</v>
      </c>
      <c r="R2300" s="44" t="str">
        <f>VLOOKUP(F2300,'Set up'!$A$2:$E$70,5,FALSE)</f>
        <v>Cash</v>
      </c>
      <c r="S2300" s="1" t="s">
        <v>2117</v>
      </c>
    </row>
    <row r="2301" spans="1:19" ht="15" customHeight="1" x14ac:dyDescent="0.3">
      <c r="A2301" s="4">
        <v>45239</v>
      </c>
      <c r="B2301" s="5">
        <f t="shared" si="553"/>
        <v>11</v>
      </c>
      <c r="C2301" s="5">
        <f t="shared" si="554"/>
        <v>2023</v>
      </c>
      <c r="D2301" s="88" t="s">
        <v>2154</v>
      </c>
      <c r="E2301" s="5" t="str">
        <f>VLOOKUP(F2301,'Set up'!$A$2:$C$70,2,FALSE)</f>
        <v>C00000014</v>
      </c>
      <c r="F2301" s="1" t="s">
        <v>262</v>
      </c>
      <c r="G2301" s="99" t="s">
        <v>44</v>
      </c>
      <c r="H2301" s="5">
        <v>2</v>
      </c>
      <c r="I2301" s="5" t="str">
        <f>VLOOKUP(F2301,'Set up'!$A$2:$C$70,3,FALSE)</f>
        <v>Cash</v>
      </c>
      <c r="J2301" s="5">
        <f>VLOOKUP(F2301,'Set up'!$A$2:$D$70,4,FALSE)</f>
        <v>0</v>
      </c>
      <c r="K2301" s="4">
        <f t="shared" si="555"/>
        <v>45239</v>
      </c>
      <c r="L2301" s="5">
        <f t="shared" si="556"/>
        <v>11</v>
      </c>
      <c r="M2301" s="5">
        <f t="shared" si="557"/>
        <v>2023</v>
      </c>
      <c r="N2301" s="96">
        <v>516</v>
      </c>
      <c r="O2301" s="6">
        <f t="shared" si="567"/>
        <v>-516</v>
      </c>
      <c r="P2301" s="6">
        <f t="shared" si="562"/>
        <v>0</v>
      </c>
      <c r="Q2301" s="7">
        <f t="shared" si="558"/>
        <v>3841747.4500000025</v>
      </c>
      <c r="R2301" s="44" t="str">
        <f>VLOOKUP(F2301,'Set up'!$A$2:$E$70,5,FALSE)</f>
        <v>Cash</v>
      </c>
      <c r="S2301" s="1" t="s">
        <v>2117</v>
      </c>
    </row>
    <row r="2302" spans="1:19" ht="15" customHeight="1" x14ac:dyDescent="0.3">
      <c r="A2302" s="4">
        <v>45239</v>
      </c>
      <c r="B2302" s="5">
        <f t="shared" si="553"/>
        <v>11</v>
      </c>
      <c r="C2302" s="5">
        <f t="shared" si="554"/>
        <v>2023</v>
      </c>
      <c r="D2302" s="88" t="s">
        <v>2154</v>
      </c>
      <c r="E2302" s="5" t="str">
        <f>VLOOKUP(F2302,'Set up'!$A$2:$C$70,2,FALSE)</f>
        <v>C00000014</v>
      </c>
      <c r="F2302" s="1" t="s">
        <v>262</v>
      </c>
      <c r="G2302" s="99" t="s">
        <v>17</v>
      </c>
      <c r="H2302" s="5">
        <v>1</v>
      </c>
      <c r="I2302" s="5" t="str">
        <f>VLOOKUP(F2302,'Set up'!$A$2:$C$70,3,FALSE)</f>
        <v>Cash</v>
      </c>
      <c r="J2302" s="5">
        <f>VLOOKUP(F2302,'Set up'!$A$2:$D$70,4,FALSE)</f>
        <v>0</v>
      </c>
      <c r="K2302" s="4">
        <f t="shared" si="555"/>
        <v>45239</v>
      </c>
      <c r="L2302" s="5">
        <f t="shared" si="556"/>
        <v>11</v>
      </c>
      <c r="M2302" s="5">
        <f t="shared" si="557"/>
        <v>2023</v>
      </c>
      <c r="N2302" s="96">
        <v>105</v>
      </c>
      <c r="O2302" s="6">
        <f t="shared" si="567"/>
        <v>-105</v>
      </c>
      <c r="P2302" s="6">
        <f t="shared" si="562"/>
        <v>0</v>
      </c>
      <c r="Q2302" s="7">
        <f t="shared" si="558"/>
        <v>3841852.4500000025</v>
      </c>
      <c r="R2302" s="44" t="str">
        <f>VLOOKUP(F2302,'Set up'!$A$2:$E$70,5,FALSE)</f>
        <v>Cash</v>
      </c>
      <c r="S2302" s="1" t="s">
        <v>2117</v>
      </c>
    </row>
    <row r="2303" spans="1:19" ht="15" customHeight="1" x14ac:dyDescent="0.3">
      <c r="A2303" s="4">
        <v>45239</v>
      </c>
      <c r="B2303" s="5">
        <f t="shared" si="553"/>
        <v>11</v>
      </c>
      <c r="C2303" s="5">
        <f t="shared" si="554"/>
        <v>2023</v>
      </c>
      <c r="D2303" s="88" t="s">
        <v>2154</v>
      </c>
      <c r="E2303" s="5" t="str">
        <f>VLOOKUP(F2303,'Set up'!$A$2:$C$70,2,FALSE)</f>
        <v>C00000014</v>
      </c>
      <c r="F2303" s="1" t="s">
        <v>262</v>
      </c>
      <c r="G2303" s="99" t="s">
        <v>1886</v>
      </c>
      <c r="H2303" s="5">
        <v>2</v>
      </c>
      <c r="I2303" s="5" t="str">
        <f>VLOOKUP(F2303,'Set up'!$A$2:$C$70,3,FALSE)</f>
        <v>Cash</v>
      </c>
      <c r="J2303" s="5">
        <f>VLOOKUP(F2303,'Set up'!$A$2:$D$70,4,FALSE)</f>
        <v>0</v>
      </c>
      <c r="K2303" s="4">
        <f t="shared" si="555"/>
        <v>45239</v>
      </c>
      <c r="L2303" s="5">
        <f t="shared" si="556"/>
        <v>11</v>
      </c>
      <c r="M2303" s="5">
        <f t="shared" si="557"/>
        <v>2023</v>
      </c>
      <c r="N2303" s="96">
        <v>320</v>
      </c>
      <c r="O2303" s="6">
        <f t="shared" si="567"/>
        <v>-320</v>
      </c>
      <c r="P2303" s="6">
        <f t="shared" si="562"/>
        <v>0</v>
      </c>
      <c r="Q2303" s="7">
        <f t="shared" si="558"/>
        <v>3842172.4500000025</v>
      </c>
      <c r="R2303" s="44" t="str">
        <f>VLOOKUP(F2303,'Set up'!$A$2:$E$70,5,FALSE)</f>
        <v>Cash</v>
      </c>
      <c r="S2303" s="1" t="s">
        <v>2117</v>
      </c>
    </row>
    <row r="2304" spans="1:19" ht="15" customHeight="1" x14ac:dyDescent="0.3">
      <c r="A2304" s="4">
        <v>45239</v>
      </c>
      <c r="B2304" s="5">
        <f t="shared" si="553"/>
        <v>11</v>
      </c>
      <c r="C2304" s="5">
        <f t="shared" si="554"/>
        <v>2023</v>
      </c>
      <c r="D2304" s="88" t="s">
        <v>2154</v>
      </c>
      <c r="E2304" s="5" t="str">
        <f>VLOOKUP(F2304,'Set up'!$A$2:$C$70,2,FALSE)</f>
        <v>C00000014</v>
      </c>
      <c r="F2304" s="1" t="s">
        <v>262</v>
      </c>
      <c r="G2304" s="99" t="s">
        <v>1715</v>
      </c>
      <c r="H2304" s="5">
        <v>1</v>
      </c>
      <c r="I2304" s="5" t="str">
        <f>VLOOKUP(F2304,'Set up'!$A$2:$C$70,3,FALSE)</f>
        <v>Cash</v>
      </c>
      <c r="J2304" s="5">
        <f>VLOOKUP(F2304,'Set up'!$A$2:$D$70,4,FALSE)</f>
        <v>0</v>
      </c>
      <c r="K2304" s="4">
        <f t="shared" si="555"/>
        <v>45239</v>
      </c>
      <c r="L2304" s="5">
        <f t="shared" si="556"/>
        <v>11</v>
      </c>
      <c r="M2304" s="5">
        <f t="shared" si="557"/>
        <v>2023</v>
      </c>
      <c r="N2304" s="96">
        <v>165</v>
      </c>
      <c r="O2304" s="6">
        <f t="shared" si="567"/>
        <v>-165</v>
      </c>
      <c r="P2304" s="6">
        <f t="shared" si="562"/>
        <v>0</v>
      </c>
      <c r="Q2304" s="7">
        <f t="shared" si="558"/>
        <v>3842337.4500000025</v>
      </c>
      <c r="R2304" s="44" t="str">
        <f>VLOOKUP(F2304,'Set up'!$A$2:$E$70,5,FALSE)</f>
        <v>Cash</v>
      </c>
      <c r="S2304" s="1" t="s">
        <v>2117</v>
      </c>
    </row>
    <row r="2305" spans="1:19" ht="15" customHeight="1" x14ac:dyDescent="0.3">
      <c r="A2305" s="4">
        <v>45239</v>
      </c>
      <c r="B2305" s="5">
        <f t="shared" si="553"/>
        <v>11</v>
      </c>
      <c r="C2305" s="5">
        <f t="shared" si="554"/>
        <v>2023</v>
      </c>
      <c r="D2305" s="88" t="s">
        <v>2154</v>
      </c>
      <c r="E2305" s="5" t="str">
        <f>VLOOKUP(F2305,'Set up'!$A$2:$C$70,2,FALSE)</f>
        <v>C00000014</v>
      </c>
      <c r="F2305" s="1" t="s">
        <v>262</v>
      </c>
      <c r="G2305" s="99" t="s">
        <v>1405</v>
      </c>
      <c r="H2305" s="5">
        <v>4</v>
      </c>
      <c r="I2305" s="5" t="str">
        <f>VLOOKUP(F2305,'Set up'!$A$2:$C$70,3,FALSE)</f>
        <v>Cash</v>
      </c>
      <c r="J2305" s="5">
        <f>VLOOKUP(F2305,'Set up'!$A$2:$D$70,4,FALSE)</f>
        <v>0</v>
      </c>
      <c r="K2305" s="4">
        <f t="shared" si="555"/>
        <v>45239</v>
      </c>
      <c r="L2305" s="5">
        <f t="shared" si="556"/>
        <v>11</v>
      </c>
      <c r="M2305" s="5">
        <f t="shared" si="557"/>
        <v>2023</v>
      </c>
      <c r="N2305" s="96">
        <v>192</v>
      </c>
      <c r="O2305" s="6">
        <f t="shared" si="567"/>
        <v>-192</v>
      </c>
      <c r="P2305" s="6">
        <f t="shared" si="562"/>
        <v>0</v>
      </c>
      <c r="Q2305" s="7">
        <f t="shared" si="558"/>
        <v>3842529.4500000025</v>
      </c>
      <c r="R2305" s="44" t="str">
        <f>VLOOKUP(F2305,'Set up'!$A$2:$E$70,5,FALSE)</f>
        <v>Cash</v>
      </c>
      <c r="S2305" s="1" t="s">
        <v>2117</v>
      </c>
    </row>
    <row r="2306" spans="1:19" ht="15" customHeight="1" x14ac:dyDescent="0.3">
      <c r="A2306" s="4">
        <v>45240</v>
      </c>
      <c r="B2306" s="5">
        <f t="shared" si="553"/>
        <v>11</v>
      </c>
      <c r="C2306" s="5">
        <f t="shared" si="554"/>
        <v>2023</v>
      </c>
      <c r="D2306" s="88" t="s">
        <v>2155</v>
      </c>
      <c r="E2306" s="5" t="str">
        <f>VLOOKUP(F2306,'Set up'!$A$2:$C$70,2,FALSE)</f>
        <v>C00000042</v>
      </c>
      <c r="F2306" s="1" t="s">
        <v>2012</v>
      </c>
      <c r="G2306" s="99" t="s">
        <v>1073</v>
      </c>
      <c r="H2306" s="5">
        <v>1</v>
      </c>
      <c r="I2306" s="5" t="str">
        <f>VLOOKUP(F2306,'Set up'!$A$2:$C$70,3,FALSE)</f>
        <v>Cash</v>
      </c>
      <c r="J2306" s="5">
        <f>VLOOKUP(F2306,'Set up'!$A$2:$D$70,4,FALSE)</f>
        <v>0</v>
      </c>
      <c r="K2306" s="4">
        <f t="shared" si="555"/>
        <v>45240</v>
      </c>
      <c r="L2306" s="5">
        <f t="shared" si="556"/>
        <v>11</v>
      </c>
      <c r="M2306" s="5">
        <f t="shared" si="557"/>
        <v>2023</v>
      </c>
      <c r="N2306" s="96">
        <v>1000</v>
      </c>
      <c r="O2306" s="6">
        <f t="shared" ref="O2306:O2311" si="568">-N2306</f>
        <v>-1000</v>
      </c>
      <c r="P2306" s="6">
        <f t="shared" si="562"/>
        <v>0</v>
      </c>
      <c r="Q2306" s="7">
        <f t="shared" si="558"/>
        <v>3843529.4500000025</v>
      </c>
      <c r="R2306" s="44" t="str">
        <f>VLOOKUP(F2306,'Set up'!$A$2:$E$70,5,FALSE)</f>
        <v>Trsf</v>
      </c>
      <c r="S2306" s="1" t="s">
        <v>2684</v>
      </c>
    </row>
    <row r="2307" spans="1:19" ht="15" customHeight="1" x14ac:dyDescent="0.3">
      <c r="A2307" s="4">
        <v>45240</v>
      </c>
      <c r="B2307" s="5">
        <f t="shared" ref="B2307:B2370" si="569">MONTH(A2307)</f>
        <v>11</v>
      </c>
      <c r="C2307" s="5">
        <f t="shared" ref="C2307:C2370" si="570">YEAR(A2307)</f>
        <v>2023</v>
      </c>
      <c r="D2307" s="88" t="s">
        <v>2156</v>
      </c>
      <c r="E2307" s="5" t="str">
        <f>VLOOKUP(F2307,'Set up'!$A$2:$C$70,2,FALSE)</f>
        <v>C00000042</v>
      </c>
      <c r="F2307" s="1" t="s">
        <v>2012</v>
      </c>
      <c r="G2307" s="99" t="s">
        <v>1110</v>
      </c>
      <c r="H2307" s="5">
        <v>2</v>
      </c>
      <c r="I2307" s="5" t="str">
        <f>VLOOKUP(F2307,'Set up'!$A$2:$C$70,3,FALSE)</f>
        <v>Cash</v>
      </c>
      <c r="J2307" s="5">
        <f>VLOOKUP(F2307,'Set up'!$A$2:$D$70,4,FALSE)</f>
        <v>0</v>
      </c>
      <c r="K2307" s="4">
        <f t="shared" ref="K2307:K2370" si="571">A2307+J2307</f>
        <v>45240</v>
      </c>
      <c r="L2307" s="5">
        <f t="shared" ref="L2307:L2370" si="572">MONTH(K2307)</f>
        <v>11</v>
      </c>
      <c r="M2307" s="5">
        <f t="shared" ref="M2307:M2370" si="573">YEAR(K2307)</f>
        <v>2023</v>
      </c>
      <c r="N2307" s="96">
        <v>125</v>
      </c>
      <c r="O2307" s="6">
        <f t="shared" si="568"/>
        <v>-125</v>
      </c>
      <c r="P2307" s="6">
        <f t="shared" si="562"/>
        <v>0</v>
      </c>
      <c r="Q2307" s="7">
        <f t="shared" ref="Q2307:Q2370" si="574">SUM(Q2306+N2307)</f>
        <v>3843654.4500000025</v>
      </c>
      <c r="R2307" s="44" t="str">
        <f>VLOOKUP(F2307,'Set up'!$A$2:$E$70,5,FALSE)</f>
        <v>Trsf</v>
      </c>
      <c r="S2307" s="1" t="s">
        <v>2686</v>
      </c>
    </row>
    <row r="2308" spans="1:19" ht="15" customHeight="1" x14ac:dyDescent="0.3">
      <c r="A2308" s="4">
        <v>45245</v>
      </c>
      <c r="B2308" s="5">
        <f t="shared" si="569"/>
        <v>11</v>
      </c>
      <c r="C2308" s="5">
        <f t="shared" si="570"/>
        <v>2023</v>
      </c>
      <c r="D2308" s="88" t="s">
        <v>2157</v>
      </c>
      <c r="E2308" s="5" t="str">
        <f>VLOOKUP(F2308,'Set up'!$A$2:$C$70,2,FALSE)</f>
        <v>C00000042</v>
      </c>
      <c r="F2308" s="1" t="s">
        <v>2012</v>
      </c>
      <c r="G2308" s="99" t="s">
        <v>1733</v>
      </c>
      <c r="H2308" s="5">
        <v>2</v>
      </c>
      <c r="I2308" s="5" t="str">
        <f>VLOOKUP(F2308,'Set up'!$A$2:$C$70,3,FALSE)</f>
        <v>Cash</v>
      </c>
      <c r="J2308" s="5">
        <f>VLOOKUP(F2308,'Set up'!$A$2:$D$70,4,FALSE)</f>
        <v>0</v>
      </c>
      <c r="K2308" s="4">
        <f t="shared" si="571"/>
        <v>45245</v>
      </c>
      <c r="L2308" s="5">
        <f t="shared" si="572"/>
        <v>11</v>
      </c>
      <c r="M2308" s="5">
        <f t="shared" si="573"/>
        <v>2023</v>
      </c>
      <c r="N2308" s="96">
        <v>3212</v>
      </c>
      <c r="O2308" s="6">
        <f t="shared" si="568"/>
        <v>-3212</v>
      </c>
      <c r="P2308" s="6">
        <f t="shared" si="562"/>
        <v>0</v>
      </c>
      <c r="Q2308" s="7">
        <f t="shared" si="574"/>
        <v>3846866.4500000025</v>
      </c>
      <c r="R2308" s="44" t="str">
        <f>VLOOKUP(F2308,'Set up'!$A$2:$E$70,5,FALSE)</f>
        <v>Trsf</v>
      </c>
      <c r="S2308" s="1" t="s">
        <v>2687</v>
      </c>
    </row>
    <row r="2309" spans="1:19" ht="15" customHeight="1" x14ac:dyDescent="0.3">
      <c r="A2309" s="4">
        <v>45245</v>
      </c>
      <c r="B2309" s="5">
        <f t="shared" si="569"/>
        <v>11</v>
      </c>
      <c r="C2309" s="5">
        <f t="shared" si="570"/>
        <v>2023</v>
      </c>
      <c r="D2309" s="88" t="s">
        <v>2157</v>
      </c>
      <c r="E2309" s="5" t="str">
        <f>VLOOKUP(F2309,'Set up'!$A$2:$C$70,2,FALSE)</f>
        <v>C00000042</v>
      </c>
      <c r="F2309" s="1" t="s">
        <v>2012</v>
      </c>
      <c r="G2309" s="99" t="s">
        <v>2095</v>
      </c>
      <c r="H2309" s="5">
        <v>6</v>
      </c>
      <c r="I2309" s="5" t="str">
        <f>VLOOKUP(F2309,'Set up'!$A$2:$C$70,3,FALSE)</f>
        <v>Cash</v>
      </c>
      <c r="J2309" s="5">
        <f>VLOOKUP(F2309,'Set up'!$A$2:$D$70,4,FALSE)</f>
        <v>0</v>
      </c>
      <c r="K2309" s="4">
        <f t="shared" si="571"/>
        <v>45245</v>
      </c>
      <c r="L2309" s="5">
        <f t="shared" si="572"/>
        <v>11</v>
      </c>
      <c r="M2309" s="5">
        <f t="shared" si="573"/>
        <v>2023</v>
      </c>
      <c r="N2309" s="96">
        <v>1287.5999999999999</v>
      </c>
      <c r="O2309" s="6">
        <f t="shared" si="568"/>
        <v>-1287.5999999999999</v>
      </c>
      <c r="P2309" s="6">
        <f t="shared" si="562"/>
        <v>0</v>
      </c>
      <c r="Q2309" s="7">
        <f t="shared" si="574"/>
        <v>3848154.0500000026</v>
      </c>
      <c r="R2309" s="44" t="str">
        <f>VLOOKUP(F2309,'Set up'!$A$2:$E$70,5,FALSE)</f>
        <v>Trsf</v>
      </c>
      <c r="S2309" s="1" t="s">
        <v>2688</v>
      </c>
    </row>
    <row r="2310" spans="1:19" ht="15" customHeight="1" x14ac:dyDescent="0.3">
      <c r="A2310" s="4">
        <v>45245</v>
      </c>
      <c r="B2310" s="5">
        <f t="shared" si="569"/>
        <v>11</v>
      </c>
      <c r="C2310" s="5">
        <f t="shared" si="570"/>
        <v>2023</v>
      </c>
      <c r="D2310" s="88" t="s">
        <v>2157</v>
      </c>
      <c r="E2310" s="5" t="str">
        <f>VLOOKUP(F2310,'Set up'!$A$2:$C$70,2,FALSE)</f>
        <v>C00000042</v>
      </c>
      <c r="F2310" s="1" t="s">
        <v>2012</v>
      </c>
      <c r="G2310" s="99" t="s">
        <v>1922</v>
      </c>
      <c r="H2310" s="5">
        <v>3</v>
      </c>
      <c r="I2310" s="5" t="str">
        <f>VLOOKUP(F2310,'Set up'!$A$2:$C$70,3,FALSE)</f>
        <v>Cash</v>
      </c>
      <c r="J2310" s="5">
        <f>VLOOKUP(F2310,'Set up'!$A$2:$D$70,4,FALSE)</f>
        <v>0</v>
      </c>
      <c r="K2310" s="4">
        <f t="shared" si="571"/>
        <v>45245</v>
      </c>
      <c r="L2310" s="5">
        <f t="shared" si="572"/>
        <v>11</v>
      </c>
      <c r="M2310" s="5">
        <f t="shared" si="573"/>
        <v>2023</v>
      </c>
      <c r="N2310" s="96">
        <v>702</v>
      </c>
      <c r="O2310" s="6">
        <f t="shared" si="568"/>
        <v>-702</v>
      </c>
      <c r="P2310" s="6">
        <f t="shared" si="562"/>
        <v>0</v>
      </c>
      <c r="Q2310" s="7">
        <f t="shared" si="574"/>
        <v>3848856.0500000026</v>
      </c>
      <c r="R2310" s="44" t="str">
        <f>VLOOKUP(F2310,'Set up'!$A$2:$E$70,5,FALSE)</f>
        <v>Trsf</v>
      </c>
      <c r="S2310" s="1" t="s">
        <v>2689</v>
      </c>
    </row>
    <row r="2311" spans="1:19" ht="15" customHeight="1" x14ac:dyDescent="0.3">
      <c r="A2311" s="4">
        <v>45245</v>
      </c>
      <c r="B2311" s="5">
        <f t="shared" si="569"/>
        <v>11</v>
      </c>
      <c r="C2311" s="5">
        <f t="shared" si="570"/>
        <v>2023</v>
      </c>
      <c r="D2311" s="88" t="s">
        <v>2157</v>
      </c>
      <c r="E2311" s="5" t="str">
        <f>VLOOKUP(F2311,'Set up'!$A$2:$C$70,2,FALSE)</f>
        <v>C00000042</v>
      </c>
      <c r="F2311" s="1" t="s">
        <v>2012</v>
      </c>
      <c r="G2311" s="99" t="s">
        <v>1073</v>
      </c>
      <c r="H2311" s="5">
        <v>1</v>
      </c>
      <c r="I2311" s="5" t="str">
        <f>VLOOKUP(F2311,'Set up'!$A$2:$C$70,3,FALSE)</f>
        <v>Cash</v>
      </c>
      <c r="J2311" s="5">
        <f>VLOOKUP(F2311,'Set up'!$A$2:$D$70,4,FALSE)</f>
        <v>0</v>
      </c>
      <c r="K2311" s="4">
        <f t="shared" si="571"/>
        <v>45245</v>
      </c>
      <c r="L2311" s="5">
        <f t="shared" si="572"/>
        <v>11</v>
      </c>
      <c r="M2311" s="5">
        <f t="shared" si="573"/>
        <v>2023</v>
      </c>
      <c r="N2311" s="96">
        <v>1000</v>
      </c>
      <c r="O2311" s="6">
        <f t="shared" si="568"/>
        <v>-1000</v>
      </c>
      <c r="P2311" s="6">
        <f t="shared" si="562"/>
        <v>0</v>
      </c>
      <c r="Q2311" s="7">
        <f t="shared" si="574"/>
        <v>3849856.0500000026</v>
      </c>
      <c r="R2311" s="44" t="str">
        <f>VLOOKUP(F2311,'Set up'!$A$2:$E$70,5,FALSE)</f>
        <v>Trsf</v>
      </c>
      <c r="S2311" s="1" t="s">
        <v>2684</v>
      </c>
    </row>
    <row r="2312" spans="1:19" ht="15" customHeight="1" x14ac:dyDescent="0.3">
      <c r="A2312" s="4">
        <v>45245</v>
      </c>
      <c r="B2312" s="5">
        <f t="shared" si="569"/>
        <v>11</v>
      </c>
      <c r="C2312" s="5">
        <f t="shared" si="570"/>
        <v>2023</v>
      </c>
      <c r="D2312" s="88" t="s">
        <v>2158</v>
      </c>
      <c r="E2312" s="5" t="str">
        <f>VLOOKUP(F2312,'Set up'!$A$2:$C$70,2,FALSE)</f>
        <v>C00000014</v>
      </c>
      <c r="F2312" s="1" t="s">
        <v>262</v>
      </c>
      <c r="G2312" s="99" t="s">
        <v>2096</v>
      </c>
      <c r="H2312" s="5">
        <v>2</v>
      </c>
      <c r="I2312" s="5" t="str">
        <f>VLOOKUP(F2312,'Set up'!$A$2:$C$70,3,FALSE)</f>
        <v>Cash</v>
      </c>
      <c r="J2312" s="5">
        <f>VLOOKUP(F2312,'Set up'!$A$2:$D$70,4,FALSE)</f>
        <v>0</v>
      </c>
      <c r="K2312" s="4">
        <f t="shared" si="571"/>
        <v>45245</v>
      </c>
      <c r="L2312" s="5">
        <f t="shared" si="572"/>
        <v>11</v>
      </c>
      <c r="M2312" s="5">
        <f t="shared" si="573"/>
        <v>2023</v>
      </c>
      <c r="N2312" s="96">
        <v>567.6</v>
      </c>
      <c r="O2312" s="6">
        <f t="shared" ref="O2312:O2319" si="575">-N2312</f>
        <v>-567.6</v>
      </c>
      <c r="P2312" s="6">
        <f t="shared" si="562"/>
        <v>0</v>
      </c>
      <c r="Q2312" s="7">
        <f t="shared" si="574"/>
        <v>3850423.6500000027</v>
      </c>
      <c r="R2312" s="44" t="str">
        <f>VLOOKUP(F2312,'Set up'!$A$2:$E$70,5,FALSE)</f>
        <v>Cash</v>
      </c>
      <c r="S2312" s="1" t="s">
        <v>2119</v>
      </c>
    </row>
    <row r="2313" spans="1:19" ht="15" customHeight="1" x14ac:dyDescent="0.3">
      <c r="A2313" s="4">
        <v>45245</v>
      </c>
      <c r="B2313" s="5">
        <f t="shared" si="569"/>
        <v>11</v>
      </c>
      <c r="C2313" s="5">
        <f t="shared" si="570"/>
        <v>2023</v>
      </c>
      <c r="D2313" s="88" t="s">
        <v>2159</v>
      </c>
      <c r="E2313" s="5" t="str">
        <f>VLOOKUP(F2313,'Set up'!$A$2:$C$70,2,FALSE)</f>
        <v>C00000010</v>
      </c>
      <c r="F2313" s="1" t="s">
        <v>62</v>
      </c>
      <c r="G2313" s="99" t="s">
        <v>1178</v>
      </c>
      <c r="H2313" s="5">
        <v>5</v>
      </c>
      <c r="I2313" s="5">
        <f>VLOOKUP(F2313,'Set up'!$A$2:$C$70,3,FALSE)</f>
        <v>120</v>
      </c>
      <c r="J2313" s="5">
        <f>VLOOKUP(F2313,'Set up'!$A$2:$D$70,4,FALSE)</f>
        <v>120</v>
      </c>
      <c r="K2313" s="4">
        <f t="shared" si="571"/>
        <v>45365</v>
      </c>
      <c r="L2313" s="5">
        <f t="shared" si="572"/>
        <v>3</v>
      </c>
      <c r="M2313" s="5">
        <f t="shared" si="573"/>
        <v>2024</v>
      </c>
      <c r="N2313" s="96">
        <v>8030</v>
      </c>
      <c r="O2313" s="6">
        <f t="shared" si="575"/>
        <v>-8030</v>
      </c>
      <c r="P2313" s="6">
        <f t="shared" si="562"/>
        <v>0</v>
      </c>
      <c r="Q2313" s="7">
        <f t="shared" si="574"/>
        <v>3858453.6500000027</v>
      </c>
      <c r="R2313" s="44" t="str">
        <f>VLOOKUP(F2313,'Set up'!$A$2:$E$70,5,FALSE)</f>
        <v>Trsf</v>
      </c>
      <c r="S2313" s="1" t="s">
        <v>2542</v>
      </c>
    </row>
    <row r="2314" spans="1:19" ht="15" customHeight="1" x14ac:dyDescent="0.3">
      <c r="A2314" s="4">
        <v>45245</v>
      </c>
      <c r="B2314" s="5">
        <f t="shared" si="569"/>
        <v>11</v>
      </c>
      <c r="C2314" s="5">
        <f t="shared" si="570"/>
        <v>2023</v>
      </c>
      <c r="D2314" s="88" t="s">
        <v>2159</v>
      </c>
      <c r="E2314" s="5" t="str">
        <f>VLOOKUP(F2314,'Set up'!$A$2:$C$70,2,FALSE)</f>
        <v>C00000010</v>
      </c>
      <c r="F2314" s="1" t="s">
        <v>62</v>
      </c>
      <c r="G2314" s="99" t="s">
        <v>2095</v>
      </c>
      <c r="H2314" s="5">
        <v>10</v>
      </c>
      <c r="I2314" s="5">
        <f>VLOOKUP(F2314,'Set up'!$A$2:$C$70,3,FALSE)</f>
        <v>120</v>
      </c>
      <c r="J2314" s="5">
        <f>VLOOKUP(F2314,'Set up'!$A$2:$D$70,4,FALSE)</f>
        <v>120</v>
      </c>
      <c r="K2314" s="4">
        <f t="shared" si="571"/>
        <v>45365</v>
      </c>
      <c r="L2314" s="5">
        <f t="shared" si="572"/>
        <v>3</v>
      </c>
      <c r="M2314" s="5">
        <f t="shared" si="573"/>
        <v>2024</v>
      </c>
      <c r="N2314" s="96">
        <v>2146</v>
      </c>
      <c r="O2314" s="6">
        <f t="shared" si="575"/>
        <v>-2146</v>
      </c>
      <c r="P2314" s="6">
        <f t="shared" si="562"/>
        <v>0</v>
      </c>
      <c r="Q2314" s="7">
        <f t="shared" si="574"/>
        <v>3860599.6500000027</v>
      </c>
      <c r="R2314" s="44" t="str">
        <f>VLOOKUP(F2314,'Set up'!$A$2:$E$70,5,FALSE)</f>
        <v>Trsf</v>
      </c>
      <c r="S2314" s="1" t="s">
        <v>2542</v>
      </c>
    </row>
    <row r="2315" spans="1:19" ht="15" customHeight="1" x14ac:dyDescent="0.3">
      <c r="A2315" s="4">
        <v>45245</v>
      </c>
      <c r="B2315" s="5">
        <f t="shared" si="569"/>
        <v>11</v>
      </c>
      <c r="C2315" s="5">
        <f t="shared" si="570"/>
        <v>2023</v>
      </c>
      <c r="D2315" s="88" t="s">
        <v>2159</v>
      </c>
      <c r="E2315" s="5" t="str">
        <f>VLOOKUP(F2315,'Set up'!$A$2:$C$70,2,FALSE)</f>
        <v>C00000010</v>
      </c>
      <c r="F2315" s="1" t="s">
        <v>62</v>
      </c>
      <c r="G2315" s="99" t="s">
        <v>791</v>
      </c>
      <c r="H2315" s="5">
        <v>10</v>
      </c>
      <c r="I2315" s="5">
        <f>VLOOKUP(F2315,'Set up'!$A$2:$C$70,3,FALSE)</f>
        <v>120</v>
      </c>
      <c r="J2315" s="5">
        <f>VLOOKUP(F2315,'Set up'!$A$2:$D$70,4,FALSE)</f>
        <v>120</v>
      </c>
      <c r="K2315" s="4">
        <f t="shared" si="571"/>
        <v>45365</v>
      </c>
      <c r="L2315" s="5">
        <f t="shared" si="572"/>
        <v>3</v>
      </c>
      <c r="M2315" s="5">
        <f t="shared" si="573"/>
        <v>2024</v>
      </c>
      <c r="N2315" s="96">
        <v>575</v>
      </c>
      <c r="O2315" s="6">
        <f t="shared" si="575"/>
        <v>-575</v>
      </c>
      <c r="P2315" s="6">
        <f t="shared" si="562"/>
        <v>0</v>
      </c>
      <c r="Q2315" s="7">
        <f t="shared" si="574"/>
        <v>3861174.6500000027</v>
      </c>
      <c r="R2315" s="44" t="str">
        <f>VLOOKUP(F2315,'Set up'!$A$2:$E$70,5,FALSE)</f>
        <v>Trsf</v>
      </c>
      <c r="S2315" s="1" t="s">
        <v>2542</v>
      </c>
    </row>
    <row r="2316" spans="1:19" ht="15" customHeight="1" x14ac:dyDescent="0.3">
      <c r="A2316" s="4">
        <v>45245</v>
      </c>
      <c r="B2316" s="5">
        <f t="shared" si="569"/>
        <v>11</v>
      </c>
      <c r="C2316" s="5">
        <f t="shared" si="570"/>
        <v>2023</v>
      </c>
      <c r="D2316" s="88" t="s">
        <v>2159</v>
      </c>
      <c r="E2316" s="5" t="str">
        <f>VLOOKUP(F2316,'Set up'!$A$2:$C$70,2,FALSE)</f>
        <v>C00000010</v>
      </c>
      <c r="F2316" s="1" t="s">
        <v>62</v>
      </c>
      <c r="G2316" s="99" t="s">
        <v>46</v>
      </c>
      <c r="H2316" s="5">
        <v>8</v>
      </c>
      <c r="I2316" s="5">
        <f>VLOOKUP(F2316,'Set up'!$A$2:$C$70,3,FALSE)</f>
        <v>120</v>
      </c>
      <c r="J2316" s="5">
        <f>VLOOKUP(F2316,'Set up'!$A$2:$D$70,4,FALSE)</f>
        <v>120</v>
      </c>
      <c r="K2316" s="4">
        <f t="shared" si="571"/>
        <v>45365</v>
      </c>
      <c r="L2316" s="5">
        <f t="shared" si="572"/>
        <v>3</v>
      </c>
      <c r="M2316" s="5">
        <f t="shared" si="573"/>
        <v>2024</v>
      </c>
      <c r="N2316" s="96">
        <v>840</v>
      </c>
      <c r="O2316" s="6">
        <f t="shared" si="575"/>
        <v>-840</v>
      </c>
      <c r="P2316" s="6">
        <f t="shared" si="562"/>
        <v>0</v>
      </c>
      <c r="Q2316" s="7">
        <f t="shared" si="574"/>
        <v>3862014.6500000027</v>
      </c>
      <c r="R2316" s="44" t="str">
        <f>VLOOKUP(F2316,'Set up'!$A$2:$E$70,5,FALSE)</f>
        <v>Trsf</v>
      </c>
      <c r="S2316" s="1" t="s">
        <v>2542</v>
      </c>
    </row>
    <row r="2317" spans="1:19" ht="15" customHeight="1" x14ac:dyDescent="0.3">
      <c r="A2317" s="4">
        <v>45245</v>
      </c>
      <c r="B2317" s="5">
        <f t="shared" si="569"/>
        <v>11</v>
      </c>
      <c r="C2317" s="5">
        <f t="shared" si="570"/>
        <v>2023</v>
      </c>
      <c r="D2317" s="88" t="s">
        <v>2159</v>
      </c>
      <c r="E2317" s="5" t="str">
        <f>VLOOKUP(F2317,'Set up'!$A$2:$C$70,2,FALSE)</f>
        <v>C00000010</v>
      </c>
      <c r="F2317" s="1" t="s">
        <v>62</v>
      </c>
      <c r="G2317" s="99" t="s">
        <v>944</v>
      </c>
      <c r="H2317" s="5">
        <v>1</v>
      </c>
      <c r="I2317" s="5">
        <f>VLOOKUP(F2317,'Set up'!$A$2:$C$70,3,FALSE)</f>
        <v>120</v>
      </c>
      <c r="J2317" s="5">
        <f>VLOOKUP(F2317,'Set up'!$A$2:$D$70,4,FALSE)</f>
        <v>120</v>
      </c>
      <c r="K2317" s="4">
        <f t="shared" si="571"/>
        <v>45365</v>
      </c>
      <c r="L2317" s="5">
        <f t="shared" si="572"/>
        <v>3</v>
      </c>
      <c r="M2317" s="5">
        <f t="shared" si="573"/>
        <v>2024</v>
      </c>
      <c r="N2317" s="96">
        <v>420</v>
      </c>
      <c r="O2317" s="6">
        <f t="shared" si="575"/>
        <v>-420</v>
      </c>
      <c r="P2317" s="6">
        <f t="shared" si="562"/>
        <v>0</v>
      </c>
      <c r="Q2317" s="7">
        <f t="shared" si="574"/>
        <v>3862434.6500000027</v>
      </c>
      <c r="R2317" s="44" t="str">
        <f>VLOOKUP(F2317,'Set up'!$A$2:$E$70,5,FALSE)</f>
        <v>Trsf</v>
      </c>
      <c r="S2317" s="1" t="s">
        <v>2542</v>
      </c>
    </row>
    <row r="2318" spans="1:19" ht="15" customHeight="1" x14ac:dyDescent="0.3">
      <c r="A2318" s="4">
        <v>45245</v>
      </c>
      <c r="B2318" s="5">
        <f t="shared" si="569"/>
        <v>11</v>
      </c>
      <c r="C2318" s="5">
        <f t="shared" si="570"/>
        <v>2023</v>
      </c>
      <c r="D2318" s="88" t="s">
        <v>2159</v>
      </c>
      <c r="E2318" s="5" t="str">
        <f>VLOOKUP(F2318,'Set up'!$A$2:$C$70,2,FALSE)</f>
        <v>C00000010</v>
      </c>
      <c r="F2318" s="1" t="s">
        <v>62</v>
      </c>
      <c r="G2318" s="99" t="s">
        <v>614</v>
      </c>
      <c r="H2318" s="5">
        <v>1</v>
      </c>
      <c r="I2318" s="5">
        <f>VLOOKUP(F2318,'Set up'!$A$2:$C$70,3,FALSE)</f>
        <v>120</v>
      </c>
      <c r="J2318" s="5">
        <f>VLOOKUP(F2318,'Set up'!$A$2:$D$70,4,FALSE)</f>
        <v>120</v>
      </c>
      <c r="K2318" s="4">
        <f t="shared" si="571"/>
        <v>45365</v>
      </c>
      <c r="L2318" s="5">
        <f t="shared" si="572"/>
        <v>3</v>
      </c>
      <c r="M2318" s="5">
        <f t="shared" si="573"/>
        <v>2024</v>
      </c>
      <c r="N2318" s="96">
        <v>395</v>
      </c>
      <c r="O2318" s="6">
        <f t="shared" si="575"/>
        <v>-395</v>
      </c>
      <c r="P2318" s="6">
        <f t="shared" si="562"/>
        <v>0</v>
      </c>
      <c r="Q2318" s="7">
        <f t="shared" si="574"/>
        <v>3862829.6500000027</v>
      </c>
      <c r="R2318" s="44" t="str">
        <f>VLOOKUP(F2318,'Set up'!$A$2:$E$70,5,FALSE)</f>
        <v>Trsf</v>
      </c>
      <c r="S2318" s="1" t="s">
        <v>2542</v>
      </c>
    </row>
    <row r="2319" spans="1:19" ht="15" customHeight="1" x14ac:dyDescent="0.3">
      <c r="A2319" s="4">
        <v>45245</v>
      </c>
      <c r="B2319" s="5">
        <f t="shared" si="569"/>
        <v>11</v>
      </c>
      <c r="C2319" s="5">
        <f t="shared" si="570"/>
        <v>2023</v>
      </c>
      <c r="D2319" s="88" t="s">
        <v>2160</v>
      </c>
      <c r="E2319" s="5" t="str">
        <f>VLOOKUP(F2319,'Set up'!$A$2:$C$70,2,FALSE)</f>
        <v>C00000010</v>
      </c>
      <c r="F2319" s="1" t="s">
        <v>62</v>
      </c>
      <c r="G2319" s="99" t="s">
        <v>2097</v>
      </c>
      <c r="H2319" s="5">
        <v>1</v>
      </c>
      <c r="I2319" s="5">
        <f>VLOOKUP(F2319,'Set up'!$A$2:$C$70,3,FALSE)</f>
        <v>120</v>
      </c>
      <c r="J2319" s="5">
        <f>VLOOKUP(F2319,'Set up'!$A$2:$D$70,4,FALSE)</f>
        <v>120</v>
      </c>
      <c r="K2319" s="4">
        <f t="shared" si="571"/>
        <v>45365</v>
      </c>
      <c r="L2319" s="5">
        <f t="shared" si="572"/>
        <v>3</v>
      </c>
      <c r="M2319" s="5">
        <f t="shared" si="573"/>
        <v>2024</v>
      </c>
      <c r="N2319" s="96">
        <v>1597.5</v>
      </c>
      <c r="O2319" s="6">
        <f t="shared" si="575"/>
        <v>-1597.5</v>
      </c>
      <c r="P2319" s="6">
        <f t="shared" si="562"/>
        <v>0</v>
      </c>
      <c r="Q2319" s="7">
        <f t="shared" si="574"/>
        <v>3864427.1500000027</v>
      </c>
      <c r="R2319" s="44" t="str">
        <f>VLOOKUP(F2319,'Set up'!$A$2:$E$70,5,FALSE)</f>
        <v>Trsf</v>
      </c>
      <c r="S2319" s="1" t="s">
        <v>2542</v>
      </c>
    </row>
    <row r="2320" spans="1:19" ht="15" customHeight="1" x14ac:dyDescent="0.3">
      <c r="A2320" s="4">
        <v>45245</v>
      </c>
      <c r="B2320" s="5">
        <f t="shared" si="569"/>
        <v>11</v>
      </c>
      <c r="C2320" s="5">
        <f t="shared" si="570"/>
        <v>2023</v>
      </c>
      <c r="D2320" s="88" t="s">
        <v>2161</v>
      </c>
      <c r="E2320" s="5" t="str">
        <f>VLOOKUP(F2320,'Set up'!$A$2:$C$70,2,FALSE)</f>
        <v>C00000019</v>
      </c>
      <c r="F2320" s="1" t="s">
        <v>400</v>
      </c>
      <c r="G2320" s="99" t="s">
        <v>95</v>
      </c>
      <c r="H2320" s="5">
        <v>1</v>
      </c>
      <c r="I2320" s="5" t="str">
        <f>VLOOKUP(F2320,'Set up'!$A$2:$C$70,3,FALSE)</f>
        <v>Cash</v>
      </c>
      <c r="J2320" s="5">
        <f>VLOOKUP(F2320,'Set up'!$A$2:$D$70,4,FALSE)</f>
        <v>0</v>
      </c>
      <c r="K2320" s="4">
        <f t="shared" si="571"/>
        <v>45245</v>
      </c>
      <c r="L2320" s="5">
        <f t="shared" si="572"/>
        <v>11</v>
      </c>
      <c r="M2320" s="5">
        <f t="shared" si="573"/>
        <v>2023</v>
      </c>
      <c r="N2320" s="96">
        <v>1738</v>
      </c>
      <c r="O2320" s="6">
        <f>-151.6-1000-586.4</f>
        <v>-1738</v>
      </c>
      <c r="P2320" s="6">
        <f t="shared" si="562"/>
        <v>0</v>
      </c>
      <c r="Q2320" s="7">
        <f t="shared" si="574"/>
        <v>3866165.1500000027</v>
      </c>
      <c r="R2320" s="44" t="str">
        <f>VLOOKUP(F2320,'Set up'!$A$2:$E$70,5,FALSE)</f>
        <v>Trsf</v>
      </c>
      <c r="S2320" s="1" t="s">
        <v>3047</v>
      </c>
    </row>
    <row r="2321" spans="1:19" ht="15" customHeight="1" x14ac:dyDescent="0.3">
      <c r="A2321" s="4">
        <v>45245</v>
      </c>
      <c r="B2321" s="5">
        <f t="shared" si="569"/>
        <v>11</v>
      </c>
      <c r="C2321" s="5">
        <f t="shared" si="570"/>
        <v>2023</v>
      </c>
      <c r="D2321" s="88" t="s">
        <v>2161</v>
      </c>
      <c r="E2321" s="5" t="str">
        <f>VLOOKUP(F2321,'Set up'!$A$2:$C$70,2,FALSE)</f>
        <v>C00000019</v>
      </c>
      <c r="F2321" s="1" t="s">
        <v>400</v>
      </c>
      <c r="G2321" s="99" t="s">
        <v>1411</v>
      </c>
      <c r="H2321" s="5">
        <v>1</v>
      </c>
      <c r="I2321" s="5" t="str">
        <f>VLOOKUP(F2321,'Set up'!$A$2:$C$70,3,FALSE)</f>
        <v>Cash</v>
      </c>
      <c r="J2321" s="5">
        <f>VLOOKUP(F2321,'Set up'!$A$2:$D$70,4,FALSE)</f>
        <v>0</v>
      </c>
      <c r="K2321" s="4">
        <f t="shared" si="571"/>
        <v>45245</v>
      </c>
      <c r="L2321" s="5">
        <f t="shared" si="572"/>
        <v>11</v>
      </c>
      <c r="M2321" s="5">
        <f t="shared" si="573"/>
        <v>2023</v>
      </c>
      <c r="N2321" s="96">
        <v>405</v>
      </c>
      <c r="O2321" s="6">
        <f t="shared" ref="O2321:O2325" si="576">-N2321</f>
        <v>-405</v>
      </c>
      <c r="P2321" s="6">
        <f t="shared" si="562"/>
        <v>0</v>
      </c>
      <c r="Q2321" s="7">
        <f t="shared" si="574"/>
        <v>3866570.1500000027</v>
      </c>
      <c r="R2321" s="44" t="str">
        <f>VLOOKUP(F2321,'Set up'!$A$2:$E$70,5,FALSE)</f>
        <v>Trsf</v>
      </c>
      <c r="S2321" s="1" t="s">
        <v>3039</v>
      </c>
    </row>
    <row r="2322" spans="1:19" ht="15" customHeight="1" x14ac:dyDescent="0.3">
      <c r="A2322" s="4">
        <v>45245</v>
      </c>
      <c r="B2322" s="5">
        <f t="shared" si="569"/>
        <v>11</v>
      </c>
      <c r="C2322" s="5">
        <f t="shared" si="570"/>
        <v>2023</v>
      </c>
      <c r="D2322" s="88" t="s">
        <v>2161</v>
      </c>
      <c r="E2322" s="5" t="str">
        <f>VLOOKUP(F2322,'Set up'!$A$2:$C$70,2,FALSE)</f>
        <v>C00000019</v>
      </c>
      <c r="F2322" s="1" t="s">
        <v>400</v>
      </c>
      <c r="G2322" s="99" t="s">
        <v>791</v>
      </c>
      <c r="H2322" s="5">
        <v>3</v>
      </c>
      <c r="I2322" s="5" t="str">
        <f>VLOOKUP(F2322,'Set up'!$A$2:$C$70,3,FALSE)</f>
        <v>Cash</v>
      </c>
      <c r="J2322" s="5">
        <f>VLOOKUP(F2322,'Set up'!$A$2:$D$70,4,FALSE)</f>
        <v>0</v>
      </c>
      <c r="K2322" s="4">
        <f t="shared" si="571"/>
        <v>45245</v>
      </c>
      <c r="L2322" s="5">
        <f t="shared" si="572"/>
        <v>11</v>
      </c>
      <c r="M2322" s="5">
        <f t="shared" si="573"/>
        <v>2023</v>
      </c>
      <c r="N2322" s="96">
        <v>187.5</v>
      </c>
      <c r="O2322" s="6">
        <f t="shared" si="576"/>
        <v>-187.5</v>
      </c>
      <c r="P2322" s="6">
        <f t="shared" si="562"/>
        <v>0</v>
      </c>
      <c r="Q2322" s="7">
        <f t="shared" si="574"/>
        <v>3866757.6500000027</v>
      </c>
      <c r="R2322" s="44" t="str">
        <f>VLOOKUP(F2322,'Set up'!$A$2:$E$70,5,FALSE)</f>
        <v>Trsf</v>
      </c>
      <c r="S2322" s="1" t="s">
        <v>3041</v>
      </c>
    </row>
    <row r="2323" spans="1:19" ht="15" customHeight="1" x14ac:dyDescent="0.3">
      <c r="A2323" s="4">
        <v>45245</v>
      </c>
      <c r="B2323" s="5">
        <f t="shared" si="569"/>
        <v>11</v>
      </c>
      <c r="C2323" s="5">
        <f t="shared" si="570"/>
        <v>2023</v>
      </c>
      <c r="D2323" s="88" t="s">
        <v>2161</v>
      </c>
      <c r="E2323" s="5" t="str">
        <f>VLOOKUP(F2323,'Set up'!$A$2:$C$70,2,FALSE)</f>
        <v>C00000019</v>
      </c>
      <c r="F2323" s="1" t="s">
        <v>400</v>
      </c>
      <c r="G2323" s="99" t="s">
        <v>46</v>
      </c>
      <c r="H2323" s="5">
        <v>1</v>
      </c>
      <c r="I2323" s="5" t="str">
        <f>VLOOKUP(F2323,'Set up'!$A$2:$C$70,3,FALSE)</f>
        <v>Cash</v>
      </c>
      <c r="J2323" s="5">
        <f>VLOOKUP(F2323,'Set up'!$A$2:$D$70,4,FALSE)</f>
        <v>0</v>
      </c>
      <c r="K2323" s="4">
        <f t="shared" si="571"/>
        <v>45245</v>
      </c>
      <c r="L2323" s="5">
        <f t="shared" si="572"/>
        <v>11</v>
      </c>
      <c r="M2323" s="5">
        <f t="shared" si="573"/>
        <v>2023</v>
      </c>
      <c r="N2323" s="96">
        <v>105</v>
      </c>
      <c r="O2323" s="6">
        <f t="shared" si="576"/>
        <v>-105</v>
      </c>
      <c r="P2323" s="6">
        <f t="shared" ref="P2323:P2386" si="577">SUM(N2323+O2323)</f>
        <v>0</v>
      </c>
      <c r="Q2323" s="7">
        <f t="shared" si="574"/>
        <v>3866862.6500000027</v>
      </c>
      <c r="R2323" s="44" t="str">
        <f>VLOOKUP(F2323,'Set up'!$A$2:$E$70,5,FALSE)</f>
        <v>Trsf</v>
      </c>
      <c r="S2323" s="1" t="s">
        <v>3040</v>
      </c>
    </row>
    <row r="2324" spans="1:19" ht="15" customHeight="1" x14ac:dyDescent="0.3">
      <c r="A2324" s="4">
        <v>45245</v>
      </c>
      <c r="B2324" s="5">
        <f t="shared" si="569"/>
        <v>11</v>
      </c>
      <c r="C2324" s="5">
        <f t="shared" si="570"/>
        <v>2023</v>
      </c>
      <c r="D2324" s="88" t="s">
        <v>2161</v>
      </c>
      <c r="E2324" s="5" t="str">
        <f>VLOOKUP(F2324,'Set up'!$A$2:$C$70,2,FALSE)</f>
        <v>C00000019</v>
      </c>
      <c r="F2324" s="1" t="s">
        <v>400</v>
      </c>
      <c r="G2324" s="99" t="s">
        <v>1469</v>
      </c>
      <c r="H2324" s="5">
        <v>1</v>
      </c>
      <c r="I2324" s="5" t="str">
        <f>VLOOKUP(F2324,'Set up'!$A$2:$C$70,3,FALSE)</f>
        <v>Cash</v>
      </c>
      <c r="J2324" s="5">
        <f>VLOOKUP(F2324,'Set up'!$A$2:$D$70,4,FALSE)</f>
        <v>0</v>
      </c>
      <c r="K2324" s="4">
        <f t="shared" si="571"/>
        <v>45245</v>
      </c>
      <c r="L2324" s="5">
        <f t="shared" si="572"/>
        <v>11</v>
      </c>
      <c r="M2324" s="5">
        <f t="shared" si="573"/>
        <v>2023</v>
      </c>
      <c r="N2324" s="96">
        <v>390</v>
      </c>
      <c r="O2324" s="6">
        <f>-216.1-173.9</f>
        <v>-390</v>
      </c>
      <c r="P2324" s="6">
        <f t="shared" si="577"/>
        <v>0</v>
      </c>
      <c r="Q2324" s="7">
        <f t="shared" si="574"/>
        <v>3867252.6500000027</v>
      </c>
      <c r="R2324" s="44" t="str">
        <f>VLOOKUP(F2324,'Set up'!$A$2:$E$70,5,FALSE)</f>
        <v>Trsf</v>
      </c>
      <c r="S2324" s="1" t="s">
        <v>3042</v>
      </c>
    </row>
    <row r="2325" spans="1:19" ht="15" customHeight="1" x14ac:dyDescent="0.3">
      <c r="A2325" s="4">
        <v>45245</v>
      </c>
      <c r="B2325" s="5">
        <f t="shared" si="569"/>
        <v>11</v>
      </c>
      <c r="C2325" s="5">
        <f t="shared" si="570"/>
        <v>2023</v>
      </c>
      <c r="D2325" s="88" t="s">
        <v>2161</v>
      </c>
      <c r="E2325" s="5" t="str">
        <f>VLOOKUP(F2325,'Set up'!$A$2:$C$70,2,FALSE)</f>
        <v>C00000019</v>
      </c>
      <c r="F2325" s="1" t="s">
        <v>400</v>
      </c>
      <c r="G2325" s="99" t="s">
        <v>1627</v>
      </c>
      <c r="H2325" s="5">
        <v>1</v>
      </c>
      <c r="I2325" s="5" t="str">
        <f>VLOOKUP(F2325,'Set up'!$A$2:$C$70,3,FALSE)</f>
        <v>Cash</v>
      </c>
      <c r="J2325" s="5">
        <f>VLOOKUP(F2325,'Set up'!$A$2:$D$70,4,FALSE)</f>
        <v>0</v>
      </c>
      <c r="K2325" s="4">
        <f t="shared" si="571"/>
        <v>45245</v>
      </c>
      <c r="L2325" s="5">
        <f t="shared" si="572"/>
        <v>11</v>
      </c>
      <c r="M2325" s="5">
        <f t="shared" si="573"/>
        <v>2023</v>
      </c>
      <c r="N2325" s="96">
        <v>260</v>
      </c>
      <c r="O2325" s="6">
        <f t="shared" si="576"/>
        <v>-260</v>
      </c>
      <c r="P2325" s="6">
        <f t="shared" si="577"/>
        <v>0</v>
      </c>
      <c r="Q2325" s="7">
        <f t="shared" si="574"/>
        <v>3867512.6500000027</v>
      </c>
      <c r="R2325" s="44" t="str">
        <f>VLOOKUP(F2325,'Set up'!$A$2:$E$70,5,FALSE)</f>
        <v>Trsf</v>
      </c>
      <c r="S2325" s="1" t="s">
        <v>3043</v>
      </c>
    </row>
    <row r="2326" spans="1:19" ht="15" customHeight="1" x14ac:dyDescent="0.3">
      <c r="A2326" s="4">
        <v>45247</v>
      </c>
      <c r="B2326" s="5">
        <f t="shared" si="569"/>
        <v>11</v>
      </c>
      <c r="C2326" s="5">
        <f t="shared" si="570"/>
        <v>2023</v>
      </c>
      <c r="D2326" s="88" t="s">
        <v>2162</v>
      </c>
      <c r="E2326" s="5" t="str">
        <f>VLOOKUP(F2326,'Set up'!$A$2:$C$70,2,FALSE)</f>
        <v>C00000042</v>
      </c>
      <c r="F2326" s="1" t="s">
        <v>2012</v>
      </c>
      <c r="G2326" s="99" t="s">
        <v>1110</v>
      </c>
      <c r="H2326" s="5">
        <v>1</v>
      </c>
      <c r="I2326" s="5" t="str">
        <f>VLOOKUP(F2326,'Set up'!$A$2:$C$70,3,FALSE)</f>
        <v>Cash</v>
      </c>
      <c r="J2326" s="5">
        <f>VLOOKUP(F2326,'Set up'!$A$2:$D$70,4,FALSE)</f>
        <v>0</v>
      </c>
      <c r="K2326" s="4">
        <f t="shared" si="571"/>
        <v>45247</v>
      </c>
      <c r="L2326" s="5">
        <f t="shared" si="572"/>
        <v>11</v>
      </c>
      <c r="M2326" s="5">
        <f t="shared" si="573"/>
        <v>2023</v>
      </c>
      <c r="N2326" s="96">
        <v>62.5</v>
      </c>
      <c r="O2326" s="6">
        <f>-N2326</f>
        <v>-62.5</v>
      </c>
      <c r="P2326" s="6">
        <f t="shared" si="577"/>
        <v>0</v>
      </c>
      <c r="Q2326" s="7">
        <f t="shared" si="574"/>
        <v>3867575.1500000027</v>
      </c>
      <c r="R2326" s="44" t="str">
        <f>VLOOKUP(F2326,'Set up'!$A$2:$E$70,5,FALSE)</f>
        <v>Trsf</v>
      </c>
      <c r="S2326" s="1" t="s">
        <v>2690</v>
      </c>
    </row>
    <row r="2327" spans="1:19" ht="15" customHeight="1" x14ac:dyDescent="0.3">
      <c r="A2327" s="4">
        <v>45247</v>
      </c>
      <c r="B2327" s="5">
        <f t="shared" si="569"/>
        <v>11</v>
      </c>
      <c r="C2327" s="5">
        <f t="shared" si="570"/>
        <v>2023</v>
      </c>
      <c r="D2327" s="88" t="s">
        <v>2163</v>
      </c>
      <c r="E2327" s="5" t="str">
        <f>VLOOKUP(F2327,'Set up'!$A$2:$C$70,2,FALSE)</f>
        <v>C00000042</v>
      </c>
      <c r="F2327" s="1" t="s">
        <v>2012</v>
      </c>
      <c r="G2327" s="99" t="s">
        <v>1733</v>
      </c>
      <c r="H2327" s="5">
        <v>1</v>
      </c>
      <c r="I2327" s="5" t="str">
        <f>VLOOKUP(F2327,'Set up'!$A$2:$C$70,3,FALSE)</f>
        <v>Cash</v>
      </c>
      <c r="J2327" s="5">
        <f>VLOOKUP(F2327,'Set up'!$A$2:$D$70,4,FALSE)</f>
        <v>0</v>
      </c>
      <c r="K2327" s="4">
        <f t="shared" si="571"/>
        <v>45247</v>
      </c>
      <c r="L2327" s="5">
        <f t="shared" si="572"/>
        <v>11</v>
      </c>
      <c r="M2327" s="5">
        <f t="shared" si="573"/>
        <v>2023</v>
      </c>
      <c r="N2327" s="96">
        <v>1606</v>
      </c>
      <c r="O2327" s="6">
        <f>-N2327</f>
        <v>-1606</v>
      </c>
      <c r="P2327" s="6">
        <f t="shared" si="577"/>
        <v>0</v>
      </c>
      <c r="Q2327" s="7">
        <f t="shared" si="574"/>
        <v>3869181.1500000027</v>
      </c>
      <c r="R2327" s="44" t="str">
        <f>VLOOKUP(F2327,'Set up'!$A$2:$E$70,5,FALSE)</f>
        <v>Trsf</v>
      </c>
      <c r="S2327" s="1" t="s">
        <v>2691</v>
      </c>
    </row>
    <row r="2328" spans="1:19" ht="15" customHeight="1" x14ac:dyDescent="0.3">
      <c r="A2328" s="4">
        <v>45247</v>
      </c>
      <c r="B2328" s="5">
        <f t="shared" si="569"/>
        <v>11</v>
      </c>
      <c r="C2328" s="5">
        <f t="shared" si="570"/>
        <v>2023</v>
      </c>
      <c r="D2328" s="88" t="s">
        <v>2163</v>
      </c>
      <c r="E2328" s="5" t="str">
        <f>VLOOKUP(F2328,'Set up'!$A$2:$C$70,2,FALSE)</f>
        <v>C00000042</v>
      </c>
      <c r="F2328" s="1" t="s">
        <v>2012</v>
      </c>
      <c r="G2328" s="99" t="s">
        <v>2095</v>
      </c>
      <c r="H2328" s="5">
        <v>3</v>
      </c>
      <c r="I2328" s="5" t="str">
        <f>VLOOKUP(F2328,'Set up'!$A$2:$C$70,3,FALSE)</f>
        <v>Cash</v>
      </c>
      <c r="J2328" s="5">
        <f>VLOOKUP(F2328,'Set up'!$A$2:$D$70,4,FALSE)</f>
        <v>0</v>
      </c>
      <c r="K2328" s="4">
        <f t="shared" si="571"/>
        <v>45247</v>
      </c>
      <c r="L2328" s="5">
        <f t="shared" si="572"/>
        <v>11</v>
      </c>
      <c r="M2328" s="5">
        <f t="shared" si="573"/>
        <v>2023</v>
      </c>
      <c r="N2328" s="96">
        <v>643.79999999999995</v>
      </c>
      <c r="O2328" s="6">
        <f>-N2328</f>
        <v>-643.79999999999995</v>
      </c>
      <c r="P2328" s="6">
        <f t="shared" si="577"/>
        <v>0</v>
      </c>
      <c r="Q2328" s="7">
        <f t="shared" si="574"/>
        <v>3869824.9500000025</v>
      </c>
      <c r="R2328" s="44" t="str">
        <f>VLOOKUP(F2328,'Set up'!$A$2:$E$70,5,FALSE)</f>
        <v>Trsf</v>
      </c>
      <c r="S2328" s="1" t="s">
        <v>2692</v>
      </c>
    </row>
    <row r="2329" spans="1:19" ht="15" customHeight="1" x14ac:dyDescent="0.3">
      <c r="A2329" s="4">
        <v>45247</v>
      </c>
      <c r="B2329" s="5">
        <f t="shared" si="569"/>
        <v>11</v>
      </c>
      <c r="C2329" s="5">
        <f t="shared" si="570"/>
        <v>2023</v>
      </c>
      <c r="D2329" s="88" t="s">
        <v>2163</v>
      </c>
      <c r="E2329" s="5" t="str">
        <f>VLOOKUP(F2329,'Set up'!$A$2:$C$70,2,FALSE)</f>
        <v>C00000042</v>
      </c>
      <c r="F2329" s="1" t="s">
        <v>2012</v>
      </c>
      <c r="G2329" s="99" t="s">
        <v>1922</v>
      </c>
      <c r="H2329" s="5">
        <v>2</v>
      </c>
      <c r="I2329" s="5" t="str">
        <f>VLOOKUP(F2329,'Set up'!$A$2:$C$70,3,FALSE)</f>
        <v>Cash</v>
      </c>
      <c r="J2329" s="5">
        <f>VLOOKUP(F2329,'Set up'!$A$2:$D$70,4,FALSE)</f>
        <v>0</v>
      </c>
      <c r="K2329" s="4">
        <f t="shared" si="571"/>
        <v>45247</v>
      </c>
      <c r="L2329" s="5">
        <f t="shared" si="572"/>
        <v>11</v>
      </c>
      <c r="M2329" s="5">
        <f t="shared" si="573"/>
        <v>2023</v>
      </c>
      <c r="N2329" s="96">
        <v>468</v>
      </c>
      <c r="O2329" s="6">
        <f>-N2329</f>
        <v>-468</v>
      </c>
      <c r="P2329" s="6">
        <f t="shared" si="577"/>
        <v>0</v>
      </c>
      <c r="Q2329" s="7">
        <f t="shared" si="574"/>
        <v>3870292.9500000025</v>
      </c>
      <c r="R2329" s="44" t="str">
        <f>VLOOKUP(F2329,'Set up'!$A$2:$E$70,5,FALSE)</f>
        <v>Trsf</v>
      </c>
      <c r="S2329" s="1" t="s">
        <v>2693</v>
      </c>
    </row>
    <row r="2330" spans="1:19" ht="15" customHeight="1" x14ac:dyDescent="0.3">
      <c r="A2330" s="4">
        <v>45251</v>
      </c>
      <c r="B2330" s="5">
        <f t="shared" si="569"/>
        <v>11</v>
      </c>
      <c r="C2330" s="5">
        <f t="shared" si="570"/>
        <v>2023</v>
      </c>
      <c r="D2330" s="88" t="s">
        <v>2164</v>
      </c>
      <c r="E2330" s="5" t="str">
        <f>VLOOKUP(F2330,'Set up'!$A$2:$C$70,2,FALSE)</f>
        <v>C00000014</v>
      </c>
      <c r="F2330" s="1" t="s">
        <v>262</v>
      </c>
      <c r="G2330" s="99" t="s">
        <v>303</v>
      </c>
      <c r="H2330" s="5">
        <v>2</v>
      </c>
      <c r="I2330" s="5" t="str">
        <f>VLOOKUP(F2330,'Set up'!$A$2:$C$70,3,FALSE)</f>
        <v>Cash</v>
      </c>
      <c r="J2330" s="5">
        <f>VLOOKUP(F2330,'Set up'!$A$2:$D$70,4,FALSE)</f>
        <v>0</v>
      </c>
      <c r="K2330" s="4">
        <f t="shared" si="571"/>
        <v>45251</v>
      </c>
      <c r="L2330" s="5">
        <f t="shared" si="572"/>
        <v>11</v>
      </c>
      <c r="M2330" s="5">
        <f t="shared" si="573"/>
        <v>2023</v>
      </c>
      <c r="N2330" s="96">
        <v>3212</v>
      </c>
      <c r="O2330" s="6">
        <f t="shared" ref="O2330:O2334" si="578">-N2330</f>
        <v>-3212</v>
      </c>
      <c r="P2330" s="6">
        <f t="shared" si="577"/>
        <v>0</v>
      </c>
      <c r="Q2330" s="7">
        <f t="shared" si="574"/>
        <v>3873504.9500000025</v>
      </c>
      <c r="R2330" s="44" t="str">
        <f>VLOOKUP(F2330,'Set up'!$A$2:$E$70,5,FALSE)</f>
        <v>Cash</v>
      </c>
      <c r="S2330" s="1" t="s">
        <v>2120</v>
      </c>
    </row>
    <row r="2331" spans="1:19" ht="15" customHeight="1" x14ac:dyDescent="0.3">
      <c r="A2331" s="4">
        <v>45251</v>
      </c>
      <c r="B2331" s="5">
        <f t="shared" si="569"/>
        <v>11</v>
      </c>
      <c r="C2331" s="5">
        <f t="shared" si="570"/>
        <v>2023</v>
      </c>
      <c r="D2331" s="88" t="s">
        <v>2164</v>
      </c>
      <c r="E2331" s="5" t="str">
        <f>VLOOKUP(F2331,'Set up'!$A$2:$C$70,2,FALSE)</f>
        <v>C00000014</v>
      </c>
      <c r="F2331" s="1" t="s">
        <v>262</v>
      </c>
      <c r="G2331" s="99" t="s">
        <v>2094</v>
      </c>
      <c r="H2331" s="5">
        <v>4</v>
      </c>
      <c r="I2331" s="5" t="str">
        <f>VLOOKUP(F2331,'Set up'!$A$2:$C$70,3,FALSE)</f>
        <v>Cash</v>
      </c>
      <c r="J2331" s="5">
        <f>VLOOKUP(F2331,'Set up'!$A$2:$D$70,4,FALSE)</f>
        <v>0</v>
      </c>
      <c r="K2331" s="4">
        <f t="shared" si="571"/>
        <v>45251</v>
      </c>
      <c r="L2331" s="5">
        <f t="shared" si="572"/>
        <v>11</v>
      </c>
      <c r="M2331" s="5">
        <f t="shared" si="573"/>
        <v>2023</v>
      </c>
      <c r="N2331" s="96">
        <v>1036</v>
      </c>
      <c r="O2331" s="6">
        <f t="shared" si="578"/>
        <v>-1036</v>
      </c>
      <c r="P2331" s="6">
        <f t="shared" si="577"/>
        <v>0</v>
      </c>
      <c r="Q2331" s="7">
        <f t="shared" si="574"/>
        <v>3874540.9500000025</v>
      </c>
      <c r="R2331" s="44" t="str">
        <f>VLOOKUP(F2331,'Set up'!$A$2:$E$70,5,FALSE)</f>
        <v>Cash</v>
      </c>
      <c r="S2331" s="1" t="s">
        <v>2120</v>
      </c>
    </row>
    <row r="2332" spans="1:19" ht="15" customHeight="1" x14ac:dyDescent="0.3">
      <c r="A2332" s="4">
        <v>45251</v>
      </c>
      <c r="B2332" s="5">
        <f t="shared" si="569"/>
        <v>11</v>
      </c>
      <c r="C2332" s="5">
        <f t="shared" si="570"/>
        <v>2023</v>
      </c>
      <c r="D2332" s="88" t="s">
        <v>2164</v>
      </c>
      <c r="E2332" s="5" t="str">
        <f>VLOOKUP(F2332,'Set up'!$A$2:$C$70,2,FALSE)</f>
        <v>C00000014</v>
      </c>
      <c r="F2332" s="1" t="s">
        <v>262</v>
      </c>
      <c r="G2332" s="99" t="s">
        <v>2096</v>
      </c>
      <c r="H2332" s="5">
        <v>3</v>
      </c>
      <c r="I2332" s="5" t="str">
        <f>VLOOKUP(F2332,'Set up'!$A$2:$C$70,3,FALSE)</f>
        <v>Cash</v>
      </c>
      <c r="J2332" s="5">
        <f>VLOOKUP(F2332,'Set up'!$A$2:$D$70,4,FALSE)</f>
        <v>0</v>
      </c>
      <c r="K2332" s="4">
        <f t="shared" si="571"/>
        <v>45251</v>
      </c>
      <c r="L2332" s="5">
        <f t="shared" si="572"/>
        <v>11</v>
      </c>
      <c r="M2332" s="5">
        <f t="shared" si="573"/>
        <v>2023</v>
      </c>
      <c r="N2332" s="96">
        <v>851.4</v>
      </c>
      <c r="O2332" s="6">
        <f t="shared" si="578"/>
        <v>-851.4</v>
      </c>
      <c r="P2332" s="6">
        <f t="shared" si="577"/>
        <v>0</v>
      </c>
      <c r="Q2332" s="7">
        <f t="shared" si="574"/>
        <v>3875392.3500000024</v>
      </c>
      <c r="R2332" s="44" t="str">
        <f>VLOOKUP(F2332,'Set up'!$A$2:$E$70,5,FALSE)</f>
        <v>Cash</v>
      </c>
      <c r="S2332" s="1" t="s">
        <v>2120</v>
      </c>
    </row>
    <row r="2333" spans="1:19" ht="15" customHeight="1" x14ac:dyDescent="0.3">
      <c r="A2333" s="4">
        <v>45251</v>
      </c>
      <c r="B2333" s="5">
        <f t="shared" si="569"/>
        <v>11</v>
      </c>
      <c r="C2333" s="5">
        <f t="shared" si="570"/>
        <v>2023</v>
      </c>
      <c r="D2333" s="88" t="s">
        <v>2164</v>
      </c>
      <c r="E2333" s="5" t="str">
        <f>VLOOKUP(F2333,'Set up'!$A$2:$C$70,2,FALSE)</f>
        <v>C00000014</v>
      </c>
      <c r="F2333" s="1" t="s">
        <v>262</v>
      </c>
      <c r="G2333" s="99" t="s">
        <v>17</v>
      </c>
      <c r="H2333" s="5">
        <v>1</v>
      </c>
      <c r="I2333" s="5" t="str">
        <f>VLOOKUP(F2333,'Set up'!$A$2:$C$70,3,FALSE)</f>
        <v>Cash</v>
      </c>
      <c r="J2333" s="5">
        <f>VLOOKUP(F2333,'Set up'!$A$2:$D$70,4,FALSE)</f>
        <v>0</v>
      </c>
      <c r="K2333" s="4">
        <f t="shared" si="571"/>
        <v>45251</v>
      </c>
      <c r="L2333" s="5">
        <f t="shared" si="572"/>
        <v>11</v>
      </c>
      <c r="M2333" s="5">
        <f t="shared" si="573"/>
        <v>2023</v>
      </c>
      <c r="N2333" s="96">
        <v>105</v>
      </c>
      <c r="O2333" s="6">
        <f t="shared" si="578"/>
        <v>-105</v>
      </c>
      <c r="P2333" s="6">
        <f t="shared" si="577"/>
        <v>0</v>
      </c>
      <c r="Q2333" s="7">
        <f t="shared" si="574"/>
        <v>3875497.3500000024</v>
      </c>
      <c r="R2333" s="44" t="str">
        <f>VLOOKUP(F2333,'Set up'!$A$2:$E$70,5,FALSE)</f>
        <v>Cash</v>
      </c>
      <c r="S2333" s="1" t="s">
        <v>2120</v>
      </c>
    </row>
    <row r="2334" spans="1:19" ht="15" customHeight="1" x14ac:dyDescent="0.3">
      <c r="A2334" s="4">
        <v>45251</v>
      </c>
      <c r="B2334" s="5">
        <f t="shared" si="569"/>
        <v>11</v>
      </c>
      <c r="C2334" s="5">
        <f t="shared" si="570"/>
        <v>2023</v>
      </c>
      <c r="D2334" s="88" t="s">
        <v>2164</v>
      </c>
      <c r="E2334" s="5" t="str">
        <f>VLOOKUP(F2334,'Set up'!$A$2:$C$70,2,FALSE)</f>
        <v>C00000014</v>
      </c>
      <c r="F2334" s="1" t="s">
        <v>262</v>
      </c>
      <c r="G2334" s="99" t="s">
        <v>1886</v>
      </c>
      <c r="H2334" s="5">
        <v>4</v>
      </c>
      <c r="I2334" s="5" t="str">
        <f>VLOOKUP(F2334,'Set up'!$A$2:$C$70,3,FALSE)</f>
        <v>Cash</v>
      </c>
      <c r="J2334" s="5">
        <f>VLOOKUP(F2334,'Set up'!$A$2:$D$70,4,FALSE)</f>
        <v>0</v>
      </c>
      <c r="K2334" s="4">
        <f t="shared" si="571"/>
        <v>45251</v>
      </c>
      <c r="L2334" s="5">
        <f t="shared" si="572"/>
        <v>11</v>
      </c>
      <c r="M2334" s="5">
        <f t="shared" si="573"/>
        <v>2023</v>
      </c>
      <c r="N2334" s="96">
        <v>640</v>
      </c>
      <c r="O2334" s="6">
        <f t="shared" si="578"/>
        <v>-640</v>
      </c>
      <c r="P2334" s="6">
        <f t="shared" si="577"/>
        <v>0</v>
      </c>
      <c r="Q2334" s="7">
        <f t="shared" si="574"/>
        <v>3876137.3500000024</v>
      </c>
      <c r="R2334" s="44" t="str">
        <f>VLOOKUP(F2334,'Set up'!$A$2:$E$70,5,FALSE)</f>
        <v>Cash</v>
      </c>
      <c r="S2334" s="1" t="s">
        <v>2120</v>
      </c>
    </row>
    <row r="2335" spans="1:19" ht="15" customHeight="1" x14ac:dyDescent="0.3">
      <c r="A2335" s="4">
        <v>45251</v>
      </c>
      <c r="B2335" s="5">
        <f t="shared" si="569"/>
        <v>11</v>
      </c>
      <c r="C2335" s="5">
        <f t="shared" si="570"/>
        <v>2023</v>
      </c>
      <c r="D2335" s="88" t="s">
        <v>2165</v>
      </c>
      <c r="E2335" s="5" t="str">
        <f>VLOOKUP(F2335,'Set up'!$A$2:$C$70,2,FALSE)</f>
        <v>C00000042</v>
      </c>
      <c r="F2335" s="1" t="s">
        <v>2012</v>
      </c>
      <c r="G2335" s="99" t="s">
        <v>1110</v>
      </c>
      <c r="H2335" s="5">
        <v>2</v>
      </c>
      <c r="I2335" s="5" t="str">
        <f>VLOOKUP(F2335,'Set up'!$A$2:$C$70,3,FALSE)</f>
        <v>Cash</v>
      </c>
      <c r="J2335" s="5">
        <f>VLOOKUP(F2335,'Set up'!$A$2:$D$70,4,FALSE)</f>
        <v>0</v>
      </c>
      <c r="K2335" s="4">
        <f t="shared" si="571"/>
        <v>45251</v>
      </c>
      <c r="L2335" s="5">
        <f t="shared" si="572"/>
        <v>11</v>
      </c>
      <c r="M2335" s="5">
        <f t="shared" si="573"/>
        <v>2023</v>
      </c>
      <c r="N2335" s="96">
        <v>125</v>
      </c>
      <c r="O2335" s="6">
        <f>-N2335</f>
        <v>-125</v>
      </c>
      <c r="P2335" s="6">
        <f t="shared" si="577"/>
        <v>0</v>
      </c>
      <c r="Q2335" s="7">
        <f t="shared" si="574"/>
        <v>3876262.3500000024</v>
      </c>
      <c r="R2335" s="44" t="str">
        <f>VLOOKUP(F2335,'Set up'!$A$2:$E$70,5,FALSE)</f>
        <v>Trsf</v>
      </c>
      <c r="S2335" s="1" t="s">
        <v>2686</v>
      </c>
    </row>
    <row r="2336" spans="1:19" ht="15" customHeight="1" x14ac:dyDescent="0.3">
      <c r="A2336" s="4">
        <v>45251</v>
      </c>
      <c r="B2336" s="5">
        <f t="shared" si="569"/>
        <v>11</v>
      </c>
      <c r="C2336" s="5">
        <f t="shared" si="570"/>
        <v>2023</v>
      </c>
      <c r="D2336" s="88" t="s">
        <v>2166</v>
      </c>
      <c r="E2336" s="5" t="str">
        <f>VLOOKUP(F2336,'Set up'!$A$2:$C$70,2,FALSE)</f>
        <v>C00000042</v>
      </c>
      <c r="F2336" s="1" t="s">
        <v>2012</v>
      </c>
      <c r="G2336" s="99" t="s">
        <v>1733</v>
      </c>
      <c r="H2336" s="5">
        <v>2</v>
      </c>
      <c r="I2336" s="5" t="str">
        <f>VLOOKUP(F2336,'Set up'!$A$2:$C$70,3,FALSE)</f>
        <v>Cash</v>
      </c>
      <c r="J2336" s="5">
        <f>VLOOKUP(F2336,'Set up'!$A$2:$D$70,4,FALSE)</f>
        <v>0</v>
      </c>
      <c r="K2336" s="4">
        <f t="shared" si="571"/>
        <v>45251</v>
      </c>
      <c r="L2336" s="5">
        <f t="shared" si="572"/>
        <v>11</v>
      </c>
      <c r="M2336" s="5">
        <f t="shared" si="573"/>
        <v>2023</v>
      </c>
      <c r="N2336" s="96">
        <v>3212</v>
      </c>
      <c r="O2336" s="6">
        <f>-N2336</f>
        <v>-3212</v>
      </c>
      <c r="P2336" s="6">
        <f t="shared" si="577"/>
        <v>0</v>
      </c>
      <c r="Q2336" s="7">
        <f t="shared" si="574"/>
        <v>3879474.3500000024</v>
      </c>
      <c r="R2336" s="44" t="str">
        <f>VLOOKUP(F2336,'Set up'!$A$2:$E$70,5,FALSE)</f>
        <v>Trsf</v>
      </c>
      <c r="S2336" s="1" t="s">
        <v>2687</v>
      </c>
    </row>
    <row r="2337" spans="1:19" ht="15" customHeight="1" x14ac:dyDescent="0.3">
      <c r="A2337" s="4">
        <v>45252</v>
      </c>
      <c r="B2337" s="5">
        <f t="shared" si="569"/>
        <v>11</v>
      </c>
      <c r="C2337" s="5">
        <f t="shared" si="570"/>
        <v>2023</v>
      </c>
      <c r="D2337" s="88" t="s">
        <v>2167</v>
      </c>
      <c r="E2337" s="5" t="str">
        <f>VLOOKUP(F2337,'Set up'!$A$2:$C$70,2,FALSE)</f>
        <v>C00000006</v>
      </c>
      <c r="F2337" s="1" t="s">
        <v>43</v>
      </c>
      <c r="G2337" s="99" t="s">
        <v>95</v>
      </c>
      <c r="H2337" s="5">
        <v>1</v>
      </c>
      <c r="I2337" s="5" t="str">
        <f>VLOOKUP(F2337,'Set up'!$A$2:$C$70,3,FALSE)</f>
        <v>Cash</v>
      </c>
      <c r="J2337" s="5">
        <f>VLOOKUP(F2337,'Set up'!$A$2:$D$70,4,FALSE)</f>
        <v>0</v>
      </c>
      <c r="K2337" s="4">
        <f t="shared" si="571"/>
        <v>45252</v>
      </c>
      <c r="L2337" s="5">
        <f t="shared" si="572"/>
        <v>11</v>
      </c>
      <c r="M2337" s="5">
        <f t="shared" si="573"/>
        <v>2023</v>
      </c>
      <c r="N2337" s="96">
        <v>1738</v>
      </c>
      <c r="O2337" s="6">
        <f>-N2337</f>
        <v>-1738</v>
      </c>
      <c r="P2337" s="6">
        <f t="shared" si="577"/>
        <v>0</v>
      </c>
      <c r="Q2337" s="7">
        <f t="shared" si="574"/>
        <v>3881212.3500000024</v>
      </c>
      <c r="R2337" s="44" t="str">
        <f>VLOOKUP(F2337,'Set up'!$A$2:$E$70,5,FALSE)</f>
        <v>Chq</v>
      </c>
      <c r="S2337" s="1" t="s">
        <v>2405</v>
      </c>
    </row>
    <row r="2338" spans="1:19" ht="15" customHeight="1" x14ac:dyDescent="0.3">
      <c r="A2338" s="4">
        <v>45252</v>
      </c>
      <c r="B2338" s="5">
        <f t="shared" si="569"/>
        <v>11</v>
      </c>
      <c r="C2338" s="5">
        <f t="shared" si="570"/>
        <v>2023</v>
      </c>
      <c r="D2338" s="88" t="s">
        <v>2167</v>
      </c>
      <c r="E2338" s="5" t="str">
        <f>VLOOKUP(F2338,'Set up'!$A$2:$C$70,2,FALSE)</f>
        <v>C00000006</v>
      </c>
      <c r="F2338" s="1" t="s">
        <v>43</v>
      </c>
      <c r="G2338" s="99" t="s">
        <v>1796</v>
      </c>
      <c r="H2338" s="5">
        <v>3</v>
      </c>
      <c r="I2338" s="5" t="str">
        <f>VLOOKUP(F2338,'Set up'!$A$2:$C$70,3,FALSE)</f>
        <v>Cash</v>
      </c>
      <c r="J2338" s="5">
        <f>VLOOKUP(F2338,'Set up'!$A$2:$D$70,4,FALSE)</f>
        <v>0</v>
      </c>
      <c r="K2338" s="4">
        <f t="shared" si="571"/>
        <v>45252</v>
      </c>
      <c r="L2338" s="5">
        <f t="shared" si="572"/>
        <v>11</v>
      </c>
      <c r="M2338" s="5">
        <f t="shared" si="573"/>
        <v>2023</v>
      </c>
      <c r="N2338" s="96">
        <v>675</v>
      </c>
      <c r="O2338" s="6">
        <f>-N2338</f>
        <v>-675</v>
      </c>
      <c r="P2338" s="6">
        <f t="shared" si="577"/>
        <v>0</v>
      </c>
      <c r="Q2338" s="7">
        <f t="shared" si="574"/>
        <v>3881887.3500000024</v>
      </c>
      <c r="R2338" s="44" t="str">
        <f>VLOOKUP(F2338,'Set up'!$A$2:$E$70,5,FALSE)</f>
        <v>Chq</v>
      </c>
      <c r="S2338" s="1" t="s">
        <v>2405</v>
      </c>
    </row>
    <row r="2339" spans="1:19" ht="15" customHeight="1" x14ac:dyDescent="0.3">
      <c r="A2339" s="4">
        <v>45254</v>
      </c>
      <c r="B2339" s="5">
        <f t="shared" si="569"/>
        <v>11</v>
      </c>
      <c r="C2339" s="5">
        <f t="shared" si="570"/>
        <v>2023</v>
      </c>
      <c r="D2339" s="88" t="s">
        <v>2168</v>
      </c>
      <c r="E2339" s="5" t="str">
        <f>VLOOKUP(F2339,'Set up'!$A$2:$C$70,2,FALSE)</f>
        <v>C00000042</v>
      </c>
      <c r="F2339" s="1" t="s">
        <v>2012</v>
      </c>
      <c r="G2339" s="99" t="s">
        <v>1110</v>
      </c>
      <c r="H2339" s="5">
        <v>3</v>
      </c>
      <c r="I2339" s="5" t="str">
        <f>VLOOKUP(F2339,'Set up'!$A$2:$C$70,3,FALSE)</f>
        <v>Cash</v>
      </c>
      <c r="J2339" s="5">
        <f>VLOOKUP(F2339,'Set up'!$A$2:$D$70,4,FALSE)</f>
        <v>0</v>
      </c>
      <c r="K2339" s="4">
        <f t="shared" si="571"/>
        <v>45254</v>
      </c>
      <c r="L2339" s="5">
        <f t="shared" si="572"/>
        <v>11</v>
      </c>
      <c r="M2339" s="5">
        <f t="shared" si="573"/>
        <v>2023</v>
      </c>
      <c r="N2339" s="96">
        <v>187.5</v>
      </c>
      <c r="O2339" s="6">
        <f>-N2339</f>
        <v>-187.5</v>
      </c>
      <c r="P2339" s="6">
        <f t="shared" si="577"/>
        <v>0</v>
      </c>
      <c r="Q2339" s="7">
        <f t="shared" si="574"/>
        <v>3882074.8500000024</v>
      </c>
      <c r="R2339" s="44" t="str">
        <f>VLOOKUP(F2339,'Set up'!$A$2:$E$70,5,FALSE)</f>
        <v>Trsf</v>
      </c>
      <c r="S2339" s="1" t="s">
        <v>2709</v>
      </c>
    </row>
    <row r="2340" spans="1:19" ht="15" customHeight="1" x14ac:dyDescent="0.3">
      <c r="A2340" s="4">
        <v>45254</v>
      </c>
      <c r="B2340" s="5">
        <f t="shared" si="569"/>
        <v>11</v>
      </c>
      <c r="C2340" s="5">
        <f t="shared" si="570"/>
        <v>2023</v>
      </c>
      <c r="D2340" s="88" t="s">
        <v>2169</v>
      </c>
      <c r="E2340" s="5" t="str">
        <f>VLOOKUP(F2340,'Set up'!$A$2:$C$70,2,FALSE)</f>
        <v>C00000042</v>
      </c>
      <c r="F2340" s="1" t="s">
        <v>2012</v>
      </c>
      <c r="G2340" s="99" t="s">
        <v>1733</v>
      </c>
      <c r="H2340" s="5">
        <v>3</v>
      </c>
      <c r="I2340" s="5" t="str">
        <f>VLOOKUP(F2340,'Set up'!$A$2:$C$70,3,FALSE)</f>
        <v>Cash</v>
      </c>
      <c r="J2340" s="5">
        <f>VLOOKUP(F2340,'Set up'!$A$2:$D$70,4,FALSE)</f>
        <v>0</v>
      </c>
      <c r="K2340" s="4">
        <f t="shared" si="571"/>
        <v>45254</v>
      </c>
      <c r="L2340" s="5">
        <f t="shared" si="572"/>
        <v>11</v>
      </c>
      <c r="M2340" s="5">
        <f t="shared" si="573"/>
        <v>2023</v>
      </c>
      <c r="N2340" s="96">
        <v>4818</v>
      </c>
      <c r="O2340" s="6">
        <f>-3095.8-1722.2</f>
        <v>-4818</v>
      </c>
      <c r="P2340" s="6">
        <f t="shared" si="577"/>
        <v>0</v>
      </c>
      <c r="Q2340" s="7">
        <f t="shared" si="574"/>
        <v>3886892.8500000024</v>
      </c>
      <c r="R2340" s="44" t="str">
        <f>VLOOKUP(F2340,'Set up'!$A$2:$E$70,5,FALSE)</f>
        <v>Trsf</v>
      </c>
      <c r="S2340" s="1" t="s">
        <v>2710</v>
      </c>
    </row>
    <row r="2341" spans="1:19" ht="15" customHeight="1" x14ac:dyDescent="0.3">
      <c r="A2341" s="4">
        <v>45254</v>
      </c>
      <c r="B2341" s="5">
        <f t="shared" si="569"/>
        <v>11</v>
      </c>
      <c r="C2341" s="5">
        <f t="shared" si="570"/>
        <v>2023</v>
      </c>
      <c r="D2341" s="88" t="s">
        <v>2169</v>
      </c>
      <c r="E2341" s="5" t="str">
        <f>VLOOKUP(F2341,'Set up'!$A$2:$C$70,2,FALSE)</f>
        <v>C00000042</v>
      </c>
      <c r="F2341" s="1" t="s">
        <v>2012</v>
      </c>
      <c r="G2341" s="99" t="s">
        <v>2095</v>
      </c>
      <c r="H2341" s="5">
        <v>9</v>
      </c>
      <c r="I2341" s="5" t="str">
        <f>VLOOKUP(F2341,'Set up'!$A$2:$C$70,3,FALSE)</f>
        <v>Cash</v>
      </c>
      <c r="J2341" s="5">
        <f>VLOOKUP(F2341,'Set up'!$A$2:$D$70,4,FALSE)</f>
        <v>0</v>
      </c>
      <c r="K2341" s="4">
        <f t="shared" si="571"/>
        <v>45254</v>
      </c>
      <c r="L2341" s="5">
        <f t="shared" si="572"/>
        <v>11</v>
      </c>
      <c r="M2341" s="5">
        <f t="shared" si="573"/>
        <v>2023</v>
      </c>
      <c r="N2341" s="96">
        <v>1931.4</v>
      </c>
      <c r="O2341" s="6">
        <f>-N2341</f>
        <v>-1931.4</v>
      </c>
      <c r="P2341" s="6">
        <f t="shared" si="577"/>
        <v>0</v>
      </c>
      <c r="Q2341" s="7">
        <f t="shared" si="574"/>
        <v>3888824.2500000023</v>
      </c>
      <c r="R2341" s="44" t="str">
        <f>VLOOKUP(F2341,'Set up'!$A$2:$E$70,5,FALSE)</f>
        <v>Trsf</v>
      </c>
      <c r="S2341" s="1" t="s">
        <v>2696</v>
      </c>
    </row>
    <row r="2342" spans="1:19" ht="15" customHeight="1" x14ac:dyDescent="0.3">
      <c r="A2342" s="4">
        <v>45254</v>
      </c>
      <c r="B2342" s="5">
        <f t="shared" si="569"/>
        <v>11</v>
      </c>
      <c r="C2342" s="5">
        <f t="shared" si="570"/>
        <v>2023</v>
      </c>
      <c r="D2342" s="88" t="s">
        <v>2169</v>
      </c>
      <c r="E2342" s="5" t="str">
        <f>VLOOKUP(F2342,'Set up'!$A$2:$C$70,2,FALSE)</f>
        <v>C00000042</v>
      </c>
      <c r="F2342" s="1" t="s">
        <v>2012</v>
      </c>
      <c r="G2342" s="99" t="s">
        <v>1922</v>
      </c>
      <c r="H2342" s="5">
        <v>4</v>
      </c>
      <c r="I2342" s="5" t="str">
        <f>VLOOKUP(F2342,'Set up'!$A$2:$C$70,3,FALSE)</f>
        <v>Cash</v>
      </c>
      <c r="J2342" s="5">
        <f>VLOOKUP(F2342,'Set up'!$A$2:$D$70,4,FALSE)</f>
        <v>0</v>
      </c>
      <c r="K2342" s="4">
        <f t="shared" si="571"/>
        <v>45254</v>
      </c>
      <c r="L2342" s="5">
        <f t="shared" si="572"/>
        <v>11</v>
      </c>
      <c r="M2342" s="5">
        <f t="shared" si="573"/>
        <v>2023</v>
      </c>
      <c r="N2342" s="96">
        <v>936</v>
      </c>
      <c r="O2342" s="6">
        <f>-N2342</f>
        <v>-936</v>
      </c>
      <c r="P2342" s="6">
        <f t="shared" si="577"/>
        <v>0</v>
      </c>
      <c r="Q2342" s="7">
        <f t="shared" si="574"/>
        <v>3889760.2500000023</v>
      </c>
      <c r="R2342" s="44" t="str">
        <f>VLOOKUP(F2342,'Set up'!$A$2:$E$70,5,FALSE)</f>
        <v>Trsf</v>
      </c>
      <c r="S2342" s="1" t="s">
        <v>2697</v>
      </c>
    </row>
    <row r="2343" spans="1:19" ht="15" customHeight="1" x14ac:dyDescent="0.3">
      <c r="A2343" s="4">
        <v>45254</v>
      </c>
      <c r="B2343" s="5">
        <f t="shared" si="569"/>
        <v>11</v>
      </c>
      <c r="C2343" s="5">
        <f t="shared" si="570"/>
        <v>2023</v>
      </c>
      <c r="D2343" s="88" t="s">
        <v>2169</v>
      </c>
      <c r="E2343" s="5" t="str">
        <f>VLOOKUP(F2343,'Set up'!$A$2:$C$70,2,FALSE)</f>
        <v>C00000042</v>
      </c>
      <c r="F2343" s="1" t="s">
        <v>2012</v>
      </c>
      <c r="G2343" s="99" t="s">
        <v>1073</v>
      </c>
      <c r="H2343" s="5">
        <v>1</v>
      </c>
      <c r="I2343" s="5" t="str">
        <f>VLOOKUP(F2343,'Set up'!$A$2:$C$70,3,FALSE)</f>
        <v>Cash</v>
      </c>
      <c r="J2343" s="5">
        <f>VLOOKUP(F2343,'Set up'!$A$2:$D$70,4,FALSE)</f>
        <v>0</v>
      </c>
      <c r="K2343" s="4">
        <f t="shared" si="571"/>
        <v>45254</v>
      </c>
      <c r="L2343" s="5">
        <f t="shared" si="572"/>
        <v>11</v>
      </c>
      <c r="M2343" s="5">
        <f t="shared" si="573"/>
        <v>2023</v>
      </c>
      <c r="N2343" s="96">
        <v>1000</v>
      </c>
      <c r="O2343" s="6">
        <f>-N2343</f>
        <v>-1000</v>
      </c>
      <c r="P2343" s="6">
        <f t="shared" si="577"/>
        <v>0</v>
      </c>
      <c r="Q2343" s="7">
        <f t="shared" si="574"/>
        <v>3890760.2500000023</v>
      </c>
      <c r="R2343" s="44" t="str">
        <f>VLOOKUP(F2343,'Set up'!$A$2:$E$70,5,FALSE)</f>
        <v>Trsf</v>
      </c>
      <c r="S2343" s="1" t="s">
        <v>2698</v>
      </c>
    </row>
    <row r="2344" spans="1:19" ht="15" customHeight="1" x14ac:dyDescent="0.3">
      <c r="A2344" s="4">
        <v>45255</v>
      </c>
      <c r="B2344" s="5">
        <f t="shared" si="569"/>
        <v>11</v>
      </c>
      <c r="C2344" s="5">
        <f t="shared" si="570"/>
        <v>2023</v>
      </c>
      <c r="D2344" s="88" t="s">
        <v>2170</v>
      </c>
      <c r="E2344" s="5" t="str">
        <f>VLOOKUP(F2344,'Set up'!$A$2:$C$70,2,FALSE)</f>
        <v>C00000021</v>
      </c>
      <c r="F2344" s="1" t="s">
        <v>491</v>
      </c>
      <c r="G2344" s="99" t="s">
        <v>67</v>
      </c>
      <c r="H2344" s="5">
        <v>1</v>
      </c>
      <c r="I2344" s="5" t="str">
        <f>VLOOKUP(F2344,'Set up'!$A$2:$C$70,3,FALSE)</f>
        <v>Cash</v>
      </c>
      <c r="J2344" s="5">
        <f>VLOOKUP(F2344,'Set up'!$A$2:$D$70,4,FALSE)</f>
        <v>0</v>
      </c>
      <c r="K2344" s="4">
        <f t="shared" si="571"/>
        <v>45255</v>
      </c>
      <c r="L2344" s="5">
        <f t="shared" si="572"/>
        <v>11</v>
      </c>
      <c r="M2344" s="5">
        <f t="shared" si="573"/>
        <v>2023</v>
      </c>
      <c r="N2344" s="96">
        <v>1738</v>
      </c>
      <c r="O2344" s="6">
        <f t="shared" ref="O2344:O2347" si="579">-N2344</f>
        <v>-1738</v>
      </c>
      <c r="P2344" s="6">
        <f t="shared" si="577"/>
        <v>0</v>
      </c>
      <c r="Q2344" s="7">
        <f t="shared" si="574"/>
        <v>3892498.2500000023</v>
      </c>
      <c r="R2344" s="44" t="str">
        <f>VLOOKUP(F2344,'Set up'!$A$2:$E$70,5,FALSE)</f>
        <v>PD Chq</v>
      </c>
      <c r="S2344" s="1" t="s">
        <v>2631</v>
      </c>
    </row>
    <row r="2345" spans="1:19" ht="15" customHeight="1" x14ac:dyDescent="0.3">
      <c r="A2345" s="4">
        <v>45255</v>
      </c>
      <c r="B2345" s="5">
        <f t="shared" si="569"/>
        <v>11</v>
      </c>
      <c r="C2345" s="5">
        <f t="shared" si="570"/>
        <v>2023</v>
      </c>
      <c r="D2345" s="88" t="s">
        <v>2170</v>
      </c>
      <c r="E2345" s="5" t="str">
        <f>VLOOKUP(F2345,'Set up'!$A$2:$C$70,2,FALSE)</f>
        <v>C00000021</v>
      </c>
      <c r="F2345" s="1" t="s">
        <v>491</v>
      </c>
      <c r="G2345" s="99" t="s">
        <v>913</v>
      </c>
      <c r="H2345" s="5">
        <v>2</v>
      </c>
      <c r="I2345" s="5" t="str">
        <f>VLOOKUP(F2345,'Set up'!$A$2:$C$70,3,FALSE)</f>
        <v>Cash</v>
      </c>
      <c r="J2345" s="5">
        <f>VLOOKUP(F2345,'Set up'!$A$2:$D$70,4,FALSE)</f>
        <v>0</v>
      </c>
      <c r="K2345" s="4">
        <f t="shared" si="571"/>
        <v>45255</v>
      </c>
      <c r="L2345" s="5">
        <f t="shared" si="572"/>
        <v>11</v>
      </c>
      <c r="M2345" s="5">
        <f t="shared" si="573"/>
        <v>2023</v>
      </c>
      <c r="N2345" s="96">
        <v>450</v>
      </c>
      <c r="O2345" s="6">
        <f t="shared" si="579"/>
        <v>-450</v>
      </c>
      <c r="P2345" s="6">
        <f t="shared" si="577"/>
        <v>0</v>
      </c>
      <c r="Q2345" s="7">
        <f t="shared" si="574"/>
        <v>3892948.2500000023</v>
      </c>
      <c r="R2345" s="44" t="str">
        <f>VLOOKUP(F2345,'Set up'!$A$2:$E$70,5,FALSE)</f>
        <v>PD Chq</v>
      </c>
      <c r="S2345" s="1" t="s">
        <v>2631</v>
      </c>
    </row>
    <row r="2346" spans="1:19" ht="15" customHeight="1" x14ac:dyDescent="0.3">
      <c r="A2346" s="4">
        <v>45255</v>
      </c>
      <c r="B2346" s="5">
        <f t="shared" si="569"/>
        <v>11</v>
      </c>
      <c r="C2346" s="5">
        <f t="shared" si="570"/>
        <v>2023</v>
      </c>
      <c r="D2346" s="88" t="s">
        <v>2170</v>
      </c>
      <c r="E2346" s="5" t="str">
        <f>VLOOKUP(F2346,'Set up'!$A$2:$C$70,2,FALSE)</f>
        <v>C00000021</v>
      </c>
      <c r="F2346" s="1" t="s">
        <v>491</v>
      </c>
      <c r="G2346" s="99" t="s">
        <v>800</v>
      </c>
      <c r="H2346" s="5">
        <v>1</v>
      </c>
      <c r="I2346" s="5" t="str">
        <f>VLOOKUP(F2346,'Set up'!$A$2:$C$70,3,FALSE)</f>
        <v>Cash</v>
      </c>
      <c r="J2346" s="5">
        <f>VLOOKUP(F2346,'Set up'!$A$2:$D$70,4,FALSE)</f>
        <v>0</v>
      </c>
      <c r="K2346" s="4">
        <f t="shared" si="571"/>
        <v>45255</v>
      </c>
      <c r="L2346" s="5">
        <f t="shared" si="572"/>
        <v>11</v>
      </c>
      <c r="M2346" s="5">
        <f t="shared" si="573"/>
        <v>2023</v>
      </c>
      <c r="N2346" s="96">
        <v>225</v>
      </c>
      <c r="O2346" s="6">
        <f t="shared" si="579"/>
        <v>-225</v>
      </c>
      <c r="P2346" s="6">
        <f t="shared" si="577"/>
        <v>0</v>
      </c>
      <c r="Q2346" s="7">
        <f t="shared" si="574"/>
        <v>3893173.2500000023</v>
      </c>
      <c r="R2346" s="44" t="str">
        <f>VLOOKUP(F2346,'Set up'!$A$2:$E$70,5,FALSE)</f>
        <v>PD Chq</v>
      </c>
      <c r="S2346" s="1" t="s">
        <v>2631</v>
      </c>
    </row>
    <row r="2347" spans="1:19" ht="15" customHeight="1" x14ac:dyDescent="0.3">
      <c r="A2347" s="4">
        <v>45255</v>
      </c>
      <c r="B2347" s="5">
        <f t="shared" si="569"/>
        <v>11</v>
      </c>
      <c r="C2347" s="5">
        <f t="shared" si="570"/>
        <v>2023</v>
      </c>
      <c r="D2347" s="88" t="s">
        <v>2170</v>
      </c>
      <c r="E2347" s="5" t="str">
        <f>VLOOKUP(F2347,'Set up'!$A$2:$C$70,2,FALSE)</f>
        <v>C00000021</v>
      </c>
      <c r="F2347" s="1" t="s">
        <v>491</v>
      </c>
      <c r="G2347" s="99" t="s">
        <v>1061</v>
      </c>
      <c r="H2347" s="5">
        <v>1</v>
      </c>
      <c r="I2347" s="5" t="str">
        <f>VLOOKUP(F2347,'Set up'!$A$2:$C$70,3,FALSE)</f>
        <v>Cash</v>
      </c>
      <c r="J2347" s="5">
        <f>VLOOKUP(F2347,'Set up'!$A$2:$D$70,4,FALSE)</f>
        <v>0</v>
      </c>
      <c r="K2347" s="4">
        <f t="shared" si="571"/>
        <v>45255</v>
      </c>
      <c r="L2347" s="5">
        <f t="shared" si="572"/>
        <v>11</v>
      </c>
      <c r="M2347" s="5">
        <f t="shared" si="573"/>
        <v>2023</v>
      </c>
      <c r="N2347" s="96">
        <v>95</v>
      </c>
      <c r="O2347" s="6">
        <f t="shared" si="579"/>
        <v>-95</v>
      </c>
      <c r="P2347" s="6">
        <f t="shared" si="577"/>
        <v>0</v>
      </c>
      <c r="Q2347" s="7">
        <f t="shared" si="574"/>
        <v>3893268.2500000023</v>
      </c>
      <c r="R2347" s="44" t="str">
        <f>VLOOKUP(F2347,'Set up'!$A$2:$E$70,5,FALSE)</f>
        <v>PD Chq</v>
      </c>
      <c r="S2347" s="1" t="s">
        <v>2631</v>
      </c>
    </row>
    <row r="2348" spans="1:19" ht="15" customHeight="1" x14ac:dyDescent="0.3">
      <c r="A2348" s="4">
        <v>45257</v>
      </c>
      <c r="B2348" s="5">
        <f t="shared" si="569"/>
        <v>11</v>
      </c>
      <c r="C2348" s="5">
        <f t="shared" si="570"/>
        <v>2023</v>
      </c>
      <c r="D2348" s="88" t="s">
        <v>2171</v>
      </c>
      <c r="E2348" s="5" t="str">
        <f>VLOOKUP(F2348,'Set up'!$A$2:$C$70,2,FALSE)</f>
        <v>C00000027</v>
      </c>
      <c r="F2348" s="1" t="s">
        <v>859</v>
      </c>
      <c r="G2348" s="99" t="s">
        <v>67</v>
      </c>
      <c r="H2348" s="5">
        <v>2</v>
      </c>
      <c r="I2348" s="5" t="str">
        <f>VLOOKUP(F2348,'Set up'!$A$2:$C$70,3,FALSE)</f>
        <v>Cash</v>
      </c>
      <c r="J2348" s="5">
        <f>VLOOKUP(F2348,'Set up'!$A$2:$D$70,4,FALSE)</f>
        <v>0</v>
      </c>
      <c r="K2348" s="4">
        <f t="shared" si="571"/>
        <v>45257</v>
      </c>
      <c r="L2348" s="5">
        <f t="shared" si="572"/>
        <v>11</v>
      </c>
      <c r="M2348" s="5">
        <f t="shared" si="573"/>
        <v>2023</v>
      </c>
      <c r="N2348" s="96">
        <v>3476</v>
      </c>
      <c r="O2348" s="6">
        <f>-2641.4-834.6</f>
        <v>-3476</v>
      </c>
      <c r="P2348" s="6">
        <f t="shared" si="577"/>
        <v>0</v>
      </c>
      <c r="Q2348" s="7">
        <f t="shared" si="574"/>
        <v>3896744.2500000023</v>
      </c>
      <c r="R2348" s="44" t="str">
        <f>VLOOKUP(F2348,'Set up'!$A$2:$E$70,5,FALSE)</f>
        <v>Trsf</v>
      </c>
      <c r="S2348" s="1" t="s">
        <v>2967</v>
      </c>
    </row>
    <row r="2349" spans="1:19" ht="15" customHeight="1" x14ac:dyDescent="0.3">
      <c r="A2349" s="4">
        <v>45257</v>
      </c>
      <c r="B2349" s="5">
        <f t="shared" si="569"/>
        <v>11</v>
      </c>
      <c r="C2349" s="5">
        <f t="shared" si="570"/>
        <v>2023</v>
      </c>
      <c r="D2349" s="88" t="s">
        <v>2171</v>
      </c>
      <c r="E2349" s="5" t="str">
        <f>VLOOKUP(F2349,'Set up'!$A$2:$C$70,2,FALSE)</f>
        <v>C00000027</v>
      </c>
      <c r="F2349" s="1" t="s">
        <v>859</v>
      </c>
      <c r="G2349" s="99" t="s">
        <v>2096</v>
      </c>
      <c r="H2349" s="5">
        <v>1</v>
      </c>
      <c r="I2349" s="5" t="str">
        <f>VLOOKUP(F2349,'Set up'!$A$2:$C$70,3,FALSE)</f>
        <v>Cash</v>
      </c>
      <c r="J2349" s="5">
        <f>VLOOKUP(F2349,'Set up'!$A$2:$D$70,4,FALSE)</f>
        <v>0</v>
      </c>
      <c r="K2349" s="4">
        <f t="shared" si="571"/>
        <v>45257</v>
      </c>
      <c r="L2349" s="5">
        <f t="shared" si="572"/>
        <v>11</v>
      </c>
      <c r="M2349" s="5">
        <f t="shared" si="573"/>
        <v>2023</v>
      </c>
      <c r="N2349" s="96">
        <v>281.60000000000002</v>
      </c>
      <c r="O2349" s="6">
        <f t="shared" ref="O2349:O2351" si="580">-N2349</f>
        <v>-281.60000000000002</v>
      </c>
      <c r="P2349" s="6">
        <f t="shared" si="577"/>
        <v>0</v>
      </c>
      <c r="Q2349" s="7">
        <f t="shared" si="574"/>
        <v>3897025.8500000024</v>
      </c>
      <c r="R2349" s="44" t="str">
        <f>VLOOKUP(F2349,'Set up'!$A$2:$E$70,5,FALSE)</f>
        <v>Trsf</v>
      </c>
      <c r="S2349" s="1" t="s">
        <v>2968</v>
      </c>
    </row>
    <row r="2350" spans="1:19" ht="15" customHeight="1" x14ac:dyDescent="0.3">
      <c r="A2350" s="4">
        <v>45257</v>
      </c>
      <c r="B2350" s="5">
        <f t="shared" si="569"/>
        <v>11</v>
      </c>
      <c r="C2350" s="5">
        <f t="shared" si="570"/>
        <v>2023</v>
      </c>
      <c r="D2350" s="88" t="s">
        <v>2171</v>
      </c>
      <c r="E2350" s="5" t="str">
        <f>VLOOKUP(F2350,'Set up'!$A$2:$C$70,2,FALSE)</f>
        <v>C00000027</v>
      </c>
      <c r="F2350" s="1" t="s">
        <v>859</v>
      </c>
      <c r="G2350" s="99" t="s">
        <v>1460</v>
      </c>
      <c r="H2350" s="5">
        <v>1</v>
      </c>
      <c r="I2350" s="5" t="str">
        <f>VLOOKUP(F2350,'Set up'!$A$2:$C$70,3,FALSE)</f>
        <v>Cash</v>
      </c>
      <c r="J2350" s="5">
        <f>VLOOKUP(F2350,'Set up'!$A$2:$D$70,4,FALSE)</f>
        <v>0</v>
      </c>
      <c r="K2350" s="4">
        <f t="shared" si="571"/>
        <v>45257</v>
      </c>
      <c r="L2350" s="5">
        <f t="shared" si="572"/>
        <v>11</v>
      </c>
      <c r="M2350" s="5">
        <f t="shared" si="573"/>
        <v>2023</v>
      </c>
      <c r="N2350" s="96">
        <v>170</v>
      </c>
      <c r="O2350" s="6">
        <f t="shared" si="580"/>
        <v>-170</v>
      </c>
      <c r="P2350" s="6">
        <f t="shared" si="577"/>
        <v>0</v>
      </c>
      <c r="Q2350" s="7">
        <f t="shared" si="574"/>
        <v>3897195.8500000024</v>
      </c>
      <c r="R2350" s="44" t="str">
        <f>VLOOKUP(F2350,'Set up'!$A$2:$E$70,5,FALSE)</f>
        <v>Trsf</v>
      </c>
      <c r="S2350" s="1" t="s">
        <v>2969</v>
      </c>
    </row>
    <row r="2351" spans="1:19" ht="15" customHeight="1" x14ac:dyDescent="0.3">
      <c r="A2351" s="4">
        <v>45257</v>
      </c>
      <c r="B2351" s="5">
        <f t="shared" si="569"/>
        <v>11</v>
      </c>
      <c r="C2351" s="5">
        <f t="shared" si="570"/>
        <v>2023</v>
      </c>
      <c r="D2351" s="88" t="s">
        <v>2171</v>
      </c>
      <c r="E2351" s="5" t="str">
        <f>VLOOKUP(F2351,'Set up'!$A$2:$C$70,2,FALSE)</f>
        <v>C00000027</v>
      </c>
      <c r="F2351" s="1" t="s">
        <v>859</v>
      </c>
      <c r="G2351" s="99" t="s">
        <v>1744</v>
      </c>
      <c r="H2351" s="5">
        <v>1</v>
      </c>
      <c r="I2351" s="5" t="str">
        <f>VLOOKUP(F2351,'Set up'!$A$2:$C$70,3,FALSE)</f>
        <v>Cash</v>
      </c>
      <c r="J2351" s="5">
        <f>VLOOKUP(F2351,'Set up'!$A$2:$D$70,4,FALSE)</f>
        <v>0</v>
      </c>
      <c r="K2351" s="4">
        <f t="shared" si="571"/>
        <v>45257</v>
      </c>
      <c r="L2351" s="5">
        <f t="shared" si="572"/>
        <v>11</v>
      </c>
      <c r="M2351" s="5">
        <f t="shared" si="573"/>
        <v>2023</v>
      </c>
      <c r="N2351" s="96">
        <v>1059.5</v>
      </c>
      <c r="O2351" s="6">
        <f t="shared" si="580"/>
        <v>-1059.5</v>
      </c>
      <c r="P2351" s="6">
        <f t="shared" si="577"/>
        <v>0</v>
      </c>
      <c r="Q2351" s="7">
        <f t="shared" si="574"/>
        <v>3898255.3500000024</v>
      </c>
      <c r="R2351" s="44" t="str">
        <f>VLOOKUP(F2351,'Set up'!$A$2:$E$70,5,FALSE)</f>
        <v>Trsf</v>
      </c>
      <c r="S2351" s="1" t="s">
        <v>2970</v>
      </c>
    </row>
    <row r="2352" spans="1:19" ht="15" customHeight="1" x14ac:dyDescent="0.3">
      <c r="A2352" s="4">
        <v>45258</v>
      </c>
      <c r="B2352" s="5">
        <f t="shared" si="569"/>
        <v>11</v>
      </c>
      <c r="C2352" s="5">
        <f t="shared" si="570"/>
        <v>2023</v>
      </c>
      <c r="D2352" s="88" t="s">
        <v>2172</v>
      </c>
      <c r="E2352" s="5" t="str">
        <f>VLOOKUP(F2352,'Set up'!$A$2:$C$70,2,FALSE)</f>
        <v>C00000042</v>
      </c>
      <c r="F2352" s="1" t="s">
        <v>2012</v>
      </c>
      <c r="G2352" s="99" t="s">
        <v>1110</v>
      </c>
      <c r="H2352" s="5">
        <v>3</v>
      </c>
      <c r="I2352" s="5" t="str">
        <f>VLOOKUP(F2352,'Set up'!$A$2:$C$70,3,FALSE)</f>
        <v>Cash</v>
      </c>
      <c r="J2352" s="5">
        <f>VLOOKUP(F2352,'Set up'!$A$2:$D$70,4,FALSE)</f>
        <v>0</v>
      </c>
      <c r="K2352" s="4">
        <f t="shared" si="571"/>
        <v>45258</v>
      </c>
      <c r="L2352" s="5">
        <f t="shared" si="572"/>
        <v>11</v>
      </c>
      <c r="M2352" s="5">
        <f t="shared" si="573"/>
        <v>2023</v>
      </c>
      <c r="N2352" s="96">
        <v>187.5</v>
      </c>
      <c r="O2352" s="6">
        <f>-N2352</f>
        <v>-187.5</v>
      </c>
      <c r="P2352" s="6">
        <f t="shared" si="577"/>
        <v>0</v>
      </c>
      <c r="Q2352" s="7">
        <f t="shared" si="574"/>
        <v>3898442.8500000024</v>
      </c>
      <c r="R2352" s="44" t="str">
        <f>VLOOKUP(F2352,'Set up'!$A$2:$E$70,5,FALSE)</f>
        <v>Trsf</v>
      </c>
      <c r="S2352" s="1" t="s">
        <v>2711</v>
      </c>
    </row>
    <row r="2353" spans="1:19" ht="15" customHeight="1" x14ac:dyDescent="0.3">
      <c r="A2353" s="4">
        <v>45258</v>
      </c>
      <c r="B2353" s="5">
        <f t="shared" si="569"/>
        <v>11</v>
      </c>
      <c r="C2353" s="5">
        <f t="shared" si="570"/>
        <v>2023</v>
      </c>
      <c r="D2353" s="88" t="s">
        <v>2173</v>
      </c>
      <c r="E2353" s="5" t="str">
        <f>VLOOKUP(F2353,'Set up'!$A$2:$C$70,2,FALSE)</f>
        <v>C00000042</v>
      </c>
      <c r="F2353" s="1" t="s">
        <v>2012</v>
      </c>
      <c r="G2353" s="99" t="s">
        <v>1733</v>
      </c>
      <c r="H2353" s="5">
        <v>3</v>
      </c>
      <c r="I2353" s="5" t="str">
        <f>VLOOKUP(F2353,'Set up'!$A$2:$C$70,3,FALSE)</f>
        <v>Cash</v>
      </c>
      <c r="J2353" s="5">
        <f>VLOOKUP(F2353,'Set up'!$A$2:$D$70,4,FALSE)</f>
        <v>0</v>
      </c>
      <c r="K2353" s="4">
        <f t="shared" si="571"/>
        <v>45258</v>
      </c>
      <c r="L2353" s="5">
        <f t="shared" si="572"/>
        <v>11</v>
      </c>
      <c r="M2353" s="5">
        <f t="shared" si="573"/>
        <v>2023</v>
      </c>
      <c r="N2353" s="96">
        <v>4818</v>
      </c>
      <c r="O2353" s="6">
        <f>-N2353</f>
        <v>-4818</v>
      </c>
      <c r="P2353" s="6">
        <f t="shared" si="577"/>
        <v>0</v>
      </c>
      <c r="Q2353" s="7">
        <f t="shared" si="574"/>
        <v>3903260.8500000024</v>
      </c>
      <c r="R2353" s="44" t="str">
        <f>VLOOKUP(F2353,'Set up'!$A$2:$E$70,5,FALSE)</f>
        <v>Trsf</v>
      </c>
      <c r="S2353" s="1" t="s">
        <v>2695</v>
      </c>
    </row>
    <row r="2354" spans="1:19" ht="15" customHeight="1" x14ac:dyDescent="0.3">
      <c r="A2354" s="4">
        <v>45258</v>
      </c>
      <c r="B2354" s="5">
        <f t="shared" si="569"/>
        <v>11</v>
      </c>
      <c r="C2354" s="5">
        <f t="shared" si="570"/>
        <v>2023</v>
      </c>
      <c r="D2354" s="88" t="s">
        <v>2173</v>
      </c>
      <c r="E2354" s="5" t="str">
        <f>VLOOKUP(F2354,'Set up'!$A$2:$C$70,2,FALSE)</f>
        <v>C00000042</v>
      </c>
      <c r="F2354" s="1" t="s">
        <v>2012</v>
      </c>
      <c r="G2354" s="99" t="s">
        <v>2095</v>
      </c>
      <c r="H2354" s="5">
        <v>9</v>
      </c>
      <c r="I2354" s="5" t="str">
        <f>VLOOKUP(F2354,'Set up'!$A$2:$C$70,3,FALSE)</f>
        <v>Cash</v>
      </c>
      <c r="J2354" s="5">
        <f>VLOOKUP(F2354,'Set up'!$A$2:$D$70,4,FALSE)</f>
        <v>0</v>
      </c>
      <c r="K2354" s="4">
        <f t="shared" si="571"/>
        <v>45258</v>
      </c>
      <c r="L2354" s="5">
        <f t="shared" si="572"/>
        <v>11</v>
      </c>
      <c r="M2354" s="5">
        <f t="shared" si="573"/>
        <v>2023</v>
      </c>
      <c r="N2354" s="96">
        <v>1931.4</v>
      </c>
      <c r="O2354" s="6">
        <f>-N2354</f>
        <v>-1931.4</v>
      </c>
      <c r="P2354" s="6">
        <f t="shared" si="577"/>
        <v>0</v>
      </c>
      <c r="Q2354" s="7">
        <f t="shared" si="574"/>
        <v>3905192.2500000023</v>
      </c>
      <c r="R2354" s="44" t="str">
        <f>VLOOKUP(F2354,'Set up'!$A$2:$E$70,5,FALSE)</f>
        <v>Trsf</v>
      </c>
      <c r="S2354" s="1" t="s">
        <v>2696</v>
      </c>
    </row>
    <row r="2355" spans="1:19" ht="15" customHeight="1" x14ac:dyDescent="0.3">
      <c r="A2355" s="4">
        <v>45258</v>
      </c>
      <c r="B2355" s="5">
        <f t="shared" si="569"/>
        <v>11</v>
      </c>
      <c r="C2355" s="5">
        <f t="shared" si="570"/>
        <v>2023</v>
      </c>
      <c r="D2355" s="88" t="s">
        <v>2173</v>
      </c>
      <c r="E2355" s="5" t="str">
        <f>VLOOKUP(F2355,'Set up'!$A$2:$C$70,2,FALSE)</f>
        <v>C00000042</v>
      </c>
      <c r="F2355" s="1" t="s">
        <v>2012</v>
      </c>
      <c r="G2355" s="99" t="s">
        <v>1922</v>
      </c>
      <c r="H2355" s="5">
        <v>4</v>
      </c>
      <c r="I2355" s="5" t="str">
        <f>VLOOKUP(F2355,'Set up'!$A$2:$C$70,3,FALSE)</f>
        <v>Cash</v>
      </c>
      <c r="J2355" s="5">
        <f>VLOOKUP(F2355,'Set up'!$A$2:$D$70,4,FALSE)</f>
        <v>0</v>
      </c>
      <c r="K2355" s="4">
        <f t="shared" si="571"/>
        <v>45258</v>
      </c>
      <c r="L2355" s="5">
        <f t="shared" si="572"/>
        <v>11</v>
      </c>
      <c r="M2355" s="5">
        <f t="shared" si="573"/>
        <v>2023</v>
      </c>
      <c r="N2355" s="96">
        <v>936</v>
      </c>
      <c r="O2355" s="6">
        <f>-N2355</f>
        <v>-936</v>
      </c>
      <c r="P2355" s="6">
        <f t="shared" si="577"/>
        <v>0</v>
      </c>
      <c r="Q2355" s="7">
        <f t="shared" si="574"/>
        <v>3906128.2500000023</v>
      </c>
      <c r="R2355" s="44" t="str">
        <f>VLOOKUP(F2355,'Set up'!$A$2:$E$70,5,FALSE)</f>
        <v>Trsf</v>
      </c>
      <c r="S2355" s="1" t="s">
        <v>2697</v>
      </c>
    </row>
    <row r="2356" spans="1:19" ht="15" customHeight="1" x14ac:dyDescent="0.3">
      <c r="A2356" s="4">
        <v>45258</v>
      </c>
      <c r="B2356" s="5">
        <f t="shared" si="569"/>
        <v>11</v>
      </c>
      <c r="C2356" s="5">
        <f t="shared" si="570"/>
        <v>2023</v>
      </c>
      <c r="D2356" s="88" t="s">
        <v>2173</v>
      </c>
      <c r="E2356" s="5" t="str">
        <f>VLOOKUP(F2356,'Set up'!$A$2:$C$70,2,FALSE)</f>
        <v>C00000042</v>
      </c>
      <c r="F2356" s="1" t="s">
        <v>2012</v>
      </c>
      <c r="G2356" s="99" t="s">
        <v>1061</v>
      </c>
      <c r="H2356" s="5">
        <v>4</v>
      </c>
      <c r="I2356" s="5" t="str">
        <f>VLOOKUP(F2356,'Set up'!$A$2:$C$70,3,FALSE)</f>
        <v>Cash</v>
      </c>
      <c r="J2356" s="5">
        <f>VLOOKUP(F2356,'Set up'!$A$2:$D$70,4,FALSE)</f>
        <v>0</v>
      </c>
      <c r="K2356" s="4">
        <f t="shared" si="571"/>
        <v>45258</v>
      </c>
      <c r="L2356" s="5">
        <f t="shared" si="572"/>
        <v>11</v>
      </c>
      <c r="M2356" s="5">
        <f t="shared" si="573"/>
        <v>2023</v>
      </c>
      <c r="N2356" s="96">
        <v>380</v>
      </c>
      <c r="O2356" s="6">
        <f>-N2356</f>
        <v>-380</v>
      </c>
      <c r="P2356" s="6">
        <f t="shared" si="577"/>
        <v>0</v>
      </c>
      <c r="Q2356" s="7">
        <f t="shared" si="574"/>
        <v>3906508.2500000023</v>
      </c>
      <c r="R2356" s="44" t="str">
        <f>VLOOKUP(F2356,'Set up'!$A$2:$E$70,5,FALSE)</f>
        <v>Trsf</v>
      </c>
      <c r="S2356" s="1" t="s">
        <v>2699</v>
      </c>
    </row>
    <row r="2357" spans="1:19" ht="15" customHeight="1" x14ac:dyDescent="0.3">
      <c r="A2357" s="4">
        <v>45259</v>
      </c>
      <c r="B2357" s="5">
        <f t="shared" si="569"/>
        <v>11</v>
      </c>
      <c r="C2357" s="5">
        <f t="shared" si="570"/>
        <v>2023</v>
      </c>
      <c r="D2357" s="88" t="s">
        <v>2174</v>
      </c>
      <c r="E2357" s="5" t="str">
        <f>VLOOKUP(F2357,'Set up'!$A$2:$C$70,2,FALSE)</f>
        <v>C00000019</v>
      </c>
      <c r="F2357" s="1" t="s">
        <v>400</v>
      </c>
      <c r="G2357" s="99" t="s">
        <v>95</v>
      </c>
      <c r="H2357" s="5">
        <v>1</v>
      </c>
      <c r="I2357" s="5" t="str">
        <f>VLOOKUP(F2357,'Set up'!$A$2:$C$70,3,FALSE)</f>
        <v>Cash</v>
      </c>
      <c r="J2357" s="5">
        <f>VLOOKUP(F2357,'Set up'!$A$2:$D$70,4,FALSE)</f>
        <v>0</v>
      </c>
      <c r="K2357" s="4">
        <f t="shared" si="571"/>
        <v>45259</v>
      </c>
      <c r="L2357" s="5">
        <f t="shared" si="572"/>
        <v>11</v>
      </c>
      <c r="M2357" s="5">
        <f t="shared" si="573"/>
        <v>2023</v>
      </c>
      <c r="N2357" s="96">
        <v>1738</v>
      </c>
      <c r="O2357" s="6">
        <f>-566.1-1171.9</f>
        <v>-1738</v>
      </c>
      <c r="P2357" s="6">
        <f t="shared" si="577"/>
        <v>0</v>
      </c>
      <c r="Q2357" s="7">
        <f t="shared" si="574"/>
        <v>3908246.2500000023</v>
      </c>
      <c r="R2357" s="44" t="str">
        <f>VLOOKUP(F2357,'Set up'!$A$2:$E$70,5,FALSE)</f>
        <v>Trsf</v>
      </c>
      <c r="S2357" s="1" t="s">
        <v>3191</v>
      </c>
    </row>
    <row r="2358" spans="1:19" ht="15" customHeight="1" x14ac:dyDescent="0.3">
      <c r="A2358" s="4">
        <v>45259</v>
      </c>
      <c r="B2358" s="5">
        <f t="shared" si="569"/>
        <v>11</v>
      </c>
      <c r="C2358" s="5">
        <f t="shared" si="570"/>
        <v>2023</v>
      </c>
      <c r="D2358" s="88" t="s">
        <v>2174</v>
      </c>
      <c r="E2358" s="5" t="str">
        <f>VLOOKUP(F2358,'Set up'!$A$2:$C$70,2,FALSE)</f>
        <v>C00000019</v>
      </c>
      <c r="F2358" s="1" t="s">
        <v>400</v>
      </c>
      <c r="G2358" s="99" t="s">
        <v>1411</v>
      </c>
      <c r="H2358" s="5">
        <v>1</v>
      </c>
      <c r="I2358" s="5" t="str">
        <f>VLOOKUP(F2358,'Set up'!$A$2:$C$70,3,FALSE)</f>
        <v>Cash</v>
      </c>
      <c r="J2358" s="5">
        <f>VLOOKUP(F2358,'Set up'!$A$2:$D$70,4,FALSE)</f>
        <v>0</v>
      </c>
      <c r="K2358" s="4">
        <f t="shared" si="571"/>
        <v>45259</v>
      </c>
      <c r="L2358" s="5">
        <f t="shared" si="572"/>
        <v>11</v>
      </c>
      <c r="M2358" s="5">
        <f t="shared" si="573"/>
        <v>2023</v>
      </c>
      <c r="N2358" s="96">
        <v>405</v>
      </c>
      <c r="O2358" s="6">
        <f>-328.1-76.9</f>
        <v>-405</v>
      </c>
      <c r="P2358" s="6">
        <f t="shared" si="577"/>
        <v>0</v>
      </c>
      <c r="Q2358" s="7">
        <f t="shared" si="574"/>
        <v>3908651.2500000023</v>
      </c>
      <c r="R2358" s="44" t="str">
        <f>VLOOKUP(F2358,'Set up'!$A$2:$E$70,5,FALSE)</f>
        <v>Trsf</v>
      </c>
      <c r="S2358" s="1" t="s">
        <v>3193</v>
      </c>
    </row>
    <row r="2359" spans="1:19" ht="15" customHeight="1" x14ac:dyDescent="0.3">
      <c r="A2359" s="4">
        <v>45259</v>
      </c>
      <c r="B2359" s="5">
        <f t="shared" si="569"/>
        <v>11</v>
      </c>
      <c r="C2359" s="5">
        <f t="shared" si="570"/>
        <v>2023</v>
      </c>
      <c r="D2359" s="88" t="s">
        <v>2174</v>
      </c>
      <c r="E2359" s="5" t="str">
        <f>VLOOKUP(F2359,'Set up'!$A$2:$C$70,2,FALSE)</f>
        <v>C00000019</v>
      </c>
      <c r="F2359" s="1" t="s">
        <v>400</v>
      </c>
      <c r="G2359" s="99" t="s">
        <v>791</v>
      </c>
      <c r="H2359" s="5">
        <v>3</v>
      </c>
      <c r="I2359" s="5" t="str">
        <f>VLOOKUP(F2359,'Set up'!$A$2:$C$70,3,FALSE)</f>
        <v>Cash</v>
      </c>
      <c r="J2359" s="5">
        <f>VLOOKUP(F2359,'Set up'!$A$2:$D$70,4,FALSE)</f>
        <v>0</v>
      </c>
      <c r="K2359" s="4">
        <f t="shared" si="571"/>
        <v>45259</v>
      </c>
      <c r="L2359" s="5">
        <f t="shared" si="572"/>
        <v>11</v>
      </c>
      <c r="M2359" s="5">
        <f t="shared" si="573"/>
        <v>2023</v>
      </c>
      <c r="N2359" s="96">
        <v>187.5</v>
      </c>
      <c r="O2359" s="6">
        <f t="shared" ref="O2359:O2361" si="581">-N2359</f>
        <v>-187.5</v>
      </c>
      <c r="P2359" s="6">
        <f t="shared" si="577"/>
        <v>0</v>
      </c>
      <c r="Q2359" s="7">
        <f t="shared" si="574"/>
        <v>3908838.7500000023</v>
      </c>
      <c r="R2359" s="44" t="str">
        <f>VLOOKUP(F2359,'Set up'!$A$2:$E$70,5,FALSE)</f>
        <v>Trsf</v>
      </c>
      <c r="S2359" s="1" t="s">
        <v>3194</v>
      </c>
    </row>
    <row r="2360" spans="1:19" ht="15" customHeight="1" x14ac:dyDescent="0.3">
      <c r="A2360" s="4">
        <v>45259</v>
      </c>
      <c r="B2360" s="5">
        <f t="shared" si="569"/>
        <v>11</v>
      </c>
      <c r="C2360" s="5">
        <f t="shared" si="570"/>
        <v>2023</v>
      </c>
      <c r="D2360" s="88" t="s">
        <v>2174</v>
      </c>
      <c r="E2360" s="5" t="str">
        <f>VLOOKUP(F2360,'Set up'!$A$2:$C$70,2,FALSE)</f>
        <v>C00000019</v>
      </c>
      <c r="F2360" s="1" t="s">
        <v>400</v>
      </c>
      <c r="G2360" s="99" t="s">
        <v>2098</v>
      </c>
      <c r="H2360" s="5">
        <v>1</v>
      </c>
      <c r="I2360" s="5" t="str">
        <f>VLOOKUP(F2360,'Set up'!$A$2:$C$70,3,FALSE)</f>
        <v>Cash</v>
      </c>
      <c r="J2360" s="5">
        <f>VLOOKUP(F2360,'Set up'!$A$2:$D$70,4,FALSE)</f>
        <v>0</v>
      </c>
      <c r="K2360" s="4">
        <f t="shared" si="571"/>
        <v>45259</v>
      </c>
      <c r="L2360" s="5">
        <f t="shared" si="572"/>
        <v>11</v>
      </c>
      <c r="M2360" s="5">
        <f t="shared" si="573"/>
        <v>2023</v>
      </c>
      <c r="N2360" s="96">
        <v>283.8</v>
      </c>
      <c r="O2360" s="6">
        <f t="shared" si="581"/>
        <v>-283.8</v>
      </c>
      <c r="P2360" s="6">
        <f t="shared" si="577"/>
        <v>0</v>
      </c>
      <c r="Q2360" s="7">
        <f t="shared" si="574"/>
        <v>3909122.5500000021</v>
      </c>
      <c r="R2360" s="44" t="str">
        <f>VLOOKUP(F2360,'Set up'!$A$2:$E$70,5,FALSE)</f>
        <v>Trsf</v>
      </c>
      <c r="S2360" s="1" t="s">
        <v>3195</v>
      </c>
    </row>
    <row r="2361" spans="1:19" ht="15" customHeight="1" x14ac:dyDescent="0.3">
      <c r="A2361" s="4">
        <v>45259</v>
      </c>
      <c r="B2361" s="5">
        <f t="shared" si="569"/>
        <v>11</v>
      </c>
      <c r="C2361" s="5">
        <f t="shared" si="570"/>
        <v>2023</v>
      </c>
      <c r="D2361" s="88" t="s">
        <v>2174</v>
      </c>
      <c r="E2361" s="5" t="str">
        <f>VLOOKUP(F2361,'Set up'!$A$2:$C$70,2,FALSE)</f>
        <v>C00000019</v>
      </c>
      <c r="F2361" s="1" t="s">
        <v>400</v>
      </c>
      <c r="G2361" s="99" t="s">
        <v>1469</v>
      </c>
      <c r="H2361" s="5">
        <v>1</v>
      </c>
      <c r="I2361" s="5" t="str">
        <f>VLOOKUP(F2361,'Set up'!$A$2:$C$70,3,FALSE)</f>
        <v>Cash</v>
      </c>
      <c r="J2361" s="5">
        <f>VLOOKUP(F2361,'Set up'!$A$2:$D$70,4,FALSE)</f>
        <v>0</v>
      </c>
      <c r="K2361" s="4">
        <f t="shared" si="571"/>
        <v>45259</v>
      </c>
      <c r="L2361" s="5">
        <f t="shared" si="572"/>
        <v>11</v>
      </c>
      <c r="M2361" s="5">
        <f t="shared" si="573"/>
        <v>2023</v>
      </c>
      <c r="N2361" s="96">
        <v>390</v>
      </c>
      <c r="O2361" s="6">
        <f t="shared" si="581"/>
        <v>-390</v>
      </c>
      <c r="P2361" s="6">
        <f t="shared" si="577"/>
        <v>0</v>
      </c>
      <c r="Q2361" s="7">
        <f t="shared" si="574"/>
        <v>3909512.5500000021</v>
      </c>
      <c r="R2361" s="44" t="str">
        <f>VLOOKUP(F2361,'Set up'!$A$2:$E$70,5,FALSE)</f>
        <v>Trsf</v>
      </c>
      <c r="S2361" s="1" t="s">
        <v>3196</v>
      </c>
    </row>
    <row r="2362" spans="1:19" ht="15" customHeight="1" x14ac:dyDescent="0.3">
      <c r="A2362" s="4">
        <v>45259</v>
      </c>
      <c r="B2362" s="5">
        <f t="shared" si="569"/>
        <v>11</v>
      </c>
      <c r="C2362" s="5">
        <f t="shared" si="570"/>
        <v>2023</v>
      </c>
      <c r="D2362" s="88" t="s">
        <v>2174</v>
      </c>
      <c r="E2362" s="5" t="str">
        <f>VLOOKUP(F2362,'Set up'!$A$2:$C$70,2,FALSE)</f>
        <v>C00000019</v>
      </c>
      <c r="F2362" s="1" t="s">
        <v>400</v>
      </c>
      <c r="G2362" s="99" t="s">
        <v>944</v>
      </c>
      <c r="H2362" s="5">
        <v>1</v>
      </c>
      <c r="I2362" s="5" t="str">
        <f>VLOOKUP(F2362,'Set up'!$A$2:$C$70,3,FALSE)</f>
        <v>Cash</v>
      </c>
      <c r="J2362" s="5">
        <f>VLOOKUP(F2362,'Set up'!$A$2:$D$70,4,FALSE)</f>
        <v>0</v>
      </c>
      <c r="K2362" s="4">
        <f t="shared" si="571"/>
        <v>45259</v>
      </c>
      <c r="L2362" s="5">
        <f t="shared" si="572"/>
        <v>11</v>
      </c>
      <c r="M2362" s="5">
        <f t="shared" si="573"/>
        <v>2023</v>
      </c>
      <c r="N2362" s="96">
        <v>420</v>
      </c>
      <c r="O2362" s="6">
        <f>-61.8-358.2</f>
        <v>-420</v>
      </c>
      <c r="P2362" s="6">
        <f t="shared" si="577"/>
        <v>0</v>
      </c>
      <c r="Q2362" s="7">
        <f t="shared" si="574"/>
        <v>3909932.5500000021</v>
      </c>
      <c r="R2362" s="44" t="str">
        <f>VLOOKUP(F2362,'Set up'!$A$2:$E$70,5,FALSE)</f>
        <v>Trsf</v>
      </c>
      <c r="S2362" s="1" t="s">
        <v>3200</v>
      </c>
    </row>
    <row r="2363" spans="1:19" ht="15" customHeight="1" x14ac:dyDescent="0.3">
      <c r="A2363" s="4">
        <v>45261</v>
      </c>
      <c r="B2363" s="5">
        <f t="shared" si="569"/>
        <v>12</v>
      </c>
      <c r="C2363" s="5">
        <f t="shared" si="570"/>
        <v>2023</v>
      </c>
      <c r="D2363" s="88" t="s">
        <v>2175</v>
      </c>
      <c r="E2363" s="5" t="str">
        <f>VLOOKUP(F2363,'Set up'!$A$2:$C$70,2,FALSE)</f>
        <v>C00000010</v>
      </c>
      <c r="F2363" s="1" t="s">
        <v>62</v>
      </c>
      <c r="G2363" s="99" t="s">
        <v>1178</v>
      </c>
      <c r="H2363" s="5">
        <v>1</v>
      </c>
      <c r="I2363" s="5">
        <f>VLOOKUP(F2363,'Set up'!$A$2:$C$70,3,FALSE)</f>
        <v>120</v>
      </c>
      <c r="J2363" s="5">
        <f>VLOOKUP(F2363,'Set up'!$A$2:$D$70,4,FALSE)</f>
        <v>120</v>
      </c>
      <c r="K2363" s="4">
        <f t="shared" si="571"/>
        <v>45381</v>
      </c>
      <c r="L2363" s="5">
        <f t="shared" si="572"/>
        <v>3</v>
      </c>
      <c r="M2363" s="5">
        <f t="shared" si="573"/>
        <v>2024</v>
      </c>
      <c r="N2363" s="96">
        <v>9636</v>
      </c>
      <c r="O2363" s="6">
        <f t="shared" ref="O2363:O2368" si="582">-N2363</f>
        <v>-9636</v>
      </c>
      <c r="P2363" s="6">
        <f t="shared" si="577"/>
        <v>0</v>
      </c>
      <c r="Q2363" s="7">
        <f t="shared" si="574"/>
        <v>3919568.5500000021</v>
      </c>
      <c r="R2363" s="44" t="str">
        <f>VLOOKUP(F2363,'Set up'!$A$2:$E$70,5,FALSE)</f>
        <v>Trsf</v>
      </c>
      <c r="S2363" s="1" t="s">
        <v>2623</v>
      </c>
    </row>
    <row r="2364" spans="1:19" ht="15" customHeight="1" x14ac:dyDescent="0.3">
      <c r="A2364" s="4">
        <v>45261</v>
      </c>
      <c r="B2364" s="5">
        <f t="shared" si="569"/>
        <v>12</v>
      </c>
      <c r="C2364" s="5">
        <f t="shared" si="570"/>
        <v>2023</v>
      </c>
      <c r="D2364" s="88" t="s">
        <v>2175</v>
      </c>
      <c r="E2364" s="5" t="str">
        <f>VLOOKUP(F2364,'Set up'!$A$2:$C$70,2,FALSE)</f>
        <v>C00000010</v>
      </c>
      <c r="F2364" s="1" t="s">
        <v>62</v>
      </c>
      <c r="G2364" s="99" t="s">
        <v>1392</v>
      </c>
      <c r="H2364" s="5">
        <v>10</v>
      </c>
      <c r="I2364" s="5">
        <f>VLOOKUP(F2364,'Set up'!$A$2:$C$70,3,FALSE)</f>
        <v>120</v>
      </c>
      <c r="J2364" s="5">
        <f>VLOOKUP(F2364,'Set up'!$A$2:$D$70,4,FALSE)</f>
        <v>120</v>
      </c>
      <c r="K2364" s="4">
        <f t="shared" si="571"/>
        <v>45381</v>
      </c>
      <c r="L2364" s="5">
        <f t="shared" si="572"/>
        <v>3</v>
      </c>
      <c r="M2364" s="5">
        <f t="shared" si="573"/>
        <v>2024</v>
      </c>
      <c r="N2364" s="96">
        <v>1740</v>
      </c>
      <c r="O2364" s="6">
        <f t="shared" si="582"/>
        <v>-1740</v>
      </c>
      <c r="P2364" s="6">
        <f t="shared" si="577"/>
        <v>0</v>
      </c>
      <c r="Q2364" s="7">
        <f t="shared" si="574"/>
        <v>3921308.5500000021</v>
      </c>
      <c r="R2364" s="44" t="str">
        <f>VLOOKUP(F2364,'Set up'!$A$2:$E$70,5,FALSE)</f>
        <v>Trsf</v>
      </c>
      <c r="S2364" s="1" t="s">
        <v>2623</v>
      </c>
    </row>
    <row r="2365" spans="1:19" ht="15" customHeight="1" x14ac:dyDescent="0.3">
      <c r="A2365" s="4">
        <v>45261</v>
      </c>
      <c r="B2365" s="5">
        <f t="shared" si="569"/>
        <v>12</v>
      </c>
      <c r="C2365" s="5">
        <f t="shared" si="570"/>
        <v>2023</v>
      </c>
      <c r="D2365" s="88" t="s">
        <v>2175</v>
      </c>
      <c r="E2365" s="5" t="str">
        <f>VLOOKUP(F2365,'Set up'!$A$2:$C$70,2,FALSE)</f>
        <v>C00000010</v>
      </c>
      <c r="F2365" s="1" t="s">
        <v>62</v>
      </c>
      <c r="G2365" s="99" t="s">
        <v>791</v>
      </c>
      <c r="H2365" s="5">
        <v>10</v>
      </c>
      <c r="I2365" s="5">
        <f>VLOOKUP(F2365,'Set up'!$A$2:$C$70,3,FALSE)</f>
        <v>120</v>
      </c>
      <c r="J2365" s="5">
        <f>VLOOKUP(F2365,'Set up'!$A$2:$D$70,4,FALSE)</f>
        <v>120</v>
      </c>
      <c r="K2365" s="4">
        <f t="shared" si="571"/>
        <v>45381</v>
      </c>
      <c r="L2365" s="5">
        <f t="shared" si="572"/>
        <v>3</v>
      </c>
      <c r="M2365" s="5">
        <f t="shared" si="573"/>
        <v>2024</v>
      </c>
      <c r="N2365" s="96">
        <v>575</v>
      </c>
      <c r="O2365" s="6">
        <f t="shared" si="582"/>
        <v>-575</v>
      </c>
      <c r="P2365" s="6">
        <f t="shared" si="577"/>
        <v>0</v>
      </c>
      <c r="Q2365" s="7">
        <f t="shared" si="574"/>
        <v>3921883.5500000021</v>
      </c>
      <c r="R2365" s="44" t="str">
        <f>VLOOKUP(F2365,'Set up'!$A$2:$E$70,5,FALSE)</f>
        <v>Trsf</v>
      </c>
      <c r="S2365" s="1" t="s">
        <v>2623</v>
      </c>
    </row>
    <row r="2366" spans="1:19" ht="15" customHeight="1" x14ac:dyDescent="0.3">
      <c r="A2366" s="4">
        <v>45261</v>
      </c>
      <c r="B2366" s="5">
        <f t="shared" si="569"/>
        <v>12</v>
      </c>
      <c r="C2366" s="5">
        <f t="shared" si="570"/>
        <v>2023</v>
      </c>
      <c r="D2366" s="88" t="s">
        <v>2175</v>
      </c>
      <c r="E2366" s="5" t="str">
        <f>VLOOKUP(F2366,'Set up'!$A$2:$C$70,2,FALSE)</f>
        <v>C00000010</v>
      </c>
      <c r="F2366" s="1" t="s">
        <v>62</v>
      </c>
      <c r="G2366" s="99" t="s">
        <v>46</v>
      </c>
      <c r="H2366" s="5">
        <v>4</v>
      </c>
      <c r="I2366" s="5">
        <f>VLOOKUP(F2366,'Set up'!$A$2:$C$70,3,FALSE)</f>
        <v>120</v>
      </c>
      <c r="J2366" s="5">
        <f>VLOOKUP(F2366,'Set up'!$A$2:$D$70,4,FALSE)</f>
        <v>120</v>
      </c>
      <c r="K2366" s="4">
        <f t="shared" si="571"/>
        <v>45381</v>
      </c>
      <c r="L2366" s="5">
        <f t="shared" si="572"/>
        <v>3</v>
      </c>
      <c r="M2366" s="5">
        <f t="shared" si="573"/>
        <v>2024</v>
      </c>
      <c r="N2366" s="96">
        <v>420</v>
      </c>
      <c r="O2366" s="6">
        <f t="shared" si="582"/>
        <v>-420</v>
      </c>
      <c r="P2366" s="6">
        <f t="shared" si="577"/>
        <v>0</v>
      </c>
      <c r="Q2366" s="7">
        <f t="shared" si="574"/>
        <v>3922303.5500000021</v>
      </c>
      <c r="R2366" s="44" t="str">
        <f>VLOOKUP(F2366,'Set up'!$A$2:$E$70,5,FALSE)</f>
        <v>Trsf</v>
      </c>
      <c r="S2366" s="1" t="s">
        <v>2623</v>
      </c>
    </row>
    <row r="2367" spans="1:19" ht="15" customHeight="1" x14ac:dyDescent="0.3">
      <c r="A2367" s="4">
        <v>45261</v>
      </c>
      <c r="B2367" s="5">
        <f t="shared" si="569"/>
        <v>12</v>
      </c>
      <c r="C2367" s="5">
        <f t="shared" si="570"/>
        <v>2023</v>
      </c>
      <c r="D2367" s="88" t="s">
        <v>2175</v>
      </c>
      <c r="E2367" s="5" t="str">
        <f>VLOOKUP(F2367,'Set up'!$A$2:$C$70,2,FALSE)</f>
        <v>C00000010</v>
      </c>
      <c r="F2367" s="1" t="s">
        <v>62</v>
      </c>
      <c r="G2367" s="99" t="s">
        <v>1093</v>
      </c>
      <c r="H2367" s="5">
        <v>4</v>
      </c>
      <c r="I2367" s="5">
        <f>VLOOKUP(F2367,'Set up'!$A$2:$C$70,3,FALSE)</f>
        <v>120</v>
      </c>
      <c r="J2367" s="5">
        <f>VLOOKUP(F2367,'Set up'!$A$2:$D$70,4,FALSE)</f>
        <v>120</v>
      </c>
      <c r="K2367" s="4">
        <f t="shared" si="571"/>
        <v>45381</v>
      </c>
      <c r="L2367" s="5">
        <f t="shared" si="572"/>
        <v>3</v>
      </c>
      <c r="M2367" s="5">
        <f t="shared" si="573"/>
        <v>2024</v>
      </c>
      <c r="N2367" s="96">
        <v>230.4</v>
      </c>
      <c r="O2367" s="6">
        <f t="shared" si="582"/>
        <v>-230.4</v>
      </c>
      <c r="P2367" s="6">
        <f t="shared" si="577"/>
        <v>0</v>
      </c>
      <c r="Q2367" s="7">
        <f t="shared" si="574"/>
        <v>3922533.950000002</v>
      </c>
      <c r="R2367" s="44" t="str">
        <f>VLOOKUP(F2367,'Set up'!$A$2:$E$70,5,FALSE)</f>
        <v>Trsf</v>
      </c>
      <c r="S2367" s="1" t="s">
        <v>2623</v>
      </c>
    </row>
    <row r="2368" spans="1:19" ht="15" customHeight="1" x14ac:dyDescent="0.3">
      <c r="A2368" s="4">
        <v>45261</v>
      </c>
      <c r="B2368" s="5">
        <f t="shared" si="569"/>
        <v>12</v>
      </c>
      <c r="C2368" s="5">
        <f t="shared" si="570"/>
        <v>2023</v>
      </c>
      <c r="D2368" s="88" t="s">
        <v>2175</v>
      </c>
      <c r="E2368" s="5" t="str">
        <f>VLOOKUP(F2368,'Set up'!$A$2:$C$70,2,FALSE)</f>
        <v>C00000010</v>
      </c>
      <c r="F2368" s="1" t="s">
        <v>62</v>
      </c>
      <c r="G2368" s="99" t="s">
        <v>614</v>
      </c>
      <c r="H2368" s="5">
        <v>1</v>
      </c>
      <c r="I2368" s="5">
        <f>VLOOKUP(F2368,'Set up'!$A$2:$C$70,3,FALSE)</f>
        <v>120</v>
      </c>
      <c r="J2368" s="5">
        <f>VLOOKUP(F2368,'Set up'!$A$2:$D$70,4,FALSE)</f>
        <v>120</v>
      </c>
      <c r="K2368" s="4">
        <f t="shared" si="571"/>
        <v>45381</v>
      </c>
      <c r="L2368" s="5">
        <f t="shared" si="572"/>
        <v>3</v>
      </c>
      <c r="M2368" s="5">
        <f t="shared" si="573"/>
        <v>2024</v>
      </c>
      <c r="N2368" s="96">
        <v>395</v>
      </c>
      <c r="O2368" s="6">
        <f t="shared" si="582"/>
        <v>-395</v>
      </c>
      <c r="P2368" s="6">
        <f t="shared" si="577"/>
        <v>0</v>
      </c>
      <c r="Q2368" s="7">
        <f t="shared" si="574"/>
        <v>3922928.950000002</v>
      </c>
      <c r="R2368" s="44" t="str">
        <f>VLOOKUP(F2368,'Set up'!$A$2:$E$70,5,FALSE)</f>
        <v>Trsf</v>
      </c>
      <c r="S2368" s="1" t="s">
        <v>2623</v>
      </c>
    </row>
    <row r="2369" spans="1:19" ht="15" customHeight="1" x14ac:dyDescent="0.3">
      <c r="A2369" s="4">
        <v>45261</v>
      </c>
      <c r="B2369" s="5">
        <f t="shared" si="569"/>
        <v>12</v>
      </c>
      <c r="C2369" s="5">
        <f t="shared" si="570"/>
        <v>2023</v>
      </c>
      <c r="D2369" s="88" t="s">
        <v>2176</v>
      </c>
      <c r="E2369" s="5" t="str">
        <f>VLOOKUP(F2369,'Set up'!$A$2:$C$70,2,FALSE)</f>
        <v>C00000042</v>
      </c>
      <c r="F2369" s="1" t="s">
        <v>2012</v>
      </c>
      <c r="G2369" s="99" t="s">
        <v>1110</v>
      </c>
      <c r="H2369" s="5">
        <v>2</v>
      </c>
      <c r="I2369" s="5" t="str">
        <f>VLOOKUP(F2369,'Set up'!$A$2:$C$70,3,FALSE)</f>
        <v>Cash</v>
      </c>
      <c r="J2369" s="5">
        <f>VLOOKUP(F2369,'Set up'!$A$2:$D$70,4,FALSE)</f>
        <v>0</v>
      </c>
      <c r="K2369" s="4">
        <f t="shared" si="571"/>
        <v>45261</v>
      </c>
      <c r="L2369" s="5">
        <f t="shared" si="572"/>
        <v>12</v>
      </c>
      <c r="M2369" s="5">
        <f t="shared" si="573"/>
        <v>2023</v>
      </c>
      <c r="N2369" s="96">
        <v>125</v>
      </c>
      <c r="O2369" s="6">
        <f>-N2369</f>
        <v>-125</v>
      </c>
      <c r="P2369" s="6">
        <f t="shared" si="577"/>
        <v>0</v>
      </c>
      <c r="Q2369" s="7">
        <f t="shared" si="574"/>
        <v>3923053.950000002</v>
      </c>
      <c r="R2369" s="44" t="str">
        <f>VLOOKUP(F2369,'Set up'!$A$2:$E$70,5,FALSE)</f>
        <v>Trsf</v>
      </c>
      <c r="S2369" s="1" t="s">
        <v>2700</v>
      </c>
    </row>
    <row r="2370" spans="1:19" ht="15" customHeight="1" x14ac:dyDescent="0.3">
      <c r="A2370" s="4">
        <v>45261</v>
      </c>
      <c r="B2370" s="5">
        <f t="shared" si="569"/>
        <v>12</v>
      </c>
      <c r="C2370" s="5">
        <f t="shared" si="570"/>
        <v>2023</v>
      </c>
      <c r="D2370" s="88" t="s">
        <v>2177</v>
      </c>
      <c r="E2370" s="5" t="str">
        <f>VLOOKUP(F2370,'Set up'!$A$2:$C$70,2,FALSE)</f>
        <v>C00000042</v>
      </c>
      <c r="F2370" s="1" t="s">
        <v>2012</v>
      </c>
      <c r="G2370" s="99" t="s">
        <v>1733</v>
      </c>
      <c r="H2370" s="5">
        <v>2</v>
      </c>
      <c r="I2370" s="5" t="str">
        <f>VLOOKUP(F2370,'Set up'!$A$2:$C$70,3,FALSE)</f>
        <v>Cash</v>
      </c>
      <c r="J2370" s="5">
        <f>VLOOKUP(F2370,'Set up'!$A$2:$D$70,4,FALSE)</f>
        <v>0</v>
      </c>
      <c r="K2370" s="4">
        <f t="shared" si="571"/>
        <v>45261</v>
      </c>
      <c r="L2370" s="5">
        <f t="shared" si="572"/>
        <v>12</v>
      </c>
      <c r="M2370" s="5">
        <f t="shared" si="573"/>
        <v>2023</v>
      </c>
      <c r="N2370" s="96">
        <v>3212</v>
      </c>
      <c r="O2370" s="6">
        <f>-N2370</f>
        <v>-3212</v>
      </c>
      <c r="P2370" s="6">
        <f t="shared" si="577"/>
        <v>0</v>
      </c>
      <c r="Q2370" s="7">
        <f t="shared" si="574"/>
        <v>3926265.950000002</v>
      </c>
      <c r="R2370" s="44" t="str">
        <f>VLOOKUP(F2370,'Set up'!$A$2:$E$70,5,FALSE)</f>
        <v>Trsf</v>
      </c>
      <c r="S2370" s="1" t="s">
        <v>2694</v>
      </c>
    </row>
    <row r="2371" spans="1:19" ht="15" customHeight="1" x14ac:dyDescent="0.3">
      <c r="A2371" s="4">
        <v>45261</v>
      </c>
      <c r="B2371" s="5">
        <f t="shared" ref="B2371:B2434" si="583">MONTH(A2371)</f>
        <v>12</v>
      </c>
      <c r="C2371" s="5">
        <f t="shared" ref="C2371:C2434" si="584">YEAR(A2371)</f>
        <v>2023</v>
      </c>
      <c r="D2371" s="88" t="s">
        <v>2177</v>
      </c>
      <c r="E2371" s="5" t="str">
        <f>VLOOKUP(F2371,'Set up'!$A$2:$C$70,2,FALSE)</f>
        <v>C00000042</v>
      </c>
      <c r="F2371" s="1" t="s">
        <v>2012</v>
      </c>
      <c r="G2371" s="99" t="s">
        <v>1392</v>
      </c>
      <c r="H2371" s="5">
        <v>4</v>
      </c>
      <c r="I2371" s="5" t="str">
        <f>VLOOKUP(F2371,'Set up'!$A$2:$C$70,3,FALSE)</f>
        <v>Cash</v>
      </c>
      <c r="J2371" s="5">
        <f>VLOOKUP(F2371,'Set up'!$A$2:$D$70,4,FALSE)</f>
        <v>0</v>
      </c>
      <c r="K2371" s="4">
        <f t="shared" ref="K2371:K2434" si="585">A2371+J2371</f>
        <v>45261</v>
      </c>
      <c r="L2371" s="5">
        <f t="shared" ref="L2371:L2434" si="586">MONTH(K2371)</f>
        <v>12</v>
      </c>
      <c r="M2371" s="5">
        <f t="shared" ref="M2371:M2434" si="587">YEAR(K2371)</f>
        <v>2023</v>
      </c>
      <c r="N2371" s="96">
        <v>870</v>
      </c>
      <c r="O2371" s="6">
        <f>-N2371</f>
        <v>-870</v>
      </c>
      <c r="P2371" s="6">
        <f t="shared" si="577"/>
        <v>0</v>
      </c>
      <c r="Q2371" s="7">
        <f t="shared" ref="Q2371:Q2434" si="588">SUM(Q2370+N2371)</f>
        <v>3927135.950000002</v>
      </c>
      <c r="R2371" s="44" t="str">
        <f>VLOOKUP(F2371,'Set up'!$A$2:$E$70,5,FALSE)</f>
        <v>Trsf</v>
      </c>
      <c r="S2371" s="1" t="s">
        <v>2712</v>
      </c>
    </row>
    <row r="2372" spans="1:19" ht="15" customHeight="1" x14ac:dyDescent="0.3">
      <c r="A2372" s="4">
        <v>45261</v>
      </c>
      <c r="B2372" s="5">
        <f t="shared" si="583"/>
        <v>12</v>
      </c>
      <c r="C2372" s="5">
        <f t="shared" si="584"/>
        <v>2023</v>
      </c>
      <c r="D2372" s="88" t="s">
        <v>2177</v>
      </c>
      <c r="E2372" s="5" t="str">
        <f>VLOOKUP(F2372,'Set up'!$A$2:$C$70,2,FALSE)</f>
        <v>C00000042</v>
      </c>
      <c r="F2372" s="1" t="s">
        <v>2012</v>
      </c>
      <c r="G2372" s="99" t="s">
        <v>1922</v>
      </c>
      <c r="H2372" s="5">
        <v>3</v>
      </c>
      <c r="I2372" s="5" t="str">
        <f>VLOOKUP(F2372,'Set up'!$A$2:$C$70,3,FALSE)</f>
        <v>Cash</v>
      </c>
      <c r="J2372" s="5">
        <f>VLOOKUP(F2372,'Set up'!$A$2:$D$70,4,FALSE)</f>
        <v>0</v>
      </c>
      <c r="K2372" s="4">
        <f t="shared" si="585"/>
        <v>45261</v>
      </c>
      <c r="L2372" s="5">
        <f t="shared" si="586"/>
        <v>12</v>
      </c>
      <c r="M2372" s="5">
        <f t="shared" si="587"/>
        <v>2023</v>
      </c>
      <c r="N2372" s="96">
        <v>702</v>
      </c>
      <c r="O2372" s="6">
        <f>-N2372</f>
        <v>-702</v>
      </c>
      <c r="P2372" s="6">
        <f t="shared" si="577"/>
        <v>0</v>
      </c>
      <c r="Q2372" s="7">
        <f t="shared" si="588"/>
        <v>3927837.950000002</v>
      </c>
      <c r="R2372" s="44" t="str">
        <f>VLOOKUP(F2372,'Set up'!$A$2:$E$70,5,FALSE)</f>
        <v>Trsf</v>
      </c>
      <c r="S2372" s="1" t="s">
        <v>2713</v>
      </c>
    </row>
    <row r="2373" spans="1:19" ht="15" customHeight="1" x14ac:dyDescent="0.3">
      <c r="A2373" s="4">
        <v>45261</v>
      </c>
      <c r="B2373" s="5">
        <f t="shared" si="583"/>
        <v>12</v>
      </c>
      <c r="C2373" s="5">
        <f t="shared" si="584"/>
        <v>2023</v>
      </c>
      <c r="D2373" s="88" t="s">
        <v>2178</v>
      </c>
      <c r="E2373" s="5" t="str">
        <f>VLOOKUP(F2373,'Set up'!$A$2:$C$70,2,FALSE)</f>
        <v>C00000041</v>
      </c>
      <c r="F2373" s="1" t="s">
        <v>1704</v>
      </c>
      <c r="G2373" s="99" t="s">
        <v>1392</v>
      </c>
      <c r="H2373" s="5">
        <v>1</v>
      </c>
      <c r="I2373" s="5" t="str">
        <f>VLOOKUP(F2373,'Set up'!$A$2:$C$70,3,FALSE)</f>
        <v>Cash</v>
      </c>
      <c r="J2373" s="5">
        <f>VLOOKUP(F2373,'Set up'!$A$2:$D$70,4,FALSE)</f>
        <v>0</v>
      </c>
      <c r="K2373" s="4">
        <f t="shared" si="585"/>
        <v>45261</v>
      </c>
      <c r="L2373" s="5">
        <f t="shared" si="586"/>
        <v>12</v>
      </c>
      <c r="M2373" s="5">
        <f t="shared" si="587"/>
        <v>2023</v>
      </c>
      <c r="N2373" s="96">
        <v>237</v>
      </c>
      <c r="O2373" s="6">
        <f t="shared" ref="O2373:O2385" si="589">-N2373</f>
        <v>-237</v>
      </c>
      <c r="P2373" s="6">
        <f t="shared" si="577"/>
        <v>0</v>
      </c>
      <c r="Q2373" s="7">
        <f t="shared" si="588"/>
        <v>3928074.950000002</v>
      </c>
      <c r="R2373" s="44" t="str">
        <f>VLOOKUP(F2373,'Set up'!$A$2:$E$70,5,FALSE)</f>
        <v>Trsf</v>
      </c>
      <c r="S2373" s="1" t="s">
        <v>2215</v>
      </c>
    </row>
    <row r="2374" spans="1:19" ht="15" customHeight="1" x14ac:dyDescent="0.3">
      <c r="A2374" s="4">
        <v>45262</v>
      </c>
      <c r="B2374" s="5">
        <f t="shared" si="583"/>
        <v>12</v>
      </c>
      <c r="C2374" s="5">
        <f t="shared" si="584"/>
        <v>2023</v>
      </c>
      <c r="D2374" s="88" t="s">
        <v>2179</v>
      </c>
      <c r="E2374" s="5" t="str">
        <f>VLOOKUP(F2374,'Set up'!$A$2:$C$70,2,FALSE)</f>
        <v>C00000014</v>
      </c>
      <c r="F2374" s="1" t="s">
        <v>262</v>
      </c>
      <c r="G2374" s="99" t="s">
        <v>303</v>
      </c>
      <c r="H2374" s="5">
        <v>1</v>
      </c>
      <c r="I2374" s="5" t="str">
        <f>VLOOKUP(F2374,'Set up'!$A$2:$C$70,3,FALSE)</f>
        <v>Cash</v>
      </c>
      <c r="J2374" s="5">
        <f>VLOOKUP(F2374,'Set up'!$A$2:$D$70,4,FALSE)</f>
        <v>0</v>
      </c>
      <c r="K2374" s="4">
        <f t="shared" si="585"/>
        <v>45262</v>
      </c>
      <c r="L2374" s="5">
        <f t="shared" si="586"/>
        <v>12</v>
      </c>
      <c r="M2374" s="5">
        <f t="shared" si="587"/>
        <v>2023</v>
      </c>
      <c r="N2374" s="96">
        <v>1606</v>
      </c>
      <c r="O2374" s="6">
        <f t="shared" si="589"/>
        <v>-1606</v>
      </c>
      <c r="P2374" s="6">
        <f t="shared" si="577"/>
        <v>0</v>
      </c>
      <c r="Q2374" s="7">
        <f t="shared" si="588"/>
        <v>3929680.950000002</v>
      </c>
      <c r="R2374" s="44" t="str">
        <f>VLOOKUP(F2374,'Set up'!$A$2:$E$70,5,FALSE)</f>
        <v>Cash</v>
      </c>
      <c r="S2374" s="1" t="s">
        <v>2216</v>
      </c>
    </row>
    <row r="2375" spans="1:19" ht="15" customHeight="1" x14ac:dyDescent="0.3">
      <c r="A2375" s="4">
        <v>45262</v>
      </c>
      <c r="B2375" s="5">
        <f t="shared" si="583"/>
        <v>12</v>
      </c>
      <c r="C2375" s="5">
        <f t="shared" si="584"/>
        <v>2023</v>
      </c>
      <c r="D2375" s="88" t="s">
        <v>2179</v>
      </c>
      <c r="E2375" s="5" t="str">
        <f>VLOOKUP(F2375,'Set up'!$A$2:$C$70,2,FALSE)</f>
        <v>C00000014</v>
      </c>
      <c r="F2375" s="1" t="s">
        <v>262</v>
      </c>
      <c r="G2375" s="99" t="s">
        <v>2097</v>
      </c>
      <c r="H2375" s="5">
        <v>1</v>
      </c>
      <c r="I2375" s="5" t="str">
        <f>VLOOKUP(F2375,'Set up'!$A$2:$C$70,3,FALSE)</f>
        <v>Cash</v>
      </c>
      <c r="J2375" s="5">
        <f>VLOOKUP(F2375,'Set up'!$A$2:$D$70,4,FALSE)</f>
        <v>0</v>
      </c>
      <c r="K2375" s="4">
        <f t="shared" si="585"/>
        <v>45262</v>
      </c>
      <c r="L2375" s="5">
        <f t="shared" si="586"/>
        <v>12</v>
      </c>
      <c r="M2375" s="5">
        <f t="shared" si="587"/>
        <v>2023</v>
      </c>
      <c r="N2375" s="96">
        <v>1597.5</v>
      </c>
      <c r="O2375" s="6">
        <f t="shared" si="589"/>
        <v>-1597.5</v>
      </c>
      <c r="P2375" s="6">
        <f t="shared" si="577"/>
        <v>0</v>
      </c>
      <c r="Q2375" s="7">
        <f t="shared" si="588"/>
        <v>3931278.450000002</v>
      </c>
      <c r="R2375" s="44" t="str">
        <f>VLOOKUP(F2375,'Set up'!$A$2:$E$70,5,FALSE)</f>
        <v>Cash</v>
      </c>
      <c r="S2375" s="1" t="s">
        <v>2216</v>
      </c>
    </row>
    <row r="2376" spans="1:19" ht="15" customHeight="1" x14ac:dyDescent="0.3">
      <c r="A2376" s="4">
        <v>45262</v>
      </c>
      <c r="B2376" s="5">
        <f t="shared" si="583"/>
        <v>12</v>
      </c>
      <c r="C2376" s="5">
        <f t="shared" si="584"/>
        <v>2023</v>
      </c>
      <c r="D2376" s="88" t="s">
        <v>2179</v>
      </c>
      <c r="E2376" s="5" t="str">
        <f>VLOOKUP(F2376,'Set up'!$A$2:$C$70,2,FALSE)</f>
        <v>C00000014</v>
      </c>
      <c r="F2376" s="1" t="s">
        <v>262</v>
      </c>
      <c r="G2376" s="99" t="s">
        <v>1392</v>
      </c>
      <c r="H2376" s="5">
        <v>4</v>
      </c>
      <c r="I2376" s="5" t="str">
        <f>VLOOKUP(F2376,'Set up'!$A$2:$C$70,3,FALSE)</f>
        <v>Cash</v>
      </c>
      <c r="J2376" s="5">
        <f>VLOOKUP(F2376,'Set up'!$A$2:$D$70,4,FALSE)</f>
        <v>0</v>
      </c>
      <c r="K2376" s="4">
        <f t="shared" si="585"/>
        <v>45262</v>
      </c>
      <c r="L2376" s="5">
        <f t="shared" si="586"/>
        <v>12</v>
      </c>
      <c r="M2376" s="5">
        <f t="shared" si="587"/>
        <v>2023</v>
      </c>
      <c r="N2376" s="96">
        <v>840</v>
      </c>
      <c r="O2376" s="6">
        <f t="shared" si="589"/>
        <v>-840</v>
      </c>
      <c r="P2376" s="6">
        <f t="shared" si="577"/>
        <v>0</v>
      </c>
      <c r="Q2376" s="7">
        <f t="shared" si="588"/>
        <v>3932118.450000002</v>
      </c>
      <c r="R2376" s="44" t="str">
        <f>VLOOKUP(F2376,'Set up'!$A$2:$E$70,5,FALSE)</f>
        <v>Cash</v>
      </c>
      <c r="S2376" s="1" t="s">
        <v>2216</v>
      </c>
    </row>
    <row r="2377" spans="1:19" ht="15" customHeight="1" x14ac:dyDescent="0.3">
      <c r="A2377" s="4">
        <v>45262</v>
      </c>
      <c r="B2377" s="5">
        <f t="shared" si="583"/>
        <v>12</v>
      </c>
      <c r="C2377" s="5">
        <f t="shared" si="584"/>
        <v>2023</v>
      </c>
      <c r="D2377" s="88" t="s">
        <v>2179</v>
      </c>
      <c r="E2377" s="5" t="str">
        <f>VLOOKUP(F2377,'Set up'!$A$2:$C$70,2,FALSE)</f>
        <v>C00000014</v>
      </c>
      <c r="F2377" s="1" t="s">
        <v>262</v>
      </c>
      <c r="G2377" s="99" t="s">
        <v>2096</v>
      </c>
      <c r="H2377" s="5">
        <v>3</v>
      </c>
      <c r="I2377" s="5" t="str">
        <f>VLOOKUP(F2377,'Set up'!$A$2:$C$70,3,FALSE)</f>
        <v>Cash</v>
      </c>
      <c r="J2377" s="5">
        <f>VLOOKUP(F2377,'Set up'!$A$2:$D$70,4,FALSE)</f>
        <v>0</v>
      </c>
      <c r="K2377" s="4">
        <f t="shared" si="585"/>
        <v>45262</v>
      </c>
      <c r="L2377" s="5">
        <f t="shared" si="586"/>
        <v>12</v>
      </c>
      <c r="M2377" s="5">
        <f t="shared" si="587"/>
        <v>2023</v>
      </c>
      <c r="N2377" s="96">
        <v>851.4</v>
      </c>
      <c r="O2377" s="6">
        <f t="shared" si="589"/>
        <v>-851.4</v>
      </c>
      <c r="P2377" s="6">
        <f t="shared" si="577"/>
        <v>0</v>
      </c>
      <c r="Q2377" s="7">
        <f t="shared" si="588"/>
        <v>3932969.850000002</v>
      </c>
      <c r="R2377" s="44" t="str">
        <f>VLOOKUP(F2377,'Set up'!$A$2:$E$70,5,FALSE)</f>
        <v>Cash</v>
      </c>
      <c r="S2377" s="1" t="s">
        <v>2216</v>
      </c>
    </row>
    <row r="2378" spans="1:19" ht="15" customHeight="1" x14ac:dyDescent="0.3">
      <c r="A2378" s="4">
        <v>45262</v>
      </c>
      <c r="B2378" s="5">
        <f t="shared" si="583"/>
        <v>12</v>
      </c>
      <c r="C2378" s="5">
        <f t="shared" si="584"/>
        <v>2023</v>
      </c>
      <c r="D2378" s="88" t="s">
        <v>2179</v>
      </c>
      <c r="E2378" s="5" t="str">
        <f>VLOOKUP(F2378,'Set up'!$A$2:$C$70,2,FALSE)</f>
        <v>C00000014</v>
      </c>
      <c r="F2378" s="1" t="s">
        <v>262</v>
      </c>
      <c r="G2378" s="99" t="s">
        <v>17</v>
      </c>
      <c r="H2378" s="5">
        <v>1</v>
      </c>
      <c r="I2378" s="5" t="str">
        <f>VLOOKUP(F2378,'Set up'!$A$2:$C$70,3,FALSE)</f>
        <v>Cash</v>
      </c>
      <c r="J2378" s="5">
        <f>VLOOKUP(F2378,'Set up'!$A$2:$D$70,4,FALSE)</f>
        <v>0</v>
      </c>
      <c r="K2378" s="4">
        <f t="shared" si="585"/>
        <v>45262</v>
      </c>
      <c r="L2378" s="5">
        <f t="shared" si="586"/>
        <v>12</v>
      </c>
      <c r="M2378" s="5">
        <f t="shared" si="587"/>
        <v>2023</v>
      </c>
      <c r="N2378" s="96">
        <v>105</v>
      </c>
      <c r="O2378" s="6">
        <f t="shared" si="589"/>
        <v>-105</v>
      </c>
      <c r="P2378" s="6">
        <f t="shared" si="577"/>
        <v>0</v>
      </c>
      <c r="Q2378" s="7">
        <f t="shared" si="588"/>
        <v>3933074.850000002</v>
      </c>
      <c r="R2378" s="44" t="str">
        <f>VLOOKUP(F2378,'Set up'!$A$2:$E$70,5,FALSE)</f>
        <v>Cash</v>
      </c>
      <c r="S2378" s="1" t="s">
        <v>2216</v>
      </c>
    </row>
    <row r="2379" spans="1:19" ht="15" customHeight="1" x14ac:dyDescent="0.3">
      <c r="A2379" s="4">
        <v>45262</v>
      </c>
      <c r="B2379" s="5">
        <f t="shared" si="583"/>
        <v>12</v>
      </c>
      <c r="C2379" s="5">
        <f t="shared" si="584"/>
        <v>2023</v>
      </c>
      <c r="D2379" s="88" t="s">
        <v>2179</v>
      </c>
      <c r="E2379" s="5" t="str">
        <f>VLOOKUP(F2379,'Set up'!$A$2:$C$70,2,FALSE)</f>
        <v>C00000014</v>
      </c>
      <c r="F2379" s="1" t="s">
        <v>262</v>
      </c>
      <c r="G2379" s="99" t="s">
        <v>1886</v>
      </c>
      <c r="H2379" s="5">
        <v>3</v>
      </c>
      <c r="I2379" s="5" t="str">
        <f>VLOOKUP(F2379,'Set up'!$A$2:$C$70,3,FALSE)</f>
        <v>Cash</v>
      </c>
      <c r="J2379" s="5">
        <f>VLOOKUP(F2379,'Set up'!$A$2:$D$70,4,FALSE)</f>
        <v>0</v>
      </c>
      <c r="K2379" s="4">
        <f t="shared" si="585"/>
        <v>45262</v>
      </c>
      <c r="L2379" s="5">
        <f t="shared" si="586"/>
        <v>12</v>
      </c>
      <c r="M2379" s="5">
        <f t="shared" si="587"/>
        <v>2023</v>
      </c>
      <c r="N2379" s="96">
        <v>480</v>
      </c>
      <c r="O2379" s="6">
        <f t="shared" si="589"/>
        <v>-480</v>
      </c>
      <c r="P2379" s="6">
        <f t="shared" si="577"/>
        <v>0</v>
      </c>
      <c r="Q2379" s="7">
        <f t="shared" si="588"/>
        <v>3933554.850000002</v>
      </c>
      <c r="R2379" s="44" t="str">
        <f>VLOOKUP(F2379,'Set up'!$A$2:$E$70,5,FALSE)</f>
        <v>Cash</v>
      </c>
      <c r="S2379" s="1" t="s">
        <v>2216</v>
      </c>
    </row>
    <row r="2380" spans="1:19" ht="15" customHeight="1" x14ac:dyDescent="0.3">
      <c r="A2380" s="4">
        <v>45262</v>
      </c>
      <c r="B2380" s="5">
        <f t="shared" si="583"/>
        <v>12</v>
      </c>
      <c r="C2380" s="5">
        <f t="shared" si="584"/>
        <v>2023</v>
      </c>
      <c r="D2380" s="88" t="s">
        <v>2180</v>
      </c>
      <c r="E2380" s="5" t="str">
        <f>VLOOKUP(F2380,'Set up'!$A$2:$C$70,2,FALSE)</f>
        <v>C00000021</v>
      </c>
      <c r="F2380" s="1" t="s">
        <v>491</v>
      </c>
      <c r="G2380" s="99" t="s">
        <v>67</v>
      </c>
      <c r="H2380" s="5">
        <v>1</v>
      </c>
      <c r="I2380" s="5" t="str">
        <f>VLOOKUP(F2380,'Set up'!$A$2:$C$70,3,FALSE)</f>
        <v>Cash</v>
      </c>
      <c r="J2380" s="5">
        <f>VLOOKUP(F2380,'Set up'!$A$2:$D$70,4,FALSE)</f>
        <v>0</v>
      </c>
      <c r="K2380" s="4">
        <f t="shared" si="585"/>
        <v>45262</v>
      </c>
      <c r="L2380" s="5">
        <f t="shared" si="586"/>
        <v>12</v>
      </c>
      <c r="M2380" s="5">
        <f t="shared" si="587"/>
        <v>2023</v>
      </c>
      <c r="N2380" s="96">
        <v>1738</v>
      </c>
      <c r="O2380" s="6">
        <f t="shared" si="589"/>
        <v>-1738</v>
      </c>
      <c r="P2380" s="6">
        <f t="shared" si="577"/>
        <v>0</v>
      </c>
      <c r="Q2380" s="7">
        <f t="shared" si="588"/>
        <v>3935292.850000002</v>
      </c>
      <c r="R2380" s="44" t="str">
        <f>VLOOKUP(F2380,'Set up'!$A$2:$E$70,5,FALSE)</f>
        <v>PD Chq</v>
      </c>
      <c r="S2380" s="1" t="s">
        <v>2668</v>
      </c>
    </row>
    <row r="2381" spans="1:19" ht="15" customHeight="1" x14ac:dyDescent="0.3">
      <c r="A2381" s="4">
        <v>45262</v>
      </c>
      <c r="B2381" s="5">
        <f t="shared" si="583"/>
        <v>12</v>
      </c>
      <c r="C2381" s="5">
        <f t="shared" si="584"/>
        <v>2023</v>
      </c>
      <c r="D2381" s="88" t="s">
        <v>2180</v>
      </c>
      <c r="E2381" s="5" t="str">
        <f>VLOOKUP(F2381,'Set up'!$A$2:$C$70,2,FALSE)</f>
        <v>C00000021</v>
      </c>
      <c r="F2381" s="1" t="s">
        <v>491</v>
      </c>
      <c r="G2381" s="99" t="s">
        <v>2129</v>
      </c>
      <c r="H2381" s="5">
        <v>1</v>
      </c>
      <c r="I2381" s="5" t="str">
        <f>VLOOKUP(F2381,'Set up'!$A$2:$C$70,3,FALSE)</f>
        <v>Cash</v>
      </c>
      <c r="J2381" s="5">
        <f>VLOOKUP(F2381,'Set up'!$A$2:$D$70,4,FALSE)</f>
        <v>0</v>
      </c>
      <c r="K2381" s="4">
        <f t="shared" si="585"/>
        <v>45262</v>
      </c>
      <c r="L2381" s="5">
        <f t="shared" si="586"/>
        <v>12</v>
      </c>
      <c r="M2381" s="5">
        <f t="shared" si="587"/>
        <v>2023</v>
      </c>
      <c r="N2381" s="96">
        <v>277.5</v>
      </c>
      <c r="O2381" s="6">
        <f t="shared" si="589"/>
        <v>-277.5</v>
      </c>
      <c r="P2381" s="6">
        <f t="shared" si="577"/>
        <v>0</v>
      </c>
      <c r="Q2381" s="7">
        <f t="shared" si="588"/>
        <v>3935570.350000002</v>
      </c>
      <c r="R2381" s="44" t="str">
        <f>VLOOKUP(F2381,'Set up'!$A$2:$E$70,5,FALSE)</f>
        <v>PD Chq</v>
      </c>
      <c r="S2381" s="1" t="s">
        <v>2668</v>
      </c>
    </row>
    <row r="2382" spans="1:19" ht="15" customHeight="1" x14ac:dyDescent="0.3">
      <c r="A2382" s="4">
        <v>45262</v>
      </c>
      <c r="B2382" s="5">
        <f t="shared" si="583"/>
        <v>12</v>
      </c>
      <c r="C2382" s="5">
        <f t="shared" si="584"/>
        <v>2023</v>
      </c>
      <c r="D2382" s="88" t="s">
        <v>2180</v>
      </c>
      <c r="E2382" s="5" t="str">
        <f>VLOOKUP(F2382,'Set up'!$A$2:$C$70,2,FALSE)</f>
        <v>C00000021</v>
      </c>
      <c r="F2382" s="1" t="s">
        <v>491</v>
      </c>
      <c r="G2382" s="99" t="s">
        <v>1543</v>
      </c>
      <c r="H2382" s="5">
        <v>2</v>
      </c>
      <c r="I2382" s="5" t="str">
        <f>VLOOKUP(F2382,'Set up'!$A$2:$C$70,3,FALSE)</f>
        <v>Cash</v>
      </c>
      <c r="J2382" s="5">
        <f>VLOOKUP(F2382,'Set up'!$A$2:$D$70,4,FALSE)</f>
        <v>0</v>
      </c>
      <c r="K2382" s="4">
        <f t="shared" si="585"/>
        <v>45262</v>
      </c>
      <c r="L2382" s="5">
        <f t="shared" si="586"/>
        <v>12</v>
      </c>
      <c r="M2382" s="5">
        <f t="shared" si="587"/>
        <v>2023</v>
      </c>
      <c r="N2382" s="96">
        <v>450</v>
      </c>
      <c r="O2382" s="6">
        <f t="shared" si="589"/>
        <v>-450</v>
      </c>
      <c r="P2382" s="6">
        <f t="shared" si="577"/>
        <v>0</v>
      </c>
      <c r="Q2382" s="7">
        <f t="shared" si="588"/>
        <v>3936020.350000002</v>
      </c>
      <c r="R2382" s="44" t="str">
        <f>VLOOKUP(F2382,'Set up'!$A$2:$E$70,5,FALSE)</f>
        <v>PD Chq</v>
      </c>
      <c r="S2382" s="1" t="s">
        <v>2668</v>
      </c>
    </row>
    <row r="2383" spans="1:19" ht="15" customHeight="1" x14ac:dyDescent="0.3">
      <c r="A2383" s="4">
        <v>45262</v>
      </c>
      <c r="B2383" s="5">
        <f t="shared" si="583"/>
        <v>12</v>
      </c>
      <c r="C2383" s="5">
        <f t="shared" si="584"/>
        <v>2023</v>
      </c>
      <c r="D2383" s="88" t="s">
        <v>2180</v>
      </c>
      <c r="E2383" s="5" t="str">
        <f>VLOOKUP(F2383,'Set up'!$A$2:$C$70,2,FALSE)</f>
        <v>C00000021</v>
      </c>
      <c r="F2383" s="1" t="s">
        <v>491</v>
      </c>
      <c r="G2383" s="99" t="s">
        <v>1061</v>
      </c>
      <c r="H2383" s="5">
        <v>1</v>
      </c>
      <c r="I2383" s="5" t="str">
        <f>VLOOKUP(F2383,'Set up'!$A$2:$C$70,3,FALSE)</f>
        <v>Cash</v>
      </c>
      <c r="J2383" s="5">
        <f>VLOOKUP(F2383,'Set up'!$A$2:$D$70,4,FALSE)</f>
        <v>0</v>
      </c>
      <c r="K2383" s="4">
        <f t="shared" si="585"/>
        <v>45262</v>
      </c>
      <c r="L2383" s="5">
        <f t="shared" si="586"/>
        <v>12</v>
      </c>
      <c r="M2383" s="5">
        <f t="shared" si="587"/>
        <v>2023</v>
      </c>
      <c r="N2383" s="96">
        <v>95</v>
      </c>
      <c r="O2383" s="6">
        <f t="shared" si="589"/>
        <v>-95</v>
      </c>
      <c r="P2383" s="6">
        <f t="shared" si="577"/>
        <v>0</v>
      </c>
      <c r="Q2383" s="7">
        <f t="shared" si="588"/>
        <v>3936115.350000002</v>
      </c>
      <c r="R2383" s="44" t="str">
        <f>VLOOKUP(F2383,'Set up'!$A$2:$E$70,5,FALSE)</f>
        <v>PD Chq</v>
      </c>
      <c r="S2383" s="1" t="s">
        <v>2668</v>
      </c>
    </row>
    <row r="2384" spans="1:19" ht="15" customHeight="1" x14ac:dyDescent="0.3">
      <c r="A2384" s="4">
        <v>45262</v>
      </c>
      <c r="B2384" s="5">
        <f t="shared" si="583"/>
        <v>12</v>
      </c>
      <c r="C2384" s="5">
        <f t="shared" si="584"/>
        <v>2023</v>
      </c>
      <c r="D2384" s="88" t="s">
        <v>2180</v>
      </c>
      <c r="E2384" s="5" t="str">
        <f>VLOOKUP(F2384,'Set up'!$A$2:$C$70,2,FALSE)</f>
        <v>C00000021</v>
      </c>
      <c r="F2384" s="1" t="s">
        <v>491</v>
      </c>
      <c r="G2384" s="99" t="s">
        <v>2130</v>
      </c>
      <c r="H2384" s="5">
        <v>5</v>
      </c>
      <c r="I2384" s="5" t="str">
        <f>VLOOKUP(F2384,'Set up'!$A$2:$C$70,3,FALSE)</f>
        <v>Cash</v>
      </c>
      <c r="J2384" s="5">
        <f>VLOOKUP(F2384,'Set up'!$A$2:$D$70,4,FALSE)</f>
        <v>0</v>
      </c>
      <c r="K2384" s="4">
        <f t="shared" si="585"/>
        <v>45262</v>
      </c>
      <c r="L2384" s="5">
        <f t="shared" si="586"/>
        <v>12</v>
      </c>
      <c r="M2384" s="5">
        <f t="shared" si="587"/>
        <v>2023</v>
      </c>
      <c r="N2384" s="96">
        <v>312.5</v>
      </c>
      <c r="O2384" s="6">
        <f t="shared" si="589"/>
        <v>-312.5</v>
      </c>
      <c r="P2384" s="6">
        <f t="shared" si="577"/>
        <v>0</v>
      </c>
      <c r="Q2384" s="7">
        <f t="shared" si="588"/>
        <v>3936427.850000002</v>
      </c>
      <c r="R2384" s="44" t="str">
        <f>VLOOKUP(F2384,'Set up'!$A$2:$E$70,5,FALSE)</f>
        <v>PD Chq</v>
      </c>
      <c r="S2384" s="1" t="s">
        <v>2668</v>
      </c>
    </row>
    <row r="2385" spans="1:19" ht="15" customHeight="1" x14ac:dyDescent="0.3">
      <c r="A2385" s="4">
        <v>45262</v>
      </c>
      <c r="B2385" s="5">
        <f t="shared" si="583"/>
        <v>12</v>
      </c>
      <c r="C2385" s="5">
        <f t="shared" si="584"/>
        <v>2023</v>
      </c>
      <c r="D2385" s="88" t="s">
        <v>2180</v>
      </c>
      <c r="E2385" s="5" t="str">
        <f>VLOOKUP(F2385,'Set up'!$A$2:$C$70,2,FALSE)</f>
        <v>C00000021</v>
      </c>
      <c r="F2385" s="1" t="s">
        <v>491</v>
      </c>
      <c r="G2385" s="99" t="s">
        <v>2131</v>
      </c>
      <c r="H2385" s="5">
        <v>10</v>
      </c>
      <c r="I2385" s="5" t="str">
        <f>VLOOKUP(F2385,'Set up'!$A$2:$C$70,3,FALSE)</f>
        <v>Cash</v>
      </c>
      <c r="J2385" s="5">
        <f>VLOOKUP(F2385,'Set up'!$A$2:$D$70,4,FALSE)</f>
        <v>0</v>
      </c>
      <c r="K2385" s="4">
        <f t="shared" si="585"/>
        <v>45262</v>
      </c>
      <c r="L2385" s="5">
        <f t="shared" si="586"/>
        <v>12</v>
      </c>
      <c r="M2385" s="5">
        <f t="shared" si="587"/>
        <v>2023</v>
      </c>
      <c r="N2385" s="96">
        <v>576</v>
      </c>
      <c r="O2385" s="6">
        <f t="shared" si="589"/>
        <v>-576</v>
      </c>
      <c r="P2385" s="6">
        <f t="shared" si="577"/>
        <v>0</v>
      </c>
      <c r="Q2385" s="7">
        <f t="shared" si="588"/>
        <v>3937003.850000002</v>
      </c>
      <c r="R2385" s="44" t="str">
        <f>VLOOKUP(F2385,'Set up'!$A$2:$E$70,5,FALSE)</f>
        <v>PD Chq</v>
      </c>
      <c r="S2385" s="1" t="s">
        <v>2668</v>
      </c>
    </row>
    <row r="2386" spans="1:19" ht="15" customHeight="1" x14ac:dyDescent="0.3">
      <c r="A2386" s="4">
        <v>45264</v>
      </c>
      <c r="B2386" s="5">
        <f t="shared" si="583"/>
        <v>12</v>
      </c>
      <c r="C2386" s="5">
        <f t="shared" si="584"/>
        <v>2023</v>
      </c>
      <c r="D2386" s="88" t="s">
        <v>2181</v>
      </c>
      <c r="E2386" s="5" t="str">
        <f>VLOOKUP(F2386,'Set up'!$A$2:$C$70,2,FALSE)</f>
        <v>C00000042</v>
      </c>
      <c r="F2386" s="1" t="s">
        <v>2012</v>
      </c>
      <c r="G2386" s="99" t="s">
        <v>1110</v>
      </c>
      <c r="H2386" s="5">
        <v>4</v>
      </c>
      <c r="I2386" s="5" t="str">
        <f>VLOOKUP(F2386,'Set up'!$A$2:$C$70,3,FALSE)</f>
        <v>Cash</v>
      </c>
      <c r="J2386" s="5">
        <f>VLOOKUP(F2386,'Set up'!$A$2:$D$70,4,FALSE)</f>
        <v>0</v>
      </c>
      <c r="K2386" s="4">
        <f t="shared" si="585"/>
        <v>45264</v>
      </c>
      <c r="L2386" s="5">
        <f t="shared" si="586"/>
        <v>12</v>
      </c>
      <c r="M2386" s="5">
        <f t="shared" si="587"/>
        <v>2023</v>
      </c>
      <c r="N2386" s="96">
        <v>250</v>
      </c>
      <c r="O2386" s="6">
        <f>-248.5-1.5</f>
        <v>-250</v>
      </c>
      <c r="P2386" s="6">
        <f t="shared" si="577"/>
        <v>0</v>
      </c>
      <c r="Q2386" s="7">
        <f t="shared" si="588"/>
        <v>3937253.850000002</v>
      </c>
      <c r="R2386" s="44" t="str">
        <f>VLOOKUP(F2386,'Set up'!$A$2:$E$70,5,FALSE)</f>
        <v>Trsf</v>
      </c>
      <c r="S2386" s="1" t="s">
        <v>2714</v>
      </c>
    </row>
    <row r="2387" spans="1:19" ht="15" customHeight="1" x14ac:dyDescent="0.3">
      <c r="A2387" s="4">
        <v>45264</v>
      </c>
      <c r="B2387" s="5">
        <f t="shared" si="583"/>
        <v>12</v>
      </c>
      <c r="C2387" s="5">
        <f t="shared" si="584"/>
        <v>2023</v>
      </c>
      <c r="D2387" s="88" t="s">
        <v>2182</v>
      </c>
      <c r="E2387" s="5" t="str">
        <f>VLOOKUP(F2387,'Set up'!$A$2:$C$70,2,FALSE)</f>
        <v>C00000042</v>
      </c>
      <c r="F2387" s="1" t="s">
        <v>2012</v>
      </c>
      <c r="G2387" s="99" t="s">
        <v>1733</v>
      </c>
      <c r="H2387" s="5">
        <v>4</v>
      </c>
      <c r="I2387" s="5" t="str">
        <f>VLOOKUP(F2387,'Set up'!$A$2:$C$70,3,FALSE)</f>
        <v>Cash</v>
      </c>
      <c r="J2387" s="5">
        <f>VLOOKUP(F2387,'Set up'!$A$2:$D$70,4,FALSE)</f>
        <v>0</v>
      </c>
      <c r="K2387" s="4">
        <f t="shared" si="585"/>
        <v>45264</v>
      </c>
      <c r="L2387" s="5">
        <f t="shared" si="586"/>
        <v>12</v>
      </c>
      <c r="M2387" s="5">
        <f t="shared" si="587"/>
        <v>2023</v>
      </c>
      <c r="N2387" s="96">
        <v>6424</v>
      </c>
      <c r="O2387" s="6">
        <f>-N2387</f>
        <v>-6424</v>
      </c>
      <c r="P2387" s="6">
        <f t="shared" ref="P2387:P2452" si="590">SUM(N2387+O2387)</f>
        <v>0</v>
      </c>
      <c r="Q2387" s="7">
        <f t="shared" si="588"/>
        <v>3943677.850000002</v>
      </c>
      <c r="R2387" s="44" t="str">
        <f>VLOOKUP(F2387,'Set up'!$A$2:$E$70,5,FALSE)</f>
        <v>Trsf</v>
      </c>
      <c r="S2387" s="1" t="s">
        <v>2707</v>
      </c>
    </row>
    <row r="2388" spans="1:19" ht="15" customHeight="1" x14ac:dyDescent="0.3">
      <c r="A2388" s="4">
        <v>45264</v>
      </c>
      <c r="B2388" s="5">
        <f t="shared" si="583"/>
        <v>12</v>
      </c>
      <c r="C2388" s="5">
        <f t="shared" si="584"/>
        <v>2023</v>
      </c>
      <c r="D2388" s="88" t="s">
        <v>2182</v>
      </c>
      <c r="E2388" s="5" t="str">
        <f>VLOOKUP(F2388,'Set up'!$A$2:$C$70,2,FALSE)</f>
        <v>C00000042</v>
      </c>
      <c r="F2388" s="1" t="s">
        <v>2012</v>
      </c>
      <c r="G2388" s="99" t="s">
        <v>1543</v>
      </c>
      <c r="H2388" s="5">
        <v>12</v>
      </c>
      <c r="I2388" s="5" t="str">
        <f>VLOOKUP(F2388,'Set up'!$A$2:$C$70,3,FALSE)</f>
        <v>Cash</v>
      </c>
      <c r="J2388" s="5">
        <f>VLOOKUP(F2388,'Set up'!$A$2:$D$70,4,FALSE)</f>
        <v>0</v>
      </c>
      <c r="K2388" s="4">
        <f t="shared" si="585"/>
        <v>45264</v>
      </c>
      <c r="L2388" s="5">
        <f t="shared" si="586"/>
        <v>12</v>
      </c>
      <c r="M2388" s="5">
        <f t="shared" si="587"/>
        <v>2023</v>
      </c>
      <c r="N2388" s="96">
        <v>2088</v>
      </c>
      <c r="O2388" s="6">
        <f>-N2388</f>
        <v>-2088</v>
      </c>
      <c r="P2388" s="6">
        <f t="shared" si="590"/>
        <v>0</v>
      </c>
      <c r="Q2388" s="7">
        <f t="shared" si="588"/>
        <v>3945765.850000002</v>
      </c>
      <c r="R2388" s="44" t="str">
        <f>VLOOKUP(F2388,'Set up'!$A$2:$E$70,5,FALSE)</f>
        <v>Trsf</v>
      </c>
      <c r="S2388" s="1" t="s">
        <v>2705</v>
      </c>
    </row>
    <row r="2389" spans="1:19" ht="15" customHeight="1" x14ac:dyDescent="0.3">
      <c r="A2389" s="4">
        <v>45264</v>
      </c>
      <c r="B2389" s="5">
        <f t="shared" si="583"/>
        <v>12</v>
      </c>
      <c r="C2389" s="5">
        <f t="shared" si="584"/>
        <v>2023</v>
      </c>
      <c r="D2389" s="88" t="s">
        <v>2182</v>
      </c>
      <c r="E2389" s="5" t="str">
        <f>VLOOKUP(F2389,'Set up'!$A$2:$C$70,2,FALSE)</f>
        <v>C00000042</v>
      </c>
      <c r="F2389" s="1" t="s">
        <v>2012</v>
      </c>
      <c r="G2389" s="99" t="s">
        <v>1922</v>
      </c>
      <c r="H2389" s="5">
        <v>5</v>
      </c>
      <c r="I2389" s="5" t="str">
        <f>VLOOKUP(F2389,'Set up'!$A$2:$C$70,3,FALSE)</f>
        <v>Cash</v>
      </c>
      <c r="J2389" s="5">
        <f>VLOOKUP(F2389,'Set up'!$A$2:$D$70,4,FALSE)</f>
        <v>0</v>
      </c>
      <c r="K2389" s="4">
        <f t="shared" si="585"/>
        <v>45264</v>
      </c>
      <c r="L2389" s="5">
        <f t="shared" si="586"/>
        <v>12</v>
      </c>
      <c r="M2389" s="5">
        <f t="shared" si="587"/>
        <v>2023</v>
      </c>
      <c r="N2389" s="96">
        <v>1170</v>
      </c>
      <c r="O2389" s="6">
        <f>-N2389</f>
        <v>-1170</v>
      </c>
      <c r="P2389" s="6">
        <f t="shared" si="590"/>
        <v>0</v>
      </c>
      <c r="Q2389" s="7">
        <f t="shared" si="588"/>
        <v>3946935.850000002</v>
      </c>
      <c r="R2389" s="44" t="str">
        <f>VLOOKUP(F2389,'Set up'!$A$2:$E$70,5,FALSE)</f>
        <v>Trsf</v>
      </c>
      <c r="S2389" s="1" t="s">
        <v>2706</v>
      </c>
    </row>
    <row r="2390" spans="1:19" ht="15" customHeight="1" x14ac:dyDescent="0.3">
      <c r="A2390" s="4">
        <v>45267</v>
      </c>
      <c r="B2390" s="5">
        <f t="shared" si="583"/>
        <v>12</v>
      </c>
      <c r="C2390" s="5">
        <f t="shared" si="584"/>
        <v>2023</v>
      </c>
      <c r="D2390" s="88" t="s">
        <v>2183</v>
      </c>
      <c r="E2390" s="5" t="str">
        <f>VLOOKUP(F2390,'Set up'!$A$2:$C$70,2,FALSE)</f>
        <v>C00000021</v>
      </c>
      <c r="F2390" s="1" t="s">
        <v>491</v>
      </c>
      <c r="G2390" s="99" t="s">
        <v>67</v>
      </c>
      <c r="H2390" s="5">
        <v>1</v>
      </c>
      <c r="I2390" s="5" t="str">
        <f>VLOOKUP(F2390,'Set up'!$A$2:$C$70,3,FALSE)</f>
        <v>Cash</v>
      </c>
      <c r="J2390" s="5">
        <f>VLOOKUP(F2390,'Set up'!$A$2:$D$70,4,FALSE)</f>
        <v>0</v>
      </c>
      <c r="K2390" s="4">
        <f t="shared" si="585"/>
        <v>45267</v>
      </c>
      <c r="L2390" s="5">
        <f t="shared" si="586"/>
        <v>12</v>
      </c>
      <c r="M2390" s="5">
        <f t="shared" si="587"/>
        <v>2023</v>
      </c>
      <c r="N2390" s="96">
        <v>1738</v>
      </c>
      <c r="O2390" s="6">
        <f t="shared" ref="O2390:O2394" si="591">-N2390</f>
        <v>-1738</v>
      </c>
      <c r="P2390" s="6">
        <f t="shared" si="590"/>
        <v>0</v>
      </c>
      <c r="Q2390" s="7">
        <f t="shared" si="588"/>
        <v>3948673.850000002</v>
      </c>
      <c r="R2390" s="44" t="str">
        <f>VLOOKUP(F2390,'Set up'!$A$2:$E$70,5,FALSE)</f>
        <v>PD Chq</v>
      </c>
      <c r="S2390" s="1" t="s">
        <v>2669</v>
      </c>
    </row>
    <row r="2391" spans="1:19" ht="15" customHeight="1" x14ac:dyDescent="0.3">
      <c r="A2391" s="4">
        <v>45267</v>
      </c>
      <c r="B2391" s="5">
        <f t="shared" si="583"/>
        <v>12</v>
      </c>
      <c r="C2391" s="5">
        <f t="shared" si="584"/>
        <v>2023</v>
      </c>
      <c r="D2391" s="88" t="s">
        <v>2183</v>
      </c>
      <c r="E2391" s="5" t="str">
        <f>VLOOKUP(F2391,'Set up'!$A$2:$C$70,2,FALSE)</f>
        <v>C00000021</v>
      </c>
      <c r="F2391" s="1" t="s">
        <v>491</v>
      </c>
      <c r="G2391" s="99" t="s">
        <v>2129</v>
      </c>
      <c r="H2391" s="5">
        <v>2</v>
      </c>
      <c r="I2391" s="5" t="str">
        <f>VLOOKUP(F2391,'Set up'!$A$2:$C$70,3,FALSE)</f>
        <v>Cash</v>
      </c>
      <c r="J2391" s="5">
        <f>VLOOKUP(F2391,'Set up'!$A$2:$D$70,4,FALSE)</f>
        <v>0</v>
      </c>
      <c r="K2391" s="4">
        <f t="shared" si="585"/>
        <v>45267</v>
      </c>
      <c r="L2391" s="5">
        <f t="shared" si="586"/>
        <v>12</v>
      </c>
      <c r="M2391" s="5">
        <f t="shared" si="587"/>
        <v>2023</v>
      </c>
      <c r="N2391" s="96">
        <v>555</v>
      </c>
      <c r="O2391" s="6">
        <f t="shared" si="591"/>
        <v>-555</v>
      </c>
      <c r="P2391" s="6">
        <f t="shared" si="590"/>
        <v>0</v>
      </c>
      <c r="Q2391" s="7">
        <f t="shared" si="588"/>
        <v>3949228.850000002</v>
      </c>
      <c r="R2391" s="44" t="str">
        <f>VLOOKUP(F2391,'Set up'!$A$2:$E$70,5,FALSE)</f>
        <v>PD Chq</v>
      </c>
      <c r="S2391" s="1" t="s">
        <v>2669</v>
      </c>
    </row>
    <row r="2392" spans="1:19" ht="15" customHeight="1" x14ac:dyDescent="0.3">
      <c r="A2392" s="4">
        <v>45267</v>
      </c>
      <c r="B2392" s="5">
        <f t="shared" si="583"/>
        <v>12</v>
      </c>
      <c r="C2392" s="5">
        <f t="shared" si="584"/>
        <v>2023</v>
      </c>
      <c r="D2392" s="88" t="s">
        <v>2183</v>
      </c>
      <c r="E2392" s="5" t="str">
        <f>VLOOKUP(F2392,'Set up'!$A$2:$C$70,2,FALSE)</f>
        <v>C00000021</v>
      </c>
      <c r="F2392" s="1" t="s">
        <v>491</v>
      </c>
      <c r="G2392" s="99" t="s">
        <v>1061</v>
      </c>
      <c r="H2392" s="5">
        <v>1</v>
      </c>
      <c r="I2392" s="5" t="str">
        <f>VLOOKUP(F2392,'Set up'!$A$2:$C$70,3,FALSE)</f>
        <v>Cash</v>
      </c>
      <c r="J2392" s="5">
        <f>VLOOKUP(F2392,'Set up'!$A$2:$D$70,4,FALSE)</f>
        <v>0</v>
      </c>
      <c r="K2392" s="4">
        <f t="shared" si="585"/>
        <v>45267</v>
      </c>
      <c r="L2392" s="5">
        <f t="shared" si="586"/>
        <v>12</v>
      </c>
      <c r="M2392" s="5">
        <f t="shared" si="587"/>
        <v>2023</v>
      </c>
      <c r="N2392" s="96">
        <v>95</v>
      </c>
      <c r="O2392" s="6">
        <f t="shared" si="591"/>
        <v>-95</v>
      </c>
      <c r="P2392" s="6">
        <f t="shared" si="590"/>
        <v>0</v>
      </c>
      <c r="Q2392" s="7">
        <f t="shared" si="588"/>
        <v>3949323.850000002</v>
      </c>
      <c r="R2392" s="44" t="str">
        <f>VLOOKUP(F2392,'Set up'!$A$2:$E$70,5,FALSE)</f>
        <v>PD Chq</v>
      </c>
      <c r="S2392" s="1" t="s">
        <v>2669</v>
      </c>
    </row>
    <row r="2393" spans="1:19" ht="15" customHeight="1" x14ac:dyDescent="0.3">
      <c r="A2393" s="4">
        <v>45267</v>
      </c>
      <c r="B2393" s="5">
        <f t="shared" si="583"/>
        <v>12</v>
      </c>
      <c r="C2393" s="5">
        <f t="shared" si="584"/>
        <v>2023</v>
      </c>
      <c r="D2393" s="88" t="s">
        <v>2183</v>
      </c>
      <c r="E2393" s="5" t="str">
        <f>VLOOKUP(F2393,'Set up'!$A$2:$C$70,2,FALSE)</f>
        <v>C00000021</v>
      </c>
      <c r="F2393" s="1" t="s">
        <v>491</v>
      </c>
      <c r="G2393" s="99" t="s">
        <v>2130</v>
      </c>
      <c r="H2393" s="5">
        <v>5</v>
      </c>
      <c r="I2393" s="5" t="str">
        <f>VLOOKUP(F2393,'Set up'!$A$2:$C$70,3,FALSE)</f>
        <v>Cash</v>
      </c>
      <c r="J2393" s="5">
        <f>VLOOKUP(F2393,'Set up'!$A$2:$D$70,4,FALSE)</f>
        <v>0</v>
      </c>
      <c r="K2393" s="4">
        <f t="shared" si="585"/>
        <v>45267</v>
      </c>
      <c r="L2393" s="5">
        <f t="shared" si="586"/>
        <v>12</v>
      </c>
      <c r="M2393" s="5">
        <f t="shared" si="587"/>
        <v>2023</v>
      </c>
      <c r="N2393" s="96">
        <v>312.5</v>
      </c>
      <c r="O2393" s="6">
        <f t="shared" si="591"/>
        <v>-312.5</v>
      </c>
      <c r="P2393" s="6">
        <f t="shared" si="590"/>
        <v>0</v>
      </c>
      <c r="Q2393" s="7">
        <f t="shared" si="588"/>
        <v>3949636.350000002</v>
      </c>
      <c r="R2393" s="44" t="str">
        <f>VLOOKUP(F2393,'Set up'!$A$2:$E$70,5,FALSE)</f>
        <v>PD Chq</v>
      </c>
      <c r="S2393" s="1" t="s">
        <v>2669</v>
      </c>
    </row>
    <row r="2394" spans="1:19" ht="15" customHeight="1" x14ac:dyDescent="0.3">
      <c r="A2394" s="4">
        <v>45268</v>
      </c>
      <c r="B2394" s="5">
        <f t="shared" si="583"/>
        <v>12</v>
      </c>
      <c r="C2394" s="5">
        <f t="shared" si="584"/>
        <v>2023</v>
      </c>
      <c r="D2394" s="88" t="s">
        <v>2184</v>
      </c>
      <c r="E2394" s="5" t="str">
        <f>VLOOKUP(F2394,'Set up'!$A$2:$C$70,2,FALSE)</f>
        <v>C00000022</v>
      </c>
      <c r="F2394" s="1" t="s">
        <v>637</v>
      </c>
      <c r="G2394" s="99" t="s">
        <v>2132</v>
      </c>
      <c r="H2394" s="5">
        <v>1</v>
      </c>
      <c r="I2394" s="5" t="str">
        <f>VLOOKUP(F2394,'Set up'!$A$2:$C$70,3,FALSE)</f>
        <v>Cash</v>
      </c>
      <c r="J2394" s="5">
        <f>VLOOKUP(F2394,'Set up'!$A$2:$D$70,4,FALSE)</f>
        <v>0</v>
      </c>
      <c r="K2394" s="4">
        <f t="shared" si="585"/>
        <v>45268</v>
      </c>
      <c r="L2394" s="5">
        <f t="shared" si="586"/>
        <v>12</v>
      </c>
      <c r="M2394" s="5">
        <f t="shared" si="587"/>
        <v>2023</v>
      </c>
      <c r="N2394" s="96">
        <v>250</v>
      </c>
      <c r="O2394" s="6">
        <f t="shared" si="591"/>
        <v>-250</v>
      </c>
      <c r="P2394" s="6">
        <f t="shared" si="590"/>
        <v>0</v>
      </c>
      <c r="Q2394" s="7">
        <f t="shared" si="588"/>
        <v>3949886.350000002</v>
      </c>
      <c r="R2394" s="44" t="str">
        <f>VLOOKUP(F2394,'Set up'!$A$2:$E$70,5,FALSE)</f>
        <v>Trsf</v>
      </c>
      <c r="S2394" s="1" t="s">
        <v>2991</v>
      </c>
    </row>
    <row r="2395" spans="1:19" ht="15" customHeight="1" x14ac:dyDescent="0.3">
      <c r="A2395" s="4">
        <v>45268</v>
      </c>
      <c r="B2395" s="5">
        <f t="shared" si="583"/>
        <v>12</v>
      </c>
      <c r="C2395" s="5">
        <f t="shared" si="584"/>
        <v>2023</v>
      </c>
      <c r="D2395" s="88" t="s">
        <v>2185</v>
      </c>
      <c r="E2395" s="5" t="str">
        <f>VLOOKUP(F2395,'Set up'!$A$2:$C$70,2,FALSE)</f>
        <v>C00000022</v>
      </c>
      <c r="F2395" s="1" t="s">
        <v>637</v>
      </c>
      <c r="G2395" s="99" t="s">
        <v>1997</v>
      </c>
      <c r="H2395" s="5">
        <v>1</v>
      </c>
      <c r="I2395" s="5" t="str">
        <f>VLOOKUP(F2395,'Set up'!$A$2:$C$70,3,FALSE)</f>
        <v>Cash</v>
      </c>
      <c r="J2395" s="5">
        <f>VLOOKUP(F2395,'Set up'!$A$2:$D$70,4,FALSE)</f>
        <v>0</v>
      </c>
      <c r="K2395" s="4">
        <f t="shared" si="585"/>
        <v>45268</v>
      </c>
      <c r="L2395" s="5">
        <f t="shared" si="586"/>
        <v>12</v>
      </c>
      <c r="M2395" s="5">
        <f t="shared" si="587"/>
        <v>2023</v>
      </c>
      <c r="N2395" s="96">
        <v>3600</v>
      </c>
      <c r="O2395" s="6">
        <f>-3253.8-300</f>
        <v>-3553.8</v>
      </c>
      <c r="P2395" s="6">
        <f t="shared" si="590"/>
        <v>46.199999999999818</v>
      </c>
      <c r="Q2395" s="7">
        <f t="shared" si="588"/>
        <v>3953486.350000002</v>
      </c>
      <c r="R2395" s="44" t="str">
        <f>VLOOKUP(F2395,'Set up'!$A$2:$E$70,5,FALSE)</f>
        <v>Trsf</v>
      </c>
      <c r="S2395" s="1" t="s">
        <v>3611</v>
      </c>
    </row>
    <row r="2396" spans="1:19" ht="15" customHeight="1" x14ac:dyDescent="0.3">
      <c r="A2396" s="4">
        <v>45268</v>
      </c>
      <c r="B2396" s="5">
        <f t="shared" si="583"/>
        <v>12</v>
      </c>
      <c r="C2396" s="5">
        <f t="shared" si="584"/>
        <v>2023</v>
      </c>
      <c r="D2396" s="88" t="s">
        <v>2185</v>
      </c>
      <c r="E2396" s="5" t="str">
        <f>VLOOKUP(F2396,'Set up'!$A$2:$C$70,2,FALSE)</f>
        <v>C00000022</v>
      </c>
      <c r="F2396" s="1" t="s">
        <v>637</v>
      </c>
      <c r="G2396" s="99" t="s">
        <v>1543</v>
      </c>
      <c r="H2396" s="5">
        <v>2</v>
      </c>
      <c r="I2396" s="5" t="str">
        <f>VLOOKUP(F2396,'Set up'!$A$2:$C$70,3,FALSE)</f>
        <v>Cash</v>
      </c>
      <c r="J2396" s="5">
        <f>VLOOKUP(F2396,'Set up'!$A$2:$D$70,4,FALSE)</f>
        <v>0</v>
      </c>
      <c r="K2396" s="4">
        <f t="shared" si="585"/>
        <v>45268</v>
      </c>
      <c r="L2396" s="5">
        <f t="shared" si="586"/>
        <v>12</v>
      </c>
      <c r="M2396" s="5">
        <f t="shared" si="587"/>
        <v>2023</v>
      </c>
      <c r="N2396" s="96">
        <v>468</v>
      </c>
      <c r="P2396" s="6">
        <f t="shared" si="590"/>
        <v>468</v>
      </c>
      <c r="Q2396" s="7">
        <f t="shared" si="588"/>
        <v>3953954.350000002</v>
      </c>
      <c r="R2396" s="44" t="str">
        <f>VLOOKUP(F2396,'Set up'!$A$2:$E$70,5,FALSE)</f>
        <v>Trsf</v>
      </c>
    </row>
    <row r="2397" spans="1:19" ht="15" customHeight="1" x14ac:dyDescent="0.3">
      <c r="A2397" s="4">
        <v>45268</v>
      </c>
      <c r="B2397" s="5">
        <f t="shared" si="583"/>
        <v>12</v>
      </c>
      <c r="C2397" s="5">
        <f t="shared" si="584"/>
        <v>2023</v>
      </c>
      <c r="D2397" s="88" t="s">
        <v>2186</v>
      </c>
      <c r="E2397" s="5" t="str">
        <f>VLOOKUP(F2397,'Set up'!$A$2:$C$70,2,FALSE)</f>
        <v>C00000019</v>
      </c>
      <c r="F2397" s="1" t="s">
        <v>400</v>
      </c>
      <c r="G2397" s="99" t="s">
        <v>95</v>
      </c>
      <c r="H2397" s="5">
        <v>1</v>
      </c>
      <c r="I2397" s="5" t="str">
        <f>VLOOKUP(F2397,'Set up'!$A$2:$C$70,3,FALSE)</f>
        <v>Cash</v>
      </c>
      <c r="J2397" s="5">
        <f>VLOOKUP(F2397,'Set up'!$A$2:$D$70,4,FALSE)</f>
        <v>0</v>
      </c>
      <c r="K2397" s="4">
        <f t="shared" si="585"/>
        <v>45268</v>
      </c>
      <c r="L2397" s="5">
        <f t="shared" si="586"/>
        <v>12</v>
      </c>
      <c r="M2397" s="5">
        <f t="shared" si="587"/>
        <v>2023</v>
      </c>
      <c r="N2397" s="96">
        <v>1738</v>
      </c>
      <c r="O2397" s="6">
        <f>-141.8-1000-500-96.2</f>
        <v>-1738</v>
      </c>
      <c r="P2397" s="6">
        <f t="shared" si="590"/>
        <v>0</v>
      </c>
      <c r="Q2397" s="7">
        <f t="shared" si="588"/>
        <v>3955692.350000002</v>
      </c>
      <c r="R2397" s="44" t="str">
        <f>VLOOKUP(F2397,'Set up'!$A$2:$E$70,5,FALSE)</f>
        <v>Trsf</v>
      </c>
      <c r="S2397" s="1" t="s">
        <v>3304</v>
      </c>
    </row>
    <row r="2398" spans="1:19" ht="15" customHeight="1" x14ac:dyDescent="0.3">
      <c r="A2398" s="4">
        <v>45268</v>
      </c>
      <c r="B2398" s="5">
        <f t="shared" si="583"/>
        <v>12</v>
      </c>
      <c r="C2398" s="5">
        <f t="shared" si="584"/>
        <v>2023</v>
      </c>
      <c r="D2398" s="88" t="s">
        <v>2186</v>
      </c>
      <c r="E2398" s="5" t="str">
        <f>VLOOKUP(F2398,'Set up'!$A$2:$C$70,2,FALSE)</f>
        <v>C00000019</v>
      </c>
      <c r="F2398" s="1" t="s">
        <v>400</v>
      </c>
      <c r="G2398" s="99" t="s">
        <v>1411</v>
      </c>
      <c r="H2398" s="5">
        <v>1</v>
      </c>
      <c r="I2398" s="5" t="str">
        <f>VLOOKUP(F2398,'Set up'!$A$2:$C$70,3,FALSE)</f>
        <v>Cash</v>
      </c>
      <c r="J2398" s="5">
        <f>VLOOKUP(F2398,'Set up'!$A$2:$D$70,4,FALSE)</f>
        <v>0</v>
      </c>
      <c r="K2398" s="4">
        <f t="shared" si="585"/>
        <v>45268</v>
      </c>
      <c r="L2398" s="5">
        <f t="shared" si="586"/>
        <v>12</v>
      </c>
      <c r="M2398" s="5">
        <f t="shared" si="587"/>
        <v>2023</v>
      </c>
      <c r="N2398" s="96">
        <v>405</v>
      </c>
      <c r="O2398" s="6">
        <f t="shared" ref="O2398:O2400" si="592">-N2398</f>
        <v>-405</v>
      </c>
      <c r="P2398" s="6">
        <f t="shared" si="590"/>
        <v>0</v>
      </c>
      <c r="Q2398" s="7">
        <f t="shared" si="588"/>
        <v>3956097.350000002</v>
      </c>
      <c r="R2398" s="44" t="str">
        <f>VLOOKUP(F2398,'Set up'!$A$2:$E$70,5,FALSE)</f>
        <v>Trsf</v>
      </c>
      <c r="S2398" s="1" t="s">
        <v>3305</v>
      </c>
    </row>
    <row r="2399" spans="1:19" ht="15" customHeight="1" x14ac:dyDescent="0.3">
      <c r="A2399" s="4">
        <v>45268</v>
      </c>
      <c r="B2399" s="5">
        <f t="shared" si="583"/>
        <v>12</v>
      </c>
      <c r="C2399" s="5">
        <f t="shared" si="584"/>
        <v>2023</v>
      </c>
      <c r="D2399" s="88" t="s">
        <v>2186</v>
      </c>
      <c r="E2399" s="5" t="str">
        <f>VLOOKUP(F2399,'Set up'!$A$2:$C$70,2,FALSE)</f>
        <v>C00000019</v>
      </c>
      <c r="F2399" s="1" t="s">
        <v>400</v>
      </c>
      <c r="G2399" s="99" t="s">
        <v>1660</v>
      </c>
      <c r="H2399" s="5">
        <v>1</v>
      </c>
      <c r="I2399" s="5" t="str">
        <f>VLOOKUP(F2399,'Set up'!$A$2:$C$70,3,FALSE)</f>
        <v>Cash</v>
      </c>
      <c r="J2399" s="5">
        <f>VLOOKUP(F2399,'Set up'!$A$2:$D$70,4,FALSE)</f>
        <v>0</v>
      </c>
      <c r="K2399" s="4">
        <f t="shared" si="585"/>
        <v>45268</v>
      </c>
      <c r="L2399" s="5">
        <f t="shared" si="586"/>
        <v>12</v>
      </c>
      <c r="M2399" s="5">
        <f t="shared" si="587"/>
        <v>2023</v>
      </c>
      <c r="N2399" s="96">
        <v>160</v>
      </c>
      <c r="O2399" s="6">
        <f t="shared" si="592"/>
        <v>-160</v>
      </c>
      <c r="P2399" s="6">
        <f t="shared" si="590"/>
        <v>0</v>
      </c>
      <c r="Q2399" s="7">
        <f t="shared" si="588"/>
        <v>3956257.350000002</v>
      </c>
      <c r="R2399" s="44" t="str">
        <f>VLOOKUP(F2399,'Set up'!$A$2:$E$70,5,FALSE)</f>
        <v>Trsf</v>
      </c>
      <c r="S2399" s="1" t="s">
        <v>3306</v>
      </c>
    </row>
    <row r="2400" spans="1:19" ht="15" customHeight="1" x14ac:dyDescent="0.3">
      <c r="A2400" s="4">
        <v>45268</v>
      </c>
      <c r="B2400" s="5">
        <f t="shared" si="583"/>
        <v>12</v>
      </c>
      <c r="C2400" s="5">
        <f t="shared" si="584"/>
        <v>2023</v>
      </c>
      <c r="D2400" s="88" t="s">
        <v>2186</v>
      </c>
      <c r="E2400" s="5" t="str">
        <f>VLOOKUP(F2400,'Set up'!$A$2:$C$70,2,FALSE)</f>
        <v>C00000019</v>
      </c>
      <c r="F2400" s="1" t="s">
        <v>400</v>
      </c>
      <c r="G2400" s="99" t="s">
        <v>1469</v>
      </c>
      <c r="H2400" s="5">
        <v>1</v>
      </c>
      <c r="I2400" s="5" t="str">
        <f>VLOOKUP(F2400,'Set up'!$A$2:$C$70,3,FALSE)</f>
        <v>Cash</v>
      </c>
      <c r="J2400" s="5">
        <f>VLOOKUP(F2400,'Set up'!$A$2:$D$70,4,FALSE)</f>
        <v>0</v>
      </c>
      <c r="K2400" s="4">
        <f t="shared" si="585"/>
        <v>45268</v>
      </c>
      <c r="L2400" s="5">
        <f t="shared" si="586"/>
        <v>12</v>
      </c>
      <c r="M2400" s="5">
        <f t="shared" si="587"/>
        <v>2023</v>
      </c>
      <c r="N2400" s="96">
        <v>390</v>
      </c>
      <c r="O2400" s="6">
        <f t="shared" si="592"/>
        <v>-390</v>
      </c>
      <c r="P2400" s="6">
        <f t="shared" si="590"/>
        <v>0</v>
      </c>
      <c r="Q2400" s="7">
        <f t="shared" si="588"/>
        <v>3956647.350000002</v>
      </c>
      <c r="R2400" s="44" t="str">
        <f>VLOOKUP(F2400,'Set up'!$A$2:$E$70,5,FALSE)</f>
        <v>Trsf</v>
      </c>
      <c r="S2400" s="1" t="s">
        <v>3307</v>
      </c>
    </row>
    <row r="2401" spans="1:19" ht="15" customHeight="1" x14ac:dyDescent="0.3">
      <c r="A2401" s="4">
        <v>45269</v>
      </c>
      <c r="B2401" s="5">
        <f t="shared" si="583"/>
        <v>12</v>
      </c>
      <c r="C2401" s="5">
        <f t="shared" si="584"/>
        <v>2023</v>
      </c>
      <c r="D2401" s="88" t="s">
        <v>2187</v>
      </c>
      <c r="E2401" s="5" t="str">
        <f>VLOOKUP(F2401,'Set up'!$A$2:$C$70,2,FALSE)</f>
        <v>C00000042</v>
      </c>
      <c r="F2401" s="1" t="s">
        <v>2012</v>
      </c>
      <c r="G2401" s="99" t="s">
        <v>1110</v>
      </c>
      <c r="H2401" s="5">
        <v>4</v>
      </c>
      <c r="I2401" s="5" t="str">
        <f>VLOOKUP(F2401,'Set up'!$A$2:$C$70,3,FALSE)</f>
        <v>Cash</v>
      </c>
      <c r="J2401" s="5">
        <f>VLOOKUP(F2401,'Set up'!$A$2:$D$70,4,FALSE)</f>
        <v>0</v>
      </c>
      <c r="K2401" s="4">
        <f t="shared" si="585"/>
        <v>45269</v>
      </c>
      <c r="L2401" s="5">
        <f t="shared" si="586"/>
        <v>12</v>
      </c>
      <c r="M2401" s="5">
        <f t="shared" si="587"/>
        <v>2023</v>
      </c>
      <c r="N2401" s="96">
        <v>250</v>
      </c>
      <c r="O2401" s="6">
        <f>-N2401</f>
        <v>-250</v>
      </c>
      <c r="P2401" s="6">
        <f t="shared" si="590"/>
        <v>0</v>
      </c>
      <c r="Q2401" s="7">
        <f t="shared" si="588"/>
        <v>3956897.350000002</v>
      </c>
      <c r="R2401" s="44" t="str">
        <f>VLOOKUP(F2401,'Set up'!$A$2:$E$70,5,FALSE)</f>
        <v>Trsf</v>
      </c>
      <c r="S2401" s="1" t="s">
        <v>2704</v>
      </c>
    </row>
    <row r="2402" spans="1:19" ht="15" customHeight="1" x14ac:dyDescent="0.3">
      <c r="A2402" s="4">
        <v>45269</v>
      </c>
      <c r="B2402" s="5">
        <f t="shared" si="583"/>
        <v>12</v>
      </c>
      <c r="C2402" s="5">
        <f t="shared" si="584"/>
        <v>2023</v>
      </c>
      <c r="D2402" s="88" t="s">
        <v>2188</v>
      </c>
      <c r="E2402" s="5" t="str">
        <f>VLOOKUP(F2402,'Set up'!$A$2:$C$70,2,FALSE)</f>
        <v>C00000042</v>
      </c>
      <c r="F2402" s="1" t="s">
        <v>2012</v>
      </c>
      <c r="G2402" s="99" t="s">
        <v>1733</v>
      </c>
      <c r="H2402" s="5">
        <v>4</v>
      </c>
      <c r="I2402" s="5" t="str">
        <f>VLOOKUP(F2402,'Set up'!$A$2:$C$70,3,FALSE)</f>
        <v>Cash</v>
      </c>
      <c r="J2402" s="5">
        <f>VLOOKUP(F2402,'Set up'!$A$2:$D$70,4,FALSE)</f>
        <v>0</v>
      </c>
      <c r="K2402" s="4">
        <f t="shared" si="585"/>
        <v>45269</v>
      </c>
      <c r="L2402" s="5">
        <f t="shared" si="586"/>
        <v>12</v>
      </c>
      <c r="M2402" s="5">
        <f t="shared" si="587"/>
        <v>2023</v>
      </c>
      <c r="N2402" s="96">
        <v>6424</v>
      </c>
      <c r="O2402" s="6">
        <f>-N2402</f>
        <v>-6424</v>
      </c>
      <c r="P2402" s="6">
        <f t="shared" si="590"/>
        <v>0</v>
      </c>
      <c r="Q2402" s="7">
        <f t="shared" si="588"/>
        <v>3963321.350000002</v>
      </c>
      <c r="R2402" s="44" t="str">
        <f>VLOOKUP(F2402,'Set up'!$A$2:$E$70,5,FALSE)</f>
        <v>Trsf</v>
      </c>
      <c r="S2402" s="1" t="s">
        <v>2707</v>
      </c>
    </row>
    <row r="2403" spans="1:19" ht="15" customHeight="1" x14ac:dyDescent="0.3">
      <c r="A2403" s="4">
        <v>45269</v>
      </c>
      <c r="B2403" s="5">
        <f t="shared" si="583"/>
        <v>12</v>
      </c>
      <c r="C2403" s="5">
        <f t="shared" si="584"/>
        <v>2023</v>
      </c>
      <c r="D2403" s="88" t="s">
        <v>2188</v>
      </c>
      <c r="E2403" s="5" t="str">
        <f>VLOOKUP(F2403,'Set up'!$A$2:$C$70,2,FALSE)</f>
        <v>C00000042</v>
      </c>
      <c r="F2403" s="1" t="s">
        <v>2012</v>
      </c>
      <c r="G2403" s="99" t="s">
        <v>2095</v>
      </c>
      <c r="H2403" s="5">
        <v>15</v>
      </c>
      <c r="I2403" s="5" t="str">
        <f>VLOOKUP(F2403,'Set up'!$A$2:$C$70,3,FALSE)</f>
        <v>Cash</v>
      </c>
      <c r="J2403" s="5">
        <f>VLOOKUP(F2403,'Set up'!$A$2:$D$70,4,FALSE)</f>
        <v>0</v>
      </c>
      <c r="K2403" s="4">
        <f t="shared" si="585"/>
        <v>45269</v>
      </c>
      <c r="L2403" s="5">
        <f t="shared" si="586"/>
        <v>12</v>
      </c>
      <c r="M2403" s="5">
        <f t="shared" si="587"/>
        <v>2023</v>
      </c>
      <c r="N2403" s="96">
        <v>3219</v>
      </c>
      <c r="O2403" s="6">
        <f>-N2403</f>
        <v>-3219</v>
      </c>
      <c r="P2403" s="6">
        <f t="shared" si="590"/>
        <v>0</v>
      </c>
      <c r="Q2403" s="7">
        <f t="shared" si="588"/>
        <v>3966540.350000002</v>
      </c>
      <c r="R2403" s="44" t="str">
        <f>VLOOKUP(F2403,'Set up'!$A$2:$E$70,5,FALSE)</f>
        <v>Trsf</v>
      </c>
      <c r="S2403" s="1" t="s">
        <v>2715</v>
      </c>
    </row>
    <row r="2404" spans="1:19" ht="15" customHeight="1" x14ac:dyDescent="0.3">
      <c r="A2404" s="4">
        <v>45269</v>
      </c>
      <c r="B2404" s="5">
        <f t="shared" si="583"/>
        <v>12</v>
      </c>
      <c r="C2404" s="5">
        <f t="shared" si="584"/>
        <v>2023</v>
      </c>
      <c r="D2404" s="88" t="s">
        <v>2188</v>
      </c>
      <c r="E2404" s="5" t="str">
        <f>VLOOKUP(F2404,'Set up'!$A$2:$C$70,2,FALSE)</f>
        <v>C00000042</v>
      </c>
      <c r="F2404" s="1" t="s">
        <v>2012</v>
      </c>
      <c r="G2404" s="99" t="s">
        <v>1922</v>
      </c>
      <c r="H2404" s="5">
        <v>3</v>
      </c>
      <c r="I2404" s="5" t="str">
        <f>VLOOKUP(F2404,'Set up'!$A$2:$C$70,3,FALSE)</f>
        <v>Cash</v>
      </c>
      <c r="J2404" s="5">
        <f>VLOOKUP(F2404,'Set up'!$A$2:$D$70,4,FALSE)</f>
        <v>0</v>
      </c>
      <c r="K2404" s="4">
        <f t="shared" si="585"/>
        <v>45269</v>
      </c>
      <c r="L2404" s="5">
        <f t="shared" si="586"/>
        <v>12</v>
      </c>
      <c r="M2404" s="5">
        <f t="shared" si="587"/>
        <v>2023</v>
      </c>
      <c r="N2404" s="96">
        <v>702</v>
      </c>
      <c r="O2404" s="6">
        <f>-N2404</f>
        <v>-702</v>
      </c>
      <c r="P2404" s="6">
        <f t="shared" si="590"/>
        <v>0</v>
      </c>
      <c r="Q2404" s="7">
        <f t="shared" si="588"/>
        <v>3967242.350000002</v>
      </c>
      <c r="R2404" s="44" t="str">
        <f>VLOOKUP(F2404,'Set up'!$A$2:$E$70,5,FALSE)</f>
        <v>Trsf</v>
      </c>
      <c r="S2404" s="1" t="s">
        <v>2703</v>
      </c>
    </row>
    <row r="2405" spans="1:19" ht="15" customHeight="1" x14ac:dyDescent="0.3">
      <c r="A2405" s="4">
        <v>45269</v>
      </c>
      <c r="B2405" s="5">
        <f t="shared" si="583"/>
        <v>12</v>
      </c>
      <c r="C2405" s="5">
        <f t="shared" si="584"/>
        <v>2023</v>
      </c>
      <c r="D2405" s="88" t="s">
        <v>2188</v>
      </c>
      <c r="E2405" s="5" t="str">
        <f>VLOOKUP(F2405,'Set up'!$A$2:$C$70,2,FALSE)</f>
        <v>C00000042</v>
      </c>
      <c r="F2405" s="1" t="s">
        <v>2012</v>
      </c>
      <c r="G2405" s="99" t="s">
        <v>1061</v>
      </c>
      <c r="H2405" s="5">
        <v>4</v>
      </c>
      <c r="I2405" s="5" t="str">
        <f>VLOOKUP(F2405,'Set up'!$A$2:$C$70,3,FALSE)</f>
        <v>Cash</v>
      </c>
      <c r="J2405" s="5">
        <f>VLOOKUP(F2405,'Set up'!$A$2:$D$70,4,FALSE)</f>
        <v>0</v>
      </c>
      <c r="K2405" s="4">
        <f t="shared" si="585"/>
        <v>45269</v>
      </c>
      <c r="L2405" s="5">
        <f t="shared" si="586"/>
        <v>12</v>
      </c>
      <c r="M2405" s="5">
        <f t="shared" si="587"/>
        <v>2023</v>
      </c>
      <c r="N2405" s="96">
        <v>380</v>
      </c>
      <c r="O2405" s="6">
        <f>-N2405</f>
        <v>-380</v>
      </c>
      <c r="P2405" s="6">
        <f t="shared" si="590"/>
        <v>0</v>
      </c>
      <c r="Q2405" s="7">
        <f t="shared" si="588"/>
        <v>3967622.350000002</v>
      </c>
      <c r="R2405" s="44" t="str">
        <f>VLOOKUP(F2405,'Set up'!$A$2:$E$70,5,FALSE)</f>
        <v>Trsf</v>
      </c>
      <c r="S2405" s="1" t="s">
        <v>2701</v>
      </c>
    </row>
    <row r="2406" spans="1:19" ht="15" customHeight="1" x14ac:dyDescent="0.3">
      <c r="A2406" s="4">
        <v>45273</v>
      </c>
      <c r="B2406" s="5">
        <f t="shared" si="583"/>
        <v>12</v>
      </c>
      <c r="C2406" s="5">
        <f t="shared" si="584"/>
        <v>2023</v>
      </c>
      <c r="D2406" s="88" t="s">
        <v>2189</v>
      </c>
      <c r="E2406" s="5" t="str">
        <f>VLOOKUP(F2406,'Set up'!$A$2:$C$70,2,FALSE)</f>
        <v>C00000009</v>
      </c>
      <c r="F2406" s="1" t="s">
        <v>58</v>
      </c>
      <c r="G2406" s="99" t="s">
        <v>95</v>
      </c>
      <c r="H2406" s="5">
        <v>2</v>
      </c>
      <c r="I2406" s="5">
        <f>VLOOKUP(F2406,'Set up'!$A$2:$C$70,3,FALSE)</f>
        <v>60</v>
      </c>
      <c r="J2406" s="5">
        <f>VLOOKUP(F2406,'Set up'!$A$2:$D$70,4,FALSE)</f>
        <v>60</v>
      </c>
      <c r="K2406" s="4">
        <f t="shared" si="585"/>
        <v>45333</v>
      </c>
      <c r="L2406" s="5">
        <f t="shared" si="586"/>
        <v>2</v>
      </c>
      <c r="M2406" s="5">
        <f t="shared" si="587"/>
        <v>2024</v>
      </c>
      <c r="N2406" s="96">
        <v>3212</v>
      </c>
      <c r="O2406" s="6">
        <f t="shared" ref="O2406:O2409" si="593">-N2406</f>
        <v>-3212</v>
      </c>
      <c r="P2406" s="6">
        <f t="shared" si="590"/>
        <v>0</v>
      </c>
      <c r="Q2406" s="7">
        <f t="shared" si="588"/>
        <v>3970834.350000002</v>
      </c>
      <c r="R2406" s="44" t="str">
        <f>VLOOKUP(F2406,'Set up'!$A$2:$E$70,5,FALSE)</f>
        <v>Chq</v>
      </c>
      <c r="S2406" s="1" t="s">
        <v>2538</v>
      </c>
    </row>
    <row r="2407" spans="1:19" ht="15" customHeight="1" x14ac:dyDescent="0.3">
      <c r="A2407" s="4">
        <v>45273</v>
      </c>
      <c r="B2407" s="5">
        <f t="shared" si="583"/>
        <v>12</v>
      </c>
      <c r="C2407" s="5">
        <f t="shared" si="584"/>
        <v>2023</v>
      </c>
      <c r="D2407" s="88" t="s">
        <v>2189</v>
      </c>
      <c r="E2407" s="5" t="str">
        <f>VLOOKUP(F2407,'Set up'!$A$2:$C$70,2,FALSE)</f>
        <v>C00000009</v>
      </c>
      <c r="F2407" s="1" t="s">
        <v>58</v>
      </c>
      <c r="G2407" s="99" t="s">
        <v>286</v>
      </c>
      <c r="H2407" s="5">
        <v>1</v>
      </c>
      <c r="I2407" s="5">
        <f>VLOOKUP(F2407,'Set up'!$A$2:$C$70,3,FALSE)</f>
        <v>60</v>
      </c>
      <c r="J2407" s="5">
        <f>VLOOKUP(F2407,'Set up'!$A$2:$D$70,4,FALSE)</f>
        <v>60</v>
      </c>
      <c r="K2407" s="4">
        <f t="shared" si="585"/>
        <v>45333</v>
      </c>
      <c r="L2407" s="5">
        <f t="shared" si="586"/>
        <v>2</v>
      </c>
      <c r="M2407" s="5">
        <f t="shared" si="587"/>
        <v>2024</v>
      </c>
      <c r="N2407" s="96">
        <v>1606</v>
      </c>
      <c r="O2407" s="6">
        <f t="shared" si="593"/>
        <v>-1606</v>
      </c>
      <c r="P2407" s="6">
        <f t="shared" si="590"/>
        <v>0</v>
      </c>
      <c r="Q2407" s="7">
        <f t="shared" si="588"/>
        <v>3972440.350000002</v>
      </c>
      <c r="R2407" s="44" t="str">
        <f>VLOOKUP(F2407,'Set up'!$A$2:$E$70,5,FALSE)</f>
        <v>Chq</v>
      </c>
      <c r="S2407" s="1" t="s">
        <v>2538</v>
      </c>
    </row>
    <row r="2408" spans="1:19" ht="15" customHeight="1" x14ac:dyDescent="0.3">
      <c r="A2408" s="4">
        <v>45273</v>
      </c>
      <c r="B2408" s="5">
        <f t="shared" si="583"/>
        <v>12</v>
      </c>
      <c r="C2408" s="5">
        <f t="shared" si="584"/>
        <v>2023</v>
      </c>
      <c r="D2408" s="88" t="s">
        <v>2189</v>
      </c>
      <c r="E2408" s="5" t="str">
        <f>VLOOKUP(F2408,'Set up'!$A$2:$C$70,2,FALSE)</f>
        <v>C00000009</v>
      </c>
      <c r="F2408" s="1" t="s">
        <v>58</v>
      </c>
      <c r="G2408" s="99" t="s">
        <v>1411</v>
      </c>
      <c r="H2408" s="5">
        <v>2</v>
      </c>
      <c r="I2408" s="5">
        <f>VLOOKUP(F2408,'Set up'!$A$2:$C$70,3,FALSE)</f>
        <v>60</v>
      </c>
      <c r="J2408" s="5">
        <f>VLOOKUP(F2408,'Set up'!$A$2:$D$70,4,FALSE)</f>
        <v>60</v>
      </c>
      <c r="K2408" s="4">
        <f t="shared" si="585"/>
        <v>45333</v>
      </c>
      <c r="L2408" s="5">
        <f t="shared" si="586"/>
        <v>2</v>
      </c>
      <c r="M2408" s="5">
        <f t="shared" si="587"/>
        <v>2024</v>
      </c>
      <c r="N2408" s="96">
        <v>626.4</v>
      </c>
      <c r="O2408" s="6">
        <f t="shared" si="593"/>
        <v>-626.4</v>
      </c>
      <c r="P2408" s="6">
        <f t="shared" si="590"/>
        <v>0</v>
      </c>
      <c r="Q2408" s="7">
        <f t="shared" si="588"/>
        <v>3973066.7500000019</v>
      </c>
      <c r="R2408" s="44" t="str">
        <f>VLOOKUP(F2408,'Set up'!$A$2:$E$70,5,FALSE)</f>
        <v>Chq</v>
      </c>
      <c r="S2408" s="1" t="s">
        <v>2538</v>
      </c>
    </row>
    <row r="2409" spans="1:19" ht="15" customHeight="1" x14ac:dyDescent="0.3">
      <c r="A2409" s="4">
        <v>45273</v>
      </c>
      <c r="B2409" s="5">
        <f t="shared" si="583"/>
        <v>12</v>
      </c>
      <c r="C2409" s="5">
        <f t="shared" si="584"/>
        <v>2023</v>
      </c>
      <c r="D2409" s="88" t="s">
        <v>2189</v>
      </c>
      <c r="E2409" s="5" t="str">
        <f>VLOOKUP(F2409,'Set up'!$A$2:$C$70,2,FALSE)</f>
        <v>C00000009</v>
      </c>
      <c r="F2409" s="1" t="s">
        <v>58</v>
      </c>
      <c r="G2409" s="99" t="s">
        <v>2133</v>
      </c>
      <c r="H2409" s="5">
        <v>2</v>
      </c>
      <c r="I2409" s="5">
        <f>VLOOKUP(F2409,'Set up'!$A$2:$C$70,3,FALSE)</f>
        <v>60</v>
      </c>
      <c r="J2409" s="5">
        <f>VLOOKUP(F2409,'Set up'!$A$2:$D$70,4,FALSE)</f>
        <v>60</v>
      </c>
      <c r="K2409" s="4">
        <f t="shared" si="585"/>
        <v>45333</v>
      </c>
      <c r="L2409" s="5">
        <f t="shared" si="586"/>
        <v>2</v>
      </c>
      <c r="M2409" s="5">
        <f t="shared" si="587"/>
        <v>2024</v>
      </c>
      <c r="N2409" s="96">
        <v>626.4</v>
      </c>
      <c r="O2409" s="6">
        <f t="shared" si="593"/>
        <v>-626.4</v>
      </c>
      <c r="P2409" s="6">
        <f t="shared" si="590"/>
        <v>0</v>
      </c>
      <c r="Q2409" s="7">
        <f t="shared" si="588"/>
        <v>3973693.1500000018</v>
      </c>
      <c r="R2409" s="44" t="str">
        <f>VLOOKUP(F2409,'Set up'!$A$2:$E$70,5,FALSE)</f>
        <v>Chq</v>
      </c>
      <c r="S2409" s="1" t="s">
        <v>2538</v>
      </c>
    </row>
    <row r="2410" spans="1:19" ht="15" customHeight="1" x14ac:dyDescent="0.3">
      <c r="A2410" s="4">
        <v>45274</v>
      </c>
      <c r="B2410" s="5">
        <f t="shared" si="583"/>
        <v>12</v>
      </c>
      <c r="C2410" s="5">
        <f t="shared" si="584"/>
        <v>2023</v>
      </c>
      <c r="D2410" s="88" t="s">
        <v>2190</v>
      </c>
      <c r="E2410" s="5" t="str">
        <f>VLOOKUP(F2410,'Set up'!$A$2:$C$70,2,FALSE)</f>
        <v>C00000042</v>
      </c>
      <c r="F2410" s="1" t="s">
        <v>2012</v>
      </c>
      <c r="G2410" s="99" t="s">
        <v>1110</v>
      </c>
      <c r="H2410" s="5">
        <v>2</v>
      </c>
      <c r="I2410" s="5" t="str">
        <f>VLOOKUP(F2410,'Set up'!$A$2:$C$70,3,FALSE)</f>
        <v>Cash</v>
      </c>
      <c r="J2410" s="5">
        <f>VLOOKUP(F2410,'Set up'!$A$2:$D$70,4,FALSE)</f>
        <v>0</v>
      </c>
      <c r="K2410" s="4">
        <f t="shared" si="585"/>
        <v>45274</v>
      </c>
      <c r="L2410" s="5">
        <f t="shared" si="586"/>
        <v>12</v>
      </c>
      <c r="M2410" s="5">
        <f t="shared" si="587"/>
        <v>2023</v>
      </c>
      <c r="N2410" s="96">
        <v>125</v>
      </c>
      <c r="O2410" s="6">
        <f>-N2410</f>
        <v>-125</v>
      </c>
      <c r="P2410" s="6">
        <f t="shared" si="590"/>
        <v>0</v>
      </c>
      <c r="Q2410" s="7">
        <f t="shared" si="588"/>
        <v>3973818.1500000018</v>
      </c>
      <c r="R2410" s="44" t="str">
        <f>VLOOKUP(F2410,'Set up'!$A$2:$E$70,5,FALSE)</f>
        <v>Trsf</v>
      </c>
      <c r="S2410" s="1" t="s">
        <v>2702</v>
      </c>
    </row>
    <row r="2411" spans="1:19" ht="15" customHeight="1" x14ac:dyDescent="0.3">
      <c r="A2411" s="4">
        <v>45275</v>
      </c>
      <c r="B2411" s="5">
        <f t="shared" si="583"/>
        <v>12</v>
      </c>
      <c r="C2411" s="5">
        <f t="shared" si="584"/>
        <v>2023</v>
      </c>
      <c r="D2411" s="88" t="s">
        <v>2191</v>
      </c>
      <c r="E2411" s="5" t="str">
        <f>VLOOKUP(F2411,'Set up'!$A$2:$C$70,2,FALSE)</f>
        <v>C00000042</v>
      </c>
      <c r="F2411" s="1" t="s">
        <v>2012</v>
      </c>
      <c r="G2411" s="99" t="s">
        <v>1733</v>
      </c>
      <c r="H2411" s="5">
        <v>2</v>
      </c>
      <c r="I2411" s="5" t="str">
        <f>VLOOKUP(F2411,'Set up'!$A$2:$C$70,3,FALSE)</f>
        <v>Cash</v>
      </c>
      <c r="J2411" s="5">
        <f>VLOOKUP(F2411,'Set up'!$A$2:$D$70,4,FALSE)</f>
        <v>0</v>
      </c>
      <c r="K2411" s="4">
        <f t="shared" si="585"/>
        <v>45275</v>
      </c>
      <c r="L2411" s="5">
        <f t="shared" si="586"/>
        <v>12</v>
      </c>
      <c r="M2411" s="5">
        <f t="shared" si="587"/>
        <v>2023</v>
      </c>
      <c r="N2411" s="96">
        <v>3212</v>
      </c>
      <c r="O2411" s="6">
        <f>-2216.5-995.5</f>
        <v>-3212</v>
      </c>
      <c r="P2411" s="6">
        <f t="shared" si="590"/>
        <v>0</v>
      </c>
      <c r="Q2411" s="7">
        <f t="shared" si="588"/>
        <v>3977030.1500000018</v>
      </c>
      <c r="R2411" s="44" t="str">
        <f>VLOOKUP(F2411,'Set up'!$A$2:$E$70,5,FALSE)</f>
        <v>Trsf</v>
      </c>
      <c r="S2411" s="1" t="s">
        <v>2823</v>
      </c>
    </row>
    <row r="2412" spans="1:19" ht="15" customHeight="1" x14ac:dyDescent="0.3">
      <c r="A2412" s="4">
        <v>45275</v>
      </c>
      <c r="B2412" s="5">
        <f t="shared" si="583"/>
        <v>12</v>
      </c>
      <c r="C2412" s="5">
        <f t="shared" si="584"/>
        <v>2023</v>
      </c>
      <c r="D2412" s="88" t="s">
        <v>2191</v>
      </c>
      <c r="E2412" s="5" t="str">
        <f>VLOOKUP(F2412,'Set up'!$A$2:$C$70,2,FALSE)</f>
        <v>C00000042</v>
      </c>
      <c r="F2412" s="1" t="s">
        <v>2012</v>
      </c>
      <c r="G2412" s="99" t="s">
        <v>2095</v>
      </c>
      <c r="H2412" s="5">
        <v>7</v>
      </c>
      <c r="I2412" s="5" t="str">
        <f>VLOOKUP(F2412,'Set up'!$A$2:$C$70,3,FALSE)</f>
        <v>Cash</v>
      </c>
      <c r="J2412" s="5">
        <f>VLOOKUP(F2412,'Set up'!$A$2:$D$70,4,FALSE)</f>
        <v>0</v>
      </c>
      <c r="K2412" s="4">
        <f t="shared" si="585"/>
        <v>45275</v>
      </c>
      <c r="L2412" s="5">
        <f t="shared" si="586"/>
        <v>12</v>
      </c>
      <c r="M2412" s="5">
        <f t="shared" si="587"/>
        <v>2023</v>
      </c>
      <c r="N2412" s="96">
        <v>1502.2</v>
      </c>
      <c r="O2412" s="6">
        <f>-N2412</f>
        <v>-1502.2</v>
      </c>
      <c r="P2412" s="6">
        <f t="shared" si="590"/>
        <v>0</v>
      </c>
      <c r="Q2412" s="7">
        <f t="shared" si="588"/>
        <v>3978532.350000002</v>
      </c>
      <c r="R2412" s="44" t="str">
        <f>VLOOKUP(F2412,'Set up'!$A$2:$E$70,5,FALSE)</f>
        <v>Trsf</v>
      </c>
      <c r="S2412" s="1" t="s">
        <v>2807</v>
      </c>
    </row>
    <row r="2413" spans="1:19" ht="15" customHeight="1" x14ac:dyDescent="0.3">
      <c r="A2413" s="4">
        <v>45275</v>
      </c>
      <c r="B2413" s="5">
        <f t="shared" si="583"/>
        <v>12</v>
      </c>
      <c r="C2413" s="5">
        <f t="shared" si="584"/>
        <v>2023</v>
      </c>
      <c r="D2413" s="88" t="s">
        <v>2191</v>
      </c>
      <c r="E2413" s="5" t="str">
        <f>VLOOKUP(F2413,'Set up'!$A$2:$C$70,2,FALSE)</f>
        <v>C00000042</v>
      </c>
      <c r="F2413" s="1" t="s">
        <v>2012</v>
      </c>
      <c r="G2413" s="99" t="s">
        <v>1922</v>
      </c>
      <c r="H2413" s="5">
        <v>4</v>
      </c>
      <c r="I2413" s="5" t="str">
        <f>VLOOKUP(F2413,'Set up'!$A$2:$C$70,3,FALSE)</f>
        <v>Cash</v>
      </c>
      <c r="J2413" s="5">
        <f>VLOOKUP(F2413,'Set up'!$A$2:$D$70,4,FALSE)</f>
        <v>0</v>
      </c>
      <c r="K2413" s="4">
        <f t="shared" si="585"/>
        <v>45275</v>
      </c>
      <c r="L2413" s="5">
        <f t="shared" si="586"/>
        <v>12</v>
      </c>
      <c r="M2413" s="5">
        <f t="shared" si="587"/>
        <v>2023</v>
      </c>
      <c r="N2413" s="96">
        <v>936</v>
      </c>
      <c r="O2413" s="6">
        <f>-N2413</f>
        <v>-936</v>
      </c>
      <c r="P2413" s="6">
        <f t="shared" si="590"/>
        <v>0</v>
      </c>
      <c r="Q2413" s="7">
        <f t="shared" si="588"/>
        <v>3979468.350000002</v>
      </c>
      <c r="R2413" s="44" t="str">
        <f>VLOOKUP(F2413,'Set up'!$A$2:$E$70,5,FALSE)</f>
        <v>Trsf</v>
      </c>
      <c r="S2413" s="1" t="s">
        <v>2808</v>
      </c>
    </row>
    <row r="2414" spans="1:19" ht="15" customHeight="1" x14ac:dyDescent="0.3">
      <c r="A2414" s="4">
        <v>45275</v>
      </c>
      <c r="B2414" s="5">
        <f t="shared" si="583"/>
        <v>12</v>
      </c>
      <c r="C2414" s="5">
        <f t="shared" si="584"/>
        <v>2023</v>
      </c>
      <c r="D2414" s="88" t="s">
        <v>2191</v>
      </c>
      <c r="E2414" s="5" t="str">
        <f>VLOOKUP(F2414,'Set up'!$A$2:$C$70,2,FALSE)</f>
        <v>C00000042</v>
      </c>
      <c r="F2414" s="1" t="s">
        <v>2012</v>
      </c>
      <c r="G2414" s="99" t="s">
        <v>1073</v>
      </c>
      <c r="H2414" s="5">
        <v>1</v>
      </c>
      <c r="I2414" s="5" t="str">
        <f>VLOOKUP(F2414,'Set up'!$A$2:$C$70,3,FALSE)</f>
        <v>Cash</v>
      </c>
      <c r="J2414" s="5">
        <f>VLOOKUP(F2414,'Set up'!$A$2:$D$70,4,FALSE)</f>
        <v>0</v>
      </c>
      <c r="K2414" s="4">
        <f t="shared" si="585"/>
        <v>45275</v>
      </c>
      <c r="L2414" s="5">
        <f t="shared" si="586"/>
        <v>12</v>
      </c>
      <c r="M2414" s="5">
        <f t="shared" si="587"/>
        <v>2023</v>
      </c>
      <c r="N2414" s="96">
        <v>1000</v>
      </c>
      <c r="O2414" s="6">
        <f>-N2414</f>
        <v>-1000</v>
      </c>
      <c r="P2414" s="6">
        <f t="shared" si="590"/>
        <v>0</v>
      </c>
      <c r="Q2414" s="7">
        <f t="shared" si="588"/>
        <v>3980468.350000002</v>
      </c>
      <c r="R2414" s="44" t="str">
        <f>VLOOKUP(F2414,'Set up'!$A$2:$E$70,5,FALSE)</f>
        <v>Trsf</v>
      </c>
      <c r="S2414" s="1" t="s">
        <v>2809</v>
      </c>
    </row>
    <row r="2415" spans="1:19" ht="15" customHeight="1" x14ac:dyDescent="0.3">
      <c r="A2415" s="4">
        <v>45275</v>
      </c>
      <c r="B2415" s="5">
        <f t="shared" si="583"/>
        <v>12</v>
      </c>
      <c r="C2415" s="5">
        <f t="shared" si="584"/>
        <v>2023</v>
      </c>
      <c r="D2415" s="88" t="s">
        <v>2192</v>
      </c>
      <c r="E2415" s="5" t="str">
        <f>VLOOKUP(F2415,'Set up'!$A$2:$C$70,2,FALSE)</f>
        <v>C00000021</v>
      </c>
      <c r="F2415" s="1" t="s">
        <v>491</v>
      </c>
      <c r="G2415" s="99" t="s">
        <v>67</v>
      </c>
      <c r="H2415" s="5">
        <v>1</v>
      </c>
      <c r="I2415" s="5" t="str">
        <f>VLOOKUP(F2415,'Set up'!$A$2:$C$70,3,FALSE)</f>
        <v>Cash</v>
      </c>
      <c r="J2415" s="5">
        <f>VLOOKUP(F2415,'Set up'!$A$2:$D$70,4,FALSE)</f>
        <v>0</v>
      </c>
      <c r="K2415" s="4">
        <f t="shared" si="585"/>
        <v>45275</v>
      </c>
      <c r="L2415" s="5">
        <f t="shared" si="586"/>
        <v>12</v>
      </c>
      <c r="M2415" s="5">
        <f t="shared" si="587"/>
        <v>2023</v>
      </c>
      <c r="N2415" s="96">
        <v>1738</v>
      </c>
      <c r="O2415" s="6">
        <f t="shared" ref="O2415:O2417" si="594">-N2415</f>
        <v>-1738</v>
      </c>
      <c r="P2415" s="6">
        <f t="shared" si="590"/>
        <v>0</v>
      </c>
      <c r="Q2415" s="7">
        <f t="shared" si="588"/>
        <v>3982206.350000002</v>
      </c>
      <c r="R2415" s="44" t="str">
        <f>VLOOKUP(F2415,'Set up'!$A$2:$E$70,5,FALSE)</f>
        <v>PD Chq</v>
      </c>
      <c r="S2415" s="1" t="s">
        <v>2960</v>
      </c>
    </row>
    <row r="2416" spans="1:19" ht="15" customHeight="1" x14ac:dyDescent="0.3">
      <c r="A2416" s="4">
        <v>45275</v>
      </c>
      <c r="B2416" s="5">
        <f t="shared" si="583"/>
        <v>12</v>
      </c>
      <c r="C2416" s="5">
        <f t="shared" si="584"/>
        <v>2023</v>
      </c>
      <c r="D2416" s="88" t="s">
        <v>2192</v>
      </c>
      <c r="E2416" s="5" t="str">
        <f>VLOOKUP(F2416,'Set up'!$A$2:$C$70,2,FALSE)</f>
        <v>C00000021</v>
      </c>
      <c r="F2416" s="1" t="s">
        <v>491</v>
      </c>
      <c r="G2416" s="99" t="s">
        <v>2129</v>
      </c>
      <c r="H2416" s="5">
        <v>3</v>
      </c>
      <c r="I2416" s="5" t="str">
        <f>VLOOKUP(F2416,'Set up'!$A$2:$C$70,3,FALSE)</f>
        <v>Cash</v>
      </c>
      <c r="J2416" s="5">
        <f>VLOOKUP(F2416,'Set up'!$A$2:$D$70,4,FALSE)</f>
        <v>0</v>
      </c>
      <c r="K2416" s="4">
        <f t="shared" si="585"/>
        <v>45275</v>
      </c>
      <c r="L2416" s="5">
        <f t="shared" si="586"/>
        <v>12</v>
      </c>
      <c r="M2416" s="5">
        <f t="shared" si="587"/>
        <v>2023</v>
      </c>
      <c r="N2416" s="96">
        <v>832.5</v>
      </c>
      <c r="O2416" s="6">
        <f t="shared" si="594"/>
        <v>-832.5</v>
      </c>
      <c r="P2416" s="6">
        <f t="shared" si="590"/>
        <v>0</v>
      </c>
      <c r="Q2416" s="7">
        <f t="shared" si="588"/>
        <v>3983038.850000002</v>
      </c>
      <c r="R2416" s="44" t="str">
        <f>VLOOKUP(F2416,'Set up'!$A$2:$E$70,5,FALSE)</f>
        <v>PD Chq</v>
      </c>
      <c r="S2416" s="1" t="s">
        <v>2960</v>
      </c>
    </row>
    <row r="2417" spans="1:19" ht="15" customHeight="1" x14ac:dyDescent="0.3">
      <c r="A2417" s="4">
        <v>45275</v>
      </c>
      <c r="B2417" s="5">
        <f t="shared" si="583"/>
        <v>12</v>
      </c>
      <c r="C2417" s="5">
        <f t="shared" si="584"/>
        <v>2023</v>
      </c>
      <c r="D2417" s="88" t="s">
        <v>2192</v>
      </c>
      <c r="E2417" s="5" t="str">
        <f>VLOOKUP(F2417,'Set up'!$A$2:$C$70,2,FALSE)</f>
        <v>C00000021</v>
      </c>
      <c r="F2417" s="1" t="s">
        <v>491</v>
      </c>
      <c r="G2417" s="99" t="s">
        <v>1061</v>
      </c>
      <c r="H2417" s="5">
        <v>1</v>
      </c>
      <c r="I2417" s="5" t="str">
        <f>VLOOKUP(F2417,'Set up'!$A$2:$C$70,3,FALSE)</f>
        <v>Cash</v>
      </c>
      <c r="J2417" s="5">
        <f>VLOOKUP(F2417,'Set up'!$A$2:$D$70,4,FALSE)</f>
        <v>0</v>
      </c>
      <c r="K2417" s="4">
        <f t="shared" si="585"/>
        <v>45275</v>
      </c>
      <c r="L2417" s="5">
        <f t="shared" si="586"/>
        <v>12</v>
      </c>
      <c r="M2417" s="5">
        <f t="shared" si="587"/>
        <v>2023</v>
      </c>
      <c r="N2417" s="96">
        <v>95</v>
      </c>
      <c r="O2417" s="6">
        <f t="shared" si="594"/>
        <v>-95</v>
      </c>
      <c r="P2417" s="6">
        <f t="shared" si="590"/>
        <v>0</v>
      </c>
      <c r="Q2417" s="7">
        <f t="shared" si="588"/>
        <v>3983133.850000002</v>
      </c>
      <c r="R2417" s="44" t="str">
        <f>VLOOKUP(F2417,'Set up'!$A$2:$E$70,5,FALSE)</f>
        <v>PD Chq</v>
      </c>
      <c r="S2417" s="1" t="s">
        <v>2960</v>
      </c>
    </row>
    <row r="2418" spans="1:19" ht="15" customHeight="1" x14ac:dyDescent="0.3">
      <c r="A2418" s="4">
        <v>45275</v>
      </c>
      <c r="B2418" s="5">
        <f t="shared" si="583"/>
        <v>12</v>
      </c>
      <c r="C2418" s="5">
        <f t="shared" si="584"/>
        <v>2023</v>
      </c>
      <c r="D2418" s="88" t="s">
        <v>2193</v>
      </c>
      <c r="E2418" s="5" t="str">
        <f>VLOOKUP(F2418,'Set up'!$A$2:$C$70,2,FALSE)</f>
        <v>C00000043</v>
      </c>
      <c r="F2418" s="1" t="s">
        <v>2134</v>
      </c>
      <c r="G2418" s="99" t="s">
        <v>1738</v>
      </c>
      <c r="H2418" s="5">
        <v>1</v>
      </c>
      <c r="I2418" s="5" t="str">
        <f>VLOOKUP(F2418,'Set up'!$A$2:$C$70,3,FALSE)</f>
        <v>Cash</v>
      </c>
      <c r="J2418" s="5">
        <f>VLOOKUP(F2418,'Set up'!$A$2:$D$70,4,FALSE)</f>
        <v>0</v>
      </c>
      <c r="K2418" s="4">
        <f t="shared" si="585"/>
        <v>45275</v>
      </c>
      <c r="L2418" s="5">
        <f t="shared" si="586"/>
        <v>12</v>
      </c>
      <c r="M2418" s="5">
        <f t="shared" si="587"/>
        <v>2023</v>
      </c>
      <c r="N2418" s="96">
        <v>1760</v>
      </c>
      <c r="O2418" s="6">
        <f t="shared" ref="O2418:O2429" si="595">-N2418</f>
        <v>-1760</v>
      </c>
      <c r="P2418" s="6">
        <f t="shared" si="590"/>
        <v>0</v>
      </c>
      <c r="Q2418" s="7">
        <f t="shared" si="588"/>
        <v>3984893.850000002</v>
      </c>
      <c r="R2418" s="44" t="str">
        <f>VLOOKUP(F2418,'Set up'!$A$2:$E$70,5,FALSE)</f>
        <v>Trsf</v>
      </c>
      <c r="S2418" s="1" t="s">
        <v>2262</v>
      </c>
    </row>
    <row r="2419" spans="1:19" ht="15" customHeight="1" x14ac:dyDescent="0.3">
      <c r="A2419" s="4">
        <v>45275</v>
      </c>
      <c r="B2419" s="5">
        <f t="shared" si="583"/>
        <v>12</v>
      </c>
      <c r="C2419" s="5">
        <f t="shared" si="584"/>
        <v>2023</v>
      </c>
      <c r="D2419" s="88" t="s">
        <v>2193</v>
      </c>
      <c r="E2419" s="5" t="str">
        <f>VLOOKUP(F2419,'Set up'!$A$2:$C$70,2,FALSE)</f>
        <v>C00000043</v>
      </c>
      <c r="F2419" s="1" t="s">
        <v>2134</v>
      </c>
      <c r="G2419" s="99" t="s">
        <v>1390</v>
      </c>
      <c r="H2419" s="5">
        <v>1</v>
      </c>
      <c r="I2419" s="5" t="str">
        <f>VLOOKUP(F2419,'Set up'!$A$2:$C$70,3,FALSE)</f>
        <v>Cash</v>
      </c>
      <c r="J2419" s="5">
        <f>VLOOKUP(F2419,'Set up'!$A$2:$D$70,4,FALSE)</f>
        <v>0</v>
      </c>
      <c r="K2419" s="4">
        <f t="shared" si="585"/>
        <v>45275</v>
      </c>
      <c r="L2419" s="5">
        <f t="shared" si="586"/>
        <v>12</v>
      </c>
      <c r="M2419" s="5">
        <f t="shared" si="587"/>
        <v>2023</v>
      </c>
      <c r="N2419" s="96">
        <v>432</v>
      </c>
      <c r="O2419" s="6">
        <f t="shared" si="595"/>
        <v>-432</v>
      </c>
      <c r="P2419" s="6">
        <f t="shared" si="590"/>
        <v>0</v>
      </c>
      <c r="Q2419" s="7">
        <f t="shared" si="588"/>
        <v>3985325.850000002</v>
      </c>
      <c r="R2419" s="44" t="str">
        <f>VLOOKUP(F2419,'Set up'!$A$2:$E$70,5,FALSE)</f>
        <v>Trsf</v>
      </c>
      <c r="S2419" s="1" t="s">
        <v>2262</v>
      </c>
    </row>
    <row r="2420" spans="1:19" ht="15" customHeight="1" x14ac:dyDescent="0.3">
      <c r="A2420" s="4">
        <v>45275</v>
      </c>
      <c r="B2420" s="5">
        <f t="shared" si="583"/>
        <v>12</v>
      </c>
      <c r="C2420" s="5">
        <f t="shared" si="584"/>
        <v>2023</v>
      </c>
      <c r="D2420" s="88" t="s">
        <v>2193</v>
      </c>
      <c r="E2420" s="5" t="str">
        <f>VLOOKUP(F2420,'Set up'!$A$2:$C$70,2,FALSE)</f>
        <v>C00000043</v>
      </c>
      <c r="F2420" s="1" t="s">
        <v>2134</v>
      </c>
      <c r="G2420" s="99" t="s">
        <v>1469</v>
      </c>
      <c r="H2420" s="5">
        <v>2</v>
      </c>
      <c r="I2420" s="5" t="str">
        <f>VLOOKUP(F2420,'Set up'!$A$2:$C$70,3,FALSE)</f>
        <v>Cash</v>
      </c>
      <c r="J2420" s="5">
        <f>VLOOKUP(F2420,'Set up'!$A$2:$D$70,4,FALSE)</f>
        <v>0</v>
      </c>
      <c r="K2420" s="4">
        <f t="shared" si="585"/>
        <v>45275</v>
      </c>
      <c r="L2420" s="5">
        <f t="shared" si="586"/>
        <v>12</v>
      </c>
      <c r="M2420" s="5">
        <f t="shared" si="587"/>
        <v>2023</v>
      </c>
      <c r="N2420" s="96">
        <v>840</v>
      </c>
      <c r="O2420" s="6">
        <f t="shared" si="595"/>
        <v>-840</v>
      </c>
      <c r="P2420" s="6">
        <f t="shared" si="590"/>
        <v>0</v>
      </c>
      <c r="Q2420" s="7">
        <f t="shared" si="588"/>
        <v>3986165.850000002</v>
      </c>
      <c r="R2420" s="44" t="str">
        <f>VLOOKUP(F2420,'Set up'!$A$2:$E$70,5,FALSE)</f>
        <v>Trsf</v>
      </c>
      <c r="S2420" s="1" t="s">
        <v>2262</v>
      </c>
    </row>
    <row r="2421" spans="1:19" ht="15" customHeight="1" x14ac:dyDescent="0.3">
      <c r="A2421" s="4">
        <v>45275</v>
      </c>
      <c r="B2421" s="5">
        <f t="shared" si="583"/>
        <v>12</v>
      </c>
      <c r="C2421" s="5">
        <f t="shared" si="584"/>
        <v>2023</v>
      </c>
      <c r="D2421" s="88" t="s">
        <v>2193</v>
      </c>
      <c r="E2421" s="5" t="str">
        <f>VLOOKUP(F2421,'Set up'!$A$2:$C$70,2,FALSE)</f>
        <v>C00000043</v>
      </c>
      <c r="F2421" s="1" t="s">
        <v>2134</v>
      </c>
      <c r="G2421" s="99" t="s">
        <v>2135</v>
      </c>
      <c r="H2421" s="5">
        <v>5</v>
      </c>
      <c r="I2421" s="5" t="str">
        <f>VLOOKUP(F2421,'Set up'!$A$2:$C$70,3,FALSE)</f>
        <v>Cash</v>
      </c>
      <c r="J2421" s="5">
        <f>VLOOKUP(F2421,'Set up'!$A$2:$D$70,4,FALSE)</f>
        <v>0</v>
      </c>
      <c r="K2421" s="4">
        <f t="shared" si="585"/>
        <v>45275</v>
      </c>
      <c r="L2421" s="5">
        <f t="shared" si="586"/>
        <v>12</v>
      </c>
      <c r="M2421" s="5">
        <f t="shared" si="587"/>
        <v>2023</v>
      </c>
      <c r="N2421" s="96">
        <v>325</v>
      </c>
      <c r="O2421" s="6">
        <f t="shared" si="595"/>
        <v>-325</v>
      </c>
      <c r="P2421" s="6">
        <f t="shared" si="590"/>
        <v>0</v>
      </c>
      <c r="Q2421" s="7">
        <f t="shared" si="588"/>
        <v>3986490.850000002</v>
      </c>
      <c r="R2421" s="44" t="str">
        <f>VLOOKUP(F2421,'Set up'!$A$2:$E$70,5,FALSE)</f>
        <v>Trsf</v>
      </c>
      <c r="S2421" s="1" t="s">
        <v>2262</v>
      </c>
    </row>
    <row r="2422" spans="1:19" ht="15" customHeight="1" x14ac:dyDescent="0.3">
      <c r="A2422" s="4">
        <v>45275</v>
      </c>
      <c r="B2422" s="5">
        <f t="shared" si="583"/>
        <v>12</v>
      </c>
      <c r="C2422" s="5">
        <f t="shared" si="584"/>
        <v>2023</v>
      </c>
      <c r="D2422" s="88" t="s">
        <v>2193</v>
      </c>
      <c r="E2422" s="5" t="str">
        <f>VLOOKUP(F2422,'Set up'!$A$2:$C$70,2,FALSE)</f>
        <v>C00000043</v>
      </c>
      <c r="F2422" s="1" t="s">
        <v>2134</v>
      </c>
      <c r="G2422" s="99" t="s">
        <v>2136</v>
      </c>
      <c r="H2422" s="5">
        <v>1</v>
      </c>
      <c r="I2422" s="5" t="str">
        <f>VLOOKUP(F2422,'Set up'!$A$2:$C$70,3,FALSE)</f>
        <v>Cash</v>
      </c>
      <c r="J2422" s="5">
        <f>VLOOKUP(F2422,'Set up'!$A$2:$D$70,4,FALSE)</f>
        <v>0</v>
      </c>
      <c r="K2422" s="4">
        <f t="shared" si="585"/>
        <v>45275</v>
      </c>
      <c r="L2422" s="5">
        <f t="shared" si="586"/>
        <v>12</v>
      </c>
      <c r="M2422" s="5">
        <f t="shared" si="587"/>
        <v>2023</v>
      </c>
      <c r="N2422" s="96">
        <v>225</v>
      </c>
      <c r="O2422" s="6">
        <f t="shared" si="595"/>
        <v>-225</v>
      </c>
      <c r="P2422" s="6">
        <f t="shared" si="590"/>
        <v>0</v>
      </c>
      <c r="Q2422" s="7">
        <f t="shared" si="588"/>
        <v>3986715.850000002</v>
      </c>
      <c r="R2422" s="44" t="str">
        <f>VLOOKUP(F2422,'Set up'!$A$2:$E$70,5,FALSE)</f>
        <v>Trsf</v>
      </c>
      <c r="S2422" s="1" t="s">
        <v>2262</v>
      </c>
    </row>
    <row r="2423" spans="1:19" ht="15" customHeight="1" x14ac:dyDescent="0.3">
      <c r="A2423" s="4">
        <v>45275</v>
      </c>
      <c r="B2423" s="5">
        <f t="shared" si="583"/>
        <v>12</v>
      </c>
      <c r="C2423" s="5">
        <f t="shared" si="584"/>
        <v>2023</v>
      </c>
      <c r="D2423" s="88" t="s">
        <v>2193</v>
      </c>
      <c r="E2423" s="5" t="str">
        <f>VLOOKUP(F2423,'Set up'!$A$2:$C$70,2,FALSE)</f>
        <v>C00000043</v>
      </c>
      <c r="F2423" s="1" t="s">
        <v>2134</v>
      </c>
      <c r="G2423" s="99" t="s">
        <v>2137</v>
      </c>
      <c r="H2423" s="5">
        <v>1</v>
      </c>
      <c r="I2423" s="5" t="str">
        <f>VLOOKUP(F2423,'Set up'!$A$2:$C$70,3,FALSE)</f>
        <v>Cash</v>
      </c>
      <c r="J2423" s="5">
        <f>VLOOKUP(F2423,'Set up'!$A$2:$D$70,4,FALSE)</f>
        <v>0</v>
      </c>
      <c r="K2423" s="4">
        <f t="shared" si="585"/>
        <v>45275</v>
      </c>
      <c r="L2423" s="5">
        <f t="shared" si="586"/>
        <v>12</v>
      </c>
      <c r="M2423" s="5">
        <f t="shared" si="587"/>
        <v>2023</v>
      </c>
      <c r="N2423" s="96">
        <v>170</v>
      </c>
      <c r="O2423" s="6">
        <f t="shared" si="595"/>
        <v>-170</v>
      </c>
      <c r="P2423" s="6">
        <f t="shared" si="590"/>
        <v>0</v>
      </c>
      <c r="Q2423" s="7">
        <f t="shared" si="588"/>
        <v>3986885.850000002</v>
      </c>
      <c r="R2423" s="44" t="str">
        <f>VLOOKUP(F2423,'Set up'!$A$2:$E$70,5,FALSE)</f>
        <v>Trsf</v>
      </c>
      <c r="S2423" s="1" t="s">
        <v>2262</v>
      </c>
    </row>
    <row r="2424" spans="1:19" ht="15" customHeight="1" x14ac:dyDescent="0.3">
      <c r="A2424" s="4">
        <v>45275</v>
      </c>
      <c r="B2424" s="5">
        <f t="shared" si="583"/>
        <v>12</v>
      </c>
      <c r="C2424" s="5">
        <f t="shared" si="584"/>
        <v>2023</v>
      </c>
      <c r="D2424" s="88" t="s">
        <v>2193</v>
      </c>
      <c r="E2424" s="5" t="str">
        <f>VLOOKUP(F2424,'Set up'!$A$2:$C$70,2,FALSE)</f>
        <v>C00000043</v>
      </c>
      <c r="F2424" s="1" t="s">
        <v>2134</v>
      </c>
      <c r="G2424" s="99" t="s">
        <v>2096</v>
      </c>
      <c r="H2424" s="5">
        <v>1</v>
      </c>
      <c r="I2424" s="5" t="str">
        <f>VLOOKUP(F2424,'Set up'!$A$2:$C$70,3,FALSE)</f>
        <v>Cash</v>
      </c>
      <c r="J2424" s="5">
        <f>VLOOKUP(F2424,'Set up'!$A$2:$D$70,4,FALSE)</f>
        <v>0</v>
      </c>
      <c r="K2424" s="4">
        <f t="shared" si="585"/>
        <v>45275</v>
      </c>
      <c r="L2424" s="5">
        <f t="shared" si="586"/>
        <v>12</v>
      </c>
      <c r="M2424" s="5">
        <f t="shared" si="587"/>
        <v>2023</v>
      </c>
      <c r="N2424" s="96">
        <v>283.8</v>
      </c>
      <c r="O2424" s="6">
        <f t="shared" si="595"/>
        <v>-283.8</v>
      </c>
      <c r="P2424" s="6">
        <f t="shared" si="590"/>
        <v>0</v>
      </c>
      <c r="Q2424" s="7">
        <f t="shared" si="588"/>
        <v>3987169.6500000018</v>
      </c>
      <c r="R2424" s="44" t="str">
        <f>VLOOKUP(F2424,'Set up'!$A$2:$E$70,5,FALSE)</f>
        <v>Trsf</v>
      </c>
      <c r="S2424" s="1" t="s">
        <v>2262</v>
      </c>
    </row>
    <row r="2425" spans="1:19" ht="15" customHeight="1" x14ac:dyDescent="0.3">
      <c r="A2425" s="4">
        <v>45275</v>
      </c>
      <c r="B2425" s="5">
        <f t="shared" si="583"/>
        <v>12</v>
      </c>
      <c r="C2425" s="5">
        <f t="shared" si="584"/>
        <v>2023</v>
      </c>
      <c r="D2425" s="88" t="s">
        <v>2193</v>
      </c>
      <c r="E2425" s="5" t="str">
        <f>VLOOKUP(F2425,'Set up'!$A$2:$C$70,2,FALSE)</f>
        <v>C00000043</v>
      </c>
      <c r="F2425" s="1" t="s">
        <v>2134</v>
      </c>
      <c r="G2425" s="99" t="s">
        <v>1660</v>
      </c>
      <c r="H2425" s="5">
        <v>1</v>
      </c>
      <c r="I2425" s="5" t="str">
        <f>VLOOKUP(F2425,'Set up'!$A$2:$C$70,3,FALSE)</f>
        <v>Cash</v>
      </c>
      <c r="J2425" s="5">
        <f>VLOOKUP(F2425,'Set up'!$A$2:$D$70,4,FALSE)</f>
        <v>0</v>
      </c>
      <c r="K2425" s="4">
        <f t="shared" si="585"/>
        <v>45275</v>
      </c>
      <c r="L2425" s="5">
        <f t="shared" si="586"/>
        <v>12</v>
      </c>
      <c r="M2425" s="5">
        <f t="shared" si="587"/>
        <v>2023</v>
      </c>
      <c r="N2425" s="96">
        <v>175</v>
      </c>
      <c r="O2425" s="6">
        <f t="shared" si="595"/>
        <v>-175</v>
      </c>
      <c r="P2425" s="6">
        <f t="shared" si="590"/>
        <v>0</v>
      </c>
      <c r="Q2425" s="7">
        <f t="shared" si="588"/>
        <v>3987344.6500000018</v>
      </c>
      <c r="R2425" s="44" t="str">
        <f>VLOOKUP(F2425,'Set up'!$A$2:$E$70,5,FALSE)</f>
        <v>Trsf</v>
      </c>
      <c r="S2425" s="1" t="s">
        <v>2262</v>
      </c>
    </row>
    <row r="2426" spans="1:19" ht="15" customHeight="1" x14ac:dyDescent="0.3">
      <c r="A2426" s="4">
        <v>45275</v>
      </c>
      <c r="B2426" s="5">
        <f t="shared" si="583"/>
        <v>12</v>
      </c>
      <c r="C2426" s="5">
        <f t="shared" si="584"/>
        <v>2023</v>
      </c>
      <c r="D2426" s="88" t="s">
        <v>2193</v>
      </c>
      <c r="E2426" s="5" t="str">
        <f>VLOOKUP(F2426,'Set up'!$A$2:$C$70,2,FALSE)</f>
        <v>C00000043</v>
      </c>
      <c r="F2426" s="1" t="s">
        <v>2134</v>
      </c>
      <c r="G2426" s="99" t="s">
        <v>2138</v>
      </c>
      <c r="H2426" s="5">
        <v>1</v>
      </c>
      <c r="I2426" s="5" t="str">
        <f>VLOOKUP(F2426,'Set up'!$A$2:$C$70,3,FALSE)</f>
        <v>Cash</v>
      </c>
      <c r="J2426" s="5">
        <f>VLOOKUP(F2426,'Set up'!$A$2:$D$70,4,FALSE)</f>
        <v>0</v>
      </c>
      <c r="K2426" s="4">
        <f t="shared" si="585"/>
        <v>45275</v>
      </c>
      <c r="L2426" s="5">
        <f t="shared" si="586"/>
        <v>12</v>
      </c>
      <c r="M2426" s="5">
        <f t="shared" si="587"/>
        <v>2023</v>
      </c>
      <c r="N2426" s="96">
        <v>625</v>
      </c>
      <c r="O2426" s="6">
        <f t="shared" si="595"/>
        <v>-625</v>
      </c>
      <c r="P2426" s="6">
        <f t="shared" si="590"/>
        <v>0</v>
      </c>
      <c r="Q2426" s="7">
        <f t="shared" si="588"/>
        <v>3987969.6500000018</v>
      </c>
      <c r="R2426" s="44" t="str">
        <f>VLOOKUP(F2426,'Set up'!$A$2:$E$70,5,FALSE)</f>
        <v>Trsf</v>
      </c>
      <c r="S2426" s="1" t="s">
        <v>2262</v>
      </c>
    </row>
    <row r="2427" spans="1:19" ht="15" customHeight="1" x14ac:dyDescent="0.3">
      <c r="A2427" s="4">
        <v>45275</v>
      </c>
      <c r="B2427" s="5">
        <f t="shared" si="583"/>
        <v>12</v>
      </c>
      <c r="C2427" s="5">
        <f t="shared" si="584"/>
        <v>2023</v>
      </c>
      <c r="D2427" s="88" t="s">
        <v>2193</v>
      </c>
      <c r="E2427" s="5" t="str">
        <f>VLOOKUP(F2427,'Set up'!$A$2:$C$70,2,FALSE)</f>
        <v>C00000043</v>
      </c>
      <c r="F2427" s="1" t="s">
        <v>2134</v>
      </c>
      <c r="G2427" s="99" t="s">
        <v>2138</v>
      </c>
      <c r="H2427" s="5">
        <v>0</v>
      </c>
      <c r="I2427" s="5" t="str">
        <f>VLOOKUP(F2427,'Set up'!$A$2:$C$70,3,FALSE)</f>
        <v>Cash</v>
      </c>
      <c r="J2427" s="5">
        <f>VLOOKUP(F2427,'Set up'!$A$2:$D$70,4,FALSE)</f>
        <v>0</v>
      </c>
      <c r="K2427" s="4">
        <f t="shared" si="585"/>
        <v>45275</v>
      </c>
      <c r="L2427" s="5">
        <f t="shared" si="586"/>
        <v>12</v>
      </c>
      <c r="M2427" s="5">
        <f t="shared" si="587"/>
        <v>2023</v>
      </c>
      <c r="N2427" s="96">
        <v>525</v>
      </c>
      <c r="O2427" s="6">
        <f>-N2427</f>
        <v>-525</v>
      </c>
      <c r="P2427" s="6">
        <f>SUM(N2427+O2427)</f>
        <v>0</v>
      </c>
      <c r="Q2427" s="7">
        <f t="shared" si="588"/>
        <v>3988494.6500000018</v>
      </c>
      <c r="R2427" s="44" t="str">
        <f>VLOOKUP(F2427,'Set up'!$A$2:$E$70,5,FALSE)</f>
        <v>Trsf</v>
      </c>
      <c r="S2427" s="1" t="s">
        <v>2262</v>
      </c>
    </row>
    <row r="2428" spans="1:19" ht="15" customHeight="1" x14ac:dyDescent="0.3">
      <c r="A2428" s="4">
        <v>45275</v>
      </c>
      <c r="B2428" s="5">
        <f t="shared" si="583"/>
        <v>12</v>
      </c>
      <c r="C2428" s="5">
        <f t="shared" si="584"/>
        <v>2023</v>
      </c>
      <c r="D2428" s="88" t="s">
        <v>2263</v>
      </c>
      <c r="E2428" s="5" t="str">
        <f>VLOOKUP(F2428,'Set up'!$A$2:$C$70,2,FALSE)</f>
        <v>C00000043</v>
      </c>
      <c r="F2428" s="1" t="s">
        <v>2134</v>
      </c>
      <c r="G2428" s="99" t="s">
        <v>2264</v>
      </c>
      <c r="H2428" s="5">
        <v>0</v>
      </c>
      <c r="I2428" s="5" t="str">
        <f>VLOOKUP(F2428,'Set up'!$A$2:$C$70,3,FALSE)</f>
        <v>Cash</v>
      </c>
      <c r="J2428" s="5">
        <f>VLOOKUP(F2428,'Set up'!$A$2:$D$70,4,FALSE)</f>
        <v>0</v>
      </c>
      <c r="K2428" s="4">
        <f t="shared" si="585"/>
        <v>45275</v>
      </c>
      <c r="L2428" s="5">
        <f t="shared" si="586"/>
        <v>12</v>
      </c>
      <c r="M2428" s="5">
        <f t="shared" si="587"/>
        <v>2023</v>
      </c>
      <c r="N2428" s="96">
        <v>-525</v>
      </c>
      <c r="O2428" s="6">
        <f>-N2428</f>
        <v>525</v>
      </c>
      <c r="P2428" s="6">
        <f>SUM(N2428+O2428)</f>
        <v>0</v>
      </c>
      <c r="Q2428" s="7">
        <f t="shared" si="588"/>
        <v>3987969.6500000018</v>
      </c>
      <c r="R2428" s="44" t="str">
        <f>VLOOKUP(F2428,'Set up'!$A$2:$E$70,5,FALSE)</f>
        <v>Trsf</v>
      </c>
      <c r="S2428" s="1" t="s">
        <v>2266</v>
      </c>
    </row>
    <row r="2429" spans="1:19" ht="15" customHeight="1" x14ac:dyDescent="0.3">
      <c r="A2429" s="4">
        <v>45275</v>
      </c>
      <c r="B2429" s="5">
        <f t="shared" si="583"/>
        <v>12</v>
      </c>
      <c r="C2429" s="5">
        <f t="shared" si="584"/>
        <v>2023</v>
      </c>
      <c r="D2429" s="88" t="s">
        <v>2193</v>
      </c>
      <c r="E2429" s="5" t="str">
        <f>VLOOKUP(F2429,'Set up'!$A$2:$C$70,2,FALSE)</f>
        <v>C00000043</v>
      </c>
      <c r="F2429" s="1" t="s">
        <v>2134</v>
      </c>
      <c r="G2429" s="99" t="s">
        <v>2139</v>
      </c>
      <c r="H2429" s="5">
        <v>20</v>
      </c>
      <c r="I2429" s="5" t="str">
        <f>VLOOKUP(F2429,'Set up'!$A$2:$C$70,3,FALSE)</f>
        <v>Cash</v>
      </c>
      <c r="J2429" s="5">
        <f>VLOOKUP(F2429,'Set up'!$A$2:$D$70,4,FALSE)</f>
        <v>0</v>
      </c>
      <c r="K2429" s="4">
        <f t="shared" si="585"/>
        <v>45275</v>
      </c>
      <c r="L2429" s="5">
        <f t="shared" si="586"/>
        <v>12</v>
      </c>
      <c r="M2429" s="5">
        <f t="shared" si="587"/>
        <v>2023</v>
      </c>
      <c r="N2429" s="96">
        <v>90</v>
      </c>
      <c r="O2429" s="6">
        <f t="shared" si="595"/>
        <v>-90</v>
      </c>
      <c r="P2429" s="6">
        <f t="shared" si="590"/>
        <v>0</v>
      </c>
      <c r="Q2429" s="7">
        <f t="shared" si="588"/>
        <v>3988059.6500000018</v>
      </c>
      <c r="R2429" s="44" t="str">
        <f>VLOOKUP(F2429,'Set up'!$A$2:$E$70,5,FALSE)</f>
        <v>Trsf</v>
      </c>
      <c r="S2429" s="1" t="s">
        <v>2262</v>
      </c>
    </row>
    <row r="2430" spans="1:19" ht="15" customHeight="1" x14ac:dyDescent="0.3">
      <c r="A2430" s="4">
        <v>45276</v>
      </c>
      <c r="B2430" s="5">
        <f t="shared" si="583"/>
        <v>12</v>
      </c>
      <c r="C2430" s="5">
        <f t="shared" si="584"/>
        <v>2023</v>
      </c>
      <c r="D2430" s="88" t="s">
        <v>2194</v>
      </c>
      <c r="E2430" s="5" t="str">
        <f>VLOOKUP(F2430,'Set up'!$A$2:$C$70,2,FALSE)</f>
        <v>C00000014</v>
      </c>
      <c r="F2430" s="1" t="s">
        <v>262</v>
      </c>
      <c r="G2430" s="99" t="s">
        <v>303</v>
      </c>
      <c r="H2430" s="5">
        <v>1</v>
      </c>
      <c r="I2430" s="5" t="str">
        <f>VLOOKUP(F2430,'Set up'!$A$2:$C$70,3,FALSE)</f>
        <v>Cash</v>
      </c>
      <c r="J2430" s="5">
        <f>VLOOKUP(F2430,'Set up'!$A$2:$D$70,4,FALSE)</f>
        <v>0</v>
      </c>
      <c r="K2430" s="4">
        <f t="shared" si="585"/>
        <v>45276</v>
      </c>
      <c r="L2430" s="5">
        <f t="shared" si="586"/>
        <v>12</v>
      </c>
      <c r="M2430" s="5">
        <f t="shared" si="587"/>
        <v>2023</v>
      </c>
      <c r="N2430" s="96">
        <v>1606</v>
      </c>
      <c r="O2430" s="6">
        <f t="shared" ref="O2430:O2440" si="596">-N2430</f>
        <v>-1606</v>
      </c>
      <c r="P2430" s="6">
        <f t="shared" si="590"/>
        <v>0</v>
      </c>
      <c r="Q2430" s="7">
        <f t="shared" si="588"/>
        <v>3989665.6500000018</v>
      </c>
      <c r="R2430" s="44" t="str">
        <f>VLOOKUP(F2430,'Set up'!$A$2:$E$70,5,FALSE)</f>
        <v>Cash</v>
      </c>
      <c r="S2430" s="1" t="s">
        <v>2217</v>
      </c>
    </row>
    <row r="2431" spans="1:19" ht="15" customHeight="1" x14ac:dyDescent="0.3">
      <c r="A2431" s="4">
        <v>45276</v>
      </c>
      <c r="B2431" s="5">
        <f t="shared" si="583"/>
        <v>12</v>
      </c>
      <c r="C2431" s="5">
        <f t="shared" si="584"/>
        <v>2023</v>
      </c>
      <c r="D2431" s="88" t="s">
        <v>2194</v>
      </c>
      <c r="E2431" s="5" t="str">
        <f>VLOOKUP(F2431,'Set up'!$A$2:$C$70,2,FALSE)</f>
        <v>C00000014</v>
      </c>
      <c r="F2431" s="1" t="s">
        <v>262</v>
      </c>
      <c r="G2431" s="99" t="s">
        <v>2097</v>
      </c>
      <c r="H2431" s="5">
        <v>1</v>
      </c>
      <c r="I2431" s="5" t="str">
        <f>VLOOKUP(F2431,'Set up'!$A$2:$C$70,3,FALSE)</f>
        <v>Cash</v>
      </c>
      <c r="J2431" s="5">
        <f>VLOOKUP(F2431,'Set up'!$A$2:$D$70,4,FALSE)</f>
        <v>0</v>
      </c>
      <c r="K2431" s="4">
        <f t="shared" si="585"/>
        <v>45276</v>
      </c>
      <c r="L2431" s="5">
        <f t="shared" si="586"/>
        <v>12</v>
      </c>
      <c r="M2431" s="5">
        <f t="shared" si="587"/>
        <v>2023</v>
      </c>
      <c r="N2431" s="96">
        <v>1597.5</v>
      </c>
      <c r="O2431" s="6">
        <f t="shared" si="596"/>
        <v>-1597.5</v>
      </c>
      <c r="P2431" s="6">
        <f t="shared" si="590"/>
        <v>0</v>
      </c>
      <c r="Q2431" s="7">
        <f t="shared" si="588"/>
        <v>3991263.1500000018</v>
      </c>
      <c r="R2431" s="44" t="str">
        <f>VLOOKUP(F2431,'Set up'!$A$2:$E$70,5,FALSE)</f>
        <v>Cash</v>
      </c>
      <c r="S2431" s="1" t="s">
        <v>2217</v>
      </c>
    </row>
    <row r="2432" spans="1:19" ht="15" customHeight="1" x14ac:dyDescent="0.3">
      <c r="A2432" s="4">
        <v>45276</v>
      </c>
      <c r="B2432" s="5">
        <f t="shared" si="583"/>
        <v>12</v>
      </c>
      <c r="C2432" s="5">
        <f t="shared" si="584"/>
        <v>2023</v>
      </c>
      <c r="D2432" s="88" t="s">
        <v>2194</v>
      </c>
      <c r="E2432" s="5" t="str">
        <f>VLOOKUP(F2432,'Set up'!$A$2:$C$70,2,FALSE)</f>
        <v>C00000014</v>
      </c>
      <c r="F2432" s="1" t="s">
        <v>262</v>
      </c>
      <c r="G2432" s="99" t="s">
        <v>1543</v>
      </c>
      <c r="H2432" s="5">
        <v>5</v>
      </c>
      <c r="I2432" s="5" t="str">
        <f>VLOOKUP(F2432,'Set up'!$A$2:$C$70,3,FALSE)</f>
        <v>Cash</v>
      </c>
      <c r="J2432" s="5">
        <f>VLOOKUP(F2432,'Set up'!$A$2:$D$70,4,FALSE)</f>
        <v>0</v>
      </c>
      <c r="K2432" s="4">
        <f t="shared" si="585"/>
        <v>45276</v>
      </c>
      <c r="L2432" s="5">
        <f t="shared" si="586"/>
        <v>12</v>
      </c>
      <c r="M2432" s="5">
        <f t="shared" si="587"/>
        <v>2023</v>
      </c>
      <c r="N2432" s="96">
        <v>1050</v>
      </c>
      <c r="O2432" s="6">
        <f t="shared" si="596"/>
        <v>-1050</v>
      </c>
      <c r="P2432" s="6">
        <f t="shared" si="590"/>
        <v>0</v>
      </c>
      <c r="Q2432" s="7">
        <f t="shared" si="588"/>
        <v>3992313.1500000018</v>
      </c>
      <c r="R2432" s="44" t="str">
        <f>VLOOKUP(F2432,'Set up'!$A$2:$E$70,5,FALSE)</f>
        <v>Cash</v>
      </c>
      <c r="S2432" s="1" t="s">
        <v>2217</v>
      </c>
    </row>
    <row r="2433" spans="1:19" ht="15" customHeight="1" x14ac:dyDescent="0.3">
      <c r="A2433" s="4">
        <v>45276</v>
      </c>
      <c r="B2433" s="5">
        <f t="shared" si="583"/>
        <v>12</v>
      </c>
      <c r="C2433" s="5">
        <f t="shared" si="584"/>
        <v>2023</v>
      </c>
      <c r="D2433" s="88" t="s">
        <v>2194</v>
      </c>
      <c r="E2433" s="5" t="str">
        <f>VLOOKUP(F2433,'Set up'!$A$2:$C$70,2,FALSE)</f>
        <v>C00000014</v>
      </c>
      <c r="F2433" s="1" t="s">
        <v>262</v>
      </c>
      <c r="G2433" s="99" t="s">
        <v>2096</v>
      </c>
      <c r="H2433" s="5">
        <v>3</v>
      </c>
      <c r="I2433" s="5" t="str">
        <f>VLOOKUP(F2433,'Set up'!$A$2:$C$70,3,FALSE)</f>
        <v>Cash</v>
      </c>
      <c r="J2433" s="5">
        <f>VLOOKUP(F2433,'Set up'!$A$2:$D$70,4,FALSE)</f>
        <v>0</v>
      </c>
      <c r="K2433" s="4">
        <f t="shared" si="585"/>
        <v>45276</v>
      </c>
      <c r="L2433" s="5">
        <f t="shared" si="586"/>
        <v>12</v>
      </c>
      <c r="M2433" s="5">
        <f t="shared" si="587"/>
        <v>2023</v>
      </c>
      <c r="N2433" s="96">
        <v>851.4</v>
      </c>
      <c r="O2433" s="6">
        <f t="shared" si="596"/>
        <v>-851.4</v>
      </c>
      <c r="P2433" s="6">
        <f t="shared" si="590"/>
        <v>0</v>
      </c>
      <c r="Q2433" s="7">
        <f t="shared" si="588"/>
        <v>3993164.5500000017</v>
      </c>
      <c r="R2433" s="44" t="str">
        <f>VLOOKUP(F2433,'Set up'!$A$2:$E$70,5,FALSE)</f>
        <v>Cash</v>
      </c>
      <c r="S2433" s="1" t="s">
        <v>2217</v>
      </c>
    </row>
    <row r="2434" spans="1:19" ht="15" customHeight="1" x14ac:dyDescent="0.3">
      <c r="A2434" s="4">
        <v>45276</v>
      </c>
      <c r="B2434" s="5">
        <f t="shared" si="583"/>
        <v>12</v>
      </c>
      <c r="C2434" s="5">
        <f t="shared" si="584"/>
        <v>2023</v>
      </c>
      <c r="D2434" s="88" t="s">
        <v>2194</v>
      </c>
      <c r="E2434" s="5" t="str">
        <f>VLOOKUP(F2434,'Set up'!$A$2:$C$70,2,FALSE)</f>
        <v>C00000014</v>
      </c>
      <c r="F2434" s="1" t="s">
        <v>262</v>
      </c>
      <c r="G2434" s="99" t="s">
        <v>17</v>
      </c>
      <c r="H2434" s="5">
        <v>1</v>
      </c>
      <c r="I2434" s="5" t="str">
        <f>VLOOKUP(F2434,'Set up'!$A$2:$C$70,3,FALSE)</f>
        <v>Cash</v>
      </c>
      <c r="J2434" s="5">
        <f>VLOOKUP(F2434,'Set up'!$A$2:$D$70,4,FALSE)</f>
        <v>0</v>
      </c>
      <c r="K2434" s="4">
        <f t="shared" si="585"/>
        <v>45276</v>
      </c>
      <c r="L2434" s="5">
        <f t="shared" si="586"/>
        <v>12</v>
      </c>
      <c r="M2434" s="5">
        <f t="shared" si="587"/>
        <v>2023</v>
      </c>
      <c r="N2434" s="96">
        <v>105</v>
      </c>
      <c r="O2434" s="6">
        <f t="shared" si="596"/>
        <v>-105</v>
      </c>
      <c r="P2434" s="6">
        <f t="shared" si="590"/>
        <v>0</v>
      </c>
      <c r="Q2434" s="7">
        <f t="shared" si="588"/>
        <v>3993269.5500000017</v>
      </c>
      <c r="R2434" s="44" t="str">
        <f>VLOOKUP(F2434,'Set up'!$A$2:$E$70,5,FALSE)</f>
        <v>Cash</v>
      </c>
      <c r="S2434" s="1" t="s">
        <v>2217</v>
      </c>
    </row>
    <row r="2435" spans="1:19" ht="15" customHeight="1" x14ac:dyDescent="0.3">
      <c r="A2435" s="4">
        <v>45276</v>
      </c>
      <c r="B2435" s="5">
        <f t="shared" ref="B2435:B2498" si="597">MONTH(A2435)</f>
        <v>12</v>
      </c>
      <c r="C2435" s="5">
        <f t="shared" ref="C2435:C2498" si="598">YEAR(A2435)</f>
        <v>2023</v>
      </c>
      <c r="D2435" s="88" t="s">
        <v>2194</v>
      </c>
      <c r="E2435" s="5" t="str">
        <f>VLOOKUP(F2435,'Set up'!$A$2:$C$70,2,FALSE)</f>
        <v>C00000014</v>
      </c>
      <c r="F2435" s="1" t="s">
        <v>262</v>
      </c>
      <c r="G2435" s="99" t="s">
        <v>1886</v>
      </c>
      <c r="H2435" s="5">
        <v>3</v>
      </c>
      <c r="I2435" s="5" t="str">
        <f>VLOOKUP(F2435,'Set up'!$A$2:$C$70,3,FALSE)</f>
        <v>Cash</v>
      </c>
      <c r="J2435" s="5">
        <f>VLOOKUP(F2435,'Set up'!$A$2:$D$70,4,FALSE)</f>
        <v>0</v>
      </c>
      <c r="K2435" s="4">
        <f t="shared" ref="K2435:K2498" si="599">A2435+J2435</f>
        <v>45276</v>
      </c>
      <c r="L2435" s="5">
        <f t="shared" ref="L2435:L2498" si="600">MONTH(K2435)</f>
        <v>12</v>
      </c>
      <c r="M2435" s="5">
        <f t="shared" ref="M2435:M2498" si="601">YEAR(K2435)</f>
        <v>2023</v>
      </c>
      <c r="N2435" s="96">
        <v>480</v>
      </c>
      <c r="O2435" s="6">
        <f t="shared" si="596"/>
        <v>-480</v>
      </c>
      <c r="P2435" s="6">
        <f t="shared" si="590"/>
        <v>0</v>
      </c>
      <c r="Q2435" s="7">
        <f t="shared" ref="Q2435:Q2498" si="602">SUM(Q2434+N2435)</f>
        <v>3993749.5500000017</v>
      </c>
      <c r="R2435" s="44" t="str">
        <f>VLOOKUP(F2435,'Set up'!$A$2:$E$70,5,FALSE)</f>
        <v>Cash</v>
      </c>
      <c r="S2435" s="1" t="s">
        <v>2217</v>
      </c>
    </row>
    <row r="2436" spans="1:19" ht="15" customHeight="1" x14ac:dyDescent="0.3">
      <c r="A2436" s="4">
        <v>45276</v>
      </c>
      <c r="B2436" s="5">
        <f t="shared" si="597"/>
        <v>12</v>
      </c>
      <c r="C2436" s="5">
        <f t="shared" si="598"/>
        <v>2023</v>
      </c>
      <c r="D2436" s="88" t="s">
        <v>2194</v>
      </c>
      <c r="E2436" s="5" t="str">
        <f>VLOOKUP(F2436,'Set up'!$A$2:$C$70,2,FALSE)</f>
        <v>C00000014</v>
      </c>
      <c r="F2436" s="1" t="s">
        <v>262</v>
      </c>
      <c r="G2436" s="99" t="s">
        <v>1660</v>
      </c>
      <c r="H2436" s="5">
        <v>1</v>
      </c>
      <c r="I2436" s="5" t="str">
        <f>VLOOKUP(F2436,'Set up'!$A$2:$C$70,3,FALSE)</f>
        <v>Cash</v>
      </c>
      <c r="J2436" s="5">
        <f>VLOOKUP(F2436,'Set up'!$A$2:$D$70,4,FALSE)</f>
        <v>0</v>
      </c>
      <c r="K2436" s="4">
        <f t="shared" si="599"/>
        <v>45276</v>
      </c>
      <c r="L2436" s="5">
        <f t="shared" si="600"/>
        <v>12</v>
      </c>
      <c r="M2436" s="5">
        <f t="shared" si="601"/>
        <v>2023</v>
      </c>
      <c r="N2436" s="96">
        <v>170</v>
      </c>
      <c r="O2436" s="6">
        <f t="shared" si="596"/>
        <v>-170</v>
      </c>
      <c r="P2436" s="6">
        <f t="shared" si="590"/>
        <v>0</v>
      </c>
      <c r="Q2436" s="7">
        <f t="shared" si="602"/>
        <v>3993919.5500000017</v>
      </c>
      <c r="R2436" s="44" t="str">
        <f>VLOOKUP(F2436,'Set up'!$A$2:$E$70,5,FALSE)</f>
        <v>Cash</v>
      </c>
      <c r="S2436" s="1" t="s">
        <v>2217</v>
      </c>
    </row>
    <row r="2437" spans="1:19" ht="15" customHeight="1" x14ac:dyDescent="0.3">
      <c r="A2437" s="4">
        <v>45276</v>
      </c>
      <c r="B2437" s="5">
        <f t="shared" si="597"/>
        <v>12</v>
      </c>
      <c r="C2437" s="5">
        <f t="shared" si="598"/>
        <v>2023</v>
      </c>
      <c r="D2437" s="88" t="s">
        <v>2194</v>
      </c>
      <c r="E2437" s="5" t="str">
        <f>VLOOKUP(F2437,'Set up'!$A$2:$C$70,2,FALSE)</f>
        <v>C00000014</v>
      </c>
      <c r="F2437" s="1" t="s">
        <v>262</v>
      </c>
      <c r="G2437" s="99" t="s">
        <v>1405</v>
      </c>
      <c r="H2437" s="5">
        <v>2</v>
      </c>
      <c r="I2437" s="5" t="str">
        <f>VLOOKUP(F2437,'Set up'!$A$2:$C$70,3,FALSE)</f>
        <v>Cash</v>
      </c>
      <c r="J2437" s="5">
        <f>VLOOKUP(F2437,'Set up'!$A$2:$D$70,4,FALSE)</f>
        <v>0</v>
      </c>
      <c r="K2437" s="4">
        <f t="shared" si="599"/>
        <v>45276</v>
      </c>
      <c r="L2437" s="5">
        <f t="shared" si="600"/>
        <v>12</v>
      </c>
      <c r="M2437" s="5">
        <f t="shared" si="601"/>
        <v>2023</v>
      </c>
      <c r="N2437" s="96">
        <v>96</v>
      </c>
      <c r="O2437" s="6">
        <f t="shared" si="596"/>
        <v>-96</v>
      </c>
      <c r="P2437" s="6">
        <f t="shared" si="590"/>
        <v>0</v>
      </c>
      <c r="Q2437" s="7">
        <f t="shared" si="602"/>
        <v>3994015.5500000017</v>
      </c>
      <c r="R2437" s="44" t="str">
        <f>VLOOKUP(F2437,'Set up'!$A$2:$E$70,5,FALSE)</f>
        <v>Cash</v>
      </c>
      <c r="S2437" s="1" t="s">
        <v>2217</v>
      </c>
    </row>
    <row r="2438" spans="1:19" ht="15" customHeight="1" x14ac:dyDescent="0.3">
      <c r="A2438" s="4">
        <v>45276</v>
      </c>
      <c r="B2438" s="5">
        <f t="shared" si="597"/>
        <v>12</v>
      </c>
      <c r="C2438" s="5">
        <f t="shared" si="598"/>
        <v>2023</v>
      </c>
      <c r="D2438" s="88" t="s">
        <v>2195</v>
      </c>
      <c r="E2438" s="5" t="str">
        <f>VLOOKUP(F2438,'Set up'!$A$2:$C$70,2,FALSE)</f>
        <v>C00000044</v>
      </c>
      <c r="F2438" s="1" t="s">
        <v>2929</v>
      </c>
      <c r="G2438" s="99" t="s">
        <v>303</v>
      </c>
      <c r="H2438" s="5">
        <v>1</v>
      </c>
      <c r="I2438" s="5" t="str">
        <f>VLOOKUP(F2438,'Set up'!$A$2:$C$70,3,FALSE)</f>
        <v>Cash</v>
      </c>
      <c r="J2438" s="5">
        <f>VLOOKUP(F2438,'Set up'!$A$2:$D$70,4,FALSE)</f>
        <v>0</v>
      </c>
      <c r="K2438" s="4">
        <f t="shared" si="599"/>
        <v>45276</v>
      </c>
      <c r="L2438" s="5">
        <f t="shared" si="600"/>
        <v>12</v>
      </c>
      <c r="M2438" s="5">
        <f t="shared" si="601"/>
        <v>2023</v>
      </c>
      <c r="N2438" s="96">
        <v>1606</v>
      </c>
      <c r="O2438" s="6">
        <f t="shared" si="596"/>
        <v>-1606</v>
      </c>
      <c r="P2438" s="6">
        <f t="shared" si="590"/>
        <v>0</v>
      </c>
      <c r="Q2438" s="7">
        <f t="shared" si="602"/>
        <v>3995621.5500000017</v>
      </c>
      <c r="R2438" s="44" t="str">
        <f>VLOOKUP(F2438,'Set up'!$A$2:$E$70,5,FALSE)</f>
        <v>Cash</v>
      </c>
      <c r="S2438" s="1" t="s">
        <v>2252</v>
      </c>
    </row>
    <row r="2439" spans="1:19" ht="15" customHeight="1" x14ac:dyDescent="0.3">
      <c r="A2439" s="4">
        <v>45276</v>
      </c>
      <c r="B2439" s="5">
        <f t="shared" si="597"/>
        <v>12</v>
      </c>
      <c r="C2439" s="5">
        <f t="shared" si="598"/>
        <v>2023</v>
      </c>
      <c r="D2439" s="88" t="s">
        <v>2195</v>
      </c>
      <c r="E2439" s="5" t="str">
        <f>VLOOKUP(F2439,'Set up'!$A$2:$C$70,2,FALSE)</f>
        <v>C00000044</v>
      </c>
      <c r="F2439" s="1" t="s">
        <v>2929</v>
      </c>
      <c r="G2439" s="99" t="s">
        <v>1543</v>
      </c>
      <c r="H2439" s="5">
        <v>2</v>
      </c>
      <c r="I2439" s="5" t="str">
        <f>VLOOKUP(F2439,'Set up'!$A$2:$C$70,3,FALSE)</f>
        <v>Cash</v>
      </c>
      <c r="J2439" s="5">
        <f>VLOOKUP(F2439,'Set up'!$A$2:$D$70,4,FALSE)</f>
        <v>0</v>
      </c>
      <c r="K2439" s="4">
        <f t="shared" si="599"/>
        <v>45276</v>
      </c>
      <c r="L2439" s="5">
        <f t="shared" si="600"/>
        <v>12</v>
      </c>
      <c r="M2439" s="5">
        <f t="shared" si="601"/>
        <v>2023</v>
      </c>
      <c r="N2439" s="96">
        <v>420</v>
      </c>
      <c r="O2439" s="6">
        <f t="shared" si="596"/>
        <v>-420</v>
      </c>
      <c r="P2439" s="6">
        <f t="shared" si="590"/>
        <v>0</v>
      </c>
      <c r="Q2439" s="7">
        <f t="shared" si="602"/>
        <v>3996041.5500000017</v>
      </c>
      <c r="R2439" s="44" t="str">
        <f>VLOOKUP(F2439,'Set up'!$A$2:$E$70,5,FALSE)</f>
        <v>Cash</v>
      </c>
      <c r="S2439" s="1" t="s">
        <v>2252</v>
      </c>
    </row>
    <row r="2440" spans="1:19" ht="15" customHeight="1" x14ac:dyDescent="0.3">
      <c r="A2440" s="4">
        <v>45276</v>
      </c>
      <c r="B2440" s="5">
        <f t="shared" si="597"/>
        <v>12</v>
      </c>
      <c r="C2440" s="5">
        <f t="shared" si="598"/>
        <v>2023</v>
      </c>
      <c r="D2440" s="88" t="s">
        <v>2195</v>
      </c>
      <c r="E2440" s="5" t="str">
        <f>VLOOKUP(F2440,'Set up'!$A$2:$C$70,2,FALSE)</f>
        <v>C00000044</v>
      </c>
      <c r="F2440" s="1" t="s">
        <v>2929</v>
      </c>
      <c r="G2440" s="99" t="s">
        <v>17</v>
      </c>
      <c r="H2440" s="5">
        <v>1</v>
      </c>
      <c r="I2440" s="5" t="str">
        <f>VLOOKUP(F2440,'Set up'!$A$2:$C$70,3,FALSE)</f>
        <v>Cash</v>
      </c>
      <c r="J2440" s="5">
        <f>VLOOKUP(F2440,'Set up'!$A$2:$D$70,4,FALSE)</f>
        <v>0</v>
      </c>
      <c r="K2440" s="4">
        <f t="shared" si="599"/>
        <v>45276</v>
      </c>
      <c r="L2440" s="5">
        <f t="shared" si="600"/>
        <v>12</v>
      </c>
      <c r="M2440" s="5">
        <f t="shared" si="601"/>
        <v>2023</v>
      </c>
      <c r="N2440" s="96">
        <v>105</v>
      </c>
      <c r="O2440" s="6">
        <f t="shared" si="596"/>
        <v>-105</v>
      </c>
      <c r="P2440" s="6">
        <f t="shared" si="590"/>
        <v>0</v>
      </c>
      <c r="Q2440" s="7">
        <f t="shared" si="602"/>
        <v>3996146.5500000017</v>
      </c>
      <c r="R2440" s="44" t="str">
        <f>VLOOKUP(F2440,'Set up'!$A$2:$E$70,5,FALSE)</f>
        <v>Cash</v>
      </c>
      <c r="S2440" s="1" t="s">
        <v>2252</v>
      </c>
    </row>
    <row r="2441" spans="1:19" ht="15" customHeight="1" x14ac:dyDescent="0.3">
      <c r="A2441" s="4">
        <v>45276</v>
      </c>
      <c r="B2441" s="5">
        <f t="shared" si="597"/>
        <v>12</v>
      </c>
      <c r="C2441" s="5">
        <f t="shared" si="598"/>
        <v>2023</v>
      </c>
      <c r="D2441" s="88" t="s">
        <v>2196</v>
      </c>
      <c r="E2441" s="5" t="str">
        <f>VLOOKUP(F2441,'Set up'!$A$2:$C$70,2,FALSE)</f>
        <v>C00000042</v>
      </c>
      <c r="F2441" s="1" t="s">
        <v>2012</v>
      </c>
      <c r="G2441" s="99" t="s">
        <v>1110</v>
      </c>
      <c r="H2441" s="5">
        <v>4</v>
      </c>
      <c r="I2441" s="5" t="str">
        <f>VLOOKUP(F2441,'Set up'!$A$2:$C$70,3,FALSE)</f>
        <v>Cash</v>
      </c>
      <c r="J2441" s="5">
        <f>VLOOKUP(F2441,'Set up'!$A$2:$D$70,4,FALSE)</f>
        <v>0</v>
      </c>
      <c r="K2441" s="4">
        <f t="shared" si="599"/>
        <v>45276</v>
      </c>
      <c r="L2441" s="5">
        <f t="shared" si="600"/>
        <v>12</v>
      </c>
      <c r="M2441" s="5">
        <f t="shared" si="601"/>
        <v>2023</v>
      </c>
      <c r="N2441" s="96">
        <v>250</v>
      </c>
      <c r="O2441" s="6">
        <f>-N2441</f>
        <v>-250</v>
      </c>
      <c r="P2441" s="6">
        <f t="shared" si="590"/>
        <v>0</v>
      </c>
      <c r="Q2441" s="7">
        <f t="shared" si="602"/>
        <v>3996396.5500000017</v>
      </c>
      <c r="R2441" s="44" t="str">
        <f>VLOOKUP(F2441,'Set up'!$A$2:$E$70,5,FALSE)</f>
        <v>Trsf</v>
      </c>
      <c r="S2441" s="1" t="s">
        <v>2810</v>
      </c>
    </row>
    <row r="2442" spans="1:19" ht="15" customHeight="1" x14ac:dyDescent="0.3">
      <c r="A2442" s="4">
        <v>45276</v>
      </c>
      <c r="B2442" s="5">
        <f t="shared" si="597"/>
        <v>12</v>
      </c>
      <c r="C2442" s="5">
        <f t="shared" si="598"/>
        <v>2023</v>
      </c>
      <c r="D2442" s="88" t="s">
        <v>2197</v>
      </c>
      <c r="E2442" s="5" t="str">
        <f>VLOOKUP(F2442,'Set up'!$A$2:$C$70,2,FALSE)</f>
        <v>C00000042</v>
      </c>
      <c r="F2442" s="1" t="s">
        <v>2012</v>
      </c>
      <c r="G2442" s="99" t="s">
        <v>1894</v>
      </c>
      <c r="H2442" s="5">
        <v>4</v>
      </c>
      <c r="I2442" s="5" t="str">
        <f>VLOOKUP(F2442,'Set up'!$A$2:$C$70,3,FALSE)</f>
        <v>Cash</v>
      </c>
      <c r="J2442" s="5">
        <f>VLOOKUP(F2442,'Set up'!$A$2:$D$70,4,FALSE)</f>
        <v>0</v>
      </c>
      <c r="K2442" s="4">
        <f t="shared" si="599"/>
        <v>45276</v>
      </c>
      <c r="L2442" s="5">
        <f t="shared" si="600"/>
        <v>12</v>
      </c>
      <c r="M2442" s="5">
        <f t="shared" si="601"/>
        <v>2023</v>
      </c>
      <c r="N2442" s="96">
        <v>6424</v>
      </c>
      <c r="O2442" s="6">
        <f>-N2442</f>
        <v>-6424</v>
      </c>
      <c r="P2442" s="6">
        <f t="shared" si="590"/>
        <v>0</v>
      </c>
      <c r="Q2442" s="7">
        <f t="shared" si="602"/>
        <v>4002820.5500000017</v>
      </c>
      <c r="R2442" s="44" t="str">
        <f>VLOOKUP(F2442,'Set up'!$A$2:$E$70,5,FALSE)</f>
        <v>Trsf</v>
      </c>
      <c r="S2442" s="1" t="s">
        <v>2811</v>
      </c>
    </row>
    <row r="2443" spans="1:19" ht="15" customHeight="1" x14ac:dyDescent="0.3">
      <c r="A2443" s="4">
        <v>45276</v>
      </c>
      <c r="B2443" s="5">
        <f t="shared" si="597"/>
        <v>12</v>
      </c>
      <c r="C2443" s="5">
        <f t="shared" si="598"/>
        <v>2023</v>
      </c>
      <c r="D2443" s="88" t="s">
        <v>2197</v>
      </c>
      <c r="E2443" s="5" t="str">
        <f>VLOOKUP(F2443,'Set up'!$A$2:$C$70,2,FALSE)</f>
        <v>C00000042</v>
      </c>
      <c r="F2443" s="1" t="s">
        <v>2012</v>
      </c>
      <c r="G2443" s="99" t="s">
        <v>2140</v>
      </c>
      <c r="H2443" s="5">
        <v>6</v>
      </c>
      <c r="I2443" s="5" t="str">
        <f>VLOOKUP(F2443,'Set up'!$A$2:$C$70,3,FALSE)</f>
        <v>Cash</v>
      </c>
      <c r="J2443" s="5">
        <f>VLOOKUP(F2443,'Set up'!$A$2:$D$70,4,FALSE)</f>
        <v>0</v>
      </c>
      <c r="K2443" s="4">
        <f t="shared" si="599"/>
        <v>45276</v>
      </c>
      <c r="L2443" s="5">
        <f t="shared" si="600"/>
        <v>12</v>
      </c>
      <c r="M2443" s="5">
        <f t="shared" si="601"/>
        <v>2023</v>
      </c>
      <c r="N2443" s="96">
        <v>2331.6</v>
      </c>
      <c r="O2443" s="6">
        <f>-N2443</f>
        <v>-2331.6</v>
      </c>
      <c r="P2443" s="6">
        <f t="shared" si="590"/>
        <v>0</v>
      </c>
      <c r="Q2443" s="7">
        <f t="shared" si="602"/>
        <v>4005152.1500000018</v>
      </c>
      <c r="R2443" s="44" t="str">
        <f>VLOOKUP(F2443,'Set up'!$A$2:$E$70,5,FALSE)</f>
        <v>Trsf</v>
      </c>
      <c r="S2443" s="1" t="s">
        <v>2812</v>
      </c>
    </row>
    <row r="2444" spans="1:19" ht="15" customHeight="1" x14ac:dyDescent="0.3">
      <c r="A2444" s="4">
        <v>45276</v>
      </c>
      <c r="B2444" s="5">
        <f t="shared" si="597"/>
        <v>12</v>
      </c>
      <c r="C2444" s="5">
        <f t="shared" si="598"/>
        <v>2023</v>
      </c>
      <c r="D2444" s="88" t="s">
        <v>2197</v>
      </c>
      <c r="E2444" s="5" t="str">
        <f>VLOOKUP(F2444,'Set up'!$A$2:$C$70,2,FALSE)</f>
        <v>C00000042</v>
      </c>
      <c r="F2444" s="1" t="s">
        <v>2012</v>
      </c>
      <c r="G2444" s="99" t="s">
        <v>1922</v>
      </c>
      <c r="H2444" s="5">
        <v>6</v>
      </c>
      <c r="I2444" s="5" t="str">
        <f>VLOOKUP(F2444,'Set up'!$A$2:$C$70,3,FALSE)</f>
        <v>Cash</v>
      </c>
      <c r="J2444" s="5">
        <f>VLOOKUP(F2444,'Set up'!$A$2:$D$70,4,FALSE)</f>
        <v>0</v>
      </c>
      <c r="K2444" s="4">
        <f t="shared" si="599"/>
        <v>45276</v>
      </c>
      <c r="L2444" s="5">
        <f t="shared" si="600"/>
        <v>12</v>
      </c>
      <c r="M2444" s="5">
        <f t="shared" si="601"/>
        <v>2023</v>
      </c>
      <c r="N2444" s="96">
        <v>1404</v>
      </c>
      <c r="O2444" s="6">
        <f>-N2444</f>
        <v>-1404</v>
      </c>
      <c r="P2444" s="6">
        <f t="shared" si="590"/>
        <v>0</v>
      </c>
      <c r="Q2444" s="7">
        <f t="shared" si="602"/>
        <v>4006556.1500000018</v>
      </c>
      <c r="R2444" s="44" t="str">
        <f>VLOOKUP(F2444,'Set up'!$A$2:$E$70,5,FALSE)</f>
        <v>Trsf</v>
      </c>
      <c r="S2444" s="1" t="s">
        <v>2813</v>
      </c>
    </row>
    <row r="2445" spans="1:19" ht="15" customHeight="1" x14ac:dyDescent="0.3">
      <c r="A2445" s="4">
        <v>45276</v>
      </c>
      <c r="B2445" s="5">
        <f t="shared" si="597"/>
        <v>12</v>
      </c>
      <c r="C2445" s="5">
        <f t="shared" si="598"/>
        <v>2023</v>
      </c>
      <c r="D2445" s="88" t="s">
        <v>2197</v>
      </c>
      <c r="E2445" s="5" t="str">
        <f>VLOOKUP(F2445,'Set up'!$A$2:$C$70,2,FALSE)</f>
        <v>C00000042</v>
      </c>
      <c r="F2445" s="1" t="s">
        <v>2012</v>
      </c>
      <c r="G2445" s="99" t="s">
        <v>1061</v>
      </c>
      <c r="H2445" s="5">
        <v>4</v>
      </c>
      <c r="I2445" s="5" t="str">
        <f>VLOOKUP(F2445,'Set up'!$A$2:$C$70,3,FALSE)</f>
        <v>Cash</v>
      </c>
      <c r="J2445" s="5">
        <f>VLOOKUP(F2445,'Set up'!$A$2:$D$70,4,FALSE)</f>
        <v>0</v>
      </c>
      <c r="K2445" s="4">
        <f t="shared" si="599"/>
        <v>45276</v>
      </c>
      <c r="L2445" s="5">
        <f t="shared" si="600"/>
        <v>12</v>
      </c>
      <c r="M2445" s="5">
        <f t="shared" si="601"/>
        <v>2023</v>
      </c>
      <c r="N2445" s="96">
        <v>380</v>
      </c>
      <c r="O2445" s="6">
        <f>-N2445</f>
        <v>-380</v>
      </c>
      <c r="P2445" s="6">
        <f t="shared" si="590"/>
        <v>0</v>
      </c>
      <c r="Q2445" s="7">
        <f t="shared" si="602"/>
        <v>4006936.1500000018</v>
      </c>
      <c r="R2445" s="44" t="str">
        <f>VLOOKUP(F2445,'Set up'!$A$2:$E$70,5,FALSE)</f>
        <v>Trsf</v>
      </c>
      <c r="S2445" s="1" t="s">
        <v>2814</v>
      </c>
    </row>
    <row r="2446" spans="1:19" ht="15" customHeight="1" x14ac:dyDescent="0.3">
      <c r="A2446" s="4">
        <v>45278</v>
      </c>
      <c r="B2446" s="5">
        <f t="shared" si="597"/>
        <v>12</v>
      </c>
      <c r="C2446" s="5">
        <f t="shared" si="598"/>
        <v>2023</v>
      </c>
      <c r="D2446" s="88" t="s">
        <v>2198</v>
      </c>
      <c r="E2446" s="5" t="str">
        <f>VLOOKUP(F2446,'Set up'!$A$2:$C$70,2,FALSE)</f>
        <v>C00000021</v>
      </c>
      <c r="F2446" s="1" t="s">
        <v>491</v>
      </c>
      <c r="G2446" s="99" t="s">
        <v>67</v>
      </c>
      <c r="H2446" s="5">
        <v>1</v>
      </c>
      <c r="I2446" s="5" t="str">
        <f>VLOOKUP(F2446,'Set up'!$A$2:$C$70,3,FALSE)</f>
        <v>Cash</v>
      </c>
      <c r="J2446" s="5">
        <f>VLOOKUP(F2446,'Set up'!$A$2:$D$70,4,FALSE)</f>
        <v>0</v>
      </c>
      <c r="K2446" s="4">
        <f t="shared" si="599"/>
        <v>45278</v>
      </c>
      <c r="L2446" s="5">
        <f t="shared" si="600"/>
        <v>12</v>
      </c>
      <c r="M2446" s="5">
        <f t="shared" si="601"/>
        <v>2023</v>
      </c>
      <c r="N2446" s="96">
        <v>1738</v>
      </c>
      <c r="O2446" s="6">
        <f t="shared" ref="O2446:O2449" si="603">-N2446</f>
        <v>-1738</v>
      </c>
      <c r="P2446" s="6">
        <f t="shared" si="590"/>
        <v>0</v>
      </c>
      <c r="Q2446" s="7">
        <f t="shared" si="602"/>
        <v>4008674.1500000018</v>
      </c>
      <c r="R2446" s="44" t="str">
        <f>VLOOKUP(F2446,'Set up'!$A$2:$E$70,5,FALSE)</f>
        <v>PD Chq</v>
      </c>
      <c r="S2446" s="1" t="s">
        <v>3431</v>
      </c>
    </row>
    <row r="2447" spans="1:19" ht="15" customHeight="1" x14ac:dyDescent="0.3">
      <c r="A2447" s="4">
        <v>45278</v>
      </c>
      <c r="B2447" s="5">
        <f t="shared" si="597"/>
        <v>12</v>
      </c>
      <c r="C2447" s="5">
        <f t="shared" si="598"/>
        <v>2023</v>
      </c>
      <c r="D2447" s="88" t="s">
        <v>2198</v>
      </c>
      <c r="E2447" s="5" t="str">
        <f>VLOOKUP(F2447,'Set up'!$A$2:$C$70,2,FALSE)</f>
        <v>C00000021</v>
      </c>
      <c r="F2447" s="1" t="s">
        <v>491</v>
      </c>
      <c r="G2447" s="99" t="s">
        <v>2129</v>
      </c>
      <c r="H2447" s="5">
        <v>3</v>
      </c>
      <c r="I2447" s="5" t="str">
        <f>VLOOKUP(F2447,'Set up'!$A$2:$C$70,3,FALSE)</f>
        <v>Cash</v>
      </c>
      <c r="J2447" s="5">
        <f>VLOOKUP(F2447,'Set up'!$A$2:$D$70,4,FALSE)</f>
        <v>0</v>
      </c>
      <c r="K2447" s="4">
        <f t="shared" si="599"/>
        <v>45278</v>
      </c>
      <c r="L2447" s="5">
        <f t="shared" si="600"/>
        <v>12</v>
      </c>
      <c r="M2447" s="5">
        <f t="shared" si="601"/>
        <v>2023</v>
      </c>
      <c r="N2447" s="96">
        <v>832.5</v>
      </c>
      <c r="O2447" s="6">
        <f t="shared" si="603"/>
        <v>-832.5</v>
      </c>
      <c r="P2447" s="6">
        <f t="shared" si="590"/>
        <v>0</v>
      </c>
      <c r="Q2447" s="7">
        <f t="shared" si="602"/>
        <v>4009506.6500000018</v>
      </c>
      <c r="R2447" s="44" t="str">
        <f>VLOOKUP(F2447,'Set up'!$A$2:$E$70,5,FALSE)</f>
        <v>PD Chq</v>
      </c>
      <c r="S2447" s="1" t="s">
        <v>3431</v>
      </c>
    </row>
    <row r="2448" spans="1:19" ht="15" customHeight="1" x14ac:dyDescent="0.3">
      <c r="A2448" s="4">
        <v>45278</v>
      </c>
      <c r="B2448" s="5">
        <f t="shared" si="597"/>
        <v>12</v>
      </c>
      <c r="C2448" s="5">
        <f t="shared" si="598"/>
        <v>2023</v>
      </c>
      <c r="D2448" s="88" t="s">
        <v>2198</v>
      </c>
      <c r="E2448" s="5" t="str">
        <f>VLOOKUP(F2448,'Set up'!$A$2:$C$70,2,FALSE)</f>
        <v>C00000021</v>
      </c>
      <c r="F2448" s="1" t="s">
        <v>491</v>
      </c>
      <c r="G2448" s="99" t="s">
        <v>1061</v>
      </c>
      <c r="H2448" s="5">
        <v>1</v>
      </c>
      <c r="I2448" s="5" t="str">
        <f>VLOOKUP(F2448,'Set up'!$A$2:$C$70,3,FALSE)</f>
        <v>Cash</v>
      </c>
      <c r="J2448" s="5">
        <f>VLOOKUP(F2448,'Set up'!$A$2:$D$70,4,FALSE)</f>
        <v>0</v>
      </c>
      <c r="K2448" s="4">
        <f t="shared" si="599"/>
        <v>45278</v>
      </c>
      <c r="L2448" s="5">
        <f t="shared" si="600"/>
        <v>12</v>
      </c>
      <c r="M2448" s="5">
        <f t="shared" si="601"/>
        <v>2023</v>
      </c>
      <c r="N2448" s="96">
        <v>95</v>
      </c>
      <c r="O2448" s="6">
        <f t="shared" si="603"/>
        <v>-95</v>
      </c>
      <c r="P2448" s="6">
        <f t="shared" si="590"/>
        <v>0</v>
      </c>
      <c r="Q2448" s="7">
        <f t="shared" si="602"/>
        <v>4009601.6500000018</v>
      </c>
      <c r="R2448" s="44" t="str">
        <f>VLOOKUP(F2448,'Set up'!$A$2:$E$70,5,FALSE)</f>
        <v>PD Chq</v>
      </c>
      <c r="S2448" s="1" t="s">
        <v>3431</v>
      </c>
    </row>
    <row r="2449" spans="1:19" ht="15" customHeight="1" x14ac:dyDescent="0.3">
      <c r="A2449" s="4">
        <v>45278</v>
      </c>
      <c r="B2449" s="5">
        <f t="shared" si="597"/>
        <v>12</v>
      </c>
      <c r="C2449" s="5">
        <f t="shared" si="598"/>
        <v>2023</v>
      </c>
      <c r="D2449" s="88" t="s">
        <v>2198</v>
      </c>
      <c r="E2449" s="5" t="str">
        <f>VLOOKUP(F2449,'Set up'!$A$2:$C$70,2,FALSE)</f>
        <v>C00000021</v>
      </c>
      <c r="F2449" s="1" t="s">
        <v>491</v>
      </c>
      <c r="G2449" s="99" t="s">
        <v>2130</v>
      </c>
      <c r="H2449" s="5">
        <v>5</v>
      </c>
      <c r="I2449" s="5" t="str">
        <f>VLOOKUP(F2449,'Set up'!$A$2:$C$70,3,FALSE)</f>
        <v>Cash</v>
      </c>
      <c r="J2449" s="5">
        <f>VLOOKUP(F2449,'Set up'!$A$2:$D$70,4,FALSE)</f>
        <v>0</v>
      </c>
      <c r="K2449" s="4">
        <f t="shared" si="599"/>
        <v>45278</v>
      </c>
      <c r="L2449" s="5">
        <f t="shared" si="600"/>
        <v>12</v>
      </c>
      <c r="M2449" s="5">
        <f t="shared" si="601"/>
        <v>2023</v>
      </c>
      <c r="N2449" s="96">
        <v>312.5</v>
      </c>
      <c r="O2449" s="6">
        <f t="shared" si="603"/>
        <v>-312.5</v>
      </c>
      <c r="P2449" s="6">
        <f t="shared" si="590"/>
        <v>0</v>
      </c>
      <c r="Q2449" s="7">
        <f t="shared" si="602"/>
        <v>4009914.1500000018</v>
      </c>
      <c r="R2449" s="44" t="str">
        <f>VLOOKUP(F2449,'Set up'!$A$2:$E$70,5,FALSE)</f>
        <v>PD Chq</v>
      </c>
      <c r="S2449" s="1" t="s">
        <v>3431</v>
      </c>
    </row>
    <row r="2450" spans="1:19" ht="15" customHeight="1" x14ac:dyDescent="0.3">
      <c r="A2450" s="4">
        <v>45278</v>
      </c>
      <c r="B2450" s="5">
        <f t="shared" si="597"/>
        <v>12</v>
      </c>
      <c r="C2450" s="5">
        <f t="shared" si="598"/>
        <v>2023</v>
      </c>
      <c r="D2450" s="88" t="s">
        <v>2199</v>
      </c>
      <c r="E2450" s="5" t="str">
        <f>VLOOKUP(F2450,'Set up'!$A$2:$C$70,2,FALSE)</f>
        <v>C00000010</v>
      </c>
      <c r="F2450" s="1" t="s">
        <v>62</v>
      </c>
      <c r="G2450" s="99" t="s">
        <v>2131</v>
      </c>
      <c r="H2450" s="5">
        <v>12</v>
      </c>
      <c r="I2450" s="5">
        <f>VLOOKUP(F2450,'Set up'!$A$2:$C$70,3,FALSE)</f>
        <v>120</v>
      </c>
      <c r="J2450" s="5">
        <f>VLOOKUP(F2450,'Set up'!$A$2:$D$70,4,FALSE)</f>
        <v>120</v>
      </c>
      <c r="K2450" s="4">
        <f t="shared" si="599"/>
        <v>45398</v>
      </c>
      <c r="L2450" s="5">
        <f t="shared" si="600"/>
        <v>4</v>
      </c>
      <c r="M2450" s="5">
        <f t="shared" si="601"/>
        <v>2024</v>
      </c>
      <c r="N2450" s="96">
        <v>696</v>
      </c>
      <c r="O2450" s="6">
        <f t="shared" ref="O2450" si="604">-N2450</f>
        <v>-696</v>
      </c>
      <c r="P2450" s="6">
        <f t="shared" si="590"/>
        <v>0</v>
      </c>
      <c r="Q2450" s="7">
        <f t="shared" si="602"/>
        <v>4010610.1500000018</v>
      </c>
      <c r="R2450" s="44" t="str">
        <f>VLOOKUP(F2450,'Set up'!$A$2:$E$70,5,FALSE)</f>
        <v>Trsf</v>
      </c>
      <c r="S2450" s="1" t="s">
        <v>2623</v>
      </c>
    </row>
    <row r="2451" spans="1:19" ht="15" customHeight="1" x14ac:dyDescent="0.3">
      <c r="A2451" s="4">
        <v>45279</v>
      </c>
      <c r="B2451" s="5">
        <f t="shared" si="597"/>
        <v>12</v>
      </c>
      <c r="C2451" s="5">
        <f t="shared" si="598"/>
        <v>2023</v>
      </c>
      <c r="D2451" s="88" t="s">
        <v>2200</v>
      </c>
      <c r="E2451" s="5" t="str">
        <f>VLOOKUP(F2451,'Set up'!$A$2:$C$70,2,FALSE)</f>
        <v>C00000019</v>
      </c>
      <c r="F2451" s="1" t="s">
        <v>400</v>
      </c>
      <c r="G2451" s="99" t="s">
        <v>95</v>
      </c>
      <c r="H2451" s="5">
        <v>1</v>
      </c>
      <c r="I2451" s="5" t="str">
        <f>VLOOKUP(F2451,'Set up'!$A$2:$C$70,3,FALSE)</f>
        <v>Cash</v>
      </c>
      <c r="J2451" s="5">
        <f>VLOOKUP(F2451,'Set up'!$A$2:$D$70,4,FALSE)</f>
        <v>0</v>
      </c>
      <c r="K2451" s="4">
        <f t="shared" si="599"/>
        <v>45279</v>
      </c>
      <c r="L2451" s="5">
        <f t="shared" si="600"/>
        <v>12</v>
      </c>
      <c r="M2451" s="5">
        <f t="shared" si="601"/>
        <v>2023</v>
      </c>
      <c r="N2451" s="96">
        <v>1738</v>
      </c>
      <c r="O2451" s="6">
        <f>-448.8-1000-289.2</f>
        <v>-1738</v>
      </c>
      <c r="P2451" s="6">
        <f t="shared" si="590"/>
        <v>0</v>
      </c>
      <c r="Q2451" s="7">
        <f t="shared" si="602"/>
        <v>4012348.1500000018</v>
      </c>
      <c r="R2451" s="44" t="str">
        <f>VLOOKUP(F2451,'Set up'!$A$2:$E$70,5,FALSE)</f>
        <v>Trsf</v>
      </c>
      <c r="S2451" s="1" t="s">
        <v>3310</v>
      </c>
    </row>
    <row r="2452" spans="1:19" ht="15" customHeight="1" x14ac:dyDescent="0.3">
      <c r="A2452" s="4">
        <v>45279</v>
      </c>
      <c r="B2452" s="5">
        <f t="shared" si="597"/>
        <v>12</v>
      </c>
      <c r="C2452" s="5">
        <f t="shared" si="598"/>
        <v>2023</v>
      </c>
      <c r="D2452" s="88" t="s">
        <v>2200</v>
      </c>
      <c r="E2452" s="5" t="str">
        <f>VLOOKUP(F2452,'Set up'!$A$2:$C$70,2,FALSE)</f>
        <v>C00000019</v>
      </c>
      <c r="F2452" s="1" t="s">
        <v>400</v>
      </c>
      <c r="G2452" s="99" t="s">
        <v>2141</v>
      </c>
      <c r="H2452" s="5">
        <v>1</v>
      </c>
      <c r="I2452" s="5" t="str">
        <f>VLOOKUP(F2452,'Set up'!$A$2:$C$70,3,FALSE)</f>
        <v>Cash</v>
      </c>
      <c r="J2452" s="5">
        <f>VLOOKUP(F2452,'Set up'!$A$2:$D$70,4,FALSE)</f>
        <v>0</v>
      </c>
      <c r="K2452" s="4">
        <f t="shared" si="599"/>
        <v>45279</v>
      </c>
      <c r="L2452" s="5">
        <f t="shared" si="600"/>
        <v>12</v>
      </c>
      <c r="M2452" s="5">
        <f t="shared" si="601"/>
        <v>2023</v>
      </c>
      <c r="N2452" s="96">
        <v>405</v>
      </c>
      <c r="O2452" s="6">
        <f t="shared" ref="O2452:O2454" si="605">-N2452</f>
        <v>-405</v>
      </c>
      <c r="P2452" s="6">
        <f t="shared" si="590"/>
        <v>0</v>
      </c>
      <c r="Q2452" s="7">
        <f t="shared" si="602"/>
        <v>4012753.1500000018</v>
      </c>
      <c r="R2452" s="44" t="str">
        <f>VLOOKUP(F2452,'Set up'!$A$2:$E$70,5,FALSE)</f>
        <v>Trsf</v>
      </c>
      <c r="S2452" s="1" t="s">
        <v>3308</v>
      </c>
    </row>
    <row r="2453" spans="1:19" ht="15" customHeight="1" x14ac:dyDescent="0.3">
      <c r="A2453" s="4">
        <v>45279</v>
      </c>
      <c r="B2453" s="5">
        <f t="shared" si="597"/>
        <v>12</v>
      </c>
      <c r="C2453" s="5">
        <f t="shared" si="598"/>
        <v>2023</v>
      </c>
      <c r="D2453" s="88" t="s">
        <v>2200</v>
      </c>
      <c r="E2453" s="5" t="str">
        <f>VLOOKUP(F2453,'Set up'!$A$2:$C$70,2,FALSE)</f>
        <v>C00000019</v>
      </c>
      <c r="F2453" s="1" t="s">
        <v>400</v>
      </c>
      <c r="G2453" s="99" t="s">
        <v>2135</v>
      </c>
      <c r="H2453" s="5">
        <v>4</v>
      </c>
      <c r="I2453" s="5" t="str">
        <f>VLOOKUP(F2453,'Set up'!$A$2:$C$70,3,FALSE)</f>
        <v>Cash</v>
      </c>
      <c r="J2453" s="5">
        <f>VLOOKUP(F2453,'Set up'!$A$2:$D$70,4,FALSE)</f>
        <v>0</v>
      </c>
      <c r="K2453" s="4">
        <f t="shared" si="599"/>
        <v>45279</v>
      </c>
      <c r="L2453" s="5">
        <f t="shared" si="600"/>
        <v>12</v>
      </c>
      <c r="M2453" s="5">
        <f t="shared" si="601"/>
        <v>2023</v>
      </c>
      <c r="N2453" s="96">
        <v>250</v>
      </c>
      <c r="O2453" s="6">
        <f t="shared" si="605"/>
        <v>-250</v>
      </c>
      <c r="P2453" s="6">
        <f t="shared" ref="P2453:P2516" si="606">SUM(N2453+O2453)</f>
        <v>0</v>
      </c>
      <c r="Q2453" s="7">
        <f t="shared" si="602"/>
        <v>4013003.1500000018</v>
      </c>
      <c r="R2453" s="44" t="str">
        <f>VLOOKUP(F2453,'Set up'!$A$2:$E$70,5,FALSE)</f>
        <v>Trsf</v>
      </c>
      <c r="S2453" s="1" t="s">
        <v>3311</v>
      </c>
    </row>
    <row r="2454" spans="1:19" ht="15" customHeight="1" x14ac:dyDescent="0.3">
      <c r="A2454" s="4">
        <v>45279</v>
      </c>
      <c r="B2454" s="5">
        <f t="shared" si="597"/>
        <v>12</v>
      </c>
      <c r="C2454" s="5">
        <f t="shared" si="598"/>
        <v>2023</v>
      </c>
      <c r="D2454" s="88" t="s">
        <v>2200</v>
      </c>
      <c r="E2454" s="5" t="str">
        <f>VLOOKUP(F2454,'Set up'!$A$2:$C$70,2,FALSE)</f>
        <v>C00000019</v>
      </c>
      <c r="F2454" s="1" t="s">
        <v>400</v>
      </c>
      <c r="G2454" s="99" t="s">
        <v>46</v>
      </c>
      <c r="H2454" s="5">
        <v>1</v>
      </c>
      <c r="I2454" s="5" t="str">
        <f>VLOOKUP(F2454,'Set up'!$A$2:$C$70,3,FALSE)</f>
        <v>Cash</v>
      </c>
      <c r="J2454" s="5">
        <f>VLOOKUP(F2454,'Set up'!$A$2:$D$70,4,FALSE)</f>
        <v>0</v>
      </c>
      <c r="K2454" s="4">
        <f t="shared" si="599"/>
        <v>45279</v>
      </c>
      <c r="L2454" s="5">
        <f t="shared" si="600"/>
        <v>12</v>
      </c>
      <c r="M2454" s="5">
        <f t="shared" si="601"/>
        <v>2023</v>
      </c>
      <c r="N2454" s="96">
        <v>105</v>
      </c>
      <c r="O2454" s="6">
        <f t="shared" si="605"/>
        <v>-105</v>
      </c>
      <c r="P2454" s="6">
        <f t="shared" si="606"/>
        <v>0</v>
      </c>
      <c r="Q2454" s="7">
        <f t="shared" si="602"/>
        <v>4013108.1500000018</v>
      </c>
      <c r="R2454" s="44" t="str">
        <f>VLOOKUP(F2454,'Set up'!$A$2:$E$70,5,FALSE)</f>
        <v>Trsf</v>
      </c>
      <c r="S2454" s="1" t="s">
        <v>3309</v>
      </c>
    </row>
    <row r="2455" spans="1:19" ht="15" customHeight="1" x14ac:dyDescent="0.3">
      <c r="A2455" s="4">
        <v>45279</v>
      </c>
      <c r="B2455" s="5">
        <f t="shared" si="597"/>
        <v>12</v>
      </c>
      <c r="C2455" s="5">
        <f t="shared" si="598"/>
        <v>2023</v>
      </c>
      <c r="D2455" s="88" t="s">
        <v>2200</v>
      </c>
      <c r="E2455" s="5" t="str">
        <f>VLOOKUP(F2455,'Set up'!$A$2:$C$70,2,FALSE)</f>
        <v>C00000019</v>
      </c>
      <c r="F2455" s="1" t="s">
        <v>400</v>
      </c>
      <c r="G2455" s="99" t="s">
        <v>944</v>
      </c>
      <c r="H2455" s="5">
        <v>1</v>
      </c>
      <c r="I2455" s="5" t="str">
        <f>VLOOKUP(F2455,'Set up'!$A$2:$C$70,3,FALSE)</f>
        <v>Cash</v>
      </c>
      <c r="J2455" s="5">
        <f>VLOOKUP(F2455,'Set up'!$A$2:$D$70,4,FALSE)</f>
        <v>0</v>
      </c>
      <c r="K2455" s="4">
        <f t="shared" si="599"/>
        <v>45279</v>
      </c>
      <c r="L2455" s="5">
        <f t="shared" si="600"/>
        <v>12</v>
      </c>
      <c r="M2455" s="5">
        <f t="shared" si="601"/>
        <v>2023</v>
      </c>
      <c r="N2455" s="96">
        <v>420</v>
      </c>
      <c r="O2455" s="6">
        <f>-250.8-169.2</f>
        <v>-420</v>
      </c>
      <c r="P2455" s="6">
        <f t="shared" si="606"/>
        <v>0</v>
      </c>
      <c r="Q2455" s="7">
        <f t="shared" si="602"/>
        <v>4013528.1500000018</v>
      </c>
      <c r="R2455" s="44" t="str">
        <f>VLOOKUP(F2455,'Set up'!$A$2:$E$70,5,FALSE)</f>
        <v>Trsf</v>
      </c>
      <c r="S2455" s="1" t="s">
        <v>3312</v>
      </c>
    </row>
    <row r="2456" spans="1:19" ht="15" customHeight="1" x14ac:dyDescent="0.3">
      <c r="A2456" s="4">
        <v>45279</v>
      </c>
      <c r="B2456" s="5">
        <f t="shared" si="597"/>
        <v>12</v>
      </c>
      <c r="C2456" s="5">
        <f t="shared" si="598"/>
        <v>2023</v>
      </c>
      <c r="D2456" s="88" t="s">
        <v>2201</v>
      </c>
      <c r="E2456" s="5" t="str">
        <f>VLOOKUP(F2456,'Set up'!$A$2:$C$70,2,FALSE)</f>
        <v>C00000022</v>
      </c>
      <c r="F2456" s="1" t="s">
        <v>637</v>
      </c>
      <c r="G2456" s="99" t="s">
        <v>1997</v>
      </c>
      <c r="H2456" s="5">
        <v>1</v>
      </c>
      <c r="I2456" s="5" t="str">
        <f>VLOOKUP(F2456,'Set up'!$A$2:$C$70,3,FALSE)</f>
        <v>Cash</v>
      </c>
      <c r="J2456" s="5">
        <f>VLOOKUP(F2456,'Set up'!$A$2:$D$70,4,FALSE)</f>
        <v>0</v>
      </c>
      <c r="K2456" s="4">
        <f t="shared" si="599"/>
        <v>45279</v>
      </c>
      <c r="L2456" s="5">
        <f t="shared" si="600"/>
        <v>12</v>
      </c>
      <c r="M2456" s="5">
        <f t="shared" si="601"/>
        <v>2023</v>
      </c>
      <c r="N2456" s="96">
        <v>4250</v>
      </c>
      <c r="O2456" s="6">
        <f t="shared" ref="O2456:O2466" si="607">-N2456</f>
        <v>-4250</v>
      </c>
      <c r="P2456" s="6">
        <f t="shared" si="606"/>
        <v>0</v>
      </c>
      <c r="Q2456" s="7">
        <f t="shared" si="602"/>
        <v>4017778.1500000018</v>
      </c>
      <c r="R2456" s="44" t="str">
        <f>VLOOKUP(F2456,'Set up'!$A$2:$E$70,5,FALSE)</f>
        <v>Trsf</v>
      </c>
      <c r="S2456" s="1" t="s">
        <v>2253</v>
      </c>
    </row>
    <row r="2457" spans="1:19" ht="15" customHeight="1" x14ac:dyDescent="0.3">
      <c r="A2457" s="4">
        <v>45279</v>
      </c>
      <c r="B2457" s="5">
        <f t="shared" si="597"/>
        <v>12</v>
      </c>
      <c r="C2457" s="5">
        <f t="shared" si="598"/>
        <v>2023</v>
      </c>
      <c r="D2457" s="88" t="s">
        <v>2201</v>
      </c>
      <c r="E2457" s="5" t="str">
        <f>VLOOKUP(F2457,'Set up'!$A$2:$C$70,2,FALSE)</f>
        <v>C00000022</v>
      </c>
      <c r="F2457" s="1" t="s">
        <v>637</v>
      </c>
      <c r="G2457" s="99" t="s">
        <v>1543</v>
      </c>
      <c r="H2457" s="5">
        <v>1</v>
      </c>
      <c r="I2457" s="5" t="str">
        <f>VLOOKUP(F2457,'Set up'!$A$2:$C$70,3,FALSE)</f>
        <v>Cash</v>
      </c>
      <c r="J2457" s="5">
        <f>VLOOKUP(F2457,'Set up'!$A$2:$D$70,4,FALSE)</f>
        <v>0</v>
      </c>
      <c r="K2457" s="4">
        <f t="shared" si="599"/>
        <v>45279</v>
      </c>
      <c r="L2457" s="5">
        <f t="shared" si="600"/>
        <v>12</v>
      </c>
      <c r="M2457" s="5">
        <f t="shared" si="601"/>
        <v>2023</v>
      </c>
      <c r="N2457" s="96">
        <v>300</v>
      </c>
      <c r="O2457" s="6">
        <f t="shared" si="607"/>
        <v>-300</v>
      </c>
      <c r="P2457" s="6">
        <f t="shared" si="606"/>
        <v>0</v>
      </c>
      <c r="Q2457" s="7">
        <f t="shared" si="602"/>
        <v>4018078.1500000018</v>
      </c>
      <c r="R2457" s="44" t="str">
        <f>VLOOKUP(F2457,'Set up'!$A$2:$E$70,5,FALSE)</f>
        <v>Trsf</v>
      </c>
      <c r="S2457" s="1" t="s">
        <v>2253</v>
      </c>
    </row>
    <row r="2458" spans="1:19" ht="15" customHeight="1" x14ac:dyDescent="0.3">
      <c r="A2458" s="4">
        <v>45279</v>
      </c>
      <c r="B2458" s="5">
        <f t="shared" si="597"/>
        <v>12</v>
      </c>
      <c r="C2458" s="5">
        <f t="shared" si="598"/>
        <v>2023</v>
      </c>
      <c r="D2458" s="88" t="s">
        <v>2201</v>
      </c>
      <c r="E2458" s="5" t="str">
        <f>VLOOKUP(F2458,'Set up'!$A$2:$C$70,2,FALSE)</f>
        <v>C00000022</v>
      </c>
      <c r="F2458" s="1" t="s">
        <v>637</v>
      </c>
      <c r="G2458" s="99" t="s">
        <v>2142</v>
      </c>
      <c r="H2458" s="5">
        <v>1</v>
      </c>
      <c r="I2458" s="5" t="str">
        <f>VLOOKUP(F2458,'Set up'!$A$2:$C$70,3,FALSE)</f>
        <v>Cash</v>
      </c>
      <c r="J2458" s="5">
        <f>VLOOKUP(F2458,'Set up'!$A$2:$D$70,4,FALSE)</f>
        <v>0</v>
      </c>
      <c r="K2458" s="4">
        <f t="shared" si="599"/>
        <v>45279</v>
      </c>
      <c r="L2458" s="5">
        <f t="shared" si="600"/>
        <v>12</v>
      </c>
      <c r="M2458" s="5">
        <f t="shared" si="601"/>
        <v>2023</v>
      </c>
      <c r="N2458" s="96">
        <v>150</v>
      </c>
      <c r="O2458" s="6">
        <f t="shared" si="607"/>
        <v>-150</v>
      </c>
      <c r="P2458" s="6">
        <f t="shared" si="606"/>
        <v>0</v>
      </c>
      <c r="Q2458" s="7">
        <f t="shared" si="602"/>
        <v>4018228.1500000018</v>
      </c>
      <c r="R2458" s="44" t="str">
        <f>VLOOKUP(F2458,'Set up'!$A$2:$E$70,5,FALSE)</f>
        <v>Trsf</v>
      </c>
      <c r="S2458" s="1" t="s">
        <v>2253</v>
      </c>
    </row>
    <row r="2459" spans="1:19" ht="15" customHeight="1" x14ac:dyDescent="0.3">
      <c r="A2459" s="4">
        <v>45279</v>
      </c>
      <c r="B2459" s="5">
        <f t="shared" si="597"/>
        <v>12</v>
      </c>
      <c r="C2459" s="5">
        <f t="shared" si="598"/>
        <v>2023</v>
      </c>
      <c r="D2459" s="88" t="s">
        <v>2265</v>
      </c>
      <c r="E2459" s="5" t="str">
        <f>VLOOKUP(F2459,'Set up'!$A$2:$C$70,2,FALSE)</f>
        <v>C00000022</v>
      </c>
      <c r="F2459" s="1" t="s">
        <v>637</v>
      </c>
      <c r="G2459" s="99" t="s">
        <v>2264</v>
      </c>
      <c r="H2459" s="5">
        <v>0</v>
      </c>
      <c r="I2459" s="5" t="str">
        <f>VLOOKUP(F2459,'Set up'!$A$2:$C$70,3,FALSE)</f>
        <v>Cash</v>
      </c>
      <c r="J2459" s="5">
        <f>VLOOKUP(F2459,'Set up'!$A$2:$D$70,4,FALSE)</f>
        <v>0</v>
      </c>
      <c r="K2459" s="4">
        <f t="shared" si="599"/>
        <v>45279</v>
      </c>
      <c r="L2459" s="5">
        <f t="shared" si="600"/>
        <v>12</v>
      </c>
      <c r="M2459" s="5">
        <f t="shared" si="601"/>
        <v>2023</v>
      </c>
      <c r="N2459" s="96">
        <v>-866</v>
      </c>
      <c r="O2459" s="6">
        <f t="shared" si="607"/>
        <v>866</v>
      </c>
      <c r="P2459" s="6">
        <f t="shared" si="606"/>
        <v>0</v>
      </c>
      <c r="Q2459" s="7">
        <f t="shared" si="602"/>
        <v>4017362.1500000018</v>
      </c>
      <c r="R2459" s="44" t="str">
        <f>VLOOKUP(F2459,'Set up'!$A$2:$E$70,5,FALSE)</f>
        <v>Trsf</v>
      </c>
      <c r="S2459" s="99" t="s">
        <v>2267</v>
      </c>
    </row>
    <row r="2460" spans="1:19" ht="15" customHeight="1" x14ac:dyDescent="0.3">
      <c r="A2460" s="4">
        <v>45280</v>
      </c>
      <c r="B2460" s="5">
        <f t="shared" si="597"/>
        <v>12</v>
      </c>
      <c r="C2460" s="5">
        <f t="shared" si="598"/>
        <v>2023</v>
      </c>
      <c r="D2460" s="88" t="s">
        <v>2202</v>
      </c>
      <c r="E2460" s="5" t="str">
        <f>VLOOKUP(F2460,'Set up'!$A$2:$C$70,2,FALSE)</f>
        <v>C00000037</v>
      </c>
      <c r="F2460" s="1" t="s">
        <v>1309</v>
      </c>
      <c r="G2460" s="99" t="s">
        <v>1894</v>
      </c>
      <c r="H2460" s="5">
        <v>4</v>
      </c>
      <c r="I2460" s="5">
        <f>VLOOKUP(F2460,'Set up'!$A$2:$C$70,3,FALSE)</f>
        <v>30</v>
      </c>
      <c r="J2460" s="5">
        <f>VLOOKUP(F2460,'Set up'!$A$2:$D$70,4,FALSE)</f>
        <v>30</v>
      </c>
      <c r="K2460" s="4">
        <f t="shared" si="599"/>
        <v>45310</v>
      </c>
      <c r="L2460" s="5">
        <f t="shared" si="600"/>
        <v>1</v>
      </c>
      <c r="M2460" s="5">
        <f t="shared" si="601"/>
        <v>2024</v>
      </c>
      <c r="N2460" s="96">
        <v>6952</v>
      </c>
      <c r="O2460" s="6">
        <f t="shared" si="607"/>
        <v>-6952</v>
      </c>
      <c r="P2460" s="6">
        <f t="shared" si="606"/>
        <v>0</v>
      </c>
      <c r="Q2460" s="7">
        <f t="shared" si="602"/>
        <v>4024314.1500000018</v>
      </c>
      <c r="R2460" s="44" t="str">
        <f>VLOOKUP(F2460,'Set up'!$A$2:$E$70,5,FALSE)</f>
        <v>Chq</v>
      </c>
      <c r="S2460" s="1" t="s">
        <v>2339</v>
      </c>
    </row>
    <row r="2461" spans="1:19" ht="15" customHeight="1" x14ac:dyDescent="0.3">
      <c r="A2461" s="4">
        <v>45280</v>
      </c>
      <c r="B2461" s="5">
        <f t="shared" si="597"/>
        <v>12</v>
      </c>
      <c r="C2461" s="5">
        <f t="shared" si="598"/>
        <v>2023</v>
      </c>
      <c r="D2461" s="88" t="s">
        <v>2202</v>
      </c>
      <c r="E2461" s="5" t="str">
        <f>VLOOKUP(F2461,'Set up'!$A$2:$C$70,2,FALSE)</f>
        <v>C00000037</v>
      </c>
      <c r="F2461" s="1" t="s">
        <v>1309</v>
      </c>
      <c r="G2461" s="99" t="s">
        <v>2143</v>
      </c>
      <c r="H2461" s="5">
        <v>5</v>
      </c>
      <c r="I2461" s="5">
        <f>VLOOKUP(F2461,'Set up'!$A$2:$C$70,3,FALSE)</f>
        <v>30</v>
      </c>
      <c r="J2461" s="5">
        <f>VLOOKUP(F2461,'Set up'!$A$2:$D$70,4,FALSE)</f>
        <v>30</v>
      </c>
      <c r="K2461" s="4">
        <f t="shared" si="599"/>
        <v>45310</v>
      </c>
      <c r="L2461" s="5">
        <f t="shared" si="600"/>
        <v>1</v>
      </c>
      <c r="M2461" s="5">
        <f t="shared" si="601"/>
        <v>2024</v>
      </c>
      <c r="N2461" s="96">
        <v>2613</v>
      </c>
      <c r="O2461" s="6">
        <f t="shared" si="607"/>
        <v>-2613</v>
      </c>
      <c r="P2461" s="6">
        <f t="shared" si="606"/>
        <v>0</v>
      </c>
      <c r="Q2461" s="7">
        <f t="shared" si="602"/>
        <v>4026927.1500000018</v>
      </c>
      <c r="R2461" s="44" t="str">
        <f>VLOOKUP(F2461,'Set up'!$A$2:$E$70,5,FALSE)</f>
        <v>Chq</v>
      </c>
      <c r="S2461" s="1" t="s">
        <v>2339</v>
      </c>
    </row>
    <row r="2462" spans="1:19" ht="15" customHeight="1" x14ac:dyDescent="0.3">
      <c r="A2462" s="4">
        <v>45280</v>
      </c>
      <c r="B2462" s="5">
        <f t="shared" si="597"/>
        <v>12</v>
      </c>
      <c r="C2462" s="5">
        <f t="shared" si="598"/>
        <v>2023</v>
      </c>
      <c r="D2462" s="88" t="s">
        <v>2202</v>
      </c>
      <c r="E2462" s="5" t="str">
        <f>VLOOKUP(F2462,'Set up'!$A$2:$C$70,2,FALSE)</f>
        <v>C00000037</v>
      </c>
      <c r="F2462" s="1" t="s">
        <v>1309</v>
      </c>
      <c r="G2462" s="99" t="s">
        <v>1405</v>
      </c>
      <c r="H2462" s="5">
        <v>5</v>
      </c>
      <c r="I2462" s="5">
        <f>VLOOKUP(F2462,'Set up'!$A$2:$C$70,3,FALSE)</f>
        <v>30</v>
      </c>
      <c r="J2462" s="5">
        <f>VLOOKUP(F2462,'Set up'!$A$2:$D$70,4,FALSE)</f>
        <v>30</v>
      </c>
      <c r="K2462" s="4">
        <f t="shared" si="599"/>
        <v>45310</v>
      </c>
      <c r="L2462" s="5">
        <f t="shared" si="600"/>
        <v>1</v>
      </c>
      <c r="M2462" s="5">
        <f t="shared" si="601"/>
        <v>2024</v>
      </c>
      <c r="N2462" s="96">
        <v>240</v>
      </c>
      <c r="O2462" s="6">
        <f t="shared" si="607"/>
        <v>-240</v>
      </c>
      <c r="P2462" s="6">
        <f t="shared" si="606"/>
        <v>0</v>
      </c>
      <c r="Q2462" s="7">
        <f t="shared" si="602"/>
        <v>4027167.1500000018</v>
      </c>
      <c r="R2462" s="44" t="str">
        <f>VLOOKUP(F2462,'Set up'!$A$2:$E$70,5,FALSE)</f>
        <v>Chq</v>
      </c>
      <c r="S2462" s="1" t="s">
        <v>2339</v>
      </c>
    </row>
    <row r="2463" spans="1:19" ht="15" customHeight="1" x14ac:dyDescent="0.3">
      <c r="A2463" s="4">
        <v>45280</v>
      </c>
      <c r="B2463" s="5">
        <f t="shared" si="597"/>
        <v>12</v>
      </c>
      <c r="C2463" s="5">
        <f t="shared" si="598"/>
        <v>2023</v>
      </c>
      <c r="D2463" s="88" t="s">
        <v>2202</v>
      </c>
      <c r="E2463" s="5" t="str">
        <f>VLOOKUP(F2463,'Set up'!$A$2:$C$70,2,FALSE)</f>
        <v>C00000037</v>
      </c>
      <c r="F2463" s="1" t="s">
        <v>1309</v>
      </c>
      <c r="G2463" s="99" t="s">
        <v>2130</v>
      </c>
      <c r="H2463" s="5">
        <v>5</v>
      </c>
      <c r="I2463" s="5">
        <f>VLOOKUP(F2463,'Set up'!$A$2:$C$70,3,FALSE)</f>
        <v>30</v>
      </c>
      <c r="J2463" s="5">
        <f>VLOOKUP(F2463,'Set up'!$A$2:$D$70,4,FALSE)</f>
        <v>30</v>
      </c>
      <c r="K2463" s="4">
        <f t="shared" si="599"/>
        <v>45310</v>
      </c>
      <c r="L2463" s="5">
        <f t="shared" si="600"/>
        <v>1</v>
      </c>
      <c r="M2463" s="5">
        <f t="shared" si="601"/>
        <v>2024</v>
      </c>
      <c r="N2463" s="96">
        <v>312.5</v>
      </c>
      <c r="O2463" s="6">
        <f t="shared" si="607"/>
        <v>-312.5</v>
      </c>
      <c r="P2463" s="6">
        <f t="shared" si="606"/>
        <v>0</v>
      </c>
      <c r="Q2463" s="7">
        <f t="shared" si="602"/>
        <v>4027479.6500000018</v>
      </c>
      <c r="R2463" s="44" t="str">
        <f>VLOOKUP(F2463,'Set up'!$A$2:$E$70,5,FALSE)</f>
        <v>Chq</v>
      </c>
      <c r="S2463" s="1" t="s">
        <v>2339</v>
      </c>
    </row>
    <row r="2464" spans="1:19" ht="15" customHeight="1" x14ac:dyDescent="0.3">
      <c r="A2464" s="4">
        <v>45280</v>
      </c>
      <c r="B2464" s="5">
        <f t="shared" si="597"/>
        <v>12</v>
      </c>
      <c r="C2464" s="5">
        <f t="shared" si="598"/>
        <v>2023</v>
      </c>
      <c r="D2464" s="88" t="s">
        <v>2202</v>
      </c>
      <c r="E2464" s="5" t="str">
        <f>VLOOKUP(F2464,'Set up'!$A$2:$C$70,2,FALSE)</f>
        <v>C00000037</v>
      </c>
      <c r="F2464" s="1" t="s">
        <v>1309</v>
      </c>
      <c r="G2464" s="99" t="s">
        <v>2144</v>
      </c>
      <c r="H2464" s="5">
        <v>2</v>
      </c>
      <c r="I2464" s="5">
        <f>VLOOKUP(F2464,'Set up'!$A$2:$C$70,3,FALSE)</f>
        <v>30</v>
      </c>
      <c r="J2464" s="5">
        <f>VLOOKUP(F2464,'Set up'!$A$2:$D$70,4,FALSE)</f>
        <v>30</v>
      </c>
      <c r="K2464" s="4">
        <f t="shared" si="599"/>
        <v>45310</v>
      </c>
      <c r="L2464" s="5">
        <f t="shared" si="600"/>
        <v>1</v>
      </c>
      <c r="M2464" s="5">
        <f t="shared" si="601"/>
        <v>2024</v>
      </c>
      <c r="N2464" s="96">
        <v>572</v>
      </c>
      <c r="O2464" s="6">
        <f t="shared" si="607"/>
        <v>-572</v>
      </c>
      <c r="P2464" s="6">
        <f t="shared" si="606"/>
        <v>0</v>
      </c>
      <c r="Q2464" s="7">
        <f t="shared" si="602"/>
        <v>4028051.6500000018</v>
      </c>
      <c r="R2464" s="44" t="str">
        <f>VLOOKUP(F2464,'Set up'!$A$2:$E$70,5,FALSE)</f>
        <v>Chq</v>
      </c>
      <c r="S2464" s="1" t="s">
        <v>2339</v>
      </c>
    </row>
    <row r="2465" spans="1:19" ht="15" customHeight="1" x14ac:dyDescent="0.3">
      <c r="A2465" s="4">
        <v>45280</v>
      </c>
      <c r="B2465" s="5">
        <f t="shared" si="597"/>
        <v>12</v>
      </c>
      <c r="C2465" s="5">
        <f t="shared" si="598"/>
        <v>2023</v>
      </c>
      <c r="D2465" s="88" t="s">
        <v>2202</v>
      </c>
      <c r="E2465" s="5" t="str">
        <f>VLOOKUP(F2465,'Set up'!$A$2:$C$70,2,FALSE)</f>
        <v>C00000037</v>
      </c>
      <c r="F2465" s="1" t="s">
        <v>1309</v>
      </c>
      <c r="G2465" s="99" t="s">
        <v>1061</v>
      </c>
      <c r="H2465" s="5">
        <v>3</v>
      </c>
      <c r="I2465" s="5">
        <f>VLOOKUP(F2465,'Set up'!$A$2:$C$70,3,FALSE)</f>
        <v>30</v>
      </c>
      <c r="J2465" s="5">
        <f>VLOOKUP(F2465,'Set up'!$A$2:$D$70,4,FALSE)</f>
        <v>30</v>
      </c>
      <c r="K2465" s="4">
        <f t="shared" si="599"/>
        <v>45310</v>
      </c>
      <c r="L2465" s="5">
        <f t="shared" si="600"/>
        <v>1</v>
      </c>
      <c r="M2465" s="5">
        <f t="shared" si="601"/>
        <v>2024</v>
      </c>
      <c r="N2465" s="96">
        <v>285</v>
      </c>
      <c r="O2465" s="6">
        <f t="shared" si="607"/>
        <v>-285</v>
      </c>
      <c r="P2465" s="6">
        <f t="shared" si="606"/>
        <v>0</v>
      </c>
      <c r="Q2465" s="7">
        <f t="shared" si="602"/>
        <v>4028336.6500000018</v>
      </c>
      <c r="R2465" s="44" t="str">
        <f>VLOOKUP(F2465,'Set up'!$A$2:$E$70,5,FALSE)</f>
        <v>Chq</v>
      </c>
      <c r="S2465" s="1" t="s">
        <v>2339</v>
      </c>
    </row>
    <row r="2466" spans="1:19" ht="15" customHeight="1" x14ac:dyDescent="0.3">
      <c r="A2466" s="4">
        <v>45280</v>
      </c>
      <c r="B2466" s="5">
        <f t="shared" si="597"/>
        <v>12</v>
      </c>
      <c r="C2466" s="5">
        <f t="shared" si="598"/>
        <v>2023</v>
      </c>
      <c r="D2466" s="88" t="s">
        <v>2202</v>
      </c>
      <c r="E2466" s="5" t="str">
        <f>VLOOKUP(F2466,'Set up'!$A$2:$C$70,2,FALSE)</f>
        <v>C00000037</v>
      </c>
      <c r="F2466" s="1" t="s">
        <v>1309</v>
      </c>
      <c r="G2466" s="99" t="s">
        <v>1399</v>
      </c>
      <c r="H2466" s="5">
        <v>6</v>
      </c>
      <c r="I2466" s="5">
        <f>VLOOKUP(F2466,'Set up'!$A$2:$C$70,3,FALSE)</f>
        <v>30</v>
      </c>
      <c r="J2466" s="5">
        <f>VLOOKUP(F2466,'Set up'!$A$2:$D$70,4,FALSE)</f>
        <v>30</v>
      </c>
      <c r="K2466" s="4">
        <f t="shared" si="599"/>
        <v>45310</v>
      </c>
      <c r="L2466" s="5">
        <f t="shared" si="600"/>
        <v>1</v>
      </c>
      <c r="M2466" s="5">
        <f t="shared" si="601"/>
        <v>2024</v>
      </c>
      <c r="N2466" s="96">
        <v>930</v>
      </c>
      <c r="O2466" s="6">
        <f t="shared" si="607"/>
        <v>-930</v>
      </c>
      <c r="P2466" s="6">
        <f t="shared" si="606"/>
        <v>0</v>
      </c>
      <c r="Q2466" s="7">
        <f t="shared" si="602"/>
        <v>4029266.6500000018</v>
      </c>
      <c r="R2466" s="44" t="str">
        <f>VLOOKUP(F2466,'Set up'!$A$2:$E$70,5,FALSE)</f>
        <v>Chq</v>
      </c>
      <c r="S2466" s="1" t="s">
        <v>2339</v>
      </c>
    </row>
    <row r="2467" spans="1:19" ht="15" customHeight="1" x14ac:dyDescent="0.3">
      <c r="A2467" s="4">
        <v>45281</v>
      </c>
      <c r="B2467" s="5">
        <f t="shared" si="597"/>
        <v>12</v>
      </c>
      <c r="C2467" s="5">
        <f t="shared" si="598"/>
        <v>2023</v>
      </c>
      <c r="D2467" s="88" t="s">
        <v>2203</v>
      </c>
      <c r="E2467" s="5" t="str">
        <f>VLOOKUP(F2467,'Set up'!$A$2:$C$70,2,FALSE)</f>
        <v>C00000042</v>
      </c>
      <c r="F2467" s="1" t="s">
        <v>2012</v>
      </c>
      <c r="G2467" s="99" t="s">
        <v>1110</v>
      </c>
      <c r="H2467" s="5">
        <v>4</v>
      </c>
      <c r="I2467" s="5" t="str">
        <f>VLOOKUP(F2467,'Set up'!$A$2:$C$70,3,FALSE)</f>
        <v>Cash</v>
      </c>
      <c r="J2467" s="5">
        <f>VLOOKUP(F2467,'Set up'!$A$2:$D$70,4,FALSE)</f>
        <v>0</v>
      </c>
      <c r="K2467" s="4">
        <f t="shared" si="599"/>
        <v>45281</v>
      </c>
      <c r="L2467" s="5">
        <f t="shared" si="600"/>
        <v>12</v>
      </c>
      <c r="M2467" s="5">
        <f t="shared" si="601"/>
        <v>2023</v>
      </c>
      <c r="N2467" s="96">
        <v>250</v>
      </c>
      <c r="O2467" s="6">
        <f t="shared" ref="O2467:O2472" si="608">-N2467</f>
        <v>-250</v>
      </c>
      <c r="P2467" s="6">
        <f t="shared" si="606"/>
        <v>0</v>
      </c>
      <c r="Q2467" s="7">
        <f t="shared" si="602"/>
        <v>4029516.6500000018</v>
      </c>
      <c r="R2467" s="44" t="str">
        <f>VLOOKUP(F2467,'Set up'!$A$2:$E$70,5,FALSE)</f>
        <v>Trsf</v>
      </c>
      <c r="S2467" s="1" t="s">
        <v>2810</v>
      </c>
    </row>
    <row r="2468" spans="1:19" ht="15" customHeight="1" x14ac:dyDescent="0.3">
      <c r="A2468" s="4">
        <v>45281</v>
      </c>
      <c r="B2468" s="5">
        <f t="shared" si="597"/>
        <v>12</v>
      </c>
      <c r="C2468" s="5">
        <f t="shared" si="598"/>
        <v>2023</v>
      </c>
      <c r="D2468" s="88" t="s">
        <v>2204</v>
      </c>
      <c r="E2468" s="5" t="str">
        <f>VLOOKUP(F2468,'Set up'!$A$2:$C$70,2,FALSE)</f>
        <v>C00000042</v>
      </c>
      <c r="F2468" s="1" t="s">
        <v>2012</v>
      </c>
      <c r="G2468" s="99" t="s">
        <v>1894</v>
      </c>
      <c r="H2468" s="5">
        <v>4</v>
      </c>
      <c r="I2468" s="5" t="str">
        <f>VLOOKUP(F2468,'Set up'!$A$2:$C$70,3,FALSE)</f>
        <v>Cash</v>
      </c>
      <c r="J2468" s="5">
        <f>VLOOKUP(F2468,'Set up'!$A$2:$D$70,4,FALSE)</f>
        <v>0</v>
      </c>
      <c r="K2468" s="4">
        <f t="shared" si="599"/>
        <v>45281</v>
      </c>
      <c r="L2468" s="5">
        <f t="shared" si="600"/>
        <v>12</v>
      </c>
      <c r="M2468" s="5">
        <f t="shared" si="601"/>
        <v>2023</v>
      </c>
      <c r="N2468" s="96">
        <v>6424</v>
      </c>
      <c r="O2468" s="6">
        <f t="shared" si="608"/>
        <v>-6424</v>
      </c>
      <c r="P2468" s="6">
        <f t="shared" si="606"/>
        <v>0</v>
      </c>
      <c r="Q2468" s="7">
        <f t="shared" si="602"/>
        <v>4035940.6500000018</v>
      </c>
      <c r="R2468" s="44" t="str">
        <f>VLOOKUP(F2468,'Set up'!$A$2:$E$70,5,FALSE)</f>
        <v>Trsf</v>
      </c>
      <c r="S2468" s="1" t="s">
        <v>2811</v>
      </c>
    </row>
    <row r="2469" spans="1:19" ht="15" customHeight="1" x14ac:dyDescent="0.3">
      <c r="A2469" s="4">
        <v>45281</v>
      </c>
      <c r="B2469" s="5">
        <f t="shared" si="597"/>
        <v>12</v>
      </c>
      <c r="C2469" s="5">
        <f t="shared" si="598"/>
        <v>2023</v>
      </c>
      <c r="D2469" s="88" t="s">
        <v>2204</v>
      </c>
      <c r="E2469" s="5" t="str">
        <f>VLOOKUP(F2469,'Set up'!$A$2:$C$70,2,FALSE)</f>
        <v>C00000042</v>
      </c>
      <c r="F2469" s="1" t="s">
        <v>2012</v>
      </c>
      <c r="G2469" s="99" t="s">
        <v>2095</v>
      </c>
      <c r="H2469" s="5">
        <v>12</v>
      </c>
      <c r="I2469" s="5" t="str">
        <f>VLOOKUP(F2469,'Set up'!$A$2:$C$70,3,FALSE)</f>
        <v>Cash</v>
      </c>
      <c r="J2469" s="5">
        <f>VLOOKUP(F2469,'Set up'!$A$2:$D$70,4,FALSE)</f>
        <v>0</v>
      </c>
      <c r="K2469" s="4">
        <f t="shared" si="599"/>
        <v>45281</v>
      </c>
      <c r="L2469" s="5">
        <f t="shared" si="600"/>
        <v>12</v>
      </c>
      <c r="M2469" s="5">
        <f t="shared" si="601"/>
        <v>2023</v>
      </c>
      <c r="N2469" s="96">
        <v>2575.1999999999998</v>
      </c>
      <c r="O2469" s="6">
        <f t="shared" si="608"/>
        <v>-2575.1999999999998</v>
      </c>
      <c r="P2469" s="6">
        <f t="shared" si="606"/>
        <v>0</v>
      </c>
      <c r="Q2469" s="7">
        <f t="shared" si="602"/>
        <v>4038515.850000002</v>
      </c>
      <c r="R2469" s="44" t="str">
        <f>VLOOKUP(F2469,'Set up'!$A$2:$E$70,5,FALSE)</f>
        <v>Trsf</v>
      </c>
      <c r="S2469" s="1" t="s">
        <v>2815</v>
      </c>
    </row>
    <row r="2470" spans="1:19" ht="15" customHeight="1" x14ac:dyDescent="0.3">
      <c r="A2470" s="4">
        <v>45281</v>
      </c>
      <c r="B2470" s="5">
        <f t="shared" si="597"/>
        <v>12</v>
      </c>
      <c r="C2470" s="5">
        <f t="shared" si="598"/>
        <v>2023</v>
      </c>
      <c r="D2470" s="88" t="s">
        <v>2204</v>
      </c>
      <c r="E2470" s="5" t="str">
        <f>VLOOKUP(F2470,'Set up'!$A$2:$C$70,2,FALSE)</f>
        <v>C00000042</v>
      </c>
      <c r="F2470" s="1" t="s">
        <v>2012</v>
      </c>
      <c r="G2470" s="99" t="s">
        <v>1922</v>
      </c>
      <c r="H2470" s="5">
        <v>6</v>
      </c>
      <c r="I2470" s="5" t="str">
        <f>VLOOKUP(F2470,'Set up'!$A$2:$C$70,3,FALSE)</f>
        <v>Cash</v>
      </c>
      <c r="J2470" s="5">
        <f>VLOOKUP(F2470,'Set up'!$A$2:$D$70,4,FALSE)</f>
        <v>0</v>
      </c>
      <c r="K2470" s="4">
        <f t="shared" si="599"/>
        <v>45281</v>
      </c>
      <c r="L2470" s="5">
        <f t="shared" si="600"/>
        <v>12</v>
      </c>
      <c r="M2470" s="5">
        <f t="shared" si="601"/>
        <v>2023</v>
      </c>
      <c r="N2470" s="96">
        <v>1404</v>
      </c>
      <c r="O2470" s="6">
        <f t="shared" si="608"/>
        <v>-1404</v>
      </c>
      <c r="P2470" s="6">
        <f t="shared" si="606"/>
        <v>0</v>
      </c>
      <c r="Q2470" s="7">
        <f t="shared" si="602"/>
        <v>4039919.850000002</v>
      </c>
      <c r="R2470" s="44" t="str">
        <f>VLOOKUP(F2470,'Set up'!$A$2:$E$70,5,FALSE)</f>
        <v>Trsf</v>
      </c>
      <c r="S2470" s="1" t="s">
        <v>2813</v>
      </c>
    </row>
    <row r="2471" spans="1:19" ht="15" customHeight="1" x14ac:dyDescent="0.3">
      <c r="A2471" s="4">
        <v>45281</v>
      </c>
      <c r="B2471" s="5">
        <f t="shared" si="597"/>
        <v>12</v>
      </c>
      <c r="C2471" s="5">
        <f t="shared" si="598"/>
        <v>2023</v>
      </c>
      <c r="D2471" s="88" t="s">
        <v>2204</v>
      </c>
      <c r="E2471" s="5" t="str">
        <f>VLOOKUP(F2471,'Set up'!$A$2:$C$70,2,FALSE)</f>
        <v>C00000042</v>
      </c>
      <c r="F2471" s="1" t="s">
        <v>2012</v>
      </c>
      <c r="G2471" s="99" t="s">
        <v>1061</v>
      </c>
      <c r="H2471" s="5">
        <v>4</v>
      </c>
      <c r="I2471" s="5" t="str">
        <f>VLOOKUP(F2471,'Set up'!$A$2:$C$70,3,FALSE)</f>
        <v>Cash</v>
      </c>
      <c r="J2471" s="5">
        <f>VLOOKUP(F2471,'Set up'!$A$2:$D$70,4,FALSE)</f>
        <v>0</v>
      </c>
      <c r="K2471" s="4">
        <f t="shared" si="599"/>
        <v>45281</v>
      </c>
      <c r="L2471" s="5">
        <f t="shared" si="600"/>
        <v>12</v>
      </c>
      <c r="M2471" s="5">
        <f t="shared" si="601"/>
        <v>2023</v>
      </c>
      <c r="N2471" s="96">
        <v>380</v>
      </c>
      <c r="O2471" s="6">
        <f t="shared" si="608"/>
        <v>-380</v>
      </c>
      <c r="P2471" s="6">
        <f t="shared" si="606"/>
        <v>0</v>
      </c>
      <c r="Q2471" s="7">
        <f t="shared" si="602"/>
        <v>4040299.850000002</v>
      </c>
      <c r="R2471" s="44" t="str">
        <f>VLOOKUP(F2471,'Set up'!$A$2:$E$70,5,FALSE)</f>
        <v>Trsf</v>
      </c>
      <c r="S2471" s="1" t="s">
        <v>2814</v>
      </c>
    </row>
    <row r="2472" spans="1:19" ht="15" customHeight="1" x14ac:dyDescent="0.3">
      <c r="A2472" s="4">
        <v>45281</v>
      </c>
      <c r="B2472" s="5">
        <f t="shared" si="597"/>
        <v>12</v>
      </c>
      <c r="C2472" s="5">
        <f t="shared" si="598"/>
        <v>2023</v>
      </c>
      <c r="D2472" s="88" t="s">
        <v>2204</v>
      </c>
      <c r="E2472" s="5" t="str">
        <f>VLOOKUP(F2472,'Set up'!$A$2:$C$70,2,FALSE)</f>
        <v>C00000042</v>
      </c>
      <c r="F2472" s="1" t="s">
        <v>2012</v>
      </c>
      <c r="G2472" s="99" t="s">
        <v>1073</v>
      </c>
      <c r="H2472" s="5">
        <v>1</v>
      </c>
      <c r="I2472" s="5" t="str">
        <f>VLOOKUP(F2472,'Set up'!$A$2:$C$70,3,FALSE)</f>
        <v>Cash</v>
      </c>
      <c r="J2472" s="5">
        <f>VLOOKUP(F2472,'Set up'!$A$2:$D$70,4,FALSE)</f>
        <v>0</v>
      </c>
      <c r="K2472" s="4">
        <f t="shared" si="599"/>
        <v>45281</v>
      </c>
      <c r="L2472" s="5">
        <f t="shared" si="600"/>
        <v>12</v>
      </c>
      <c r="M2472" s="5">
        <f t="shared" si="601"/>
        <v>2023</v>
      </c>
      <c r="N2472" s="96">
        <v>1000</v>
      </c>
      <c r="O2472" s="6">
        <f t="shared" si="608"/>
        <v>-1000</v>
      </c>
      <c r="P2472" s="6">
        <f t="shared" si="606"/>
        <v>0</v>
      </c>
      <c r="Q2472" s="7">
        <f t="shared" si="602"/>
        <v>4041299.850000002</v>
      </c>
      <c r="R2472" s="44" t="str">
        <f>VLOOKUP(F2472,'Set up'!$A$2:$E$70,5,FALSE)</f>
        <v>Trsf</v>
      </c>
      <c r="S2472" s="1" t="s">
        <v>2809</v>
      </c>
    </row>
    <row r="2473" spans="1:19" ht="15" customHeight="1" x14ac:dyDescent="0.3">
      <c r="A2473" s="4">
        <v>45281</v>
      </c>
      <c r="B2473" s="5">
        <f t="shared" si="597"/>
        <v>12</v>
      </c>
      <c r="C2473" s="5">
        <f t="shared" si="598"/>
        <v>2023</v>
      </c>
      <c r="D2473" s="88" t="s">
        <v>2205</v>
      </c>
      <c r="E2473" s="5" t="str">
        <f>VLOOKUP(F2473,'Set up'!$A$2:$C$70,2,FALSE)</f>
        <v>C00000026</v>
      </c>
      <c r="F2473" s="1" t="s">
        <v>784</v>
      </c>
      <c r="G2473" s="99" t="s">
        <v>17</v>
      </c>
      <c r="H2473" s="5">
        <v>1</v>
      </c>
      <c r="I2473" s="5" t="str">
        <f>VLOOKUP(F2473,'Set up'!$A$2:$C$70,3,FALSE)</f>
        <v>Cash</v>
      </c>
      <c r="J2473" s="5">
        <f>VLOOKUP(F2473,'Set up'!$A$2:$D$70,4,FALSE)</f>
        <v>0</v>
      </c>
      <c r="K2473" s="4">
        <f t="shared" si="599"/>
        <v>45281</v>
      </c>
      <c r="L2473" s="5">
        <f t="shared" si="600"/>
        <v>12</v>
      </c>
      <c r="M2473" s="5">
        <f t="shared" si="601"/>
        <v>2023</v>
      </c>
      <c r="N2473" s="96">
        <v>110</v>
      </c>
      <c r="O2473" s="6">
        <f t="shared" ref="O2473:O2480" si="609">-N2473</f>
        <v>-110</v>
      </c>
      <c r="P2473" s="6">
        <f t="shared" si="606"/>
        <v>0</v>
      </c>
      <c r="Q2473" s="7">
        <f t="shared" si="602"/>
        <v>4041409.850000002</v>
      </c>
      <c r="R2473" s="44" t="str">
        <f>VLOOKUP(F2473,'Set up'!$A$2:$E$70,5,FALSE)</f>
        <v>Trsf</v>
      </c>
      <c r="S2473" s="1" t="s">
        <v>2256</v>
      </c>
    </row>
    <row r="2474" spans="1:19" ht="15" customHeight="1" x14ac:dyDescent="0.3">
      <c r="A2474" s="4">
        <v>45281</v>
      </c>
      <c r="B2474" s="5">
        <f t="shared" si="597"/>
        <v>12</v>
      </c>
      <c r="C2474" s="5">
        <f t="shared" si="598"/>
        <v>2023</v>
      </c>
      <c r="D2474" s="88" t="s">
        <v>2205</v>
      </c>
      <c r="E2474" s="5" t="str">
        <f>VLOOKUP(F2474,'Set up'!$A$2:$C$70,2,FALSE)</f>
        <v>C00000026</v>
      </c>
      <c r="F2474" s="1" t="s">
        <v>784</v>
      </c>
      <c r="G2474" s="99" t="s">
        <v>2130</v>
      </c>
      <c r="H2474" s="5">
        <v>1</v>
      </c>
      <c r="I2474" s="5" t="str">
        <f>VLOOKUP(F2474,'Set up'!$A$2:$C$70,3,FALSE)</f>
        <v>Cash</v>
      </c>
      <c r="J2474" s="5">
        <f>VLOOKUP(F2474,'Set up'!$A$2:$D$70,4,FALSE)</f>
        <v>0</v>
      </c>
      <c r="K2474" s="4">
        <f t="shared" si="599"/>
        <v>45281</v>
      </c>
      <c r="L2474" s="5">
        <f t="shared" si="600"/>
        <v>12</v>
      </c>
      <c r="M2474" s="5">
        <f t="shared" si="601"/>
        <v>2023</v>
      </c>
      <c r="N2474" s="96">
        <v>62.5</v>
      </c>
      <c r="O2474" s="6">
        <f t="shared" si="609"/>
        <v>-62.5</v>
      </c>
      <c r="P2474" s="6">
        <f t="shared" si="606"/>
        <v>0</v>
      </c>
      <c r="Q2474" s="7">
        <f t="shared" si="602"/>
        <v>4041472.350000002</v>
      </c>
      <c r="R2474" s="44" t="str">
        <f>VLOOKUP(F2474,'Set up'!$A$2:$E$70,5,FALSE)</f>
        <v>Trsf</v>
      </c>
      <c r="S2474" s="1" t="s">
        <v>2256</v>
      </c>
    </row>
    <row r="2475" spans="1:19" ht="15" customHeight="1" x14ac:dyDescent="0.3">
      <c r="A2475" s="4">
        <v>45281</v>
      </c>
      <c r="B2475" s="5">
        <f t="shared" si="597"/>
        <v>12</v>
      </c>
      <c r="C2475" s="5">
        <f t="shared" si="598"/>
        <v>2023</v>
      </c>
      <c r="D2475" s="88" t="s">
        <v>2205</v>
      </c>
      <c r="E2475" s="5" t="str">
        <f>VLOOKUP(F2475,'Set up'!$A$2:$C$70,2,FALSE)</f>
        <v>C00000026</v>
      </c>
      <c r="F2475" s="1" t="s">
        <v>784</v>
      </c>
      <c r="G2475" s="99" t="s">
        <v>2144</v>
      </c>
      <c r="H2475" s="5">
        <v>1</v>
      </c>
      <c r="I2475" s="5" t="str">
        <f>VLOOKUP(F2475,'Set up'!$A$2:$C$70,3,FALSE)</f>
        <v>Cash</v>
      </c>
      <c r="J2475" s="5">
        <f>VLOOKUP(F2475,'Set up'!$A$2:$D$70,4,FALSE)</f>
        <v>0</v>
      </c>
      <c r="K2475" s="4">
        <f t="shared" si="599"/>
        <v>45281</v>
      </c>
      <c r="L2475" s="5">
        <f t="shared" si="600"/>
        <v>12</v>
      </c>
      <c r="M2475" s="5">
        <f t="shared" si="601"/>
        <v>2023</v>
      </c>
      <c r="N2475" s="96">
        <v>283.8</v>
      </c>
      <c r="O2475" s="6">
        <f t="shared" si="609"/>
        <v>-283.8</v>
      </c>
      <c r="P2475" s="6">
        <f t="shared" si="606"/>
        <v>0</v>
      </c>
      <c r="Q2475" s="7">
        <f t="shared" si="602"/>
        <v>4041756.1500000018</v>
      </c>
      <c r="R2475" s="44" t="str">
        <f>VLOOKUP(F2475,'Set up'!$A$2:$E$70,5,FALSE)</f>
        <v>Trsf</v>
      </c>
      <c r="S2475" s="1" t="s">
        <v>2256</v>
      </c>
    </row>
    <row r="2476" spans="1:19" ht="15" customHeight="1" x14ac:dyDescent="0.3">
      <c r="A2476" s="4">
        <v>45281</v>
      </c>
      <c r="B2476" s="5">
        <f t="shared" si="597"/>
        <v>12</v>
      </c>
      <c r="C2476" s="5">
        <f t="shared" si="598"/>
        <v>2023</v>
      </c>
      <c r="D2476" s="88" t="s">
        <v>2205</v>
      </c>
      <c r="E2476" s="5" t="str">
        <f>VLOOKUP(F2476,'Set up'!$A$2:$C$70,2,FALSE)</f>
        <v>C00000026</v>
      </c>
      <c r="F2476" s="1" t="s">
        <v>784</v>
      </c>
      <c r="G2476" s="99" t="s">
        <v>2145</v>
      </c>
      <c r="H2476" s="5">
        <v>1</v>
      </c>
      <c r="I2476" s="5" t="str">
        <f>VLOOKUP(F2476,'Set up'!$A$2:$C$70,3,FALSE)</f>
        <v>Cash</v>
      </c>
      <c r="J2476" s="5">
        <f>VLOOKUP(F2476,'Set up'!$A$2:$D$70,4,FALSE)</f>
        <v>0</v>
      </c>
      <c r="K2476" s="4">
        <f t="shared" si="599"/>
        <v>45281</v>
      </c>
      <c r="L2476" s="5">
        <f t="shared" si="600"/>
        <v>12</v>
      </c>
      <c r="M2476" s="5">
        <f t="shared" si="601"/>
        <v>2023</v>
      </c>
      <c r="N2476" s="96">
        <v>315</v>
      </c>
      <c r="O2476" s="6">
        <f t="shared" si="609"/>
        <v>-315</v>
      </c>
      <c r="P2476" s="6">
        <f t="shared" si="606"/>
        <v>0</v>
      </c>
      <c r="Q2476" s="7">
        <f t="shared" si="602"/>
        <v>4042071.1500000018</v>
      </c>
      <c r="R2476" s="44" t="str">
        <f>VLOOKUP(F2476,'Set up'!$A$2:$E$70,5,FALSE)</f>
        <v>Trsf</v>
      </c>
      <c r="S2476" s="1" t="s">
        <v>2256</v>
      </c>
    </row>
    <row r="2477" spans="1:19" ht="15" customHeight="1" x14ac:dyDescent="0.3">
      <c r="A2477" s="4">
        <v>45281</v>
      </c>
      <c r="B2477" s="5">
        <f t="shared" si="597"/>
        <v>12</v>
      </c>
      <c r="C2477" s="5">
        <f t="shared" si="598"/>
        <v>2023</v>
      </c>
      <c r="D2477" s="88" t="s">
        <v>2206</v>
      </c>
      <c r="E2477" s="5" t="str">
        <f>VLOOKUP(F2477,'Set up'!$A$2:$C$70,2,FALSE)</f>
        <v>C00000043</v>
      </c>
      <c r="F2477" s="1" t="s">
        <v>2134</v>
      </c>
      <c r="G2477" s="99" t="s">
        <v>1738</v>
      </c>
      <c r="H2477" s="5">
        <v>2</v>
      </c>
      <c r="I2477" s="5" t="str">
        <f>VLOOKUP(F2477,'Set up'!$A$2:$C$70,3,FALSE)</f>
        <v>Cash</v>
      </c>
      <c r="J2477" s="5">
        <f>VLOOKUP(F2477,'Set up'!$A$2:$D$70,4,FALSE)</f>
        <v>0</v>
      </c>
      <c r="K2477" s="4">
        <f t="shared" si="599"/>
        <v>45281</v>
      </c>
      <c r="L2477" s="5">
        <f t="shared" si="600"/>
        <v>12</v>
      </c>
      <c r="M2477" s="5">
        <f t="shared" si="601"/>
        <v>2023</v>
      </c>
      <c r="N2477" s="96">
        <v>3476</v>
      </c>
      <c r="O2477" s="6">
        <f t="shared" si="609"/>
        <v>-3476</v>
      </c>
      <c r="P2477" s="6">
        <f t="shared" si="606"/>
        <v>0</v>
      </c>
      <c r="Q2477" s="7">
        <f t="shared" si="602"/>
        <v>4045547.1500000018</v>
      </c>
      <c r="R2477" s="44" t="str">
        <f>VLOOKUP(F2477,'Set up'!$A$2:$E$70,5,FALSE)</f>
        <v>Trsf</v>
      </c>
      <c r="S2477" s="1" t="s">
        <v>2251</v>
      </c>
    </row>
    <row r="2478" spans="1:19" ht="15" customHeight="1" x14ac:dyDescent="0.3">
      <c r="A2478" s="4">
        <v>45281</v>
      </c>
      <c r="B2478" s="5">
        <f t="shared" si="597"/>
        <v>12</v>
      </c>
      <c r="C2478" s="5">
        <f t="shared" si="598"/>
        <v>2023</v>
      </c>
      <c r="D2478" s="88" t="s">
        <v>2206</v>
      </c>
      <c r="E2478" s="5" t="str">
        <f>VLOOKUP(F2478,'Set up'!$A$2:$C$70,2,FALSE)</f>
        <v>C00000043</v>
      </c>
      <c r="F2478" s="1" t="s">
        <v>2134</v>
      </c>
      <c r="G2478" s="99" t="s">
        <v>1390</v>
      </c>
      <c r="H2478" s="5">
        <v>1</v>
      </c>
      <c r="I2478" s="5" t="str">
        <f>VLOOKUP(F2478,'Set up'!$A$2:$C$70,3,FALSE)</f>
        <v>Cash</v>
      </c>
      <c r="J2478" s="5">
        <f>VLOOKUP(F2478,'Set up'!$A$2:$D$70,4,FALSE)</f>
        <v>0</v>
      </c>
      <c r="K2478" s="4">
        <f t="shared" si="599"/>
        <v>45281</v>
      </c>
      <c r="L2478" s="5">
        <f t="shared" si="600"/>
        <v>12</v>
      </c>
      <c r="M2478" s="5">
        <f t="shared" si="601"/>
        <v>2023</v>
      </c>
      <c r="N2478" s="96">
        <v>432</v>
      </c>
      <c r="O2478" s="6">
        <f t="shared" si="609"/>
        <v>-432</v>
      </c>
      <c r="P2478" s="6">
        <f t="shared" si="606"/>
        <v>0</v>
      </c>
      <c r="Q2478" s="7">
        <f t="shared" si="602"/>
        <v>4045979.1500000018</v>
      </c>
      <c r="R2478" s="44" t="str">
        <f>VLOOKUP(F2478,'Set up'!$A$2:$E$70,5,FALSE)</f>
        <v>Trsf</v>
      </c>
      <c r="S2478" s="1" t="s">
        <v>2251</v>
      </c>
    </row>
    <row r="2479" spans="1:19" ht="15" customHeight="1" x14ac:dyDescent="0.3">
      <c r="A2479" s="4">
        <v>45281</v>
      </c>
      <c r="B2479" s="5">
        <f t="shared" si="597"/>
        <v>12</v>
      </c>
      <c r="C2479" s="5">
        <f t="shared" si="598"/>
        <v>2023</v>
      </c>
      <c r="D2479" s="88" t="s">
        <v>2206</v>
      </c>
      <c r="E2479" s="5" t="str">
        <f>VLOOKUP(F2479,'Set up'!$A$2:$C$70,2,FALSE)</f>
        <v>C00000043</v>
      </c>
      <c r="F2479" s="1" t="s">
        <v>2134</v>
      </c>
      <c r="G2479" s="99" t="s">
        <v>2131</v>
      </c>
      <c r="H2479" s="5">
        <v>10</v>
      </c>
      <c r="I2479" s="5" t="str">
        <f>VLOOKUP(F2479,'Set up'!$A$2:$C$70,3,FALSE)</f>
        <v>Cash</v>
      </c>
      <c r="J2479" s="5">
        <f>VLOOKUP(F2479,'Set up'!$A$2:$D$70,4,FALSE)</f>
        <v>0</v>
      </c>
      <c r="K2479" s="4">
        <f t="shared" si="599"/>
        <v>45281</v>
      </c>
      <c r="L2479" s="5">
        <f t="shared" si="600"/>
        <v>12</v>
      </c>
      <c r="M2479" s="5">
        <f t="shared" si="601"/>
        <v>2023</v>
      </c>
      <c r="N2479" s="96">
        <v>600</v>
      </c>
      <c r="O2479" s="6">
        <f t="shared" si="609"/>
        <v>-600</v>
      </c>
      <c r="P2479" s="6">
        <f t="shared" si="606"/>
        <v>0</v>
      </c>
      <c r="Q2479" s="7">
        <f t="shared" si="602"/>
        <v>4046579.1500000018</v>
      </c>
      <c r="R2479" s="44" t="str">
        <f>VLOOKUP(F2479,'Set up'!$A$2:$E$70,5,FALSE)</f>
        <v>Trsf</v>
      </c>
      <c r="S2479" s="1" t="s">
        <v>2251</v>
      </c>
    </row>
    <row r="2480" spans="1:19" ht="15" customHeight="1" x14ac:dyDescent="0.3">
      <c r="A2480" s="4">
        <v>45281</v>
      </c>
      <c r="B2480" s="5">
        <f t="shared" si="597"/>
        <v>12</v>
      </c>
      <c r="C2480" s="5">
        <f t="shared" si="598"/>
        <v>2023</v>
      </c>
      <c r="D2480" s="88" t="s">
        <v>2206</v>
      </c>
      <c r="E2480" s="5" t="str">
        <f>VLOOKUP(F2480,'Set up'!$A$2:$C$70,2,FALSE)</f>
        <v>C00000043</v>
      </c>
      <c r="F2480" s="1" t="s">
        <v>2134</v>
      </c>
      <c r="G2480" s="99" t="s">
        <v>46</v>
      </c>
      <c r="H2480" s="5">
        <v>2</v>
      </c>
      <c r="I2480" s="5" t="str">
        <f>VLOOKUP(F2480,'Set up'!$A$2:$C$70,3,FALSE)</f>
        <v>Cash</v>
      </c>
      <c r="J2480" s="5">
        <f>VLOOKUP(F2480,'Set up'!$A$2:$D$70,4,FALSE)</f>
        <v>0</v>
      </c>
      <c r="K2480" s="4">
        <f t="shared" si="599"/>
        <v>45281</v>
      </c>
      <c r="L2480" s="5">
        <f t="shared" si="600"/>
        <v>12</v>
      </c>
      <c r="M2480" s="5">
        <f t="shared" si="601"/>
        <v>2023</v>
      </c>
      <c r="N2480" s="96">
        <v>220</v>
      </c>
      <c r="O2480" s="6">
        <f t="shared" si="609"/>
        <v>-220</v>
      </c>
      <c r="P2480" s="6">
        <f t="shared" si="606"/>
        <v>0</v>
      </c>
      <c r="Q2480" s="7">
        <f t="shared" si="602"/>
        <v>4046799.1500000018</v>
      </c>
      <c r="R2480" s="44" t="str">
        <f>VLOOKUP(F2480,'Set up'!$A$2:$E$70,5,FALSE)</f>
        <v>Trsf</v>
      </c>
      <c r="S2480" s="1" t="s">
        <v>2251</v>
      </c>
    </row>
    <row r="2481" spans="1:19" ht="15" customHeight="1" x14ac:dyDescent="0.3">
      <c r="A2481" s="4">
        <v>45282</v>
      </c>
      <c r="B2481" s="5">
        <f t="shared" si="597"/>
        <v>12</v>
      </c>
      <c r="C2481" s="5">
        <f t="shared" si="598"/>
        <v>2023</v>
      </c>
      <c r="D2481" s="88" t="s">
        <v>2207</v>
      </c>
      <c r="E2481" s="5" t="str">
        <f>VLOOKUP(F2481,'Set up'!$A$2:$C$70,2,FALSE)</f>
        <v>C00000026</v>
      </c>
      <c r="F2481" s="1" t="s">
        <v>784</v>
      </c>
      <c r="G2481" s="99" t="s">
        <v>1399</v>
      </c>
      <c r="H2481" s="5">
        <v>1</v>
      </c>
      <c r="I2481" s="5" t="str">
        <f>VLOOKUP(F2481,'Set up'!$A$2:$C$70,3,FALSE)</f>
        <v>Cash</v>
      </c>
      <c r="J2481" s="5">
        <f>VLOOKUP(F2481,'Set up'!$A$2:$D$70,4,FALSE)</f>
        <v>0</v>
      </c>
      <c r="K2481" s="4">
        <f t="shared" si="599"/>
        <v>45282</v>
      </c>
      <c r="L2481" s="5">
        <f t="shared" si="600"/>
        <v>12</v>
      </c>
      <c r="M2481" s="5">
        <f t="shared" si="601"/>
        <v>2023</v>
      </c>
      <c r="N2481" s="96">
        <v>175</v>
      </c>
      <c r="O2481" s="6">
        <f t="shared" ref="O2481:O2484" si="610">-N2481</f>
        <v>-175</v>
      </c>
      <c r="P2481" s="6">
        <f t="shared" si="606"/>
        <v>0</v>
      </c>
      <c r="Q2481" s="7">
        <f t="shared" si="602"/>
        <v>4046974.1500000018</v>
      </c>
      <c r="R2481" s="44" t="str">
        <f>VLOOKUP(F2481,'Set up'!$A$2:$E$70,5,FALSE)</f>
        <v>Trsf</v>
      </c>
      <c r="S2481" s="1" t="s">
        <v>2257</v>
      </c>
    </row>
    <row r="2482" spans="1:19" ht="15" customHeight="1" x14ac:dyDescent="0.3">
      <c r="A2482" s="4">
        <v>45282</v>
      </c>
      <c r="B2482" s="5">
        <f t="shared" si="597"/>
        <v>12</v>
      </c>
      <c r="C2482" s="5">
        <f t="shared" si="598"/>
        <v>2023</v>
      </c>
      <c r="D2482" s="88" t="s">
        <v>2208</v>
      </c>
      <c r="E2482" s="5" t="str">
        <f>VLOOKUP(F2482,'Set up'!$A$2:$C$70,2,FALSE)</f>
        <v>C00000021</v>
      </c>
      <c r="F2482" s="1" t="s">
        <v>491</v>
      </c>
      <c r="G2482" s="99" t="s">
        <v>67</v>
      </c>
      <c r="H2482" s="5">
        <v>1</v>
      </c>
      <c r="I2482" s="5" t="str">
        <f>VLOOKUP(F2482,'Set up'!$A$2:$C$70,3,FALSE)</f>
        <v>Cash</v>
      </c>
      <c r="J2482" s="5">
        <f>VLOOKUP(F2482,'Set up'!$A$2:$D$70,4,FALSE)</f>
        <v>0</v>
      </c>
      <c r="K2482" s="4">
        <f t="shared" si="599"/>
        <v>45282</v>
      </c>
      <c r="L2482" s="5">
        <f t="shared" si="600"/>
        <v>12</v>
      </c>
      <c r="M2482" s="5">
        <f t="shared" si="601"/>
        <v>2023</v>
      </c>
      <c r="N2482" s="96">
        <v>1738</v>
      </c>
      <c r="O2482" s="6">
        <f t="shared" si="610"/>
        <v>-1738</v>
      </c>
      <c r="P2482" s="6">
        <f t="shared" si="606"/>
        <v>0</v>
      </c>
      <c r="Q2482" s="7">
        <f t="shared" si="602"/>
        <v>4048712.1500000018</v>
      </c>
      <c r="R2482" s="44" t="str">
        <f>VLOOKUP(F2482,'Set up'!$A$2:$E$70,5,FALSE)</f>
        <v>PD Chq</v>
      </c>
      <c r="S2482" s="1" t="s">
        <v>4066</v>
      </c>
    </row>
    <row r="2483" spans="1:19" ht="15" customHeight="1" x14ac:dyDescent="0.3">
      <c r="A2483" s="4">
        <v>45282</v>
      </c>
      <c r="B2483" s="5">
        <f t="shared" si="597"/>
        <v>12</v>
      </c>
      <c r="C2483" s="5">
        <f t="shared" si="598"/>
        <v>2023</v>
      </c>
      <c r="D2483" s="88" t="s">
        <v>2208</v>
      </c>
      <c r="E2483" s="5" t="str">
        <f>VLOOKUP(F2483,'Set up'!$A$2:$C$70,2,FALSE)</f>
        <v>C00000021</v>
      </c>
      <c r="F2483" s="1" t="s">
        <v>491</v>
      </c>
      <c r="G2483" s="99" t="s">
        <v>1061</v>
      </c>
      <c r="H2483" s="5">
        <v>1</v>
      </c>
      <c r="I2483" s="5" t="str">
        <f>VLOOKUP(F2483,'Set up'!$A$2:$C$70,3,FALSE)</f>
        <v>Cash</v>
      </c>
      <c r="J2483" s="5">
        <f>VLOOKUP(F2483,'Set up'!$A$2:$D$70,4,FALSE)</f>
        <v>0</v>
      </c>
      <c r="K2483" s="4">
        <f t="shared" si="599"/>
        <v>45282</v>
      </c>
      <c r="L2483" s="5">
        <f t="shared" si="600"/>
        <v>12</v>
      </c>
      <c r="M2483" s="5">
        <f t="shared" si="601"/>
        <v>2023</v>
      </c>
      <c r="N2483" s="96">
        <v>95</v>
      </c>
      <c r="O2483" s="6">
        <f t="shared" si="610"/>
        <v>-95</v>
      </c>
      <c r="P2483" s="6">
        <f t="shared" si="606"/>
        <v>0</v>
      </c>
      <c r="Q2483" s="7">
        <f t="shared" si="602"/>
        <v>4048807.1500000018</v>
      </c>
      <c r="R2483" s="44" t="str">
        <f>VLOOKUP(F2483,'Set up'!$A$2:$E$70,5,FALSE)</f>
        <v>PD Chq</v>
      </c>
      <c r="S2483" s="1" t="s">
        <v>4066</v>
      </c>
    </row>
    <row r="2484" spans="1:19" ht="15" customHeight="1" x14ac:dyDescent="0.3">
      <c r="A2484" s="4">
        <v>45282</v>
      </c>
      <c r="B2484" s="5">
        <f t="shared" si="597"/>
        <v>12</v>
      </c>
      <c r="C2484" s="5">
        <f t="shared" si="598"/>
        <v>2023</v>
      </c>
      <c r="D2484" s="88" t="s">
        <v>2208</v>
      </c>
      <c r="E2484" s="5" t="str">
        <f>VLOOKUP(F2484,'Set up'!$A$2:$C$70,2,FALSE)</f>
        <v>C00000021</v>
      </c>
      <c r="F2484" s="1" t="s">
        <v>491</v>
      </c>
      <c r="G2484" s="99" t="s">
        <v>2130</v>
      </c>
      <c r="H2484" s="5">
        <v>5</v>
      </c>
      <c r="I2484" s="5" t="str">
        <f>VLOOKUP(F2484,'Set up'!$A$2:$C$70,3,FALSE)</f>
        <v>Cash</v>
      </c>
      <c r="J2484" s="5">
        <f>VLOOKUP(F2484,'Set up'!$A$2:$D$70,4,FALSE)</f>
        <v>0</v>
      </c>
      <c r="K2484" s="4">
        <f t="shared" si="599"/>
        <v>45282</v>
      </c>
      <c r="L2484" s="5">
        <f t="shared" si="600"/>
        <v>12</v>
      </c>
      <c r="M2484" s="5">
        <f t="shared" si="601"/>
        <v>2023</v>
      </c>
      <c r="N2484" s="96">
        <v>312.5</v>
      </c>
      <c r="O2484" s="6">
        <f t="shared" si="610"/>
        <v>-312.5</v>
      </c>
      <c r="P2484" s="6">
        <f t="shared" si="606"/>
        <v>0</v>
      </c>
      <c r="Q2484" s="7">
        <f t="shared" si="602"/>
        <v>4049119.6500000018</v>
      </c>
      <c r="R2484" s="44" t="str">
        <f>VLOOKUP(F2484,'Set up'!$A$2:$E$70,5,FALSE)</f>
        <v>PD Chq</v>
      </c>
      <c r="S2484" s="1" t="s">
        <v>4066</v>
      </c>
    </row>
    <row r="2485" spans="1:19" ht="15" customHeight="1" x14ac:dyDescent="0.3">
      <c r="A2485" s="4">
        <v>45287</v>
      </c>
      <c r="B2485" s="5">
        <f t="shared" si="597"/>
        <v>12</v>
      </c>
      <c r="C2485" s="5">
        <f t="shared" si="598"/>
        <v>2023</v>
      </c>
      <c r="D2485" s="88" t="s">
        <v>2209</v>
      </c>
      <c r="E2485" s="5" t="str">
        <f>VLOOKUP(F2485,'Set up'!$A$2:$C$70,2,FALSE)</f>
        <v>C00000042</v>
      </c>
      <c r="F2485" s="1" t="s">
        <v>2012</v>
      </c>
      <c r="G2485" s="99" t="s">
        <v>2130</v>
      </c>
      <c r="H2485" s="5">
        <v>5</v>
      </c>
      <c r="I2485" s="5" t="str">
        <f>VLOOKUP(F2485,'Set up'!$A$2:$C$70,3,FALSE)</f>
        <v>Cash</v>
      </c>
      <c r="J2485" s="5">
        <f>VLOOKUP(F2485,'Set up'!$A$2:$D$70,4,FALSE)</f>
        <v>0</v>
      </c>
      <c r="K2485" s="4">
        <f t="shared" si="599"/>
        <v>45287</v>
      </c>
      <c r="L2485" s="5">
        <f t="shared" si="600"/>
        <v>12</v>
      </c>
      <c r="M2485" s="5">
        <f t="shared" si="601"/>
        <v>2023</v>
      </c>
      <c r="N2485" s="96">
        <v>312.5</v>
      </c>
      <c r="O2485" s="6">
        <f>-N2485</f>
        <v>-312.5</v>
      </c>
      <c r="P2485" s="6">
        <f t="shared" si="606"/>
        <v>0</v>
      </c>
      <c r="Q2485" s="7">
        <f t="shared" si="602"/>
        <v>4049432.1500000018</v>
      </c>
      <c r="R2485" s="44" t="str">
        <f>VLOOKUP(F2485,'Set up'!$A$2:$E$70,5,FALSE)</f>
        <v>Trsf</v>
      </c>
      <c r="S2485" s="1" t="s">
        <v>2816</v>
      </c>
    </row>
    <row r="2486" spans="1:19" ht="15" customHeight="1" x14ac:dyDescent="0.3">
      <c r="A2486" s="4">
        <v>45287</v>
      </c>
      <c r="B2486" s="5">
        <f t="shared" si="597"/>
        <v>12</v>
      </c>
      <c r="C2486" s="5">
        <f t="shared" si="598"/>
        <v>2023</v>
      </c>
      <c r="D2486" s="88" t="s">
        <v>2210</v>
      </c>
      <c r="E2486" s="5" t="str">
        <f>VLOOKUP(F2486,'Set up'!$A$2:$C$70,2,FALSE)</f>
        <v>C00000042</v>
      </c>
      <c r="F2486" s="1" t="s">
        <v>2012</v>
      </c>
      <c r="G2486" s="99" t="s">
        <v>1733</v>
      </c>
      <c r="H2486" s="5">
        <v>5</v>
      </c>
      <c r="I2486" s="5" t="str">
        <f>VLOOKUP(F2486,'Set up'!$A$2:$C$70,3,FALSE)</f>
        <v>Cash</v>
      </c>
      <c r="J2486" s="5">
        <f>VLOOKUP(F2486,'Set up'!$A$2:$D$70,4,FALSE)</f>
        <v>0</v>
      </c>
      <c r="K2486" s="4">
        <f t="shared" si="599"/>
        <v>45287</v>
      </c>
      <c r="L2486" s="5">
        <f t="shared" si="600"/>
        <v>12</v>
      </c>
      <c r="M2486" s="5">
        <f t="shared" si="601"/>
        <v>2023</v>
      </c>
      <c r="N2486" s="96">
        <v>8030</v>
      </c>
      <c r="O2486" s="6">
        <f>-N2486</f>
        <v>-8030</v>
      </c>
      <c r="P2486" s="6">
        <f t="shared" si="606"/>
        <v>0</v>
      </c>
      <c r="Q2486" s="7">
        <f t="shared" si="602"/>
        <v>4057462.1500000018</v>
      </c>
      <c r="R2486" s="44" t="str">
        <f>VLOOKUP(F2486,'Set up'!$A$2:$E$70,5,FALSE)</f>
        <v>Trsf</v>
      </c>
      <c r="S2486" s="1" t="s">
        <v>2817</v>
      </c>
    </row>
    <row r="2487" spans="1:19" ht="15" customHeight="1" x14ac:dyDescent="0.3">
      <c r="A2487" s="4">
        <v>45287</v>
      </c>
      <c r="B2487" s="5">
        <f t="shared" si="597"/>
        <v>12</v>
      </c>
      <c r="C2487" s="5">
        <f t="shared" si="598"/>
        <v>2023</v>
      </c>
      <c r="D2487" s="88" t="s">
        <v>2210</v>
      </c>
      <c r="E2487" s="5" t="str">
        <f>VLOOKUP(F2487,'Set up'!$A$2:$C$70,2,FALSE)</f>
        <v>C00000042</v>
      </c>
      <c r="F2487" s="1" t="s">
        <v>2012</v>
      </c>
      <c r="G2487" s="99" t="s">
        <v>1796</v>
      </c>
      <c r="H2487" s="5">
        <v>11</v>
      </c>
      <c r="I2487" s="5" t="str">
        <f>VLOOKUP(F2487,'Set up'!$A$2:$C$70,3,FALSE)</f>
        <v>Cash</v>
      </c>
      <c r="J2487" s="5">
        <f>VLOOKUP(F2487,'Set up'!$A$2:$D$70,4,FALSE)</f>
        <v>0</v>
      </c>
      <c r="K2487" s="4">
        <f t="shared" si="599"/>
        <v>45287</v>
      </c>
      <c r="L2487" s="5">
        <f t="shared" si="600"/>
        <v>12</v>
      </c>
      <c r="M2487" s="5">
        <f t="shared" si="601"/>
        <v>2023</v>
      </c>
      <c r="N2487" s="96">
        <v>1914</v>
      </c>
      <c r="O2487" s="6">
        <f>-1401-513</f>
        <v>-1914</v>
      </c>
      <c r="P2487" s="6">
        <f t="shared" si="606"/>
        <v>0</v>
      </c>
      <c r="Q2487" s="7">
        <f t="shared" si="602"/>
        <v>4059376.1500000018</v>
      </c>
      <c r="R2487" s="44" t="str">
        <f>VLOOKUP(F2487,'Set up'!$A$2:$E$70,5,FALSE)</f>
        <v>Trsf</v>
      </c>
      <c r="S2487" s="1" t="s">
        <v>2818</v>
      </c>
    </row>
    <row r="2488" spans="1:19" ht="15" customHeight="1" x14ac:dyDescent="0.3">
      <c r="A2488" s="4">
        <v>45287</v>
      </c>
      <c r="B2488" s="5">
        <f t="shared" si="597"/>
        <v>12</v>
      </c>
      <c r="C2488" s="5">
        <f t="shared" si="598"/>
        <v>2023</v>
      </c>
      <c r="D2488" s="88" t="s">
        <v>2210</v>
      </c>
      <c r="E2488" s="5" t="str">
        <f>VLOOKUP(F2488,'Set up'!$A$2:$C$70,2,FALSE)</f>
        <v>C00000042</v>
      </c>
      <c r="F2488" s="1" t="s">
        <v>2012</v>
      </c>
      <c r="G2488" s="99" t="s">
        <v>1922</v>
      </c>
      <c r="H2488" s="5">
        <v>6</v>
      </c>
      <c r="I2488" s="5" t="str">
        <f>VLOOKUP(F2488,'Set up'!$A$2:$C$70,3,FALSE)</f>
        <v>Cash</v>
      </c>
      <c r="J2488" s="5">
        <f>VLOOKUP(F2488,'Set up'!$A$2:$D$70,4,FALSE)</f>
        <v>0</v>
      </c>
      <c r="K2488" s="4">
        <f t="shared" si="599"/>
        <v>45287</v>
      </c>
      <c r="L2488" s="5">
        <f t="shared" si="600"/>
        <v>12</v>
      </c>
      <c r="M2488" s="5">
        <f t="shared" si="601"/>
        <v>2023</v>
      </c>
      <c r="N2488" s="96">
        <v>1404</v>
      </c>
      <c r="O2488" s="6">
        <f>-N2488</f>
        <v>-1404</v>
      </c>
      <c r="P2488" s="6">
        <f t="shared" si="606"/>
        <v>0</v>
      </c>
      <c r="Q2488" s="7">
        <f t="shared" si="602"/>
        <v>4060780.1500000018</v>
      </c>
      <c r="R2488" s="44" t="str">
        <f>VLOOKUP(F2488,'Set up'!$A$2:$E$70,5,FALSE)</f>
        <v>Trsf</v>
      </c>
      <c r="S2488" s="1" t="s">
        <v>2819</v>
      </c>
    </row>
    <row r="2489" spans="1:19" ht="15" customHeight="1" x14ac:dyDescent="0.3">
      <c r="A2489" s="4">
        <v>45287</v>
      </c>
      <c r="B2489" s="5">
        <f t="shared" si="597"/>
        <v>12</v>
      </c>
      <c r="C2489" s="5">
        <f t="shared" si="598"/>
        <v>2023</v>
      </c>
      <c r="D2489" s="88" t="s">
        <v>2210</v>
      </c>
      <c r="E2489" s="5" t="str">
        <f>VLOOKUP(F2489,'Set up'!$A$2:$C$70,2,FALSE)</f>
        <v>C00000042</v>
      </c>
      <c r="F2489" s="1" t="s">
        <v>2012</v>
      </c>
      <c r="G2489" s="99" t="s">
        <v>1073</v>
      </c>
      <c r="H2489" s="5">
        <v>1</v>
      </c>
      <c r="I2489" s="5" t="str">
        <f>VLOOKUP(F2489,'Set up'!$A$2:$C$70,3,FALSE)</f>
        <v>Cash</v>
      </c>
      <c r="J2489" s="5">
        <f>VLOOKUP(F2489,'Set up'!$A$2:$D$70,4,FALSE)</f>
        <v>0</v>
      </c>
      <c r="K2489" s="4">
        <f t="shared" si="599"/>
        <v>45287</v>
      </c>
      <c r="L2489" s="5">
        <f t="shared" si="600"/>
        <v>12</v>
      </c>
      <c r="M2489" s="5">
        <f t="shared" si="601"/>
        <v>2023</v>
      </c>
      <c r="N2489" s="96">
        <v>1000</v>
      </c>
      <c r="O2489" s="6">
        <f>-N2489</f>
        <v>-1000</v>
      </c>
      <c r="P2489" s="6">
        <f t="shared" si="606"/>
        <v>0</v>
      </c>
      <c r="Q2489" s="7">
        <f t="shared" si="602"/>
        <v>4061780.1500000018</v>
      </c>
      <c r="R2489" s="44" t="str">
        <f>VLOOKUP(F2489,'Set up'!$A$2:$E$70,5,FALSE)</f>
        <v>Trsf</v>
      </c>
      <c r="S2489" s="1" t="s">
        <v>2820</v>
      </c>
    </row>
    <row r="2490" spans="1:19" ht="15" customHeight="1" x14ac:dyDescent="0.3">
      <c r="A2490" s="4">
        <v>45290</v>
      </c>
      <c r="B2490" s="5">
        <f t="shared" si="597"/>
        <v>12</v>
      </c>
      <c r="C2490" s="5">
        <f t="shared" si="598"/>
        <v>2023</v>
      </c>
      <c r="D2490" s="88" t="s">
        <v>2211</v>
      </c>
      <c r="E2490" s="5" t="str">
        <f>VLOOKUP(F2490,'Set up'!$A$2:$C$70,2,FALSE)</f>
        <v>C00000042</v>
      </c>
      <c r="F2490" s="1" t="s">
        <v>2012</v>
      </c>
      <c r="G2490" s="99" t="s">
        <v>2130</v>
      </c>
      <c r="H2490" s="5">
        <v>10</v>
      </c>
      <c r="I2490" s="5" t="str">
        <f>VLOOKUP(F2490,'Set up'!$A$2:$C$70,3,FALSE)</f>
        <v>Cash</v>
      </c>
      <c r="J2490" s="5">
        <f>VLOOKUP(F2490,'Set up'!$A$2:$D$70,4,FALSE)</f>
        <v>0</v>
      </c>
      <c r="K2490" s="4">
        <f t="shared" si="599"/>
        <v>45290</v>
      </c>
      <c r="L2490" s="5">
        <f t="shared" si="600"/>
        <v>12</v>
      </c>
      <c r="M2490" s="5">
        <f t="shared" si="601"/>
        <v>2023</v>
      </c>
      <c r="N2490" s="96">
        <v>625</v>
      </c>
      <c r="O2490" s="6">
        <f>-N2490</f>
        <v>-625</v>
      </c>
      <c r="P2490" s="6">
        <f t="shared" si="606"/>
        <v>0</v>
      </c>
      <c r="Q2490" s="7">
        <f t="shared" si="602"/>
        <v>4062405.1500000018</v>
      </c>
      <c r="R2490" s="44" t="str">
        <f>VLOOKUP(F2490,'Set up'!$A$2:$E$70,5,FALSE)</f>
        <v>Trsf</v>
      </c>
      <c r="S2490" s="1" t="s">
        <v>2821</v>
      </c>
    </row>
    <row r="2491" spans="1:19" ht="15" customHeight="1" x14ac:dyDescent="0.3">
      <c r="A2491" s="4">
        <v>45290</v>
      </c>
      <c r="B2491" s="5">
        <f t="shared" si="597"/>
        <v>12</v>
      </c>
      <c r="C2491" s="5">
        <f t="shared" si="598"/>
        <v>2023</v>
      </c>
      <c r="D2491" s="88" t="s">
        <v>2212</v>
      </c>
      <c r="E2491" s="5" t="str">
        <f>VLOOKUP(F2491,'Set up'!$A$2:$C$70,2,FALSE)</f>
        <v>C00000042</v>
      </c>
      <c r="F2491" s="1" t="s">
        <v>2012</v>
      </c>
      <c r="G2491" s="99" t="s">
        <v>1894</v>
      </c>
      <c r="H2491" s="5">
        <v>5</v>
      </c>
      <c r="I2491" s="5" t="str">
        <f>VLOOKUP(F2491,'Set up'!$A$2:$C$70,3,FALSE)</f>
        <v>Cash</v>
      </c>
      <c r="J2491" s="5">
        <f>VLOOKUP(F2491,'Set up'!$A$2:$D$70,4,FALSE)</f>
        <v>0</v>
      </c>
      <c r="K2491" s="4">
        <f t="shared" si="599"/>
        <v>45290</v>
      </c>
      <c r="L2491" s="5">
        <f t="shared" si="600"/>
        <v>12</v>
      </c>
      <c r="M2491" s="5">
        <f t="shared" si="601"/>
        <v>2023</v>
      </c>
      <c r="N2491" s="96">
        <v>8030</v>
      </c>
      <c r="O2491" s="6">
        <f>-3458-4572</f>
        <v>-8030</v>
      </c>
      <c r="P2491" s="6">
        <f t="shared" si="606"/>
        <v>0</v>
      </c>
      <c r="Q2491" s="7">
        <f t="shared" si="602"/>
        <v>4070435.1500000018</v>
      </c>
      <c r="R2491" s="44" t="str">
        <f>VLOOKUP(F2491,'Set up'!$A$2:$E$70,5,FALSE)</f>
        <v>Trsf</v>
      </c>
      <c r="S2491" s="1" t="s">
        <v>2822</v>
      </c>
    </row>
    <row r="2492" spans="1:19" ht="15" customHeight="1" x14ac:dyDescent="0.3">
      <c r="A2492" s="4">
        <v>45290</v>
      </c>
      <c r="B2492" s="5">
        <f t="shared" si="597"/>
        <v>12</v>
      </c>
      <c r="C2492" s="5">
        <f t="shared" si="598"/>
        <v>2023</v>
      </c>
      <c r="D2492" s="88" t="s">
        <v>2212</v>
      </c>
      <c r="E2492" s="5" t="str">
        <f>VLOOKUP(F2492,'Set up'!$A$2:$C$70,2,FALSE)</f>
        <v>C00000042</v>
      </c>
      <c r="F2492" s="1" t="s">
        <v>2012</v>
      </c>
      <c r="G2492" s="99" t="s">
        <v>1796</v>
      </c>
      <c r="H2492" s="5">
        <v>15</v>
      </c>
      <c r="I2492" s="5" t="str">
        <f>VLOOKUP(F2492,'Set up'!$A$2:$C$70,3,FALSE)</f>
        <v>Cash</v>
      </c>
      <c r="J2492" s="5">
        <f>VLOOKUP(F2492,'Set up'!$A$2:$D$70,4,FALSE)</f>
        <v>0</v>
      </c>
      <c r="K2492" s="4">
        <f t="shared" si="599"/>
        <v>45290</v>
      </c>
      <c r="L2492" s="5">
        <f t="shared" si="600"/>
        <v>12</v>
      </c>
      <c r="M2492" s="5">
        <f t="shared" si="601"/>
        <v>2023</v>
      </c>
      <c r="N2492" s="96">
        <v>2610</v>
      </c>
      <c r="O2492" s="6">
        <f>-N2492</f>
        <v>-2610</v>
      </c>
      <c r="P2492" s="6">
        <f t="shared" si="606"/>
        <v>0</v>
      </c>
      <c r="Q2492" s="7">
        <f t="shared" si="602"/>
        <v>4073045.1500000018</v>
      </c>
      <c r="R2492" s="44" t="str">
        <f>VLOOKUP(F2492,'Set up'!$A$2:$E$70,5,FALSE)</f>
        <v>Trsf</v>
      </c>
      <c r="S2492" s="1" t="s">
        <v>2794</v>
      </c>
    </row>
    <row r="2493" spans="1:19" ht="15" customHeight="1" x14ac:dyDescent="0.3">
      <c r="A2493" s="4">
        <v>45290</v>
      </c>
      <c r="B2493" s="5">
        <f t="shared" si="597"/>
        <v>12</v>
      </c>
      <c r="C2493" s="5">
        <f t="shared" si="598"/>
        <v>2023</v>
      </c>
      <c r="D2493" s="88" t="s">
        <v>2212</v>
      </c>
      <c r="E2493" s="5" t="str">
        <f>VLOOKUP(F2493,'Set up'!$A$2:$C$70,2,FALSE)</f>
        <v>C00000042</v>
      </c>
      <c r="F2493" s="1" t="s">
        <v>2012</v>
      </c>
      <c r="G2493" s="99" t="s">
        <v>1922</v>
      </c>
      <c r="H2493" s="5">
        <v>9</v>
      </c>
      <c r="I2493" s="5" t="str">
        <f>VLOOKUP(F2493,'Set up'!$A$2:$C$70,3,FALSE)</f>
        <v>Cash</v>
      </c>
      <c r="J2493" s="5">
        <f>VLOOKUP(F2493,'Set up'!$A$2:$D$70,4,FALSE)</f>
        <v>0</v>
      </c>
      <c r="K2493" s="4">
        <f t="shared" si="599"/>
        <v>45290</v>
      </c>
      <c r="L2493" s="5">
        <f t="shared" si="600"/>
        <v>12</v>
      </c>
      <c r="M2493" s="5">
        <f t="shared" si="601"/>
        <v>2023</v>
      </c>
      <c r="N2493" s="96">
        <v>2106</v>
      </c>
      <c r="O2493" s="6">
        <f>-N2493</f>
        <v>-2106</v>
      </c>
      <c r="P2493" s="6">
        <f t="shared" si="606"/>
        <v>0</v>
      </c>
      <c r="Q2493" s="7">
        <f t="shared" si="602"/>
        <v>4075151.1500000018</v>
      </c>
      <c r="R2493" s="44" t="str">
        <f>VLOOKUP(F2493,'Set up'!$A$2:$E$70,5,FALSE)</f>
        <v>Trsf</v>
      </c>
      <c r="S2493" s="1" t="s">
        <v>2795</v>
      </c>
    </row>
    <row r="2494" spans="1:19" ht="15" customHeight="1" x14ac:dyDescent="0.3">
      <c r="A2494" s="4">
        <v>45290</v>
      </c>
      <c r="B2494" s="5">
        <f t="shared" si="597"/>
        <v>12</v>
      </c>
      <c r="C2494" s="5">
        <f t="shared" si="598"/>
        <v>2023</v>
      </c>
      <c r="D2494" s="88" t="s">
        <v>2212</v>
      </c>
      <c r="E2494" s="5" t="str">
        <f>VLOOKUP(F2494,'Set up'!$A$2:$C$70,2,FALSE)</f>
        <v>C00000042</v>
      </c>
      <c r="F2494" s="1" t="s">
        <v>2012</v>
      </c>
      <c r="G2494" s="99" t="s">
        <v>1013</v>
      </c>
      <c r="H2494" s="5">
        <v>1</v>
      </c>
      <c r="I2494" s="5" t="str">
        <f>VLOOKUP(F2494,'Set up'!$A$2:$C$70,3,FALSE)</f>
        <v>Cash</v>
      </c>
      <c r="J2494" s="5">
        <f>VLOOKUP(F2494,'Set up'!$A$2:$D$70,4,FALSE)</f>
        <v>0</v>
      </c>
      <c r="K2494" s="4">
        <f t="shared" si="599"/>
        <v>45290</v>
      </c>
      <c r="L2494" s="5">
        <f t="shared" si="600"/>
        <v>12</v>
      </c>
      <c r="M2494" s="5">
        <f t="shared" si="601"/>
        <v>2023</v>
      </c>
      <c r="N2494" s="96">
        <v>208</v>
      </c>
      <c r="O2494" s="6">
        <f>-N2494</f>
        <v>-208</v>
      </c>
      <c r="P2494" s="6">
        <f t="shared" si="606"/>
        <v>0</v>
      </c>
      <c r="Q2494" s="7">
        <f t="shared" si="602"/>
        <v>4075359.1500000018</v>
      </c>
      <c r="R2494" s="44" t="str">
        <f>VLOOKUP(F2494,'Set up'!$A$2:$E$70,5,FALSE)</f>
        <v>Trsf</v>
      </c>
      <c r="S2494" s="1" t="s">
        <v>2797</v>
      </c>
    </row>
    <row r="2495" spans="1:19" ht="15" customHeight="1" x14ac:dyDescent="0.3">
      <c r="A2495" s="4">
        <v>45290</v>
      </c>
      <c r="B2495" s="5">
        <f t="shared" si="597"/>
        <v>12</v>
      </c>
      <c r="C2495" s="5">
        <f t="shared" si="598"/>
        <v>2023</v>
      </c>
      <c r="D2495" s="88" t="s">
        <v>2212</v>
      </c>
      <c r="E2495" s="5" t="str">
        <f>VLOOKUP(F2495,'Set up'!$A$2:$C$70,2,FALSE)</f>
        <v>C00000042</v>
      </c>
      <c r="F2495" s="1" t="s">
        <v>2012</v>
      </c>
      <c r="G2495" s="99" t="s">
        <v>1061</v>
      </c>
      <c r="H2495" s="5">
        <v>4</v>
      </c>
      <c r="I2495" s="5" t="str">
        <f>VLOOKUP(F2495,'Set up'!$A$2:$C$70,3,FALSE)</f>
        <v>Cash</v>
      </c>
      <c r="J2495" s="5">
        <f>VLOOKUP(F2495,'Set up'!$A$2:$D$70,4,FALSE)</f>
        <v>0</v>
      </c>
      <c r="K2495" s="4">
        <f t="shared" si="599"/>
        <v>45290</v>
      </c>
      <c r="L2495" s="5">
        <f t="shared" si="600"/>
        <v>12</v>
      </c>
      <c r="M2495" s="5">
        <f t="shared" si="601"/>
        <v>2023</v>
      </c>
      <c r="N2495" s="96">
        <v>380</v>
      </c>
      <c r="O2495" s="6">
        <f>-N2495</f>
        <v>-380</v>
      </c>
      <c r="P2495" s="6">
        <f t="shared" si="606"/>
        <v>0</v>
      </c>
      <c r="Q2495" s="7">
        <f t="shared" si="602"/>
        <v>4075739.1500000018</v>
      </c>
      <c r="R2495" s="44" t="str">
        <f>VLOOKUP(F2495,'Set up'!$A$2:$E$70,5,FALSE)</f>
        <v>Trsf</v>
      </c>
      <c r="S2495" s="1" t="s">
        <v>2798</v>
      </c>
    </row>
    <row r="2496" spans="1:19" ht="15" customHeight="1" x14ac:dyDescent="0.3">
      <c r="A2496" s="4">
        <v>45290</v>
      </c>
      <c r="B2496" s="5">
        <f t="shared" si="597"/>
        <v>12</v>
      </c>
      <c r="C2496" s="5">
        <f t="shared" si="598"/>
        <v>2023</v>
      </c>
      <c r="D2496" s="88" t="s">
        <v>2212</v>
      </c>
      <c r="E2496" s="5" t="str">
        <f>VLOOKUP(F2496,'Set up'!$A$2:$C$70,2,FALSE)</f>
        <v>C00000042</v>
      </c>
      <c r="F2496" s="1" t="s">
        <v>2012</v>
      </c>
      <c r="G2496" s="99" t="s">
        <v>1073</v>
      </c>
      <c r="H2496" s="5">
        <v>1</v>
      </c>
      <c r="I2496" s="5" t="str">
        <f>VLOOKUP(F2496,'Set up'!$A$2:$C$70,3,FALSE)</f>
        <v>Cash</v>
      </c>
      <c r="J2496" s="5">
        <f>VLOOKUP(F2496,'Set up'!$A$2:$D$70,4,FALSE)</f>
        <v>0</v>
      </c>
      <c r="K2496" s="4">
        <f t="shared" si="599"/>
        <v>45290</v>
      </c>
      <c r="L2496" s="5">
        <f t="shared" si="600"/>
        <v>12</v>
      </c>
      <c r="M2496" s="5">
        <f t="shared" si="601"/>
        <v>2023</v>
      </c>
      <c r="N2496" s="96">
        <v>1000</v>
      </c>
      <c r="O2496" s="6">
        <f>-N2496</f>
        <v>-1000</v>
      </c>
      <c r="P2496" s="6">
        <f t="shared" si="606"/>
        <v>0</v>
      </c>
      <c r="Q2496" s="7">
        <f t="shared" si="602"/>
        <v>4076739.1500000018</v>
      </c>
      <c r="R2496" s="44" t="str">
        <f>VLOOKUP(F2496,'Set up'!$A$2:$E$70,5,FALSE)</f>
        <v>Trsf</v>
      </c>
      <c r="S2496" s="1" t="s">
        <v>2799</v>
      </c>
    </row>
    <row r="2497" spans="1:19" ht="15" customHeight="1" x14ac:dyDescent="0.3">
      <c r="A2497" s="4">
        <v>45290</v>
      </c>
      <c r="B2497" s="5">
        <f t="shared" si="597"/>
        <v>12</v>
      </c>
      <c r="C2497" s="5">
        <f t="shared" si="598"/>
        <v>2023</v>
      </c>
      <c r="D2497" s="88" t="s">
        <v>2213</v>
      </c>
      <c r="E2497" s="5" t="str">
        <f>VLOOKUP(F2497,'Set up'!$A$2:$C$70,2,FALSE)</f>
        <v>C00000021</v>
      </c>
      <c r="F2497" s="1" t="s">
        <v>491</v>
      </c>
      <c r="G2497" s="99" t="s">
        <v>67</v>
      </c>
      <c r="H2497" s="5">
        <v>1</v>
      </c>
      <c r="I2497" s="5" t="str">
        <f>VLOOKUP(F2497,'Set up'!$A$2:$C$70,3,FALSE)</f>
        <v>Cash</v>
      </c>
      <c r="J2497" s="5">
        <f>VLOOKUP(F2497,'Set up'!$A$2:$D$70,4,FALSE)</f>
        <v>0</v>
      </c>
      <c r="K2497" s="4">
        <f t="shared" si="599"/>
        <v>45290</v>
      </c>
      <c r="L2497" s="5">
        <f t="shared" si="600"/>
        <v>12</v>
      </c>
      <c r="M2497" s="5">
        <f t="shared" si="601"/>
        <v>2023</v>
      </c>
      <c r="N2497" s="96">
        <v>1738</v>
      </c>
      <c r="P2497" s="6">
        <f t="shared" si="606"/>
        <v>1738</v>
      </c>
      <c r="Q2497" s="7">
        <f t="shared" si="602"/>
        <v>4078477.1500000018</v>
      </c>
      <c r="R2497" s="44" t="str">
        <f>VLOOKUP(F2497,'Set up'!$A$2:$E$70,5,FALSE)</f>
        <v>PD Chq</v>
      </c>
    </row>
    <row r="2498" spans="1:19" ht="15" customHeight="1" x14ac:dyDescent="0.3">
      <c r="A2498" s="4">
        <v>45290</v>
      </c>
      <c r="B2498" s="5">
        <f t="shared" si="597"/>
        <v>12</v>
      </c>
      <c r="C2498" s="5">
        <f t="shared" si="598"/>
        <v>2023</v>
      </c>
      <c r="D2498" s="88" t="s">
        <v>2213</v>
      </c>
      <c r="E2498" s="5" t="str">
        <f>VLOOKUP(F2498,'Set up'!$A$2:$C$70,2,FALSE)</f>
        <v>C00000021</v>
      </c>
      <c r="F2498" s="1" t="s">
        <v>491</v>
      </c>
      <c r="G2498" s="99" t="s">
        <v>2129</v>
      </c>
      <c r="H2498" s="5">
        <v>1</v>
      </c>
      <c r="I2498" s="5" t="str">
        <f>VLOOKUP(F2498,'Set up'!$A$2:$C$70,3,FALSE)</f>
        <v>Cash</v>
      </c>
      <c r="J2498" s="5">
        <f>VLOOKUP(F2498,'Set up'!$A$2:$D$70,4,FALSE)</f>
        <v>0</v>
      </c>
      <c r="K2498" s="4">
        <f t="shared" si="599"/>
        <v>45290</v>
      </c>
      <c r="L2498" s="5">
        <f t="shared" si="600"/>
        <v>12</v>
      </c>
      <c r="M2498" s="5">
        <f t="shared" si="601"/>
        <v>2023</v>
      </c>
      <c r="N2498" s="96">
        <v>277.5</v>
      </c>
      <c r="P2498" s="6">
        <f t="shared" si="606"/>
        <v>277.5</v>
      </c>
      <c r="Q2498" s="7">
        <f t="shared" si="602"/>
        <v>4078754.6500000018</v>
      </c>
      <c r="R2498" s="44" t="str">
        <f>VLOOKUP(F2498,'Set up'!$A$2:$E$70,5,FALSE)</f>
        <v>PD Chq</v>
      </c>
    </row>
    <row r="2499" spans="1:19" ht="15" customHeight="1" x14ac:dyDescent="0.3">
      <c r="A2499" s="4">
        <v>45290</v>
      </c>
      <c r="B2499" s="5">
        <f t="shared" ref="B2499:B2562" si="611">MONTH(A2499)</f>
        <v>12</v>
      </c>
      <c r="C2499" s="5">
        <f t="shared" ref="C2499:C2562" si="612">YEAR(A2499)</f>
        <v>2023</v>
      </c>
      <c r="D2499" s="88" t="s">
        <v>2213</v>
      </c>
      <c r="E2499" s="5" t="str">
        <f>VLOOKUP(F2499,'Set up'!$A$2:$C$70,2,FALSE)</f>
        <v>C00000021</v>
      </c>
      <c r="F2499" s="1" t="s">
        <v>491</v>
      </c>
      <c r="G2499" s="99" t="s">
        <v>1061</v>
      </c>
      <c r="H2499" s="5">
        <v>1</v>
      </c>
      <c r="I2499" s="5" t="str">
        <f>VLOOKUP(F2499,'Set up'!$A$2:$C$70,3,FALSE)</f>
        <v>Cash</v>
      </c>
      <c r="J2499" s="5">
        <f>VLOOKUP(F2499,'Set up'!$A$2:$D$70,4,FALSE)</f>
        <v>0</v>
      </c>
      <c r="K2499" s="4">
        <f t="shared" ref="K2499:K2562" si="613">A2499+J2499</f>
        <v>45290</v>
      </c>
      <c r="L2499" s="5">
        <f t="shared" ref="L2499:L2562" si="614">MONTH(K2499)</f>
        <v>12</v>
      </c>
      <c r="M2499" s="5">
        <f t="shared" ref="M2499:M2562" si="615">YEAR(K2499)</f>
        <v>2023</v>
      </c>
      <c r="N2499" s="96">
        <v>95</v>
      </c>
      <c r="P2499" s="6">
        <f t="shared" si="606"/>
        <v>95</v>
      </c>
      <c r="Q2499" s="7">
        <f t="shared" ref="Q2499:Q2562" si="616">SUM(Q2498+N2499)</f>
        <v>4078849.6500000018</v>
      </c>
      <c r="R2499" s="44" t="str">
        <f>VLOOKUP(F2499,'Set up'!$A$2:$E$70,5,FALSE)</f>
        <v>PD Chq</v>
      </c>
    </row>
    <row r="2500" spans="1:19" ht="15" customHeight="1" x14ac:dyDescent="0.3">
      <c r="A2500" s="4">
        <v>45290</v>
      </c>
      <c r="B2500" s="5">
        <f t="shared" si="611"/>
        <v>12</v>
      </c>
      <c r="C2500" s="5">
        <f t="shared" si="612"/>
        <v>2023</v>
      </c>
      <c r="D2500" s="88" t="s">
        <v>2213</v>
      </c>
      <c r="E2500" s="5" t="str">
        <f>VLOOKUP(F2500,'Set up'!$A$2:$C$70,2,FALSE)</f>
        <v>C00000021</v>
      </c>
      <c r="F2500" s="1" t="s">
        <v>491</v>
      </c>
      <c r="G2500" s="99" t="s">
        <v>2130</v>
      </c>
      <c r="H2500" s="5">
        <v>5</v>
      </c>
      <c r="I2500" s="5" t="str">
        <f>VLOOKUP(F2500,'Set up'!$A$2:$C$70,3,FALSE)</f>
        <v>Cash</v>
      </c>
      <c r="J2500" s="5">
        <f>VLOOKUP(F2500,'Set up'!$A$2:$D$70,4,FALSE)</f>
        <v>0</v>
      </c>
      <c r="K2500" s="4">
        <f t="shared" si="613"/>
        <v>45290</v>
      </c>
      <c r="L2500" s="5">
        <f t="shared" si="614"/>
        <v>12</v>
      </c>
      <c r="M2500" s="5">
        <f t="shared" si="615"/>
        <v>2023</v>
      </c>
      <c r="N2500" s="96">
        <v>312.5</v>
      </c>
      <c r="P2500" s="6">
        <f t="shared" si="606"/>
        <v>312.5</v>
      </c>
      <c r="Q2500" s="7">
        <f t="shared" si="616"/>
        <v>4079162.1500000018</v>
      </c>
      <c r="R2500" s="44" t="str">
        <f>VLOOKUP(F2500,'Set up'!$A$2:$E$70,5,FALSE)</f>
        <v>PD Chq</v>
      </c>
    </row>
    <row r="2501" spans="1:19" ht="15" customHeight="1" x14ac:dyDescent="0.3">
      <c r="A2501" s="4">
        <v>45290</v>
      </c>
      <c r="B2501" s="5">
        <f t="shared" si="611"/>
        <v>12</v>
      </c>
      <c r="C2501" s="5">
        <f t="shared" si="612"/>
        <v>2023</v>
      </c>
      <c r="D2501" s="88" t="s">
        <v>2214</v>
      </c>
      <c r="E2501" s="5" t="str">
        <f>VLOOKUP(F2501,'Set up'!$A$2:$C$70,2,FALSE)</f>
        <v>C00000019</v>
      </c>
      <c r="F2501" s="1" t="s">
        <v>400</v>
      </c>
      <c r="G2501" s="99" t="s">
        <v>95</v>
      </c>
      <c r="H2501" s="5">
        <v>1</v>
      </c>
      <c r="I2501" s="5" t="str">
        <f>VLOOKUP(F2501,'Set up'!$A$2:$C$70,3,FALSE)</f>
        <v>Cash</v>
      </c>
      <c r="J2501" s="5">
        <f>VLOOKUP(F2501,'Set up'!$A$2:$D$70,4,FALSE)</f>
        <v>0</v>
      </c>
      <c r="K2501" s="4">
        <f t="shared" si="613"/>
        <v>45290</v>
      </c>
      <c r="L2501" s="5">
        <f t="shared" si="614"/>
        <v>12</v>
      </c>
      <c r="M2501" s="5">
        <f t="shared" si="615"/>
        <v>2023</v>
      </c>
      <c r="N2501" s="96">
        <v>1738</v>
      </c>
      <c r="O2501" s="6">
        <f>-830.8-907.2</f>
        <v>-1738</v>
      </c>
      <c r="P2501" s="6">
        <f t="shared" si="606"/>
        <v>0</v>
      </c>
      <c r="Q2501" s="7">
        <f t="shared" si="616"/>
        <v>4080900.1500000018</v>
      </c>
      <c r="R2501" s="44" t="str">
        <f>VLOOKUP(F2501,'Set up'!$A$2:$E$70,5,FALSE)</f>
        <v>Trsf</v>
      </c>
      <c r="S2501" s="1" t="s">
        <v>3434</v>
      </c>
    </row>
    <row r="2502" spans="1:19" ht="15" customHeight="1" x14ac:dyDescent="0.3">
      <c r="A2502" s="4">
        <v>45290</v>
      </c>
      <c r="B2502" s="5">
        <f t="shared" si="611"/>
        <v>12</v>
      </c>
      <c r="C2502" s="5">
        <f t="shared" si="612"/>
        <v>2023</v>
      </c>
      <c r="D2502" s="88" t="s">
        <v>2214</v>
      </c>
      <c r="E2502" s="5" t="str">
        <f>VLOOKUP(F2502,'Set up'!$A$2:$C$70,2,FALSE)</f>
        <v>C00000019</v>
      </c>
      <c r="F2502" s="1" t="s">
        <v>400</v>
      </c>
      <c r="G2502" s="99" t="s">
        <v>1469</v>
      </c>
      <c r="H2502" s="5">
        <v>1</v>
      </c>
      <c r="I2502" s="5" t="str">
        <f>VLOOKUP(F2502,'Set up'!$A$2:$C$70,3,FALSE)</f>
        <v>Cash</v>
      </c>
      <c r="J2502" s="5">
        <f>VLOOKUP(F2502,'Set up'!$A$2:$D$70,4,FALSE)</f>
        <v>0</v>
      </c>
      <c r="K2502" s="4">
        <f t="shared" si="613"/>
        <v>45290</v>
      </c>
      <c r="L2502" s="5">
        <f t="shared" si="614"/>
        <v>12</v>
      </c>
      <c r="M2502" s="5">
        <f t="shared" si="615"/>
        <v>2023</v>
      </c>
      <c r="N2502" s="96">
        <v>390</v>
      </c>
      <c r="O2502" s="6">
        <f t="shared" ref="O2502:O2504" si="617">-N2502</f>
        <v>-390</v>
      </c>
      <c r="P2502" s="6">
        <f t="shared" si="606"/>
        <v>0</v>
      </c>
      <c r="Q2502" s="7">
        <f t="shared" si="616"/>
        <v>4081290.1500000018</v>
      </c>
      <c r="R2502" s="44" t="str">
        <f>VLOOKUP(F2502,'Set up'!$A$2:$E$70,5,FALSE)</f>
        <v>Trsf</v>
      </c>
      <c r="S2502" s="1" t="s">
        <v>3435</v>
      </c>
    </row>
    <row r="2503" spans="1:19" ht="15" customHeight="1" x14ac:dyDescent="0.3">
      <c r="A2503" s="4">
        <v>45290</v>
      </c>
      <c r="B2503" s="5">
        <f t="shared" si="611"/>
        <v>12</v>
      </c>
      <c r="C2503" s="5">
        <f t="shared" si="612"/>
        <v>2023</v>
      </c>
      <c r="D2503" s="88" t="s">
        <v>2214</v>
      </c>
      <c r="E2503" s="5" t="str">
        <f>VLOOKUP(F2503,'Set up'!$A$2:$C$70,2,FALSE)</f>
        <v>C00000019</v>
      </c>
      <c r="F2503" s="1" t="s">
        <v>400</v>
      </c>
      <c r="G2503" s="99" t="s">
        <v>46</v>
      </c>
      <c r="H2503" s="5">
        <v>1</v>
      </c>
      <c r="I2503" s="5" t="str">
        <f>VLOOKUP(F2503,'Set up'!$A$2:$C$70,3,FALSE)</f>
        <v>Cash</v>
      </c>
      <c r="J2503" s="5">
        <f>VLOOKUP(F2503,'Set up'!$A$2:$D$70,4,FALSE)</f>
        <v>0</v>
      </c>
      <c r="K2503" s="4">
        <f t="shared" si="613"/>
        <v>45290</v>
      </c>
      <c r="L2503" s="5">
        <f t="shared" si="614"/>
        <v>12</v>
      </c>
      <c r="M2503" s="5">
        <f t="shared" si="615"/>
        <v>2023</v>
      </c>
      <c r="N2503" s="96">
        <v>105</v>
      </c>
      <c r="O2503" s="6">
        <f t="shared" si="617"/>
        <v>-105</v>
      </c>
      <c r="P2503" s="6">
        <f t="shared" si="606"/>
        <v>0</v>
      </c>
      <c r="Q2503" s="7">
        <f t="shared" si="616"/>
        <v>4081395.1500000018</v>
      </c>
      <c r="R2503" s="44" t="str">
        <f>VLOOKUP(F2503,'Set up'!$A$2:$E$70,5,FALSE)</f>
        <v>Trsf</v>
      </c>
      <c r="S2503" s="1" t="s">
        <v>3436</v>
      </c>
    </row>
    <row r="2504" spans="1:19" ht="15" customHeight="1" x14ac:dyDescent="0.3">
      <c r="A2504" s="4">
        <v>45290</v>
      </c>
      <c r="B2504" s="5">
        <f t="shared" si="611"/>
        <v>12</v>
      </c>
      <c r="C2504" s="5">
        <f t="shared" si="612"/>
        <v>2023</v>
      </c>
      <c r="D2504" s="88" t="s">
        <v>2214</v>
      </c>
      <c r="E2504" s="5" t="str">
        <f>VLOOKUP(F2504,'Set up'!$A$2:$C$70,2,FALSE)</f>
        <v>C00000019</v>
      </c>
      <c r="F2504" s="1" t="s">
        <v>400</v>
      </c>
      <c r="G2504" s="99" t="s">
        <v>949</v>
      </c>
      <c r="H2504" s="5">
        <v>2</v>
      </c>
      <c r="I2504" s="5" t="str">
        <f>VLOOKUP(F2504,'Set up'!$A$2:$C$70,3,FALSE)</f>
        <v>Cash</v>
      </c>
      <c r="J2504" s="5">
        <f>VLOOKUP(F2504,'Set up'!$A$2:$D$70,4,FALSE)</f>
        <v>0</v>
      </c>
      <c r="K2504" s="4">
        <f t="shared" si="613"/>
        <v>45290</v>
      </c>
      <c r="L2504" s="5">
        <f t="shared" si="614"/>
        <v>12</v>
      </c>
      <c r="M2504" s="5">
        <f t="shared" si="615"/>
        <v>2023</v>
      </c>
      <c r="N2504" s="96">
        <v>120</v>
      </c>
      <c r="O2504" s="6">
        <f t="shared" si="617"/>
        <v>-120</v>
      </c>
      <c r="P2504" s="6">
        <f t="shared" si="606"/>
        <v>0</v>
      </c>
      <c r="Q2504" s="7">
        <f t="shared" si="616"/>
        <v>4081515.1500000018</v>
      </c>
      <c r="R2504" s="44" t="str">
        <f>VLOOKUP(F2504,'Set up'!$A$2:$E$70,5,FALSE)</f>
        <v>Trsf</v>
      </c>
      <c r="S2504" s="1" t="s">
        <v>3437</v>
      </c>
    </row>
    <row r="2505" spans="1:19" ht="15" customHeight="1" x14ac:dyDescent="0.3">
      <c r="A2505" s="4">
        <v>45294</v>
      </c>
      <c r="B2505" s="5">
        <f t="shared" si="611"/>
        <v>1</v>
      </c>
      <c r="C2505" s="5">
        <f t="shared" si="612"/>
        <v>2024</v>
      </c>
      <c r="D2505" s="5" t="s">
        <v>2268</v>
      </c>
      <c r="E2505" s="5" t="str">
        <f>VLOOKUP(F2505,'Set up'!$A$2:$C$70,2,FALSE)</f>
        <v>C00000014</v>
      </c>
      <c r="F2505" s="1" t="s">
        <v>262</v>
      </c>
      <c r="G2505" s="89" t="s">
        <v>303</v>
      </c>
      <c r="H2505" s="5">
        <v>1</v>
      </c>
      <c r="I2505" s="5" t="str">
        <f>VLOOKUP(F2505,'Set up'!$A$2:$C$70,3,FALSE)</f>
        <v>Cash</v>
      </c>
      <c r="J2505" s="5">
        <f>VLOOKUP(F2505,'Set up'!$A$2:$D$70,4,FALSE)</f>
        <v>0</v>
      </c>
      <c r="K2505" s="4">
        <f t="shared" si="613"/>
        <v>45294</v>
      </c>
      <c r="L2505" s="5">
        <f t="shared" si="614"/>
        <v>1</v>
      </c>
      <c r="M2505" s="5">
        <f t="shared" si="615"/>
        <v>2024</v>
      </c>
      <c r="N2505" s="96">
        <v>1606</v>
      </c>
      <c r="O2505" s="6">
        <f t="shared" ref="O2505:O2506" si="618">-N2505</f>
        <v>-1606</v>
      </c>
      <c r="P2505" s="6">
        <f t="shared" si="606"/>
        <v>0</v>
      </c>
      <c r="Q2505" s="7">
        <f t="shared" si="616"/>
        <v>4083121.1500000018</v>
      </c>
      <c r="R2505" s="44" t="str">
        <f>VLOOKUP(F2505,'Set up'!$A$2:$E$70,5,FALSE)</f>
        <v>Cash</v>
      </c>
      <c r="S2505" s="1" t="s">
        <v>2306</v>
      </c>
    </row>
    <row r="2506" spans="1:19" ht="15" customHeight="1" x14ac:dyDescent="0.3">
      <c r="A2506" s="4">
        <v>45294</v>
      </c>
      <c r="B2506" s="5">
        <f t="shared" si="611"/>
        <v>1</v>
      </c>
      <c r="C2506" s="5">
        <f t="shared" si="612"/>
        <v>2024</v>
      </c>
      <c r="D2506" s="5" t="s">
        <v>2268</v>
      </c>
      <c r="E2506" s="5" t="str">
        <f>VLOOKUP(F2506,'Set up'!$A$2:$C$70,2,FALSE)</f>
        <v>C00000014</v>
      </c>
      <c r="F2506" s="1" t="s">
        <v>262</v>
      </c>
      <c r="G2506" s="90" t="s">
        <v>1543</v>
      </c>
      <c r="H2506" s="5">
        <v>3</v>
      </c>
      <c r="I2506" s="5" t="str">
        <f>VLOOKUP(F2506,'Set up'!$A$2:$C$70,3,FALSE)</f>
        <v>Cash</v>
      </c>
      <c r="J2506" s="5">
        <f>VLOOKUP(F2506,'Set up'!$A$2:$D$70,4,FALSE)</f>
        <v>0</v>
      </c>
      <c r="K2506" s="4">
        <f t="shared" si="613"/>
        <v>45294</v>
      </c>
      <c r="L2506" s="5">
        <f t="shared" si="614"/>
        <v>1</v>
      </c>
      <c r="M2506" s="5">
        <f t="shared" si="615"/>
        <v>2024</v>
      </c>
      <c r="N2506" s="96">
        <v>630</v>
      </c>
      <c r="O2506" s="6">
        <f t="shared" si="618"/>
        <v>-630</v>
      </c>
      <c r="P2506" s="6">
        <f t="shared" si="606"/>
        <v>0</v>
      </c>
      <c r="Q2506" s="7">
        <f t="shared" si="616"/>
        <v>4083751.1500000018</v>
      </c>
      <c r="R2506" s="44" t="str">
        <f>VLOOKUP(F2506,'Set up'!$A$2:$E$70,5,FALSE)</f>
        <v>Cash</v>
      </c>
      <c r="S2506" s="1" t="s">
        <v>2306</v>
      </c>
    </row>
    <row r="2507" spans="1:19" ht="15" customHeight="1" x14ac:dyDescent="0.3">
      <c r="A2507" s="4">
        <v>45294</v>
      </c>
      <c r="B2507" s="5">
        <f t="shared" si="611"/>
        <v>1</v>
      </c>
      <c r="C2507" s="5">
        <f t="shared" si="612"/>
        <v>2024</v>
      </c>
      <c r="D2507" s="5" t="s">
        <v>2269</v>
      </c>
      <c r="E2507" s="5" t="str">
        <f>VLOOKUP(F2507,'Set up'!$A$2:$C$70,2,FALSE)</f>
        <v>C00000006</v>
      </c>
      <c r="F2507" s="1" t="s">
        <v>43</v>
      </c>
      <c r="G2507" s="99" t="s">
        <v>95</v>
      </c>
      <c r="H2507" s="5">
        <v>1</v>
      </c>
      <c r="I2507" s="5" t="str">
        <f>VLOOKUP(F2507,'Set up'!$A$2:$C$70,3,FALSE)</f>
        <v>Cash</v>
      </c>
      <c r="J2507" s="5">
        <f>VLOOKUP(F2507,'Set up'!$A$2:$D$70,4,FALSE)</f>
        <v>0</v>
      </c>
      <c r="K2507" s="4">
        <f t="shared" si="613"/>
        <v>45294</v>
      </c>
      <c r="L2507" s="5">
        <f t="shared" si="614"/>
        <v>1</v>
      </c>
      <c r="M2507" s="5">
        <f t="shared" si="615"/>
        <v>2024</v>
      </c>
      <c r="N2507" s="96">
        <v>1738</v>
      </c>
      <c r="O2507" s="6">
        <f>-N2507</f>
        <v>-1738</v>
      </c>
      <c r="P2507" s="6">
        <f t="shared" si="606"/>
        <v>0</v>
      </c>
      <c r="Q2507" s="7">
        <f t="shared" si="616"/>
        <v>4085489.1500000018</v>
      </c>
      <c r="R2507" s="44" t="str">
        <f>VLOOKUP(F2507,'Set up'!$A$2:$E$70,5,FALSE)</f>
        <v>Chq</v>
      </c>
      <c r="S2507" s="1" t="s">
        <v>2503</v>
      </c>
    </row>
    <row r="2508" spans="1:19" ht="15" customHeight="1" x14ac:dyDescent="0.3">
      <c r="A2508" s="4">
        <v>45294</v>
      </c>
      <c r="B2508" s="5">
        <f t="shared" si="611"/>
        <v>1</v>
      </c>
      <c r="C2508" s="5">
        <f t="shared" si="612"/>
        <v>2024</v>
      </c>
      <c r="D2508" s="5" t="s">
        <v>2269</v>
      </c>
      <c r="E2508" s="5" t="str">
        <f>VLOOKUP(F2508,'Set up'!$A$2:$C$70,2,FALSE)</f>
        <v>C00000006</v>
      </c>
      <c r="F2508" s="1" t="s">
        <v>43</v>
      </c>
      <c r="G2508" s="90" t="s">
        <v>1796</v>
      </c>
      <c r="H2508" s="5">
        <v>3</v>
      </c>
      <c r="I2508" s="5" t="str">
        <f>VLOOKUP(F2508,'Set up'!$A$2:$C$70,3,FALSE)</f>
        <v>Cash</v>
      </c>
      <c r="J2508" s="5">
        <f>VLOOKUP(F2508,'Set up'!$A$2:$D$70,4,FALSE)</f>
        <v>0</v>
      </c>
      <c r="K2508" s="4">
        <f t="shared" si="613"/>
        <v>45294</v>
      </c>
      <c r="L2508" s="5">
        <f t="shared" si="614"/>
        <v>1</v>
      </c>
      <c r="M2508" s="5">
        <f t="shared" si="615"/>
        <v>2024</v>
      </c>
      <c r="N2508" s="96">
        <v>675</v>
      </c>
      <c r="O2508" s="6">
        <f>-N2508</f>
        <v>-675</v>
      </c>
      <c r="P2508" s="6">
        <f t="shared" si="606"/>
        <v>0</v>
      </c>
      <c r="Q2508" s="7">
        <f t="shared" si="616"/>
        <v>4086164.1500000018</v>
      </c>
      <c r="R2508" s="44" t="str">
        <f>VLOOKUP(F2508,'Set up'!$A$2:$E$70,5,FALSE)</f>
        <v>Chq</v>
      </c>
      <c r="S2508" s="1" t="s">
        <v>2503</v>
      </c>
    </row>
    <row r="2509" spans="1:19" ht="15" customHeight="1" x14ac:dyDescent="0.3">
      <c r="A2509" s="4">
        <v>45294</v>
      </c>
      <c r="B2509" s="5">
        <f t="shared" si="611"/>
        <v>1</v>
      </c>
      <c r="C2509" s="5">
        <f t="shared" si="612"/>
        <v>2024</v>
      </c>
      <c r="D2509" s="5" t="s">
        <v>2269</v>
      </c>
      <c r="E2509" s="5" t="str">
        <f>VLOOKUP(F2509,'Set up'!$A$2:$C$70,2,FALSE)</f>
        <v>C00000006</v>
      </c>
      <c r="F2509" s="1" t="s">
        <v>43</v>
      </c>
      <c r="G2509" s="90" t="s">
        <v>768</v>
      </c>
      <c r="H2509" s="5">
        <v>1</v>
      </c>
      <c r="I2509" s="5" t="str">
        <f>VLOOKUP(F2509,'Set up'!$A$2:$C$70,3,FALSE)</f>
        <v>Cash</v>
      </c>
      <c r="J2509" s="5">
        <f>VLOOKUP(F2509,'Set up'!$A$2:$D$70,4,FALSE)</f>
        <v>0</v>
      </c>
      <c r="K2509" s="4">
        <f t="shared" si="613"/>
        <v>45294</v>
      </c>
      <c r="L2509" s="5">
        <f t="shared" si="614"/>
        <v>1</v>
      </c>
      <c r="M2509" s="5">
        <f t="shared" si="615"/>
        <v>2024</v>
      </c>
      <c r="N2509" s="96">
        <v>175</v>
      </c>
      <c r="O2509" s="6">
        <f>-N2509</f>
        <v>-175</v>
      </c>
      <c r="P2509" s="6">
        <f t="shared" si="606"/>
        <v>0</v>
      </c>
      <c r="Q2509" s="7">
        <f t="shared" si="616"/>
        <v>4086339.1500000018</v>
      </c>
      <c r="R2509" s="44" t="str">
        <f>VLOOKUP(F2509,'Set up'!$A$2:$E$70,5,FALSE)</f>
        <v>Chq</v>
      </c>
      <c r="S2509" s="1" t="s">
        <v>2503</v>
      </c>
    </row>
    <row r="2510" spans="1:19" ht="15" customHeight="1" x14ac:dyDescent="0.3">
      <c r="A2510" s="4">
        <v>45294</v>
      </c>
      <c r="B2510" s="5">
        <f t="shared" si="611"/>
        <v>1</v>
      </c>
      <c r="C2510" s="5">
        <f t="shared" si="612"/>
        <v>2024</v>
      </c>
      <c r="D2510" s="5" t="s">
        <v>2269</v>
      </c>
      <c r="E2510" s="5" t="str">
        <f>VLOOKUP(F2510,'Set up'!$A$2:$C$70,2,FALSE)</f>
        <v>C00000006</v>
      </c>
      <c r="F2510" s="1" t="s">
        <v>43</v>
      </c>
      <c r="G2510" s="11" t="s">
        <v>949</v>
      </c>
      <c r="H2510" s="5">
        <v>1</v>
      </c>
      <c r="I2510" s="5" t="str">
        <f>VLOOKUP(F2510,'Set up'!$A$2:$C$70,3,FALSE)</f>
        <v>Cash</v>
      </c>
      <c r="J2510" s="5">
        <f>VLOOKUP(F2510,'Set up'!$A$2:$D$70,4,FALSE)</f>
        <v>0</v>
      </c>
      <c r="K2510" s="4">
        <f t="shared" si="613"/>
        <v>45294</v>
      </c>
      <c r="L2510" s="5">
        <f t="shared" si="614"/>
        <v>1</v>
      </c>
      <c r="M2510" s="5">
        <f t="shared" si="615"/>
        <v>2024</v>
      </c>
      <c r="N2510" s="96">
        <v>60</v>
      </c>
      <c r="O2510" s="6">
        <f>-N2510</f>
        <v>-60</v>
      </c>
      <c r="P2510" s="6">
        <f t="shared" si="606"/>
        <v>0</v>
      </c>
      <c r="Q2510" s="7">
        <f t="shared" si="616"/>
        <v>4086399.1500000018</v>
      </c>
      <c r="R2510" s="44" t="str">
        <f>VLOOKUP(F2510,'Set up'!$A$2:$E$70,5,FALSE)</f>
        <v>Chq</v>
      </c>
      <c r="S2510" s="1" t="s">
        <v>2503</v>
      </c>
    </row>
    <row r="2511" spans="1:19" ht="15" customHeight="1" x14ac:dyDescent="0.3">
      <c r="A2511" s="4">
        <v>45295</v>
      </c>
      <c r="B2511" s="5">
        <f t="shared" si="611"/>
        <v>1</v>
      </c>
      <c r="C2511" s="5">
        <f t="shared" si="612"/>
        <v>2024</v>
      </c>
      <c r="D2511" s="5" t="s">
        <v>2270</v>
      </c>
      <c r="E2511" s="5" t="str">
        <f>VLOOKUP(F2511,'Set up'!$A$2:$C$70,2,FALSE)</f>
        <v>C00000045</v>
      </c>
      <c r="F2511" s="1" t="s">
        <v>2271</v>
      </c>
      <c r="G2511" s="11" t="s">
        <v>67</v>
      </c>
      <c r="H2511" s="5">
        <v>1</v>
      </c>
      <c r="I2511" s="5" t="str">
        <f>VLOOKUP(F2511,'Set up'!$A$2:$C$70,3,FALSE)</f>
        <v>Cash</v>
      </c>
      <c r="J2511" s="5">
        <f>VLOOKUP(F2511,'Set up'!$A$2:$D$70,4,FALSE)</f>
        <v>0</v>
      </c>
      <c r="K2511" s="4">
        <f t="shared" si="613"/>
        <v>45295</v>
      </c>
      <c r="L2511" s="5">
        <f t="shared" si="614"/>
        <v>1</v>
      </c>
      <c r="M2511" s="5">
        <f t="shared" si="615"/>
        <v>2024</v>
      </c>
      <c r="N2511" s="6">
        <v>1606</v>
      </c>
      <c r="O2511" s="6">
        <f t="shared" ref="O2511:O2513" si="619">-N2511</f>
        <v>-1606</v>
      </c>
      <c r="P2511" s="6">
        <f t="shared" si="606"/>
        <v>0</v>
      </c>
      <c r="Q2511" s="7">
        <f t="shared" si="616"/>
        <v>4088005.1500000018</v>
      </c>
      <c r="R2511" s="44" t="str">
        <f>VLOOKUP(F2511,'Set up'!$A$2:$E$70,5,FALSE)</f>
        <v>Trsf</v>
      </c>
      <c r="S2511" s="1" t="s">
        <v>2336</v>
      </c>
    </row>
    <row r="2512" spans="1:19" ht="15" customHeight="1" x14ac:dyDescent="0.3">
      <c r="A2512" s="4">
        <v>45295</v>
      </c>
      <c r="B2512" s="5">
        <f t="shared" si="611"/>
        <v>1</v>
      </c>
      <c r="C2512" s="5">
        <f t="shared" si="612"/>
        <v>2024</v>
      </c>
      <c r="D2512" s="5" t="s">
        <v>2270</v>
      </c>
      <c r="E2512" s="5" t="str">
        <f>VLOOKUP(F2512,'Set up'!$A$2:$C$70,2,FALSE)</f>
        <v>C00000045</v>
      </c>
      <c r="F2512" s="1" t="s">
        <v>2271</v>
      </c>
      <c r="G2512" s="11" t="s">
        <v>913</v>
      </c>
      <c r="H2512" s="5">
        <v>4</v>
      </c>
      <c r="I2512" s="5" t="str">
        <f>VLOOKUP(F2512,'Set up'!$A$2:$C$70,3,FALSE)</f>
        <v>Cash</v>
      </c>
      <c r="J2512" s="5">
        <f>VLOOKUP(F2512,'Set up'!$A$2:$D$70,4,FALSE)</f>
        <v>0</v>
      </c>
      <c r="K2512" s="4">
        <f t="shared" si="613"/>
        <v>45295</v>
      </c>
      <c r="L2512" s="5">
        <f t="shared" si="614"/>
        <v>1</v>
      </c>
      <c r="M2512" s="5">
        <f t="shared" si="615"/>
        <v>2024</v>
      </c>
      <c r="N2512" s="6">
        <v>780</v>
      </c>
      <c r="O2512" s="6">
        <f t="shared" si="619"/>
        <v>-780</v>
      </c>
      <c r="P2512" s="6">
        <f t="shared" si="606"/>
        <v>0</v>
      </c>
      <c r="Q2512" s="7">
        <f t="shared" si="616"/>
        <v>4088785.1500000018</v>
      </c>
      <c r="R2512" s="44" t="str">
        <f>VLOOKUP(F2512,'Set up'!$A$2:$E$70,5,FALSE)</f>
        <v>Trsf</v>
      </c>
      <c r="S2512" s="1" t="s">
        <v>2336</v>
      </c>
    </row>
    <row r="2513" spans="1:19" ht="15" customHeight="1" x14ac:dyDescent="0.3">
      <c r="A2513" s="4">
        <v>45295</v>
      </c>
      <c r="B2513" s="5">
        <f t="shared" si="611"/>
        <v>1</v>
      </c>
      <c r="C2513" s="5">
        <f t="shared" si="612"/>
        <v>2024</v>
      </c>
      <c r="D2513" s="5" t="s">
        <v>2270</v>
      </c>
      <c r="E2513" s="5" t="str">
        <f>VLOOKUP(F2513,'Set up'!$A$2:$C$70,2,FALSE)</f>
        <v>C00000045</v>
      </c>
      <c r="F2513" s="1" t="s">
        <v>2271</v>
      </c>
      <c r="G2513" s="90" t="s">
        <v>46</v>
      </c>
      <c r="H2513" s="5">
        <v>4</v>
      </c>
      <c r="I2513" s="5" t="str">
        <f>VLOOKUP(F2513,'Set up'!$A$2:$C$70,3,FALSE)</f>
        <v>Cash</v>
      </c>
      <c r="J2513" s="5">
        <f>VLOOKUP(F2513,'Set up'!$A$2:$D$70,4,FALSE)</f>
        <v>0</v>
      </c>
      <c r="K2513" s="4">
        <f t="shared" si="613"/>
        <v>45295</v>
      </c>
      <c r="L2513" s="5">
        <f t="shared" si="614"/>
        <v>1</v>
      </c>
      <c r="M2513" s="5">
        <f t="shared" si="615"/>
        <v>2024</v>
      </c>
      <c r="N2513" s="6">
        <v>440</v>
      </c>
      <c r="O2513" s="6">
        <f t="shared" si="619"/>
        <v>-440</v>
      </c>
      <c r="P2513" s="6">
        <f t="shared" si="606"/>
        <v>0</v>
      </c>
      <c r="Q2513" s="7">
        <f t="shared" si="616"/>
        <v>4089225.1500000018</v>
      </c>
      <c r="R2513" s="44" t="str">
        <f>VLOOKUP(F2513,'Set up'!$A$2:$E$70,5,FALSE)</f>
        <v>Trsf</v>
      </c>
      <c r="S2513" s="1" t="s">
        <v>2336</v>
      </c>
    </row>
    <row r="2514" spans="1:19" ht="15" customHeight="1" x14ac:dyDescent="0.3">
      <c r="A2514" s="4">
        <v>45296</v>
      </c>
      <c r="B2514" s="5">
        <f t="shared" si="611"/>
        <v>1</v>
      </c>
      <c r="C2514" s="5">
        <f t="shared" si="612"/>
        <v>2024</v>
      </c>
      <c r="D2514" s="5" t="s">
        <v>2272</v>
      </c>
      <c r="E2514" s="5" t="str">
        <f>VLOOKUP(F2514,'Set up'!$A$2:$C$70,2,FALSE)</f>
        <v>C00000021</v>
      </c>
      <c r="F2514" s="1" t="s">
        <v>491</v>
      </c>
      <c r="G2514" s="107" t="s">
        <v>67</v>
      </c>
      <c r="H2514" s="5">
        <v>1</v>
      </c>
      <c r="I2514" s="5" t="str">
        <f>VLOOKUP(F2514,'Set up'!$A$2:$C$70,3,FALSE)</f>
        <v>Cash</v>
      </c>
      <c r="J2514" s="5">
        <f>VLOOKUP(F2514,'Set up'!$A$2:$D$70,4,FALSE)</f>
        <v>0</v>
      </c>
      <c r="K2514" s="4">
        <f t="shared" si="613"/>
        <v>45296</v>
      </c>
      <c r="L2514" s="5">
        <f t="shared" si="614"/>
        <v>1</v>
      </c>
      <c r="M2514" s="5">
        <f t="shared" si="615"/>
        <v>2024</v>
      </c>
      <c r="N2514" s="6">
        <v>1738</v>
      </c>
      <c r="P2514" s="6">
        <f t="shared" si="606"/>
        <v>1738</v>
      </c>
      <c r="Q2514" s="7">
        <f t="shared" si="616"/>
        <v>4090963.1500000018</v>
      </c>
      <c r="R2514" s="44" t="str">
        <f>VLOOKUP(F2514,'Set up'!$A$2:$E$70,5,FALSE)</f>
        <v>PD Chq</v>
      </c>
    </row>
    <row r="2515" spans="1:19" ht="15" customHeight="1" x14ac:dyDescent="0.3">
      <c r="A2515" s="4">
        <v>45296</v>
      </c>
      <c r="B2515" s="5">
        <f t="shared" si="611"/>
        <v>1</v>
      </c>
      <c r="C2515" s="5">
        <f t="shared" si="612"/>
        <v>2024</v>
      </c>
      <c r="D2515" s="5" t="s">
        <v>2272</v>
      </c>
      <c r="E2515" s="5" t="str">
        <f>VLOOKUP(F2515,'Set up'!$A$2:$C$70,2,FALSE)</f>
        <v>C00000021</v>
      </c>
      <c r="F2515" s="1" t="s">
        <v>491</v>
      </c>
      <c r="G2515" s="99" t="s">
        <v>2129</v>
      </c>
      <c r="H2515" s="5">
        <v>2</v>
      </c>
      <c r="I2515" s="5" t="str">
        <f>VLOOKUP(F2515,'Set up'!$A$2:$C$70,3,FALSE)</f>
        <v>Cash</v>
      </c>
      <c r="J2515" s="5">
        <f>VLOOKUP(F2515,'Set up'!$A$2:$D$70,4,FALSE)</f>
        <v>0</v>
      </c>
      <c r="K2515" s="4">
        <f t="shared" si="613"/>
        <v>45296</v>
      </c>
      <c r="L2515" s="5">
        <f t="shared" si="614"/>
        <v>1</v>
      </c>
      <c r="M2515" s="5">
        <f t="shared" si="615"/>
        <v>2024</v>
      </c>
      <c r="N2515" s="6">
        <v>555</v>
      </c>
      <c r="P2515" s="6">
        <f t="shared" si="606"/>
        <v>555</v>
      </c>
      <c r="Q2515" s="7">
        <f t="shared" si="616"/>
        <v>4091518.1500000018</v>
      </c>
      <c r="R2515" s="44" t="str">
        <f>VLOOKUP(F2515,'Set up'!$A$2:$E$70,5,FALSE)</f>
        <v>PD Chq</v>
      </c>
    </row>
    <row r="2516" spans="1:19" ht="15" customHeight="1" x14ac:dyDescent="0.3">
      <c r="A2516" s="4">
        <v>45296</v>
      </c>
      <c r="B2516" s="5">
        <f t="shared" si="611"/>
        <v>1</v>
      </c>
      <c r="C2516" s="5">
        <f t="shared" si="612"/>
        <v>2024</v>
      </c>
      <c r="D2516" s="5" t="s">
        <v>2272</v>
      </c>
      <c r="E2516" s="5" t="str">
        <f>VLOOKUP(F2516,'Set up'!$A$2:$C$70,2,FALSE)</f>
        <v>C00000021</v>
      </c>
      <c r="F2516" s="1" t="s">
        <v>491</v>
      </c>
      <c r="G2516" s="99" t="s">
        <v>1061</v>
      </c>
      <c r="H2516" s="5">
        <v>1</v>
      </c>
      <c r="I2516" s="5" t="str">
        <f>VLOOKUP(F2516,'Set up'!$A$2:$C$70,3,FALSE)</f>
        <v>Cash</v>
      </c>
      <c r="J2516" s="5">
        <f>VLOOKUP(F2516,'Set up'!$A$2:$D$70,4,FALSE)</f>
        <v>0</v>
      </c>
      <c r="K2516" s="4">
        <f t="shared" si="613"/>
        <v>45296</v>
      </c>
      <c r="L2516" s="5">
        <f t="shared" si="614"/>
        <v>1</v>
      </c>
      <c r="M2516" s="5">
        <f t="shared" si="615"/>
        <v>2024</v>
      </c>
      <c r="N2516" s="6">
        <v>95</v>
      </c>
      <c r="P2516" s="6">
        <f t="shared" si="606"/>
        <v>95</v>
      </c>
      <c r="Q2516" s="7">
        <f t="shared" si="616"/>
        <v>4091613.1500000018</v>
      </c>
      <c r="R2516" s="44" t="str">
        <f>VLOOKUP(F2516,'Set up'!$A$2:$E$70,5,FALSE)</f>
        <v>PD Chq</v>
      </c>
    </row>
    <row r="2517" spans="1:19" ht="15" customHeight="1" x14ac:dyDescent="0.3">
      <c r="A2517" s="4">
        <v>45297</v>
      </c>
      <c r="B2517" s="5">
        <f t="shared" si="611"/>
        <v>1</v>
      </c>
      <c r="C2517" s="5">
        <f t="shared" si="612"/>
        <v>2024</v>
      </c>
      <c r="D2517" s="5" t="s">
        <v>2273</v>
      </c>
      <c r="E2517" s="5" t="str">
        <f>VLOOKUP(F2517,'Set up'!$A$2:$C$70,2,FALSE)</f>
        <v>C00000043</v>
      </c>
      <c r="F2517" s="1" t="s">
        <v>2134</v>
      </c>
      <c r="G2517" s="107" t="s">
        <v>1738</v>
      </c>
      <c r="H2517" s="5">
        <v>2</v>
      </c>
      <c r="I2517" s="5" t="str">
        <f>VLOOKUP(F2517,'Set up'!$A$2:$C$70,3,FALSE)</f>
        <v>Cash</v>
      </c>
      <c r="J2517" s="5">
        <f>VLOOKUP(F2517,'Set up'!$A$2:$D$70,4,FALSE)</f>
        <v>0</v>
      </c>
      <c r="K2517" s="4">
        <f t="shared" si="613"/>
        <v>45297</v>
      </c>
      <c r="L2517" s="5">
        <f t="shared" si="614"/>
        <v>1</v>
      </c>
      <c r="M2517" s="5">
        <f t="shared" si="615"/>
        <v>2024</v>
      </c>
      <c r="N2517" s="6">
        <v>3476</v>
      </c>
      <c r="O2517" s="6">
        <f t="shared" ref="O2517:O2529" si="620">-N2517</f>
        <v>-3476</v>
      </c>
      <c r="P2517" s="6">
        <f t="shared" ref="P2517:P2580" si="621">SUM(N2517+O2517)</f>
        <v>0</v>
      </c>
      <c r="Q2517" s="7">
        <f t="shared" si="616"/>
        <v>4095089.1500000018</v>
      </c>
      <c r="R2517" s="44" t="str">
        <f>VLOOKUP(F2517,'Set up'!$A$2:$E$70,5,FALSE)</f>
        <v>Trsf</v>
      </c>
      <c r="S2517" s="1" t="s">
        <v>2335</v>
      </c>
    </row>
    <row r="2518" spans="1:19" ht="15" customHeight="1" x14ac:dyDescent="0.3">
      <c r="A2518" s="4">
        <v>45297</v>
      </c>
      <c r="B2518" s="5">
        <f t="shared" si="611"/>
        <v>1</v>
      </c>
      <c r="C2518" s="5">
        <f t="shared" si="612"/>
        <v>2024</v>
      </c>
      <c r="D2518" s="5" t="s">
        <v>2273</v>
      </c>
      <c r="E2518" s="5" t="str">
        <f>VLOOKUP(F2518,'Set up'!$A$2:$C$70,2,FALSE)</f>
        <v>C00000043</v>
      </c>
      <c r="F2518" s="1" t="s">
        <v>2134</v>
      </c>
      <c r="G2518" s="99" t="s">
        <v>1390</v>
      </c>
      <c r="H2518" s="5">
        <v>2</v>
      </c>
      <c r="I2518" s="5" t="str">
        <f>VLOOKUP(F2518,'Set up'!$A$2:$C$70,3,FALSE)</f>
        <v>Cash</v>
      </c>
      <c r="J2518" s="5">
        <f>VLOOKUP(F2518,'Set up'!$A$2:$D$70,4,FALSE)</f>
        <v>0</v>
      </c>
      <c r="K2518" s="4">
        <f t="shared" si="613"/>
        <v>45297</v>
      </c>
      <c r="L2518" s="5">
        <f t="shared" si="614"/>
        <v>1</v>
      </c>
      <c r="M2518" s="5">
        <f t="shared" si="615"/>
        <v>2024</v>
      </c>
      <c r="N2518" s="6">
        <v>853.2</v>
      </c>
      <c r="O2518" s="6">
        <f t="shared" si="620"/>
        <v>-853.2</v>
      </c>
      <c r="P2518" s="6">
        <f t="shared" si="621"/>
        <v>0</v>
      </c>
      <c r="Q2518" s="7">
        <f t="shared" si="616"/>
        <v>4095942.350000002</v>
      </c>
      <c r="R2518" s="44" t="str">
        <f>VLOOKUP(F2518,'Set up'!$A$2:$E$70,5,FALSE)</f>
        <v>Trsf</v>
      </c>
      <c r="S2518" s="1" t="s">
        <v>2335</v>
      </c>
    </row>
    <row r="2519" spans="1:19" ht="15" customHeight="1" x14ac:dyDescent="0.3">
      <c r="A2519" s="4">
        <v>45297</v>
      </c>
      <c r="B2519" s="5">
        <f t="shared" si="611"/>
        <v>1</v>
      </c>
      <c r="C2519" s="5">
        <f t="shared" si="612"/>
        <v>2024</v>
      </c>
      <c r="D2519" s="5" t="s">
        <v>2273</v>
      </c>
      <c r="E2519" s="5" t="str">
        <f>VLOOKUP(F2519,'Set up'!$A$2:$C$70,2,FALSE)</f>
        <v>C00000043</v>
      </c>
      <c r="F2519" s="1" t="s">
        <v>2134</v>
      </c>
      <c r="G2519" s="99" t="s">
        <v>292</v>
      </c>
      <c r="H2519" s="5">
        <v>1</v>
      </c>
      <c r="I2519" s="5" t="str">
        <f>VLOOKUP(F2519,'Set up'!$A$2:$C$70,3,FALSE)</f>
        <v>Cash</v>
      </c>
      <c r="J2519" s="5">
        <f>VLOOKUP(F2519,'Set up'!$A$2:$D$70,4,FALSE)</f>
        <v>0</v>
      </c>
      <c r="K2519" s="4">
        <f t="shared" si="613"/>
        <v>45297</v>
      </c>
      <c r="L2519" s="5">
        <f t="shared" si="614"/>
        <v>1</v>
      </c>
      <c r="M2519" s="5">
        <f t="shared" si="615"/>
        <v>2024</v>
      </c>
      <c r="N2519" s="6">
        <v>480</v>
      </c>
      <c r="O2519" s="6">
        <f t="shared" si="620"/>
        <v>-480</v>
      </c>
      <c r="P2519" s="6">
        <f t="shared" si="621"/>
        <v>0</v>
      </c>
      <c r="Q2519" s="7">
        <f t="shared" si="616"/>
        <v>4096422.350000002</v>
      </c>
      <c r="R2519" s="44" t="str">
        <f>VLOOKUP(F2519,'Set up'!$A$2:$E$70,5,FALSE)</f>
        <v>Trsf</v>
      </c>
      <c r="S2519" s="1" t="s">
        <v>2335</v>
      </c>
    </row>
    <row r="2520" spans="1:19" ht="15" customHeight="1" x14ac:dyDescent="0.3">
      <c r="A2520" s="4">
        <v>45297</v>
      </c>
      <c r="B2520" s="5">
        <f t="shared" si="611"/>
        <v>1</v>
      </c>
      <c r="C2520" s="5">
        <f t="shared" si="612"/>
        <v>2024</v>
      </c>
      <c r="D2520" s="5" t="s">
        <v>2273</v>
      </c>
      <c r="E2520" s="5" t="str">
        <f>VLOOKUP(F2520,'Set up'!$A$2:$C$70,2,FALSE)</f>
        <v>C00000043</v>
      </c>
      <c r="F2520" s="1" t="s">
        <v>2134</v>
      </c>
      <c r="G2520" s="90" t="s">
        <v>2135</v>
      </c>
      <c r="H2520" s="5">
        <v>10</v>
      </c>
      <c r="I2520" s="5" t="str">
        <f>VLOOKUP(F2520,'Set up'!$A$2:$C$70,3,FALSE)</f>
        <v>Cash</v>
      </c>
      <c r="J2520" s="5">
        <f>VLOOKUP(F2520,'Set up'!$A$2:$D$70,4,FALSE)</f>
        <v>0</v>
      </c>
      <c r="K2520" s="4">
        <f t="shared" si="613"/>
        <v>45297</v>
      </c>
      <c r="L2520" s="5">
        <f t="shared" si="614"/>
        <v>1</v>
      </c>
      <c r="M2520" s="5">
        <f t="shared" si="615"/>
        <v>2024</v>
      </c>
      <c r="N2520" s="6">
        <v>650</v>
      </c>
      <c r="O2520" s="6">
        <f t="shared" si="620"/>
        <v>-650</v>
      </c>
      <c r="P2520" s="6">
        <f t="shared" si="621"/>
        <v>0</v>
      </c>
      <c r="Q2520" s="7">
        <f t="shared" si="616"/>
        <v>4097072.350000002</v>
      </c>
      <c r="R2520" s="44" t="str">
        <f>VLOOKUP(F2520,'Set up'!$A$2:$E$70,5,FALSE)</f>
        <v>Trsf</v>
      </c>
      <c r="S2520" s="1" t="s">
        <v>2335</v>
      </c>
    </row>
    <row r="2521" spans="1:19" ht="15" customHeight="1" x14ac:dyDescent="0.3">
      <c r="A2521" s="4">
        <v>45297</v>
      </c>
      <c r="B2521" s="5">
        <f t="shared" si="611"/>
        <v>1</v>
      </c>
      <c r="C2521" s="5">
        <f t="shared" si="612"/>
        <v>2024</v>
      </c>
      <c r="D2521" s="5" t="s">
        <v>2273</v>
      </c>
      <c r="E2521" s="5" t="str">
        <f>VLOOKUP(F2521,'Set up'!$A$2:$C$70,2,FALSE)</f>
        <v>C00000043</v>
      </c>
      <c r="F2521" s="1" t="s">
        <v>2134</v>
      </c>
      <c r="G2521" s="99" t="s">
        <v>2139</v>
      </c>
      <c r="H2521" s="5">
        <v>12</v>
      </c>
      <c r="I2521" s="5" t="str">
        <f>VLOOKUP(F2521,'Set up'!$A$2:$C$70,3,FALSE)</f>
        <v>Cash</v>
      </c>
      <c r="J2521" s="5">
        <f>VLOOKUP(F2521,'Set up'!$A$2:$D$70,4,FALSE)</f>
        <v>0</v>
      </c>
      <c r="K2521" s="4">
        <f t="shared" si="613"/>
        <v>45297</v>
      </c>
      <c r="L2521" s="5">
        <f t="shared" si="614"/>
        <v>1</v>
      </c>
      <c r="M2521" s="5">
        <f t="shared" si="615"/>
        <v>2024</v>
      </c>
      <c r="N2521" s="6">
        <v>54</v>
      </c>
      <c r="O2521" s="6">
        <f t="shared" si="620"/>
        <v>-54</v>
      </c>
      <c r="P2521" s="6">
        <f t="shared" si="621"/>
        <v>0</v>
      </c>
      <c r="Q2521" s="7">
        <f t="shared" si="616"/>
        <v>4097126.350000002</v>
      </c>
      <c r="R2521" s="44" t="str">
        <f>VLOOKUP(F2521,'Set up'!$A$2:$E$70,5,FALSE)</f>
        <v>Trsf</v>
      </c>
      <c r="S2521" s="1" t="s">
        <v>2335</v>
      </c>
    </row>
    <row r="2522" spans="1:19" ht="15" customHeight="1" x14ac:dyDescent="0.3">
      <c r="A2522" s="4">
        <v>45297</v>
      </c>
      <c r="B2522" s="5">
        <f t="shared" si="611"/>
        <v>1</v>
      </c>
      <c r="C2522" s="5">
        <f t="shared" si="612"/>
        <v>2024</v>
      </c>
      <c r="D2522" s="5" t="s">
        <v>2273</v>
      </c>
      <c r="E2522" s="5" t="str">
        <f>VLOOKUP(F2522,'Set up'!$A$2:$C$70,2,FALSE)</f>
        <v>C00000043</v>
      </c>
      <c r="F2522" s="1" t="s">
        <v>2134</v>
      </c>
      <c r="G2522" s="99" t="s">
        <v>2144</v>
      </c>
      <c r="H2522" s="5">
        <v>1</v>
      </c>
      <c r="I2522" s="5" t="str">
        <f>VLOOKUP(F2522,'Set up'!$A$2:$C$70,3,FALSE)</f>
        <v>Cash</v>
      </c>
      <c r="J2522" s="5">
        <f>VLOOKUP(F2522,'Set up'!$A$2:$D$70,4,FALSE)</f>
        <v>0</v>
      </c>
      <c r="K2522" s="4">
        <f t="shared" si="613"/>
        <v>45297</v>
      </c>
      <c r="L2522" s="5">
        <f t="shared" si="614"/>
        <v>1</v>
      </c>
      <c r="M2522" s="5">
        <f t="shared" si="615"/>
        <v>2024</v>
      </c>
      <c r="N2522" s="6">
        <v>283.8</v>
      </c>
      <c r="O2522" s="6">
        <f t="shared" si="620"/>
        <v>-283.8</v>
      </c>
      <c r="P2522" s="6">
        <f t="shared" si="621"/>
        <v>0</v>
      </c>
      <c r="Q2522" s="7">
        <f t="shared" si="616"/>
        <v>4097410.1500000018</v>
      </c>
      <c r="R2522" s="44" t="str">
        <f>VLOOKUP(F2522,'Set up'!$A$2:$E$70,5,FALSE)</f>
        <v>Trsf</v>
      </c>
      <c r="S2522" s="1" t="s">
        <v>2335</v>
      </c>
    </row>
    <row r="2523" spans="1:19" ht="15" customHeight="1" x14ac:dyDescent="0.3">
      <c r="A2523" s="4">
        <v>45297</v>
      </c>
      <c r="B2523" s="5">
        <f t="shared" si="611"/>
        <v>1</v>
      </c>
      <c r="C2523" s="5">
        <f t="shared" si="612"/>
        <v>2024</v>
      </c>
      <c r="D2523" s="5" t="s">
        <v>2273</v>
      </c>
      <c r="E2523" s="5" t="str">
        <f>VLOOKUP(F2523,'Set up'!$A$2:$C$70,2,FALSE)</f>
        <v>C00000043</v>
      </c>
      <c r="F2523" s="1" t="s">
        <v>2134</v>
      </c>
      <c r="G2523" s="99" t="s">
        <v>46</v>
      </c>
      <c r="H2523" s="5">
        <v>2</v>
      </c>
      <c r="I2523" s="5" t="str">
        <f>VLOOKUP(F2523,'Set up'!$A$2:$C$70,3,FALSE)</f>
        <v>Cash</v>
      </c>
      <c r="J2523" s="5">
        <f>VLOOKUP(F2523,'Set up'!$A$2:$D$70,4,FALSE)</f>
        <v>0</v>
      </c>
      <c r="K2523" s="4">
        <f t="shared" si="613"/>
        <v>45297</v>
      </c>
      <c r="L2523" s="5">
        <f t="shared" si="614"/>
        <v>1</v>
      </c>
      <c r="M2523" s="5">
        <f t="shared" si="615"/>
        <v>2024</v>
      </c>
      <c r="N2523" s="6">
        <v>220</v>
      </c>
      <c r="O2523" s="6">
        <f t="shared" si="620"/>
        <v>-220</v>
      </c>
      <c r="P2523" s="6">
        <f t="shared" si="621"/>
        <v>0</v>
      </c>
      <c r="Q2523" s="7">
        <f t="shared" si="616"/>
        <v>4097630.1500000018</v>
      </c>
      <c r="R2523" s="44" t="str">
        <f>VLOOKUP(F2523,'Set up'!$A$2:$E$70,5,FALSE)</f>
        <v>Trsf</v>
      </c>
      <c r="S2523" s="1" t="s">
        <v>2335</v>
      </c>
    </row>
    <row r="2524" spans="1:19" ht="15" customHeight="1" x14ac:dyDescent="0.3">
      <c r="A2524" s="4">
        <v>45297</v>
      </c>
      <c r="B2524" s="5">
        <f t="shared" si="611"/>
        <v>1</v>
      </c>
      <c r="C2524" s="5">
        <f t="shared" si="612"/>
        <v>2024</v>
      </c>
      <c r="D2524" s="5" t="s">
        <v>2273</v>
      </c>
      <c r="E2524" s="5" t="str">
        <f>VLOOKUP(F2524,'Set up'!$A$2:$C$70,2,FALSE)</f>
        <v>C00000043</v>
      </c>
      <c r="F2524" s="1" t="s">
        <v>2134</v>
      </c>
      <c r="G2524" s="99" t="s">
        <v>1390</v>
      </c>
      <c r="H2524" s="5">
        <v>1</v>
      </c>
      <c r="I2524" s="5" t="str">
        <f>VLOOKUP(F2524,'Set up'!$A$2:$C$70,3,FALSE)</f>
        <v>Cash</v>
      </c>
      <c r="J2524" s="5">
        <f>VLOOKUP(F2524,'Set up'!$A$2:$D$70,4,FALSE)</f>
        <v>0</v>
      </c>
      <c r="K2524" s="4">
        <f t="shared" si="613"/>
        <v>45297</v>
      </c>
      <c r="L2524" s="5">
        <f t="shared" si="614"/>
        <v>1</v>
      </c>
      <c r="M2524" s="5">
        <f t="shared" si="615"/>
        <v>2024</v>
      </c>
      <c r="N2524" s="6">
        <v>424.8</v>
      </c>
      <c r="O2524" s="6">
        <f t="shared" si="620"/>
        <v>-424.8</v>
      </c>
      <c r="P2524" s="6">
        <f t="shared" si="621"/>
        <v>0</v>
      </c>
      <c r="Q2524" s="7">
        <f t="shared" si="616"/>
        <v>4098054.9500000016</v>
      </c>
      <c r="R2524" s="44" t="str">
        <f>VLOOKUP(F2524,'Set up'!$A$2:$E$70,5,FALSE)</f>
        <v>Trsf</v>
      </c>
      <c r="S2524" s="1" t="s">
        <v>2335</v>
      </c>
    </row>
    <row r="2525" spans="1:19" ht="15" customHeight="1" x14ac:dyDescent="0.3">
      <c r="A2525" s="4">
        <v>45299</v>
      </c>
      <c r="B2525" s="5">
        <f t="shared" si="611"/>
        <v>1</v>
      </c>
      <c r="C2525" s="5">
        <f t="shared" si="612"/>
        <v>2024</v>
      </c>
      <c r="D2525" s="5" t="s">
        <v>2274</v>
      </c>
      <c r="E2525" s="5" t="str">
        <f>VLOOKUP(F2525,'Set up'!$A$2:$C$70,2,FALSE)</f>
        <v>C00000009</v>
      </c>
      <c r="F2525" s="1" t="s">
        <v>58</v>
      </c>
      <c r="G2525" s="11" t="s">
        <v>95</v>
      </c>
      <c r="H2525" s="5">
        <v>2</v>
      </c>
      <c r="I2525" s="5">
        <f>VLOOKUP(F2525,'Set up'!$A$2:$C$70,3,FALSE)</f>
        <v>60</v>
      </c>
      <c r="J2525" s="5">
        <f>VLOOKUP(F2525,'Set up'!$A$2:$D$70,4,FALSE)</f>
        <v>60</v>
      </c>
      <c r="K2525" s="4">
        <f t="shared" si="613"/>
        <v>45359</v>
      </c>
      <c r="L2525" s="5">
        <f t="shared" si="614"/>
        <v>3</v>
      </c>
      <c r="M2525" s="5">
        <f t="shared" si="615"/>
        <v>2024</v>
      </c>
      <c r="N2525" s="6">
        <v>3212</v>
      </c>
      <c r="O2525" s="6">
        <f t="shared" si="620"/>
        <v>-3212</v>
      </c>
      <c r="P2525" s="6">
        <f t="shared" si="621"/>
        <v>0</v>
      </c>
      <c r="Q2525" s="7">
        <f t="shared" si="616"/>
        <v>4101266.9500000016</v>
      </c>
      <c r="R2525" s="44" t="str">
        <f>VLOOKUP(F2525,'Set up'!$A$2:$E$70,5,FALSE)</f>
        <v>Chq</v>
      </c>
      <c r="S2525" s="1" t="s">
        <v>2632</v>
      </c>
    </row>
    <row r="2526" spans="1:19" ht="15" customHeight="1" x14ac:dyDescent="0.3">
      <c r="A2526" s="4">
        <v>45299</v>
      </c>
      <c r="B2526" s="5">
        <f t="shared" si="611"/>
        <v>1</v>
      </c>
      <c r="C2526" s="5">
        <f t="shared" si="612"/>
        <v>2024</v>
      </c>
      <c r="D2526" s="5" t="s">
        <v>2274</v>
      </c>
      <c r="E2526" s="5" t="str">
        <f>VLOOKUP(F2526,'Set up'!$A$2:$C$70,2,FALSE)</f>
        <v>C00000009</v>
      </c>
      <c r="F2526" s="1" t="s">
        <v>58</v>
      </c>
      <c r="G2526" s="11" t="s">
        <v>286</v>
      </c>
      <c r="H2526" s="5">
        <v>1</v>
      </c>
      <c r="I2526" s="5">
        <f>VLOOKUP(F2526,'Set up'!$A$2:$C$70,3,FALSE)</f>
        <v>60</v>
      </c>
      <c r="J2526" s="5">
        <f>VLOOKUP(F2526,'Set up'!$A$2:$D$70,4,FALSE)</f>
        <v>60</v>
      </c>
      <c r="K2526" s="4">
        <f t="shared" si="613"/>
        <v>45359</v>
      </c>
      <c r="L2526" s="5">
        <f t="shared" si="614"/>
        <v>3</v>
      </c>
      <c r="M2526" s="5">
        <f t="shared" si="615"/>
        <v>2024</v>
      </c>
      <c r="N2526" s="6">
        <v>1606</v>
      </c>
      <c r="O2526" s="6">
        <f t="shared" si="620"/>
        <v>-1606</v>
      </c>
      <c r="P2526" s="6">
        <f t="shared" si="621"/>
        <v>0</v>
      </c>
      <c r="Q2526" s="7">
        <f t="shared" si="616"/>
        <v>4102872.9500000016</v>
      </c>
      <c r="R2526" s="44" t="str">
        <f>VLOOKUP(F2526,'Set up'!$A$2:$E$70,5,FALSE)</f>
        <v>Chq</v>
      </c>
      <c r="S2526" s="1" t="s">
        <v>2632</v>
      </c>
    </row>
    <row r="2527" spans="1:19" ht="15" customHeight="1" x14ac:dyDescent="0.3">
      <c r="A2527" s="4">
        <v>45299</v>
      </c>
      <c r="B2527" s="5">
        <f t="shared" si="611"/>
        <v>1</v>
      </c>
      <c r="C2527" s="5">
        <f t="shared" si="612"/>
        <v>2024</v>
      </c>
      <c r="D2527" s="5" t="s">
        <v>2274</v>
      </c>
      <c r="E2527" s="5" t="str">
        <f>VLOOKUP(F2527,'Set up'!$A$2:$C$70,2,FALSE)</f>
        <v>C00000009</v>
      </c>
      <c r="F2527" s="1" t="s">
        <v>58</v>
      </c>
      <c r="G2527" s="89" t="s">
        <v>1411</v>
      </c>
      <c r="H2527" s="5">
        <v>2</v>
      </c>
      <c r="I2527" s="5">
        <f>VLOOKUP(F2527,'Set up'!$A$2:$C$70,3,FALSE)</f>
        <v>60</v>
      </c>
      <c r="J2527" s="5">
        <f>VLOOKUP(F2527,'Set up'!$A$2:$D$70,4,FALSE)</f>
        <v>60</v>
      </c>
      <c r="K2527" s="4">
        <f t="shared" si="613"/>
        <v>45359</v>
      </c>
      <c r="L2527" s="5">
        <f t="shared" si="614"/>
        <v>3</v>
      </c>
      <c r="M2527" s="5">
        <f t="shared" si="615"/>
        <v>2024</v>
      </c>
      <c r="N2527" s="6">
        <v>626.4</v>
      </c>
      <c r="O2527" s="6">
        <f t="shared" si="620"/>
        <v>-626.4</v>
      </c>
      <c r="P2527" s="6">
        <f t="shared" si="621"/>
        <v>0</v>
      </c>
      <c r="Q2527" s="7">
        <f t="shared" si="616"/>
        <v>4103499.3500000015</v>
      </c>
      <c r="R2527" s="44" t="str">
        <f>VLOOKUP(F2527,'Set up'!$A$2:$E$70,5,FALSE)</f>
        <v>Chq</v>
      </c>
      <c r="S2527" s="1" t="s">
        <v>2632</v>
      </c>
    </row>
    <row r="2528" spans="1:19" ht="15" customHeight="1" x14ac:dyDescent="0.3">
      <c r="A2528" s="4">
        <v>45299</v>
      </c>
      <c r="B2528" s="5">
        <f t="shared" si="611"/>
        <v>1</v>
      </c>
      <c r="C2528" s="5">
        <f t="shared" si="612"/>
        <v>2024</v>
      </c>
      <c r="D2528" s="5" t="s">
        <v>2274</v>
      </c>
      <c r="E2528" s="5" t="str">
        <f>VLOOKUP(F2528,'Set up'!$A$2:$C$70,2,FALSE)</f>
        <v>C00000009</v>
      </c>
      <c r="F2528" s="1" t="s">
        <v>58</v>
      </c>
      <c r="G2528" s="90" t="s">
        <v>2133</v>
      </c>
      <c r="H2528" s="5">
        <v>2</v>
      </c>
      <c r="I2528" s="5">
        <f>VLOOKUP(F2528,'Set up'!$A$2:$C$70,3,FALSE)</f>
        <v>60</v>
      </c>
      <c r="J2528" s="5">
        <f>VLOOKUP(F2528,'Set up'!$A$2:$D$70,4,FALSE)</f>
        <v>60</v>
      </c>
      <c r="K2528" s="4">
        <f t="shared" si="613"/>
        <v>45359</v>
      </c>
      <c r="L2528" s="5">
        <f t="shared" si="614"/>
        <v>3</v>
      </c>
      <c r="M2528" s="5">
        <f t="shared" si="615"/>
        <v>2024</v>
      </c>
      <c r="N2528" s="6">
        <v>626.4</v>
      </c>
      <c r="O2528" s="6">
        <f t="shared" si="620"/>
        <v>-626.4</v>
      </c>
      <c r="P2528" s="6">
        <f t="shared" si="621"/>
        <v>0</v>
      </c>
      <c r="Q2528" s="7">
        <f t="shared" si="616"/>
        <v>4104125.7500000014</v>
      </c>
      <c r="R2528" s="44" t="str">
        <f>VLOOKUP(F2528,'Set up'!$A$2:$E$70,5,FALSE)</f>
        <v>Chq</v>
      </c>
      <c r="S2528" s="1" t="s">
        <v>2632</v>
      </c>
    </row>
    <row r="2529" spans="1:19" ht="15" customHeight="1" x14ac:dyDescent="0.3">
      <c r="A2529" s="4">
        <v>45299</v>
      </c>
      <c r="B2529" s="5">
        <f t="shared" si="611"/>
        <v>1</v>
      </c>
      <c r="C2529" s="5">
        <f t="shared" si="612"/>
        <v>2024</v>
      </c>
      <c r="D2529" s="5" t="s">
        <v>2274</v>
      </c>
      <c r="E2529" s="5" t="str">
        <f>VLOOKUP(F2529,'Set up'!$A$2:$C$70,2,FALSE)</f>
        <v>C00000009</v>
      </c>
      <c r="F2529" s="1" t="s">
        <v>58</v>
      </c>
      <c r="G2529" s="90" t="s">
        <v>46</v>
      </c>
      <c r="H2529" s="5">
        <v>2</v>
      </c>
      <c r="I2529" s="5">
        <f>VLOOKUP(F2529,'Set up'!$A$2:$C$70,3,FALSE)</f>
        <v>60</v>
      </c>
      <c r="J2529" s="5">
        <f>VLOOKUP(F2529,'Set up'!$A$2:$D$70,4,FALSE)</f>
        <v>60</v>
      </c>
      <c r="K2529" s="4">
        <f t="shared" si="613"/>
        <v>45359</v>
      </c>
      <c r="L2529" s="5">
        <f t="shared" si="614"/>
        <v>3</v>
      </c>
      <c r="M2529" s="5">
        <f t="shared" si="615"/>
        <v>2024</v>
      </c>
      <c r="N2529" s="6">
        <v>220</v>
      </c>
      <c r="O2529" s="6">
        <f t="shared" si="620"/>
        <v>-220</v>
      </c>
      <c r="P2529" s="6">
        <f t="shared" si="621"/>
        <v>0</v>
      </c>
      <c r="Q2529" s="7">
        <f t="shared" si="616"/>
        <v>4104345.7500000014</v>
      </c>
      <c r="R2529" s="44" t="str">
        <f>VLOOKUP(F2529,'Set up'!$A$2:$E$70,5,FALSE)</f>
        <v>Chq</v>
      </c>
      <c r="S2529" s="1" t="s">
        <v>2632</v>
      </c>
    </row>
    <row r="2530" spans="1:19" ht="15" customHeight="1" x14ac:dyDescent="0.3">
      <c r="A2530" s="4">
        <v>45300</v>
      </c>
      <c r="B2530" s="5">
        <f t="shared" si="611"/>
        <v>1</v>
      </c>
      <c r="C2530" s="5">
        <f t="shared" si="612"/>
        <v>2024</v>
      </c>
      <c r="D2530" s="5" t="s">
        <v>2275</v>
      </c>
      <c r="E2530" s="5" t="str">
        <f>VLOOKUP(F2530,'Set up'!$A$2:$C$70,2,FALSE)</f>
        <v>C00000044</v>
      </c>
      <c r="F2530" s="1" t="s">
        <v>2929</v>
      </c>
      <c r="G2530" s="95" t="s">
        <v>303</v>
      </c>
      <c r="H2530" s="5">
        <v>1</v>
      </c>
      <c r="I2530" s="5" t="str">
        <f>VLOOKUP(F2530,'Set up'!$A$2:$C$70,3,FALSE)</f>
        <v>Cash</v>
      </c>
      <c r="J2530" s="5">
        <f>VLOOKUP(F2530,'Set up'!$A$2:$D$70,4,FALSE)</f>
        <v>0</v>
      </c>
      <c r="K2530" s="4">
        <f t="shared" si="613"/>
        <v>45300</v>
      </c>
      <c r="L2530" s="5">
        <f t="shared" si="614"/>
        <v>1</v>
      </c>
      <c r="M2530" s="5">
        <f t="shared" si="615"/>
        <v>2024</v>
      </c>
      <c r="N2530" s="6">
        <v>1606</v>
      </c>
      <c r="O2530" s="6">
        <f t="shared" ref="O2530:O2534" si="622">-N2530</f>
        <v>-1606</v>
      </c>
      <c r="P2530" s="6">
        <f t="shared" si="621"/>
        <v>0</v>
      </c>
      <c r="Q2530" s="7">
        <f t="shared" si="616"/>
        <v>4105951.7500000014</v>
      </c>
      <c r="R2530" s="44" t="str">
        <f>VLOOKUP(F2530,'Set up'!$A$2:$E$70,5,FALSE)</f>
        <v>Cash</v>
      </c>
      <c r="S2530" s="1" t="s">
        <v>2306</v>
      </c>
    </row>
    <row r="2531" spans="1:19" ht="15" customHeight="1" x14ac:dyDescent="0.3">
      <c r="A2531" s="4">
        <v>45300</v>
      </c>
      <c r="B2531" s="5">
        <f t="shared" si="611"/>
        <v>1</v>
      </c>
      <c r="C2531" s="5">
        <f t="shared" si="612"/>
        <v>2024</v>
      </c>
      <c r="D2531" s="5" t="s">
        <v>2275</v>
      </c>
      <c r="E2531" s="5" t="str">
        <f>VLOOKUP(F2531,'Set up'!$A$2:$C$70,2,FALSE)</f>
        <v>C00000044</v>
      </c>
      <c r="F2531" s="1" t="s">
        <v>2929</v>
      </c>
      <c r="G2531" s="90" t="s">
        <v>1543</v>
      </c>
      <c r="H2531" s="5">
        <v>3</v>
      </c>
      <c r="I2531" s="5" t="str">
        <f>VLOOKUP(F2531,'Set up'!$A$2:$C$70,3,FALSE)</f>
        <v>Cash</v>
      </c>
      <c r="J2531" s="5">
        <f>VLOOKUP(F2531,'Set up'!$A$2:$D$70,4,FALSE)</f>
        <v>0</v>
      </c>
      <c r="K2531" s="4">
        <f t="shared" si="613"/>
        <v>45300</v>
      </c>
      <c r="L2531" s="5">
        <f t="shared" si="614"/>
        <v>1</v>
      </c>
      <c r="M2531" s="5">
        <f t="shared" si="615"/>
        <v>2024</v>
      </c>
      <c r="N2531" s="6">
        <v>630</v>
      </c>
      <c r="O2531" s="6">
        <f t="shared" si="622"/>
        <v>-630</v>
      </c>
      <c r="P2531" s="6">
        <f t="shared" si="621"/>
        <v>0</v>
      </c>
      <c r="Q2531" s="7">
        <f t="shared" si="616"/>
        <v>4106581.7500000014</v>
      </c>
      <c r="R2531" s="44" t="str">
        <f>VLOOKUP(F2531,'Set up'!$A$2:$E$70,5,FALSE)</f>
        <v>Cash</v>
      </c>
      <c r="S2531" s="1" t="s">
        <v>2306</v>
      </c>
    </row>
    <row r="2532" spans="1:19" ht="15" customHeight="1" x14ac:dyDescent="0.3">
      <c r="A2532" s="4">
        <v>45301</v>
      </c>
      <c r="B2532" s="5">
        <f t="shared" si="611"/>
        <v>1</v>
      </c>
      <c r="C2532" s="5">
        <f t="shared" si="612"/>
        <v>2024</v>
      </c>
      <c r="D2532" s="5" t="s">
        <v>2276</v>
      </c>
      <c r="E2532" s="5" t="str">
        <f>VLOOKUP(F2532,'Set up'!$A$2:$C$70,2,FALSE)</f>
        <v>C00000019</v>
      </c>
      <c r="F2532" s="1" t="s">
        <v>400</v>
      </c>
      <c r="G2532" s="90" t="s">
        <v>95</v>
      </c>
      <c r="H2532" s="5">
        <v>1</v>
      </c>
      <c r="I2532" s="5" t="str">
        <f>VLOOKUP(F2532,'Set up'!$A$2:$C$70,3,FALSE)</f>
        <v>Cash</v>
      </c>
      <c r="J2532" s="5">
        <f>VLOOKUP(F2532,'Set up'!$A$2:$D$70,4,FALSE)</f>
        <v>0</v>
      </c>
      <c r="K2532" s="4">
        <f t="shared" si="613"/>
        <v>45301</v>
      </c>
      <c r="L2532" s="5">
        <f t="shared" si="614"/>
        <v>1</v>
      </c>
      <c r="M2532" s="5">
        <f t="shared" si="615"/>
        <v>2024</v>
      </c>
      <c r="N2532" s="6">
        <v>1738</v>
      </c>
      <c r="O2532" s="6">
        <f t="shared" si="622"/>
        <v>-1738</v>
      </c>
      <c r="P2532" s="6">
        <f t="shared" si="621"/>
        <v>0</v>
      </c>
      <c r="Q2532" s="7">
        <f t="shared" si="616"/>
        <v>4108319.7500000014</v>
      </c>
      <c r="R2532" s="44" t="str">
        <f>VLOOKUP(F2532,'Set up'!$A$2:$E$70,5,FALSE)</f>
        <v>Trsf</v>
      </c>
      <c r="S2532" s="1" t="s">
        <v>3438</v>
      </c>
    </row>
    <row r="2533" spans="1:19" ht="15" customHeight="1" x14ac:dyDescent="0.3">
      <c r="A2533" s="4">
        <v>45301</v>
      </c>
      <c r="B2533" s="5">
        <f t="shared" si="611"/>
        <v>1</v>
      </c>
      <c r="C2533" s="5">
        <f t="shared" si="612"/>
        <v>2024</v>
      </c>
      <c r="D2533" s="5" t="s">
        <v>2276</v>
      </c>
      <c r="E2533" s="5" t="str">
        <f>VLOOKUP(F2533,'Set up'!$A$2:$C$70,2,FALSE)</f>
        <v>C00000019</v>
      </c>
      <c r="F2533" s="1" t="s">
        <v>400</v>
      </c>
      <c r="G2533" s="90" t="s">
        <v>894</v>
      </c>
      <c r="H2533" s="5">
        <v>1</v>
      </c>
      <c r="I2533" s="5" t="str">
        <f>VLOOKUP(F2533,'Set up'!$A$2:$C$70,3,FALSE)</f>
        <v>Cash</v>
      </c>
      <c r="J2533" s="5">
        <f>VLOOKUP(F2533,'Set up'!$A$2:$D$70,4,FALSE)</f>
        <v>0</v>
      </c>
      <c r="K2533" s="4">
        <f t="shared" si="613"/>
        <v>45301</v>
      </c>
      <c r="L2533" s="5">
        <f t="shared" si="614"/>
        <v>1</v>
      </c>
      <c r="M2533" s="5">
        <f t="shared" si="615"/>
        <v>2024</v>
      </c>
      <c r="N2533" s="6">
        <v>150</v>
      </c>
      <c r="O2533" s="6">
        <f t="shared" si="622"/>
        <v>-150</v>
      </c>
      <c r="P2533" s="6">
        <f t="shared" si="621"/>
        <v>0</v>
      </c>
      <c r="Q2533" s="7">
        <f t="shared" si="616"/>
        <v>4108469.7500000014</v>
      </c>
      <c r="R2533" s="44" t="str">
        <f>VLOOKUP(F2533,'Set up'!$A$2:$E$70,5,FALSE)</f>
        <v>Trsf</v>
      </c>
      <c r="S2533" s="1" t="s">
        <v>3439</v>
      </c>
    </row>
    <row r="2534" spans="1:19" ht="15" customHeight="1" x14ac:dyDescent="0.3">
      <c r="A2534" s="4">
        <v>45301</v>
      </c>
      <c r="B2534" s="5">
        <f t="shared" si="611"/>
        <v>1</v>
      </c>
      <c r="C2534" s="5">
        <f t="shared" si="612"/>
        <v>2024</v>
      </c>
      <c r="D2534" s="5" t="s">
        <v>2276</v>
      </c>
      <c r="E2534" s="5" t="str">
        <f>VLOOKUP(F2534,'Set up'!$A$2:$C$70,2,FALSE)</f>
        <v>C00000019</v>
      </c>
      <c r="F2534" s="1" t="s">
        <v>400</v>
      </c>
      <c r="G2534" s="90" t="s">
        <v>2135</v>
      </c>
      <c r="H2534" s="5">
        <v>3</v>
      </c>
      <c r="I2534" s="5" t="str">
        <f>VLOOKUP(F2534,'Set up'!$A$2:$C$70,3,FALSE)</f>
        <v>Cash</v>
      </c>
      <c r="J2534" s="5">
        <f>VLOOKUP(F2534,'Set up'!$A$2:$D$70,4,FALSE)</f>
        <v>0</v>
      </c>
      <c r="K2534" s="4">
        <f t="shared" si="613"/>
        <v>45301</v>
      </c>
      <c r="L2534" s="5">
        <f t="shared" si="614"/>
        <v>1</v>
      </c>
      <c r="M2534" s="5">
        <f t="shared" si="615"/>
        <v>2024</v>
      </c>
      <c r="N2534" s="6">
        <v>187.5</v>
      </c>
      <c r="O2534" s="6">
        <f t="shared" si="622"/>
        <v>-187.5</v>
      </c>
      <c r="P2534" s="6">
        <f t="shared" si="621"/>
        <v>0</v>
      </c>
      <c r="Q2534" s="7">
        <f t="shared" si="616"/>
        <v>4108657.2500000014</v>
      </c>
      <c r="R2534" s="44" t="str">
        <f>VLOOKUP(F2534,'Set up'!$A$2:$E$70,5,FALSE)</f>
        <v>Trsf</v>
      </c>
      <c r="S2534" s="1" t="s">
        <v>3440</v>
      </c>
    </row>
    <row r="2535" spans="1:19" ht="15" customHeight="1" x14ac:dyDescent="0.3">
      <c r="A2535" s="4">
        <v>45301</v>
      </c>
      <c r="B2535" s="5">
        <f t="shared" si="611"/>
        <v>1</v>
      </c>
      <c r="C2535" s="5">
        <f t="shared" si="612"/>
        <v>2024</v>
      </c>
      <c r="D2535" s="5" t="s">
        <v>2277</v>
      </c>
      <c r="E2535" s="5" t="str">
        <f>VLOOKUP(F2535,'Set up'!$A$2:$C$70,2,FALSE)</f>
        <v>C00000042</v>
      </c>
      <c r="F2535" s="1" t="s">
        <v>2012</v>
      </c>
      <c r="G2535" s="103" t="s">
        <v>2130</v>
      </c>
      <c r="H2535" s="5">
        <v>3</v>
      </c>
      <c r="I2535" s="5" t="str">
        <f>VLOOKUP(F2535,'Set up'!$A$2:$C$70,3,FALSE)</f>
        <v>Cash</v>
      </c>
      <c r="J2535" s="5">
        <f>VLOOKUP(F2535,'Set up'!$A$2:$D$70,4,FALSE)</f>
        <v>0</v>
      </c>
      <c r="K2535" s="4">
        <f t="shared" si="613"/>
        <v>45301</v>
      </c>
      <c r="L2535" s="5">
        <f t="shared" si="614"/>
        <v>1</v>
      </c>
      <c r="M2535" s="5">
        <f t="shared" si="615"/>
        <v>2024</v>
      </c>
      <c r="N2535" s="6">
        <v>187.5</v>
      </c>
      <c r="O2535" s="6">
        <f t="shared" ref="O2535:O2540" si="623">-N2535</f>
        <v>-187.5</v>
      </c>
      <c r="P2535" s="6">
        <f t="shared" si="621"/>
        <v>0</v>
      </c>
      <c r="Q2535" s="7">
        <f t="shared" si="616"/>
        <v>4108844.7500000014</v>
      </c>
      <c r="R2535" s="44" t="str">
        <f>VLOOKUP(F2535,'Set up'!$A$2:$E$70,5,FALSE)</f>
        <v>Trsf</v>
      </c>
      <c r="S2535" s="1" t="s">
        <v>2796</v>
      </c>
    </row>
    <row r="2536" spans="1:19" ht="15" customHeight="1" x14ac:dyDescent="0.3">
      <c r="A2536" s="4">
        <v>45301</v>
      </c>
      <c r="B2536" s="5">
        <f t="shared" si="611"/>
        <v>1</v>
      </c>
      <c r="C2536" s="5">
        <f t="shared" si="612"/>
        <v>2024</v>
      </c>
      <c r="D2536" s="5" t="s">
        <v>2278</v>
      </c>
      <c r="E2536" s="5" t="str">
        <f>VLOOKUP(F2536,'Set up'!$A$2:$C$70,2,FALSE)</f>
        <v>C00000042</v>
      </c>
      <c r="F2536" s="1" t="s">
        <v>2012</v>
      </c>
      <c r="G2536" s="103" t="s">
        <v>1894</v>
      </c>
      <c r="H2536" s="5">
        <v>6</v>
      </c>
      <c r="I2536" s="5" t="str">
        <f>VLOOKUP(F2536,'Set up'!$A$2:$C$70,3,FALSE)</f>
        <v>Cash</v>
      </c>
      <c r="J2536" s="5">
        <f>VLOOKUP(F2536,'Set up'!$A$2:$D$70,4,FALSE)</f>
        <v>0</v>
      </c>
      <c r="K2536" s="4">
        <f t="shared" si="613"/>
        <v>45301</v>
      </c>
      <c r="L2536" s="5">
        <f t="shared" si="614"/>
        <v>1</v>
      </c>
      <c r="M2536" s="5">
        <f t="shared" si="615"/>
        <v>2024</v>
      </c>
      <c r="N2536" s="6">
        <v>9636</v>
      </c>
      <c r="O2536" s="6">
        <f t="shared" si="623"/>
        <v>-9636</v>
      </c>
      <c r="P2536" s="6">
        <f t="shared" si="621"/>
        <v>0</v>
      </c>
      <c r="Q2536" s="7">
        <f t="shared" si="616"/>
        <v>4118480.7500000014</v>
      </c>
      <c r="R2536" s="44" t="str">
        <f>VLOOKUP(F2536,'Set up'!$A$2:$E$70,5,FALSE)</f>
        <v>Trsf</v>
      </c>
      <c r="S2536" s="1" t="s">
        <v>2800</v>
      </c>
    </row>
    <row r="2537" spans="1:19" ht="15" customHeight="1" x14ac:dyDescent="0.3">
      <c r="A2537" s="4">
        <v>45301</v>
      </c>
      <c r="B2537" s="5">
        <f t="shared" si="611"/>
        <v>1</v>
      </c>
      <c r="C2537" s="5">
        <f t="shared" si="612"/>
        <v>2024</v>
      </c>
      <c r="D2537" s="5" t="s">
        <v>2278</v>
      </c>
      <c r="E2537" s="5" t="str">
        <f>VLOOKUP(F2537,'Set up'!$A$2:$C$70,2,FALSE)</f>
        <v>C00000042</v>
      </c>
      <c r="F2537" s="1" t="s">
        <v>2012</v>
      </c>
      <c r="G2537" s="90" t="s">
        <v>2279</v>
      </c>
      <c r="H2537" s="5">
        <v>5</v>
      </c>
      <c r="I2537" s="5" t="str">
        <f>VLOOKUP(F2537,'Set up'!$A$2:$C$70,3,FALSE)</f>
        <v>Cash</v>
      </c>
      <c r="J2537" s="5">
        <f>VLOOKUP(F2537,'Set up'!$A$2:$D$70,4,FALSE)</f>
        <v>0</v>
      </c>
      <c r="K2537" s="4">
        <f t="shared" si="613"/>
        <v>45301</v>
      </c>
      <c r="L2537" s="5">
        <f t="shared" si="614"/>
        <v>1</v>
      </c>
      <c r="M2537" s="5">
        <f t="shared" si="615"/>
        <v>2024</v>
      </c>
      <c r="N2537" s="6">
        <v>1073</v>
      </c>
      <c r="O2537" s="6">
        <f t="shared" si="623"/>
        <v>-1073</v>
      </c>
      <c r="P2537" s="6">
        <f t="shared" si="621"/>
        <v>0</v>
      </c>
      <c r="Q2537" s="7">
        <f t="shared" si="616"/>
        <v>4119553.7500000014</v>
      </c>
      <c r="R2537" s="44" t="str">
        <f>VLOOKUP(F2537,'Set up'!$A$2:$E$70,5,FALSE)</f>
        <v>Trsf</v>
      </c>
      <c r="S2537" s="1" t="s">
        <v>2801</v>
      </c>
    </row>
    <row r="2538" spans="1:19" ht="15" customHeight="1" x14ac:dyDescent="0.3">
      <c r="A2538" s="4">
        <v>45301</v>
      </c>
      <c r="B2538" s="5">
        <f t="shared" si="611"/>
        <v>1</v>
      </c>
      <c r="C2538" s="5">
        <f t="shared" si="612"/>
        <v>2024</v>
      </c>
      <c r="D2538" s="5" t="s">
        <v>2278</v>
      </c>
      <c r="E2538" s="5" t="str">
        <f>VLOOKUP(F2538,'Set up'!$A$2:$C$70,2,FALSE)</f>
        <v>C00000042</v>
      </c>
      <c r="F2538" s="1" t="s">
        <v>2012</v>
      </c>
      <c r="G2538" s="90" t="s">
        <v>1796</v>
      </c>
      <c r="H2538" s="5">
        <v>10</v>
      </c>
      <c r="I2538" s="5" t="str">
        <f>VLOOKUP(F2538,'Set up'!$A$2:$C$70,3,FALSE)</f>
        <v>Cash</v>
      </c>
      <c r="J2538" s="5">
        <f>VLOOKUP(F2538,'Set up'!$A$2:$D$70,4,FALSE)</f>
        <v>0</v>
      </c>
      <c r="K2538" s="4">
        <f t="shared" si="613"/>
        <v>45301</v>
      </c>
      <c r="L2538" s="5">
        <f t="shared" si="614"/>
        <v>1</v>
      </c>
      <c r="M2538" s="5">
        <f t="shared" si="615"/>
        <v>2024</v>
      </c>
      <c r="N2538" s="6">
        <v>1740</v>
      </c>
      <c r="O2538" s="6">
        <f t="shared" si="623"/>
        <v>-1740</v>
      </c>
      <c r="P2538" s="6">
        <f t="shared" si="621"/>
        <v>0</v>
      </c>
      <c r="Q2538" s="7">
        <f t="shared" si="616"/>
        <v>4121293.7500000014</v>
      </c>
      <c r="R2538" s="44" t="str">
        <f>VLOOKUP(F2538,'Set up'!$A$2:$E$70,5,FALSE)</f>
        <v>Trsf</v>
      </c>
      <c r="S2538" s="1" t="s">
        <v>2802</v>
      </c>
    </row>
    <row r="2539" spans="1:19" ht="15" customHeight="1" x14ac:dyDescent="0.3">
      <c r="A2539" s="4">
        <v>45301</v>
      </c>
      <c r="B2539" s="5">
        <f t="shared" si="611"/>
        <v>1</v>
      </c>
      <c r="C2539" s="5">
        <f t="shared" si="612"/>
        <v>2024</v>
      </c>
      <c r="D2539" s="5" t="s">
        <v>2278</v>
      </c>
      <c r="E2539" s="5" t="str">
        <f>VLOOKUP(F2539,'Set up'!$A$2:$C$70,2,FALSE)</f>
        <v>C00000042</v>
      </c>
      <c r="F2539" s="1" t="s">
        <v>2012</v>
      </c>
      <c r="G2539" s="90" t="s">
        <v>1922</v>
      </c>
      <c r="H2539" s="5">
        <v>7</v>
      </c>
      <c r="I2539" s="5" t="str">
        <f>VLOOKUP(F2539,'Set up'!$A$2:$C$70,3,FALSE)</f>
        <v>Cash</v>
      </c>
      <c r="J2539" s="5">
        <f>VLOOKUP(F2539,'Set up'!$A$2:$D$70,4,FALSE)</f>
        <v>0</v>
      </c>
      <c r="K2539" s="4">
        <f t="shared" si="613"/>
        <v>45301</v>
      </c>
      <c r="L2539" s="5">
        <f t="shared" si="614"/>
        <v>1</v>
      </c>
      <c r="M2539" s="5">
        <f t="shared" si="615"/>
        <v>2024</v>
      </c>
      <c r="N2539" s="6">
        <v>1638</v>
      </c>
      <c r="O2539" s="6">
        <f t="shared" si="623"/>
        <v>-1638</v>
      </c>
      <c r="P2539" s="6">
        <f t="shared" si="621"/>
        <v>0</v>
      </c>
      <c r="Q2539" s="7">
        <f t="shared" si="616"/>
        <v>4122931.7500000014</v>
      </c>
      <c r="R2539" s="44" t="str">
        <f>VLOOKUP(F2539,'Set up'!$A$2:$E$70,5,FALSE)</f>
        <v>Trsf</v>
      </c>
      <c r="S2539" s="1" t="s">
        <v>2803</v>
      </c>
    </row>
    <row r="2540" spans="1:19" ht="15" customHeight="1" x14ac:dyDescent="0.3">
      <c r="A2540" s="4">
        <v>45301</v>
      </c>
      <c r="B2540" s="5">
        <f t="shared" si="611"/>
        <v>1</v>
      </c>
      <c r="C2540" s="5">
        <f t="shared" si="612"/>
        <v>2024</v>
      </c>
      <c r="D2540" s="5" t="s">
        <v>2278</v>
      </c>
      <c r="E2540" s="5" t="str">
        <f>VLOOKUP(F2540,'Set up'!$A$2:$C$70,2,FALSE)</f>
        <v>C00000042</v>
      </c>
      <c r="F2540" s="1" t="s">
        <v>2012</v>
      </c>
      <c r="G2540" s="90" t="s">
        <v>1073</v>
      </c>
      <c r="H2540" s="5">
        <v>1</v>
      </c>
      <c r="I2540" s="5" t="str">
        <f>VLOOKUP(F2540,'Set up'!$A$2:$C$70,3,FALSE)</f>
        <v>Cash</v>
      </c>
      <c r="J2540" s="5">
        <f>VLOOKUP(F2540,'Set up'!$A$2:$D$70,4,FALSE)</f>
        <v>0</v>
      </c>
      <c r="K2540" s="4">
        <f t="shared" si="613"/>
        <v>45301</v>
      </c>
      <c r="L2540" s="5">
        <f t="shared" si="614"/>
        <v>1</v>
      </c>
      <c r="M2540" s="5">
        <f t="shared" si="615"/>
        <v>2024</v>
      </c>
      <c r="N2540" s="6">
        <v>1000</v>
      </c>
      <c r="O2540" s="6">
        <f t="shared" si="623"/>
        <v>-1000</v>
      </c>
      <c r="P2540" s="6">
        <f t="shared" si="621"/>
        <v>0</v>
      </c>
      <c r="Q2540" s="7">
        <f t="shared" si="616"/>
        <v>4123931.7500000014</v>
      </c>
      <c r="R2540" s="44" t="str">
        <f>VLOOKUP(F2540,'Set up'!$A$2:$E$70,5,FALSE)</f>
        <v>Trsf</v>
      </c>
      <c r="S2540" s="1" t="s">
        <v>2799</v>
      </c>
    </row>
    <row r="2541" spans="1:19" ht="15" customHeight="1" x14ac:dyDescent="0.3">
      <c r="A2541" s="4">
        <v>45303</v>
      </c>
      <c r="B2541" s="5">
        <f t="shared" si="611"/>
        <v>1</v>
      </c>
      <c r="C2541" s="5">
        <f t="shared" si="612"/>
        <v>2024</v>
      </c>
      <c r="D2541" s="5" t="s">
        <v>2280</v>
      </c>
      <c r="E2541" s="5" t="str">
        <f>VLOOKUP(F2541,'Set up'!$A$2:$C$70,2,FALSE)</f>
        <v>C00000010</v>
      </c>
      <c r="F2541" s="1" t="s">
        <v>62</v>
      </c>
      <c r="G2541" s="95" t="s">
        <v>1178</v>
      </c>
      <c r="H2541" s="5">
        <v>6</v>
      </c>
      <c r="I2541" s="5">
        <f>VLOOKUP(F2541,'Set up'!$A$2:$C$70,3,FALSE)</f>
        <v>120</v>
      </c>
      <c r="J2541" s="5">
        <f>VLOOKUP(F2541,'Set up'!$A$2:$D$70,4,FALSE)</f>
        <v>120</v>
      </c>
      <c r="K2541" s="4">
        <f t="shared" si="613"/>
        <v>45423</v>
      </c>
      <c r="L2541" s="5">
        <f t="shared" si="614"/>
        <v>5</v>
      </c>
      <c r="M2541" s="5">
        <f t="shared" si="615"/>
        <v>2024</v>
      </c>
      <c r="N2541" s="6">
        <v>9636</v>
      </c>
      <c r="O2541" s="6">
        <f t="shared" ref="O2541:O2543" si="624">-N2541</f>
        <v>-9636</v>
      </c>
      <c r="P2541" s="6">
        <f t="shared" si="621"/>
        <v>0</v>
      </c>
      <c r="Q2541" s="7">
        <f t="shared" si="616"/>
        <v>4133567.7500000014</v>
      </c>
      <c r="R2541" s="44" t="str">
        <f>VLOOKUP(F2541,'Set up'!$A$2:$E$70,5,FALSE)</f>
        <v>Trsf</v>
      </c>
      <c r="S2541" s="1" t="s">
        <v>2666</v>
      </c>
    </row>
    <row r="2542" spans="1:19" ht="15" customHeight="1" x14ac:dyDescent="0.3">
      <c r="A2542" s="4">
        <v>45303</v>
      </c>
      <c r="B2542" s="5">
        <f t="shared" si="611"/>
        <v>1</v>
      </c>
      <c r="C2542" s="5">
        <f t="shared" si="612"/>
        <v>2024</v>
      </c>
      <c r="D2542" s="5" t="s">
        <v>2280</v>
      </c>
      <c r="E2542" s="5" t="str">
        <f>VLOOKUP(F2542,'Set up'!$A$2:$C$70,2,FALSE)</f>
        <v>C00000010</v>
      </c>
      <c r="F2542" s="1" t="s">
        <v>62</v>
      </c>
      <c r="G2542" s="90" t="s">
        <v>2129</v>
      </c>
      <c r="H2542" s="5">
        <v>10</v>
      </c>
      <c r="I2542" s="5">
        <f>VLOOKUP(F2542,'Set up'!$A$2:$C$70,3,FALSE)</f>
        <v>120</v>
      </c>
      <c r="J2542" s="5">
        <f>VLOOKUP(F2542,'Set up'!$A$2:$D$70,4,FALSE)</f>
        <v>120</v>
      </c>
      <c r="K2542" s="4">
        <f t="shared" si="613"/>
        <v>45423</v>
      </c>
      <c r="L2542" s="5">
        <f t="shared" si="614"/>
        <v>5</v>
      </c>
      <c r="M2542" s="5">
        <f t="shared" si="615"/>
        <v>2024</v>
      </c>
      <c r="N2542" s="6">
        <v>2146</v>
      </c>
      <c r="O2542" s="6">
        <f t="shared" si="624"/>
        <v>-2146</v>
      </c>
      <c r="P2542" s="6">
        <f t="shared" si="621"/>
        <v>0</v>
      </c>
      <c r="Q2542" s="7">
        <f t="shared" si="616"/>
        <v>4135713.7500000014</v>
      </c>
      <c r="R2542" s="44" t="str">
        <f>VLOOKUP(F2542,'Set up'!$A$2:$E$70,5,FALSE)</f>
        <v>Trsf</v>
      </c>
      <c r="S2542" s="1" t="s">
        <v>2666</v>
      </c>
    </row>
    <row r="2543" spans="1:19" ht="15" customHeight="1" x14ac:dyDescent="0.3">
      <c r="A2543" s="4">
        <v>45303</v>
      </c>
      <c r="B2543" s="5">
        <f t="shared" si="611"/>
        <v>1</v>
      </c>
      <c r="C2543" s="5">
        <f t="shared" si="612"/>
        <v>2024</v>
      </c>
      <c r="D2543" s="5" t="s">
        <v>2280</v>
      </c>
      <c r="E2543" s="5" t="str">
        <f>VLOOKUP(F2543,'Set up'!$A$2:$C$70,2,FALSE)</f>
        <v>C00000010</v>
      </c>
      <c r="F2543" s="1" t="s">
        <v>62</v>
      </c>
      <c r="G2543" s="90" t="s">
        <v>791</v>
      </c>
      <c r="H2543" s="5">
        <v>10</v>
      </c>
      <c r="I2543" s="5">
        <f>VLOOKUP(F2543,'Set up'!$A$2:$C$70,3,FALSE)</f>
        <v>120</v>
      </c>
      <c r="J2543" s="5">
        <f>VLOOKUP(F2543,'Set up'!$A$2:$D$70,4,FALSE)</f>
        <v>120</v>
      </c>
      <c r="K2543" s="4">
        <f t="shared" si="613"/>
        <v>45423</v>
      </c>
      <c r="L2543" s="5">
        <f t="shared" si="614"/>
        <v>5</v>
      </c>
      <c r="M2543" s="5">
        <f t="shared" si="615"/>
        <v>2024</v>
      </c>
      <c r="N2543" s="6">
        <v>575</v>
      </c>
      <c r="O2543" s="6">
        <f t="shared" si="624"/>
        <v>-575</v>
      </c>
      <c r="P2543" s="6">
        <f t="shared" si="621"/>
        <v>0</v>
      </c>
      <c r="Q2543" s="7">
        <f t="shared" si="616"/>
        <v>4136288.7500000014</v>
      </c>
      <c r="R2543" s="44" t="str">
        <f>VLOOKUP(F2543,'Set up'!$A$2:$E$70,5,FALSE)</f>
        <v>Trsf</v>
      </c>
      <c r="S2543" s="1" t="s">
        <v>2666</v>
      </c>
    </row>
    <row r="2544" spans="1:19" ht="15" customHeight="1" x14ac:dyDescent="0.3">
      <c r="A2544" s="4">
        <v>45303</v>
      </c>
      <c r="B2544" s="5">
        <f t="shared" si="611"/>
        <v>1</v>
      </c>
      <c r="C2544" s="5">
        <f t="shared" si="612"/>
        <v>2024</v>
      </c>
      <c r="D2544" s="5" t="s">
        <v>2280</v>
      </c>
      <c r="E2544" s="5" t="str">
        <f>VLOOKUP(F2544,'Set up'!$A$2:$C$70,2,FALSE)</f>
        <v>C00000010</v>
      </c>
      <c r="F2544" s="1" t="s">
        <v>62</v>
      </c>
      <c r="G2544" s="11" t="s">
        <v>46</v>
      </c>
      <c r="H2544" s="5">
        <v>4</v>
      </c>
      <c r="I2544" s="5">
        <f>VLOOKUP(F2544,'Set up'!$A$2:$C$70,3,FALSE)</f>
        <v>120</v>
      </c>
      <c r="J2544" s="5">
        <f>VLOOKUP(F2544,'Set up'!$A$2:$D$70,4,FALSE)</f>
        <v>120</v>
      </c>
      <c r="K2544" s="4">
        <f t="shared" si="613"/>
        <v>45423</v>
      </c>
      <c r="L2544" s="5">
        <f t="shared" si="614"/>
        <v>5</v>
      </c>
      <c r="M2544" s="5">
        <f t="shared" si="615"/>
        <v>2024</v>
      </c>
      <c r="N2544" s="6">
        <v>440</v>
      </c>
      <c r="O2544" s="6">
        <f>-N2544</f>
        <v>-440</v>
      </c>
      <c r="P2544" s="6">
        <f>SUM(N2544+O2544)</f>
        <v>0</v>
      </c>
      <c r="Q2544" s="7">
        <f t="shared" si="616"/>
        <v>4136728.7500000014</v>
      </c>
      <c r="R2544" s="44" t="str">
        <f>VLOOKUP(F2544,'Set up'!$A$2:$E$70,5,FALSE)</f>
        <v>Trsf</v>
      </c>
      <c r="S2544" s="1" t="s">
        <v>2666</v>
      </c>
    </row>
    <row r="2545" spans="1:19" ht="15" customHeight="1" x14ac:dyDescent="0.3">
      <c r="A2545" s="4">
        <v>45306</v>
      </c>
      <c r="B2545" s="5">
        <f t="shared" si="611"/>
        <v>1</v>
      </c>
      <c r="C2545" s="5">
        <f t="shared" si="612"/>
        <v>2024</v>
      </c>
      <c r="D2545" s="5" t="s">
        <v>2281</v>
      </c>
      <c r="E2545" s="5" t="str">
        <f>VLOOKUP(F2545,'Set up'!$A$2:$C$70,2,FALSE)</f>
        <v>C00000021</v>
      </c>
      <c r="F2545" s="1" t="s">
        <v>491</v>
      </c>
      <c r="G2545" s="107" t="s">
        <v>67</v>
      </c>
      <c r="H2545" s="5">
        <v>1</v>
      </c>
      <c r="I2545" s="5" t="str">
        <f>VLOOKUP(F2545,'Set up'!$A$2:$C$70,3,FALSE)</f>
        <v>Cash</v>
      </c>
      <c r="J2545" s="5">
        <f>VLOOKUP(F2545,'Set up'!$A$2:$D$70,4,FALSE)</f>
        <v>0</v>
      </c>
      <c r="K2545" s="4">
        <f t="shared" si="613"/>
        <v>45306</v>
      </c>
      <c r="L2545" s="5">
        <f t="shared" si="614"/>
        <v>1</v>
      </c>
      <c r="M2545" s="5">
        <f t="shared" si="615"/>
        <v>2024</v>
      </c>
      <c r="N2545" s="6">
        <v>1738</v>
      </c>
      <c r="P2545" s="6">
        <f t="shared" si="621"/>
        <v>1738</v>
      </c>
      <c r="Q2545" s="7">
        <f t="shared" si="616"/>
        <v>4138466.7500000014</v>
      </c>
      <c r="R2545" s="44" t="str">
        <f>VLOOKUP(F2545,'Set up'!$A$2:$E$70,5,FALSE)</f>
        <v>PD Chq</v>
      </c>
    </row>
    <row r="2546" spans="1:19" ht="15" customHeight="1" x14ac:dyDescent="0.3">
      <c r="A2546" s="4">
        <v>45306</v>
      </c>
      <c r="B2546" s="5">
        <f t="shared" si="611"/>
        <v>1</v>
      </c>
      <c r="C2546" s="5">
        <f t="shared" si="612"/>
        <v>2024</v>
      </c>
      <c r="D2546" s="5" t="s">
        <v>2281</v>
      </c>
      <c r="E2546" s="5" t="str">
        <f>VLOOKUP(F2546,'Set up'!$A$2:$C$70,2,FALSE)</f>
        <v>C00000021</v>
      </c>
      <c r="F2546" s="1" t="s">
        <v>491</v>
      </c>
      <c r="G2546" s="99" t="s">
        <v>2129</v>
      </c>
      <c r="H2546" s="5">
        <v>2</v>
      </c>
      <c r="I2546" s="5" t="str">
        <f>VLOOKUP(F2546,'Set up'!$A$2:$C$70,3,FALSE)</f>
        <v>Cash</v>
      </c>
      <c r="J2546" s="5">
        <f>VLOOKUP(F2546,'Set up'!$A$2:$D$70,4,FALSE)</f>
        <v>0</v>
      </c>
      <c r="K2546" s="4">
        <f t="shared" si="613"/>
        <v>45306</v>
      </c>
      <c r="L2546" s="5">
        <f t="shared" si="614"/>
        <v>1</v>
      </c>
      <c r="M2546" s="5">
        <f t="shared" si="615"/>
        <v>2024</v>
      </c>
      <c r="N2546" s="6">
        <v>555</v>
      </c>
      <c r="P2546" s="6">
        <f t="shared" si="621"/>
        <v>555</v>
      </c>
      <c r="Q2546" s="7">
        <f t="shared" si="616"/>
        <v>4139021.7500000014</v>
      </c>
      <c r="R2546" s="44" t="str">
        <f>VLOOKUP(F2546,'Set up'!$A$2:$E$70,5,FALSE)</f>
        <v>PD Chq</v>
      </c>
    </row>
    <row r="2547" spans="1:19" ht="15" customHeight="1" x14ac:dyDescent="0.3">
      <c r="A2547" s="4">
        <v>45306</v>
      </c>
      <c r="B2547" s="5">
        <f t="shared" si="611"/>
        <v>1</v>
      </c>
      <c r="C2547" s="5">
        <f t="shared" si="612"/>
        <v>2024</v>
      </c>
      <c r="D2547" s="5" t="s">
        <v>2281</v>
      </c>
      <c r="E2547" s="5" t="str">
        <f>VLOOKUP(F2547,'Set up'!$A$2:$C$70,2,FALSE)</f>
        <v>C00000021</v>
      </c>
      <c r="F2547" s="1" t="s">
        <v>491</v>
      </c>
      <c r="G2547" s="99" t="s">
        <v>1061</v>
      </c>
      <c r="H2547" s="5">
        <v>1</v>
      </c>
      <c r="I2547" s="5" t="str">
        <f>VLOOKUP(F2547,'Set up'!$A$2:$C$70,3,FALSE)</f>
        <v>Cash</v>
      </c>
      <c r="J2547" s="5">
        <f>VLOOKUP(F2547,'Set up'!$A$2:$D$70,4,FALSE)</f>
        <v>0</v>
      </c>
      <c r="K2547" s="4">
        <f t="shared" si="613"/>
        <v>45306</v>
      </c>
      <c r="L2547" s="5">
        <f t="shared" si="614"/>
        <v>1</v>
      </c>
      <c r="M2547" s="5">
        <f t="shared" si="615"/>
        <v>2024</v>
      </c>
      <c r="N2547" s="6">
        <v>95</v>
      </c>
      <c r="P2547" s="6">
        <f t="shared" si="621"/>
        <v>95</v>
      </c>
      <c r="Q2547" s="7">
        <f t="shared" si="616"/>
        <v>4139116.7500000014</v>
      </c>
      <c r="R2547" s="44" t="str">
        <f>VLOOKUP(F2547,'Set up'!$A$2:$E$70,5,FALSE)</f>
        <v>PD Chq</v>
      </c>
    </row>
    <row r="2548" spans="1:19" ht="15" customHeight="1" x14ac:dyDescent="0.3">
      <c r="A2548" s="4">
        <v>45306</v>
      </c>
      <c r="B2548" s="5">
        <f t="shared" si="611"/>
        <v>1</v>
      </c>
      <c r="C2548" s="5">
        <f t="shared" si="612"/>
        <v>2024</v>
      </c>
      <c r="D2548" s="5" t="s">
        <v>2281</v>
      </c>
      <c r="E2548" s="5" t="str">
        <f>VLOOKUP(F2548,'Set up'!$A$2:$C$70,2,FALSE)</f>
        <v>C00000021</v>
      </c>
      <c r="F2548" s="1" t="s">
        <v>491</v>
      </c>
      <c r="G2548" s="90" t="s">
        <v>2130</v>
      </c>
      <c r="H2548" s="5">
        <v>5</v>
      </c>
      <c r="I2548" s="5" t="str">
        <f>VLOOKUP(F2548,'Set up'!$A$2:$C$70,3,FALSE)</f>
        <v>Cash</v>
      </c>
      <c r="J2548" s="5">
        <f>VLOOKUP(F2548,'Set up'!$A$2:$D$70,4,FALSE)</f>
        <v>0</v>
      </c>
      <c r="K2548" s="4">
        <f t="shared" si="613"/>
        <v>45306</v>
      </c>
      <c r="L2548" s="5">
        <f t="shared" si="614"/>
        <v>1</v>
      </c>
      <c r="M2548" s="5">
        <f t="shared" si="615"/>
        <v>2024</v>
      </c>
      <c r="N2548" s="6">
        <v>312.5</v>
      </c>
      <c r="P2548" s="6">
        <f t="shared" si="621"/>
        <v>312.5</v>
      </c>
      <c r="Q2548" s="7">
        <f t="shared" si="616"/>
        <v>4139429.2500000014</v>
      </c>
      <c r="R2548" s="44" t="str">
        <f>VLOOKUP(F2548,'Set up'!$A$2:$E$70,5,FALSE)</f>
        <v>PD Chq</v>
      </c>
    </row>
    <row r="2549" spans="1:19" ht="15" customHeight="1" x14ac:dyDescent="0.3">
      <c r="A2549" s="4">
        <v>45308</v>
      </c>
      <c r="B2549" s="5">
        <f t="shared" si="611"/>
        <v>1</v>
      </c>
      <c r="C2549" s="5">
        <f t="shared" si="612"/>
        <v>2024</v>
      </c>
      <c r="D2549" s="5" t="s">
        <v>2282</v>
      </c>
      <c r="E2549" s="5" t="str">
        <f>VLOOKUP(F2549,'Set up'!$A$2:$C$70,2,FALSE)</f>
        <v>C00000019</v>
      </c>
      <c r="F2549" s="1" t="s">
        <v>400</v>
      </c>
      <c r="G2549" s="90" t="s">
        <v>1411</v>
      </c>
      <c r="H2549" s="5">
        <v>1</v>
      </c>
      <c r="I2549" s="5" t="str">
        <f>VLOOKUP(F2549,'Set up'!$A$2:$C$70,3,FALSE)</f>
        <v>Cash</v>
      </c>
      <c r="J2549" s="5">
        <f>VLOOKUP(F2549,'Set up'!$A$2:$D$70,4,FALSE)</f>
        <v>0</v>
      </c>
      <c r="K2549" s="4">
        <f t="shared" si="613"/>
        <v>45308</v>
      </c>
      <c r="L2549" s="5">
        <f t="shared" si="614"/>
        <v>1</v>
      </c>
      <c r="M2549" s="5">
        <f t="shared" si="615"/>
        <v>2024</v>
      </c>
      <c r="N2549" s="6">
        <v>405</v>
      </c>
      <c r="O2549" s="6">
        <f>-52.3-352.7</f>
        <v>-405</v>
      </c>
      <c r="P2549" s="6">
        <f t="shared" si="621"/>
        <v>0</v>
      </c>
      <c r="Q2549" s="7">
        <f t="shared" si="616"/>
        <v>4139834.2500000014</v>
      </c>
      <c r="R2549" s="44" t="str">
        <f>VLOOKUP(F2549,'Set up'!$A$2:$E$70,5,FALSE)</f>
        <v>Trsf</v>
      </c>
      <c r="S2549" s="1" t="s">
        <v>3470</v>
      </c>
    </row>
    <row r="2550" spans="1:19" ht="15" customHeight="1" x14ac:dyDescent="0.3">
      <c r="A2550" s="4">
        <v>45308</v>
      </c>
      <c r="B2550" s="5">
        <f t="shared" si="611"/>
        <v>1</v>
      </c>
      <c r="C2550" s="5">
        <f t="shared" si="612"/>
        <v>2024</v>
      </c>
      <c r="D2550" s="5" t="s">
        <v>2282</v>
      </c>
      <c r="E2550" s="5" t="str">
        <f>VLOOKUP(F2550,'Set up'!$A$2:$C$70,2,FALSE)</f>
        <v>C00000019</v>
      </c>
      <c r="F2550" s="1" t="s">
        <v>400</v>
      </c>
      <c r="G2550" s="90" t="s">
        <v>1469</v>
      </c>
      <c r="H2550" s="5">
        <v>1</v>
      </c>
      <c r="I2550" s="5" t="str">
        <f>VLOOKUP(F2550,'Set up'!$A$2:$C$70,3,FALSE)</f>
        <v>Cash</v>
      </c>
      <c r="J2550" s="5">
        <f>VLOOKUP(F2550,'Set up'!$A$2:$D$70,4,FALSE)</f>
        <v>0</v>
      </c>
      <c r="K2550" s="4">
        <f t="shared" si="613"/>
        <v>45308</v>
      </c>
      <c r="L2550" s="5">
        <f t="shared" si="614"/>
        <v>1</v>
      </c>
      <c r="M2550" s="5">
        <f t="shared" si="615"/>
        <v>2024</v>
      </c>
      <c r="N2550" s="6">
        <v>390</v>
      </c>
      <c r="O2550" s="6">
        <f t="shared" ref="O2550" si="625">-N2550</f>
        <v>-390</v>
      </c>
      <c r="P2550" s="6">
        <f t="shared" si="621"/>
        <v>0</v>
      </c>
      <c r="Q2550" s="7">
        <f t="shared" si="616"/>
        <v>4140224.2500000014</v>
      </c>
      <c r="R2550" s="44" t="str">
        <f>VLOOKUP(F2550,'Set up'!$A$2:$E$70,5,FALSE)</f>
        <v>Trsf</v>
      </c>
      <c r="S2550" s="1" t="s">
        <v>3471</v>
      </c>
    </row>
    <row r="2551" spans="1:19" ht="15" customHeight="1" x14ac:dyDescent="0.3">
      <c r="A2551" s="4">
        <v>45311</v>
      </c>
      <c r="B2551" s="5">
        <f t="shared" si="611"/>
        <v>1</v>
      </c>
      <c r="C2551" s="5">
        <f t="shared" si="612"/>
        <v>2024</v>
      </c>
      <c r="D2551" s="5" t="s">
        <v>2283</v>
      </c>
      <c r="E2551" s="5" t="str">
        <f>VLOOKUP(F2551,'Set up'!$A$2:$C$70,2,FALSE)</f>
        <v>C00000046</v>
      </c>
      <c r="F2551" s="1" t="s">
        <v>2284</v>
      </c>
      <c r="G2551" s="95" t="s">
        <v>2285</v>
      </c>
      <c r="H2551" s="5">
        <v>1</v>
      </c>
      <c r="I2551" s="5" t="str">
        <f>VLOOKUP(F2551,'Set up'!$A$2:$C$70,3,FALSE)</f>
        <v>Cash</v>
      </c>
      <c r="J2551" s="5">
        <f>VLOOKUP(F2551,'Set up'!$A$2:$D$70,4,FALSE)</f>
        <v>0</v>
      </c>
      <c r="K2551" s="4">
        <f t="shared" si="613"/>
        <v>45311</v>
      </c>
      <c r="L2551" s="5">
        <f t="shared" si="614"/>
        <v>1</v>
      </c>
      <c r="M2551" s="5">
        <f t="shared" si="615"/>
        <v>2024</v>
      </c>
      <c r="N2551" s="6">
        <v>1694</v>
      </c>
      <c r="O2551" s="6">
        <f t="shared" ref="O2551:O2563" si="626">-N2551</f>
        <v>-1694</v>
      </c>
      <c r="P2551" s="6">
        <f t="shared" si="621"/>
        <v>0</v>
      </c>
      <c r="Q2551" s="7">
        <f t="shared" si="616"/>
        <v>4141918.2500000014</v>
      </c>
      <c r="R2551" s="44" t="str">
        <f>VLOOKUP(F2551,'Set up'!$A$2:$E$70,5,FALSE)</f>
        <v>Cash</v>
      </c>
      <c r="S2551" s="1" t="s">
        <v>2337</v>
      </c>
    </row>
    <row r="2552" spans="1:19" ht="15" customHeight="1" x14ac:dyDescent="0.3">
      <c r="A2552" s="4">
        <v>45311</v>
      </c>
      <c r="B2552" s="5">
        <f t="shared" si="611"/>
        <v>1</v>
      </c>
      <c r="C2552" s="5">
        <f t="shared" si="612"/>
        <v>2024</v>
      </c>
      <c r="D2552" s="5" t="s">
        <v>2283</v>
      </c>
      <c r="E2552" s="5" t="str">
        <f>VLOOKUP(F2552,'Set up'!$A$2:$C$70,2,FALSE)</f>
        <v>C00000046</v>
      </c>
      <c r="F2552" s="1" t="s">
        <v>2284</v>
      </c>
      <c r="G2552" s="90" t="s">
        <v>1796</v>
      </c>
      <c r="H2552" s="5">
        <v>3</v>
      </c>
      <c r="I2552" s="5" t="str">
        <f>VLOOKUP(F2552,'Set up'!$A$2:$C$70,3,FALSE)</f>
        <v>Cash</v>
      </c>
      <c r="J2552" s="5">
        <f>VLOOKUP(F2552,'Set up'!$A$2:$D$70,4,FALSE)</f>
        <v>0</v>
      </c>
      <c r="K2552" s="4">
        <f t="shared" si="613"/>
        <v>45311</v>
      </c>
      <c r="L2552" s="5">
        <f t="shared" si="614"/>
        <v>1</v>
      </c>
      <c r="M2552" s="5">
        <f t="shared" si="615"/>
        <v>2024</v>
      </c>
      <c r="N2552" s="6">
        <v>675</v>
      </c>
      <c r="O2552" s="6">
        <f t="shared" si="626"/>
        <v>-675</v>
      </c>
      <c r="P2552" s="6">
        <f t="shared" si="621"/>
        <v>0</v>
      </c>
      <c r="Q2552" s="7">
        <f t="shared" si="616"/>
        <v>4142593.2500000014</v>
      </c>
      <c r="R2552" s="44" t="str">
        <f>VLOOKUP(F2552,'Set up'!$A$2:$E$70,5,FALSE)</f>
        <v>Cash</v>
      </c>
      <c r="S2552" s="1" t="s">
        <v>2337</v>
      </c>
    </row>
    <row r="2553" spans="1:19" ht="15" customHeight="1" x14ac:dyDescent="0.3">
      <c r="A2553" s="4">
        <v>45311</v>
      </c>
      <c r="B2553" s="5">
        <f t="shared" si="611"/>
        <v>1</v>
      </c>
      <c r="C2553" s="5">
        <f t="shared" si="612"/>
        <v>2024</v>
      </c>
      <c r="D2553" s="5" t="s">
        <v>2283</v>
      </c>
      <c r="E2553" s="5" t="str">
        <f>VLOOKUP(F2553,'Set up'!$A$2:$C$70,2,FALSE)</f>
        <v>C00000046</v>
      </c>
      <c r="F2553" s="1" t="s">
        <v>2284</v>
      </c>
      <c r="G2553" s="90" t="s">
        <v>2029</v>
      </c>
      <c r="H2553" s="5">
        <v>1</v>
      </c>
      <c r="I2553" s="5" t="str">
        <f>VLOOKUP(F2553,'Set up'!$A$2:$C$70,3,FALSE)</f>
        <v>Cash</v>
      </c>
      <c r="J2553" s="5">
        <f>VLOOKUP(F2553,'Set up'!$A$2:$D$70,4,FALSE)</f>
        <v>0</v>
      </c>
      <c r="K2553" s="4">
        <f t="shared" si="613"/>
        <v>45311</v>
      </c>
      <c r="L2553" s="5">
        <f t="shared" si="614"/>
        <v>1</v>
      </c>
      <c r="M2553" s="5">
        <f t="shared" si="615"/>
        <v>2024</v>
      </c>
      <c r="N2553" s="6">
        <v>280</v>
      </c>
      <c r="O2553" s="6">
        <f t="shared" si="626"/>
        <v>-280</v>
      </c>
      <c r="P2553" s="6">
        <f t="shared" si="621"/>
        <v>0</v>
      </c>
      <c r="Q2553" s="7">
        <f t="shared" si="616"/>
        <v>4142873.2500000014</v>
      </c>
      <c r="R2553" s="44" t="str">
        <f>VLOOKUP(F2553,'Set up'!$A$2:$E$70,5,FALSE)</f>
        <v>Cash</v>
      </c>
      <c r="S2553" s="1" t="s">
        <v>2337</v>
      </c>
    </row>
    <row r="2554" spans="1:19" ht="15" customHeight="1" x14ac:dyDescent="0.3">
      <c r="A2554" s="4">
        <v>45311</v>
      </c>
      <c r="B2554" s="5">
        <f t="shared" si="611"/>
        <v>1</v>
      </c>
      <c r="C2554" s="5">
        <f t="shared" si="612"/>
        <v>2024</v>
      </c>
      <c r="D2554" s="5" t="s">
        <v>2283</v>
      </c>
      <c r="E2554" s="5" t="str">
        <f>VLOOKUP(F2554,'Set up'!$A$2:$C$70,2,FALSE)</f>
        <v>C00000046</v>
      </c>
      <c r="F2554" s="1" t="s">
        <v>2284</v>
      </c>
      <c r="G2554" s="99" t="s">
        <v>17</v>
      </c>
      <c r="H2554" s="5">
        <v>1</v>
      </c>
      <c r="I2554" s="5" t="str">
        <f>VLOOKUP(F2554,'Set up'!$A$2:$C$70,3,FALSE)</f>
        <v>Cash</v>
      </c>
      <c r="J2554" s="5">
        <f>VLOOKUP(F2554,'Set up'!$A$2:$D$70,4,FALSE)</f>
        <v>0</v>
      </c>
      <c r="K2554" s="4">
        <f t="shared" si="613"/>
        <v>45311</v>
      </c>
      <c r="L2554" s="5">
        <f t="shared" si="614"/>
        <v>1</v>
      </c>
      <c r="M2554" s="5">
        <f t="shared" si="615"/>
        <v>2024</v>
      </c>
      <c r="N2554" s="6">
        <v>110</v>
      </c>
      <c r="O2554" s="6">
        <f t="shared" si="626"/>
        <v>-110</v>
      </c>
      <c r="P2554" s="6">
        <f t="shared" si="621"/>
        <v>0</v>
      </c>
      <c r="Q2554" s="7">
        <f t="shared" si="616"/>
        <v>4142983.2500000014</v>
      </c>
      <c r="R2554" s="44" t="str">
        <f>VLOOKUP(F2554,'Set up'!$A$2:$E$70,5,FALSE)</f>
        <v>Cash</v>
      </c>
      <c r="S2554" s="1" t="s">
        <v>2337</v>
      </c>
    </row>
    <row r="2555" spans="1:19" ht="15" customHeight="1" x14ac:dyDescent="0.3">
      <c r="A2555" s="4">
        <v>45311</v>
      </c>
      <c r="B2555" s="5">
        <f t="shared" si="611"/>
        <v>1</v>
      </c>
      <c r="C2555" s="5">
        <f t="shared" si="612"/>
        <v>2024</v>
      </c>
      <c r="D2555" s="5" t="s">
        <v>2283</v>
      </c>
      <c r="E2555" s="5" t="str">
        <f>VLOOKUP(F2555,'Set up'!$A$2:$C$70,2,FALSE)</f>
        <v>C00000046</v>
      </c>
      <c r="F2555" s="1" t="s">
        <v>2284</v>
      </c>
      <c r="G2555" s="90" t="s">
        <v>1742</v>
      </c>
      <c r="H2555" s="5">
        <v>1</v>
      </c>
      <c r="I2555" s="5" t="str">
        <f>VLOOKUP(F2555,'Set up'!$A$2:$C$70,3,FALSE)</f>
        <v>Cash</v>
      </c>
      <c r="J2555" s="5">
        <f>VLOOKUP(F2555,'Set up'!$A$2:$D$70,4,FALSE)</f>
        <v>0</v>
      </c>
      <c r="K2555" s="4">
        <f t="shared" si="613"/>
        <v>45311</v>
      </c>
      <c r="L2555" s="5">
        <f t="shared" si="614"/>
        <v>1</v>
      </c>
      <c r="M2555" s="5">
        <f t="shared" si="615"/>
        <v>2024</v>
      </c>
      <c r="N2555" s="6">
        <v>60</v>
      </c>
      <c r="O2555" s="6">
        <f t="shared" si="626"/>
        <v>-60</v>
      </c>
      <c r="P2555" s="6">
        <f t="shared" si="621"/>
        <v>0</v>
      </c>
      <c r="Q2555" s="7">
        <f t="shared" si="616"/>
        <v>4143043.2500000014</v>
      </c>
      <c r="R2555" s="44" t="str">
        <f>VLOOKUP(F2555,'Set up'!$A$2:$E$70,5,FALSE)</f>
        <v>Cash</v>
      </c>
      <c r="S2555" s="1" t="s">
        <v>2337</v>
      </c>
    </row>
    <row r="2556" spans="1:19" ht="15" customHeight="1" x14ac:dyDescent="0.3">
      <c r="A2556" s="4">
        <v>45311</v>
      </c>
      <c r="B2556" s="5">
        <f t="shared" si="611"/>
        <v>1</v>
      </c>
      <c r="C2556" s="5">
        <f t="shared" si="612"/>
        <v>2024</v>
      </c>
      <c r="D2556" s="5" t="s">
        <v>2283</v>
      </c>
      <c r="E2556" s="5" t="str">
        <f>VLOOKUP(F2556,'Set up'!$A$2:$C$70,2,FALSE)</f>
        <v>C00000046</v>
      </c>
      <c r="F2556" s="1" t="s">
        <v>2284</v>
      </c>
      <c r="G2556" s="90" t="s">
        <v>1743</v>
      </c>
      <c r="H2556" s="5">
        <v>1</v>
      </c>
      <c r="I2556" s="5" t="str">
        <f>VLOOKUP(F2556,'Set up'!$A$2:$C$70,3,FALSE)</f>
        <v>Cash</v>
      </c>
      <c r="J2556" s="5">
        <f>VLOOKUP(F2556,'Set up'!$A$2:$D$70,4,FALSE)</f>
        <v>0</v>
      </c>
      <c r="K2556" s="4">
        <f t="shared" si="613"/>
        <v>45311</v>
      </c>
      <c r="L2556" s="5">
        <f t="shared" si="614"/>
        <v>1</v>
      </c>
      <c r="M2556" s="5">
        <f t="shared" si="615"/>
        <v>2024</v>
      </c>
      <c r="N2556" s="6">
        <v>54</v>
      </c>
      <c r="O2556" s="6">
        <f t="shared" si="626"/>
        <v>-54</v>
      </c>
      <c r="P2556" s="6">
        <f t="shared" si="621"/>
        <v>0</v>
      </c>
      <c r="Q2556" s="7">
        <f t="shared" si="616"/>
        <v>4143097.2500000014</v>
      </c>
      <c r="R2556" s="44" t="str">
        <f>VLOOKUP(F2556,'Set up'!$A$2:$E$70,5,FALSE)</f>
        <v>Cash</v>
      </c>
      <c r="S2556" s="1" t="s">
        <v>2337</v>
      </c>
    </row>
    <row r="2557" spans="1:19" ht="15" customHeight="1" x14ac:dyDescent="0.3">
      <c r="A2557" s="4">
        <v>45311</v>
      </c>
      <c r="B2557" s="5">
        <f t="shared" si="611"/>
        <v>1</v>
      </c>
      <c r="C2557" s="5">
        <f t="shared" si="612"/>
        <v>2024</v>
      </c>
      <c r="D2557" s="5" t="s">
        <v>2283</v>
      </c>
      <c r="E2557" s="5" t="str">
        <f>VLOOKUP(F2557,'Set up'!$A$2:$C$70,2,FALSE)</f>
        <v>C00000046</v>
      </c>
      <c r="F2557" s="1" t="s">
        <v>2284</v>
      </c>
      <c r="G2557" s="108" t="s">
        <v>2131</v>
      </c>
      <c r="H2557" s="5">
        <v>2</v>
      </c>
      <c r="I2557" s="5" t="str">
        <f>VLOOKUP(F2557,'Set up'!$A$2:$C$70,3,FALSE)</f>
        <v>Cash</v>
      </c>
      <c r="J2557" s="5">
        <f>VLOOKUP(F2557,'Set up'!$A$2:$D$70,4,FALSE)</f>
        <v>0</v>
      </c>
      <c r="K2557" s="4">
        <f t="shared" si="613"/>
        <v>45311</v>
      </c>
      <c r="L2557" s="5">
        <f t="shared" si="614"/>
        <v>1</v>
      </c>
      <c r="M2557" s="5">
        <f t="shared" si="615"/>
        <v>2024</v>
      </c>
      <c r="N2557" s="6">
        <v>120</v>
      </c>
      <c r="O2557" s="6">
        <f t="shared" si="626"/>
        <v>-120</v>
      </c>
      <c r="P2557" s="6">
        <f t="shared" si="621"/>
        <v>0</v>
      </c>
      <c r="Q2557" s="7">
        <f t="shared" si="616"/>
        <v>4143217.2500000014</v>
      </c>
      <c r="R2557" s="44" t="str">
        <f>VLOOKUP(F2557,'Set up'!$A$2:$E$70,5,FALSE)</f>
        <v>Cash</v>
      </c>
      <c r="S2557" s="1" t="s">
        <v>2337</v>
      </c>
    </row>
    <row r="2558" spans="1:19" ht="15" customHeight="1" x14ac:dyDescent="0.3">
      <c r="A2558" s="4">
        <v>45311</v>
      </c>
      <c r="B2558" s="5">
        <f t="shared" si="611"/>
        <v>1</v>
      </c>
      <c r="C2558" s="5">
        <f t="shared" si="612"/>
        <v>2024</v>
      </c>
      <c r="D2558" s="5" t="s">
        <v>2283</v>
      </c>
      <c r="E2558" s="5" t="str">
        <f>VLOOKUP(F2558,'Set up'!$A$2:$C$70,2,FALSE)</f>
        <v>C00000046</v>
      </c>
      <c r="F2558" s="1" t="s">
        <v>2284</v>
      </c>
      <c r="G2558" s="99" t="s">
        <v>894</v>
      </c>
      <c r="H2558" s="5">
        <v>1</v>
      </c>
      <c r="I2558" s="5" t="str">
        <f>VLOOKUP(F2558,'Set up'!$A$2:$C$70,3,FALSE)</f>
        <v>Cash</v>
      </c>
      <c r="J2558" s="5">
        <f>VLOOKUP(F2558,'Set up'!$A$2:$D$70,4,FALSE)</f>
        <v>0</v>
      </c>
      <c r="K2558" s="4">
        <f t="shared" si="613"/>
        <v>45311</v>
      </c>
      <c r="L2558" s="5">
        <f t="shared" si="614"/>
        <v>1</v>
      </c>
      <c r="M2558" s="5">
        <f t="shared" si="615"/>
        <v>2024</v>
      </c>
      <c r="N2558" s="6">
        <v>160</v>
      </c>
      <c r="O2558" s="6">
        <f t="shared" si="626"/>
        <v>-160</v>
      </c>
      <c r="P2558" s="6">
        <f t="shared" si="621"/>
        <v>0</v>
      </c>
      <c r="Q2558" s="7">
        <f t="shared" si="616"/>
        <v>4143377.2500000014</v>
      </c>
      <c r="R2558" s="44" t="str">
        <f>VLOOKUP(F2558,'Set up'!$A$2:$E$70,5,FALSE)</f>
        <v>Cash</v>
      </c>
      <c r="S2558" s="1" t="s">
        <v>2337</v>
      </c>
    </row>
    <row r="2559" spans="1:19" ht="15" customHeight="1" x14ac:dyDescent="0.3">
      <c r="A2559" s="4">
        <v>45311</v>
      </c>
      <c r="B2559" s="5">
        <f t="shared" si="611"/>
        <v>1</v>
      </c>
      <c r="C2559" s="5">
        <f t="shared" si="612"/>
        <v>2024</v>
      </c>
      <c r="D2559" s="5" t="s">
        <v>2283</v>
      </c>
      <c r="E2559" s="5" t="str">
        <f>VLOOKUP(F2559,'Set up'!$A$2:$C$70,2,FALSE)</f>
        <v>C00000046</v>
      </c>
      <c r="F2559" s="1" t="s">
        <v>2284</v>
      </c>
      <c r="G2559" s="99" t="s">
        <v>768</v>
      </c>
      <c r="H2559" s="5">
        <v>1</v>
      </c>
      <c r="I2559" s="5" t="str">
        <f>VLOOKUP(F2559,'Set up'!$A$2:$C$70,3,FALSE)</f>
        <v>Cash</v>
      </c>
      <c r="J2559" s="5">
        <f>VLOOKUP(F2559,'Set up'!$A$2:$D$70,4,FALSE)</f>
        <v>0</v>
      </c>
      <c r="K2559" s="4">
        <f t="shared" si="613"/>
        <v>45311</v>
      </c>
      <c r="L2559" s="5">
        <f t="shared" si="614"/>
        <v>1</v>
      </c>
      <c r="M2559" s="5">
        <f t="shared" si="615"/>
        <v>2024</v>
      </c>
      <c r="N2559" s="6">
        <v>170</v>
      </c>
      <c r="O2559" s="6">
        <f t="shared" si="626"/>
        <v>-170</v>
      </c>
      <c r="P2559" s="6">
        <f t="shared" si="621"/>
        <v>0</v>
      </c>
      <c r="Q2559" s="7">
        <f t="shared" si="616"/>
        <v>4143547.2500000014</v>
      </c>
      <c r="R2559" s="44" t="str">
        <f>VLOOKUP(F2559,'Set up'!$A$2:$E$70,5,FALSE)</f>
        <v>Cash</v>
      </c>
      <c r="S2559" s="1" t="s">
        <v>2337</v>
      </c>
    </row>
    <row r="2560" spans="1:19" ht="15" customHeight="1" x14ac:dyDescent="0.3">
      <c r="A2560" s="4">
        <v>45310</v>
      </c>
      <c r="B2560" s="5">
        <f t="shared" si="611"/>
        <v>1</v>
      </c>
      <c r="C2560" s="5">
        <f t="shared" si="612"/>
        <v>2024</v>
      </c>
      <c r="D2560" s="5" t="s">
        <v>2286</v>
      </c>
      <c r="E2560" s="5" t="str">
        <f>VLOOKUP(F2560,'Set up'!$A$2:$C$70,2,FALSE)</f>
        <v>C00000019</v>
      </c>
      <c r="F2560" s="1" t="s">
        <v>400</v>
      </c>
      <c r="G2560" s="90" t="s">
        <v>95</v>
      </c>
      <c r="H2560" s="5">
        <v>1</v>
      </c>
      <c r="I2560" s="5" t="str">
        <f>VLOOKUP(F2560,'Set up'!$A$2:$C$70,3,FALSE)</f>
        <v>Cash</v>
      </c>
      <c r="J2560" s="5">
        <f>VLOOKUP(F2560,'Set up'!$A$2:$D$70,4,FALSE)</f>
        <v>0</v>
      </c>
      <c r="K2560" s="4">
        <f t="shared" si="613"/>
        <v>45310</v>
      </c>
      <c r="L2560" s="5">
        <f t="shared" si="614"/>
        <v>1</v>
      </c>
      <c r="M2560" s="5">
        <f t="shared" si="615"/>
        <v>2024</v>
      </c>
      <c r="N2560" s="6">
        <v>1738</v>
      </c>
      <c r="O2560" s="6">
        <f t="shared" si="626"/>
        <v>-1738</v>
      </c>
      <c r="P2560" s="6">
        <f t="shared" si="621"/>
        <v>0</v>
      </c>
      <c r="Q2560" s="7">
        <f t="shared" si="616"/>
        <v>4145285.2500000014</v>
      </c>
      <c r="R2560" s="44" t="str">
        <f>VLOOKUP(F2560,'Set up'!$A$2:$E$70,5,FALSE)</f>
        <v>Trsf</v>
      </c>
      <c r="S2560" s="1" t="s">
        <v>3472</v>
      </c>
    </row>
    <row r="2561" spans="1:19" ht="15" customHeight="1" x14ac:dyDescent="0.3">
      <c r="A2561" s="4">
        <v>45310</v>
      </c>
      <c r="B2561" s="5">
        <f t="shared" si="611"/>
        <v>1</v>
      </c>
      <c r="C2561" s="5">
        <f t="shared" si="612"/>
        <v>2024</v>
      </c>
      <c r="D2561" s="5" t="s">
        <v>2286</v>
      </c>
      <c r="E2561" s="5" t="str">
        <f>VLOOKUP(F2561,'Set up'!$A$2:$C$70,2,FALSE)</f>
        <v>C00000019</v>
      </c>
      <c r="F2561" s="1" t="s">
        <v>400</v>
      </c>
      <c r="G2561" s="90" t="s">
        <v>2098</v>
      </c>
      <c r="H2561" s="5">
        <v>1</v>
      </c>
      <c r="I2561" s="5" t="str">
        <f>VLOOKUP(F2561,'Set up'!$A$2:$C$70,3,FALSE)</f>
        <v>Cash</v>
      </c>
      <c r="J2561" s="5">
        <f>VLOOKUP(F2561,'Set up'!$A$2:$D$70,4,FALSE)</f>
        <v>0</v>
      </c>
      <c r="K2561" s="4">
        <f t="shared" si="613"/>
        <v>45310</v>
      </c>
      <c r="L2561" s="5">
        <f t="shared" si="614"/>
        <v>1</v>
      </c>
      <c r="M2561" s="5">
        <f t="shared" si="615"/>
        <v>2024</v>
      </c>
      <c r="N2561" s="6">
        <v>283.8</v>
      </c>
      <c r="O2561" s="6">
        <f t="shared" si="626"/>
        <v>-283.8</v>
      </c>
      <c r="P2561" s="6">
        <f t="shared" si="621"/>
        <v>0</v>
      </c>
      <c r="Q2561" s="7">
        <f t="shared" si="616"/>
        <v>4145569.0500000012</v>
      </c>
      <c r="R2561" s="44" t="str">
        <f>VLOOKUP(F2561,'Set up'!$A$2:$E$70,5,FALSE)</f>
        <v>Trsf</v>
      </c>
      <c r="S2561" s="1" t="s">
        <v>3473</v>
      </c>
    </row>
    <row r="2562" spans="1:19" ht="15" customHeight="1" x14ac:dyDescent="0.3">
      <c r="A2562" s="4">
        <v>45310</v>
      </c>
      <c r="B2562" s="5">
        <f t="shared" si="611"/>
        <v>1</v>
      </c>
      <c r="C2562" s="5">
        <f t="shared" si="612"/>
        <v>2024</v>
      </c>
      <c r="D2562" s="5" t="s">
        <v>2286</v>
      </c>
      <c r="E2562" s="5" t="str">
        <f>VLOOKUP(F2562,'Set up'!$A$2:$C$70,2,FALSE)</f>
        <v>C00000019</v>
      </c>
      <c r="F2562" s="1" t="s">
        <v>400</v>
      </c>
      <c r="G2562" s="90" t="s">
        <v>791</v>
      </c>
      <c r="H2562" s="5">
        <v>3</v>
      </c>
      <c r="I2562" s="5" t="str">
        <f>VLOOKUP(F2562,'Set up'!$A$2:$C$70,3,FALSE)</f>
        <v>Cash</v>
      </c>
      <c r="J2562" s="5">
        <f>VLOOKUP(F2562,'Set up'!$A$2:$D$70,4,FALSE)</f>
        <v>0</v>
      </c>
      <c r="K2562" s="4">
        <f t="shared" si="613"/>
        <v>45310</v>
      </c>
      <c r="L2562" s="5">
        <f t="shared" si="614"/>
        <v>1</v>
      </c>
      <c r="M2562" s="5">
        <f t="shared" si="615"/>
        <v>2024</v>
      </c>
      <c r="N2562" s="6">
        <v>187.5</v>
      </c>
      <c r="O2562" s="6">
        <f t="shared" si="626"/>
        <v>-187.5</v>
      </c>
      <c r="P2562" s="6">
        <f t="shared" si="621"/>
        <v>0</v>
      </c>
      <c r="Q2562" s="7">
        <f t="shared" si="616"/>
        <v>4145756.5500000012</v>
      </c>
      <c r="R2562" s="44" t="str">
        <f>VLOOKUP(F2562,'Set up'!$A$2:$E$70,5,FALSE)</f>
        <v>Trsf</v>
      </c>
      <c r="S2562" s="1" t="s">
        <v>3474</v>
      </c>
    </row>
    <row r="2563" spans="1:19" ht="15" customHeight="1" x14ac:dyDescent="0.3">
      <c r="A2563" s="4">
        <v>45310</v>
      </c>
      <c r="B2563" s="5">
        <f t="shared" ref="B2563:B2626" si="627">MONTH(A2563)</f>
        <v>1</v>
      </c>
      <c r="C2563" s="5">
        <f t="shared" ref="C2563:C2626" si="628">YEAR(A2563)</f>
        <v>2024</v>
      </c>
      <c r="D2563" s="5" t="s">
        <v>2286</v>
      </c>
      <c r="E2563" s="5" t="str">
        <f>VLOOKUP(F2563,'Set up'!$A$2:$C$70,2,FALSE)</f>
        <v>C00000019</v>
      </c>
      <c r="F2563" s="1" t="s">
        <v>400</v>
      </c>
      <c r="G2563" s="90" t="s">
        <v>949</v>
      </c>
      <c r="H2563" s="5">
        <v>1</v>
      </c>
      <c r="I2563" s="5" t="str">
        <f>VLOOKUP(F2563,'Set up'!$A$2:$C$70,3,FALSE)</f>
        <v>Cash</v>
      </c>
      <c r="J2563" s="5">
        <f>VLOOKUP(F2563,'Set up'!$A$2:$D$70,4,FALSE)</f>
        <v>0</v>
      </c>
      <c r="K2563" s="4">
        <f t="shared" ref="K2563:K2626" si="629">A2563+J2563</f>
        <v>45310</v>
      </c>
      <c r="L2563" s="5">
        <f t="shared" ref="L2563:L2626" si="630">MONTH(K2563)</f>
        <v>1</v>
      </c>
      <c r="M2563" s="5">
        <f t="shared" ref="M2563:M2626" si="631">YEAR(K2563)</f>
        <v>2024</v>
      </c>
      <c r="N2563" s="6">
        <v>60</v>
      </c>
      <c r="O2563" s="6">
        <f t="shared" si="626"/>
        <v>-60</v>
      </c>
      <c r="P2563" s="6">
        <f t="shared" si="621"/>
        <v>0</v>
      </c>
      <c r="Q2563" s="7">
        <f t="shared" ref="Q2563:Q2626" si="632">SUM(Q2562+N2563)</f>
        <v>4145816.5500000012</v>
      </c>
      <c r="R2563" s="44" t="str">
        <f>VLOOKUP(F2563,'Set up'!$A$2:$E$70,5,FALSE)</f>
        <v>Trsf</v>
      </c>
      <c r="S2563" s="1" t="s">
        <v>3475</v>
      </c>
    </row>
    <row r="2564" spans="1:19" ht="15" customHeight="1" x14ac:dyDescent="0.3">
      <c r="A2564" s="4">
        <v>45311</v>
      </c>
      <c r="B2564" s="5">
        <f t="shared" si="627"/>
        <v>1</v>
      </c>
      <c r="C2564" s="5">
        <f t="shared" si="628"/>
        <v>2024</v>
      </c>
      <c r="D2564" s="5" t="s">
        <v>2287</v>
      </c>
      <c r="E2564" s="5" t="str">
        <f>VLOOKUP(F2564,'Set up'!$A$2:$C$70,2,FALSE)</f>
        <v>C00000042</v>
      </c>
      <c r="F2564" s="1" t="s">
        <v>2012</v>
      </c>
      <c r="G2564" s="103" t="s">
        <v>2130</v>
      </c>
      <c r="H2564" s="5">
        <v>6</v>
      </c>
      <c r="I2564" s="5" t="str">
        <f>VLOOKUP(F2564,'Set up'!$A$2:$C$70,3,FALSE)</f>
        <v>Cash</v>
      </c>
      <c r="J2564" s="5">
        <f>VLOOKUP(F2564,'Set up'!$A$2:$D$70,4,FALSE)</f>
        <v>0</v>
      </c>
      <c r="K2564" s="4">
        <f t="shared" si="629"/>
        <v>45311</v>
      </c>
      <c r="L2564" s="5">
        <f t="shared" si="630"/>
        <v>1</v>
      </c>
      <c r="M2564" s="5">
        <f t="shared" si="631"/>
        <v>2024</v>
      </c>
      <c r="N2564" s="6">
        <v>375</v>
      </c>
      <c r="O2564" s="6">
        <f>-N2564</f>
        <v>-375</v>
      </c>
      <c r="P2564" s="6">
        <f t="shared" si="621"/>
        <v>0</v>
      </c>
      <c r="Q2564" s="7">
        <f t="shared" si="632"/>
        <v>4146191.5500000012</v>
      </c>
      <c r="R2564" s="44" t="str">
        <f>VLOOKUP(F2564,'Set up'!$A$2:$E$70,5,FALSE)</f>
        <v>Trsf</v>
      </c>
      <c r="S2564" s="1" t="s">
        <v>2804</v>
      </c>
    </row>
    <row r="2565" spans="1:19" ht="15" customHeight="1" x14ac:dyDescent="0.3">
      <c r="A2565" s="4">
        <v>45311</v>
      </c>
      <c r="B2565" s="5">
        <f t="shared" si="627"/>
        <v>1</v>
      </c>
      <c r="C2565" s="5">
        <f t="shared" si="628"/>
        <v>2024</v>
      </c>
      <c r="D2565" s="5" t="s">
        <v>2288</v>
      </c>
      <c r="E2565" s="5" t="str">
        <f>VLOOKUP(F2565,'Set up'!$A$2:$C$70,2,FALSE)</f>
        <v>C00000042</v>
      </c>
      <c r="F2565" s="1" t="s">
        <v>2012</v>
      </c>
      <c r="G2565" s="103" t="s">
        <v>1733</v>
      </c>
      <c r="H2565" s="5">
        <v>6</v>
      </c>
      <c r="I2565" s="5" t="str">
        <f>VLOOKUP(F2565,'Set up'!$A$2:$C$70,3,FALSE)</f>
        <v>Cash</v>
      </c>
      <c r="J2565" s="5">
        <f>VLOOKUP(F2565,'Set up'!$A$2:$D$70,4,FALSE)</f>
        <v>0</v>
      </c>
      <c r="K2565" s="4">
        <f t="shared" si="629"/>
        <v>45311</v>
      </c>
      <c r="L2565" s="5">
        <f t="shared" si="630"/>
        <v>1</v>
      </c>
      <c r="M2565" s="5">
        <f t="shared" si="631"/>
        <v>2024</v>
      </c>
      <c r="N2565" s="6">
        <v>9636</v>
      </c>
      <c r="O2565" s="6">
        <f>-N2565</f>
        <v>-9636</v>
      </c>
      <c r="P2565" s="6">
        <f t="shared" si="621"/>
        <v>0</v>
      </c>
      <c r="Q2565" s="7">
        <f t="shared" si="632"/>
        <v>4155827.5500000012</v>
      </c>
      <c r="R2565" s="44" t="str">
        <f>VLOOKUP(F2565,'Set up'!$A$2:$E$70,5,FALSE)</f>
        <v>Trsf</v>
      </c>
      <c r="S2565" s="1" t="s">
        <v>2800</v>
      </c>
    </row>
    <row r="2566" spans="1:19" ht="15" customHeight="1" x14ac:dyDescent="0.3">
      <c r="A2566" s="4">
        <v>45311</v>
      </c>
      <c r="B2566" s="5">
        <f t="shared" si="627"/>
        <v>1</v>
      </c>
      <c r="C2566" s="5">
        <f t="shared" si="628"/>
        <v>2024</v>
      </c>
      <c r="D2566" s="5" t="s">
        <v>2288</v>
      </c>
      <c r="E2566" s="5" t="str">
        <f>VLOOKUP(F2566,'Set up'!$A$2:$C$70,2,FALSE)</f>
        <v>C00000042</v>
      </c>
      <c r="F2566" s="1" t="s">
        <v>2012</v>
      </c>
      <c r="G2566" s="90" t="s">
        <v>1796</v>
      </c>
      <c r="H2566" s="5">
        <v>18</v>
      </c>
      <c r="I2566" s="5" t="str">
        <f>VLOOKUP(F2566,'Set up'!$A$2:$C$70,3,FALSE)</f>
        <v>Cash</v>
      </c>
      <c r="J2566" s="5">
        <f>VLOOKUP(F2566,'Set up'!$A$2:$D$70,4,FALSE)</f>
        <v>0</v>
      </c>
      <c r="K2566" s="4">
        <f t="shared" si="629"/>
        <v>45311</v>
      </c>
      <c r="L2566" s="5">
        <f t="shared" si="630"/>
        <v>1</v>
      </c>
      <c r="M2566" s="5">
        <f t="shared" si="631"/>
        <v>2024</v>
      </c>
      <c r="N2566" s="6">
        <v>3132</v>
      </c>
      <c r="O2566" s="6">
        <f>-N2566</f>
        <v>-3132</v>
      </c>
      <c r="P2566" s="6">
        <f t="shared" si="621"/>
        <v>0</v>
      </c>
      <c r="Q2566" s="7">
        <f t="shared" si="632"/>
        <v>4158959.5500000012</v>
      </c>
      <c r="R2566" s="44" t="str">
        <f>VLOOKUP(F2566,'Set up'!$A$2:$E$70,5,FALSE)</f>
        <v>Trsf</v>
      </c>
      <c r="S2566" s="1" t="s">
        <v>2805</v>
      </c>
    </row>
    <row r="2567" spans="1:19" ht="15" customHeight="1" x14ac:dyDescent="0.3">
      <c r="A2567" s="4">
        <v>45311</v>
      </c>
      <c r="B2567" s="5">
        <f t="shared" si="627"/>
        <v>1</v>
      </c>
      <c r="C2567" s="5">
        <f t="shared" si="628"/>
        <v>2024</v>
      </c>
      <c r="D2567" s="5" t="s">
        <v>2288</v>
      </c>
      <c r="E2567" s="5" t="str">
        <f>VLOOKUP(F2567,'Set up'!$A$2:$C$70,2,FALSE)</f>
        <v>C00000042</v>
      </c>
      <c r="F2567" s="1" t="s">
        <v>2012</v>
      </c>
      <c r="G2567" s="90" t="s">
        <v>1922</v>
      </c>
      <c r="H2567" s="5">
        <v>8</v>
      </c>
      <c r="I2567" s="5" t="str">
        <f>VLOOKUP(F2567,'Set up'!$A$2:$C$70,3,FALSE)</f>
        <v>Cash</v>
      </c>
      <c r="J2567" s="5">
        <f>VLOOKUP(F2567,'Set up'!$A$2:$D$70,4,FALSE)</f>
        <v>0</v>
      </c>
      <c r="K2567" s="4">
        <f t="shared" si="629"/>
        <v>45311</v>
      </c>
      <c r="L2567" s="5">
        <f t="shared" si="630"/>
        <v>1</v>
      </c>
      <c r="M2567" s="5">
        <f t="shared" si="631"/>
        <v>2024</v>
      </c>
      <c r="N2567" s="6">
        <v>1872</v>
      </c>
      <c r="O2567" s="6">
        <f>-N2567</f>
        <v>-1872</v>
      </c>
      <c r="P2567" s="6">
        <f t="shared" si="621"/>
        <v>0</v>
      </c>
      <c r="Q2567" s="7">
        <f t="shared" si="632"/>
        <v>4160831.5500000012</v>
      </c>
      <c r="R2567" s="44" t="str">
        <f>VLOOKUP(F2567,'Set up'!$A$2:$E$70,5,FALSE)</f>
        <v>Trsf</v>
      </c>
      <c r="S2567" s="1" t="s">
        <v>2806</v>
      </c>
    </row>
    <row r="2568" spans="1:19" ht="15" customHeight="1" x14ac:dyDescent="0.3">
      <c r="A2568" s="4">
        <v>45311</v>
      </c>
      <c r="B2568" s="5">
        <f t="shared" si="627"/>
        <v>1</v>
      </c>
      <c r="C2568" s="5">
        <f t="shared" si="628"/>
        <v>2024</v>
      </c>
      <c r="D2568" s="5" t="s">
        <v>2288</v>
      </c>
      <c r="E2568" s="5" t="str">
        <f>VLOOKUP(F2568,'Set up'!$A$2:$C$70,2,FALSE)</f>
        <v>C00000042</v>
      </c>
      <c r="F2568" s="1" t="s">
        <v>2012</v>
      </c>
      <c r="G2568" s="90" t="s">
        <v>1061</v>
      </c>
      <c r="H2568" s="5">
        <v>4</v>
      </c>
      <c r="I2568" s="5" t="str">
        <f>VLOOKUP(F2568,'Set up'!$A$2:$C$70,3,FALSE)</f>
        <v>Cash</v>
      </c>
      <c r="J2568" s="5">
        <f>VLOOKUP(F2568,'Set up'!$A$2:$D$70,4,FALSE)</f>
        <v>0</v>
      </c>
      <c r="K2568" s="4">
        <f t="shared" si="629"/>
        <v>45311</v>
      </c>
      <c r="L2568" s="5">
        <f t="shared" si="630"/>
        <v>1</v>
      </c>
      <c r="M2568" s="5">
        <f t="shared" si="631"/>
        <v>2024</v>
      </c>
      <c r="N2568" s="6">
        <v>380</v>
      </c>
      <c r="O2568" s="6">
        <f>-N2568</f>
        <v>-380</v>
      </c>
      <c r="P2568" s="6">
        <f t="shared" si="621"/>
        <v>0</v>
      </c>
      <c r="Q2568" s="7">
        <f t="shared" si="632"/>
        <v>4161211.5500000012</v>
      </c>
      <c r="R2568" s="44" t="str">
        <f>VLOOKUP(F2568,'Set up'!$A$2:$E$70,5,FALSE)</f>
        <v>Trsf</v>
      </c>
      <c r="S2568" s="1" t="s">
        <v>2798</v>
      </c>
    </row>
    <row r="2569" spans="1:19" ht="15" customHeight="1" x14ac:dyDescent="0.3">
      <c r="A2569" s="4">
        <v>45313</v>
      </c>
      <c r="B2569" s="5">
        <f t="shared" si="627"/>
        <v>1</v>
      </c>
      <c r="C2569" s="5">
        <f t="shared" si="628"/>
        <v>2024</v>
      </c>
      <c r="D2569" s="5" t="s">
        <v>2289</v>
      </c>
      <c r="E2569" s="5" t="str">
        <f>VLOOKUP(F2569,'Set up'!$A$2:$C$70,2,FALSE)</f>
        <v>C00000046</v>
      </c>
      <c r="F2569" s="1" t="s">
        <v>2284</v>
      </c>
      <c r="G2569" s="95" t="s">
        <v>1110</v>
      </c>
      <c r="H2569" s="5">
        <v>3</v>
      </c>
      <c r="I2569" s="5" t="str">
        <f>VLOOKUP(F2569,'Set up'!$A$2:$C$70,3,FALSE)</f>
        <v>Cash</v>
      </c>
      <c r="J2569" s="5">
        <f>VLOOKUP(F2569,'Set up'!$A$2:$D$70,4,FALSE)</f>
        <v>0</v>
      </c>
      <c r="K2569" s="4">
        <f t="shared" si="629"/>
        <v>45313</v>
      </c>
      <c r="L2569" s="5">
        <f t="shared" si="630"/>
        <v>1</v>
      </c>
      <c r="M2569" s="5">
        <f t="shared" si="631"/>
        <v>2024</v>
      </c>
      <c r="N2569" s="6">
        <v>180</v>
      </c>
      <c r="O2569" s="6">
        <f t="shared" ref="O2569" si="633">-N2569</f>
        <v>-180</v>
      </c>
      <c r="P2569" s="6">
        <f t="shared" si="621"/>
        <v>0</v>
      </c>
      <c r="Q2569" s="7">
        <f t="shared" si="632"/>
        <v>4161391.5500000012</v>
      </c>
      <c r="R2569" s="44" t="str">
        <f>VLOOKUP(F2569,'Set up'!$A$2:$E$70,5,FALSE)</f>
        <v>Cash</v>
      </c>
      <c r="S2569" s="1" t="s">
        <v>2337</v>
      </c>
    </row>
    <row r="2570" spans="1:19" ht="15" customHeight="1" x14ac:dyDescent="0.3">
      <c r="A2570" s="4">
        <v>45314</v>
      </c>
      <c r="B2570" s="5">
        <f t="shared" si="627"/>
        <v>1</v>
      </c>
      <c r="C2570" s="5">
        <f t="shared" si="628"/>
        <v>2024</v>
      </c>
      <c r="D2570" s="5" t="s">
        <v>2290</v>
      </c>
      <c r="E2570" s="5" t="str">
        <f>VLOOKUP(F2570,'Set up'!$A$2:$C$70,2,FALSE)</f>
        <v>C00000044</v>
      </c>
      <c r="F2570" s="1" t="s">
        <v>2929</v>
      </c>
      <c r="G2570" s="119" t="s">
        <v>2291</v>
      </c>
      <c r="H2570" s="5">
        <v>1</v>
      </c>
      <c r="I2570" s="5" t="str">
        <f>VLOOKUP(F2570,'Set up'!$A$2:$C$70,3,FALSE)</f>
        <v>Cash</v>
      </c>
      <c r="J2570" s="5">
        <f>VLOOKUP(F2570,'Set up'!$A$2:$D$70,4,FALSE)</f>
        <v>0</v>
      </c>
      <c r="K2570" s="4">
        <f t="shared" si="629"/>
        <v>45314</v>
      </c>
      <c r="L2570" s="5">
        <f t="shared" si="630"/>
        <v>1</v>
      </c>
      <c r="M2570" s="5">
        <f t="shared" si="631"/>
        <v>2024</v>
      </c>
      <c r="N2570" s="6">
        <v>1606</v>
      </c>
      <c r="O2570" s="6">
        <f t="shared" ref="O2570:O2580" si="634">-N2570</f>
        <v>-1606</v>
      </c>
      <c r="P2570" s="6">
        <f t="shared" si="621"/>
        <v>0</v>
      </c>
      <c r="Q2570" s="7">
        <f t="shared" si="632"/>
        <v>4162997.5500000012</v>
      </c>
      <c r="R2570" s="44" t="str">
        <f>VLOOKUP(F2570,'Set up'!$A$2:$E$70,5,FALSE)</f>
        <v>Cash</v>
      </c>
      <c r="S2570" s="1" t="s">
        <v>2307</v>
      </c>
    </row>
    <row r="2571" spans="1:19" ht="15" customHeight="1" x14ac:dyDescent="0.3">
      <c r="A2571" s="4">
        <v>45314</v>
      </c>
      <c r="B2571" s="5">
        <f t="shared" si="627"/>
        <v>1</v>
      </c>
      <c r="C2571" s="5">
        <f t="shared" si="628"/>
        <v>2024</v>
      </c>
      <c r="D2571" s="5" t="s">
        <v>2290</v>
      </c>
      <c r="E2571" s="5" t="str">
        <f>VLOOKUP(F2571,'Set up'!$A$2:$C$70,2,FALSE)</f>
        <v>C00000044</v>
      </c>
      <c r="F2571" s="1" t="s">
        <v>2929</v>
      </c>
      <c r="G2571" s="120" t="s">
        <v>2292</v>
      </c>
      <c r="H2571" s="5">
        <v>2</v>
      </c>
      <c r="I2571" s="5" t="str">
        <f>VLOOKUP(F2571,'Set up'!$A$2:$C$70,3,FALSE)</f>
        <v>Cash</v>
      </c>
      <c r="J2571" s="5">
        <f>VLOOKUP(F2571,'Set up'!$A$2:$D$70,4,FALSE)</f>
        <v>0</v>
      </c>
      <c r="K2571" s="4">
        <f t="shared" si="629"/>
        <v>45314</v>
      </c>
      <c r="L2571" s="5">
        <f t="shared" si="630"/>
        <v>1</v>
      </c>
      <c r="M2571" s="5">
        <f t="shared" si="631"/>
        <v>2024</v>
      </c>
      <c r="N2571" s="6">
        <v>420</v>
      </c>
      <c r="O2571" s="6">
        <f t="shared" si="634"/>
        <v>-420</v>
      </c>
      <c r="P2571" s="6">
        <f t="shared" si="621"/>
        <v>0</v>
      </c>
      <c r="Q2571" s="7">
        <f t="shared" si="632"/>
        <v>4163417.5500000012</v>
      </c>
      <c r="R2571" s="44" t="str">
        <f>VLOOKUP(F2571,'Set up'!$A$2:$E$70,5,FALSE)</f>
        <v>Cash</v>
      </c>
      <c r="S2571" s="1" t="s">
        <v>2307</v>
      </c>
    </row>
    <row r="2572" spans="1:19" ht="15" customHeight="1" x14ac:dyDescent="0.3">
      <c r="A2572" s="4">
        <v>45314</v>
      </c>
      <c r="B2572" s="5">
        <f t="shared" si="627"/>
        <v>1</v>
      </c>
      <c r="C2572" s="5">
        <f t="shared" si="628"/>
        <v>2024</v>
      </c>
      <c r="D2572" s="5" t="s">
        <v>2290</v>
      </c>
      <c r="E2572" s="5" t="str">
        <f>VLOOKUP(F2572,'Set up'!$A$2:$C$70,2,FALSE)</f>
        <v>C00000044</v>
      </c>
      <c r="F2572" s="1" t="s">
        <v>2929</v>
      </c>
      <c r="G2572" s="120" t="s">
        <v>2293</v>
      </c>
      <c r="H2572" s="5">
        <v>1</v>
      </c>
      <c r="I2572" s="5" t="str">
        <f>VLOOKUP(F2572,'Set up'!$A$2:$C$70,3,FALSE)</f>
        <v>Cash</v>
      </c>
      <c r="J2572" s="5">
        <f>VLOOKUP(F2572,'Set up'!$A$2:$D$70,4,FALSE)</f>
        <v>0</v>
      </c>
      <c r="K2572" s="4">
        <f t="shared" si="629"/>
        <v>45314</v>
      </c>
      <c r="L2572" s="5">
        <f t="shared" si="630"/>
        <v>1</v>
      </c>
      <c r="M2572" s="5">
        <f t="shared" si="631"/>
        <v>2024</v>
      </c>
      <c r="N2572" s="6">
        <v>280</v>
      </c>
      <c r="O2572" s="6">
        <f t="shared" si="634"/>
        <v>-280</v>
      </c>
      <c r="P2572" s="6">
        <f t="shared" si="621"/>
        <v>0</v>
      </c>
      <c r="Q2572" s="7">
        <f t="shared" si="632"/>
        <v>4163697.5500000012</v>
      </c>
      <c r="R2572" s="44" t="str">
        <f>VLOOKUP(F2572,'Set up'!$A$2:$E$70,5,FALSE)</f>
        <v>Cash</v>
      </c>
      <c r="S2572" s="1" t="s">
        <v>2307</v>
      </c>
    </row>
    <row r="2573" spans="1:19" ht="15" customHeight="1" x14ac:dyDescent="0.3">
      <c r="A2573" s="4">
        <v>45314</v>
      </c>
      <c r="B2573" s="5">
        <f t="shared" si="627"/>
        <v>1</v>
      </c>
      <c r="C2573" s="5">
        <f t="shared" si="628"/>
        <v>2024</v>
      </c>
      <c r="D2573" s="5" t="s">
        <v>2290</v>
      </c>
      <c r="E2573" s="5" t="str">
        <f>VLOOKUP(F2573,'Set up'!$A$2:$C$70,2,FALSE)</f>
        <v>C00000044</v>
      </c>
      <c r="F2573" s="1" t="s">
        <v>2929</v>
      </c>
      <c r="G2573" s="120" t="s">
        <v>714</v>
      </c>
      <c r="H2573" s="5">
        <v>1</v>
      </c>
      <c r="I2573" s="5" t="str">
        <f>VLOOKUP(F2573,'Set up'!$A$2:$C$70,3,FALSE)</f>
        <v>Cash</v>
      </c>
      <c r="J2573" s="5">
        <f>VLOOKUP(F2573,'Set up'!$A$2:$D$70,4,FALSE)</f>
        <v>0</v>
      </c>
      <c r="K2573" s="4">
        <f t="shared" si="629"/>
        <v>45314</v>
      </c>
      <c r="L2573" s="5">
        <f t="shared" si="630"/>
        <v>1</v>
      </c>
      <c r="M2573" s="5">
        <f t="shared" si="631"/>
        <v>2024</v>
      </c>
      <c r="N2573" s="6">
        <v>62.5</v>
      </c>
      <c r="O2573" s="6">
        <f t="shared" si="634"/>
        <v>-62.5</v>
      </c>
      <c r="P2573" s="6">
        <f t="shared" si="621"/>
        <v>0</v>
      </c>
      <c r="Q2573" s="7">
        <f t="shared" si="632"/>
        <v>4163760.0500000012</v>
      </c>
      <c r="R2573" s="44" t="str">
        <f>VLOOKUP(F2573,'Set up'!$A$2:$E$70,5,FALSE)</f>
        <v>Cash</v>
      </c>
      <c r="S2573" s="1" t="s">
        <v>2307</v>
      </c>
    </row>
    <row r="2574" spans="1:19" ht="15" customHeight="1" x14ac:dyDescent="0.3">
      <c r="A2574" s="4">
        <v>45314</v>
      </c>
      <c r="B2574" s="5">
        <f t="shared" si="627"/>
        <v>1</v>
      </c>
      <c r="C2574" s="5">
        <f t="shared" si="628"/>
        <v>2024</v>
      </c>
      <c r="D2574" s="5" t="s">
        <v>2290</v>
      </c>
      <c r="E2574" s="5" t="str">
        <f>VLOOKUP(F2574,'Set up'!$A$2:$C$70,2,FALSE)</f>
        <v>C00000044</v>
      </c>
      <c r="F2574" s="1" t="s">
        <v>2929</v>
      </c>
      <c r="G2574" s="120" t="s">
        <v>2294</v>
      </c>
      <c r="H2574" s="5">
        <v>5</v>
      </c>
      <c r="I2574" s="5" t="str">
        <f>VLOOKUP(F2574,'Set up'!$A$2:$C$70,3,FALSE)</f>
        <v>Cash</v>
      </c>
      <c r="J2574" s="5">
        <f>VLOOKUP(F2574,'Set up'!$A$2:$D$70,4,FALSE)</f>
        <v>0</v>
      </c>
      <c r="K2574" s="4">
        <f t="shared" si="629"/>
        <v>45314</v>
      </c>
      <c r="L2574" s="5">
        <f t="shared" si="630"/>
        <v>1</v>
      </c>
      <c r="M2574" s="5">
        <f t="shared" si="631"/>
        <v>2024</v>
      </c>
      <c r="N2574" s="6">
        <v>700</v>
      </c>
      <c r="O2574" s="6">
        <f t="shared" si="634"/>
        <v>-700</v>
      </c>
      <c r="P2574" s="6">
        <f t="shared" si="621"/>
        <v>0</v>
      </c>
      <c r="Q2574" s="7">
        <f t="shared" si="632"/>
        <v>4164460.0500000012</v>
      </c>
      <c r="R2574" s="44" t="str">
        <f>VLOOKUP(F2574,'Set up'!$A$2:$E$70,5,FALSE)</f>
        <v>Cash</v>
      </c>
      <c r="S2574" s="1" t="s">
        <v>2307</v>
      </c>
    </row>
    <row r="2575" spans="1:19" ht="15" customHeight="1" x14ac:dyDescent="0.3">
      <c r="A2575" s="4">
        <v>45314</v>
      </c>
      <c r="B2575" s="5">
        <f t="shared" si="627"/>
        <v>1</v>
      </c>
      <c r="C2575" s="5">
        <f t="shared" si="628"/>
        <v>2024</v>
      </c>
      <c r="D2575" s="5" t="s">
        <v>2290</v>
      </c>
      <c r="E2575" s="5" t="str">
        <f>VLOOKUP(F2575,'Set up'!$A$2:$C$70,2,FALSE)</f>
        <v>C00000044</v>
      </c>
      <c r="F2575" s="1" t="s">
        <v>2929</v>
      </c>
      <c r="G2575" s="120" t="s">
        <v>2295</v>
      </c>
      <c r="H2575" s="5">
        <v>1</v>
      </c>
      <c r="I2575" s="5" t="str">
        <f>VLOOKUP(F2575,'Set up'!$A$2:$C$70,3,FALSE)</f>
        <v>Cash</v>
      </c>
      <c r="J2575" s="5">
        <f>VLOOKUP(F2575,'Set up'!$A$2:$D$70,4,FALSE)</f>
        <v>0</v>
      </c>
      <c r="K2575" s="4">
        <f t="shared" si="629"/>
        <v>45314</v>
      </c>
      <c r="L2575" s="5">
        <f t="shared" si="630"/>
        <v>1</v>
      </c>
      <c r="M2575" s="5">
        <f t="shared" si="631"/>
        <v>2024</v>
      </c>
      <c r="N2575" s="6">
        <v>290</v>
      </c>
      <c r="O2575" s="6">
        <f t="shared" si="634"/>
        <v>-290</v>
      </c>
      <c r="P2575" s="6">
        <f t="shared" si="621"/>
        <v>0</v>
      </c>
      <c r="Q2575" s="7">
        <f t="shared" si="632"/>
        <v>4164750.0500000012</v>
      </c>
      <c r="R2575" s="44" t="str">
        <f>VLOOKUP(F2575,'Set up'!$A$2:$E$70,5,FALSE)</f>
        <v>Cash</v>
      </c>
      <c r="S2575" s="1" t="s">
        <v>2307</v>
      </c>
    </row>
    <row r="2576" spans="1:19" ht="15" customHeight="1" x14ac:dyDescent="0.3">
      <c r="A2576" s="4">
        <v>45314</v>
      </c>
      <c r="B2576" s="5">
        <f t="shared" si="627"/>
        <v>1</v>
      </c>
      <c r="C2576" s="5">
        <f t="shared" si="628"/>
        <v>2024</v>
      </c>
      <c r="D2576" s="5" t="s">
        <v>2290</v>
      </c>
      <c r="E2576" s="5" t="str">
        <f>VLOOKUP(F2576,'Set up'!$A$2:$C$70,2,FALSE)</f>
        <v>C00000044</v>
      </c>
      <c r="F2576" s="1" t="s">
        <v>2929</v>
      </c>
      <c r="G2576" s="120" t="s">
        <v>2296</v>
      </c>
      <c r="H2576" s="5">
        <v>1</v>
      </c>
      <c r="I2576" s="5" t="str">
        <f>VLOOKUP(F2576,'Set up'!$A$2:$C$70,3,FALSE)</f>
        <v>Cash</v>
      </c>
      <c r="J2576" s="5">
        <f>VLOOKUP(F2576,'Set up'!$A$2:$D$70,4,FALSE)</f>
        <v>0</v>
      </c>
      <c r="K2576" s="4">
        <f t="shared" si="629"/>
        <v>45314</v>
      </c>
      <c r="L2576" s="5">
        <f t="shared" si="630"/>
        <v>1</v>
      </c>
      <c r="M2576" s="5">
        <f t="shared" si="631"/>
        <v>2024</v>
      </c>
      <c r="N2576" s="6">
        <v>283.8</v>
      </c>
      <c r="O2576" s="6">
        <f t="shared" si="634"/>
        <v>-283.8</v>
      </c>
      <c r="P2576" s="6">
        <f t="shared" si="621"/>
        <v>0</v>
      </c>
      <c r="Q2576" s="7">
        <f t="shared" si="632"/>
        <v>4165033.850000001</v>
      </c>
      <c r="R2576" s="44" t="str">
        <f>VLOOKUP(F2576,'Set up'!$A$2:$E$70,5,FALSE)</f>
        <v>Cash</v>
      </c>
      <c r="S2576" s="1" t="s">
        <v>2307</v>
      </c>
    </row>
    <row r="2577" spans="1:19" ht="15" customHeight="1" x14ac:dyDescent="0.3">
      <c r="A2577" s="4">
        <v>45314</v>
      </c>
      <c r="B2577" s="5">
        <f t="shared" si="627"/>
        <v>1</v>
      </c>
      <c r="C2577" s="5">
        <f t="shared" si="628"/>
        <v>2024</v>
      </c>
      <c r="D2577" s="5" t="s">
        <v>2290</v>
      </c>
      <c r="E2577" s="5" t="str">
        <f>VLOOKUP(F2577,'Set up'!$A$2:$C$70,2,FALSE)</f>
        <v>C00000044</v>
      </c>
      <c r="F2577" s="1" t="s">
        <v>2929</v>
      </c>
      <c r="G2577" s="120" t="s">
        <v>2024</v>
      </c>
      <c r="H2577" s="5">
        <v>1</v>
      </c>
      <c r="I2577" s="5" t="str">
        <f>VLOOKUP(F2577,'Set up'!$A$2:$C$70,3,FALSE)</f>
        <v>Cash</v>
      </c>
      <c r="J2577" s="5">
        <f>VLOOKUP(F2577,'Set up'!$A$2:$D$70,4,FALSE)</f>
        <v>0</v>
      </c>
      <c r="K2577" s="4">
        <f t="shared" si="629"/>
        <v>45314</v>
      </c>
      <c r="L2577" s="5">
        <f t="shared" si="630"/>
        <v>1</v>
      </c>
      <c r="M2577" s="5">
        <f t="shared" si="631"/>
        <v>2024</v>
      </c>
      <c r="N2577" s="6">
        <v>110</v>
      </c>
      <c r="O2577" s="6">
        <f t="shared" si="634"/>
        <v>-110</v>
      </c>
      <c r="P2577" s="6">
        <f t="shared" si="621"/>
        <v>0</v>
      </c>
      <c r="Q2577" s="7">
        <f t="shared" si="632"/>
        <v>4165143.850000001</v>
      </c>
      <c r="R2577" s="44" t="str">
        <f>VLOOKUP(F2577,'Set up'!$A$2:$E$70,5,FALSE)</f>
        <v>Cash</v>
      </c>
      <c r="S2577" s="1" t="s">
        <v>2307</v>
      </c>
    </row>
    <row r="2578" spans="1:19" ht="15" customHeight="1" x14ac:dyDescent="0.3">
      <c r="A2578" s="4">
        <v>45315</v>
      </c>
      <c r="B2578" s="5">
        <f t="shared" si="627"/>
        <v>1</v>
      </c>
      <c r="C2578" s="5">
        <f t="shared" si="628"/>
        <v>2024</v>
      </c>
      <c r="D2578" s="5" t="s">
        <v>2297</v>
      </c>
      <c r="E2578" s="5" t="str">
        <f>VLOOKUP(F2578,'Set up'!$A$2:$C$70,2,FALSE)</f>
        <v>C00000046</v>
      </c>
      <c r="F2578" s="1" t="s">
        <v>2284</v>
      </c>
      <c r="G2578" s="95" t="s">
        <v>1738</v>
      </c>
      <c r="H2578" s="5">
        <v>1</v>
      </c>
      <c r="I2578" s="5" t="str">
        <f>VLOOKUP(F2578,'Set up'!$A$2:$C$70,3,FALSE)</f>
        <v>Cash</v>
      </c>
      <c r="J2578" s="5">
        <f>VLOOKUP(F2578,'Set up'!$A$2:$D$70,4,FALSE)</f>
        <v>0</v>
      </c>
      <c r="K2578" s="4">
        <f t="shared" si="629"/>
        <v>45315</v>
      </c>
      <c r="L2578" s="5">
        <f t="shared" si="630"/>
        <v>1</v>
      </c>
      <c r="M2578" s="5">
        <f t="shared" si="631"/>
        <v>2024</v>
      </c>
      <c r="N2578" s="6">
        <v>1694</v>
      </c>
      <c r="O2578" s="6">
        <f t="shared" si="634"/>
        <v>-1694</v>
      </c>
      <c r="P2578" s="6">
        <f t="shared" si="621"/>
        <v>0</v>
      </c>
      <c r="Q2578" s="7">
        <f t="shared" si="632"/>
        <v>4166837.850000001</v>
      </c>
      <c r="R2578" s="44" t="str">
        <f>VLOOKUP(F2578,'Set up'!$A$2:$E$70,5,FALSE)</f>
        <v>Cash</v>
      </c>
      <c r="S2578" s="1" t="s">
        <v>2337</v>
      </c>
    </row>
    <row r="2579" spans="1:19" ht="15" customHeight="1" x14ac:dyDescent="0.3">
      <c r="A2579" s="4">
        <v>45315</v>
      </c>
      <c r="B2579" s="5">
        <f t="shared" si="627"/>
        <v>1</v>
      </c>
      <c r="C2579" s="5">
        <f t="shared" si="628"/>
        <v>2024</v>
      </c>
      <c r="D2579" s="5" t="s">
        <v>2297</v>
      </c>
      <c r="E2579" s="5" t="str">
        <f>VLOOKUP(F2579,'Set up'!$A$2:$C$70,2,FALSE)</f>
        <v>C00000046</v>
      </c>
      <c r="F2579" s="1" t="s">
        <v>2284</v>
      </c>
      <c r="G2579" s="90" t="s">
        <v>1796</v>
      </c>
      <c r="H2579" s="5">
        <v>2</v>
      </c>
      <c r="I2579" s="5" t="str">
        <f>VLOOKUP(F2579,'Set up'!$A$2:$C$70,3,FALSE)</f>
        <v>Cash</v>
      </c>
      <c r="J2579" s="5">
        <f>VLOOKUP(F2579,'Set up'!$A$2:$D$70,4,FALSE)</f>
        <v>0</v>
      </c>
      <c r="K2579" s="4">
        <f t="shared" si="629"/>
        <v>45315</v>
      </c>
      <c r="L2579" s="5">
        <f t="shared" si="630"/>
        <v>1</v>
      </c>
      <c r="M2579" s="5">
        <f t="shared" si="631"/>
        <v>2024</v>
      </c>
      <c r="N2579" s="6">
        <v>450</v>
      </c>
      <c r="O2579" s="6">
        <f t="shared" si="634"/>
        <v>-450</v>
      </c>
      <c r="P2579" s="6">
        <f t="shared" si="621"/>
        <v>0</v>
      </c>
      <c r="Q2579" s="7">
        <f t="shared" si="632"/>
        <v>4167287.850000001</v>
      </c>
      <c r="R2579" s="44" t="str">
        <f>VLOOKUP(F2579,'Set up'!$A$2:$E$70,5,FALSE)</f>
        <v>Cash</v>
      </c>
      <c r="S2579" s="1" t="s">
        <v>2337</v>
      </c>
    </row>
    <row r="2580" spans="1:19" ht="15" customHeight="1" x14ac:dyDescent="0.3">
      <c r="A2580" s="4">
        <v>45315</v>
      </c>
      <c r="B2580" s="5">
        <f t="shared" si="627"/>
        <v>1</v>
      </c>
      <c r="C2580" s="5">
        <f t="shared" si="628"/>
        <v>2024</v>
      </c>
      <c r="D2580" s="5" t="s">
        <v>2297</v>
      </c>
      <c r="E2580" s="5" t="str">
        <f>VLOOKUP(F2580,'Set up'!$A$2:$C$70,2,FALSE)</f>
        <v>C00000046</v>
      </c>
      <c r="F2580" s="1" t="s">
        <v>2284</v>
      </c>
      <c r="G2580" s="90" t="s">
        <v>2029</v>
      </c>
      <c r="H2580" s="5">
        <v>1</v>
      </c>
      <c r="I2580" s="5" t="str">
        <f>VLOOKUP(F2580,'Set up'!$A$2:$C$70,3,FALSE)</f>
        <v>Cash</v>
      </c>
      <c r="J2580" s="5">
        <f>VLOOKUP(F2580,'Set up'!$A$2:$D$70,4,FALSE)</f>
        <v>0</v>
      </c>
      <c r="K2580" s="4">
        <f t="shared" si="629"/>
        <v>45315</v>
      </c>
      <c r="L2580" s="5">
        <f t="shared" si="630"/>
        <v>1</v>
      </c>
      <c r="M2580" s="5">
        <f t="shared" si="631"/>
        <v>2024</v>
      </c>
      <c r="N2580" s="6">
        <v>280</v>
      </c>
      <c r="O2580" s="6">
        <f t="shared" si="634"/>
        <v>-280</v>
      </c>
      <c r="P2580" s="6">
        <f t="shared" si="621"/>
        <v>0</v>
      </c>
      <c r="Q2580" s="7">
        <f t="shared" si="632"/>
        <v>4167567.850000001</v>
      </c>
      <c r="R2580" s="44" t="str">
        <f>VLOOKUP(F2580,'Set up'!$A$2:$E$70,5,FALSE)</f>
        <v>Cash</v>
      </c>
      <c r="S2580" s="1" t="s">
        <v>2337</v>
      </c>
    </row>
    <row r="2581" spans="1:19" ht="15" customHeight="1" x14ac:dyDescent="0.3">
      <c r="A2581" s="4">
        <v>45320</v>
      </c>
      <c r="B2581" s="5">
        <f t="shared" si="627"/>
        <v>1</v>
      </c>
      <c r="C2581" s="5">
        <f t="shared" si="628"/>
        <v>2024</v>
      </c>
      <c r="D2581" s="5" t="s">
        <v>2298</v>
      </c>
      <c r="E2581" s="5" t="str">
        <f>VLOOKUP(F2581,'Set up'!$A$2:$C$70,2,FALSE)</f>
        <v>C00000042</v>
      </c>
      <c r="F2581" s="1" t="s">
        <v>2012</v>
      </c>
      <c r="G2581" s="103" t="s">
        <v>2130</v>
      </c>
      <c r="H2581" s="5">
        <v>3</v>
      </c>
      <c r="I2581" s="5" t="str">
        <f>VLOOKUP(F2581,'Set up'!$A$2:$C$70,3,FALSE)</f>
        <v>Cash</v>
      </c>
      <c r="J2581" s="5">
        <f>VLOOKUP(F2581,'Set up'!$A$2:$D$70,4,FALSE)</f>
        <v>0</v>
      </c>
      <c r="K2581" s="4">
        <f t="shared" si="629"/>
        <v>45320</v>
      </c>
      <c r="L2581" s="5">
        <f t="shared" si="630"/>
        <v>1</v>
      </c>
      <c r="M2581" s="5">
        <f t="shared" si="631"/>
        <v>2024</v>
      </c>
      <c r="N2581" s="6">
        <v>187.5</v>
      </c>
      <c r="O2581" s="6">
        <f>-N2581</f>
        <v>-187.5</v>
      </c>
      <c r="P2581" s="6">
        <f t="shared" ref="P2581:P2644" si="635">SUM(N2581+O2581)</f>
        <v>0</v>
      </c>
      <c r="Q2581" s="7">
        <f t="shared" si="632"/>
        <v>4167755.350000001</v>
      </c>
      <c r="R2581" s="44" t="str">
        <f>VLOOKUP(F2581,'Set up'!$A$2:$E$70,5,FALSE)</f>
        <v>Trsf</v>
      </c>
      <c r="S2581" s="1" t="s">
        <v>2796</v>
      </c>
    </row>
    <row r="2582" spans="1:19" ht="15" customHeight="1" x14ac:dyDescent="0.3">
      <c r="A2582" s="4">
        <v>45320</v>
      </c>
      <c r="B2582" s="5">
        <f t="shared" si="627"/>
        <v>1</v>
      </c>
      <c r="C2582" s="5">
        <f t="shared" si="628"/>
        <v>2024</v>
      </c>
      <c r="D2582" s="5" t="s">
        <v>2299</v>
      </c>
      <c r="E2582" s="5" t="str">
        <f>VLOOKUP(F2582,'Set up'!$A$2:$C$70,2,FALSE)</f>
        <v>C00000042</v>
      </c>
      <c r="F2582" s="1" t="s">
        <v>2012</v>
      </c>
      <c r="G2582" s="103" t="s">
        <v>1733</v>
      </c>
      <c r="H2582" s="5">
        <v>3</v>
      </c>
      <c r="I2582" s="5" t="str">
        <f>VLOOKUP(F2582,'Set up'!$A$2:$C$70,3,FALSE)</f>
        <v>Cash</v>
      </c>
      <c r="J2582" s="5">
        <f>VLOOKUP(F2582,'Set up'!$A$2:$D$70,4,FALSE)</f>
        <v>0</v>
      </c>
      <c r="K2582" s="4">
        <f t="shared" si="629"/>
        <v>45320</v>
      </c>
      <c r="L2582" s="5">
        <f t="shared" si="630"/>
        <v>1</v>
      </c>
      <c r="M2582" s="5">
        <f t="shared" si="631"/>
        <v>2024</v>
      </c>
      <c r="N2582" s="6">
        <v>4818</v>
      </c>
      <c r="O2582" s="6">
        <f>-1267-3551</f>
        <v>-4818</v>
      </c>
      <c r="P2582" s="6">
        <f t="shared" si="635"/>
        <v>0</v>
      </c>
      <c r="Q2582" s="7">
        <f t="shared" si="632"/>
        <v>4172573.350000001</v>
      </c>
      <c r="R2582" s="44" t="str">
        <f>VLOOKUP(F2582,'Set up'!$A$2:$E$70,5,FALSE)</f>
        <v>Trsf</v>
      </c>
      <c r="S2582" s="1" t="s">
        <v>2896</v>
      </c>
    </row>
    <row r="2583" spans="1:19" ht="15" customHeight="1" x14ac:dyDescent="0.3">
      <c r="A2583" s="4">
        <v>45320</v>
      </c>
      <c r="B2583" s="5">
        <f t="shared" si="627"/>
        <v>1</v>
      </c>
      <c r="C2583" s="5">
        <f t="shared" si="628"/>
        <v>2024</v>
      </c>
      <c r="D2583" s="5" t="s">
        <v>2299</v>
      </c>
      <c r="E2583" s="5" t="str">
        <f>VLOOKUP(F2583,'Set up'!$A$2:$C$70,2,FALSE)</f>
        <v>C00000042</v>
      </c>
      <c r="F2583" s="1" t="s">
        <v>2012</v>
      </c>
      <c r="G2583" s="90" t="s">
        <v>1796</v>
      </c>
      <c r="H2583" s="5">
        <v>6</v>
      </c>
      <c r="I2583" s="5" t="str">
        <f>VLOOKUP(F2583,'Set up'!$A$2:$C$70,3,FALSE)</f>
        <v>Cash</v>
      </c>
      <c r="J2583" s="5">
        <f>VLOOKUP(F2583,'Set up'!$A$2:$D$70,4,FALSE)</f>
        <v>0</v>
      </c>
      <c r="K2583" s="4">
        <f t="shared" si="629"/>
        <v>45320</v>
      </c>
      <c r="L2583" s="5">
        <f t="shared" si="630"/>
        <v>1</v>
      </c>
      <c r="M2583" s="5">
        <f t="shared" si="631"/>
        <v>2024</v>
      </c>
      <c r="N2583" s="6">
        <v>1044</v>
      </c>
      <c r="O2583" s="6">
        <f t="shared" ref="O2583:O2591" si="636">-N2583</f>
        <v>-1044</v>
      </c>
      <c r="P2583" s="6">
        <f t="shared" si="635"/>
        <v>0</v>
      </c>
      <c r="Q2583" s="7">
        <f t="shared" si="632"/>
        <v>4173617.350000001</v>
      </c>
      <c r="R2583" s="44" t="str">
        <f>VLOOKUP(F2583,'Set up'!$A$2:$E$70,5,FALSE)</f>
        <v>Trsf</v>
      </c>
      <c r="S2583" s="1" t="s">
        <v>2897</v>
      </c>
    </row>
    <row r="2584" spans="1:19" ht="15" customHeight="1" x14ac:dyDescent="0.3">
      <c r="A2584" s="4">
        <v>45320</v>
      </c>
      <c r="B2584" s="5">
        <f t="shared" si="627"/>
        <v>1</v>
      </c>
      <c r="C2584" s="5">
        <f t="shared" si="628"/>
        <v>2024</v>
      </c>
      <c r="D2584" s="5" t="s">
        <v>2299</v>
      </c>
      <c r="E2584" s="5" t="str">
        <f>VLOOKUP(F2584,'Set up'!$A$2:$C$70,2,FALSE)</f>
        <v>C00000042</v>
      </c>
      <c r="F2584" s="1" t="s">
        <v>2012</v>
      </c>
      <c r="G2584" s="90" t="s">
        <v>1922</v>
      </c>
      <c r="H2584" s="5">
        <v>3</v>
      </c>
      <c r="I2584" s="5" t="str">
        <f>VLOOKUP(F2584,'Set up'!$A$2:$C$70,3,FALSE)</f>
        <v>Cash</v>
      </c>
      <c r="J2584" s="5">
        <f>VLOOKUP(F2584,'Set up'!$A$2:$D$70,4,FALSE)</f>
        <v>0</v>
      </c>
      <c r="K2584" s="4">
        <f t="shared" si="629"/>
        <v>45320</v>
      </c>
      <c r="L2584" s="5">
        <f t="shared" si="630"/>
        <v>1</v>
      </c>
      <c r="M2584" s="5">
        <f t="shared" si="631"/>
        <v>2024</v>
      </c>
      <c r="N2584" s="6">
        <v>702</v>
      </c>
      <c r="O2584" s="6">
        <f t="shared" si="636"/>
        <v>-702</v>
      </c>
      <c r="P2584" s="6">
        <f t="shared" si="635"/>
        <v>0</v>
      </c>
      <c r="Q2584" s="7">
        <f t="shared" si="632"/>
        <v>4174319.350000001</v>
      </c>
      <c r="R2584" s="44" t="str">
        <f>VLOOKUP(F2584,'Set up'!$A$2:$E$70,5,FALSE)</f>
        <v>Trsf</v>
      </c>
      <c r="S2584" s="1" t="s">
        <v>2898</v>
      </c>
    </row>
    <row r="2585" spans="1:19" ht="15" customHeight="1" x14ac:dyDescent="0.3">
      <c r="A2585" s="4">
        <v>45322</v>
      </c>
      <c r="B2585" s="5">
        <f t="shared" si="627"/>
        <v>1</v>
      </c>
      <c r="C2585" s="5">
        <f t="shared" si="628"/>
        <v>2024</v>
      </c>
      <c r="D2585" s="5" t="s">
        <v>2300</v>
      </c>
      <c r="E2585" s="5" t="str">
        <f>VLOOKUP(F2585,'Set up'!$A$2:$C$70,2,FALSE)</f>
        <v>C00000042</v>
      </c>
      <c r="F2585" s="1" t="s">
        <v>2012</v>
      </c>
      <c r="G2585" s="103" t="s">
        <v>2130</v>
      </c>
      <c r="H2585" s="5">
        <v>6</v>
      </c>
      <c r="I2585" s="5" t="str">
        <f>VLOOKUP(F2585,'Set up'!$A$2:$C$70,3,FALSE)</f>
        <v>Cash</v>
      </c>
      <c r="J2585" s="5">
        <f>VLOOKUP(F2585,'Set up'!$A$2:$D$70,4,FALSE)</f>
        <v>0</v>
      </c>
      <c r="K2585" s="4">
        <f t="shared" si="629"/>
        <v>45322</v>
      </c>
      <c r="L2585" s="5">
        <f t="shared" si="630"/>
        <v>1</v>
      </c>
      <c r="M2585" s="5">
        <f t="shared" si="631"/>
        <v>2024</v>
      </c>
      <c r="N2585" s="6">
        <v>375</v>
      </c>
      <c r="O2585" s="6">
        <f t="shared" si="636"/>
        <v>-375</v>
      </c>
      <c r="P2585" s="6">
        <f t="shared" si="635"/>
        <v>0</v>
      </c>
      <c r="Q2585" s="7">
        <f t="shared" si="632"/>
        <v>4174694.350000001</v>
      </c>
      <c r="R2585" s="44" t="str">
        <f>VLOOKUP(F2585,'Set up'!$A$2:$E$70,5,FALSE)</f>
        <v>Trsf</v>
      </c>
      <c r="S2585" s="1" t="s">
        <v>2899</v>
      </c>
    </row>
    <row r="2586" spans="1:19" ht="15" customHeight="1" x14ac:dyDescent="0.3">
      <c r="A2586" s="4">
        <v>45322</v>
      </c>
      <c r="B2586" s="5">
        <f t="shared" si="627"/>
        <v>1</v>
      </c>
      <c r="C2586" s="5">
        <f t="shared" si="628"/>
        <v>2024</v>
      </c>
      <c r="D2586" s="5" t="s">
        <v>2301</v>
      </c>
      <c r="E2586" s="5" t="str">
        <f>VLOOKUP(F2586,'Set up'!$A$2:$C$70,2,FALSE)</f>
        <v>C00000042</v>
      </c>
      <c r="F2586" s="1" t="s">
        <v>2012</v>
      </c>
      <c r="G2586" s="103" t="s">
        <v>1733</v>
      </c>
      <c r="H2586" s="5">
        <v>6</v>
      </c>
      <c r="I2586" s="5" t="str">
        <f>VLOOKUP(F2586,'Set up'!$A$2:$C$70,3,FALSE)</f>
        <v>Cash</v>
      </c>
      <c r="J2586" s="5">
        <f>VLOOKUP(F2586,'Set up'!$A$2:$D$70,4,FALSE)</f>
        <v>0</v>
      </c>
      <c r="K2586" s="4">
        <f t="shared" si="629"/>
        <v>45322</v>
      </c>
      <c r="L2586" s="5">
        <f t="shared" si="630"/>
        <v>1</v>
      </c>
      <c r="M2586" s="5">
        <f t="shared" si="631"/>
        <v>2024</v>
      </c>
      <c r="N2586" s="6">
        <v>9636</v>
      </c>
      <c r="O2586" s="6">
        <f t="shared" si="636"/>
        <v>-9636</v>
      </c>
      <c r="P2586" s="6">
        <f t="shared" si="635"/>
        <v>0</v>
      </c>
      <c r="Q2586" s="7">
        <f t="shared" si="632"/>
        <v>4184330.350000001</v>
      </c>
      <c r="R2586" s="44" t="str">
        <f>VLOOKUP(F2586,'Set up'!$A$2:$E$70,5,FALSE)</f>
        <v>Trsf</v>
      </c>
      <c r="S2586" s="1" t="s">
        <v>2900</v>
      </c>
    </row>
    <row r="2587" spans="1:19" ht="15" customHeight="1" x14ac:dyDescent="0.3">
      <c r="A2587" s="4">
        <v>45322</v>
      </c>
      <c r="B2587" s="5">
        <f t="shared" si="627"/>
        <v>1</v>
      </c>
      <c r="C2587" s="5">
        <f t="shared" si="628"/>
        <v>2024</v>
      </c>
      <c r="D2587" s="5" t="s">
        <v>2301</v>
      </c>
      <c r="E2587" s="5" t="str">
        <f>VLOOKUP(F2587,'Set up'!$A$2:$C$70,2,FALSE)</f>
        <v>C00000042</v>
      </c>
      <c r="F2587" s="1" t="s">
        <v>2012</v>
      </c>
      <c r="G2587" s="90" t="s">
        <v>1796</v>
      </c>
      <c r="H2587" s="5">
        <v>10</v>
      </c>
      <c r="I2587" s="5" t="str">
        <f>VLOOKUP(F2587,'Set up'!$A$2:$C$70,3,FALSE)</f>
        <v>Cash</v>
      </c>
      <c r="J2587" s="5">
        <f>VLOOKUP(F2587,'Set up'!$A$2:$D$70,4,FALSE)</f>
        <v>0</v>
      </c>
      <c r="K2587" s="4">
        <f t="shared" si="629"/>
        <v>45322</v>
      </c>
      <c r="L2587" s="5">
        <f t="shared" si="630"/>
        <v>1</v>
      </c>
      <c r="M2587" s="5">
        <f t="shared" si="631"/>
        <v>2024</v>
      </c>
      <c r="N2587" s="6">
        <v>1740</v>
      </c>
      <c r="O2587" s="6">
        <f t="shared" si="636"/>
        <v>-1740</v>
      </c>
      <c r="P2587" s="6">
        <f t="shared" si="635"/>
        <v>0</v>
      </c>
      <c r="Q2587" s="7">
        <f t="shared" si="632"/>
        <v>4186070.350000001</v>
      </c>
      <c r="R2587" s="44" t="str">
        <f>VLOOKUP(F2587,'Set up'!$A$2:$E$70,5,FALSE)</f>
        <v>Trsf</v>
      </c>
      <c r="S2587" s="1" t="s">
        <v>2901</v>
      </c>
    </row>
    <row r="2588" spans="1:19" ht="15" customHeight="1" x14ac:dyDescent="0.3">
      <c r="A2588" s="4">
        <v>45322</v>
      </c>
      <c r="B2588" s="5">
        <f t="shared" si="627"/>
        <v>1</v>
      </c>
      <c r="C2588" s="5">
        <f t="shared" si="628"/>
        <v>2024</v>
      </c>
      <c r="D2588" s="5" t="s">
        <v>2301</v>
      </c>
      <c r="E2588" s="5" t="str">
        <f>VLOOKUP(F2588,'Set up'!$A$2:$C$70,2,FALSE)</f>
        <v>C00000042</v>
      </c>
      <c r="F2588" s="1" t="s">
        <v>2012</v>
      </c>
      <c r="G2588" s="90" t="s">
        <v>2279</v>
      </c>
      <c r="H2588" s="5">
        <v>8</v>
      </c>
      <c r="I2588" s="5" t="str">
        <f>VLOOKUP(F2588,'Set up'!$A$2:$C$70,3,FALSE)</f>
        <v>Cash</v>
      </c>
      <c r="J2588" s="5">
        <f>VLOOKUP(F2588,'Set up'!$A$2:$D$70,4,FALSE)</f>
        <v>0</v>
      </c>
      <c r="K2588" s="4">
        <f t="shared" si="629"/>
        <v>45322</v>
      </c>
      <c r="L2588" s="5">
        <f t="shared" si="630"/>
        <v>1</v>
      </c>
      <c r="M2588" s="5">
        <f t="shared" si="631"/>
        <v>2024</v>
      </c>
      <c r="N2588" s="6">
        <v>1716.8</v>
      </c>
      <c r="O2588" s="6">
        <f t="shared" si="636"/>
        <v>-1716.8</v>
      </c>
      <c r="P2588" s="6">
        <f t="shared" si="635"/>
        <v>0</v>
      </c>
      <c r="Q2588" s="7">
        <f t="shared" si="632"/>
        <v>4187787.1500000008</v>
      </c>
      <c r="R2588" s="44" t="str">
        <f>VLOOKUP(F2588,'Set up'!$A$2:$E$70,5,FALSE)</f>
        <v>Trsf</v>
      </c>
      <c r="S2588" s="1" t="s">
        <v>2902</v>
      </c>
    </row>
    <row r="2589" spans="1:19" ht="15" customHeight="1" x14ac:dyDescent="0.3">
      <c r="A2589" s="4">
        <v>45322</v>
      </c>
      <c r="B2589" s="5">
        <f t="shared" si="627"/>
        <v>1</v>
      </c>
      <c r="C2589" s="5">
        <f t="shared" si="628"/>
        <v>2024</v>
      </c>
      <c r="D2589" s="5" t="s">
        <v>2301</v>
      </c>
      <c r="E2589" s="5" t="str">
        <f>VLOOKUP(F2589,'Set up'!$A$2:$C$70,2,FALSE)</f>
        <v>C00000042</v>
      </c>
      <c r="F2589" s="1" t="s">
        <v>2012</v>
      </c>
      <c r="G2589" s="90" t="s">
        <v>1922</v>
      </c>
      <c r="H2589" s="5">
        <v>7</v>
      </c>
      <c r="I2589" s="5" t="str">
        <f>VLOOKUP(F2589,'Set up'!$A$2:$C$70,3,FALSE)</f>
        <v>Cash</v>
      </c>
      <c r="J2589" s="5">
        <f>VLOOKUP(F2589,'Set up'!$A$2:$D$70,4,FALSE)</f>
        <v>0</v>
      </c>
      <c r="K2589" s="4">
        <f t="shared" si="629"/>
        <v>45322</v>
      </c>
      <c r="L2589" s="5">
        <f t="shared" si="630"/>
        <v>1</v>
      </c>
      <c r="M2589" s="5">
        <f t="shared" si="631"/>
        <v>2024</v>
      </c>
      <c r="N2589" s="6">
        <v>1638</v>
      </c>
      <c r="O2589" s="6">
        <f t="shared" si="636"/>
        <v>-1638</v>
      </c>
      <c r="P2589" s="6">
        <f t="shared" si="635"/>
        <v>0</v>
      </c>
      <c r="Q2589" s="7">
        <f t="shared" si="632"/>
        <v>4189425.1500000008</v>
      </c>
      <c r="R2589" s="44" t="str">
        <f>VLOOKUP(F2589,'Set up'!$A$2:$E$70,5,FALSE)</f>
        <v>Trsf</v>
      </c>
      <c r="S2589" s="1" t="s">
        <v>2903</v>
      </c>
    </row>
    <row r="2590" spans="1:19" ht="15" customHeight="1" x14ac:dyDescent="0.3">
      <c r="A2590" s="4">
        <v>45322</v>
      </c>
      <c r="B2590" s="5">
        <f t="shared" si="627"/>
        <v>1</v>
      </c>
      <c r="C2590" s="5">
        <f t="shared" si="628"/>
        <v>2024</v>
      </c>
      <c r="D2590" s="5" t="s">
        <v>2301</v>
      </c>
      <c r="E2590" s="5" t="str">
        <f>VLOOKUP(F2590,'Set up'!$A$2:$C$70,2,FALSE)</f>
        <v>C00000042</v>
      </c>
      <c r="F2590" s="1" t="s">
        <v>2012</v>
      </c>
      <c r="G2590" s="90" t="s">
        <v>2029</v>
      </c>
      <c r="H2590" s="5">
        <v>2</v>
      </c>
      <c r="I2590" s="5" t="str">
        <f>VLOOKUP(F2590,'Set up'!$A$2:$C$70,3,FALSE)</f>
        <v>Cash</v>
      </c>
      <c r="J2590" s="5">
        <f>VLOOKUP(F2590,'Set up'!$A$2:$D$70,4,FALSE)</f>
        <v>0</v>
      </c>
      <c r="K2590" s="4">
        <f t="shared" si="629"/>
        <v>45322</v>
      </c>
      <c r="L2590" s="5">
        <f t="shared" si="630"/>
        <v>1</v>
      </c>
      <c r="M2590" s="5">
        <f t="shared" si="631"/>
        <v>2024</v>
      </c>
      <c r="N2590" s="6">
        <v>416</v>
      </c>
      <c r="O2590" s="6">
        <f t="shared" si="636"/>
        <v>-416</v>
      </c>
      <c r="P2590" s="6">
        <f t="shared" si="635"/>
        <v>0</v>
      </c>
      <c r="Q2590" s="7">
        <f t="shared" si="632"/>
        <v>4189841.1500000008</v>
      </c>
      <c r="R2590" s="44" t="str">
        <f>VLOOKUP(F2590,'Set up'!$A$2:$E$70,5,FALSE)</f>
        <v>Trsf</v>
      </c>
      <c r="S2590" s="1" t="s">
        <v>2904</v>
      </c>
    </row>
    <row r="2591" spans="1:19" ht="15" customHeight="1" x14ac:dyDescent="0.3">
      <c r="A2591" s="4">
        <v>45322</v>
      </c>
      <c r="B2591" s="5">
        <f t="shared" si="627"/>
        <v>1</v>
      </c>
      <c r="C2591" s="5">
        <f t="shared" si="628"/>
        <v>2024</v>
      </c>
      <c r="D2591" s="5" t="s">
        <v>2301</v>
      </c>
      <c r="E2591" s="5" t="str">
        <f>VLOOKUP(F2591,'Set up'!$A$2:$C$70,2,FALSE)</f>
        <v>C00000042</v>
      </c>
      <c r="F2591" s="1" t="s">
        <v>2012</v>
      </c>
      <c r="G2591" s="99" t="s">
        <v>1073</v>
      </c>
      <c r="H2591" s="5">
        <v>1</v>
      </c>
      <c r="I2591" s="5" t="str">
        <f>VLOOKUP(F2591,'Set up'!$A$2:$C$70,3,FALSE)</f>
        <v>Cash</v>
      </c>
      <c r="J2591" s="5">
        <f>VLOOKUP(F2591,'Set up'!$A$2:$D$70,4,FALSE)</f>
        <v>0</v>
      </c>
      <c r="K2591" s="4">
        <f t="shared" si="629"/>
        <v>45322</v>
      </c>
      <c r="L2591" s="5">
        <f t="shared" si="630"/>
        <v>1</v>
      </c>
      <c r="M2591" s="5">
        <f t="shared" si="631"/>
        <v>2024</v>
      </c>
      <c r="N2591" s="6">
        <v>1000</v>
      </c>
      <c r="O2591" s="6">
        <f t="shared" si="636"/>
        <v>-1000</v>
      </c>
      <c r="P2591" s="6">
        <f t="shared" si="635"/>
        <v>0</v>
      </c>
      <c r="Q2591" s="7">
        <f t="shared" si="632"/>
        <v>4190841.1500000008</v>
      </c>
      <c r="R2591" s="44" t="str">
        <f>VLOOKUP(F2591,'Set up'!$A$2:$E$70,5,FALSE)</f>
        <v>Trsf</v>
      </c>
      <c r="S2591" s="1" t="s">
        <v>2905</v>
      </c>
    </row>
    <row r="2592" spans="1:19" ht="15" customHeight="1" x14ac:dyDescent="0.3">
      <c r="A2592" s="4">
        <v>45323</v>
      </c>
      <c r="B2592" s="5">
        <f t="shared" si="627"/>
        <v>2</v>
      </c>
      <c r="C2592" s="5">
        <f t="shared" si="628"/>
        <v>2024</v>
      </c>
      <c r="D2592" s="5" t="s">
        <v>2342</v>
      </c>
      <c r="E2592" s="5" t="str">
        <f>VLOOKUP(F2592,'Set up'!$A$2:$C$70,2,FALSE)</f>
        <v>C00000019</v>
      </c>
      <c r="F2592" s="1" t="s">
        <v>400</v>
      </c>
      <c r="G2592" s="99" t="s">
        <v>95</v>
      </c>
      <c r="H2592" s="5">
        <v>1</v>
      </c>
      <c r="I2592" s="5" t="str">
        <f>VLOOKUP(F2592,'Set up'!$A$2:$C$70,3,FALSE)</f>
        <v>Cash</v>
      </c>
      <c r="J2592" s="5">
        <f>VLOOKUP(F2592,'Set up'!$A$2:$D$70,4,FALSE)</f>
        <v>0</v>
      </c>
      <c r="K2592" s="4">
        <f t="shared" si="629"/>
        <v>45323</v>
      </c>
      <c r="L2592" s="5">
        <f t="shared" si="630"/>
        <v>2</v>
      </c>
      <c r="M2592" s="5">
        <f t="shared" si="631"/>
        <v>2024</v>
      </c>
      <c r="N2592" s="6">
        <v>1738</v>
      </c>
      <c r="O2592" s="6">
        <f>-588-1000-150</f>
        <v>-1738</v>
      </c>
      <c r="P2592" s="6">
        <f t="shared" si="635"/>
        <v>0</v>
      </c>
      <c r="Q2592" s="7">
        <f t="shared" si="632"/>
        <v>4192579.1500000008</v>
      </c>
      <c r="R2592" s="44" t="str">
        <f>VLOOKUP(F2592,'Set up'!$A$2:$E$70,5,FALSE)</f>
        <v>Trsf</v>
      </c>
      <c r="S2592" s="1" t="s">
        <v>3587</v>
      </c>
    </row>
    <row r="2593" spans="1:19" ht="15" customHeight="1" x14ac:dyDescent="0.3">
      <c r="A2593" s="4">
        <v>45323</v>
      </c>
      <c r="B2593" s="5">
        <f t="shared" si="627"/>
        <v>2</v>
      </c>
      <c r="C2593" s="5">
        <f t="shared" si="628"/>
        <v>2024</v>
      </c>
      <c r="D2593" s="5" t="s">
        <v>2342</v>
      </c>
      <c r="E2593" s="5" t="str">
        <f>VLOOKUP(F2593,'Set up'!$A$2:$C$70,2,FALSE)</f>
        <v>C00000019</v>
      </c>
      <c r="F2593" s="1" t="s">
        <v>400</v>
      </c>
      <c r="G2593" s="99" t="s">
        <v>2141</v>
      </c>
      <c r="H2593" s="5">
        <v>1</v>
      </c>
      <c r="I2593" s="5" t="str">
        <f>VLOOKUP(F2593,'Set up'!$A$2:$C$70,3,FALSE)</f>
        <v>Cash</v>
      </c>
      <c r="J2593" s="5">
        <f>VLOOKUP(F2593,'Set up'!$A$2:$D$70,4,FALSE)</f>
        <v>0</v>
      </c>
      <c r="K2593" s="4">
        <f t="shared" si="629"/>
        <v>45323</v>
      </c>
      <c r="L2593" s="5">
        <f t="shared" si="630"/>
        <v>2</v>
      </c>
      <c r="M2593" s="5">
        <f t="shared" si="631"/>
        <v>2024</v>
      </c>
      <c r="N2593" s="6">
        <v>405</v>
      </c>
      <c r="O2593" s="6">
        <f t="shared" ref="O2593:O2594" si="637">-N2593</f>
        <v>-405</v>
      </c>
      <c r="P2593" s="6">
        <f t="shared" si="635"/>
        <v>0</v>
      </c>
      <c r="Q2593" s="7">
        <f t="shared" si="632"/>
        <v>4192984.1500000008</v>
      </c>
      <c r="R2593" s="44" t="str">
        <f>VLOOKUP(F2593,'Set up'!$A$2:$E$70,5,FALSE)</f>
        <v>Trsf</v>
      </c>
      <c r="S2593" s="1" t="s">
        <v>3588</v>
      </c>
    </row>
    <row r="2594" spans="1:19" ht="15" customHeight="1" x14ac:dyDescent="0.3">
      <c r="A2594" s="4">
        <v>45323</v>
      </c>
      <c r="B2594" s="5">
        <f t="shared" si="627"/>
        <v>2</v>
      </c>
      <c r="C2594" s="5">
        <f t="shared" si="628"/>
        <v>2024</v>
      </c>
      <c r="D2594" s="5" t="s">
        <v>2342</v>
      </c>
      <c r="E2594" s="5" t="str">
        <f>VLOOKUP(F2594,'Set up'!$A$2:$C$70,2,FALSE)</f>
        <v>C00000019</v>
      </c>
      <c r="F2594" s="1" t="s">
        <v>400</v>
      </c>
      <c r="G2594" s="99" t="s">
        <v>46</v>
      </c>
      <c r="H2594" s="5">
        <v>1</v>
      </c>
      <c r="I2594" s="5" t="str">
        <f>VLOOKUP(F2594,'Set up'!$A$2:$C$70,3,FALSE)</f>
        <v>Cash</v>
      </c>
      <c r="J2594" s="5">
        <f>VLOOKUP(F2594,'Set up'!$A$2:$D$70,4,FALSE)</f>
        <v>0</v>
      </c>
      <c r="K2594" s="4">
        <f t="shared" si="629"/>
        <v>45323</v>
      </c>
      <c r="L2594" s="5">
        <f t="shared" si="630"/>
        <v>2</v>
      </c>
      <c r="M2594" s="5">
        <f t="shared" si="631"/>
        <v>2024</v>
      </c>
      <c r="N2594" s="6">
        <v>110</v>
      </c>
      <c r="O2594" s="6">
        <f t="shared" si="637"/>
        <v>-110</v>
      </c>
      <c r="P2594" s="6">
        <f t="shared" si="635"/>
        <v>0</v>
      </c>
      <c r="Q2594" s="7">
        <f t="shared" si="632"/>
        <v>4193094.1500000008</v>
      </c>
      <c r="R2594" s="44" t="str">
        <f>VLOOKUP(F2594,'Set up'!$A$2:$E$70,5,FALSE)</f>
        <v>Trsf</v>
      </c>
      <c r="S2594" s="1" t="s">
        <v>3589</v>
      </c>
    </row>
    <row r="2595" spans="1:19" ht="15" customHeight="1" x14ac:dyDescent="0.3">
      <c r="A2595" s="4">
        <v>45323</v>
      </c>
      <c r="B2595" s="5">
        <f t="shared" si="627"/>
        <v>2</v>
      </c>
      <c r="C2595" s="5">
        <f t="shared" si="628"/>
        <v>2024</v>
      </c>
      <c r="D2595" s="5" t="s">
        <v>2342</v>
      </c>
      <c r="E2595" s="5" t="str">
        <f>VLOOKUP(F2595,'Set up'!$A$2:$C$70,2,FALSE)</f>
        <v>C00000019</v>
      </c>
      <c r="F2595" s="1" t="s">
        <v>400</v>
      </c>
      <c r="G2595" s="99" t="s">
        <v>1469</v>
      </c>
      <c r="H2595" s="5">
        <v>1</v>
      </c>
      <c r="I2595" s="5" t="str">
        <f>VLOOKUP(F2595,'Set up'!$A$2:$C$70,3,FALSE)</f>
        <v>Cash</v>
      </c>
      <c r="J2595" s="5">
        <f>VLOOKUP(F2595,'Set up'!$A$2:$D$70,4,FALSE)</f>
        <v>0</v>
      </c>
      <c r="K2595" s="4">
        <f t="shared" si="629"/>
        <v>45323</v>
      </c>
      <c r="L2595" s="5">
        <f t="shared" si="630"/>
        <v>2</v>
      </c>
      <c r="M2595" s="5">
        <f t="shared" si="631"/>
        <v>2024</v>
      </c>
      <c r="N2595" s="6">
        <v>390</v>
      </c>
      <c r="O2595" s="6">
        <f>-335-55</f>
        <v>-390</v>
      </c>
      <c r="P2595" s="6">
        <f t="shared" si="635"/>
        <v>0</v>
      </c>
      <c r="Q2595" s="7">
        <f t="shared" si="632"/>
        <v>4193484.1500000008</v>
      </c>
      <c r="R2595" s="44" t="str">
        <f>VLOOKUP(F2595,'Set up'!$A$2:$E$70,5,FALSE)</f>
        <v>Trsf</v>
      </c>
      <c r="S2595" s="1" t="s">
        <v>3590</v>
      </c>
    </row>
    <row r="2596" spans="1:19" ht="15" customHeight="1" x14ac:dyDescent="0.3">
      <c r="A2596" s="4">
        <v>45324</v>
      </c>
      <c r="B2596" s="5">
        <f t="shared" si="627"/>
        <v>2</v>
      </c>
      <c r="C2596" s="5">
        <f t="shared" si="628"/>
        <v>2024</v>
      </c>
      <c r="D2596" s="5" t="s">
        <v>2343</v>
      </c>
      <c r="E2596" s="5" t="str">
        <f>VLOOKUP(F2596,'Set up'!$A$2:$C$70,2,FALSE)</f>
        <v>C00000037</v>
      </c>
      <c r="F2596" s="1" t="s">
        <v>1309</v>
      </c>
      <c r="G2596" s="99" t="s">
        <v>1894</v>
      </c>
      <c r="H2596" s="5">
        <v>3</v>
      </c>
      <c r="I2596" s="5">
        <f>VLOOKUP(F2596,'Set up'!$A$2:$C$70,3,FALSE)</f>
        <v>30</v>
      </c>
      <c r="J2596" s="5">
        <f>VLOOKUP(F2596,'Set up'!$A$2:$D$70,4,FALSE)</f>
        <v>30</v>
      </c>
      <c r="K2596" s="4">
        <f t="shared" si="629"/>
        <v>45354</v>
      </c>
      <c r="L2596" s="5">
        <f t="shared" si="630"/>
        <v>3</v>
      </c>
      <c r="M2596" s="5">
        <f t="shared" si="631"/>
        <v>2024</v>
      </c>
      <c r="N2596" s="6">
        <v>5214</v>
      </c>
      <c r="O2596" s="6">
        <f t="shared" ref="O2596:O2600" si="638">-N2596</f>
        <v>-5214</v>
      </c>
      <c r="P2596" s="6">
        <f t="shared" si="635"/>
        <v>0</v>
      </c>
      <c r="Q2596" s="7">
        <f t="shared" si="632"/>
        <v>4198698.1500000004</v>
      </c>
      <c r="R2596" s="44" t="str">
        <f>VLOOKUP(F2596,'Set up'!$A$2:$E$70,5,FALSE)</f>
        <v>Chq</v>
      </c>
      <c r="S2596" s="1" t="s">
        <v>2501</v>
      </c>
    </row>
    <row r="2597" spans="1:19" ht="15" customHeight="1" x14ac:dyDescent="0.3">
      <c r="A2597" s="4">
        <v>45324</v>
      </c>
      <c r="B2597" s="5">
        <f t="shared" si="627"/>
        <v>2</v>
      </c>
      <c r="C2597" s="5">
        <f t="shared" si="628"/>
        <v>2024</v>
      </c>
      <c r="D2597" s="5" t="s">
        <v>2343</v>
      </c>
      <c r="E2597" s="5" t="str">
        <f>VLOOKUP(F2597,'Set up'!$A$2:$C$70,2,FALSE)</f>
        <v>C00000037</v>
      </c>
      <c r="F2597" s="1" t="s">
        <v>1309</v>
      </c>
      <c r="G2597" s="99" t="s">
        <v>2143</v>
      </c>
      <c r="H2597" s="5">
        <v>5</v>
      </c>
      <c r="I2597" s="5">
        <f>VLOOKUP(F2597,'Set up'!$A$2:$C$70,3,FALSE)</f>
        <v>30</v>
      </c>
      <c r="J2597" s="5">
        <f>VLOOKUP(F2597,'Set up'!$A$2:$D$70,4,FALSE)</f>
        <v>30</v>
      </c>
      <c r="K2597" s="4">
        <f t="shared" si="629"/>
        <v>45354</v>
      </c>
      <c r="L2597" s="5">
        <f t="shared" si="630"/>
        <v>3</v>
      </c>
      <c r="M2597" s="5">
        <f t="shared" si="631"/>
        <v>2024</v>
      </c>
      <c r="N2597" s="6">
        <v>2613</v>
      </c>
      <c r="O2597" s="6">
        <f t="shared" si="638"/>
        <v>-2613</v>
      </c>
      <c r="P2597" s="6">
        <f t="shared" si="635"/>
        <v>0</v>
      </c>
      <c r="Q2597" s="7">
        <f t="shared" si="632"/>
        <v>4201311.1500000004</v>
      </c>
      <c r="R2597" s="44" t="str">
        <f>VLOOKUP(F2597,'Set up'!$A$2:$E$70,5,FALSE)</f>
        <v>Chq</v>
      </c>
      <c r="S2597" s="1" t="s">
        <v>2501</v>
      </c>
    </row>
    <row r="2598" spans="1:19" ht="15" customHeight="1" x14ac:dyDescent="0.3">
      <c r="A2598" s="4">
        <v>45324</v>
      </c>
      <c r="B2598" s="5">
        <f t="shared" si="627"/>
        <v>2</v>
      </c>
      <c r="C2598" s="5">
        <f t="shared" si="628"/>
        <v>2024</v>
      </c>
      <c r="D2598" s="5" t="s">
        <v>2343</v>
      </c>
      <c r="E2598" s="5" t="str">
        <f>VLOOKUP(F2598,'Set up'!$A$2:$C$70,2,FALSE)</f>
        <v>C00000037</v>
      </c>
      <c r="F2598" s="1" t="s">
        <v>1309</v>
      </c>
      <c r="G2598" s="99" t="s">
        <v>1405</v>
      </c>
      <c r="H2598" s="5">
        <v>3</v>
      </c>
      <c r="I2598" s="5">
        <f>VLOOKUP(F2598,'Set up'!$A$2:$C$70,3,FALSE)</f>
        <v>30</v>
      </c>
      <c r="J2598" s="5">
        <f>VLOOKUP(F2598,'Set up'!$A$2:$D$70,4,FALSE)</f>
        <v>30</v>
      </c>
      <c r="K2598" s="4">
        <f t="shared" si="629"/>
        <v>45354</v>
      </c>
      <c r="L2598" s="5">
        <f t="shared" si="630"/>
        <v>3</v>
      </c>
      <c r="M2598" s="5">
        <f t="shared" si="631"/>
        <v>2024</v>
      </c>
      <c r="N2598" s="6">
        <v>144</v>
      </c>
      <c r="O2598" s="6">
        <f t="shared" si="638"/>
        <v>-144</v>
      </c>
      <c r="P2598" s="6">
        <f t="shared" si="635"/>
        <v>0</v>
      </c>
      <c r="Q2598" s="7">
        <f t="shared" si="632"/>
        <v>4201455.1500000004</v>
      </c>
      <c r="R2598" s="44" t="str">
        <f>VLOOKUP(F2598,'Set up'!$A$2:$E$70,5,FALSE)</f>
        <v>Chq</v>
      </c>
      <c r="S2598" s="1" t="s">
        <v>2501</v>
      </c>
    </row>
    <row r="2599" spans="1:19" ht="15" customHeight="1" x14ac:dyDescent="0.3">
      <c r="A2599" s="4">
        <v>45324</v>
      </c>
      <c r="B2599" s="5">
        <f t="shared" si="627"/>
        <v>2</v>
      </c>
      <c r="C2599" s="5">
        <f t="shared" si="628"/>
        <v>2024</v>
      </c>
      <c r="D2599" s="5" t="s">
        <v>2343</v>
      </c>
      <c r="E2599" s="5" t="str">
        <f>VLOOKUP(F2599,'Set up'!$A$2:$C$70,2,FALSE)</f>
        <v>C00000037</v>
      </c>
      <c r="F2599" s="1" t="s">
        <v>1309</v>
      </c>
      <c r="G2599" s="99" t="s">
        <v>2130</v>
      </c>
      <c r="H2599" s="5">
        <v>3</v>
      </c>
      <c r="I2599" s="5">
        <f>VLOOKUP(F2599,'Set up'!$A$2:$C$70,3,FALSE)</f>
        <v>30</v>
      </c>
      <c r="J2599" s="5">
        <f>VLOOKUP(F2599,'Set up'!$A$2:$D$70,4,FALSE)</f>
        <v>30</v>
      </c>
      <c r="K2599" s="4">
        <f t="shared" si="629"/>
        <v>45354</v>
      </c>
      <c r="L2599" s="5">
        <f t="shared" si="630"/>
        <v>3</v>
      </c>
      <c r="M2599" s="5">
        <f t="shared" si="631"/>
        <v>2024</v>
      </c>
      <c r="N2599" s="6">
        <v>187.5</v>
      </c>
      <c r="O2599" s="6">
        <f t="shared" si="638"/>
        <v>-187.5</v>
      </c>
      <c r="P2599" s="6">
        <f t="shared" si="635"/>
        <v>0</v>
      </c>
      <c r="Q2599" s="7">
        <f t="shared" si="632"/>
        <v>4201642.6500000004</v>
      </c>
      <c r="R2599" s="44" t="str">
        <f>VLOOKUP(F2599,'Set up'!$A$2:$E$70,5,FALSE)</f>
        <v>Chq</v>
      </c>
      <c r="S2599" s="1" t="s">
        <v>2501</v>
      </c>
    </row>
    <row r="2600" spans="1:19" ht="15" customHeight="1" x14ac:dyDescent="0.3">
      <c r="A2600" s="4">
        <v>45324</v>
      </c>
      <c r="B2600" s="5">
        <f t="shared" si="627"/>
        <v>2</v>
      </c>
      <c r="C2600" s="5">
        <f t="shared" si="628"/>
        <v>2024</v>
      </c>
      <c r="D2600" s="5" t="s">
        <v>2343</v>
      </c>
      <c r="E2600" s="5" t="str">
        <f>VLOOKUP(F2600,'Set up'!$A$2:$C$70,2,FALSE)</f>
        <v>C00000037</v>
      </c>
      <c r="F2600" s="1" t="s">
        <v>1309</v>
      </c>
      <c r="G2600" s="99" t="s">
        <v>1061</v>
      </c>
      <c r="H2600" s="5">
        <v>2</v>
      </c>
      <c r="I2600" s="5">
        <f>VLOOKUP(F2600,'Set up'!$A$2:$C$70,3,FALSE)</f>
        <v>30</v>
      </c>
      <c r="J2600" s="5">
        <f>VLOOKUP(F2600,'Set up'!$A$2:$D$70,4,FALSE)</f>
        <v>30</v>
      </c>
      <c r="K2600" s="4">
        <f t="shared" si="629"/>
        <v>45354</v>
      </c>
      <c r="L2600" s="5">
        <f t="shared" si="630"/>
        <v>3</v>
      </c>
      <c r="M2600" s="5">
        <f t="shared" si="631"/>
        <v>2024</v>
      </c>
      <c r="N2600" s="6">
        <v>190</v>
      </c>
      <c r="O2600" s="6">
        <f t="shared" si="638"/>
        <v>-190</v>
      </c>
      <c r="P2600" s="6">
        <f t="shared" si="635"/>
        <v>0</v>
      </c>
      <c r="Q2600" s="7">
        <f t="shared" si="632"/>
        <v>4201832.6500000004</v>
      </c>
      <c r="R2600" s="44" t="str">
        <f>VLOOKUP(F2600,'Set up'!$A$2:$E$70,5,FALSE)</f>
        <v>Chq</v>
      </c>
      <c r="S2600" s="1" t="s">
        <v>2501</v>
      </c>
    </row>
    <row r="2601" spans="1:19" ht="15" customHeight="1" x14ac:dyDescent="0.3">
      <c r="A2601" s="4">
        <v>45324</v>
      </c>
      <c r="B2601" s="5">
        <f t="shared" si="627"/>
        <v>2</v>
      </c>
      <c r="C2601" s="5">
        <f t="shared" si="628"/>
        <v>2024</v>
      </c>
      <c r="D2601" s="5" t="s">
        <v>2344</v>
      </c>
      <c r="E2601" s="5" t="str">
        <f>VLOOKUP(F2601,'Set up'!$A$2:$C$70,2,FALSE)</f>
        <v>C00000046</v>
      </c>
      <c r="F2601" s="1" t="s">
        <v>2284</v>
      </c>
      <c r="G2601" s="99" t="s">
        <v>2279</v>
      </c>
      <c r="H2601" s="5">
        <v>2</v>
      </c>
      <c r="I2601" s="5" t="str">
        <f>VLOOKUP(F2601,'Set up'!$A$2:$C$70,3,FALSE)</f>
        <v>Cash</v>
      </c>
      <c r="J2601" s="5">
        <f>VLOOKUP(F2601,'Set up'!$A$2:$D$70,4,FALSE)</f>
        <v>0</v>
      </c>
      <c r="K2601" s="4">
        <f t="shared" si="629"/>
        <v>45324</v>
      </c>
      <c r="L2601" s="5">
        <f t="shared" si="630"/>
        <v>2</v>
      </c>
      <c r="M2601" s="5">
        <f t="shared" si="631"/>
        <v>2024</v>
      </c>
      <c r="N2601" s="6">
        <v>555</v>
      </c>
      <c r="O2601" s="6">
        <f t="shared" ref="O2601" si="639">-N2601</f>
        <v>-555</v>
      </c>
      <c r="P2601" s="6">
        <f t="shared" si="635"/>
        <v>0</v>
      </c>
      <c r="Q2601" s="7">
        <f t="shared" si="632"/>
        <v>4202387.6500000004</v>
      </c>
      <c r="R2601" s="44" t="str">
        <f>VLOOKUP(F2601,'Set up'!$A$2:$E$70,5,FALSE)</f>
        <v>Cash</v>
      </c>
      <c r="S2601" s="1" t="s">
        <v>2420</v>
      </c>
    </row>
    <row r="2602" spans="1:19" ht="15" customHeight="1" x14ac:dyDescent="0.3">
      <c r="A2602" s="4">
        <v>45325</v>
      </c>
      <c r="B2602" s="5">
        <f t="shared" si="627"/>
        <v>2</v>
      </c>
      <c r="C2602" s="5">
        <f t="shared" si="628"/>
        <v>2024</v>
      </c>
      <c r="D2602" s="5" t="s">
        <v>2345</v>
      </c>
      <c r="E2602" s="5" t="str">
        <f>VLOOKUP(F2602,'Set up'!$A$2:$C$70,2,FALSE)</f>
        <v>C00000042</v>
      </c>
      <c r="F2602" s="1" t="s">
        <v>2012</v>
      </c>
      <c r="G2602" s="99" t="s">
        <v>2130</v>
      </c>
      <c r="H2602" s="5">
        <v>3</v>
      </c>
      <c r="I2602" s="5" t="str">
        <f>VLOOKUP(F2602,'Set up'!$A$2:$C$70,3,FALSE)</f>
        <v>Cash</v>
      </c>
      <c r="J2602" s="5">
        <f>VLOOKUP(F2602,'Set up'!$A$2:$D$70,4,FALSE)</f>
        <v>0</v>
      </c>
      <c r="K2602" s="4">
        <f t="shared" si="629"/>
        <v>45325</v>
      </c>
      <c r="L2602" s="5">
        <f t="shared" si="630"/>
        <v>2</v>
      </c>
      <c r="M2602" s="5">
        <f t="shared" si="631"/>
        <v>2024</v>
      </c>
      <c r="N2602" s="6">
        <v>187.5</v>
      </c>
      <c r="O2602" s="6">
        <f>-N2602</f>
        <v>-187.5</v>
      </c>
      <c r="P2602" s="6">
        <f t="shared" si="635"/>
        <v>0</v>
      </c>
      <c r="Q2602" s="7">
        <f t="shared" si="632"/>
        <v>4202575.1500000004</v>
      </c>
      <c r="R2602" s="44" t="str">
        <f>VLOOKUP(F2602,'Set up'!$A$2:$E$70,5,FALSE)</f>
        <v>Trsf</v>
      </c>
      <c r="S2602" s="1" t="s">
        <v>2906</v>
      </c>
    </row>
    <row r="2603" spans="1:19" ht="15" customHeight="1" x14ac:dyDescent="0.3">
      <c r="A2603" s="4">
        <v>45325</v>
      </c>
      <c r="B2603" s="5">
        <f t="shared" si="627"/>
        <v>2</v>
      </c>
      <c r="C2603" s="5">
        <f t="shared" si="628"/>
        <v>2024</v>
      </c>
      <c r="D2603" s="5" t="s">
        <v>2346</v>
      </c>
      <c r="E2603" s="5" t="str">
        <f>VLOOKUP(F2603,'Set up'!$A$2:$C$70,2,FALSE)</f>
        <v>C00000042</v>
      </c>
      <c r="F2603" s="1" t="s">
        <v>2012</v>
      </c>
      <c r="G2603" s="99" t="s">
        <v>1894</v>
      </c>
      <c r="H2603" s="5">
        <v>3</v>
      </c>
      <c r="I2603" s="5" t="str">
        <f>VLOOKUP(F2603,'Set up'!$A$2:$C$70,3,FALSE)</f>
        <v>Cash</v>
      </c>
      <c r="J2603" s="5">
        <f>VLOOKUP(F2603,'Set up'!$A$2:$D$70,4,FALSE)</f>
        <v>0</v>
      </c>
      <c r="K2603" s="4">
        <f t="shared" si="629"/>
        <v>45325</v>
      </c>
      <c r="L2603" s="5">
        <f t="shared" si="630"/>
        <v>2</v>
      </c>
      <c r="M2603" s="5">
        <f t="shared" si="631"/>
        <v>2024</v>
      </c>
      <c r="N2603" s="6">
        <v>4818</v>
      </c>
      <c r="O2603" s="6">
        <f>-2993.7-1824.3</f>
        <v>-4818</v>
      </c>
      <c r="P2603" s="6">
        <f t="shared" si="635"/>
        <v>0</v>
      </c>
      <c r="Q2603" s="7">
        <f t="shared" si="632"/>
        <v>4207393.1500000004</v>
      </c>
      <c r="R2603" s="44" t="str">
        <f>VLOOKUP(F2603,'Set up'!$A$2:$E$70,5,FALSE)</f>
        <v>Trsf</v>
      </c>
      <c r="S2603" s="1" t="s">
        <v>2907</v>
      </c>
    </row>
    <row r="2604" spans="1:19" ht="15" customHeight="1" x14ac:dyDescent="0.3">
      <c r="A2604" s="4">
        <v>45325</v>
      </c>
      <c r="B2604" s="5">
        <f t="shared" si="627"/>
        <v>2</v>
      </c>
      <c r="C2604" s="5">
        <f t="shared" si="628"/>
        <v>2024</v>
      </c>
      <c r="D2604" s="5" t="s">
        <v>2346</v>
      </c>
      <c r="E2604" s="5" t="str">
        <f>VLOOKUP(F2604,'Set up'!$A$2:$C$70,2,FALSE)</f>
        <v>C00000042</v>
      </c>
      <c r="F2604" s="1" t="s">
        <v>2012</v>
      </c>
      <c r="G2604" s="99" t="s">
        <v>1796</v>
      </c>
      <c r="H2604" s="5">
        <v>1</v>
      </c>
      <c r="I2604" s="5" t="str">
        <f>VLOOKUP(F2604,'Set up'!$A$2:$C$70,3,FALSE)</f>
        <v>Cash</v>
      </c>
      <c r="J2604" s="5">
        <f>VLOOKUP(F2604,'Set up'!$A$2:$D$70,4,FALSE)</f>
        <v>0</v>
      </c>
      <c r="K2604" s="4">
        <f t="shared" si="629"/>
        <v>45325</v>
      </c>
      <c r="L2604" s="5">
        <f t="shared" si="630"/>
        <v>2</v>
      </c>
      <c r="M2604" s="5">
        <f t="shared" si="631"/>
        <v>2024</v>
      </c>
      <c r="N2604" s="6">
        <v>174</v>
      </c>
      <c r="O2604" s="6">
        <f t="shared" ref="O2604:O2609" si="640">-N2604</f>
        <v>-174</v>
      </c>
      <c r="P2604" s="6">
        <f t="shared" si="635"/>
        <v>0</v>
      </c>
      <c r="Q2604" s="7">
        <f t="shared" si="632"/>
        <v>4207567.1500000004</v>
      </c>
      <c r="R2604" s="44" t="str">
        <f>VLOOKUP(F2604,'Set up'!$A$2:$E$70,5,FALSE)</f>
        <v>Trsf</v>
      </c>
      <c r="S2604" s="1" t="s">
        <v>2908</v>
      </c>
    </row>
    <row r="2605" spans="1:19" ht="15" customHeight="1" x14ac:dyDescent="0.3">
      <c r="A2605" s="4">
        <v>45325</v>
      </c>
      <c r="B2605" s="5">
        <f t="shared" si="627"/>
        <v>2</v>
      </c>
      <c r="C2605" s="5">
        <f t="shared" si="628"/>
        <v>2024</v>
      </c>
      <c r="D2605" s="5" t="s">
        <v>2346</v>
      </c>
      <c r="E2605" s="5" t="str">
        <f>VLOOKUP(F2605,'Set up'!$A$2:$C$70,2,FALSE)</f>
        <v>C00000042</v>
      </c>
      <c r="F2605" s="1" t="s">
        <v>2012</v>
      </c>
      <c r="G2605" s="99" t="s">
        <v>2279</v>
      </c>
      <c r="H2605" s="5">
        <v>8</v>
      </c>
      <c r="I2605" s="5" t="str">
        <f>VLOOKUP(F2605,'Set up'!$A$2:$C$70,3,FALSE)</f>
        <v>Cash</v>
      </c>
      <c r="J2605" s="5">
        <f>VLOOKUP(F2605,'Set up'!$A$2:$D$70,4,FALSE)</f>
        <v>0</v>
      </c>
      <c r="K2605" s="4">
        <f t="shared" si="629"/>
        <v>45325</v>
      </c>
      <c r="L2605" s="5">
        <f t="shared" si="630"/>
        <v>2</v>
      </c>
      <c r="M2605" s="5">
        <f t="shared" si="631"/>
        <v>2024</v>
      </c>
      <c r="N2605" s="6">
        <v>1716.8</v>
      </c>
      <c r="O2605" s="6">
        <f t="shared" si="640"/>
        <v>-1716.8</v>
      </c>
      <c r="P2605" s="6">
        <f t="shared" si="635"/>
        <v>0</v>
      </c>
      <c r="Q2605" s="7">
        <f t="shared" si="632"/>
        <v>4209283.95</v>
      </c>
      <c r="R2605" s="44" t="str">
        <f>VLOOKUP(F2605,'Set up'!$A$2:$E$70,5,FALSE)</f>
        <v>Trsf</v>
      </c>
      <c r="S2605" s="1" t="s">
        <v>2909</v>
      </c>
    </row>
    <row r="2606" spans="1:19" ht="15" customHeight="1" x14ac:dyDescent="0.3">
      <c r="A2606" s="4">
        <v>45325</v>
      </c>
      <c r="B2606" s="5">
        <f t="shared" si="627"/>
        <v>2</v>
      </c>
      <c r="C2606" s="5">
        <f t="shared" si="628"/>
        <v>2024</v>
      </c>
      <c r="D2606" s="5" t="s">
        <v>2346</v>
      </c>
      <c r="E2606" s="5" t="str">
        <f>VLOOKUP(F2606,'Set up'!$A$2:$C$70,2,FALSE)</f>
        <v>C00000042</v>
      </c>
      <c r="F2606" s="1" t="s">
        <v>2012</v>
      </c>
      <c r="G2606" s="99" t="s">
        <v>2029</v>
      </c>
      <c r="H2606" s="5">
        <v>5</v>
      </c>
      <c r="I2606" s="5" t="str">
        <f>VLOOKUP(F2606,'Set up'!$A$2:$C$70,3,FALSE)</f>
        <v>Cash</v>
      </c>
      <c r="J2606" s="5">
        <f>VLOOKUP(F2606,'Set up'!$A$2:$D$70,4,FALSE)</f>
        <v>0</v>
      </c>
      <c r="K2606" s="4">
        <f t="shared" si="629"/>
        <v>45325</v>
      </c>
      <c r="L2606" s="5">
        <f t="shared" si="630"/>
        <v>2</v>
      </c>
      <c r="M2606" s="5">
        <f t="shared" si="631"/>
        <v>2024</v>
      </c>
      <c r="N2606" s="6">
        <v>1040</v>
      </c>
      <c r="O2606" s="6">
        <f t="shared" si="640"/>
        <v>-1040</v>
      </c>
      <c r="P2606" s="6">
        <f t="shared" si="635"/>
        <v>0</v>
      </c>
      <c r="Q2606" s="7">
        <f t="shared" si="632"/>
        <v>4210323.95</v>
      </c>
      <c r="R2606" s="44" t="str">
        <f>VLOOKUP(F2606,'Set up'!$A$2:$E$70,5,FALSE)</f>
        <v>Trsf</v>
      </c>
      <c r="S2606" s="1" t="s">
        <v>2910</v>
      </c>
    </row>
    <row r="2607" spans="1:19" ht="15" customHeight="1" x14ac:dyDescent="0.3">
      <c r="A2607" s="4">
        <v>45325</v>
      </c>
      <c r="B2607" s="5">
        <f t="shared" si="627"/>
        <v>2</v>
      </c>
      <c r="C2607" s="5">
        <f t="shared" si="628"/>
        <v>2024</v>
      </c>
      <c r="D2607" s="5" t="s">
        <v>2346</v>
      </c>
      <c r="E2607" s="5" t="str">
        <f>VLOOKUP(F2607,'Set up'!$A$2:$C$70,2,FALSE)</f>
        <v>C00000042</v>
      </c>
      <c r="F2607" s="1" t="s">
        <v>2012</v>
      </c>
      <c r="G2607" s="99" t="s">
        <v>2002</v>
      </c>
      <c r="H2607" s="5">
        <v>2</v>
      </c>
      <c r="I2607" s="5" t="str">
        <f>VLOOKUP(F2607,'Set up'!$A$2:$C$70,3,FALSE)</f>
        <v>Cash</v>
      </c>
      <c r="J2607" s="5">
        <f>VLOOKUP(F2607,'Set up'!$A$2:$D$70,4,FALSE)</f>
        <v>0</v>
      </c>
      <c r="K2607" s="4">
        <f t="shared" si="629"/>
        <v>45325</v>
      </c>
      <c r="L2607" s="5">
        <f t="shared" si="630"/>
        <v>2</v>
      </c>
      <c r="M2607" s="5">
        <f t="shared" si="631"/>
        <v>2024</v>
      </c>
      <c r="N2607" s="6">
        <v>1800</v>
      </c>
      <c r="O2607" s="6">
        <f t="shared" si="640"/>
        <v>-1800</v>
      </c>
      <c r="P2607" s="6">
        <f t="shared" si="635"/>
        <v>0</v>
      </c>
      <c r="Q2607" s="7">
        <f t="shared" si="632"/>
        <v>4212123.95</v>
      </c>
      <c r="R2607" s="44" t="str">
        <f>VLOOKUP(F2607,'Set up'!$A$2:$E$70,5,FALSE)</f>
        <v>Trsf</v>
      </c>
      <c r="S2607" s="1" t="s">
        <v>2911</v>
      </c>
    </row>
    <row r="2608" spans="1:19" ht="15" customHeight="1" x14ac:dyDescent="0.3">
      <c r="A2608" s="4">
        <v>45325</v>
      </c>
      <c r="B2608" s="5">
        <f t="shared" si="627"/>
        <v>2</v>
      </c>
      <c r="C2608" s="5">
        <f t="shared" si="628"/>
        <v>2024</v>
      </c>
      <c r="D2608" s="5" t="s">
        <v>2346</v>
      </c>
      <c r="E2608" s="5" t="str">
        <f>VLOOKUP(F2608,'Set up'!$A$2:$C$70,2,FALSE)</f>
        <v>C00000042</v>
      </c>
      <c r="F2608" s="1" t="s">
        <v>2012</v>
      </c>
      <c r="G2608" s="99" t="s">
        <v>1061</v>
      </c>
      <c r="H2608" s="5">
        <v>4</v>
      </c>
      <c r="I2608" s="5" t="str">
        <f>VLOOKUP(F2608,'Set up'!$A$2:$C$70,3,FALSE)</f>
        <v>Cash</v>
      </c>
      <c r="J2608" s="5">
        <f>VLOOKUP(F2608,'Set up'!$A$2:$D$70,4,FALSE)</f>
        <v>0</v>
      </c>
      <c r="K2608" s="4">
        <f t="shared" si="629"/>
        <v>45325</v>
      </c>
      <c r="L2608" s="5">
        <f t="shared" si="630"/>
        <v>2</v>
      </c>
      <c r="M2608" s="5">
        <f t="shared" si="631"/>
        <v>2024</v>
      </c>
      <c r="N2608" s="6">
        <v>380</v>
      </c>
      <c r="O2608" s="6">
        <f t="shared" si="640"/>
        <v>-380</v>
      </c>
      <c r="P2608" s="6">
        <f t="shared" si="635"/>
        <v>0</v>
      </c>
      <c r="Q2608" s="7">
        <f t="shared" si="632"/>
        <v>4212503.95</v>
      </c>
      <c r="R2608" s="44" t="str">
        <f>VLOOKUP(F2608,'Set up'!$A$2:$E$70,5,FALSE)</f>
        <v>Trsf</v>
      </c>
      <c r="S2608" s="1" t="s">
        <v>2912</v>
      </c>
    </row>
    <row r="2609" spans="1:19" ht="15" customHeight="1" x14ac:dyDescent="0.3">
      <c r="A2609" s="4">
        <v>45325</v>
      </c>
      <c r="B2609" s="5">
        <f t="shared" si="627"/>
        <v>2</v>
      </c>
      <c r="C2609" s="5">
        <f t="shared" si="628"/>
        <v>2024</v>
      </c>
      <c r="D2609" s="5" t="s">
        <v>2347</v>
      </c>
      <c r="E2609" s="5" t="str">
        <f>VLOOKUP(F2609,'Set up'!$A$2:$C$70,2,FALSE)</f>
        <v>C00000042</v>
      </c>
      <c r="F2609" s="1" t="s">
        <v>2012</v>
      </c>
      <c r="G2609" s="99" t="s">
        <v>1073</v>
      </c>
      <c r="H2609" s="5">
        <v>1</v>
      </c>
      <c r="I2609" s="5" t="str">
        <f>VLOOKUP(F2609,'Set up'!$A$2:$C$70,3,FALSE)</f>
        <v>Cash</v>
      </c>
      <c r="J2609" s="5">
        <f>VLOOKUP(F2609,'Set up'!$A$2:$D$70,4,FALSE)</f>
        <v>0</v>
      </c>
      <c r="K2609" s="4">
        <f t="shared" si="629"/>
        <v>45325</v>
      </c>
      <c r="L2609" s="5">
        <f t="shared" si="630"/>
        <v>2</v>
      </c>
      <c r="M2609" s="5">
        <f t="shared" si="631"/>
        <v>2024</v>
      </c>
      <c r="N2609" s="6">
        <v>1000</v>
      </c>
      <c r="O2609" s="6">
        <f t="shared" si="640"/>
        <v>-1000</v>
      </c>
      <c r="P2609" s="6">
        <f t="shared" si="635"/>
        <v>0</v>
      </c>
      <c r="Q2609" s="7">
        <f t="shared" si="632"/>
        <v>4213503.95</v>
      </c>
      <c r="R2609" s="44" t="str">
        <f>VLOOKUP(F2609,'Set up'!$A$2:$E$70,5,FALSE)</f>
        <v>Trsf</v>
      </c>
      <c r="S2609" s="1" t="s">
        <v>2913</v>
      </c>
    </row>
    <row r="2610" spans="1:19" ht="15" customHeight="1" x14ac:dyDescent="0.3">
      <c r="A2610" s="4">
        <v>45327</v>
      </c>
      <c r="B2610" s="5">
        <f t="shared" si="627"/>
        <v>2</v>
      </c>
      <c r="C2610" s="5">
        <f t="shared" si="628"/>
        <v>2024</v>
      </c>
      <c r="D2610" s="5" t="s">
        <v>2348</v>
      </c>
      <c r="E2610" s="5" t="str">
        <f>VLOOKUP(F2610,'Set up'!$A$2:$C$70,2,FALSE)</f>
        <v>C00000010</v>
      </c>
      <c r="F2610" s="1" t="s">
        <v>62</v>
      </c>
      <c r="G2610" s="99" t="s">
        <v>1178</v>
      </c>
      <c r="H2610" s="5">
        <v>8</v>
      </c>
      <c r="I2610" s="5">
        <f>VLOOKUP(F2610,'Set up'!$A$2:$C$70,3,FALSE)</f>
        <v>120</v>
      </c>
      <c r="J2610" s="5">
        <f>VLOOKUP(F2610,'Set up'!$A$2:$D$70,4,FALSE)</f>
        <v>120</v>
      </c>
      <c r="K2610" s="4">
        <f t="shared" si="629"/>
        <v>45447</v>
      </c>
      <c r="L2610" s="5">
        <f t="shared" si="630"/>
        <v>6</v>
      </c>
      <c r="M2610" s="5">
        <f t="shared" si="631"/>
        <v>2024</v>
      </c>
      <c r="N2610" s="6">
        <v>12848</v>
      </c>
      <c r="O2610" s="6">
        <f t="shared" ref="O2610:O2615" si="641">-N2610</f>
        <v>-12848</v>
      </c>
      <c r="P2610" s="6">
        <f t="shared" si="635"/>
        <v>0</v>
      </c>
      <c r="Q2610" s="7">
        <f t="shared" si="632"/>
        <v>4226351.95</v>
      </c>
      <c r="R2610" s="44" t="str">
        <f>VLOOKUP(F2610,'Set up'!$A$2:$E$70,5,FALSE)</f>
        <v>Trsf</v>
      </c>
      <c r="S2610" s="1" t="s">
        <v>2836</v>
      </c>
    </row>
    <row r="2611" spans="1:19" ht="15" customHeight="1" x14ac:dyDescent="0.3">
      <c r="A2611" s="4">
        <v>45327</v>
      </c>
      <c r="B2611" s="5">
        <f t="shared" si="627"/>
        <v>2</v>
      </c>
      <c r="C2611" s="5">
        <f t="shared" si="628"/>
        <v>2024</v>
      </c>
      <c r="D2611" s="5" t="s">
        <v>2348</v>
      </c>
      <c r="E2611" s="5" t="str">
        <f>VLOOKUP(F2611,'Set up'!$A$2:$C$70,2,FALSE)</f>
        <v>C00000010</v>
      </c>
      <c r="F2611" s="1" t="s">
        <v>62</v>
      </c>
      <c r="G2611" s="99" t="s">
        <v>1392</v>
      </c>
      <c r="H2611" s="5">
        <v>10</v>
      </c>
      <c r="I2611" s="5">
        <f>VLOOKUP(F2611,'Set up'!$A$2:$C$70,3,FALSE)</f>
        <v>120</v>
      </c>
      <c r="J2611" s="5">
        <f>VLOOKUP(F2611,'Set up'!$A$2:$D$70,4,FALSE)</f>
        <v>120</v>
      </c>
      <c r="K2611" s="4">
        <f t="shared" si="629"/>
        <v>45447</v>
      </c>
      <c r="L2611" s="5">
        <f t="shared" si="630"/>
        <v>6</v>
      </c>
      <c r="M2611" s="5">
        <f t="shared" si="631"/>
        <v>2024</v>
      </c>
      <c r="N2611" s="6">
        <v>1740</v>
      </c>
      <c r="O2611" s="6">
        <f t="shared" si="641"/>
        <v>-1740</v>
      </c>
      <c r="P2611" s="6">
        <f t="shared" si="635"/>
        <v>0</v>
      </c>
      <c r="Q2611" s="7">
        <f t="shared" si="632"/>
        <v>4228091.95</v>
      </c>
      <c r="R2611" s="44" t="str">
        <f>VLOOKUP(F2611,'Set up'!$A$2:$E$70,5,FALSE)</f>
        <v>Trsf</v>
      </c>
      <c r="S2611" s="1" t="s">
        <v>2836</v>
      </c>
    </row>
    <row r="2612" spans="1:19" ht="15" customHeight="1" x14ac:dyDescent="0.3">
      <c r="A2612" s="4">
        <v>45327</v>
      </c>
      <c r="B2612" s="5">
        <f t="shared" si="627"/>
        <v>2</v>
      </c>
      <c r="C2612" s="5">
        <f t="shared" si="628"/>
        <v>2024</v>
      </c>
      <c r="D2612" s="5" t="s">
        <v>2348</v>
      </c>
      <c r="E2612" s="5" t="str">
        <f>VLOOKUP(F2612,'Set up'!$A$2:$C$70,2,FALSE)</f>
        <v>C00000010</v>
      </c>
      <c r="F2612" s="1" t="s">
        <v>62</v>
      </c>
      <c r="G2612" s="99" t="s">
        <v>791</v>
      </c>
      <c r="H2612" s="5">
        <v>10</v>
      </c>
      <c r="I2612" s="5">
        <f>VLOOKUP(F2612,'Set up'!$A$2:$C$70,3,FALSE)</f>
        <v>120</v>
      </c>
      <c r="J2612" s="5">
        <f>VLOOKUP(F2612,'Set up'!$A$2:$D$70,4,FALSE)</f>
        <v>120</v>
      </c>
      <c r="K2612" s="4">
        <f t="shared" si="629"/>
        <v>45447</v>
      </c>
      <c r="L2612" s="5">
        <f t="shared" si="630"/>
        <v>6</v>
      </c>
      <c r="M2612" s="5">
        <f t="shared" si="631"/>
        <v>2024</v>
      </c>
      <c r="N2612" s="6">
        <v>575</v>
      </c>
      <c r="O2612" s="6">
        <f t="shared" si="641"/>
        <v>-575</v>
      </c>
      <c r="P2612" s="6">
        <f t="shared" si="635"/>
        <v>0</v>
      </c>
      <c r="Q2612" s="7">
        <f t="shared" si="632"/>
        <v>4228666.95</v>
      </c>
      <c r="R2612" s="44" t="str">
        <f>VLOOKUP(F2612,'Set up'!$A$2:$E$70,5,FALSE)</f>
        <v>Trsf</v>
      </c>
      <c r="S2612" s="1" t="s">
        <v>2836</v>
      </c>
    </row>
    <row r="2613" spans="1:19" ht="15" customHeight="1" x14ac:dyDescent="0.3">
      <c r="A2613" s="4">
        <v>45327</v>
      </c>
      <c r="B2613" s="5">
        <f t="shared" si="627"/>
        <v>2</v>
      </c>
      <c r="C2613" s="5">
        <f t="shared" si="628"/>
        <v>2024</v>
      </c>
      <c r="D2613" s="5" t="s">
        <v>2348</v>
      </c>
      <c r="E2613" s="5" t="str">
        <f>VLOOKUP(F2613,'Set up'!$A$2:$C$70,2,FALSE)</f>
        <v>C00000010</v>
      </c>
      <c r="F2613" s="1" t="s">
        <v>62</v>
      </c>
      <c r="G2613" s="99" t="s">
        <v>46</v>
      </c>
      <c r="H2613" s="5">
        <v>8</v>
      </c>
      <c r="I2613" s="5">
        <f>VLOOKUP(F2613,'Set up'!$A$2:$C$70,3,FALSE)</f>
        <v>120</v>
      </c>
      <c r="J2613" s="5">
        <f>VLOOKUP(F2613,'Set up'!$A$2:$D$70,4,FALSE)</f>
        <v>120</v>
      </c>
      <c r="K2613" s="4">
        <f t="shared" si="629"/>
        <v>45447</v>
      </c>
      <c r="L2613" s="5">
        <f t="shared" si="630"/>
        <v>6</v>
      </c>
      <c r="M2613" s="5">
        <f t="shared" si="631"/>
        <v>2024</v>
      </c>
      <c r="N2613" s="6">
        <v>880</v>
      </c>
      <c r="O2613" s="6">
        <f t="shared" si="641"/>
        <v>-880</v>
      </c>
      <c r="P2613" s="6">
        <f t="shared" si="635"/>
        <v>0</v>
      </c>
      <c r="Q2613" s="7">
        <f t="shared" si="632"/>
        <v>4229546.95</v>
      </c>
      <c r="R2613" s="44" t="str">
        <f>VLOOKUP(F2613,'Set up'!$A$2:$E$70,5,FALSE)</f>
        <v>Trsf</v>
      </c>
      <c r="S2613" s="1" t="s">
        <v>2836</v>
      </c>
    </row>
    <row r="2614" spans="1:19" ht="15" customHeight="1" x14ac:dyDescent="0.3">
      <c r="A2614" s="4">
        <v>45327</v>
      </c>
      <c r="B2614" s="5">
        <f t="shared" si="627"/>
        <v>2</v>
      </c>
      <c r="C2614" s="5">
        <f t="shared" si="628"/>
        <v>2024</v>
      </c>
      <c r="D2614" s="5" t="s">
        <v>2348</v>
      </c>
      <c r="E2614" s="5" t="str">
        <f>VLOOKUP(F2614,'Set up'!$A$2:$C$70,2,FALSE)</f>
        <v>C00000010</v>
      </c>
      <c r="F2614" s="1" t="s">
        <v>62</v>
      </c>
      <c r="G2614" s="99" t="s">
        <v>944</v>
      </c>
      <c r="H2614" s="5">
        <v>1</v>
      </c>
      <c r="I2614" s="5">
        <f>VLOOKUP(F2614,'Set up'!$A$2:$C$70,3,FALSE)</f>
        <v>120</v>
      </c>
      <c r="J2614" s="5">
        <f>VLOOKUP(F2614,'Set up'!$A$2:$D$70,4,FALSE)</f>
        <v>120</v>
      </c>
      <c r="K2614" s="4">
        <f t="shared" si="629"/>
        <v>45447</v>
      </c>
      <c r="L2614" s="5">
        <f t="shared" si="630"/>
        <v>6</v>
      </c>
      <c r="M2614" s="5">
        <f t="shared" si="631"/>
        <v>2024</v>
      </c>
      <c r="N2614" s="6">
        <v>420</v>
      </c>
      <c r="O2614" s="6">
        <f t="shared" si="641"/>
        <v>-420</v>
      </c>
      <c r="P2614" s="6">
        <f t="shared" si="635"/>
        <v>0</v>
      </c>
      <c r="Q2614" s="7">
        <f t="shared" si="632"/>
        <v>4229966.95</v>
      </c>
      <c r="R2614" s="44" t="str">
        <f>VLOOKUP(F2614,'Set up'!$A$2:$E$70,5,FALSE)</f>
        <v>Trsf</v>
      </c>
      <c r="S2614" s="1" t="s">
        <v>2836</v>
      </c>
    </row>
    <row r="2615" spans="1:19" ht="15" customHeight="1" x14ac:dyDescent="0.3">
      <c r="A2615" s="4">
        <v>45327</v>
      </c>
      <c r="B2615" s="5">
        <f t="shared" si="627"/>
        <v>2</v>
      </c>
      <c r="C2615" s="5">
        <f t="shared" si="628"/>
        <v>2024</v>
      </c>
      <c r="D2615" s="5" t="s">
        <v>2348</v>
      </c>
      <c r="E2615" s="5" t="str">
        <f>VLOOKUP(F2615,'Set up'!$A$2:$C$70,2,FALSE)</f>
        <v>C00000010</v>
      </c>
      <c r="F2615" s="1" t="s">
        <v>62</v>
      </c>
      <c r="G2615" s="99" t="s">
        <v>614</v>
      </c>
      <c r="H2615" s="5">
        <v>1</v>
      </c>
      <c r="I2615" s="5">
        <f>VLOOKUP(F2615,'Set up'!$A$2:$C$70,3,FALSE)</f>
        <v>120</v>
      </c>
      <c r="J2615" s="5">
        <f>VLOOKUP(F2615,'Set up'!$A$2:$D$70,4,FALSE)</f>
        <v>120</v>
      </c>
      <c r="K2615" s="4">
        <f t="shared" si="629"/>
        <v>45447</v>
      </c>
      <c r="L2615" s="5">
        <f t="shared" si="630"/>
        <v>6</v>
      </c>
      <c r="M2615" s="5">
        <f t="shared" si="631"/>
        <v>2024</v>
      </c>
      <c r="N2615" s="6">
        <v>395</v>
      </c>
      <c r="O2615" s="6">
        <f t="shared" si="641"/>
        <v>-395</v>
      </c>
      <c r="P2615" s="6">
        <f t="shared" si="635"/>
        <v>0</v>
      </c>
      <c r="Q2615" s="7">
        <f t="shared" si="632"/>
        <v>4230361.95</v>
      </c>
      <c r="R2615" s="44" t="str">
        <f>VLOOKUP(F2615,'Set up'!$A$2:$E$70,5,FALSE)</f>
        <v>Trsf</v>
      </c>
      <c r="S2615" s="1" t="s">
        <v>2836</v>
      </c>
    </row>
    <row r="2616" spans="1:19" ht="15" customHeight="1" x14ac:dyDescent="0.3">
      <c r="A2616" s="4">
        <v>45328</v>
      </c>
      <c r="B2616" s="5">
        <f t="shared" si="627"/>
        <v>2</v>
      </c>
      <c r="C2616" s="5">
        <f t="shared" si="628"/>
        <v>2024</v>
      </c>
      <c r="D2616" s="5" t="s">
        <v>2349</v>
      </c>
      <c r="E2616" s="5" t="str">
        <f>VLOOKUP(F2616,'Set up'!$A$2:$C$70,2,FALSE)</f>
        <v>C00000042</v>
      </c>
      <c r="F2616" s="1" t="s">
        <v>2012</v>
      </c>
      <c r="G2616" s="99" t="s">
        <v>2130</v>
      </c>
      <c r="H2616" s="5">
        <v>13</v>
      </c>
      <c r="I2616" s="5" t="str">
        <f>VLOOKUP(F2616,'Set up'!$A$2:$C$70,3,FALSE)</f>
        <v>Cash</v>
      </c>
      <c r="J2616" s="5">
        <f>VLOOKUP(F2616,'Set up'!$A$2:$D$70,4,FALSE)</f>
        <v>0</v>
      </c>
      <c r="K2616" s="4">
        <f t="shared" si="629"/>
        <v>45328</v>
      </c>
      <c r="L2616" s="5">
        <f t="shared" si="630"/>
        <v>2</v>
      </c>
      <c r="M2616" s="5">
        <f t="shared" si="631"/>
        <v>2024</v>
      </c>
      <c r="N2616" s="6">
        <v>812.5</v>
      </c>
      <c r="O2616" s="6">
        <f>-N2616</f>
        <v>-812.5</v>
      </c>
      <c r="P2616" s="6">
        <f t="shared" si="635"/>
        <v>0</v>
      </c>
      <c r="Q2616" s="7">
        <f t="shared" si="632"/>
        <v>4231174.45</v>
      </c>
      <c r="R2616" s="44" t="str">
        <f>VLOOKUP(F2616,'Set up'!$A$2:$E$70,5,FALSE)</f>
        <v>Trsf</v>
      </c>
      <c r="S2616" s="1" t="s">
        <v>2914</v>
      </c>
    </row>
    <row r="2617" spans="1:19" ht="15" customHeight="1" x14ac:dyDescent="0.3">
      <c r="A2617" s="4">
        <v>45328</v>
      </c>
      <c r="B2617" s="5">
        <f t="shared" si="627"/>
        <v>2</v>
      </c>
      <c r="C2617" s="5">
        <f t="shared" si="628"/>
        <v>2024</v>
      </c>
      <c r="D2617" s="5" t="s">
        <v>2350</v>
      </c>
      <c r="E2617" s="5" t="str">
        <f>VLOOKUP(F2617,'Set up'!$A$2:$C$70,2,FALSE)</f>
        <v>C00000042</v>
      </c>
      <c r="F2617" s="1" t="s">
        <v>2012</v>
      </c>
      <c r="G2617" s="99" t="s">
        <v>1894</v>
      </c>
      <c r="H2617" s="5">
        <v>12</v>
      </c>
      <c r="I2617" s="5" t="str">
        <f>VLOOKUP(F2617,'Set up'!$A$2:$C$70,3,FALSE)</f>
        <v>Cash</v>
      </c>
      <c r="J2617" s="5">
        <f>VLOOKUP(F2617,'Set up'!$A$2:$D$70,4,FALSE)</f>
        <v>0</v>
      </c>
      <c r="K2617" s="4">
        <f t="shared" si="629"/>
        <v>45328</v>
      </c>
      <c r="L2617" s="5">
        <f t="shared" si="630"/>
        <v>2</v>
      </c>
      <c r="M2617" s="5">
        <f t="shared" si="631"/>
        <v>2024</v>
      </c>
      <c r="N2617" s="6">
        <v>19272</v>
      </c>
      <c r="O2617" s="6">
        <f>-1252.4-7000-10000-1019.6</f>
        <v>-19272</v>
      </c>
      <c r="P2617" s="6">
        <f t="shared" si="635"/>
        <v>0</v>
      </c>
      <c r="Q2617" s="7">
        <f t="shared" si="632"/>
        <v>4250446.45</v>
      </c>
      <c r="R2617" s="44" t="str">
        <f>VLOOKUP(F2617,'Set up'!$A$2:$E$70,5,FALSE)</f>
        <v>Trsf</v>
      </c>
      <c r="S2617" s="1" t="s">
        <v>2915</v>
      </c>
    </row>
    <row r="2618" spans="1:19" ht="15" customHeight="1" x14ac:dyDescent="0.3">
      <c r="A2618" s="4">
        <v>45328</v>
      </c>
      <c r="B2618" s="5">
        <f t="shared" si="627"/>
        <v>2</v>
      </c>
      <c r="C2618" s="5">
        <f t="shared" si="628"/>
        <v>2024</v>
      </c>
      <c r="D2618" s="5" t="s">
        <v>2350</v>
      </c>
      <c r="E2618" s="5" t="str">
        <f>VLOOKUP(F2618,'Set up'!$A$2:$C$70,2,FALSE)</f>
        <v>C00000042</v>
      </c>
      <c r="F2618" s="1" t="s">
        <v>2012</v>
      </c>
      <c r="G2618" s="99" t="s">
        <v>1796</v>
      </c>
      <c r="H2618" s="5">
        <v>33</v>
      </c>
      <c r="I2618" s="5" t="str">
        <f>VLOOKUP(F2618,'Set up'!$A$2:$C$70,3,FALSE)</f>
        <v>Cash</v>
      </c>
      <c r="J2618" s="5">
        <f>VLOOKUP(F2618,'Set up'!$A$2:$D$70,4,FALSE)</f>
        <v>0</v>
      </c>
      <c r="K2618" s="4">
        <f t="shared" si="629"/>
        <v>45328</v>
      </c>
      <c r="L2618" s="5">
        <f t="shared" si="630"/>
        <v>2</v>
      </c>
      <c r="M2618" s="5">
        <f t="shared" si="631"/>
        <v>2024</v>
      </c>
      <c r="N2618" s="6">
        <v>5742</v>
      </c>
      <c r="O2618" s="6">
        <f>-N2618</f>
        <v>-5742</v>
      </c>
      <c r="P2618" s="6">
        <f t="shared" si="635"/>
        <v>0</v>
      </c>
      <c r="Q2618" s="7">
        <f t="shared" si="632"/>
        <v>4256188.45</v>
      </c>
      <c r="R2618" s="44" t="str">
        <f>VLOOKUP(F2618,'Set up'!$A$2:$E$70,5,FALSE)</f>
        <v>Trsf</v>
      </c>
      <c r="S2618" s="1" t="s">
        <v>2916</v>
      </c>
    </row>
    <row r="2619" spans="1:19" ht="15" customHeight="1" x14ac:dyDescent="0.3">
      <c r="A2619" s="4">
        <v>45328</v>
      </c>
      <c r="B2619" s="5">
        <f t="shared" si="627"/>
        <v>2</v>
      </c>
      <c r="C2619" s="5">
        <f t="shared" si="628"/>
        <v>2024</v>
      </c>
      <c r="D2619" s="5" t="s">
        <v>2350</v>
      </c>
      <c r="E2619" s="5" t="str">
        <f>VLOOKUP(F2619,'Set up'!$A$2:$C$70,2,FALSE)</f>
        <v>C00000042</v>
      </c>
      <c r="F2619" s="1" t="s">
        <v>2012</v>
      </c>
      <c r="G2619" s="99" t="s">
        <v>1922</v>
      </c>
      <c r="H2619" s="5">
        <v>21</v>
      </c>
      <c r="I2619" s="5" t="str">
        <f>VLOOKUP(F2619,'Set up'!$A$2:$C$70,3,FALSE)</f>
        <v>Cash</v>
      </c>
      <c r="J2619" s="5">
        <f>VLOOKUP(F2619,'Set up'!$A$2:$D$70,4,FALSE)</f>
        <v>0</v>
      </c>
      <c r="K2619" s="4">
        <f t="shared" si="629"/>
        <v>45328</v>
      </c>
      <c r="L2619" s="5">
        <f t="shared" si="630"/>
        <v>2</v>
      </c>
      <c r="M2619" s="5">
        <f t="shared" si="631"/>
        <v>2024</v>
      </c>
      <c r="N2619" s="6">
        <v>4914</v>
      </c>
      <c r="O2619" s="6">
        <f>-3438.4-1475.6</f>
        <v>-4914</v>
      </c>
      <c r="P2619" s="6">
        <f t="shared" si="635"/>
        <v>0</v>
      </c>
      <c r="Q2619" s="7">
        <f t="shared" si="632"/>
        <v>4261102.45</v>
      </c>
      <c r="R2619" s="44" t="str">
        <f>VLOOKUP(F2619,'Set up'!$A$2:$E$70,5,FALSE)</f>
        <v>Trsf</v>
      </c>
      <c r="S2619" s="1" t="s">
        <v>2917</v>
      </c>
    </row>
    <row r="2620" spans="1:19" ht="15" customHeight="1" x14ac:dyDescent="0.3">
      <c r="A2620" s="4">
        <v>45328</v>
      </c>
      <c r="B2620" s="5">
        <f t="shared" si="627"/>
        <v>2</v>
      </c>
      <c r="C2620" s="5">
        <f t="shared" si="628"/>
        <v>2024</v>
      </c>
      <c r="D2620" s="5" t="s">
        <v>2350</v>
      </c>
      <c r="E2620" s="5" t="str">
        <f>VLOOKUP(F2620,'Set up'!$A$2:$C$70,2,FALSE)</f>
        <v>C00000042</v>
      </c>
      <c r="F2620" s="1" t="s">
        <v>2012</v>
      </c>
      <c r="G2620" s="99" t="s">
        <v>1061</v>
      </c>
      <c r="H2620" s="5">
        <v>4</v>
      </c>
      <c r="I2620" s="5" t="str">
        <f>VLOOKUP(F2620,'Set up'!$A$2:$C$70,3,FALSE)</f>
        <v>Cash</v>
      </c>
      <c r="J2620" s="5">
        <f>VLOOKUP(F2620,'Set up'!$A$2:$D$70,4,FALSE)</f>
        <v>0</v>
      </c>
      <c r="K2620" s="4">
        <f t="shared" si="629"/>
        <v>45328</v>
      </c>
      <c r="L2620" s="5">
        <f t="shared" si="630"/>
        <v>2</v>
      </c>
      <c r="M2620" s="5">
        <f t="shared" si="631"/>
        <v>2024</v>
      </c>
      <c r="N2620" s="6">
        <v>380</v>
      </c>
      <c r="O2620" s="6">
        <f>-N2620</f>
        <v>-380</v>
      </c>
      <c r="P2620" s="6">
        <f t="shared" si="635"/>
        <v>0</v>
      </c>
      <c r="Q2620" s="7">
        <f t="shared" si="632"/>
        <v>4261482.45</v>
      </c>
      <c r="R2620" s="44" t="str">
        <f>VLOOKUP(F2620,'Set up'!$A$2:$E$70,5,FALSE)</f>
        <v>Trsf</v>
      </c>
      <c r="S2620" s="1" t="s">
        <v>2918</v>
      </c>
    </row>
    <row r="2621" spans="1:19" ht="15" customHeight="1" x14ac:dyDescent="0.3">
      <c r="A2621" s="4">
        <v>45328</v>
      </c>
      <c r="B2621" s="5">
        <f t="shared" si="627"/>
        <v>2</v>
      </c>
      <c r="C2621" s="5">
        <f t="shared" si="628"/>
        <v>2024</v>
      </c>
      <c r="D2621" s="5" t="s">
        <v>2351</v>
      </c>
      <c r="E2621" s="5" t="str">
        <f>VLOOKUP(F2621,'Set up'!$A$2:$C$70,2,FALSE)</f>
        <v>C00000026</v>
      </c>
      <c r="F2621" s="1" t="s">
        <v>784</v>
      </c>
      <c r="G2621" s="99" t="s">
        <v>1733</v>
      </c>
      <c r="H2621" s="5">
        <v>1</v>
      </c>
      <c r="I2621" s="5" t="str">
        <f>VLOOKUP(F2621,'Set up'!$A$2:$C$70,3,FALSE)</f>
        <v>Cash</v>
      </c>
      <c r="J2621" s="5">
        <f>VLOOKUP(F2621,'Set up'!$A$2:$D$70,4,FALSE)</f>
        <v>0</v>
      </c>
      <c r="K2621" s="4">
        <f t="shared" si="629"/>
        <v>45328</v>
      </c>
      <c r="L2621" s="5">
        <f t="shared" si="630"/>
        <v>2</v>
      </c>
      <c r="M2621" s="5">
        <f t="shared" si="631"/>
        <v>2024</v>
      </c>
      <c r="N2621" s="6">
        <v>1738</v>
      </c>
      <c r="O2621" s="6">
        <f t="shared" ref="O2621:O2627" si="642">-N2621</f>
        <v>-1738</v>
      </c>
      <c r="P2621" s="6">
        <f t="shared" si="635"/>
        <v>0</v>
      </c>
      <c r="Q2621" s="7">
        <f t="shared" si="632"/>
        <v>4263220.45</v>
      </c>
      <c r="R2621" s="44" t="str">
        <f>VLOOKUP(F2621,'Set up'!$A$2:$E$70,5,FALSE)</f>
        <v>Trsf</v>
      </c>
      <c r="S2621" s="1" t="s">
        <v>2416</v>
      </c>
    </row>
    <row r="2622" spans="1:19" ht="15" customHeight="1" x14ac:dyDescent="0.3">
      <c r="A2622" s="4">
        <v>45328</v>
      </c>
      <c r="B2622" s="5">
        <f t="shared" si="627"/>
        <v>2</v>
      </c>
      <c r="C2622" s="5">
        <f t="shared" si="628"/>
        <v>2024</v>
      </c>
      <c r="D2622" s="5" t="s">
        <v>2351</v>
      </c>
      <c r="E2622" s="5" t="str">
        <f>VLOOKUP(F2622,'Set up'!$A$2:$C$70,2,FALSE)</f>
        <v>C00000026</v>
      </c>
      <c r="F2622" s="1" t="s">
        <v>784</v>
      </c>
      <c r="G2622" s="99" t="s">
        <v>640</v>
      </c>
      <c r="H2622" s="5">
        <v>1</v>
      </c>
      <c r="I2622" s="5" t="str">
        <f>VLOOKUP(F2622,'Set up'!$A$2:$C$70,3,FALSE)</f>
        <v>Cash</v>
      </c>
      <c r="J2622" s="5">
        <f>VLOOKUP(F2622,'Set up'!$A$2:$D$70,4,FALSE)</f>
        <v>0</v>
      </c>
      <c r="K2622" s="4">
        <f t="shared" si="629"/>
        <v>45328</v>
      </c>
      <c r="L2622" s="5">
        <f t="shared" si="630"/>
        <v>2</v>
      </c>
      <c r="M2622" s="5">
        <f t="shared" si="631"/>
        <v>2024</v>
      </c>
      <c r="N2622" s="6">
        <v>250</v>
      </c>
      <c r="O2622" s="6">
        <f t="shared" si="642"/>
        <v>-250</v>
      </c>
      <c r="P2622" s="6">
        <f t="shared" si="635"/>
        <v>0</v>
      </c>
      <c r="Q2622" s="7">
        <f t="shared" si="632"/>
        <v>4263470.45</v>
      </c>
      <c r="R2622" s="44" t="str">
        <f>VLOOKUP(F2622,'Set up'!$A$2:$E$70,5,FALSE)</f>
        <v>Trsf</v>
      </c>
      <c r="S2622" s="1" t="s">
        <v>2416</v>
      </c>
    </row>
    <row r="2623" spans="1:19" ht="15" customHeight="1" x14ac:dyDescent="0.3">
      <c r="A2623" s="4">
        <v>45328</v>
      </c>
      <c r="B2623" s="5">
        <f t="shared" si="627"/>
        <v>2</v>
      </c>
      <c r="C2623" s="5">
        <f t="shared" si="628"/>
        <v>2024</v>
      </c>
      <c r="D2623" s="5" t="s">
        <v>2351</v>
      </c>
      <c r="E2623" s="5" t="str">
        <f>VLOOKUP(F2623,'Set up'!$A$2:$C$70,2,FALSE)</f>
        <v>C00000026</v>
      </c>
      <c r="F2623" s="1" t="s">
        <v>784</v>
      </c>
      <c r="G2623" s="99" t="s">
        <v>2144</v>
      </c>
      <c r="H2623" s="5">
        <v>1</v>
      </c>
      <c r="I2623" s="5" t="str">
        <f>VLOOKUP(F2623,'Set up'!$A$2:$C$70,3,FALSE)</f>
        <v>Cash</v>
      </c>
      <c r="J2623" s="5">
        <f>VLOOKUP(F2623,'Set up'!$A$2:$D$70,4,FALSE)</f>
        <v>0</v>
      </c>
      <c r="K2623" s="4">
        <f t="shared" si="629"/>
        <v>45328</v>
      </c>
      <c r="L2623" s="5">
        <f t="shared" si="630"/>
        <v>2</v>
      </c>
      <c r="M2623" s="5">
        <f t="shared" si="631"/>
        <v>2024</v>
      </c>
      <c r="N2623" s="6">
        <v>283.8</v>
      </c>
      <c r="O2623" s="6">
        <f t="shared" si="642"/>
        <v>-283.8</v>
      </c>
      <c r="P2623" s="6">
        <f t="shared" si="635"/>
        <v>0</v>
      </c>
      <c r="Q2623" s="7">
        <f t="shared" si="632"/>
        <v>4263754.25</v>
      </c>
      <c r="R2623" s="44" t="str">
        <f>VLOOKUP(F2623,'Set up'!$A$2:$E$70,5,FALSE)</f>
        <v>Trsf</v>
      </c>
      <c r="S2623" s="1" t="s">
        <v>2416</v>
      </c>
    </row>
    <row r="2624" spans="1:19" ht="15" customHeight="1" x14ac:dyDescent="0.3">
      <c r="A2624" s="4">
        <v>45328</v>
      </c>
      <c r="B2624" s="5">
        <f t="shared" si="627"/>
        <v>2</v>
      </c>
      <c r="C2624" s="5">
        <f t="shared" si="628"/>
        <v>2024</v>
      </c>
      <c r="D2624" s="5" t="s">
        <v>2351</v>
      </c>
      <c r="E2624" s="5" t="str">
        <f>VLOOKUP(F2624,'Set up'!$A$2:$C$70,2,FALSE)</f>
        <v>C00000026</v>
      </c>
      <c r="F2624" s="1" t="s">
        <v>784</v>
      </c>
      <c r="G2624" s="99" t="s">
        <v>1743</v>
      </c>
      <c r="H2624" s="5">
        <v>1</v>
      </c>
      <c r="I2624" s="5" t="str">
        <f>VLOOKUP(F2624,'Set up'!$A$2:$C$70,3,FALSE)</f>
        <v>Cash</v>
      </c>
      <c r="J2624" s="5">
        <f>VLOOKUP(F2624,'Set up'!$A$2:$D$70,4,FALSE)</f>
        <v>0</v>
      </c>
      <c r="K2624" s="4">
        <f t="shared" si="629"/>
        <v>45328</v>
      </c>
      <c r="L2624" s="5">
        <f t="shared" si="630"/>
        <v>2</v>
      </c>
      <c r="M2624" s="5">
        <f t="shared" si="631"/>
        <v>2024</v>
      </c>
      <c r="N2624" s="6">
        <v>55.2</v>
      </c>
      <c r="O2624" s="6">
        <f t="shared" si="642"/>
        <v>-55.2</v>
      </c>
      <c r="P2624" s="6">
        <f t="shared" si="635"/>
        <v>0</v>
      </c>
      <c r="Q2624" s="7">
        <f t="shared" si="632"/>
        <v>4263809.45</v>
      </c>
      <c r="R2624" s="44" t="str">
        <f>VLOOKUP(F2624,'Set up'!$A$2:$E$70,5,FALSE)</f>
        <v>Trsf</v>
      </c>
      <c r="S2624" s="1" t="s">
        <v>2416</v>
      </c>
    </row>
    <row r="2625" spans="1:19" ht="15" customHeight="1" x14ac:dyDescent="0.3">
      <c r="A2625" s="4">
        <v>45328</v>
      </c>
      <c r="B2625" s="5">
        <f t="shared" si="627"/>
        <v>2</v>
      </c>
      <c r="C2625" s="5">
        <f t="shared" si="628"/>
        <v>2024</v>
      </c>
      <c r="D2625" s="5" t="s">
        <v>2351</v>
      </c>
      <c r="E2625" s="5" t="str">
        <f>VLOOKUP(F2625,'Set up'!$A$2:$C$70,2,FALSE)</f>
        <v>C00000026</v>
      </c>
      <c r="F2625" s="1" t="s">
        <v>784</v>
      </c>
      <c r="G2625" s="99" t="s">
        <v>1399</v>
      </c>
      <c r="H2625" s="5">
        <v>1</v>
      </c>
      <c r="I2625" s="5" t="str">
        <f>VLOOKUP(F2625,'Set up'!$A$2:$C$70,3,FALSE)</f>
        <v>Cash</v>
      </c>
      <c r="J2625" s="5">
        <f>VLOOKUP(F2625,'Set up'!$A$2:$D$70,4,FALSE)</f>
        <v>0</v>
      </c>
      <c r="K2625" s="4">
        <f t="shared" si="629"/>
        <v>45328</v>
      </c>
      <c r="L2625" s="5">
        <f t="shared" si="630"/>
        <v>2</v>
      </c>
      <c r="M2625" s="5">
        <f t="shared" si="631"/>
        <v>2024</v>
      </c>
      <c r="N2625" s="6">
        <v>160</v>
      </c>
      <c r="O2625" s="6">
        <f t="shared" si="642"/>
        <v>-160</v>
      </c>
      <c r="P2625" s="6">
        <f t="shared" si="635"/>
        <v>0</v>
      </c>
      <c r="Q2625" s="7">
        <f t="shared" si="632"/>
        <v>4263969.45</v>
      </c>
      <c r="R2625" s="44" t="str">
        <f>VLOOKUP(F2625,'Set up'!$A$2:$E$70,5,FALSE)</f>
        <v>Trsf</v>
      </c>
      <c r="S2625" s="1" t="s">
        <v>2416</v>
      </c>
    </row>
    <row r="2626" spans="1:19" ht="15" customHeight="1" x14ac:dyDescent="0.3">
      <c r="A2626" s="4">
        <v>45328</v>
      </c>
      <c r="B2626" s="5">
        <f t="shared" si="627"/>
        <v>2</v>
      </c>
      <c r="C2626" s="5">
        <f t="shared" si="628"/>
        <v>2024</v>
      </c>
      <c r="D2626" s="5" t="s">
        <v>2351</v>
      </c>
      <c r="E2626" s="5" t="str">
        <f>VLOOKUP(F2626,'Set up'!$A$2:$C$70,2,FALSE)</f>
        <v>C00000026</v>
      </c>
      <c r="F2626" s="1" t="s">
        <v>784</v>
      </c>
      <c r="G2626" s="99" t="s">
        <v>949</v>
      </c>
      <c r="H2626" s="5">
        <v>2</v>
      </c>
      <c r="I2626" s="5" t="str">
        <f>VLOOKUP(F2626,'Set up'!$A$2:$C$70,3,FALSE)</f>
        <v>Cash</v>
      </c>
      <c r="J2626" s="5">
        <f>VLOOKUP(F2626,'Set up'!$A$2:$D$70,4,FALSE)</f>
        <v>0</v>
      </c>
      <c r="K2626" s="4">
        <f t="shared" si="629"/>
        <v>45328</v>
      </c>
      <c r="L2626" s="5">
        <f t="shared" si="630"/>
        <v>2</v>
      </c>
      <c r="M2626" s="5">
        <f t="shared" si="631"/>
        <v>2024</v>
      </c>
      <c r="N2626" s="6">
        <v>120</v>
      </c>
      <c r="O2626" s="6">
        <f t="shared" si="642"/>
        <v>-120</v>
      </c>
      <c r="P2626" s="6">
        <f t="shared" si="635"/>
        <v>0</v>
      </c>
      <c r="Q2626" s="7">
        <f t="shared" si="632"/>
        <v>4264089.45</v>
      </c>
      <c r="R2626" s="44" t="str">
        <f>VLOOKUP(F2626,'Set up'!$A$2:$E$70,5,FALSE)</f>
        <v>Trsf</v>
      </c>
      <c r="S2626" s="1" t="s">
        <v>2416</v>
      </c>
    </row>
    <row r="2627" spans="1:19" ht="15" customHeight="1" x14ac:dyDescent="0.3">
      <c r="A2627" s="4">
        <v>45330</v>
      </c>
      <c r="B2627" s="5">
        <f t="shared" ref="B2627:B2690" si="643">MONTH(A2627)</f>
        <v>2</v>
      </c>
      <c r="C2627" s="5">
        <f t="shared" ref="C2627:C2690" si="644">YEAR(A2627)</f>
        <v>2024</v>
      </c>
      <c r="D2627" s="5" t="s">
        <v>2352</v>
      </c>
      <c r="E2627" s="5" t="str">
        <f>VLOOKUP(F2627,'Set up'!$A$2:$C$70,2,FALSE)</f>
        <v>C00000046</v>
      </c>
      <c r="F2627" s="1" t="s">
        <v>2284</v>
      </c>
      <c r="G2627" s="99" t="s">
        <v>1738</v>
      </c>
      <c r="H2627" s="5">
        <v>1</v>
      </c>
      <c r="I2627" s="5" t="str">
        <f>VLOOKUP(F2627,'Set up'!$A$2:$C$70,3,FALSE)</f>
        <v>Cash</v>
      </c>
      <c r="J2627" s="5">
        <f>VLOOKUP(F2627,'Set up'!$A$2:$D$70,4,FALSE)</f>
        <v>0</v>
      </c>
      <c r="K2627" s="4">
        <f t="shared" ref="K2627:K2690" si="645">A2627+J2627</f>
        <v>45330</v>
      </c>
      <c r="L2627" s="5">
        <f t="shared" ref="L2627:L2690" si="646">MONTH(K2627)</f>
        <v>2</v>
      </c>
      <c r="M2627" s="5">
        <f t="shared" ref="M2627:M2690" si="647">YEAR(K2627)</f>
        <v>2024</v>
      </c>
      <c r="N2627" s="6">
        <v>1694</v>
      </c>
      <c r="O2627" s="6">
        <f t="shared" si="642"/>
        <v>-1694</v>
      </c>
      <c r="P2627" s="6">
        <f t="shared" si="635"/>
        <v>0</v>
      </c>
      <c r="Q2627" s="7">
        <f t="shared" ref="Q2627:Q2690" si="648">SUM(Q2626+N2627)</f>
        <v>4265783.45</v>
      </c>
      <c r="R2627" s="44" t="str">
        <f>VLOOKUP(F2627,'Set up'!$A$2:$E$70,5,FALSE)</f>
        <v>Cash</v>
      </c>
      <c r="S2627" s="1" t="s">
        <v>2420</v>
      </c>
    </row>
    <row r="2628" spans="1:19" ht="15" customHeight="1" x14ac:dyDescent="0.3">
      <c r="A2628" s="4">
        <v>45330</v>
      </c>
      <c r="B2628" s="5">
        <f t="shared" si="643"/>
        <v>2</v>
      </c>
      <c r="C2628" s="5">
        <f t="shared" si="644"/>
        <v>2024</v>
      </c>
      <c r="D2628" s="5" t="s">
        <v>2353</v>
      </c>
      <c r="E2628" s="5" t="str">
        <f>VLOOKUP(F2628,'Set up'!$A$2:$C$70,2,FALSE)</f>
        <v>C00000010</v>
      </c>
      <c r="F2628" s="1" t="s">
        <v>62</v>
      </c>
      <c r="G2628" s="99" t="s">
        <v>1178</v>
      </c>
      <c r="H2628" s="5">
        <v>6</v>
      </c>
      <c r="I2628" s="5">
        <f>VLOOKUP(F2628,'Set up'!$A$2:$C$70,3,FALSE)</f>
        <v>120</v>
      </c>
      <c r="J2628" s="5">
        <f>VLOOKUP(F2628,'Set up'!$A$2:$D$70,4,FALSE)</f>
        <v>120</v>
      </c>
      <c r="K2628" s="4">
        <f t="shared" si="645"/>
        <v>45450</v>
      </c>
      <c r="L2628" s="5">
        <f t="shared" si="646"/>
        <v>6</v>
      </c>
      <c r="M2628" s="5">
        <f t="shared" si="647"/>
        <v>2024</v>
      </c>
      <c r="N2628" s="6">
        <v>9636</v>
      </c>
      <c r="O2628" s="6">
        <f t="shared" ref="O2628:O2633" si="649">-N2628</f>
        <v>-9636</v>
      </c>
      <c r="P2628" s="6">
        <f t="shared" si="635"/>
        <v>0</v>
      </c>
      <c r="Q2628" s="7">
        <f t="shared" si="648"/>
        <v>4275419.45</v>
      </c>
      <c r="R2628" s="44" t="str">
        <f>VLOOKUP(F2628,'Set up'!$A$2:$E$70,5,FALSE)</f>
        <v>Trsf</v>
      </c>
      <c r="S2628" s="1" t="s">
        <v>2836</v>
      </c>
    </row>
    <row r="2629" spans="1:19" ht="15" customHeight="1" x14ac:dyDescent="0.3">
      <c r="A2629" s="4">
        <v>45330</v>
      </c>
      <c r="B2629" s="5">
        <f t="shared" si="643"/>
        <v>2</v>
      </c>
      <c r="C2629" s="5">
        <f t="shared" si="644"/>
        <v>2024</v>
      </c>
      <c r="D2629" s="5" t="s">
        <v>2353</v>
      </c>
      <c r="E2629" s="5" t="str">
        <f>VLOOKUP(F2629,'Set up'!$A$2:$C$70,2,FALSE)</f>
        <v>C00000010</v>
      </c>
      <c r="F2629" s="1" t="s">
        <v>62</v>
      </c>
      <c r="G2629" s="99" t="s">
        <v>1392</v>
      </c>
      <c r="H2629" s="5">
        <v>10</v>
      </c>
      <c r="I2629" s="5">
        <f>VLOOKUP(F2629,'Set up'!$A$2:$C$70,3,FALSE)</f>
        <v>120</v>
      </c>
      <c r="J2629" s="5">
        <f>VLOOKUP(F2629,'Set up'!$A$2:$D$70,4,FALSE)</f>
        <v>120</v>
      </c>
      <c r="K2629" s="4">
        <f t="shared" si="645"/>
        <v>45450</v>
      </c>
      <c r="L2629" s="5">
        <f t="shared" si="646"/>
        <v>6</v>
      </c>
      <c r="M2629" s="5">
        <f t="shared" si="647"/>
        <v>2024</v>
      </c>
      <c r="N2629" s="6">
        <v>1740</v>
      </c>
      <c r="O2629" s="6">
        <f t="shared" si="649"/>
        <v>-1740</v>
      </c>
      <c r="P2629" s="6">
        <f t="shared" si="635"/>
        <v>0</v>
      </c>
      <c r="Q2629" s="7">
        <f t="shared" si="648"/>
        <v>4277159.45</v>
      </c>
      <c r="R2629" s="44" t="str">
        <f>VLOOKUP(F2629,'Set up'!$A$2:$E$70,5,FALSE)</f>
        <v>Trsf</v>
      </c>
      <c r="S2629" s="1" t="s">
        <v>2836</v>
      </c>
    </row>
    <row r="2630" spans="1:19" ht="15" customHeight="1" x14ac:dyDescent="0.3">
      <c r="A2630" s="4">
        <v>45330</v>
      </c>
      <c r="B2630" s="5">
        <f t="shared" si="643"/>
        <v>2</v>
      </c>
      <c r="C2630" s="5">
        <f t="shared" si="644"/>
        <v>2024</v>
      </c>
      <c r="D2630" s="5" t="s">
        <v>2353</v>
      </c>
      <c r="E2630" s="5" t="str">
        <f>VLOOKUP(F2630,'Set up'!$A$2:$C$70,2,FALSE)</f>
        <v>C00000010</v>
      </c>
      <c r="F2630" s="1" t="s">
        <v>62</v>
      </c>
      <c r="G2630" s="99" t="s">
        <v>791</v>
      </c>
      <c r="H2630" s="5">
        <v>5</v>
      </c>
      <c r="I2630" s="5">
        <f>VLOOKUP(F2630,'Set up'!$A$2:$C$70,3,FALSE)</f>
        <v>120</v>
      </c>
      <c r="J2630" s="5">
        <f>VLOOKUP(F2630,'Set up'!$A$2:$D$70,4,FALSE)</f>
        <v>120</v>
      </c>
      <c r="K2630" s="4">
        <f t="shared" si="645"/>
        <v>45450</v>
      </c>
      <c r="L2630" s="5">
        <f t="shared" si="646"/>
        <v>6</v>
      </c>
      <c r="M2630" s="5">
        <f t="shared" si="647"/>
        <v>2024</v>
      </c>
      <c r="N2630" s="6">
        <v>287.5</v>
      </c>
      <c r="O2630" s="6">
        <f t="shared" si="649"/>
        <v>-287.5</v>
      </c>
      <c r="P2630" s="6">
        <f t="shared" si="635"/>
        <v>0</v>
      </c>
      <c r="Q2630" s="7">
        <f t="shared" si="648"/>
        <v>4277446.95</v>
      </c>
      <c r="R2630" s="44" t="str">
        <f>VLOOKUP(F2630,'Set up'!$A$2:$E$70,5,FALSE)</f>
        <v>Trsf</v>
      </c>
      <c r="S2630" s="1" t="s">
        <v>2836</v>
      </c>
    </row>
    <row r="2631" spans="1:19" ht="15" customHeight="1" x14ac:dyDescent="0.3">
      <c r="A2631" s="4">
        <v>45330</v>
      </c>
      <c r="B2631" s="5">
        <f t="shared" si="643"/>
        <v>2</v>
      </c>
      <c r="C2631" s="5">
        <f t="shared" si="644"/>
        <v>2024</v>
      </c>
      <c r="D2631" s="5" t="s">
        <v>2353</v>
      </c>
      <c r="E2631" s="5" t="str">
        <f>VLOOKUP(F2631,'Set up'!$A$2:$C$70,2,FALSE)</f>
        <v>C00000010</v>
      </c>
      <c r="F2631" s="1" t="s">
        <v>62</v>
      </c>
      <c r="G2631" s="99" t="s">
        <v>46</v>
      </c>
      <c r="H2631" s="5">
        <v>4</v>
      </c>
      <c r="I2631" s="5">
        <f>VLOOKUP(F2631,'Set up'!$A$2:$C$70,3,FALSE)</f>
        <v>120</v>
      </c>
      <c r="J2631" s="5">
        <f>VLOOKUP(F2631,'Set up'!$A$2:$D$70,4,FALSE)</f>
        <v>120</v>
      </c>
      <c r="K2631" s="4">
        <f t="shared" si="645"/>
        <v>45450</v>
      </c>
      <c r="L2631" s="5">
        <f t="shared" si="646"/>
        <v>6</v>
      </c>
      <c r="M2631" s="5">
        <f t="shared" si="647"/>
        <v>2024</v>
      </c>
      <c r="N2631" s="6">
        <v>440</v>
      </c>
      <c r="O2631" s="6">
        <f t="shared" si="649"/>
        <v>-440</v>
      </c>
      <c r="P2631" s="6">
        <f t="shared" si="635"/>
        <v>0</v>
      </c>
      <c r="Q2631" s="7">
        <f t="shared" si="648"/>
        <v>4277886.95</v>
      </c>
      <c r="R2631" s="44" t="str">
        <f>VLOOKUP(F2631,'Set up'!$A$2:$E$70,5,FALSE)</f>
        <v>Trsf</v>
      </c>
      <c r="S2631" s="1" t="s">
        <v>2836</v>
      </c>
    </row>
    <row r="2632" spans="1:19" ht="15" customHeight="1" x14ac:dyDescent="0.3">
      <c r="A2632" s="4">
        <v>45330</v>
      </c>
      <c r="B2632" s="5">
        <f t="shared" si="643"/>
        <v>2</v>
      </c>
      <c r="C2632" s="5">
        <f t="shared" si="644"/>
        <v>2024</v>
      </c>
      <c r="D2632" s="5" t="s">
        <v>2353</v>
      </c>
      <c r="E2632" s="5" t="str">
        <f>VLOOKUP(F2632,'Set up'!$A$2:$C$70,2,FALSE)</f>
        <v>C00000010</v>
      </c>
      <c r="F2632" s="1" t="s">
        <v>62</v>
      </c>
      <c r="G2632" s="99" t="s">
        <v>944</v>
      </c>
      <c r="H2632" s="5">
        <v>1</v>
      </c>
      <c r="I2632" s="5">
        <f>VLOOKUP(F2632,'Set up'!$A$2:$C$70,3,FALSE)</f>
        <v>120</v>
      </c>
      <c r="J2632" s="5">
        <f>VLOOKUP(F2632,'Set up'!$A$2:$D$70,4,FALSE)</f>
        <v>120</v>
      </c>
      <c r="K2632" s="4">
        <f t="shared" si="645"/>
        <v>45450</v>
      </c>
      <c r="L2632" s="5">
        <f t="shared" si="646"/>
        <v>6</v>
      </c>
      <c r="M2632" s="5">
        <f t="shared" si="647"/>
        <v>2024</v>
      </c>
      <c r="N2632" s="6">
        <v>420</v>
      </c>
      <c r="O2632" s="6">
        <f t="shared" si="649"/>
        <v>-420</v>
      </c>
      <c r="P2632" s="6">
        <f t="shared" si="635"/>
        <v>0</v>
      </c>
      <c r="Q2632" s="7">
        <f t="shared" si="648"/>
        <v>4278306.95</v>
      </c>
      <c r="R2632" s="44" t="str">
        <f>VLOOKUP(F2632,'Set up'!$A$2:$E$70,5,FALSE)</f>
        <v>Trsf</v>
      </c>
      <c r="S2632" s="1" t="s">
        <v>2836</v>
      </c>
    </row>
    <row r="2633" spans="1:19" ht="15" customHeight="1" x14ac:dyDescent="0.3">
      <c r="A2633" s="4">
        <v>45330</v>
      </c>
      <c r="B2633" s="5">
        <f t="shared" si="643"/>
        <v>2</v>
      </c>
      <c r="C2633" s="5">
        <f t="shared" si="644"/>
        <v>2024</v>
      </c>
      <c r="D2633" s="5" t="s">
        <v>2353</v>
      </c>
      <c r="E2633" s="5" t="str">
        <f>VLOOKUP(F2633,'Set up'!$A$2:$C$70,2,FALSE)</f>
        <v>C00000010</v>
      </c>
      <c r="F2633" s="1" t="s">
        <v>62</v>
      </c>
      <c r="G2633" s="99" t="s">
        <v>946</v>
      </c>
      <c r="H2633" s="5">
        <v>4</v>
      </c>
      <c r="I2633" s="5">
        <f>VLOOKUP(F2633,'Set up'!$A$2:$C$70,3,FALSE)</f>
        <v>120</v>
      </c>
      <c r="J2633" s="5">
        <f>VLOOKUP(F2633,'Set up'!$A$2:$D$70,4,FALSE)</f>
        <v>120</v>
      </c>
      <c r="K2633" s="4">
        <f t="shared" si="645"/>
        <v>45450</v>
      </c>
      <c r="L2633" s="5">
        <f t="shared" si="646"/>
        <v>6</v>
      </c>
      <c r="M2633" s="5">
        <f t="shared" si="647"/>
        <v>2024</v>
      </c>
      <c r="N2633" s="6">
        <v>220</v>
      </c>
      <c r="O2633" s="6">
        <f t="shared" si="649"/>
        <v>-220</v>
      </c>
      <c r="P2633" s="6">
        <f t="shared" si="635"/>
        <v>0</v>
      </c>
      <c r="Q2633" s="7">
        <f t="shared" si="648"/>
        <v>4278526.95</v>
      </c>
      <c r="R2633" s="44" t="str">
        <f>VLOOKUP(F2633,'Set up'!$A$2:$E$70,5,FALSE)</f>
        <v>Trsf</v>
      </c>
      <c r="S2633" s="1" t="s">
        <v>2836</v>
      </c>
    </row>
    <row r="2634" spans="1:19" ht="15" customHeight="1" x14ac:dyDescent="0.3">
      <c r="A2634" s="4">
        <v>45337</v>
      </c>
      <c r="B2634" s="5">
        <f t="shared" si="643"/>
        <v>2</v>
      </c>
      <c r="C2634" s="5">
        <f t="shared" si="644"/>
        <v>2024</v>
      </c>
      <c r="D2634" s="5" t="s">
        <v>2354</v>
      </c>
      <c r="E2634" s="5" t="str">
        <f>VLOOKUP(F2634,'Set up'!$A$2:$C$70,2,FALSE)</f>
        <v>C00000019</v>
      </c>
      <c r="F2634" s="1" t="s">
        <v>400</v>
      </c>
      <c r="G2634" s="99" t="s">
        <v>719</v>
      </c>
      <c r="H2634" s="5">
        <v>1</v>
      </c>
      <c r="I2634" s="5" t="str">
        <f>VLOOKUP(F2634,'Set up'!$A$2:$C$70,3,FALSE)</f>
        <v>Cash</v>
      </c>
      <c r="J2634" s="5">
        <f>VLOOKUP(F2634,'Set up'!$A$2:$D$70,4,FALSE)</f>
        <v>0</v>
      </c>
      <c r="K2634" s="4">
        <f t="shared" si="645"/>
        <v>45337</v>
      </c>
      <c r="L2634" s="5">
        <f t="shared" si="646"/>
        <v>2</v>
      </c>
      <c r="M2634" s="5">
        <f t="shared" si="647"/>
        <v>2024</v>
      </c>
      <c r="N2634" s="6">
        <v>1738</v>
      </c>
      <c r="O2634" s="6">
        <f>-1245-493</f>
        <v>-1738</v>
      </c>
      <c r="P2634" s="6">
        <f t="shared" si="635"/>
        <v>0</v>
      </c>
      <c r="Q2634" s="7">
        <f t="shared" si="648"/>
        <v>4280264.95</v>
      </c>
      <c r="R2634" s="44" t="str">
        <f>VLOOKUP(F2634,'Set up'!$A$2:$E$70,5,FALSE)</f>
        <v>Trsf</v>
      </c>
      <c r="S2634" s="1" t="s">
        <v>3591</v>
      </c>
    </row>
    <row r="2635" spans="1:19" ht="15" customHeight="1" x14ac:dyDescent="0.3">
      <c r="A2635" s="4">
        <v>45337</v>
      </c>
      <c r="B2635" s="5">
        <f t="shared" si="643"/>
        <v>2</v>
      </c>
      <c r="C2635" s="5">
        <f t="shared" si="644"/>
        <v>2024</v>
      </c>
      <c r="D2635" s="5" t="s">
        <v>2354</v>
      </c>
      <c r="E2635" s="5" t="str">
        <f>VLOOKUP(F2635,'Set up'!$A$2:$C$70,2,FALSE)</f>
        <v>C00000019</v>
      </c>
      <c r="F2635" s="1" t="s">
        <v>400</v>
      </c>
      <c r="G2635" s="99" t="s">
        <v>2141</v>
      </c>
      <c r="H2635" s="5">
        <v>1</v>
      </c>
      <c r="I2635" s="5" t="str">
        <f>VLOOKUP(F2635,'Set up'!$A$2:$C$70,3,FALSE)</f>
        <v>Cash</v>
      </c>
      <c r="J2635" s="5">
        <f>VLOOKUP(F2635,'Set up'!$A$2:$D$70,4,FALSE)</f>
        <v>0</v>
      </c>
      <c r="K2635" s="4">
        <f t="shared" si="645"/>
        <v>45337</v>
      </c>
      <c r="L2635" s="5">
        <f t="shared" si="646"/>
        <v>2</v>
      </c>
      <c r="M2635" s="5">
        <f t="shared" si="647"/>
        <v>2024</v>
      </c>
      <c r="N2635" s="6">
        <v>405</v>
      </c>
      <c r="O2635" s="6">
        <f t="shared" ref="O2635:O2637" si="650">-N2635</f>
        <v>-405</v>
      </c>
      <c r="P2635" s="6">
        <f t="shared" si="635"/>
        <v>0</v>
      </c>
      <c r="Q2635" s="7">
        <f t="shared" si="648"/>
        <v>4280669.95</v>
      </c>
      <c r="R2635" s="44" t="str">
        <f>VLOOKUP(F2635,'Set up'!$A$2:$E$70,5,FALSE)</f>
        <v>Trsf</v>
      </c>
      <c r="S2635" s="1" t="s">
        <v>3592</v>
      </c>
    </row>
    <row r="2636" spans="1:19" ht="15" customHeight="1" x14ac:dyDescent="0.3">
      <c r="A2636" s="4">
        <v>45337</v>
      </c>
      <c r="B2636" s="5">
        <f t="shared" si="643"/>
        <v>2</v>
      </c>
      <c r="C2636" s="5">
        <f t="shared" si="644"/>
        <v>2024</v>
      </c>
      <c r="D2636" s="5" t="s">
        <v>2354</v>
      </c>
      <c r="E2636" s="5" t="str">
        <f>VLOOKUP(F2636,'Set up'!$A$2:$C$70,2,FALSE)</f>
        <v>C00000019</v>
      </c>
      <c r="F2636" s="1" t="s">
        <v>400</v>
      </c>
      <c r="G2636" s="99" t="s">
        <v>791</v>
      </c>
      <c r="H2636" s="5">
        <v>3</v>
      </c>
      <c r="I2636" s="5" t="str">
        <f>VLOOKUP(F2636,'Set up'!$A$2:$C$70,3,FALSE)</f>
        <v>Cash</v>
      </c>
      <c r="J2636" s="5">
        <f>VLOOKUP(F2636,'Set up'!$A$2:$D$70,4,FALSE)</f>
        <v>0</v>
      </c>
      <c r="K2636" s="4">
        <f t="shared" si="645"/>
        <v>45337</v>
      </c>
      <c r="L2636" s="5">
        <f t="shared" si="646"/>
        <v>2</v>
      </c>
      <c r="M2636" s="5">
        <f t="shared" si="647"/>
        <v>2024</v>
      </c>
      <c r="N2636" s="6">
        <v>187.5</v>
      </c>
      <c r="O2636" s="6">
        <f t="shared" si="650"/>
        <v>-187.5</v>
      </c>
      <c r="P2636" s="6">
        <f t="shared" si="635"/>
        <v>0</v>
      </c>
      <c r="Q2636" s="7">
        <f t="shared" si="648"/>
        <v>4280857.45</v>
      </c>
      <c r="R2636" s="44" t="str">
        <f>VLOOKUP(F2636,'Set up'!$A$2:$E$70,5,FALSE)</f>
        <v>Trsf</v>
      </c>
      <c r="S2636" s="1" t="s">
        <v>3594</v>
      </c>
    </row>
    <row r="2637" spans="1:19" ht="15" customHeight="1" x14ac:dyDescent="0.3">
      <c r="A2637" s="4">
        <v>45337</v>
      </c>
      <c r="B2637" s="5">
        <f t="shared" si="643"/>
        <v>2</v>
      </c>
      <c r="C2637" s="5">
        <f t="shared" si="644"/>
        <v>2024</v>
      </c>
      <c r="D2637" s="5" t="s">
        <v>2354</v>
      </c>
      <c r="E2637" s="5" t="str">
        <f>VLOOKUP(F2637,'Set up'!$A$2:$C$70,2,FALSE)</f>
        <v>C00000019</v>
      </c>
      <c r="F2637" s="1" t="s">
        <v>400</v>
      </c>
      <c r="G2637" s="99" t="s">
        <v>1469</v>
      </c>
      <c r="H2637" s="5">
        <v>1</v>
      </c>
      <c r="I2637" s="5" t="str">
        <f>VLOOKUP(F2637,'Set up'!$A$2:$C$70,3,FALSE)</f>
        <v>Cash</v>
      </c>
      <c r="J2637" s="5">
        <f>VLOOKUP(F2637,'Set up'!$A$2:$D$70,4,FALSE)</f>
        <v>0</v>
      </c>
      <c r="K2637" s="4">
        <f t="shared" si="645"/>
        <v>45337</v>
      </c>
      <c r="L2637" s="5">
        <f t="shared" si="646"/>
        <v>2</v>
      </c>
      <c r="M2637" s="5">
        <f t="shared" si="647"/>
        <v>2024</v>
      </c>
      <c r="N2637" s="6">
        <v>390</v>
      </c>
      <c r="O2637" s="6">
        <f t="shared" si="650"/>
        <v>-390</v>
      </c>
      <c r="P2637" s="6">
        <f t="shared" si="635"/>
        <v>0</v>
      </c>
      <c r="Q2637" s="7">
        <f t="shared" si="648"/>
        <v>4281247.45</v>
      </c>
      <c r="R2637" s="44" t="str">
        <f>VLOOKUP(F2637,'Set up'!$A$2:$E$70,5,FALSE)</f>
        <v>Trsf</v>
      </c>
      <c r="S2637" s="1" t="s">
        <v>3593</v>
      </c>
    </row>
    <row r="2638" spans="1:19" ht="15" customHeight="1" x14ac:dyDescent="0.3">
      <c r="A2638" s="4">
        <v>45337</v>
      </c>
      <c r="B2638" s="5">
        <f t="shared" si="643"/>
        <v>2</v>
      </c>
      <c r="C2638" s="5">
        <f t="shared" si="644"/>
        <v>2024</v>
      </c>
      <c r="D2638" s="5" t="s">
        <v>2355</v>
      </c>
      <c r="E2638" s="5" t="str">
        <f>VLOOKUP(F2638,'Set up'!$A$2:$C$70,2,FALSE)</f>
        <v>C00000010</v>
      </c>
      <c r="F2638" s="1" t="s">
        <v>62</v>
      </c>
      <c r="G2638" s="99" t="s">
        <v>791</v>
      </c>
      <c r="H2638" s="5">
        <v>5</v>
      </c>
      <c r="I2638" s="5">
        <f>VLOOKUP(F2638,'Set up'!$A$2:$C$70,3,FALSE)</f>
        <v>120</v>
      </c>
      <c r="J2638" s="5">
        <f>VLOOKUP(F2638,'Set up'!$A$2:$D$70,4,FALSE)</f>
        <v>120</v>
      </c>
      <c r="K2638" s="4">
        <f t="shared" si="645"/>
        <v>45457</v>
      </c>
      <c r="L2638" s="5">
        <f t="shared" si="646"/>
        <v>6</v>
      </c>
      <c r="M2638" s="5">
        <f t="shared" si="647"/>
        <v>2024</v>
      </c>
      <c r="N2638" s="6">
        <v>287.5</v>
      </c>
      <c r="O2638" s="6">
        <f>-N2638</f>
        <v>-287.5</v>
      </c>
      <c r="P2638" s="6">
        <f t="shared" si="635"/>
        <v>0</v>
      </c>
      <c r="Q2638" s="7">
        <f t="shared" si="648"/>
        <v>4281534.95</v>
      </c>
      <c r="R2638" s="44" t="str">
        <f>VLOOKUP(F2638,'Set up'!$A$2:$E$70,5,FALSE)</f>
        <v>Trsf</v>
      </c>
      <c r="S2638" s="1" t="s">
        <v>2836</v>
      </c>
    </row>
    <row r="2639" spans="1:19" ht="15" customHeight="1" x14ac:dyDescent="0.3">
      <c r="A2639" s="4">
        <v>45337</v>
      </c>
      <c r="B2639" s="5">
        <f t="shared" si="643"/>
        <v>2</v>
      </c>
      <c r="C2639" s="5">
        <f t="shared" si="644"/>
        <v>2024</v>
      </c>
      <c r="D2639" s="5" t="s">
        <v>2355</v>
      </c>
      <c r="E2639" s="5" t="str">
        <f>VLOOKUP(F2639,'Set up'!$A$2:$C$70,2,FALSE)</f>
        <v>C00000010</v>
      </c>
      <c r="F2639" s="1" t="s">
        <v>62</v>
      </c>
      <c r="G2639" s="99" t="s">
        <v>944</v>
      </c>
      <c r="H2639" s="5">
        <v>1</v>
      </c>
      <c r="I2639" s="5">
        <f>VLOOKUP(F2639,'Set up'!$A$2:$C$70,3,FALSE)</f>
        <v>120</v>
      </c>
      <c r="J2639" s="5">
        <f>VLOOKUP(F2639,'Set up'!$A$2:$D$70,4,FALSE)</f>
        <v>120</v>
      </c>
      <c r="K2639" s="4">
        <f t="shared" si="645"/>
        <v>45457</v>
      </c>
      <c r="L2639" s="5">
        <f t="shared" si="646"/>
        <v>6</v>
      </c>
      <c r="M2639" s="5">
        <f t="shared" si="647"/>
        <v>2024</v>
      </c>
      <c r="N2639" s="6">
        <v>420</v>
      </c>
      <c r="O2639" s="6">
        <f>-N2639</f>
        <v>-420</v>
      </c>
      <c r="P2639" s="6">
        <f t="shared" si="635"/>
        <v>0</v>
      </c>
      <c r="Q2639" s="7">
        <f t="shared" si="648"/>
        <v>4281954.95</v>
      </c>
      <c r="R2639" s="44" t="str">
        <f>VLOOKUP(F2639,'Set up'!$A$2:$E$70,5,FALSE)</f>
        <v>Trsf</v>
      </c>
      <c r="S2639" s="1" t="s">
        <v>2836</v>
      </c>
    </row>
    <row r="2640" spans="1:19" ht="15" customHeight="1" x14ac:dyDescent="0.3">
      <c r="A2640" s="4">
        <v>45338</v>
      </c>
      <c r="B2640" s="5">
        <f t="shared" si="643"/>
        <v>2</v>
      </c>
      <c r="C2640" s="5">
        <f t="shared" si="644"/>
        <v>2024</v>
      </c>
      <c r="D2640" s="5" t="s">
        <v>2356</v>
      </c>
      <c r="E2640" s="5" t="str">
        <f>VLOOKUP(F2640,'Set up'!$A$2:$C$70,2,FALSE)</f>
        <v>C00000021</v>
      </c>
      <c r="F2640" s="1" t="s">
        <v>491</v>
      </c>
      <c r="G2640" s="99" t="s">
        <v>67</v>
      </c>
      <c r="H2640" s="5">
        <v>1</v>
      </c>
      <c r="I2640" s="5" t="str">
        <f>VLOOKUP(F2640,'Set up'!$A$2:$C$70,3,FALSE)</f>
        <v>Cash</v>
      </c>
      <c r="J2640" s="5">
        <f>VLOOKUP(F2640,'Set up'!$A$2:$D$70,4,FALSE)</f>
        <v>0</v>
      </c>
      <c r="K2640" s="4">
        <f t="shared" si="645"/>
        <v>45338</v>
      </c>
      <c r="L2640" s="5">
        <f t="shared" si="646"/>
        <v>2</v>
      </c>
      <c r="M2640" s="5">
        <f t="shared" si="647"/>
        <v>2024</v>
      </c>
      <c r="N2640" s="6">
        <v>1738</v>
      </c>
      <c r="P2640" s="6">
        <f t="shared" si="635"/>
        <v>1738</v>
      </c>
      <c r="Q2640" s="7">
        <f t="shared" si="648"/>
        <v>4283692.95</v>
      </c>
      <c r="R2640" s="44" t="str">
        <f>VLOOKUP(F2640,'Set up'!$A$2:$E$70,5,FALSE)</f>
        <v>PD Chq</v>
      </c>
    </row>
    <row r="2641" spans="1:19" ht="15" customHeight="1" x14ac:dyDescent="0.3">
      <c r="A2641" s="4">
        <v>45338</v>
      </c>
      <c r="B2641" s="5">
        <f t="shared" si="643"/>
        <v>2</v>
      </c>
      <c r="C2641" s="5">
        <f t="shared" si="644"/>
        <v>2024</v>
      </c>
      <c r="D2641" s="5" t="s">
        <v>2356</v>
      </c>
      <c r="E2641" s="5" t="str">
        <f>VLOOKUP(F2641,'Set up'!$A$2:$C$70,2,FALSE)</f>
        <v>C00000021</v>
      </c>
      <c r="F2641" s="1" t="s">
        <v>491</v>
      </c>
      <c r="G2641" s="99" t="s">
        <v>2144</v>
      </c>
      <c r="H2641" s="5">
        <v>1</v>
      </c>
      <c r="I2641" s="5" t="str">
        <f>VLOOKUP(F2641,'Set up'!$A$2:$C$70,3,FALSE)</f>
        <v>Cash</v>
      </c>
      <c r="J2641" s="5">
        <f>VLOOKUP(F2641,'Set up'!$A$2:$D$70,4,FALSE)</f>
        <v>0</v>
      </c>
      <c r="K2641" s="4">
        <f t="shared" si="645"/>
        <v>45338</v>
      </c>
      <c r="L2641" s="5">
        <f t="shared" si="646"/>
        <v>2</v>
      </c>
      <c r="M2641" s="5">
        <f t="shared" si="647"/>
        <v>2024</v>
      </c>
      <c r="N2641" s="6">
        <v>259.60000000000002</v>
      </c>
      <c r="P2641" s="6">
        <f t="shared" si="635"/>
        <v>259.60000000000002</v>
      </c>
      <c r="Q2641" s="7">
        <f t="shared" si="648"/>
        <v>4283952.55</v>
      </c>
      <c r="R2641" s="44" t="str">
        <f>VLOOKUP(F2641,'Set up'!$A$2:$E$70,5,FALSE)</f>
        <v>PD Chq</v>
      </c>
    </row>
    <row r="2642" spans="1:19" ht="15" customHeight="1" x14ac:dyDescent="0.3">
      <c r="A2642" s="4">
        <v>45338</v>
      </c>
      <c r="B2642" s="5">
        <f t="shared" si="643"/>
        <v>2</v>
      </c>
      <c r="C2642" s="5">
        <f t="shared" si="644"/>
        <v>2024</v>
      </c>
      <c r="D2642" s="5" t="s">
        <v>2356</v>
      </c>
      <c r="E2642" s="5" t="str">
        <f>VLOOKUP(F2642,'Set up'!$A$2:$C$70,2,FALSE)</f>
        <v>C00000021</v>
      </c>
      <c r="F2642" s="1" t="s">
        <v>491</v>
      </c>
      <c r="G2642" s="99" t="s">
        <v>1061</v>
      </c>
      <c r="H2642" s="5">
        <v>1</v>
      </c>
      <c r="I2642" s="5" t="str">
        <f>VLOOKUP(F2642,'Set up'!$A$2:$C$70,3,FALSE)</f>
        <v>Cash</v>
      </c>
      <c r="J2642" s="5">
        <f>VLOOKUP(F2642,'Set up'!$A$2:$D$70,4,FALSE)</f>
        <v>0</v>
      </c>
      <c r="K2642" s="4">
        <f t="shared" si="645"/>
        <v>45338</v>
      </c>
      <c r="L2642" s="5">
        <f t="shared" si="646"/>
        <v>2</v>
      </c>
      <c r="M2642" s="5">
        <f t="shared" si="647"/>
        <v>2024</v>
      </c>
      <c r="N2642" s="6">
        <v>95</v>
      </c>
      <c r="P2642" s="6">
        <f t="shared" si="635"/>
        <v>95</v>
      </c>
      <c r="Q2642" s="7">
        <f t="shared" si="648"/>
        <v>4284047.55</v>
      </c>
      <c r="R2642" s="44" t="str">
        <f>VLOOKUP(F2642,'Set up'!$A$2:$E$70,5,FALSE)</f>
        <v>PD Chq</v>
      </c>
    </row>
    <row r="2643" spans="1:19" ht="15" customHeight="1" x14ac:dyDescent="0.3">
      <c r="A2643" s="4">
        <v>45338</v>
      </c>
      <c r="B2643" s="5">
        <f t="shared" si="643"/>
        <v>2</v>
      </c>
      <c r="C2643" s="5">
        <f t="shared" si="644"/>
        <v>2024</v>
      </c>
      <c r="D2643" s="5" t="s">
        <v>2356</v>
      </c>
      <c r="E2643" s="5" t="str">
        <f>VLOOKUP(F2643,'Set up'!$A$2:$C$70,2,FALSE)</f>
        <v>C00000021</v>
      </c>
      <c r="F2643" s="1" t="s">
        <v>491</v>
      </c>
      <c r="G2643" s="99" t="s">
        <v>1110</v>
      </c>
      <c r="H2643" s="5">
        <v>5</v>
      </c>
      <c r="I2643" s="5" t="str">
        <f>VLOOKUP(F2643,'Set up'!$A$2:$C$70,3,FALSE)</f>
        <v>Cash</v>
      </c>
      <c r="J2643" s="5">
        <f>VLOOKUP(F2643,'Set up'!$A$2:$D$70,4,FALSE)</f>
        <v>0</v>
      </c>
      <c r="K2643" s="4">
        <f t="shared" si="645"/>
        <v>45338</v>
      </c>
      <c r="L2643" s="5">
        <f t="shared" si="646"/>
        <v>2</v>
      </c>
      <c r="M2643" s="5">
        <f t="shared" si="647"/>
        <v>2024</v>
      </c>
      <c r="N2643" s="6">
        <v>312.5</v>
      </c>
      <c r="P2643" s="6">
        <f t="shared" si="635"/>
        <v>312.5</v>
      </c>
      <c r="Q2643" s="7">
        <f t="shared" si="648"/>
        <v>4284360.05</v>
      </c>
      <c r="R2643" s="44" t="str">
        <f>VLOOKUP(F2643,'Set up'!$A$2:$E$70,5,FALSE)</f>
        <v>PD Chq</v>
      </c>
    </row>
    <row r="2644" spans="1:19" ht="15" customHeight="1" x14ac:dyDescent="0.3">
      <c r="A2644" s="4">
        <v>45341</v>
      </c>
      <c r="B2644" s="5">
        <f t="shared" si="643"/>
        <v>2</v>
      </c>
      <c r="C2644" s="5">
        <f t="shared" si="644"/>
        <v>2024</v>
      </c>
      <c r="D2644" s="5" t="s">
        <v>2357</v>
      </c>
      <c r="E2644" s="5" t="str">
        <f>VLOOKUP(F2644,'Set up'!$A$2:$C$70,2,FALSE)</f>
        <v>C00000042</v>
      </c>
      <c r="F2644" s="1" t="s">
        <v>2012</v>
      </c>
      <c r="G2644" s="99" t="s">
        <v>1110</v>
      </c>
      <c r="H2644" s="5">
        <v>2</v>
      </c>
      <c r="I2644" s="5" t="str">
        <f>VLOOKUP(F2644,'Set up'!$A$2:$C$70,3,FALSE)</f>
        <v>Cash</v>
      </c>
      <c r="J2644" s="5">
        <f>VLOOKUP(F2644,'Set up'!$A$2:$D$70,4,FALSE)</f>
        <v>0</v>
      </c>
      <c r="K2644" s="4">
        <f t="shared" si="645"/>
        <v>45341</v>
      </c>
      <c r="L2644" s="5">
        <f t="shared" si="646"/>
        <v>2</v>
      </c>
      <c r="M2644" s="5">
        <f t="shared" si="647"/>
        <v>2024</v>
      </c>
      <c r="N2644" s="6">
        <v>125</v>
      </c>
      <c r="O2644" s="6">
        <f t="shared" ref="O2644:O2650" si="651">-N2644</f>
        <v>-125</v>
      </c>
      <c r="P2644" s="6">
        <f t="shared" si="635"/>
        <v>0</v>
      </c>
      <c r="Q2644" s="7">
        <f t="shared" si="648"/>
        <v>4284485.05</v>
      </c>
      <c r="R2644" s="44" t="str">
        <f>VLOOKUP(F2644,'Set up'!$A$2:$E$70,5,FALSE)</f>
        <v>Trsf</v>
      </c>
      <c r="S2644" s="1" t="s">
        <v>2919</v>
      </c>
    </row>
    <row r="2645" spans="1:19" ht="15" customHeight="1" x14ac:dyDescent="0.3">
      <c r="A2645" s="4">
        <v>45342</v>
      </c>
      <c r="B2645" s="5">
        <f t="shared" si="643"/>
        <v>2</v>
      </c>
      <c r="C2645" s="5">
        <f t="shared" si="644"/>
        <v>2024</v>
      </c>
      <c r="D2645" s="5" t="s">
        <v>2358</v>
      </c>
      <c r="E2645" s="5" t="str">
        <f>VLOOKUP(F2645,'Set up'!$A$2:$C$70,2,FALSE)</f>
        <v>C00000042</v>
      </c>
      <c r="F2645" s="1" t="s">
        <v>2012</v>
      </c>
      <c r="G2645" s="99" t="s">
        <v>1733</v>
      </c>
      <c r="H2645" s="5">
        <v>2</v>
      </c>
      <c r="I2645" s="5" t="str">
        <f>VLOOKUP(F2645,'Set up'!$A$2:$C$70,3,FALSE)</f>
        <v>Cash</v>
      </c>
      <c r="J2645" s="5">
        <f>VLOOKUP(F2645,'Set up'!$A$2:$D$70,4,FALSE)</f>
        <v>0</v>
      </c>
      <c r="K2645" s="4">
        <f t="shared" si="645"/>
        <v>45342</v>
      </c>
      <c r="L2645" s="5">
        <f t="shared" si="646"/>
        <v>2</v>
      </c>
      <c r="M2645" s="5">
        <f t="shared" si="647"/>
        <v>2024</v>
      </c>
      <c r="N2645" s="6">
        <v>3212</v>
      </c>
      <c r="O2645" s="6">
        <f t="shared" si="651"/>
        <v>-3212</v>
      </c>
      <c r="P2645" s="6">
        <f t="shared" ref="P2645:P2708" si="652">SUM(N2645+O2645)</f>
        <v>0</v>
      </c>
      <c r="Q2645" s="7">
        <f t="shared" si="648"/>
        <v>4287697.05</v>
      </c>
      <c r="R2645" s="44" t="str">
        <f>VLOOKUP(F2645,'Set up'!$A$2:$E$70,5,FALSE)</f>
        <v>Trsf</v>
      </c>
      <c r="S2645" s="1" t="s">
        <v>2920</v>
      </c>
    </row>
    <row r="2646" spans="1:19" ht="15" customHeight="1" x14ac:dyDescent="0.3">
      <c r="A2646" s="4">
        <v>45342</v>
      </c>
      <c r="B2646" s="5">
        <f t="shared" si="643"/>
        <v>2</v>
      </c>
      <c r="C2646" s="5">
        <f t="shared" si="644"/>
        <v>2024</v>
      </c>
      <c r="D2646" s="5" t="s">
        <v>2358</v>
      </c>
      <c r="E2646" s="5" t="str">
        <f>VLOOKUP(F2646,'Set up'!$A$2:$C$70,2,FALSE)</f>
        <v>C00000042</v>
      </c>
      <c r="F2646" s="1" t="s">
        <v>2012</v>
      </c>
      <c r="G2646" s="99" t="s">
        <v>913</v>
      </c>
      <c r="H2646" s="5">
        <v>15</v>
      </c>
      <c r="I2646" s="5" t="str">
        <f>VLOOKUP(F2646,'Set up'!$A$2:$C$70,3,FALSE)</f>
        <v>Cash</v>
      </c>
      <c r="J2646" s="5">
        <f>VLOOKUP(F2646,'Set up'!$A$2:$D$70,4,FALSE)</f>
        <v>0</v>
      </c>
      <c r="K2646" s="4">
        <f t="shared" si="645"/>
        <v>45342</v>
      </c>
      <c r="L2646" s="5">
        <f t="shared" si="646"/>
        <v>2</v>
      </c>
      <c r="M2646" s="5">
        <f t="shared" si="647"/>
        <v>2024</v>
      </c>
      <c r="N2646" s="6">
        <v>2610</v>
      </c>
      <c r="O2646" s="6">
        <f t="shared" si="651"/>
        <v>-2610</v>
      </c>
      <c r="P2646" s="6">
        <f t="shared" si="652"/>
        <v>0</v>
      </c>
      <c r="Q2646" s="7">
        <f t="shared" si="648"/>
        <v>4290307.05</v>
      </c>
      <c r="R2646" s="44" t="str">
        <f>VLOOKUP(F2646,'Set up'!$A$2:$E$70,5,FALSE)</f>
        <v>Trsf</v>
      </c>
      <c r="S2646" s="1" t="s">
        <v>2921</v>
      </c>
    </row>
    <row r="2647" spans="1:19" ht="15" customHeight="1" x14ac:dyDescent="0.3">
      <c r="A2647" s="4">
        <v>45342</v>
      </c>
      <c r="B2647" s="5">
        <f t="shared" si="643"/>
        <v>2</v>
      </c>
      <c r="C2647" s="5">
        <f t="shared" si="644"/>
        <v>2024</v>
      </c>
      <c r="D2647" s="5" t="s">
        <v>2358</v>
      </c>
      <c r="E2647" s="5" t="str">
        <f>VLOOKUP(F2647,'Set up'!$A$2:$C$70,2,FALSE)</f>
        <v>C00000042</v>
      </c>
      <c r="F2647" s="1" t="s">
        <v>2012</v>
      </c>
      <c r="G2647" s="99" t="s">
        <v>1922</v>
      </c>
      <c r="H2647" s="5">
        <v>2</v>
      </c>
      <c r="I2647" s="5" t="str">
        <f>VLOOKUP(F2647,'Set up'!$A$2:$C$70,3,FALSE)</f>
        <v>Cash</v>
      </c>
      <c r="J2647" s="5">
        <f>VLOOKUP(F2647,'Set up'!$A$2:$D$70,4,FALSE)</f>
        <v>0</v>
      </c>
      <c r="K2647" s="4">
        <f t="shared" si="645"/>
        <v>45342</v>
      </c>
      <c r="L2647" s="5">
        <f t="shared" si="646"/>
        <v>2</v>
      </c>
      <c r="M2647" s="5">
        <f t="shared" si="647"/>
        <v>2024</v>
      </c>
      <c r="N2647" s="6">
        <v>468</v>
      </c>
      <c r="O2647" s="6">
        <f t="shared" si="651"/>
        <v>-468</v>
      </c>
      <c r="P2647" s="6">
        <f t="shared" si="652"/>
        <v>0</v>
      </c>
      <c r="Q2647" s="7">
        <f t="shared" si="648"/>
        <v>4290775.05</v>
      </c>
      <c r="R2647" s="44" t="str">
        <f>VLOOKUP(F2647,'Set up'!$A$2:$E$70,5,FALSE)</f>
        <v>Trsf</v>
      </c>
      <c r="S2647" s="1" t="s">
        <v>2922</v>
      </c>
    </row>
    <row r="2648" spans="1:19" ht="15" customHeight="1" x14ac:dyDescent="0.3">
      <c r="A2648" s="4">
        <v>45342</v>
      </c>
      <c r="B2648" s="5">
        <f t="shared" si="643"/>
        <v>2</v>
      </c>
      <c r="C2648" s="5">
        <f t="shared" si="644"/>
        <v>2024</v>
      </c>
      <c r="D2648" s="5" t="s">
        <v>2358</v>
      </c>
      <c r="E2648" s="5" t="str">
        <f>VLOOKUP(F2648,'Set up'!$A$2:$C$70,2,FALSE)</f>
        <v>C00000042</v>
      </c>
      <c r="F2648" s="1" t="s">
        <v>2012</v>
      </c>
      <c r="G2648" s="99" t="s">
        <v>1061</v>
      </c>
      <c r="H2648" s="5">
        <v>4</v>
      </c>
      <c r="I2648" s="5" t="str">
        <f>VLOOKUP(F2648,'Set up'!$A$2:$C$70,3,FALSE)</f>
        <v>Cash</v>
      </c>
      <c r="J2648" s="5">
        <f>VLOOKUP(F2648,'Set up'!$A$2:$D$70,4,FALSE)</f>
        <v>0</v>
      </c>
      <c r="K2648" s="4">
        <f t="shared" si="645"/>
        <v>45342</v>
      </c>
      <c r="L2648" s="5">
        <f t="shared" si="646"/>
        <v>2</v>
      </c>
      <c r="M2648" s="5">
        <f t="shared" si="647"/>
        <v>2024</v>
      </c>
      <c r="N2648" s="6">
        <v>380</v>
      </c>
      <c r="O2648" s="6">
        <f t="shared" si="651"/>
        <v>-380</v>
      </c>
      <c r="P2648" s="6">
        <f t="shared" si="652"/>
        <v>0</v>
      </c>
      <c r="Q2648" s="7">
        <f t="shared" si="648"/>
        <v>4291155.05</v>
      </c>
      <c r="R2648" s="44" t="str">
        <f>VLOOKUP(F2648,'Set up'!$A$2:$E$70,5,FALSE)</f>
        <v>Trsf</v>
      </c>
      <c r="S2648" s="1" t="s">
        <v>2918</v>
      </c>
    </row>
    <row r="2649" spans="1:19" ht="15" customHeight="1" x14ac:dyDescent="0.3">
      <c r="A2649" s="4">
        <v>45342</v>
      </c>
      <c r="B2649" s="5">
        <f t="shared" si="643"/>
        <v>2</v>
      </c>
      <c r="C2649" s="5">
        <f t="shared" si="644"/>
        <v>2024</v>
      </c>
      <c r="D2649" s="5" t="s">
        <v>2358</v>
      </c>
      <c r="E2649" s="5" t="str">
        <f>VLOOKUP(F2649,'Set up'!$A$2:$C$70,2,FALSE)</f>
        <v>C00000042</v>
      </c>
      <c r="F2649" s="1" t="s">
        <v>2012</v>
      </c>
      <c r="G2649" s="99" t="s">
        <v>2002</v>
      </c>
      <c r="H2649" s="5">
        <v>1</v>
      </c>
      <c r="I2649" s="5" t="str">
        <f>VLOOKUP(F2649,'Set up'!$A$2:$C$70,3,FALSE)</f>
        <v>Cash</v>
      </c>
      <c r="J2649" s="5">
        <f>VLOOKUP(F2649,'Set up'!$A$2:$D$70,4,FALSE)</f>
        <v>0</v>
      </c>
      <c r="K2649" s="4">
        <f t="shared" si="645"/>
        <v>45342</v>
      </c>
      <c r="L2649" s="5">
        <f t="shared" si="646"/>
        <v>2</v>
      </c>
      <c r="M2649" s="5">
        <f t="shared" si="647"/>
        <v>2024</v>
      </c>
      <c r="N2649" s="6">
        <v>900</v>
      </c>
      <c r="O2649" s="6">
        <f t="shared" si="651"/>
        <v>-900</v>
      </c>
      <c r="P2649" s="6">
        <f t="shared" si="652"/>
        <v>0</v>
      </c>
      <c r="Q2649" s="7">
        <f t="shared" si="648"/>
        <v>4292055.05</v>
      </c>
      <c r="R2649" s="44" t="str">
        <f>VLOOKUP(F2649,'Set up'!$A$2:$E$70,5,FALSE)</f>
        <v>Trsf</v>
      </c>
      <c r="S2649" s="1" t="s">
        <v>2923</v>
      </c>
    </row>
    <row r="2650" spans="1:19" ht="15" customHeight="1" x14ac:dyDescent="0.3">
      <c r="A2650" s="4">
        <v>45342</v>
      </c>
      <c r="B2650" s="5">
        <f t="shared" si="643"/>
        <v>2</v>
      </c>
      <c r="C2650" s="5">
        <f t="shared" si="644"/>
        <v>2024</v>
      </c>
      <c r="D2650" s="5" t="s">
        <v>2358</v>
      </c>
      <c r="E2650" s="5" t="str">
        <f>VLOOKUP(F2650,'Set up'!$A$2:$C$70,2,FALSE)</f>
        <v>C00000042</v>
      </c>
      <c r="F2650" s="1" t="s">
        <v>2012</v>
      </c>
      <c r="G2650" s="99" t="s">
        <v>46</v>
      </c>
      <c r="H2650" s="5">
        <v>1</v>
      </c>
      <c r="I2650" s="5" t="str">
        <f>VLOOKUP(F2650,'Set up'!$A$2:$C$70,3,FALSE)</f>
        <v>Cash</v>
      </c>
      <c r="J2650" s="5">
        <f>VLOOKUP(F2650,'Set up'!$A$2:$D$70,4,FALSE)</f>
        <v>0</v>
      </c>
      <c r="K2650" s="4">
        <f t="shared" si="645"/>
        <v>45342</v>
      </c>
      <c r="L2650" s="5">
        <f t="shared" si="646"/>
        <v>2</v>
      </c>
      <c r="M2650" s="5">
        <f t="shared" si="647"/>
        <v>2024</v>
      </c>
      <c r="N2650" s="6">
        <v>110</v>
      </c>
      <c r="O2650" s="6">
        <f t="shared" si="651"/>
        <v>-110</v>
      </c>
      <c r="P2650" s="6">
        <f t="shared" si="652"/>
        <v>0</v>
      </c>
      <c r="Q2650" s="7">
        <f t="shared" si="648"/>
        <v>4292165.05</v>
      </c>
      <c r="R2650" s="44" t="str">
        <f>VLOOKUP(F2650,'Set up'!$A$2:$E$70,5,FALSE)</f>
        <v>Trsf</v>
      </c>
      <c r="S2650" s="1" t="s">
        <v>2924</v>
      </c>
    </row>
    <row r="2651" spans="1:19" ht="15" customHeight="1" x14ac:dyDescent="0.3">
      <c r="A2651" s="4">
        <v>45342</v>
      </c>
      <c r="B2651" s="5">
        <f t="shared" si="643"/>
        <v>2</v>
      </c>
      <c r="C2651" s="5">
        <f t="shared" si="644"/>
        <v>2024</v>
      </c>
      <c r="D2651" s="5" t="s">
        <v>2359</v>
      </c>
      <c r="E2651" s="5" t="str">
        <f>VLOOKUP(F2651,'Set up'!$A$2:$C$70,2,FALSE)</f>
        <v>C00000026</v>
      </c>
      <c r="F2651" s="1" t="s">
        <v>784</v>
      </c>
      <c r="G2651" s="99" t="s">
        <v>1399</v>
      </c>
      <c r="H2651" s="5">
        <v>2</v>
      </c>
      <c r="I2651" s="5" t="str">
        <f>VLOOKUP(F2651,'Set up'!$A$2:$C$70,3,FALSE)</f>
        <v>Cash</v>
      </c>
      <c r="J2651" s="5">
        <f>VLOOKUP(F2651,'Set up'!$A$2:$D$70,4,FALSE)</f>
        <v>0</v>
      </c>
      <c r="K2651" s="4">
        <f t="shared" si="645"/>
        <v>45342</v>
      </c>
      <c r="L2651" s="5">
        <f t="shared" si="646"/>
        <v>2</v>
      </c>
      <c r="M2651" s="5">
        <f t="shared" si="647"/>
        <v>2024</v>
      </c>
      <c r="N2651" s="6">
        <v>350</v>
      </c>
      <c r="O2651" s="6">
        <f t="shared" ref="O2651:O2654" si="653">-N2651</f>
        <v>-350</v>
      </c>
      <c r="P2651" s="6">
        <f t="shared" si="652"/>
        <v>0</v>
      </c>
      <c r="Q2651" s="7">
        <f t="shared" si="648"/>
        <v>4292515.05</v>
      </c>
      <c r="R2651" s="44" t="str">
        <f>VLOOKUP(F2651,'Set up'!$A$2:$E$70,5,FALSE)</f>
        <v>Trsf</v>
      </c>
      <c r="S2651" s="1" t="s">
        <v>2417</v>
      </c>
    </row>
    <row r="2652" spans="1:19" ht="15" customHeight="1" x14ac:dyDescent="0.3">
      <c r="A2652" s="4">
        <v>45342</v>
      </c>
      <c r="B2652" s="5">
        <f t="shared" si="643"/>
        <v>2</v>
      </c>
      <c r="C2652" s="5">
        <f t="shared" si="644"/>
        <v>2024</v>
      </c>
      <c r="D2652" s="5" t="s">
        <v>2359</v>
      </c>
      <c r="E2652" s="5" t="str">
        <f>VLOOKUP(F2652,'Set up'!$A$2:$C$70,2,FALSE)</f>
        <v>C00000026</v>
      </c>
      <c r="F2652" s="1" t="s">
        <v>784</v>
      </c>
      <c r="G2652" s="99" t="s">
        <v>1129</v>
      </c>
      <c r="H2652" s="5">
        <v>1</v>
      </c>
      <c r="I2652" s="5" t="str">
        <f>VLOOKUP(F2652,'Set up'!$A$2:$C$70,3,FALSE)</f>
        <v>Cash</v>
      </c>
      <c r="J2652" s="5">
        <f>VLOOKUP(F2652,'Set up'!$A$2:$D$70,4,FALSE)</f>
        <v>0</v>
      </c>
      <c r="K2652" s="4">
        <f t="shared" si="645"/>
        <v>45342</v>
      </c>
      <c r="L2652" s="5">
        <f t="shared" si="646"/>
        <v>2</v>
      </c>
      <c r="M2652" s="5">
        <f t="shared" si="647"/>
        <v>2024</v>
      </c>
      <c r="N2652" s="6">
        <v>50</v>
      </c>
      <c r="O2652" s="6">
        <f t="shared" si="653"/>
        <v>-50</v>
      </c>
      <c r="P2652" s="6">
        <f t="shared" si="652"/>
        <v>0</v>
      </c>
      <c r="Q2652" s="7">
        <f t="shared" si="648"/>
        <v>4292565.05</v>
      </c>
      <c r="R2652" s="44" t="str">
        <f>VLOOKUP(F2652,'Set up'!$A$2:$E$70,5,FALSE)</f>
        <v>Trsf</v>
      </c>
      <c r="S2652" s="1" t="s">
        <v>2417</v>
      </c>
    </row>
    <row r="2653" spans="1:19" ht="15" customHeight="1" x14ac:dyDescent="0.3">
      <c r="A2653" s="4">
        <v>45342</v>
      </c>
      <c r="B2653" s="5">
        <f t="shared" si="643"/>
        <v>2</v>
      </c>
      <c r="C2653" s="5">
        <f t="shared" si="644"/>
        <v>2024</v>
      </c>
      <c r="D2653" s="5" t="s">
        <v>2360</v>
      </c>
      <c r="E2653" s="5" t="str">
        <f>VLOOKUP(F2653,'Set up'!$A$2:$C$70,2,FALSE)</f>
        <v>C00000047</v>
      </c>
      <c r="F2653" s="1" t="s">
        <v>2362</v>
      </c>
      <c r="G2653" s="99" t="s">
        <v>2138</v>
      </c>
      <c r="H2653" s="5">
        <v>1</v>
      </c>
      <c r="I2653" s="5" t="str">
        <f>VLOOKUP(F2653,'Set up'!$A$2:$C$70,3,FALSE)</f>
        <v>Cash</v>
      </c>
      <c r="J2653" s="5">
        <f>VLOOKUP(F2653,'Set up'!$A$2:$D$70,4,FALSE)</f>
        <v>0</v>
      </c>
      <c r="K2653" s="4">
        <f t="shared" si="645"/>
        <v>45342</v>
      </c>
      <c r="L2653" s="5">
        <f t="shared" si="646"/>
        <v>2</v>
      </c>
      <c r="M2653" s="5">
        <f t="shared" si="647"/>
        <v>2024</v>
      </c>
      <c r="N2653" s="6">
        <v>575</v>
      </c>
      <c r="O2653" s="6">
        <f t="shared" si="653"/>
        <v>-575</v>
      </c>
      <c r="P2653" s="6">
        <f t="shared" si="652"/>
        <v>0</v>
      </c>
      <c r="Q2653" s="7">
        <f t="shared" si="648"/>
        <v>4293140.05</v>
      </c>
      <c r="R2653" s="44" t="str">
        <f>VLOOKUP(F2653,'Set up'!$A$2:$E$70,5,FALSE)</f>
        <v>Cash</v>
      </c>
      <c r="S2653" s="1" t="s">
        <v>2422</v>
      </c>
    </row>
    <row r="2654" spans="1:19" ht="15" customHeight="1" x14ac:dyDescent="0.3">
      <c r="A2654" s="4">
        <v>45342</v>
      </c>
      <c r="B2654" s="5">
        <f t="shared" si="643"/>
        <v>2</v>
      </c>
      <c r="C2654" s="5">
        <f t="shared" si="644"/>
        <v>2024</v>
      </c>
      <c r="D2654" s="5" t="s">
        <v>2360</v>
      </c>
      <c r="E2654" s="5" t="str">
        <f>VLOOKUP(F2654,'Set up'!$A$2:$C$70,2,FALSE)</f>
        <v>C00000047</v>
      </c>
      <c r="F2654" s="1" t="s">
        <v>2362</v>
      </c>
      <c r="G2654" s="99" t="s">
        <v>2363</v>
      </c>
      <c r="H2654" s="5">
        <v>1</v>
      </c>
      <c r="I2654" s="5" t="str">
        <f>VLOOKUP(F2654,'Set up'!$A$2:$C$70,3,FALSE)</f>
        <v>Cash</v>
      </c>
      <c r="J2654" s="5">
        <f>VLOOKUP(F2654,'Set up'!$A$2:$D$70,4,FALSE)</f>
        <v>0</v>
      </c>
      <c r="K2654" s="4">
        <f t="shared" si="645"/>
        <v>45342</v>
      </c>
      <c r="L2654" s="5">
        <f t="shared" si="646"/>
        <v>2</v>
      </c>
      <c r="M2654" s="5">
        <f t="shared" si="647"/>
        <v>2024</v>
      </c>
      <c r="N2654" s="6">
        <v>48</v>
      </c>
      <c r="O2654" s="6">
        <f t="shared" si="653"/>
        <v>-48</v>
      </c>
      <c r="P2654" s="6">
        <f t="shared" si="652"/>
        <v>0</v>
      </c>
      <c r="Q2654" s="7">
        <f t="shared" si="648"/>
        <v>4293188.05</v>
      </c>
      <c r="R2654" s="44" t="str">
        <f>VLOOKUP(F2654,'Set up'!$A$2:$E$70,5,FALSE)</f>
        <v>Cash</v>
      </c>
      <c r="S2654" s="1" t="s">
        <v>2422</v>
      </c>
    </row>
    <row r="2655" spans="1:19" ht="15" customHeight="1" x14ac:dyDescent="0.3">
      <c r="A2655" s="4">
        <v>45343</v>
      </c>
      <c r="B2655" s="5">
        <f t="shared" si="643"/>
        <v>2</v>
      </c>
      <c r="C2655" s="5">
        <f t="shared" si="644"/>
        <v>2024</v>
      </c>
      <c r="D2655" s="5" t="s">
        <v>2364</v>
      </c>
      <c r="E2655" s="5" t="str">
        <f>VLOOKUP(F2655,'Set up'!$A$2:$C$70,2,FALSE)</f>
        <v>C00000044</v>
      </c>
      <c r="F2655" s="1" t="s">
        <v>2929</v>
      </c>
      <c r="G2655" s="99" t="s">
        <v>2291</v>
      </c>
      <c r="H2655" s="5">
        <v>1</v>
      </c>
      <c r="I2655" s="5" t="str">
        <f>VLOOKUP(F2655,'Set up'!$A$2:$C$70,3,FALSE)</f>
        <v>Cash</v>
      </c>
      <c r="J2655" s="5">
        <f>VLOOKUP(F2655,'Set up'!$A$2:$D$70,4,FALSE)</f>
        <v>0</v>
      </c>
      <c r="K2655" s="4">
        <f t="shared" si="645"/>
        <v>45343</v>
      </c>
      <c r="L2655" s="5">
        <f t="shared" si="646"/>
        <v>2</v>
      </c>
      <c r="M2655" s="5">
        <f t="shared" si="647"/>
        <v>2024</v>
      </c>
      <c r="N2655" s="6">
        <v>1606</v>
      </c>
      <c r="O2655" s="6">
        <f t="shared" ref="O2655:O2660" si="654">-N2655</f>
        <v>-1606</v>
      </c>
      <c r="P2655" s="6">
        <f t="shared" si="652"/>
        <v>0</v>
      </c>
      <c r="Q2655" s="7">
        <f t="shared" si="648"/>
        <v>4294794.05</v>
      </c>
      <c r="R2655" s="44" t="str">
        <f>VLOOKUP(F2655,'Set up'!$A$2:$E$70,5,FALSE)</f>
        <v>Cash</v>
      </c>
      <c r="S2655" s="1" t="s">
        <v>2421</v>
      </c>
    </row>
    <row r="2656" spans="1:19" ht="15" customHeight="1" x14ac:dyDescent="0.3">
      <c r="A2656" s="4">
        <v>45343</v>
      </c>
      <c r="B2656" s="5">
        <f t="shared" si="643"/>
        <v>2</v>
      </c>
      <c r="C2656" s="5">
        <f t="shared" si="644"/>
        <v>2024</v>
      </c>
      <c r="D2656" s="5" t="s">
        <v>2364</v>
      </c>
      <c r="E2656" s="5" t="str">
        <f>VLOOKUP(F2656,'Set up'!$A$2:$C$70,2,FALSE)</f>
        <v>C00000044</v>
      </c>
      <c r="F2656" s="1" t="s">
        <v>2929</v>
      </c>
      <c r="G2656" s="99" t="s">
        <v>2292</v>
      </c>
      <c r="H2656" s="5">
        <v>3</v>
      </c>
      <c r="I2656" s="5" t="str">
        <f>VLOOKUP(F2656,'Set up'!$A$2:$C$70,3,FALSE)</f>
        <v>Cash</v>
      </c>
      <c r="J2656" s="5">
        <f>VLOOKUP(F2656,'Set up'!$A$2:$D$70,4,FALSE)</f>
        <v>0</v>
      </c>
      <c r="K2656" s="4">
        <f t="shared" si="645"/>
        <v>45343</v>
      </c>
      <c r="L2656" s="5">
        <f t="shared" si="646"/>
        <v>2</v>
      </c>
      <c r="M2656" s="5">
        <f t="shared" si="647"/>
        <v>2024</v>
      </c>
      <c r="N2656" s="6">
        <v>630</v>
      </c>
      <c r="O2656" s="6">
        <f t="shared" si="654"/>
        <v>-630</v>
      </c>
      <c r="P2656" s="6">
        <f t="shared" si="652"/>
        <v>0</v>
      </c>
      <c r="Q2656" s="7">
        <f t="shared" si="648"/>
        <v>4295424.05</v>
      </c>
      <c r="R2656" s="44" t="str">
        <f>VLOOKUP(F2656,'Set up'!$A$2:$E$70,5,FALSE)</f>
        <v>Cash</v>
      </c>
      <c r="S2656" s="1" t="s">
        <v>2421</v>
      </c>
    </row>
    <row r="2657" spans="1:19" ht="15" customHeight="1" x14ac:dyDescent="0.3">
      <c r="A2657" s="4">
        <v>45344</v>
      </c>
      <c r="B2657" s="5">
        <f t="shared" si="643"/>
        <v>2</v>
      </c>
      <c r="C2657" s="5">
        <f t="shared" si="644"/>
        <v>2024</v>
      </c>
      <c r="D2657" s="5" t="s">
        <v>2365</v>
      </c>
      <c r="E2657" s="5" t="str">
        <f>VLOOKUP(F2657,'Set up'!$A$2:$C$70,2,FALSE)</f>
        <v>C00000009</v>
      </c>
      <c r="F2657" s="1" t="s">
        <v>58</v>
      </c>
      <c r="G2657" s="99" t="s">
        <v>95</v>
      </c>
      <c r="H2657" s="5">
        <v>2</v>
      </c>
      <c r="I2657" s="5">
        <f>VLOOKUP(F2657,'Set up'!$A$2:$C$70,3,FALSE)</f>
        <v>60</v>
      </c>
      <c r="J2657" s="5">
        <f>VLOOKUP(F2657,'Set up'!$A$2:$D$70,4,FALSE)</f>
        <v>60</v>
      </c>
      <c r="K2657" s="4">
        <f t="shared" si="645"/>
        <v>45404</v>
      </c>
      <c r="L2657" s="5">
        <f t="shared" si="646"/>
        <v>4</v>
      </c>
      <c r="M2657" s="5">
        <f t="shared" si="647"/>
        <v>2024</v>
      </c>
      <c r="N2657" s="6">
        <v>3212</v>
      </c>
      <c r="O2657" s="6">
        <f t="shared" si="654"/>
        <v>-3212</v>
      </c>
      <c r="P2657" s="6">
        <f t="shared" si="652"/>
        <v>0</v>
      </c>
      <c r="Q2657" s="7">
        <f t="shared" si="648"/>
        <v>4298636.05</v>
      </c>
      <c r="R2657" s="44" t="str">
        <f>VLOOKUP(F2657,'Set up'!$A$2:$E$70,5,FALSE)</f>
        <v>Chq</v>
      </c>
      <c r="S2657" s="1" t="s">
        <v>2877</v>
      </c>
    </row>
    <row r="2658" spans="1:19" ht="15" customHeight="1" x14ac:dyDescent="0.3">
      <c r="A2658" s="4">
        <v>45344</v>
      </c>
      <c r="B2658" s="5">
        <f t="shared" si="643"/>
        <v>2</v>
      </c>
      <c r="C2658" s="5">
        <f t="shared" si="644"/>
        <v>2024</v>
      </c>
      <c r="D2658" s="5" t="s">
        <v>2365</v>
      </c>
      <c r="E2658" s="5" t="str">
        <f>VLOOKUP(F2658,'Set up'!$A$2:$C$70,2,FALSE)</f>
        <v>C00000009</v>
      </c>
      <c r="F2658" s="1" t="s">
        <v>58</v>
      </c>
      <c r="G2658" s="99" t="s">
        <v>616</v>
      </c>
      <c r="H2658" s="5">
        <v>1</v>
      </c>
      <c r="I2658" s="5">
        <f>VLOOKUP(F2658,'Set up'!$A$2:$C$70,3,FALSE)</f>
        <v>60</v>
      </c>
      <c r="J2658" s="5">
        <f>VLOOKUP(F2658,'Set up'!$A$2:$D$70,4,FALSE)</f>
        <v>60</v>
      </c>
      <c r="K2658" s="4">
        <f t="shared" si="645"/>
        <v>45404</v>
      </c>
      <c r="L2658" s="5">
        <f t="shared" si="646"/>
        <v>4</v>
      </c>
      <c r="M2658" s="5">
        <f t="shared" si="647"/>
        <v>2024</v>
      </c>
      <c r="N2658" s="6">
        <v>1606</v>
      </c>
      <c r="O2658" s="6">
        <f t="shared" si="654"/>
        <v>-1606</v>
      </c>
      <c r="P2658" s="6">
        <f t="shared" si="652"/>
        <v>0</v>
      </c>
      <c r="Q2658" s="7">
        <f t="shared" si="648"/>
        <v>4300242.05</v>
      </c>
      <c r="R2658" s="44" t="str">
        <f>VLOOKUP(F2658,'Set up'!$A$2:$E$70,5,FALSE)</f>
        <v>Chq</v>
      </c>
      <c r="S2658" s="1" t="s">
        <v>2877</v>
      </c>
    </row>
    <row r="2659" spans="1:19" ht="15" customHeight="1" x14ac:dyDescent="0.3">
      <c r="A2659" s="4">
        <v>45344</v>
      </c>
      <c r="B2659" s="5">
        <f t="shared" si="643"/>
        <v>2</v>
      </c>
      <c r="C2659" s="5">
        <f t="shared" si="644"/>
        <v>2024</v>
      </c>
      <c r="D2659" s="5" t="s">
        <v>2365</v>
      </c>
      <c r="E2659" s="5" t="str">
        <f>VLOOKUP(F2659,'Set up'!$A$2:$C$70,2,FALSE)</f>
        <v>C00000009</v>
      </c>
      <c r="F2659" s="1" t="s">
        <v>58</v>
      </c>
      <c r="G2659" s="99" t="s">
        <v>1411</v>
      </c>
      <c r="H2659" s="5">
        <v>2</v>
      </c>
      <c r="I2659" s="5">
        <f>VLOOKUP(F2659,'Set up'!$A$2:$C$70,3,FALSE)</f>
        <v>60</v>
      </c>
      <c r="J2659" s="5">
        <f>VLOOKUP(F2659,'Set up'!$A$2:$D$70,4,FALSE)</f>
        <v>60</v>
      </c>
      <c r="K2659" s="4">
        <f t="shared" si="645"/>
        <v>45404</v>
      </c>
      <c r="L2659" s="5">
        <f t="shared" si="646"/>
        <v>4</v>
      </c>
      <c r="M2659" s="5">
        <f t="shared" si="647"/>
        <v>2024</v>
      </c>
      <c r="N2659" s="6">
        <v>626.4</v>
      </c>
      <c r="O2659" s="6">
        <f t="shared" si="654"/>
        <v>-626.4</v>
      </c>
      <c r="P2659" s="6">
        <f t="shared" si="652"/>
        <v>0</v>
      </c>
      <c r="Q2659" s="7">
        <f t="shared" si="648"/>
        <v>4300868.45</v>
      </c>
      <c r="R2659" s="44" t="str">
        <f>VLOOKUP(F2659,'Set up'!$A$2:$E$70,5,FALSE)</f>
        <v>Chq</v>
      </c>
      <c r="S2659" s="1" t="s">
        <v>2877</v>
      </c>
    </row>
    <row r="2660" spans="1:19" ht="15" customHeight="1" x14ac:dyDescent="0.3">
      <c r="A2660" s="4">
        <v>45344</v>
      </c>
      <c r="B2660" s="5">
        <f t="shared" si="643"/>
        <v>2</v>
      </c>
      <c r="C2660" s="5">
        <f t="shared" si="644"/>
        <v>2024</v>
      </c>
      <c r="D2660" s="5" t="s">
        <v>2365</v>
      </c>
      <c r="E2660" s="5" t="str">
        <f>VLOOKUP(F2660,'Set up'!$A$2:$C$70,2,FALSE)</f>
        <v>C00000009</v>
      </c>
      <c r="F2660" s="1" t="s">
        <v>58</v>
      </c>
      <c r="G2660" s="99" t="s">
        <v>46</v>
      </c>
      <c r="H2660" s="5">
        <v>4</v>
      </c>
      <c r="I2660" s="5">
        <f>VLOOKUP(F2660,'Set up'!$A$2:$C$70,3,FALSE)</f>
        <v>60</v>
      </c>
      <c r="J2660" s="5">
        <f>VLOOKUP(F2660,'Set up'!$A$2:$D$70,4,FALSE)</f>
        <v>60</v>
      </c>
      <c r="K2660" s="4">
        <f t="shared" si="645"/>
        <v>45404</v>
      </c>
      <c r="L2660" s="5">
        <f t="shared" si="646"/>
        <v>4</v>
      </c>
      <c r="M2660" s="5">
        <f t="shared" si="647"/>
        <v>2024</v>
      </c>
      <c r="N2660" s="6">
        <v>440</v>
      </c>
      <c r="O2660" s="6">
        <f t="shared" si="654"/>
        <v>-440</v>
      </c>
      <c r="P2660" s="6">
        <f t="shared" si="652"/>
        <v>0</v>
      </c>
      <c r="Q2660" s="7">
        <f t="shared" si="648"/>
        <v>4301308.45</v>
      </c>
      <c r="R2660" s="44" t="str">
        <f>VLOOKUP(F2660,'Set up'!$A$2:$E$70,5,FALSE)</f>
        <v>Chq</v>
      </c>
      <c r="S2660" s="1" t="s">
        <v>2877</v>
      </c>
    </row>
    <row r="2661" spans="1:19" ht="15" customHeight="1" x14ac:dyDescent="0.3">
      <c r="A2661" s="4">
        <v>45345</v>
      </c>
      <c r="B2661" s="5">
        <f t="shared" si="643"/>
        <v>2</v>
      </c>
      <c r="C2661" s="5">
        <f t="shared" si="644"/>
        <v>2024</v>
      </c>
      <c r="D2661" s="5" t="s">
        <v>2366</v>
      </c>
      <c r="E2661" s="5" t="str">
        <f>VLOOKUP(F2661,'Set up'!$A$2:$C$70,2,FALSE)</f>
        <v>C00000019</v>
      </c>
      <c r="F2661" s="1" t="s">
        <v>400</v>
      </c>
      <c r="G2661" s="99" t="s">
        <v>95</v>
      </c>
      <c r="H2661" s="5">
        <v>1</v>
      </c>
      <c r="I2661" s="5" t="str">
        <f>VLOOKUP(F2661,'Set up'!$A$2:$C$70,3,FALSE)</f>
        <v>Cash</v>
      </c>
      <c r="J2661" s="5">
        <f>VLOOKUP(F2661,'Set up'!$A$2:$D$70,4,FALSE)</f>
        <v>0</v>
      </c>
      <c r="K2661" s="4">
        <f t="shared" si="645"/>
        <v>45345</v>
      </c>
      <c r="L2661" s="5">
        <f t="shared" si="646"/>
        <v>2</v>
      </c>
      <c r="M2661" s="5">
        <f t="shared" si="647"/>
        <v>2024</v>
      </c>
      <c r="N2661" s="6">
        <v>1738</v>
      </c>
      <c r="O2661" s="6">
        <f>-24.5-1500-213.5</f>
        <v>-1738</v>
      </c>
      <c r="P2661" s="6">
        <f t="shared" si="652"/>
        <v>0</v>
      </c>
      <c r="Q2661" s="7">
        <f t="shared" si="648"/>
        <v>4303046.45</v>
      </c>
      <c r="R2661" s="44" t="str">
        <f>VLOOKUP(F2661,'Set up'!$A$2:$E$70,5,FALSE)</f>
        <v>Trsf</v>
      </c>
      <c r="S2661" s="1" t="s">
        <v>3660</v>
      </c>
    </row>
    <row r="2662" spans="1:19" ht="15" customHeight="1" x14ac:dyDescent="0.3">
      <c r="A2662" s="4">
        <v>45345</v>
      </c>
      <c r="B2662" s="5">
        <f t="shared" si="643"/>
        <v>2</v>
      </c>
      <c r="C2662" s="5">
        <f t="shared" si="644"/>
        <v>2024</v>
      </c>
      <c r="D2662" s="5" t="s">
        <v>2366</v>
      </c>
      <c r="E2662" s="5" t="str">
        <f>VLOOKUP(F2662,'Set up'!$A$2:$C$70,2,FALSE)</f>
        <v>C00000019</v>
      </c>
      <c r="F2662" s="1" t="s">
        <v>400</v>
      </c>
      <c r="G2662" s="99" t="s">
        <v>2141</v>
      </c>
      <c r="H2662" s="5">
        <v>1</v>
      </c>
      <c r="I2662" s="5" t="str">
        <f>VLOOKUP(F2662,'Set up'!$A$2:$C$70,3,FALSE)</f>
        <v>Cash</v>
      </c>
      <c r="J2662" s="5">
        <f>VLOOKUP(F2662,'Set up'!$A$2:$D$70,4,FALSE)</f>
        <v>0</v>
      </c>
      <c r="K2662" s="4">
        <f t="shared" si="645"/>
        <v>45345</v>
      </c>
      <c r="L2662" s="5">
        <f t="shared" si="646"/>
        <v>2</v>
      </c>
      <c r="M2662" s="5">
        <f t="shared" si="647"/>
        <v>2024</v>
      </c>
      <c r="N2662" s="6">
        <v>405</v>
      </c>
      <c r="O2662" s="6">
        <f t="shared" ref="O2662:O2663" si="655">-N2662</f>
        <v>-405</v>
      </c>
      <c r="P2662" s="6">
        <f t="shared" si="652"/>
        <v>0</v>
      </c>
      <c r="Q2662" s="7">
        <f t="shared" si="648"/>
        <v>4303451.45</v>
      </c>
      <c r="R2662" s="44" t="str">
        <f>VLOOKUP(F2662,'Set up'!$A$2:$E$70,5,FALSE)</f>
        <v>Trsf</v>
      </c>
      <c r="S2662" s="1" t="s">
        <v>3661</v>
      </c>
    </row>
    <row r="2663" spans="1:19" ht="15" customHeight="1" x14ac:dyDescent="0.3">
      <c r="A2663" s="4">
        <v>45345</v>
      </c>
      <c r="B2663" s="5">
        <f t="shared" si="643"/>
        <v>2</v>
      </c>
      <c r="C2663" s="5">
        <f t="shared" si="644"/>
        <v>2024</v>
      </c>
      <c r="D2663" s="5" t="s">
        <v>2366</v>
      </c>
      <c r="E2663" s="5" t="str">
        <f>VLOOKUP(F2663,'Set up'!$A$2:$C$70,2,FALSE)</f>
        <v>C00000019</v>
      </c>
      <c r="F2663" s="1" t="s">
        <v>400</v>
      </c>
      <c r="G2663" s="99" t="s">
        <v>791</v>
      </c>
      <c r="H2663" s="5">
        <v>3</v>
      </c>
      <c r="I2663" s="5" t="str">
        <f>VLOOKUP(F2663,'Set up'!$A$2:$C$70,3,FALSE)</f>
        <v>Cash</v>
      </c>
      <c r="J2663" s="5">
        <f>VLOOKUP(F2663,'Set up'!$A$2:$D$70,4,FALSE)</f>
        <v>0</v>
      </c>
      <c r="K2663" s="4">
        <f t="shared" si="645"/>
        <v>45345</v>
      </c>
      <c r="L2663" s="5">
        <f t="shared" si="646"/>
        <v>2</v>
      </c>
      <c r="M2663" s="5">
        <f t="shared" si="647"/>
        <v>2024</v>
      </c>
      <c r="N2663" s="6">
        <v>187.5</v>
      </c>
      <c r="O2663" s="6">
        <f t="shared" si="655"/>
        <v>-187.5</v>
      </c>
      <c r="P2663" s="6">
        <f t="shared" si="652"/>
        <v>0</v>
      </c>
      <c r="Q2663" s="7">
        <f t="shared" si="648"/>
        <v>4303638.95</v>
      </c>
      <c r="R2663" s="44" t="str">
        <f>VLOOKUP(F2663,'Set up'!$A$2:$E$70,5,FALSE)</f>
        <v>Trsf</v>
      </c>
      <c r="S2663" s="1" t="s">
        <v>3662</v>
      </c>
    </row>
    <row r="2664" spans="1:19" ht="15" customHeight="1" x14ac:dyDescent="0.3">
      <c r="A2664" s="4">
        <v>45345</v>
      </c>
      <c r="B2664" s="5">
        <f t="shared" si="643"/>
        <v>2</v>
      </c>
      <c r="C2664" s="5">
        <f t="shared" si="644"/>
        <v>2024</v>
      </c>
      <c r="D2664" s="5" t="s">
        <v>2366</v>
      </c>
      <c r="E2664" s="5" t="str">
        <f>VLOOKUP(F2664,'Set up'!$A$2:$C$70,2,FALSE)</f>
        <v>C00000019</v>
      </c>
      <c r="F2664" s="1" t="s">
        <v>400</v>
      </c>
      <c r="G2664" s="99" t="s">
        <v>944</v>
      </c>
      <c r="H2664" s="5">
        <v>1</v>
      </c>
      <c r="I2664" s="5" t="str">
        <f>VLOOKUP(F2664,'Set up'!$A$2:$C$70,3,FALSE)</f>
        <v>Cash</v>
      </c>
      <c r="J2664" s="5">
        <f>VLOOKUP(F2664,'Set up'!$A$2:$D$70,4,FALSE)</f>
        <v>0</v>
      </c>
      <c r="K2664" s="4">
        <f t="shared" si="645"/>
        <v>45345</v>
      </c>
      <c r="L2664" s="5">
        <f t="shared" si="646"/>
        <v>2</v>
      </c>
      <c r="M2664" s="5">
        <f t="shared" si="647"/>
        <v>2024</v>
      </c>
      <c r="N2664" s="6">
        <v>420</v>
      </c>
      <c r="O2664" s="6">
        <f>-394-26</f>
        <v>-420</v>
      </c>
      <c r="P2664" s="6">
        <f t="shared" si="652"/>
        <v>0</v>
      </c>
      <c r="Q2664" s="7">
        <f t="shared" si="648"/>
        <v>4304058.95</v>
      </c>
      <c r="R2664" s="44" t="str">
        <f>VLOOKUP(F2664,'Set up'!$A$2:$E$70,5,FALSE)</f>
        <v>Trsf</v>
      </c>
      <c r="S2664" s="1" t="s">
        <v>3663</v>
      </c>
    </row>
    <row r="2665" spans="1:19" ht="15" customHeight="1" x14ac:dyDescent="0.3">
      <c r="A2665" s="4">
        <v>45345</v>
      </c>
      <c r="B2665" s="5">
        <f t="shared" si="643"/>
        <v>2</v>
      </c>
      <c r="C2665" s="5">
        <f t="shared" si="644"/>
        <v>2024</v>
      </c>
      <c r="D2665" s="5" t="s">
        <v>2366</v>
      </c>
      <c r="E2665" s="5" t="str">
        <f>VLOOKUP(F2665,'Set up'!$A$2:$C$70,2,FALSE)</f>
        <v>C00000019</v>
      </c>
      <c r="F2665" s="1" t="s">
        <v>400</v>
      </c>
      <c r="G2665" s="99" t="s">
        <v>2367</v>
      </c>
      <c r="H2665" s="5">
        <v>1</v>
      </c>
      <c r="I2665" s="5" t="str">
        <f>VLOOKUP(F2665,'Set up'!$A$2:$C$70,3,FALSE)</f>
        <v>Cash</v>
      </c>
      <c r="J2665" s="5">
        <f>VLOOKUP(F2665,'Set up'!$A$2:$D$70,4,FALSE)</f>
        <v>0</v>
      </c>
      <c r="K2665" s="4">
        <f t="shared" si="645"/>
        <v>45345</v>
      </c>
      <c r="L2665" s="5">
        <f t="shared" si="646"/>
        <v>2</v>
      </c>
      <c r="M2665" s="5">
        <f t="shared" si="647"/>
        <v>2024</v>
      </c>
      <c r="N2665" s="6">
        <v>150</v>
      </c>
      <c r="O2665" s="6">
        <f t="shared" ref="O2665:O2666" si="656">-N2665</f>
        <v>-150</v>
      </c>
      <c r="P2665" s="6">
        <f t="shared" si="652"/>
        <v>0</v>
      </c>
      <c r="Q2665" s="7">
        <f t="shared" si="648"/>
        <v>4304208.95</v>
      </c>
      <c r="R2665" s="44" t="str">
        <f>VLOOKUP(F2665,'Set up'!$A$2:$E$70,5,FALSE)</f>
        <v>Trsf</v>
      </c>
      <c r="S2665" s="1" t="s">
        <v>3664</v>
      </c>
    </row>
    <row r="2666" spans="1:19" ht="15" customHeight="1" x14ac:dyDescent="0.3">
      <c r="A2666" s="4">
        <v>45345</v>
      </c>
      <c r="B2666" s="5">
        <f t="shared" si="643"/>
        <v>2</v>
      </c>
      <c r="C2666" s="5">
        <f t="shared" si="644"/>
        <v>2024</v>
      </c>
      <c r="D2666" s="5" t="s">
        <v>2366</v>
      </c>
      <c r="E2666" s="5" t="str">
        <f>VLOOKUP(F2666,'Set up'!$A$2:$C$70,2,FALSE)</f>
        <v>C00000019</v>
      </c>
      <c r="F2666" s="1" t="s">
        <v>400</v>
      </c>
      <c r="G2666" s="99" t="s">
        <v>1660</v>
      </c>
      <c r="H2666" s="5">
        <v>1</v>
      </c>
      <c r="I2666" s="5" t="str">
        <f>VLOOKUP(F2666,'Set up'!$A$2:$C$70,3,FALSE)</f>
        <v>Cash</v>
      </c>
      <c r="J2666" s="5">
        <f>VLOOKUP(F2666,'Set up'!$A$2:$D$70,4,FALSE)</f>
        <v>0</v>
      </c>
      <c r="K2666" s="4">
        <f t="shared" si="645"/>
        <v>45345</v>
      </c>
      <c r="L2666" s="5">
        <f t="shared" si="646"/>
        <v>2</v>
      </c>
      <c r="M2666" s="5">
        <f t="shared" si="647"/>
        <v>2024</v>
      </c>
      <c r="N2666" s="6">
        <v>160</v>
      </c>
      <c r="O2666" s="6">
        <f t="shared" si="656"/>
        <v>-160</v>
      </c>
      <c r="P2666" s="6">
        <f t="shared" si="652"/>
        <v>0</v>
      </c>
      <c r="Q2666" s="7">
        <f t="shared" si="648"/>
        <v>4304368.95</v>
      </c>
      <c r="R2666" s="44" t="str">
        <f>VLOOKUP(F2666,'Set up'!$A$2:$E$70,5,FALSE)</f>
        <v>Trsf</v>
      </c>
      <c r="S2666" s="1" t="s">
        <v>3665</v>
      </c>
    </row>
    <row r="2667" spans="1:19" ht="15" customHeight="1" x14ac:dyDescent="0.3">
      <c r="A2667" s="4">
        <v>45348</v>
      </c>
      <c r="B2667" s="5">
        <f t="shared" si="643"/>
        <v>2</v>
      </c>
      <c r="C2667" s="5">
        <f t="shared" si="644"/>
        <v>2024</v>
      </c>
      <c r="D2667" s="5" t="s">
        <v>2368</v>
      </c>
      <c r="E2667" s="5" t="str">
        <f>VLOOKUP(F2667,'Set up'!$A$2:$C$70,2,FALSE)</f>
        <v>C00000042</v>
      </c>
      <c r="F2667" s="1" t="s">
        <v>2012</v>
      </c>
      <c r="G2667" s="99" t="s">
        <v>1110</v>
      </c>
      <c r="H2667" s="5">
        <v>7</v>
      </c>
      <c r="I2667" s="5" t="str">
        <f>VLOOKUP(F2667,'Set up'!$A$2:$C$70,3,FALSE)</f>
        <v>Cash</v>
      </c>
      <c r="J2667" s="5">
        <f>VLOOKUP(F2667,'Set up'!$A$2:$D$70,4,FALSE)</f>
        <v>0</v>
      </c>
      <c r="K2667" s="4">
        <f t="shared" si="645"/>
        <v>45348</v>
      </c>
      <c r="L2667" s="5">
        <f t="shared" si="646"/>
        <v>2</v>
      </c>
      <c r="M2667" s="5">
        <f t="shared" si="647"/>
        <v>2024</v>
      </c>
      <c r="N2667" s="6">
        <v>437.5</v>
      </c>
      <c r="O2667" s="6">
        <f>-N2667</f>
        <v>-437.5</v>
      </c>
      <c r="P2667" s="6">
        <f t="shared" si="652"/>
        <v>0</v>
      </c>
      <c r="Q2667" s="7">
        <f t="shared" si="648"/>
        <v>4304806.45</v>
      </c>
      <c r="R2667" s="44" t="str">
        <f>VLOOKUP(F2667,'Set up'!$A$2:$E$70,5,FALSE)</f>
        <v>Trsf</v>
      </c>
      <c r="S2667" s="1" t="s">
        <v>2925</v>
      </c>
    </row>
    <row r="2668" spans="1:19" ht="15" customHeight="1" x14ac:dyDescent="0.3">
      <c r="A2668" s="4">
        <v>45348</v>
      </c>
      <c r="B2668" s="5">
        <f t="shared" si="643"/>
        <v>2</v>
      </c>
      <c r="C2668" s="5">
        <f t="shared" si="644"/>
        <v>2024</v>
      </c>
      <c r="D2668" s="5" t="s">
        <v>2369</v>
      </c>
      <c r="E2668" s="5" t="str">
        <f>VLOOKUP(F2668,'Set up'!$A$2:$C$70,2,FALSE)</f>
        <v>C00000042</v>
      </c>
      <c r="F2668" s="1" t="s">
        <v>2012</v>
      </c>
      <c r="G2668" s="99" t="s">
        <v>1733</v>
      </c>
      <c r="H2668" s="5">
        <v>7</v>
      </c>
      <c r="I2668" s="5" t="str">
        <f>VLOOKUP(F2668,'Set up'!$A$2:$C$70,3,FALSE)</f>
        <v>Cash</v>
      </c>
      <c r="J2668" s="5">
        <f>VLOOKUP(F2668,'Set up'!$A$2:$D$70,4,FALSE)</f>
        <v>0</v>
      </c>
      <c r="K2668" s="4">
        <f t="shared" si="645"/>
        <v>45348</v>
      </c>
      <c r="L2668" s="5">
        <f t="shared" si="646"/>
        <v>2</v>
      </c>
      <c r="M2668" s="5">
        <f t="shared" si="647"/>
        <v>2024</v>
      </c>
      <c r="N2668" s="6">
        <v>11121</v>
      </c>
      <c r="O2668" s="6">
        <f>-1901.9-9219.1</f>
        <v>-11121</v>
      </c>
      <c r="P2668" s="6">
        <f t="shared" si="652"/>
        <v>0</v>
      </c>
      <c r="Q2668" s="7">
        <f t="shared" si="648"/>
        <v>4315927.45</v>
      </c>
      <c r="R2668" s="44" t="str">
        <f>VLOOKUP(F2668,'Set up'!$A$2:$E$70,5,FALSE)</f>
        <v>Trsf</v>
      </c>
      <c r="S2668" s="1" t="s">
        <v>2992</v>
      </c>
    </row>
    <row r="2669" spans="1:19" ht="15" customHeight="1" x14ac:dyDescent="0.3">
      <c r="A2669" s="4">
        <v>45348</v>
      </c>
      <c r="B2669" s="5">
        <f t="shared" si="643"/>
        <v>2</v>
      </c>
      <c r="C2669" s="5">
        <f t="shared" si="644"/>
        <v>2024</v>
      </c>
      <c r="D2669" s="5" t="s">
        <v>2369</v>
      </c>
      <c r="E2669" s="5" t="str">
        <f>VLOOKUP(F2669,'Set up'!$A$2:$C$70,2,FALSE)</f>
        <v>C00000042</v>
      </c>
      <c r="F2669" s="1" t="s">
        <v>2012</v>
      </c>
      <c r="G2669" s="99" t="s">
        <v>2370</v>
      </c>
      <c r="H2669" s="5">
        <v>19</v>
      </c>
      <c r="I2669" s="5" t="str">
        <f>VLOOKUP(F2669,'Set up'!$A$2:$C$70,3,FALSE)</f>
        <v>Cash</v>
      </c>
      <c r="J2669" s="5">
        <f>VLOOKUP(F2669,'Set up'!$A$2:$D$70,4,FALSE)</f>
        <v>0</v>
      </c>
      <c r="K2669" s="4">
        <f t="shared" si="645"/>
        <v>45348</v>
      </c>
      <c r="L2669" s="5">
        <f t="shared" si="646"/>
        <v>2</v>
      </c>
      <c r="M2669" s="5">
        <f t="shared" si="647"/>
        <v>2024</v>
      </c>
      <c r="N2669" s="6">
        <v>4077.4</v>
      </c>
      <c r="O2669" s="6">
        <f>-N2669</f>
        <v>-4077.4</v>
      </c>
      <c r="P2669" s="6">
        <f t="shared" si="652"/>
        <v>0</v>
      </c>
      <c r="Q2669" s="7">
        <f t="shared" si="648"/>
        <v>4320004.8500000006</v>
      </c>
      <c r="R2669" s="44" t="str">
        <f>VLOOKUP(F2669,'Set up'!$A$2:$E$70,5,FALSE)</f>
        <v>Trsf</v>
      </c>
      <c r="S2669" s="1" t="s">
        <v>2993</v>
      </c>
    </row>
    <row r="2670" spans="1:19" ht="15" customHeight="1" x14ac:dyDescent="0.3">
      <c r="A2670" s="4">
        <v>45348</v>
      </c>
      <c r="B2670" s="5">
        <f t="shared" si="643"/>
        <v>2</v>
      </c>
      <c r="C2670" s="5">
        <f t="shared" si="644"/>
        <v>2024</v>
      </c>
      <c r="D2670" s="5" t="s">
        <v>2369</v>
      </c>
      <c r="E2670" s="5" t="str">
        <f>VLOOKUP(F2670,'Set up'!$A$2:$C$70,2,FALSE)</f>
        <v>C00000042</v>
      </c>
      <c r="F2670" s="1" t="s">
        <v>2012</v>
      </c>
      <c r="G2670" s="99" t="s">
        <v>1922</v>
      </c>
      <c r="H2670" s="5">
        <v>10</v>
      </c>
      <c r="I2670" s="5" t="str">
        <f>VLOOKUP(F2670,'Set up'!$A$2:$C$70,3,FALSE)</f>
        <v>Cash</v>
      </c>
      <c r="J2670" s="5">
        <f>VLOOKUP(F2670,'Set up'!$A$2:$D$70,4,FALSE)</f>
        <v>0</v>
      </c>
      <c r="K2670" s="4">
        <f t="shared" si="645"/>
        <v>45348</v>
      </c>
      <c r="L2670" s="5">
        <f t="shared" si="646"/>
        <v>2</v>
      </c>
      <c r="M2670" s="5">
        <f t="shared" si="647"/>
        <v>2024</v>
      </c>
      <c r="N2670" s="6">
        <v>2340</v>
      </c>
      <c r="O2670" s="6">
        <f>-N2670</f>
        <v>-2340</v>
      </c>
      <c r="P2670" s="6">
        <f t="shared" si="652"/>
        <v>0</v>
      </c>
      <c r="Q2670" s="7">
        <f t="shared" si="648"/>
        <v>4322344.8500000006</v>
      </c>
      <c r="R2670" s="44" t="str">
        <f>VLOOKUP(F2670,'Set up'!$A$2:$E$70,5,FALSE)</f>
        <v>Trsf</v>
      </c>
      <c r="S2670" s="1" t="s">
        <v>2994</v>
      </c>
    </row>
    <row r="2671" spans="1:19" ht="15" customHeight="1" x14ac:dyDescent="0.3">
      <c r="A2671" s="4">
        <v>45348</v>
      </c>
      <c r="B2671" s="5">
        <f t="shared" si="643"/>
        <v>2</v>
      </c>
      <c r="C2671" s="5">
        <f t="shared" si="644"/>
        <v>2024</v>
      </c>
      <c r="D2671" s="5" t="s">
        <v>2369</v>
      </c>
      <c r="E2671" s="5" t="str">
        <f>VLOOKUP(F2671,'Set up'!$A$2:$C$70,2,FALSE)</f>
        <v>C00000042</v>
      </c>
      <c r="F2671" s="1" t="s">
        <v>2012</v>
      </c>
      <c r="G2671" s="99" t="s">
        <v>1061</v>
      </c>
      <c r="H2671" s="5">
        <v>4</v>
      </c>
      <c r="I2671" s="5" t="str">
        <f>VLOOKUP(F2671,'Set up'!$A$2:$C$70,3,FALSE)</f>
        <v>Cash</v>
      </c>
      <c r="J2671" s="5">
        <f>VLOOKUP(F2671,'Set up'!$A$2:$D$70,4,FALSE)</f>
        <v>0</v>
      </c>
      <c r="K2671" s="4">
        <f t="shared" si="645"/>
        <v>45348</v>
      </c>
      <c r="L2671" s="5">
        <f t="shared" si="646"/>
        <v>2</v>
      </c>
      <c r="M2671" s="5">
        <f t="shared" si="647"/>
        <v>2024</v>
      </c>
      <c r="N2671" s="6">
        <v>380</v>
      </c>
      <c r="O2671" s="6">
        <f>-N2671</f>
        <v>-380</v>
      </c>
      <c r="P2671" s="6">
        <f t="shared" si="652"/>
        <v>0</v>
      </c>
      <c r="Q2671" s="7">
        <f t="shared" si="648"/>
        <v>4322724.8500000006</v>
      </c>
      <c r="R2671" s="44" t="str">
        <f>VLOOKUP(F2671,'Set up'!$A$2:$E$70,5,FALSE)</f>
        <v>Trsf</v>
      </c>
      <c r="S2671" s="1" t="s">
        <v>2995</v>
      </c>
    </row>
    <row r="2672" spans="1:19" ht="15" customHeight="1" x14ac:dyDescent="0.3">
      <c r="A2672" s="4">
        <v>45348</v>
      </c>
      <c r="B2672" s="5">
        <f t="shared" si="643"/>
        <v>2</v>
      </c>
      <c r="C2672" s="5">
        <f t="shared" si="644"/>
        <v>2024</v>
      </c>
      <c r="D2672" s="5" t="s">
        <v>2369</v>
      </c>
      <c r="E2672" s="5" t="str">
        <f>VLOOKUP(F2672,'Set up'!$A$2:$C$70,2,FALSE)</f>
        <v>C00000042</v>
      </c>
      <c r="F2672" s="1" t="s">
        <v>2012</v>
      </c>
      <c r="G2672" s="99" t="s">
        <v>2002</v>
      </c>
      <c r="H2672" s="5">
        <v>1</v>
      </c>
      <c r="I2672" s="5" t="str">
        <f>VLOOKUP(F2672,'Set up'!$A$2:$C$70,3,FALSE)</f>
        <v>Cash</v>
      </c>
      <c r="J2672" s="5">
        <f>VLOOKUP(F2672,'Set up'!$A$2:$D$70,4,FALSE)</f>
        <v>0</v>
      </c>
      <c r="K2672" s="4">
        <f t="shared" si="645"/>
        <v>45348</v>
      </c>
      <c r="L2672" s="5">
        <f t="shared" si="646"/>
        <v>2</v>
      </c>
      <c r="M2672" s="5">
        <f t="shared" si="647"/>
        <v>2024</v>
      </c>
      <c r="N2672" s="6">
        <v>900</v>
      </c>
      <c r="O2672" s="6">
        <f>-N2672</f>
        <v>-900</v>
      </c>
      <c r="P2672" s="6">
        <f t="shared" si="652"/>
        <v>0</v>
      </c>
      <c r="Q2672" s="7">
        <f t="shared" si="648"/>
        <v>4323624.8500000006</v>
      </c>
      <c r="R2672" s="44" t="str">
        <f>VLOOKUP(F2672,'Set up'!$A$2:$E$70,5,FALSE)</f>
        <v>Trsf</v>
      </c>
      <c r="S2672" s="1" t="s">
        <v>2996</v>
      </c>
    </row>
    <row r="2673" spans="1:19" ht="15" customHeight="1" x14ac:dyDescent="0.3">
      <c r="A2673" s="4">
        <v>45349</v>
      </c>
      <c r="B2673" s="5">
        <f t="shared" si="643"/>
        <v>2</v>
      </c>
      <c r="C2673" s="5">
        <f t="shared" si="644"/>
        <v>2024</v>
      </c>
      <c r="D2673" s="5" t="s">
        <v>2371</v>
      </c>
      <c r="E2673" s="5" t="str">
        <f>VLOOKUP(F2673,'Set up'!$A$2:$C$70,2,FALSE)</f>
        <v>C00000026</v>
      </c>
      <c r="F2673" s="1" t="s">
        <v>784</v>
      </c>
      <c r="G2673" s="99" t="s">
        <v>2144</v>
      </c>
      <c r="H2673" s="5">
        <v>2</v>
      </c>
      <c r="I2673" s="5" t="str">
        <f>VLOOKUP(F2673,'Set up'!$A$2:$C$70,3,FALSE)</f>
        <v>Cash</v>
      </c>
      <c r="J2673" s="5">
        <f>VLOOKUP(F2673,'Set up'!$A$2:$D$70,4,FALSE)</f>
        <v>0</v>
      </c>
      <c r="K2673" s="4">
        <f t="shared" si="645"/>
        <v>45349</v>
      </c>
      <c r="L2673" s="5">
        <f t="shared" si="646"/>
        <v>2</v>
      </c>
      <c r="M2673" s="5">
        <f t="shared" si="647"/>
        <v>2024</v>
      </c>
      <c r="N2673" s="6">
        <v>567.6</v>
      </c>
      <c r="O2673" s="6">
        <f t="shared" ref="O2673" si="657">-N2673</f>
        <v>-567.6</v>
      </c>
      <c r="P2673" s="6">
        <f t="shared" si="652"/>
        <v>0</v>
      </c>
      <c r="Q2673" s="7">
        <f t="shared" si="648"/>
        <v>4324192.45</v>
      </c>
      <c r="R2673" s="44" t="str">
        <f>VLOOKUP(F2673,'Set up'!$A$2:$E$70,5,FALSE)</f>
        <v>Trsf</v>
      </c>
      <c r="S2673" s="1" t="s">
        <v>2417</v>
      </c>
    </row>
    <row r="2674" spans="1:19" ht="15" customHeight="1" x14ac:dyDescent="0.3">
      <c r="A2674" s="4">
        <v>45350</v>
      </c>
      <c r="B2674" s="5">
        <f t="shared" si="643"/>
        <v>2</v>
      </c>
      <c r="C2674" s="5">
        <f t="shared" si="644"/>
        <v>2024</v>
      </c>
      <c r="D2674" s="5" t="s">
        <v>2372</v>
      </c>
      <c r="E2674" s="5" t="str">
        <f>VLOOKUP(F2674,'Set up'!$A$2:$C$70,2,FALSE)</f>
        <v>C00000042</v>
      </c>
      <c r="F2674" s="1" t="s">
        <v>2012</v>
      </c>
      <c r="G2674" s="99" t="s">
        <v>1073</v>
      </c>
      <c r="H2674" s="5">
        <v>1</v>
      </c>
      <c r="I2674" s="5" t="str">
        <f>VLOOKUP(F2674,'Set up'!$A$2:$C$70,3,FALSE)</f>
        <v>Cash</v>
      </c>
      <c r="J2674" s="5">
        <f>VLOOKUP(F2674,'Set up'!$A$2:$D$70,4,FALSE)</f>
        <v>0</v>
      </c>
      <c r="K2674" s="4">
        <f t="shared" si="645"/>
        <v>45350</v>
      </c>
      <c r="L2674" s="5">
        <f t="shared" si="646"/>
        <v>2</v>
      </c>
      <c r="M2674" s="5">
        <f t="shared" si="647"/>
        <v>2024</v>
      </c>
      <c r="N2674" s="6">
        <v>1000</v>
      </c>
      <c r="O2674" s="6">
        <f>-N2674</f>
        <v>-1000</v>
      </c>
      <c r="P2674" s="6">
        <f t="shared" si="652"/>
        <v>0</v>
      </c>
      <c r="Q2674" s="7">
        <f t="shared" si="648"/>
        <v>4325192.45</v>
      </c>
      <c r="R2674" s="44" t="str">
        <f>VLOOKUP(F2674,'Set up'!$A$2:$E$70,5,FALSE)</f>
        <v>Trsf</v>
      </c>
      <c r="S2674" s="1" t="s">
        <v>2997</v>
      </c>
    </row>
    <row r="2675" spans="1:19" ht="15" customHeight="1" x14ac:dyDescent="0.3">
      <c r="A2675" s="4">
        <v>45352</v>
      </c>
      <c r="B2675" s="5">
        <f t="shared" si="643"/>
        <v>3</v>
      </c>
      <c r="C2675" s="5">
        <f t="shared" si="644"/>
        <v>2024</v>
      </c>
      <c r="D2675" s="5" t="s">
        <v>2423</v>
      </c>
      <c r="E2675" s="5" t="str">
        <f>VLOOKUP(F2675,'Set up'!$A$2:$C$70,2,FALSE)</f>
        <v>C00000021</v>
      </c>
      <c r="F2675" s="1" t="s">
        <v>491</v>
      </c>
      <c r="G2675" s="100" t="s">
        <v>716</v>
      </c>
      <c r="H2675" s="105">
        <v>1</v>
      </c>
      <c r="I2675" s="5" t="str">
        <f>VLOOKUP(F2675,'Set up'!$A$2:$C$70,3,FALSE)</f>
        <v>Cash</v>
      </c>
      <c r="J2675" s="5">
        <f>VLOOKUP(F2675,'Set up'!$A$2:$D$70,4,FALSE)</f>
        <v>0</v>
      </c>
      <c r="K2675" s="4">
        <f t="shared" si="645"/>
        <v>45352</v>
      </c>
      <c r="L2675" s="5">
        <f t="shared" si="646"/>
        <v>3</v>
      </c>
      <c r="M2675" s="5">
        <f t="shared" si="647"/>
        <v>2024</v>
      </c>
      <c r="N2675" s="12">
        <v>1738</v>
      </c>
      <c r="O2675" s="12"/>
      <c r="P2675" s="6">
        <f t="shared" si="652"/>
        <v>1738</v>
      </c>
      <c r="Q2675" s="7">
        <f t="shared" si="648"/>
        <v>4326930.45</v>
      </c>
      <c r="R2675" s="44" t="str">
        <f>VLOOKUP(F2675,'Set up'!$A$2:$E$70,5,FALSE)</f>
        <v>PD Chq</v>
      </c>
    </row>
    <row r="2676" spans="1:19" ht="15" customHeight="1" x14ac:dyDescent="0.3">
      <c r="A2676" s="4">
        <v>45352</v>
      </c>
      <c r="B2676" s="5">
        <f t="shared" si="643"/>
        <v>3</v>
      </c>
      <c r="C2676" s="5">
        <f t="shared" si="644"/>
        <v>2024</v>
      </c>
      <c r="D2676" s="5" t="s">
        <v>2423</v>
      </c>
      <c r="E2676" s="5" t="str">
        <f>VLOOKUP(F2676,'Set up'!$A$2:$C$70,2,FALSE)</f>
        <v>C00000021</v>
      </c>
      <c r="F2676" s="1" t="s">
        <v>491</v>
      </c>
      <c r="G2676" s="99" t="s">
        <v>2370</v>
      </c>
      <c r="H2676" s="105">
        <v>2</v>
      </c>
      <c r="I2676" s="5" t="str">
        <f>VLOOKUP(F2676,'Set up'!$A$2:$C$70,3,FALSE)</f>
        <v>Cash</v>
      </c>
      <c r="J2676" s="5">
        <f>VLOOKUP(F2676,'Set up'!$A$2:$D$70,4,FALSE)</f>
        <v>0</v>
      </c>
      <c r="K2676" s="4">
        <f t="shared" si="645"/>
        <v>45352</v>
      </c>
      <c r="L2676" s="5">
        <f t="shared" si="646"/>
        <v>3</v>
      </c>
      <c r="M2676" s="5">
        <f t="shared" si="647"/>
        <v>2024</v>
      </c>
      <c r="N2676" s="12">
        <v>555</v>
      </c>
      <c r="O2676" s="12"/>
      <c r="P2676" s="6">
        <f t="shared" si="652"/>
        <v>555</v>
      </c>
      <c r="Q2676" s="7">
        <f t="shared" si="648"/>
        <v>4327485.45</v>
      </c>
      <c r="R2676" s="44" t="str">
        <f>VLOOKUP(F2676,'Set up'!$A$2:$E$70,5,FALSE)</f>
        <v>PD Chq</v>
      </c>
    </row>
    <row r="2677" spans="1:19" ht="15" customHeight="1" x14ac:dyDescent="0.3">
      <c r="A2677" s="4">
        <v>45352</v>
      </c>
      <c r="B2677" s="5">
        <f t="shared" si="643"/>
        <v>3</v>
      </c>
      <c r="C2677" s="5">
        <f t="shared" si="644"/>
        <v>2024</v>
      </c>
      <c r="D2677" s="5" t="s">
        <v>2423</v>
      </c>
      <c r="E2677" s="5" t="str">
        <f>VLOOKUP(F2677,'Set up'!$A$2:$C$70,2,FALSE)</f>
        <v>C00000021</v>
      </c>
      <c r="F2677" s="1" t="s">
        <v>491</v>
      </c>
      <c r="G2677" s="99" t="s">
        <v>1061</v>
      </c>
      <c r="H2677" s="105">
        <v>1</v>
      </c>
      <c r="I2677" s="5" t="str">
        <f>VLOOKUP(F2677,'Set up'!$A$2:$C$70,3,FALSE)</f>
        <v>Cash</v>
      </c>
      <c r="J2677" s="5">
        <f>VLOOKUP(F2677,'Set up'!$A$2:$D$70,4,FALSE)</f>
        <v>0</v>
      </c>
      <c r="K2677" s="4">
        <f t="shared" si="645"/>
        <v>45352</v>
      </c>
      <c r="L2677" s="5">
        <f t="shared" si="646"/>
        <v>3</v>
      </c>
      <c r="M2677" s="5">
        <f t="shared" si="647"/>
        <v>2024</v>
      </c>
      <c r="N2677" s="12">
        <v>95</v>
      </c>
      <c r="O2677" s="12"/>
      <c r="P2677" s="6">
        <f t="shared" si="652"/>
        <v>95</v>
      </c>
      <c r="Q2677" s="7">
        <f t="shared" si="648"/>
        <v>4327580.45</v>
      </c>
      <c r="R2677" s="44" t="str">
        <f>VLOOKUP(F2677,'Set up'!$A$2:$E$70,5,FALSE)</f>
        <v>PD Chq</v>
      </c>
    </row>
    <row r="2678" spans="1:19" ht="15" customHeight="1" x14ac:dyDescent="0.3">
      <c r="A2678" s="4">
        <v>45352</v>
      </c>
      <c r="B2678" s="5">
        <f t="shared" si="643"/>
        <v>3</v>
      </c>
      <c r="C2678" s="5">
        <f t="shared" si="644"/>
        <v>2024</v>
      </c>
      <c r="D2678" s="5" t="s">
        <v>2423</v>
      </c>
      <c r="E2678" s="5" t="str">
        <f>VLOOKUP(F2678,'Set up'!$A$2:$C$70,2,FALSE)</f>
        <v>C00000021</v>
      </c>
      <c r="F2678" s="1" t="s">
        <v>491</v>
      </c>
      <c r="G2678" s="90" t="s">
        <v>800</v>
      </c>
      <c r="H2678" s="105">
        <v>1</v>
      </c>
      <c r="I2678" s="5" t="str">
        <f>VLOOKUP(F2678,'Set up'!$A$2:$C$70,3,FALSE)</f>
        <v>Cash</v>
      </c>
      <c r="J2678" s="5">
        <f>VLOOKUP(F2678,'Set up'!$A$2:$D$70,4,FALSE)</f>
        <v>0</v>
      </c>
      <c r="K2678" s="4">
        <f t="shared" si="645"/>
        <v>45352</v>
      </c>
      <c r="L2678" s="5">
        <f t="shared" si="646"/>
        <v>3</v>
      </c>
      <c r="M2678" s="5">
        <f t="shared" si="647"/>
        <v>2024</v>
      </c>
      <c r="N2678" s="12">
        <v>225</v>
      </c>
      <c r="O2678" s="12"/>
      <c r="P2678" s="6">
        <f t="shared" si="652"/>
        <v>225</v>
      </c>
      <c r="Q2678" s="7">
        <f t="shared" si="648"/>
        <v>4327805.45</v>
      </c>
      <c r="R2678" s="44" t="str">
        <f>VLOOKUP(F2678,'Set up'!$A$2:$E$70,5,FALSE)</f>
        <v>PD Chq</v>
      </c>
    </row>
    <row r="2679" spans="1:19" ht="15" customHeight="1" x14ac:dyDescent="0.3">
      <c r="A2679" s="4">
        <v>45353</v>
      </c>
      <c r="B2679" s="5">
        <f t="shared" si="643"/>
        <v>3</v>
      </c>
      <c r="C2679" s="5">
        <f t="shared" si="644"/>
        <v>2024</v>
      </c>
      <c r="D2679" s="5" t="s">
        <v>2424</v>
      </c>
      <c r="E2679" s="5" t="str">
        <f>VLOOKUP(F2679,'Set up'!$A$2:$C$70,2,FALSE)</f>
        <v>C00000010</v>
      </c>
      <c r="F2679" s="1" t="s">
        <v>62</v>
      </c>
      <c r="G2679" s="89" t="s">
        <v>1402</v>
      </c>
      <c r="H2679" s="106">
        <v>8</v>
      </c>
      <c r="I2679" s="5">
        <f>VLOOKUP(F2679,'Set up'!$A$2:$C$70,3,FALSE)</f>
        <v>120</v>
      </c>
      <c r="J2679" s="5">
        <f>VLOOKUP(F2679,'Set up'!$A$2:$D$70,4,FALSE)</f>
        <v>120</v>
      </c>
      <c r="K2679" s="4">
        <f t="shared" si="645"/>
        <v>45473</v>
      </c>
      <c r="L2679" s="5">
        <f t="shared" si="646"/>
        <v>6</v>
      </c>
      <c r="M2679" s="5">
        <f t="shared" si="647"/>
        <v>2024</v>
      </c>
      <c r="N2679" s="12">
        <v>12848</v>
      </c>
      <c r="O2679" s="6">
        <f t="shared" ref="O2679:O2684" si="658">-N2679</f>
        <v>-12848</v>
      </c>
      <c r="P2679" s="6">
        <f t="shared" si="652"/>
        <v>0</v>
      </c>
      <c r="Q2679" s="7">
        <f t="shared" si="648"/>
        <v>4340653.45</v>
      </c>
      <c r="R2679" s="44" t="str">
        <f>VLOOKUP(F2679,'Set up'!$A$2:$E$70,5,FALSE)</f>
        <v>Trsf</v>
      </c>
      <c r="S2679" s="1" t="s">
        <v>2927</v>
      </c>
    </row>
    <row r="2680" spans="1:19" ht="15" customHeight="1" x14ac:dyDescent="0.3">
      <c r="A2680" s="4">
        <v>45353</v>
      </c>
      <c r="B2680" s="5">
        <f t="shared" si="643"/>
        <v>3</v>
      </c>
      <c r="C2680" s="5">
        <f t="shared" si="644"/>
        <v>2024</v>
      </c>
      <c r="D2680" s="5" t="s">
        <v>2424</v>
      </c>
      <c r="E2680" s="5" t="str">
        <f>VLOOKUP(F2680,'Set up'!$A$2:$C$70,2,FALSE)</f>
        <v>C00000010</v>
      </c>
      <c r="F2680" s="1" t="s">
        <v>62</v>
      </c>
      <c r="G2680" s="90" t="s">
        <v>1543</v>
      </c>
      <c r="H2680" s="88">
        <v>5</v>
      </c>
      <c r="I2680" s="5">
        <f>VLOOKUP(F2680,'Set up'!$A$2:$C$70,3,FALSE)</f>
        <v>120</v>
      </c>
      <c r="J2680" s="5">
        <f>VLOOKUP(F2680,'Set up'!$A$2:$D$70,4,FALSE)</f>
        <v>120</v>
      </c>
      <c r="K2680" s="4">
        <f t="shared" si="645"/>
        <v>45473</v>
      </c>
      <c r="L2680" s="5">
        <f t="shared" si="646"/>
        <v>6</v>
      </c>
      <c r="M2680" s="5">
        <f t="shared" si="647"/>
        <v>2024</v>
      </c>
      <c r="N2680" s="12">
        <v>870</v>
      </c>
      <c r="O2680" s="6">
        <f t="shared" si="658"/>
        <v>-870</v>
      </c>
      <c r="P2680" s="6">
        <f t="shared" si="652"/>
        <v>0</v>
      </c>
      <c r="Q2680" s="7">
        <f t="shared" si="648"/>
        <v>4341523.45</v>
      </c>
      <c r="R2680" s="44" t="str">
        <f>VLOOKUP(F2680,'Set up'!$A$2:$E$70,5,FALSE)</f>
        <v>Trsf</v>
      </c>
      <c r="S2680" s="1" t="s">
        <v>2927</v>
      </c>
    </row>
    <row r="2681" spans="1:19" ht="15" customHeight="1" x14ac:dyDescent="0.3">
      <c r="A2681" s="4">
        <v>45353</v>
      </c>
      <c r="B2681" s="5">
        <f t="shared" si="643"/>
        <v>3</v>
      </c>
      <c r="C2681" s="5">
        <f t="shared" si="644"/>
        <v>2024</v>
      </c>
      <c r="D2681" s="5" t="s">
        <v>2424</v>
      </c>
      <c r="E2681" s="5" t="str">
        <f>VLOOKUP(F2681,'Set up'!$A$2:$C$70,2,FALSE)</f>
        <v>C00000010</v>
      </c>
      <c r="F2681" s="1" t="s">
        <v>62</v>
      </c>
      <c r="G2681" s="90" t="s">
        <v>791</v>
      </c>
      <c r="H2681" s="88">
        <v>10</v>
      </c>
      <c r="I2681" s="5">
        <f>VLOOKUP(F2681,'Set up'!$A$2:$C$70,3,FALSE)</f>
        <v>120</v>
      </c>
      <c r="J2681" s="5">
        <f>VLOOKUP(F2681,'Set up'!$A$2:$D$70,4,FALSE)</f>
        <v>120</v>
      </c>
      <c r="K2681" s="4">
        <f t="shared" si="645"/>
        <v>45473</v>
      </c>
      <c r="L2681" s="5">
        <f t="shared" si="646"/>
        <v>6</v>
      </c>
      <c r="M2681" s="5">
        <f t="shared" si="647"/>
        <v>2024</v>
      </c>
      <c r="N2681" s="12">
        <v>575</v>
      </c>
      <c r="O2681" s="6">
        <f t="shared" si="658"/>
        <v>-575</v>
      </c>
      <c r="P2681" s="6">
        <f t="shared" si="652"/>
        <v>0</v>
      </c>
      <c r="Q2681" s="7">
        <f t="shared" si="648"/>
        <v>4342098.45</v>
      </c>
      <c r="R2681" s="44" t="str">
        <f>VLOOKUP(F2681,'Set up'!$A$2:$E$70,5,FALSE)</f>
        <v>Trsf</v>
      </c>
      <c r="S2681" s="1" t="s">
        <v>2927</v>
      </c>
    </row>
    <row r="2682" spans="1:19" ht="15" customHeight="1" x14ac:dyDescent="0.3">
      <c r="A2682" s="4">
        <v>45353</v>
      </c>
      <c r="B2682" s="5">
        <f t="shared" si="643"/>
        <v>3</v>
      </c>
      <c r="C2682" s="5">
        <f t="shared" si="644"/>
        <v>2024</v>
      </c>
      <c r="D2682" s="5" t="s">
        <v>2424</v>
      </c>
      <c r="E2682" s="5" t="str">
        <f>VLOOKUP(F2682,'Set up'!$A$2:$C$70,2,FALSE)</f>
        <v>C00000010</v>
      </c>
      <c r="F2682" s="1" t="s">
        <v>62</v>
      </c>
      <c r="G2682" s="11" t="s">
        <v>46</v>
      </c>
      <c r="H2682" s="88">
        <v>4</v>
      </c>
      <c r="I2682" s="5">
        <f>VLOOKUP(F2682,'Set up'!$A$2:$C$70,3,FALSE)</f>
        <v>120</v>
      </c>
      <c r="J2682" s="5">
        <f>VLOOKUP(F2682,'Set up'!$A$2:$D$70,4,FALSE)</f>
        <v>120</v>
      </c>
      <c r="K2682" s="4">
        <f t="shared" si="645"/>
        <v>45473</v>
      </c>
      <c r="L2682" s="5">
        <f t="shared" si="646"/>
        <v>6</v>
      </c>
      <c r="M2682" s="5">
        <f t="shared" si="647"/>
        <v>2024</v>
      </c>
      <c r="N2682" s="12">
        <v>440</v>
      </c>
      <c r="O2682" s="6">
        <f t="shared" si="658"/>
        <v>-440</v>
      </c>
      <c r="P2682" s="6">
        <f t="shared" si="652"/>
        <v>0</v>
      </c>
      <c r="Q2682" s="7">
        <f t="shared" si="648"/>
        <v>4342538.45</v>
      </c>
      <c r="R2682" s="44" t="str">
        <f>VLOOKUP(F2682,'Set up'!$A$2:$E$70,5,FALSE)</f>
        <v>Trsf</v>
      </c>
      <c r="S2682" s="1" t="s">
        <v>2927</v>
      </c>
    </row>
    <row r="2683" spans="1:19" ht="15" customHeight="1" x14ac:dyDescent="0.3">
      <c r="A2683" s="4">
        <v>45353</v>
      </c>
      <c r="B2683" s="5">
        <f t="shared" si="643"/>
        <v>3</v>
      </c>
      <c r="C2683" s="5">
        <f t="shared" si="644"/>
        <v>2024</v>
      </c>
      <c r="D2683" s="5" t="s">
        <v>2424</v>
      </c>
      <c r="E2683" s="5" t="str">
        <f>VLOOKUP(F2683,'Set up'!$A$2:$C$70,2,FALSE)</f>
        <v>C00000010</v>
      </c>
      <c r="F2683" s="1" t="s">
        <v>62</v>
      </c>
      <c r="G2683" s="90" t="s">
        <v>944</v>
      </c>
      <c r="H2683" s="88">
        <v>1</v>
      </c>
      <c r="I2683" s="5">
        <f>VLOOKUP(F2683,'Set up'!$A$2:$C$70,3,FALSE)</f>
        <v>120</v>
      </c>
      <c r="J2683" s="5">
        <f>VLOOKUP(F2683,'Set up'!$A$2:$D$70,4,FALSE)</f>
        <v>120</v>
      </c>
      <c r="K2683" s="4">
        <f t="shared" si="645"/>
        <v>45473</v>
      </c>
      <c r="L2683" s="5">
        <f t="shared" si="646"/>
        <v>6</v>
      </c>
      <c r="M2683" s="5">
        <f t="shared" si="647"/>
        <v>2024</v>
      </c>
      <c r="N2683" s="12">
        <v>420</v>
      </c>
      <c r="O2683" s="6">
        <f t="shared" si="658"/>
        <v>-420</v>
      </c>
      <c r="P2683" s="6">
        <f t="shared" si="652"/>
        <v>0</v>
      </c>
      <c r="Q2683" s="7">
        <f t="shared" si="648"/>
        <v>4342958.45</v>
      </c>
      <c r="R2683" s="44" t="str">
        <f>VLOOKUP(F2683,'Set up'!$A$2:$E$70,5,FALSE)</f>
        <v>Trsf</v>
      </c>
      <c r="S2683" s="1" t="s">
        <v>2927</v>
      </c>
    </row>
    <row r="2684" spans="1:19" ht="15" customHeight="1" x14ac:dyDescent="0.3">
      <c r="A2684" s="4">
        <v>45353</v>
      </c>
      <c r="B2684" s="5">
        <f t="shared" si="643"/>
        <v>3</v>
      </c>
      <c r="C2684" s="5">
        <f t="shared" si="644"/>
        <v>2024</v>
      </c>
      <c r="D2684" s="5" t="s">
        <v>2424</v>
      </c>
      <c r="E2684" s="5" t="str">
        <f>VLOOKUP(F2684,'Set up'!$A$2:$C$70,2,FALSE)</f>
        <v>C00000010</v>
      </c>
      <c r="F2684" s="1" t="s">
        <v>62</v>
      </c>
      <c r="G2684" s="90" t="s">
        <v>614</v>
      </c>
      <c r="H2684" s="88">
        <v>1</v>
      </c>
      <c r="I2684" s="5">
        <f>VLOOKUP(F2684,'Set up'!$A$2:$C$70,3,FALSE)</f>
        <v>120</v>
      </c>
      <c r="J2684" s="5">
        <f>VLOOKUP(F2684,'Set up'!$A$2:$D$70,4,FALSE)</f>
        <v>120</v>
      </c>
      <c r="K2684" s="4">
        <f t="shared" si="645"/>
        <v>45473</v>
      </c>
      <c r="L2684" s="5">
        <f t="shared" si="646"/>
        <v>6</v>
      </c>
      <c r="M2684" s="5">
        <f t="shared" si="647"/>
        <v>2024</v>
      </c>
      <c r="N2684" s="12">
        <v>395</v>
      </c>
      <c r="O2684" s="6">
        <f t="shared" si="658"/>
        <v>-395</v>
      </c>
      <c r="P2684" s="6">
        <f t="shared" si="652"/>
        <v>0</v>
      </c>
      <c r="Q2684" s="7">
        <f t="shared" si="648"/>
        <v>4343353.45</v>
      </c>
      <c r="R2684" s="44" t="str">
        <f>VLOOKUP(F2684,'Set up'!$A$2:$E$70,5,FALSE)</f>
        <v>Trsf</v>
      </c>
      <c r="S2684" s="1" t="s">
        <v>2927</v>
      </c>
    </row>
    <row r="2685" spans="1:19" ht="15" customHeight="1" x14ac:dyDescent="0.3">
      <c r="A2685" s="4">
        <v>45353</v>
      </c>
      <c r="B2685" s="5">
        <f t="shared" si="643"/>
        <v>3</v>
      </c>
      <c r="C2685" s="5">
        <f t="shared" si="644"/>
        <v>2024</v>
      </c>
      <c r="D2685" s="5" t="s">
        <v>2425</v>
      </c>
      <c r="E2685" s="5" t="str">
        <f>VLOOKUP(F2685,'Set up'!$A$2:$C$70,2,FALSE)</f>
        <v>C00000043</v>
      </c>
      <c r="F2685" s="1" t="s">
        <v>2134</v>
      </c>
      <c r="G2685" s="100" t="s">
        <v>1390</v>
      </c>
      <c r="H2685" s="5">
        <v>3</v>
      </c>
      <c r="I2685" s="5" t="str">
        <f>VLOOKUP(F2685,'Set up'!$A$2:$C$70,3,FALSE)</f>
        <v>Cash</v>
      </c>
      <c r="J2685" s="5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2685" s="5">
        <f t="shared" si="647"/>
        <v>2024</v>
      </c>
      <c r="N2685" s="12">
        <v>1279.8</v>
      </c>
      <c r="O2685" s="6">
        <f t="shared" ref="O2685" si="659">-N2685</f>
        <v>-1279.8</v>
      </c>
      <c r="P2685" s="6">
        <f t="shared" si="652"/>
        <v>0</v>
      </c>
      <c r="Q2685" s="7">
        <f t="shared" si="648"/>
        <v>4344633.25</v>
      </c>
      <c r="R2685" s="44" t="str">
        <f>VLOOKUP(F2685,'Set up'!$A$2:$E$70,5,FALSE)</f>
        <v>Trsf</v>
      </c>
      <c r="S2685" s="1" t="s">
        <v>2459</v>
      </c>
    </row>
    <row r="2686" spans="1:19" ht="15" customHeight="1" x14ac:dyDescent="0.3">
      <c r="A2686" s="4">
        <v>45356</v>
      </c>
      <c r="B2686" s="5">
        <f t="shared" si="643"/>
        <v>3</v>
      </c>
      <c r="C2686" s="5">
        <f t="shared" si="644"/>
        <v>2024</v>
      </c>
      <c r="D2686" s="5" t="s">
        <v>2426</v>
      </c>
      <c r="E2686" s="5" t="str">
        <f>VLOOKUP(F2686,'Set up'!$A$2:$C$70,2,FALSE)</f>
        <v>C00000042</v>
      </c>
      <c r="F2686" s="1" t="s">
        <v>2012</v>
      </c>
      <c r="G2686" s="122" t="s">
        <v>1110</v>
      </c>
      <c r="H2686" s="5">
        <v>10</v>
      </c>
      <c r="I2686" s="5" t="str">
        <f>VLOOKUP(F2686,'Set up'!$A$2:$C$70,3,FALSE)</f>
        <v>Cash</v>
      </c>
      <c r="J2686" s="5">
        <f>VLOOKUP(F2686,'Set up'!$A$2:$D$70,4,FALSE)</f>
        <v>0</v>
      </c>
      <c r="K2686" s="4">
        <f t="shared" si="645"/>
        <v>45356</v>
      </c>
      <c r="L2686" s="5">
        <f t="shared" si="646"/>
        <v>3</v>
      </c>
      <c r="M2686" s="5">
        <f t="shared" si="647"/>
        <v>2024</v>
      </c>
      <c r="N2686" s="12">
        <v>625</v>
      </c>
      <c r="O2686" s="6">
        <f>-N2686</f>
        <v>-625</v>
      </c>
      <c r="P2686" s="6">
        <f t="shared" si="652"/>
        <v>0</v>
      </c>
      <c r="Q2686" s="7">
        <f t="shared" si="648"/>
        <v>4345258.25</v>
      </c>
      <c r="R2686" s="44" t="str">
        <f>VLOOKUP(F2686,'Set up'!$A$2:$E$70,5,FALSE)</f>
        <v>Trsf</v>
      </c>
      <c r="S2686" s="1" t="s">
        <v>2998</v>
      </c>
    </row>
    <row r="2687" spans="1:19" ht="15" customHeight="1" x14ac:dyDescent="0.3">
      <c r="A2687" s="4">
        <v>45356</v>
      </c>
      <c r="B2687" s="5">
        <f t="shared" si="643"/>
        <v>3</v>
      </c>
      <c r="C2687" s="5">
        <f t="shared" si="644"/>
        <v>2024</v>
      </c>
      <c r="D2687" s="5" t="s">
        <v>2427</v>
      </c>
      <c r="E2687" s="5" t="str">
        <f>VLOOKUP(F2687,'Set up'!$A$2:$C$70,2,FALSE)</f>
        <v>C00000042</v>
      </c>
      <c r="F2687" s="1" t="s">
        <v>2012</v>
      </c>
      <c r="G2687" s="122" t="s">
        <v>1733</v>
      </c>
      <c r="H2687" s="88">
        <v>10</v>
      </c>
      <c r="I2687" s="5" t="str">
        <f>VLOOKUP(F2687,'Set up'!$A$2:$C$70,3,FALSE)</f>
        <v>Cash</v>
      </c>
      <c r="J2687" s="5">
        <f>VLOOKUP(F2687,'Set up'!$A$2:$D$70,4,FALSE)</f>
        <v>0</v>
      </c>
      <c r="K2687" s="4">
        <f t="shared" si="645"/>
        <v>45356</v>
      </c>
      <c r="L2687" s="5">
        <f t="shared" si="646"/>
        <v>3</v>
      </c>
      <c r="M2687" s="5">
        <f t="shared" si="647"/>
        <v>2024</v>
      </c>
      <c r="N2687" s="12">
        <v>16060</v>
      </c>
      <c r="O2687" s="6">
        <f>-6958.5-8000-1101.5</f>
        <v>-16060</v>
      </c>
      <c r="P2687" s="6">
        <f t="shared" si="652"/>
        <v>0</v>
      </c>
      <c r="Q2687" s="7">
        <f t="shared" si="648"/>
        <v>4361318.25</v>
      </c>
      <c r="R2687" s="44" t="str">
        <f>VLOOKUP(F2687,'Set up'!$A$2:$E$70,5,FALSE)</f>
        <v>Trsf</v>
      </c>
      <c r="S2687" s="1" t="s">
        <v>2999</v>
      </c>
    </row>
    <row r="2688" spans="1:19" ht="15" customHeight="1" x14ac:dyDescent="0.3">
      <c r="A2688" s="4">
        <v>45356</v>
      </c>
      <c r="B2688" s="5">
        <f t="shared" si="643"/>
        <v>3</v>
      </c>
      <c r="C2688" s="5">
        <f t="shared" si="644"/>
        <v>2024</v>
      </c>
      <c r="D2688" s="5" t="s">
        <v>2427</v>
      </c>
      <c r="E2688" s="5" t="str">
        <f>VLOOKUP(F2688,'Set up'!$A$2:$C$70,2,FALSE)</f>
        <v>C00000042</v>
      </c>
      <c r="F2688" s="1" t="s">
        <v>2012</v>
      </c>
      <c r="G2688" s="90" t="s">
        <v>913</v>
      </c>
      <c r="H2688" s="88">
        <v>20</v>
      </c>
      <c r="I2688" s="5" t="str">
        <f>VLOOKUP(F2688,'Set up'!$A$2:$C$70,3,FALSE)</f>
        <v>Cash</v>
      </c>
      <c r="J2688" s="5">
        <f>VLOOKUP(F2688,'Set up'!$A$2:$D$70,4,FALSE)</f>
        <v>0</v>
      </c>
      <c r="K2688" s="4">
        <f t="shared" si="645"/>
        <v>45356</v>
      </c>
      <c r="L2688" s="5">
        <f t="shared" si="646"/>
        <v>3</v>
      </c>
      <c r="M2688" s="5">
        <f t="shared" si="647"/>
        <v>2024</v>
      </c>
      <c r="N2688" s="12">
        <v>3480</v>
      </c>
      <c r="O2688" s="6">
        <f>-N2688</f>
        <v>-3480</v>
      </c>
      <c r="P2688" s="6">
        <f t="shared" si="652"/>
        <v>0</v>
      </c>
      <c r="Q2688" s="7">
        <f t="shared" si="648"/>
        <v>4364798.25</v>
      </c>
      <c r="R2688" s="44" t="str">
        <f>VLOOKUP(F2688,'Set up'!$A$2:$E$70,5,FALSE)</f>
        <v>Trsf</v>
      </c>
      <c r="S2688" s="1" t="s">
        <v>3000</v>
      </c>
    </row>
    <row r="2689" spans="1:21" ht="15" customHeight="1" x14ac:dyDescent="0.3">
      <c r="A2689" s="4">
        <v>45356</v>
      </c>
      <c r="B2689" s="5">
        <f t="shared" si="643"/>
        <v>3</v>
      </c>
      <c r="C2689" s="5">
        <f t="shared" si="644"/>
        <v>2024</v>
      </c>
      <c r="D2689" s="5" t="s">
        <v>2427</v>
      </c>
      <c r="E2689" s="5" t="str">
        <f>VLOOKUP(F2689,'Set up'!$A$2:$C$70,2,FALSE)</f>
        <v>C00000042</v>
      </c>
      <c r="F2689" s="1" t="s">
        <v>2012</v>
      </c>
      <c r="G2689" s="90" t="s">
        <v>2370</v>
      </c>
      <c r="H2689" s="88">
        <v>10</v>
      </c>
      <c r="I2689" s="5" t="str">
        <f>VLOOKUP(F2689,'Set up'!$A$2:$C$70,3,FALSE)</f>
        <v>Cash</v>
      </c>
      <c r="J2689" s="5">
        <f>VLOOKUP(F2689,'Set up'!$A$2:$D$70,4,FALSE)</f>
        <v>0</v>
      </c>
      <c r="K2689" s="4">
        <f t="shared" si="645"/>
        <v>45356</v>
      </c>
      <c r="L2689" s="5">
        <f t="shared" si="646"/>
        <v>3</v>
      </c>
      <c r="M2689" s="5">
        <f t="shared" si="647"/>
        <v>2024</v>
      </c>
      <c r="N2689" s="12">
        <v>2146</v>
      </c>
      <c r="O2689" s="6">
        <f>-118.5-2027.5</f>
        <v>-2146</v>
      </c>
      <c r="P2689" s="6">
        <f t="shared" si="652"/>
        <v>0</v>
      </c>
      <c r="Q2689" s="7">
        <f t="shared" si="648"/>
        <v>4366944.25</v>
      </c>
      <c r="R2689" s="44" t="str">
        <f>VLOOKUP(F2689,'Set up'!$A$2:$E$70,5,FALSE)</f>
        <v>Trsf</v>
      </c>
      <c r="S2689" s="1" t="s">
        <v>3001</v>
      </c>
    </row>
    <row r="2690" spans="1:21" ht="15" customHeight="1" x14ac:dyDescent="0.3">
      <c r="A2690" s="4">
        <v>45356</v>
      </c>
      <c r="B2690" s="5">
        <f t="shared" si="643"/>
        <v>3</v>
      </c>
      <c r="C2690" s="5">
        <f t="shared" si="644"/>
        <v>2024</v>
      </c>
      <c r="D2690" s="5" t="s">
        <v>2427</v>
      </c>
      <c r="E2690" s="5" t="str">
        <f>VLOOKUP(F2690,'Set up'!$A$2:$C$70,2,FALSE)</f>
        <v>C00000042</v>
      </c>
      <c r="F2690" s="1" t="s">
        <v>2012</v>
      </c>
      <c r="G2690" s="90" t="s">
        <v>1922</v>
      </c>
      <c r="H2690" s="88">
        <v>15</v>
      </c>
      <c r="I2690" s="5" t="str">
        <f>VLOOKUP(F2690,'Set up'!$A$2:$C$70,3,FALSE)</f>
        <v>Cash</v>
      </c>
      <c r="J2690" s="5">
        <f>VLOOKUP(F2690,'Set up'!$A$2:$D$70,4,FALSE)</f>
        <v>0</v>
      </c>
      <c r="K2690" s="4">
        <f t="shared" si="645"/>
        <v>45356</v>
      </c>
      <c r="L2690" s="5">
        <f t="shared" si="646"/>
        <v>3</v>
      </c>
      <c r="M2690" s="5">
        <f t="shared" si="647"/>
        <v>2024</v>
      </c>
      <c r="N2690" s="12">
        <v>3510</v>
      </c>
      <c r="O2690" s="12">
        <f>-972.5-2537.5</f>
        <v>-3510</v>
      </c>
      <c r="P2690" s="6">
        <f t="shared" si="652"/>
        <v>0</v>
      </c>
      <c r="Q2690" s="7">
        <f t="shared" si="648"/>
        <v>4370454.25</v>
      </c>
      <c r="R2690" s="44" t="str">
        <f>VLOOKUP(F2690,'Set up'!$A$2:$E$70,5,FALSE)</f>
        <v>Trsf</v>
      </c>
      <c r="S2690" s="1" t="s">
        <v>3002</v>
      </c>
    </row>
    <row r="2691" spans="1:21" ht="15" customHeight="1" x14ac:dyDescent="0.3">
      <c r="A2691" s="4">
        <v>45356</v>
      </c>
      <c r="B2691" s="5">
        <f t="shared" ref="B2691:B2754" si="660">MONTH(A2691)</f>
        <v>3</v>
      </c>
      <c r="C2691" s="5">
        <f t="shared" ref="C2691:C2754" si="661">YEAR(A2691)</f>
        <v>2024</v>
      </c>
      <c r="D2691" s="5" t="s">
        <v>2427</v>
      </c>
      <c r="E2691" s="5" t="str">
        <f>VLOOKUP(F2691,'Set up'!$A$2:$C$70,2,FALSE)</f>
        <v>C00000042</v>
      </c>
      <c r="F2691" s="1" t="s">
        <v>2012</v>
      </c>
      <c r="G2691" s="90" t="s">
        <v>1061</v>
      </c>
      <c r="H2691" s="88">
        <v>4</v>
      </c>
      <c r="I2691" s="5" t="str">
        <f>VLOOKUP(F2691,'Set up'!$A$2:$C$70,3,FALSE)</f>
        <v>Cash</v>
      </c>
      <c r="J2691" s="5">
        <f>VLOOKUP(F2691,'Set up'!$A$2:$D$70,4,FALSE)</f>
        <v>0</v>
      </c>
      <c r="K2691" s="4">
        <f t="shared" ref="K2691:K2754" si="662">A2691+J2691</f>
        <v>45356</v>
      </c>
      <c r="L2691" s="5">
        <f t="shared" ref="L2691:L2754" si="663">MONTH(K2691)</f>
        <v>3</v>
      </c>
      <c r="M2691" s="5">
        <f t="shared" ref="M2691:M2754" si="664">YEAR(K2691)</f>
        <v>2024</v>
      </c>
      <c r="N2691" s="12">
        <v>380</v>
      </c>
      <c r="O2691" s="6">
        <f>-N2691</f>
        <v>-380</v>
      </c>
      <c r="P2691" s="6">
        <f t="shared" si="652"/>
        <v>0</v>
      </c>
      <c r="Q2691" s="7">
        <f t="shared" ref="Q2691:Q2754" si="665">SUM(Q2690+N2691)</f>
        <v>4370834.25</v>
      </c>
      <c r="R2691" s="44" t="str">
        <f>VLOOKUP(F2691,'Set up'!$A$2:$E$70,5,FALSE)</f>
        <v>Trsf</v>
      </c>
      <c r="S2691" s="1" t="s">
        <v>3003</v>
      </c>
    </row>
    <row r="2692" spans="1:21" ht="15" customHeight="1" x14ac:dyDescent="0.3">
      <c r="A2692" s="4">
        <v>45355</v>
      </c>
      <c r="B2692" s="5">
        <f t="shared" si="660"/>
        <v>3</v>
      </c>
      <c r="C2692" s="5">
        <f t="shared" si="661"/>
        <v>2024</v>
      </c>
      <c r="D2692" s="5" t="s">
        <v>2428</v>
      </c>
      <c r="E2692" s="5" t="str">
        <f>VLOOKUP(F2692,'Set up'!$A$2:$C$70,2,FALSE)</f>
        <v>C00000009</v>
      </c>
      <c r="F2692" s="1" t="s">
        <v>58</v>
      </c>
      <c r="G2692" s="11" t="s">
        <v>95</v>
      </c>
      <c r="H2692" s="5">
        <v>2</v>
      </c>
      <c r="I2692" s="5">
        <f>VLOOKUP(F2692,'Set up'!$A$2:$C$70,3,FALSE)</f>
        <v>60</v>
      </c>
      <c r="J2692" s="5">
        <f>VLOOKUP(F2692,'Set up'!$A$2:$D$70,4,FALSE)</f>
        <v>60</v>
      </c>
      <c r="K2692" s="4">
        <f t="shared" si="662"/>
        <v>45415</v>
      </c>
      <c r="L2692" s="5">
        <f t="shared" si="663"/>
        <v>5</v>
      </c>
      <c r="M2692" s="5">
        <f t="shared" si="664"/>
        <v>2024</v>
      </c>
      <c r="N2692" s="12">
        <v>3212</v>
      </c>
      <c r="O2692" s="6">
        <f t="shared" ref="O2692" si="666">-N2692</f>
        <v>-3212</v>
      </c>
      <c r="P2692" s="6">
        <f t="shared" si="652"/>
        <v>0</v>
      </c>
      <c r="Q2692" s="7">
        <f t="shared" si="665"/>
        <v>4374046.25</v>
      </c>
      <c r="R2692" s="44" t="str">
        <f>VLOOKUP(F2692,'Set up'!$A$2:$E$70,5,FALSE)</f>
        <v>Chq</v>
      </c>
      <c r="S2692" s="1" t="s">
        <v>2978</v>
      </c>
    </row>
    <row r="2693" spans="1:21" ht="15" customHeight="1" x14ac:dyDescent="0.3">
      <c r="A2693" s="4">
        <v>45356</v>
      </c>
      <c r="B2693" s="5">
        <f t="shared" si="660"/>
        <v>3</v>
      </c>
      <c r="C2693" s="5">
        <f t="shared" si="661"/>
        <v>2024</v>
      </c>
      <c r="D2693" s="5" t="s">
        <v>2429</v>
      </c>
      <c r="E2693" s="5" t="str">
        <f>VLOOKUP(F2693,'Set up'!$A$2:$C$70,2,FALSE)</f>
        <v>C00000044</v>
      </c>
      <c r="F2693" s="1" t="s">
        <v>2929</v>
      </c>
      <c r="G2693" s="123" t="s">
        <v>2291</v>
      </c>
      <c r="H2693" s="5">
        <v>1</v>
      </c>
      <c r="I2693" s="5" t="str">
        <f>VLOOKUP(F2693,'Set up'!$A$2:$C$70,3,FALSE)</f>
        <v>Cash</v>
      </c>
      <c r="J2693" s="5">
        <f>VLOOKUP(F2693,'Set up'!$A$2:$D$70,4,FALSE)</f>
        <v>0</v>
      </c>
      <c r="K2693" s="4">
        <f t="shared" si="662"/>
        <v>45356</v>
      </c>
      <c r="L2693" s="5">
        <f t="shared" si="663"/>
        <v>3</v>
      </c>
      <c r="M2693" s="5">
        <f t="shared" si="664"/>
        <v>2024</v>
      </c>
      <c r="N2693" s="12">
        <v>1628</v>
      </c>
      <c r="O2693" s="6">
        <f t="shared" ref="O2693:O2694" si="667">-N2693</f>
        <v>-1628</v>
      </c>
      <c r="P2693" s="6">
        <f t="shared" si="652"/>
        <v>0</v>
      </c>
      <c r="Q2693" s="7">
        <f t="shared" si="665"/>
        <v>4375674.25</v>
      </c>
      <c r="R2693" s="44" t="str">
        <f>VLOOKUP(F2693,'Set up'!$A$2:$E$70,5,FALSE)</f>
        <v>Cash</v>
      </c>
      <c r="S2693" s="1" t="s">
        <v>2495</v>
      </c>
    </row>
    <row r="2694" spans="1:21" ht="15" customHeight="1" x14ac:dyDescent="0.3">
      <c r="A2694" s="4">
        <v>45356</v>
      </c>
      <c r="B2694" s="5">
        <f t="shared" si="660"/>
        <v>3</v>
      </c>
      <c r="C2694" s="5">
        <f t="shared" si="661"/>
        <v>2024</v>
      </c>
      <c r="D2694" s="5" t="s">
        <v>2429</v>
      </c>
      <c r="E2694" s="5" t="str">
        <f>VLOOKUP(F2694,'Set up'!$A$2:$C$70,2,FALSE)</f>
        <v>C00000044</v>
      </c>
      <c r="F2694" s="1" t="s">
        <v>2929</v>
      </c>
      <c r="G2694" s="120" t="s">
        <v>2292</v>
      </c>
      <c r="H2694" s="5">
        <v>3</v>
      </c>
      <c r="I2694" s="5" t="str">
        <f>VLOOKUP(F2694,'Set up'!$A$2:$C$70,3,FALSE)</f>
        <v>Cash</v>
      </c>
      <c r="J2694" s="5">
        <f>VLOOKUP(F2694,'Set up'!$A$2:$D$70,4,FALSE)</f>
        <v>0</v>
      </c>
      <c r="K2694" s="4">
        <f t="shared" si="662"/>
        <v>45356</v>
      </c>
      <c r="L2694" s="5">
        <f t="shared" si="663"/>
        <v>3</v>
      </c>
      <c r="M2694" s="5">
        <f t="shared" si="664"/>
        <v>2024</v>
      </c>
      <c r="N2694" s="12">
        <v>630</v>
      </c>
      <c r="O2694" s="6">
        <f t="shared" si="667"/>
        <v>-630</v>
      </c>
      <c r="P2694" s="6">
        <f t="shared" si="652"/>
        <v>0</v>
      </c>
      <c r="Q2694" s="7">
        <f t="shared" si="665"/>
        <v>4376304.25</v>
      </c>
      <c r="R2694" s="44" t="str">
        <f>VLOOKUP(F2694,'Set up'!$A$2:$E$70,5,FALSE)</f>
        <v>Cash</v>
      </c>
      <c r="S2694" s="1" t="s">
        <v>2495</v>
      </c>
    </row>
    <row r="2695" spans="1:21" ht="15" customHeight="1" x14ac:dyDescent="0.3">
      <c r="A2695" s="4">
        <v>45356</v>
      </c>
      <c r="B2695" s="5">
        <f t="shared" si="660"/>
        <v>3</v>
      </c>
      <c r="C2695" s="5">
        <f t="shared" si="661"/>
        <v>2024</v>
      </c>
      <c r="D2695" s="5" t="s">
        <v>2430</v>
      </c>
      <c r="E2695" s="5" t="str">
        <f>VLOOKUP(F2695,'Set up'!$A$2:$C$70,2,FALSE)</f>
        <v>C00000019</v>
      </c>
      <c r="F2695" s="1" t="s">
        <v>400</v>
      </c>
      <c r="G2695" s="90" t="s">
        <v>95</v>
      </c>
      <c r="H2695" s="5">
        <v>1</v>
      </c>
      <c r="I2695" s="5" t="str">
        <f>VLOOKUP(F2695,'Set up'!$A$2:$C$70,3,FALSE)</f>
        <v>Cash</v>
      </c>
      <c r="J2695" s="5">
        <f>VLOOKUP(F2695,'Set up'!$A$2:$D$70,4,FALSE)</f>
        <v>0</v>
      </c>
      <c r="K2695" s="4">
        <f t="shared" si="662"/>
        <v>45356</v>
      </c>
      <c r="L2695" s="5">
        <f t="shared" si="663"/>
        <v>3</v>
      </c>
      <c r="M2695" s="5">
        <f t="shared" si="664"/>
        <v>2024</v>
      </c>
      <c r="N2695" s="12">
        <v>1738</v>
      </c>
      <c r="O2695" s="12">
        <f>-1064-674</f>
        <v>-1738</v>
      </c>
      <c r="P2695" s="6">
        <f t="shared" si="652"/>
        <v>0</v>
      </c>
      <c r="Q2695" s="7">
        <f t="shared" si="665"/>
        <v>4378042.25</v>
      </c>
      <c r="R2695" s="44" t="str">
        <f>VLOOKUP(F2695,'Set up'!$A$2:$E$70,5,FALSE)</f>
        <v>Trsf</v>
      </c>
      <c r="S2695" s="1" t="s">
        <v>3673</v>
      </c>
    </row>
    <row r="2696" spans="1:21" ht="15" customHeight="1" x14ac:dyDescent="0.3">
      <c r="A2696" s="4">
        <v>45356</v>
      </c>
      <c r="B2696" s="5">
        <f t="shared" si="660"/>
        <v>3</v>
      </c>
      <c r="C2696" s="5">
        <f t="shared" si="661"/>
        <v>2024</v>
      </c>
      <c r="D2696" s="5" t="s">
        <v>2430</v>
      </c>
      <c r="E2696" s="5" t="str">
        <f>VLOOKUP(F2696,'Set up'!$A$2:$C$70,2,FALSE)</f>
        <v>C00000019</v>
      </c>
      <c r="F2696" s="1" t="s">
        <v>400</v>
      </c>
      <c r="G2696" s="90" t="s">
        <v>46</v>
      </c>
      <c r="H2696" s="5">
        <v>1</v>
      </c>
      <c r="I2696" s="5" t="str">
        <f>VLOOKUP(F2696,'Set up'!$A$2:$C$70,3,FALSE)</f>
        <v>Cash</v>
      </c>
      <c r="J2696" s="5">
        <f>VLOOKUP(F2696,'Set up'!$A$2:$D$70,4,FALSE)</f>
        <v>0</v>
      </c>
      <c r="K2696" s="4">
        <f t="shared" si="662"/>
        <v>45356</v>
      </c>
      <c r="L2696" s="5">
        <f t="shared" si="663"/>
        <v>3</v>
      </c>
      <c r="M2696" s="5">
        <f t="shared" si="664"/>
        <v>2024</v>
      </c>
      <c r="N2696" s="12">
        <v>110</v>
      </c>
      <c r="O2696" s="6">
        <f t="shared" ref="O2696" si="668">-N2696</f>
        <v>-110</v>
      </c>
      <c r="P2696" s="6">
        <f t="shared" si="652"/>
        <v>0</v>
      </c>
      <c r="Q2696" s="7">
        <f t="shared" si="665"/>
        <v>4378152.25</v>
      </c>
      <c r="R2696" s="44" t="str">
        <f>VLOOKUP(F2696,'Set up'!$A$2:$E$70,5,FALSE)</f>
        <v>Trsf</v>
      </c>
      <c r="S2696" s="1" t="s">
        <v>3666</v>
      </c>
    </row>
    <row r="2697" spans="1:21" ht="15" customHeight="1" x14ac:dyDescent="0.3">
      <c r="A2697" s="4">
        <v>45358</v>
      </c>
      <c r="B2697" s="5">
        <f t="shared" si="660"/>
        <v>3</v>
      </c>
      <c r="C2697" s="5">
        <f t="shared" si="661"/>
        <v>2024</v>
      </c>
      <c r="D2697" s="5" t="s">
        <v>2431</v>
      </c>
      <c r="E2697" s="5" t="str">
        <f>VLOOKUP(F2697,'Set up'!$A$2:$C$70,2,FALSE)</f>
        <v>C00000026</v>
      </c>
      <c r="F2697" s="1" t="s">
        <v>784</v>
      </c>
      <c r="G2697" s="89" t="s">
        <v>1733</v>
      </c>
      <c r="H2697" s="5">
        <v>1</v>
      </c>
      <c r="I2697" s="5" t="str">
        <f>VLOOKUP(F2697,'Set up'!$A$2:$C$70,3,FALSE)</f>
        <v>Cash</v>
      </c>
      <c r="J2697" s="5">
        <f>VLOOKUP(F2697,'Set up'!$A$2:$D$70,4,FALSE)</f>
        <v>0</v>
      </c>
      <c r="K2697" s="4">
        <f t="shared" si="662"/>
        <v>45358</v>
      </c>
      <c r="L2697" s="5">
        <f t="shared" si="663"/>
        <v>3</v>
      </c>
      <c r="M2697" s="5">
        <f t="shared" si="664"/>
        <v>2024</v>
      </c>
      <c r="N2697" s="12">
        <v>1738</v>
      </c>
      <c r="O2697" s="6">
        <f t="shared" ref="O2697:O2699" si="669">-N2697</f>
        <v>-1738</v>
      </c>
      <c r="P2697" s="6">
        <f t="shared" si="652"/>
        <v>0</v>
      </c>
      <c r="Q2697" s="7">
        <f t="shared" si="665"/>
        <v>4379890.25</v>
      </c>
      <c r="R2697" s="44" t="str">
        <f>VLOOKUP(F2697,'Set up'!$A$2:$E$70,5,FALSE)</f>
        <v>Trsf</v>
      </c>
      <c r="S2697" s="1" t="s">
        <v>2494</v>
      </c>
    </row>
    <row r="2698" spans="1:21" ht="15" customHeight="1" x14ac:dyDescent="0.3">
      <c r="A2698" s="4">
        <v>45358</v>
      </c>
      <c r="B2698" s="5">
        <f t="shared" si="660"/>
        <v>3</v>
      </c>
      <c r="C2698" s="5">
        <f t="shared" si="661"/>
        <v>2024</v>
      </c>
      <c r="D2698" s="5" t="s">
        <v>2431</v>
      </c>
      <c r="E2698" s="5" t="str">
        <f>VLOOKUP(F2698,'Set up'!$A$2:$C$70,2,FALSE)</f>
        <v>C00000026</v>
      </c>
      <c r="F2698" s="1" t="s">
        <v>784</v>
      </c>
      <c r="G2698" s="90" t="s">
        <v>17</v>
      </c>
      <c r="H2698" s="5">
        <v>1</v>
      </c>
      <c r="I2698" s="5" t="str">
        <f>VLOOKUP(F2698,'Set up'!$A$2:$C$70,3,FALSE)</f>
        <v>Cash</v>
      </c>
      <c r="J2698" s="5">
        <f>VLOOKUP(F2698,'Set up'!$A$2:$D$70,4,FALSE)</f>
        <v>0</v>
      </c>
      <c r="K2698" s="4">
        <f t="shared" si="662"/>
        <v>45358</v>
      </c>
      <c r="L2698" s="5">
        <f t="shared" si="663"/>
        <v>3</v>
      </c>
      <c r="M2698" s="5">
        <f t="shared" si="664"/>
        <v>2024</v>
      </c>
      <c r="N2698" s="12">
        <v>110</v>
      </c>
      <c r="O2698" s="6">
        <f t="shared" si="669"/>
        <v>-110</v>
      </c>
      <c r="P2698" s="6">
        <f t="shared" si="652"/>
        <v>0</v>
      </c>
      <c r="Q2698" s="7">
        <f t="shared" si="665"/>
        <v>4380000.25</v>
      </c>
      <c r="R2698" s="44" t="str">
        <f>VLOOKUP(F2698,'Set up'!$A$2:$E$70,5,FALSE)</f>
        <v>Trsf</v>
      </c>
      <c r="S2698" s="1" t="s">
        <v>2494</v>
      </c>
    </row>
    <row r="2699" spans="1:21" ht="15" customHeight="1" x14ac:dyDescent="0.3">
      <c r="A2699" s="4">
        <v>45358</v>
      </c>
      <c r="B2699" s="5">
        <f t="shared" si="660"/>
        <v>3</v>
      </c>
      <c r="C2699" s="5">
        <f t="shared" si="661"/>
        <v>2024</v>
      </c>
      <c r="D2699" s="5" t="s">
        <v>2431</v>
      </c>
      <c r="E2699" s="5" t="str">
        <f>VLOOKUP(F2699,'Set up'!$A$2:$C$70,2,FALSE)</f>
        <v>C00000026</v>
      </c>
      <c r="F2699" s="1" t="s">
        <v>784</v>
      </c>
      <c r="G2699" s="90" t="s">
        <v>1110</v>
      </c>
      <c r="H2699" s="5">
        <v>2</v>
      </c>
      <c r="I2699" s="5" t="str">
        <f>VLOOKUP(F2699,'Set up'!$A$2:$C$70,3,FALSE)</f>
        <v>Cash</v>
      </c>
      <c r="J2699" s="5">
        <f>VLOOKUP(F2699,'Set up'!$A$2:$D$70,4,FALSE)</f>
        <v>0</v>
      </c>
      <c r="K2699" s="4">
        <f t="shared" si="662"/>
        <v>45358</v>
      </c>
      <c r="L2699" s="5">
        <f t="shared" si="663"/>
        <v>3</v>
      </c>
      <c r="M2699" s="5">
        <f t="shared" si="664"/>
        <v>2024</v>
      </c>
      <c r="N2699" s="12">
        <v>125</v>
      </c>
      <c r="O2699" s="6">
        <f t="shared" si="669"/>
        <v>-125</v>
      </c>
      <c r="P2699" s="6">
        <f t="shared" si="652"/>
        <v>0</v>
      </c>
      <c r="Q2699" s="7">
        <f t="shared" si="665"/>
        <v>4380125.25</v>
      </c>
      <c r="R2699" s="44" t="str">
        <f>VLOOKUP(F2699,'Set up'!$A$2:$E$70,5,FALSE)</f>
        <v>Trsf</v>
      </c>
      <c r="S2699" s="1" t="s">
        <v>2494</v>
      </c>
    </row>
    <row r="2700" spans="1:21" ht="15" customHeight="1" x14ac:dyDescent="0.3">
      <c r="A2700" s="4">
        <v>45363</v>
      </c>
      <c r="B2700" s="5">
        <f t="shared" si="660"/>
        <v>3</v>
      </c>
      <c r="C2700" s="5">
        <f t="shared" si="661"/>
        <v>2024</v>
      </c>
      <c r="D2700" s="5" t="s">
        <v>2432</v>
      </c>
      <c r="E2700" s="5" t="str">
        <f>VLOOKUP(F2700,'Set up'!$A$2:$C$70,2,FALSE)</f>
        <v>C00000003</v>
      </c>
      <c r="F2700" s="1" t="s">
        <v>20</v>
      </c>
      <c r="G2700" s="100" t="s">
        <v>67</v>
      </c>
      <c r="H2700" s="5">
        <v>1</v>
      </c>
      <c r="I2700" s="5">
        <f>VLOOKUP(F2700,'Set up'!$A$2:$C$70,3,FALSE)</f>
        <v>45</v>
      </c>
      <c r="J2700" s="5">
        <f>VLOOKUP(F2700,'Set up'!$A$2:$D$70,4,FALSE)</f>
        <v>45</v>
      </c>
      <c r="K2700" s="4">
        <f t="shared" si="662"/>
        <v>45408</v>
      </c>
      <c r="L2700" s="5">
        <f t="shared" si="663"/>
        <v>4</v>
      </c>
      <c r="M2700" s="5">
        <f t="shared" si="664"/>
        <v>2024</v>
      </c>
      <c r="N2700" s="12">
        <v>1738</v>
      </c>
      <c r="O2700" s="6">
        <f t="shared" ref="O2700:O2707" si="670">-N2700</f>
        <v>-1738</v>
      </c>
      <c r="P2700" s="6">
        <f t="shared" si="652"/>
        <v>0</v>
      </c>
      <c r="Q2700" s="7">
        <f t="shared" si="665"/>
        <v>4381863.25</v>
      </c>
      <c r="R2700" s="44" t="str">
        <f>VLOOKUP(F2700,'Set up'!$A$2:$E$70,5,FALSE)</f>
        <v>PD Chq</v>
      </c>
      <c r="S2700" s="1" t="s">
        <v>2829</v>
      </c>
      <c r="U2700" s="1" t="s">
        <v>3603</v>
      </c>
    </row>
    <row r="2701" spans="1:21" ht="15" customHeight="1" x14ac:dyDescent="0.3">
      <c r="A2701" s="4">
        <v>45363</v>
      </c>
      <c r="B2701" s="5">
        <f t="shared" si="660"/>
        <v>3</v>
      </c>
      <c r="C2701" s="5">
        <f t="shared" si="661"/>
        <v>2024</v>
      </c>
      <c r="D2701" s="5" t="s">
        <v>2432</v>
      </c>
      <c r="E2701" s="5" t="str">
        <f>VLOOKUP(F2701,'Set up'!$A$2:$C$70,2,FALSE)</f>
        <v>C00000003</v>
      </c>
      <c r="F2701" s="1" t="s">
        <v>20</v>
      </c>
      <c r="G2701" s="99" t="s">
        <v>17</v>
      </c>
      <c r="H2701" s="5">
        <v>2</v>
      </c>
      <c r="I2701" s="5">
        <f>VLOOKUP(F2701,'Set up'!$A$2:$C$70,3,FALSE)</f>
        <v>45</v>
      </c>
      <c r="J2701" s="5">
        <f>VLOOKUP(F2701,'Set up'!$A$2:$D$70,4,FALSE)</f>
        <v>45</v>
      </c>
      <c r="K2701" s="4">
        <f t="shared" si="662"/>
        <v>45408</v>
      </c>
      <c r="L2701" s="5">
        <f t="shared" si="663"/>
        <v>4</v>
      </c>
      <c r="M2701" s="5">
        <f t="shared" si="664"/>
        <v>2024</v>
      </c>
      <c r="N2701" s="12">
        <v>220</v>
      </c>
      <c r="O2701" s="6">
        <f t="shared" si="670"/>
        <v>-220</v>
      </c>
      <c r="P2701" s="6">
        <f t="shared" si="652"/>
        <v>0</v>
      </c>
      <c r="Q2701" s="7">
        <f t="shared" si="665"/>
        <v>4382083.25</v>
      </c>
      <c r="R2701" s="44" t="str">
        <f>VLOOKUP(F2701,'Set up'!$A$2:$E$70,5,FALSE)</f>
        <v>PD Chq</v>
      </c>
      <c r="S2701" s="1" t="s">
        <v>2829</v>
      </c>
      <c r="U2701" s="1" t="s">
        <v>3603</v>
      </c>
    </row>
    <row r="2702" spans="1:21" ht="15" customHeight="1" x14ac:dyDescent="0.3">
      <c r="A2702" s="4">
        <v>45363</v>
      </c>
      <c r="B2702" s="5">
        <f t="shared" si="660"/>
        <v>3</v>
      </c>
      <c r="C2702" s="5">
        <f t="shared" si="661"/>
        <v>2024</v>
      </c>
      <c r="D2702" s="5" t="s">
        <v>2432</v>
      </c>
      <c r="E2702" s="5" t="str">
        <f>VLOOKUP(F2702,'Set up'!$A$2:$C$70,2,FALSE)</f>
        <v>C00000003</v>
      </c>
      <c r="F2702" s="1" t="s">
        <v>20</v>
      </c>
      <c r="G2702" s="99" t="s">
        <v>949</v>
      </c>
      <c r="H2702" s="5">
        <v>1</v>
      </c>
      <c r="I2702" s="5">
        <f>VLOOKUP(F2702,'Set up'!$A$2:$C$70,3,FALSE)</f>
        <v>45</v>
      </c>
      <c r="J2702" s="5">
        <f>VLOOKUP(F2702,'Set up'!$A$2:$D$70,4,FALSE)</f>
        <v>45</v>
      </c>
      <c r="K2702" s="4">
        <f t="shared" si="662"/>
        <v>45408</v>
      </c>
      <c r="L2702" s="5">
        <f t="shared" si="663"/>
        <v>4</v>
      </c>
      <c r="M2702" s="5">
        <f t="shared" si="664"/>
        <v>2024</v>
      </c>
      <c r="N2702" s="12">
        <v>60</v>
      </c>
      <c r="O2702" s="6">
        <f t="shared" si="670"/>
        <v>-60</v>
      </c>
      <c r="P2702" s="6">
        <f t="shared" si="652"/>
        <v>0</v>
      </c>
      <c r="Q2702" s="7">
        <f t="shared" si="665"/>
        <v>4382143.25</v>
      </c>
      <c r="R2702" s="44" t="str">
        <f>VLOOKUP(F2702,'Set up'!$A$2:$E$70,5,FALSE)</f>
        <v>PD Chq</v>
      </c>
      <c r="S2702" s="1" t="s">
        <v>2829</v>
      </c>
      <c r="U2702" s="1" t="s">
        <v>3603</v>
      </c>
    </row>
    <row r="2703" spans="1:21" ht="15" customHeight="1" x14ac:dyDescent="0.3">
      <c r="A2703" s="4">
        <v>45364</v>
      </c>
      <c r="B2703" s="5">
        <f t="shared" si="660"/>
        <v>3</v>
      </c>
      <c r="C2703" s="5">
        <f t="shared" si="661"/>
        <v>2024</v>
      </c>
      <c r="D2703" s="5" t="s">
        <v>2433</v>
      </c>
      <c r="E2703" s="5" t="str">
        <f>VLOOKUP(F2703,'Set up'!$A$2:$C$70,2,FALSE)</f>
        <v>C00000010</v>
      </c>
      <c r="F2703" s="1" t="s">
        <v>62</v>
      </c>
      <c r="G2703" s="89" t="s">
        <v>1178</v>
      </c>
      <c r="H2703" s="106">
        <v>8</v>
      </c>
      <c r="I2703" s="5">
        <f>VLOOKUP(F2703,'Set up'!$A$2:$C$70,3,FALSE)</f>
        <v>120</v>
      </c>
      <c r="J2703" s="5">
        <f>VLOOKUP(F2703,'Set up'!$A$2:$D$70,4,FALSE)</f>
        <v>120</v>
      </c>
      <c r="K2703" s="4">
        <f t="shared" si="662"/>
        <v>45484</v>
      </c>
      <c r="L2703" s="5">
        <f t="shared" si="663"/>
        <v>7</v>
      </c>
      <c r="M2703" s="5">
        <f t="shared" si="664"/>
        <v>2024</v>
      </c>
      <c r="N2703" s="12">
        <v>12848</v>
      </c>
      <c r="O2703" s="6">
        <f t="shared" si="670"/>
        <v>-12848</v>
      </c>
      <c r="P2703" s="6">
        <f t="shared" si="652"/>
        <v>0</v>
      </c>
      <c r="Q2703" s="7">
        <f t="shared" si="665"/>
        <v>4394991.25</v>
      </c>
      <c r="R2703" s="44" t="str">
        <f>VLOOKUP(F2703,'Set up'!$A$2:$E$70,5,FALSE)</f>
        <v>Trsf</v>
      </c>
      <c r="S2703" s="1" t="s">
        <v>2927</v>
      </c>
    </row>
    <row r="2704" spans="1:21" ht="15" customHeight="1" x14ac:dyDescent="0.3">
      <c r="A2704" s="4">
        <v>45364</v>
      </c>
      <c r="B2704" s="5">
        <f t="shared" si="660"/>
        <v>3</v>
      </c>
      <c r="C2704" s="5">
        <f t="shared" si="661"/>
        <v>2024</v>
      </c>
      <c r="D2704" s="5" t="s">
        <v>2433</v>
      </c>
      <c r="E2704" s="5" t="str">
        <f>VLOOKUP(F2704,'Set up'!$A$2:$C$70,2,FALSE)</f>
        <v>C00000010</v>
      </c>
      <c r="F2704" s="1" t="s">
        <v>62</v>
      </c>
      <c r="G2704" s="90" t="s">
        <v>2434</v>
      </c>
      <c r="H2704" s="88">
        <v>5</v>
      </c>
      <c r="I2704" s="5">
        <f>VLOOKUP(F2704,'Set up'!$A$2:$C$70,3,FALSE)</f>
        <v>120</v>
      </c>
      <c r="J2704" s="5">
        <f>VLOOKUP(F2704,'Set up'!$A$2:$D$70,4,FALSE)</f>
        <v>120</v>
      </c>
      <c r="K2704" s="4">
        <f t="shared" si="662"/>
        <v>45484</v>
      </c>
      <c r="L2704" s="5">
        <f t="shared" si="663"/>
        <v>7</v>
      </c>
      <c r="M2704" s="5">
        <f t="shared" si="664"/>
        <v>2024</v>
      </c>
      <c r="N2704" s="12">
        <v>1073</v>
      </c>
      <c r="O2704" s="6">
        <f t="shared" si="670"/>
        <v>-1073</v>
      </c>
      <c r="P2704" s="6">
        <f t="shared" si="652"/>
        <v>0</v>
      </c>
      <c r="Q2704" s="7">
        <f t="shared" si="665"/>
        <v>4396064.25</v>
      </c>
      <c r="R2704" s="44" t="str">
        <f>VLOOKUP(F2704,'Set up'!$A$2:$E$70,5,FALSE)</f>
        <v>Trsf</v>
      </c>
      <c r="S2704" s="1" t="s">
        <v>2927</v>
      </c>
    </row>
    <row r="2705" spans="1:19" ht="15" customHeight="1" x14ac:dyDescent="0.3">
      <c r="A2705" s="4">
        <v>45364</v>
      </c>
      <c r="B2705" s="5">
        <f t="shared" si="660"/>
        <v>3</v>
      </c>
      <c r="C2705" s="5">
        <f t="shared" si="661"/>
        <v>2024</v>
      </c>
      <c r="D2705" s="5" t="s">
        <v>2433</v>
      </c>
      <c r="E2705" s="5" t="str">
        <f>VLOOKUP(F2705,'Set up'!$A$2:$C$70,2,FALSE)</f>
        <v>C00000010</v>
      </c>
      <c r="F2705" s="1" t="s">
        <v>62</v>
      </c>
      <c r="G2705" s="90" t="s">
        <v>791</v>
      </c>
      <c r="H2705" s="88">
        <v>5</v>
      </c>
      <c r="I2705" s="5">
        <f>VLOOKUP(F2705,'Set up'!$A$2:$C$70,3,FALSE)</f>
        <v>120</v>
      </c>
      <c r="J2705" s="5">
        <f>VLOOKUP(F2705,'Set up'!$A$2:$D$70,4,FALSE)</f>
        <v>120</v>
      </c>
      <c r="K2705" s="4">
        <f t="shared" si="662"/>
        <v>45484</v>
      </c>
      <c r="L2705" s="5">
        <f t="shared" si="663"/>
        <v>7</v>
      </c>
      <c r="M2705" s="5">
        <f t="shared" si="664"/>
        <v>2024</v>
      </c>
      <c r="N2705" s="12">
        <v>287.5</v>
      </c>
      <c r="O2705" s="6">
        <f t="shared" si="670"/>
        <v>-287.5</v>
      </c>
      <c r="P2705" s="6">
        <f t="shared" si="652"/>
        <v>0</v>
      </c>
      <c r="Q2705" s="7">
        <f t="shared" si="665"/>
        <v>4396351.75</v>
      </c>
      <c r="R2705" s="44" t="str">
        <f>VLOOKUP(F2705,'Set up'!$A$2:$E$70,5,FALSE)</f>
        <v>Trsf</v>
      </c>
      <c r="S2705" s="1" t="s">
        <v>2927</v>
      </c>
    </row>
    <row r="2706" spans="1:19" ht="15" customHeight="1" x14ac:dyDescent="0.3">
      <c r="A2706" s="4">
        <v>45364</v>
      </c>
      <c r="B2706" s="5">
        <f t="shared" si="660"/>
        <v>3</v>
      </c>
      <c r="C2706" s="5">
        <f t="shared" si="661"/>
        <v>2024</v>
      </c>
      <c r="D2706" s="5" t="s">
        <v>2433</v>
      </c>
      <c r="E2706" s="5" t="str">
        <f>VLOOKUP(F2706,'Set up'!$A$2:$C$70,2,FALSE)</f>
        <v>C00000010</v>
      </c>
      <c r="F2706" s="1" t="s">
        <v>62</v>
      </c>
      <c r="G2706" s="11" t="s">
        <v>46</v>
      </c>
      <c r="H2706" s="88">
        <v>4</v>
      </c>
      <c r="I2706" s="5">
        <f>VLOOKUP(F2706,'Set up'!$A$2:$C$70,3,FALSE)</f>
        <v>120</v>
      </c>
      <c r="J2706" s="5">
        <f>VLOOKUP(F2706,'Set up'!$A$2:$D$70,4,FALSE)</f>
        <v>120</v>
      </c>
      <c r="K2706" s="4">
        <f t="shared" si="662"/>
        <v>45484</v>
      </c>
      <c r="L2706" s="5">
        <f t="shared" si="663"/>
        <v>7</v>
      </c>
      <c r="M2706" s="5">
        <f t="shared" si="664"/>
        <v>2024</v>
      </c>
      <c r="N2706" s="12">
        <v>440</v>
      </c>
      <c r="O2706" s="6">
        <f t="shared" si="670"/>
        <v>-440</v>
      </c>
      <c r="P2706" s="6">
        <f t="shared" si="652"/>
        <v>0</v>
      </c>
      <c r="Q2706" s="7">
        <f t="shared" si="665"/>
        <v>4396791.75</v>
      </c>
      <c r="R2706" s="44" t="str">
        <f>VLOOKUP(F2706,'Set up'!$A$2:$E$70,5,FALSE)</f>
        <v>Trsf</v>
      </c>
      <c r="S2706" s="1" t="s">
        <v>2927</v>
      </c>
    </row>
    <row r="2707" spans="1:19" ht="15" customHeight="1" x14ac:dyDescent="0.3">
      <c r="A2707" s="4">
        <v>45364</v>
      </c>
      <c r="B2707" s="5">
        <f t="shared" si="660"/>
        <v>3</v>
      </c>
      <c r="C2707" s="5">
        <f t="shared" si="661"/>
        <v>2024</v>
      </c>
      <c r="D2707" s="5" t="s">
        <v>2433</v>
      </c>
      <c r="E2707" s="5" t="str">
        <f>VLOOKUP(F2707,'Set up'!$A$2:$C$70,2,FALSE)</f>
        <v>C00000010</v>
      </c>
      <c r="F2707" s="1" t="s">
        <v>62</v>
      </c>
      <c r="G2707" s="90" t="s">
        <v>944</v>
      </c>
      <c r="H2707" s="88">
        <v>1</v>
      </c>
      <c r="I2707" s="5">
        <f>VLOOKUP(F2707,'Set up'!$A$2:$C$70,3,FALSE)</f>
        <v>120</v>
      </c>
      <c r="J2707" s="5">
        <f>VLOOKUP(F2707,'Set up'!$A$2:$D$70,4,FALSE)</f>
        <v>120</v>
      </c>
      <c r="K2707" s="4">
        <f t="shared" si="662"/>
        <v>45484</v>
      </c>
      <c r="L2707" s="5">
        <f t="shared" si="663"/>
        <v>7</v>
      </c>
      <c r="M2707" s="5">
        <f t="shared" si="664"/>
        <v>2024</v>
      </c>
      <c r="N2707" s="12">
        <v>420</v>
      </c>
      <c r="O2707" s="6">
        <f t="shared" si="670"/>
        <v>-420</v>
      </c>
      <c r="P2707" s="6">
        <f t="shared" si="652"/>
        <v>0</v>
      </c>
      <c r="Q2707" s="7">
        <f t="shared" si="665"/>
        <v>4397211.75</v>
      </c>
      <c r="R2707" s="44" t="str">
        <f>VLOOKUP(F2707,'Set up'!$A$2:$E$70,5,FALSE)</f>
        <v>Trsf</v>
      </c>
      <c r="S2707" s="1" t="s">
        <v>2927</v>
      </c>
    </row>
    <row r="2708" spans="1:19" ht="15" customHeight="1" x14ac:dyDescent="0.3">
      <c r="A2708" s="4">
        <v>45364</v>
      </c>
      <c r="B2708" s="5">
        <f t="shared" si="660"/>
        <v>3</v>
      </c>
      <c r="C2708" s="5">
        <f t="shared" si="661"/>
        <v>2024</v>
      </c>
      <c r="D2708" s="5" t="s">
        <v>2435</v>
      </c>
      <c r="E2708" s="5" t="str">
        <f>VLOOKUP(F2708,'Set up'!$A$2:$C$70,2,FALSE)</f>
        <v>C00000042</v>
      </c>
      <c r="F2708" s="1" t="s">
        <v>2012</v>
      </c>
      <c r="G2708" s="122" t="s">
        <v>1110</v>
      </c>
      <c r="H2708" s="5">
        <v>10</v>
      </c>
      <c r="I2708" s="5" t="str">
        <f>VLOOKUP(F2708,'Set up'!$A$2:$C$70,3,FALSE)</f>
        <v>Cash</v>
      </c>
      <c r="J2708" s="5">
        <f>VLOOKUP(F2708,'Set up'!$A$2:$D$70,4,FALSE)</f>
        <v>0</v>
      </c>
      <c r="K2708" s="4">
        <f t="shared" si="662"/>
        <v>45364</v>
      </c>
      <c r="L2708" s="5">
        <f t="shared" si="663"/>
        <v>3</v>
      </c>
      <c r="M2708" s="5">
        <f t="shared" si="664"/>
        <v>2024</v>
      </c>
      <c r="N2708" s="12">
        <v>625</v>
      </c>
      <c r="O2708" s="6">
        <f>-N2708</f>
        <v>-625</v>
      </c>
      <c r="P2708" s="6">
        <f t="shared" si="652"/>
        <v>0</v>
      </c>
      <c r="Q2708" s="7">
        <f t="shared" si="665"/>
        <v>4397836.75</v>
      </c>
      <c r="R2708" s="44" t="str">
        <f>VLOOKUP(F2708,'Set up'!$A$2:$E$70,5,FALSE)</f>
        <v>Trsf</v>
      </c>
      <c r="S2708" s="1" t="s">
        <v>3004</v>
      </c>
    </row>
    <row r="2709" spans="1:19" ht="15" customHeight="1" x14ac:dyDescent="0.3">
      <c r="A2709" s="4">
        <v>45364</v>
      </c>
      <c r="B2709" s="5">
        <f t="shared" si="660"/>
        <v>3</v>
      </c>
      <c r="C2709" s="5">
        <f t="shared" si="661"/>
        <v>2024</v>
      </c>
      <c r="D2709" s="5" t="s">
        <v>2436</v>
      </c>
      <c r="E2709" s="5" t="str">
        <f>VLOOKUP(F2709,'Set up'!$A$2:$C$70,2,FALSE)</f>
        <v>C00000042</v>
      </c>
      <c r="F2709" s="1" t="s">
        <v>2012</v>
      </c>
      <c r="G2709" s="122" t="s">
        <v>1733</v>
      </c>
      <c r="H2709" s="88">
        <v>10</v>
      </c>
      <c r="I2709" s="5" t="str">
        <f>VLOOKUP(F2709,'Set up'!$A$2:$C$70,3,FALSE)</f>
        <v>Cash</v>
      </c>
      <c r="J2709" s="5">
        <f>VLOOKUP(F2709,'Set up'!$A$2:$D$70,4,FALSE)</f>
        <v>0</v>
      </c>
      <c r="K2709" s="4">
        <f t="shared" si="662"/>
        <v>45364</v>
      </c>
      <c r="L2709" s="5">
        <f t="shared" si="663"/>
        <v>3</v>
      </c>
      <c r="M2709" s="5">
        <f t="shared" si="664"/>
        <v>2024</v>
      </c>
      <c r="N2709" s="12">
        <v>16060</v>
      </c>
      <c r="O2709" s="12">
        <f>-3257.5-11300-1502.5</f>
        <v>-16060</v>
      </c>
      <c r="P2709" s="6">
        <f t="shared" ref="P2709:P2772" si="671">SUM(N2709+O2709)</f>
        <v>0</v>
      </c>
      <c r="Q2709" s="7">
        <f t="shared" si="665"/>
        <v>4413896.75</v>
      </c>
      <c r="R2709" s="44" t="str">
        <f>VLOOKUP(F2709,'Set up'!$A$2:$E$70,5,FALSE)</f>
        <v>Trsf</v>
      </c>
      <c r="S2709" s="1" t="s">
        <v>3005</v>
      </c>
    </row>
    <row r="2710" spans="1:19" ht="15" customHeight="1" x14ac:dyDescent="0.3">
      <c r="A2710" s="4">
        <v>45364</v>
      </c>
      <c r="B2710" s="5">
        <f t="shared" si="660"/>
        <v>3</v>
      </c>
      <c r="C2710" s="5">
        <f t="shared" si="661"/>
        <v>2024</v>
      </c>
      <c r="D2710" s="5" t="s">
        <v>2436</v>
      </c>
      <c r="E2710" s="5" t="str">
        <f>VLOOKUP(F2710,'Set up'!$A$2:$C$70,2,FALSE)</f>
        <v>C00000042</v>
      </c>
      <c r="F2710" s="1" t="s">
        <v>2012</v>
      </c>
      <c r="G2710" s="90" t="s">
        <v>913</v>
      </c>
      <c r="H2710" s="88">
        <v>30</v>
      </c>
      <c r="I2710" s="5" t="str">
        <f>VLOOKUP(F2710,'Set up'!$A$2:$C$70,3,FALSE)</f>
        <v>Cash</v>
      </c>
      <c r="J2710" s="5">
        <f>VLOOKUP(F2710,'Set up'!$A$2:$D$70,4,FALSE)</f>
        <v>0</v>
      </c>
      <c r="K2710" s="4">
        <f t="shared" si="662"/>
        <v>45364</v>
      </c>
      <c r="L2710" s="5">
        <f t="shared" si="663"/>
        <v>3</v>
      </c>
      <c r="M2710" s="5">
        <f t="shared" si="664"/>
        <v>2024</v>
      </c>
      <c r="N2710" s="12">
        <v>5220</v>
      </c>
      <c r="O2710" s="6">
        <f>-N2710</f>
        <v>-5220</v>
      </c>
      <c r="P2710" s="6">
        <f t="shared" si="671"/>
        <v>0</v>
      </c>
      <c r="Q2710" s="7">
        <f t="shared" si="665"/>
        <v>4419116.75</v>
      </c>
      <c r="R2710" s="44" t="str">
        <f>VLOOKUP(F2710,'Set up'!$A$2:$E$70,5,FALSE)</f>
        <v>Trsf</v>
      </c>
      <c r="S2710" s="1" t="s">
        <v>3066</v>
      </c>
    </row>
    <row r="2711" spans="1:19" ht="15" customHeight="1" x14ac:dyDescent="0.3">
      <c r="A2711" s="4">
        <v>45364</v>
      </c>
      <c r="B2711" s="5">
        <f t="shared" si="660"/>
        <v>3</v>
      </c>
      <c r="C2711" s="5">
        <f t="shared" si="661"/>
        <v>2024</v>
      </c>
      <c r="D2711" s="5" t="s">
        <v>2436</v>
      </c>
      <c r="E2711" s="5" t="str">
        <f>VLOOKUP(F2711,'Set up'!$A$2:$C$70,2,FALSE)</f>
        <v>C00000042</v>
      </c>
      <c r="F2711" s="1" t="s">
        <v>2012</v>
      </c>
      <c r="G2711" s="90" t="s">
        <v>1922</v>
      </c>
      <c r="H2711" s="88">
        <v>15</v>
      </c>
      <c r="I2711" s="5" t="str">
        <f>VLOOKUP(F2711,'Set up'!$A$2:$C$70,3,FALSE)</f>
        <v>Cash</v>
      </c>
      <c r="J2711" s="5">
        <f>VLOOKUP(F2711,'Set up'!$A$2:$D$70,4,FALSE)</f>
        <v>0</v>
      </c>
      <c r="K2711" s="4">
        <f t="shared" si="662"/>
        <v>45364</v>
      </c>
      <c r="L2711" s="5">
        <f t="shared" si="663"/>
        <v>3</v>
      </c>
      <c r="M2711" s="5">
        <f t="shared" si="664"/>
        <v>2024</v>
      </c>
      <c r="N2711" s="12">
        <v>3510</v>
      </c>
      <c r="O2711" s="6">
        <f>-N2711</f>
        <v>-3510</v>
      </c>
      <c r="P2711" s="6">
        <f t="shared" si="671"/>
        <v>0</v>
      </c>
      <c r="Q2711" s="7">
        <f t="shared" si="665"/>
        <v>4422626.75</v>
      </c>
      <c r="R2711" s="44" t="str">
        <f>VLOOKUP(F2711,'Set up'!$A$2:$E$70,5,FALSE)</f>
        <v>Trsf</v>
      </c>
      <c r="S2711" s="1" t="s">
        <v>3068</v>
      </c>
    </row>
    <row r="2712" spans="1:19" ht="15" customHeight="1" x14ac:dyDescent="0.3">
      <c r="A2712" s="4">
        <v>45364</v>
      </c>
      <c r="B2712" s="5">
        <f t="shared" si="660"/>
        <v>3</v>
      </c>
      <c r="C2712" s="5">
        <f t="shared" si="661"/>
        <v>2024</v>
      </c>
      <c r="D2712" s="5" t="s">
        <v>2436</v>
      </c>
      <c r="E2712" s="5" t="str">
        <f>VLOOKUP(F2712,'Set up'!$A$2:$C$70,2,FALSE)</f>
        <v>C00000042</v>
      </c>
      <c r="F2712" s="1" t="s">
        <v>2012</v>
      </c>
      <c r="G2712" s="90" t="s">
        <v>1073</v>
      </c>
      <c r="H2712" s="88">
        <v>1</v>
      </c>
      <c r="I2712" s="5" t="str">
        <f>VLOOKUP(F2712,'Set up'!$A$2:$C$70,3,FALSE)</f>
        <v>Cash</v>
      </c>
      <c r="J2712" s="5">
        <f>VLOOKUP(F2712,'Set up'!$A$2:$D$70,4,FALSE)</f>
        <v>0</v>
      </c>
      <c r="K2712" s="4">
        <f t="shared" si="662"/>
        <v>45364</v>
      </c>
      <c r="L2712" s="5">
        <f t="shared" si="663"/>
        <v>3</v>
      </c>
      <c r="M2712" s="5">
        <f t="shared" si="664"/>
        <v>2024</v>
      </c>
      <c r="N2712" s="12">
        <v>1000</v>
      </c>
      <c r="O2712" s="6">
        <f>-N2712</f>
        <v>-1000</v>
      </c>
      <c r="P2712" s="6">
        <f t="shared" si="671"/>
        <v>0</v>
      </c>
      <c r="Q2712" s="7">
        <f t="shared" si="665"/>
        <v>4423626.75</v>
      </c>
      <c r="R2712" s="44" t="str">
        <f>VLOOKUP(F2712,'Set up'!$A$2:$E$70,5,FALSE)</f>
        <v>Trsf</v>
      </c>
      <c r="S2712" s="1" t="s">
        <v>3069</v>
      </c>
    </row>
    <row r="2713" spans="1:19" ht="15" customHeight="1" x14ac:dyDescent="0.3">
      <c r="A2713" s="4">
        <v>45364</v>
      </c>
      <c r="B2713" s="5">
        <f t="shared" si="660"/>
        <v>3</v>
      </c>
      <c r="C2713" s="5">
        <f t="shared" si="661"/>
        <v>2024</v>
      </c>
      <c r="D2713" s="5" t="s">
        <v>2436</v>
      </c>
      <c r="E2713" s="5" t="str">
        <f>VLOOKUP(F2713,'Set up'!$A$2:$C$70,2,FALSE)</f>
        <v>C00000042</v>
      </c>
      <c r="F2713" s="1" t="s">
        <v>2012</v>
      </c>
      <c r="G2713" s="90" t="s">
        <v>2437</v>
      </c>
      <c r="H2713" s="88">
        <v>1</v>
      </c>
      <c r="I2713" s="5" t="str">
        <f>VLOOKUP(F2713,'Set up'!$A$2:$C$70,3,FALSE)</f>
        <v>Cash</v>
      </c>
      <c r="J2713" s="5">
        <f>VLOOKUP(F2713,'Set up'!$A$2:$D$70,4,FALSE)</f>
        <v>0</v>
      </c>
      <c r="K2713" s="4">
        <f t="shared" si="662"/>
        <v>45364</v>
      </c>
      <c r="L2713" s="5">
        <f t="shared" si="663"/>
        <v>3</v>
      </c>
      <c r="M2713" s="5">
        <f t="shared" si="664"/>
        <v>2024</v>
      </c>
      <c r="N2713" s="12">
        <v>360</v>
      </c>
      <c r="O2713" s="6">
        <f>-N2713</f>
        <v>-360</v>
      </c>
      <c r="P2713" s="6">
        <f t="shared" si="671"/>
        <v>0</v>
      </c>
      <c r="Q2713" s="7">
        <f t="shared" si="665"/>
        <v>4423986.75</v>
      </c>
      <c r="R2713" s="44" t="str">
        <f>VLOOKUP(F2713,'Set up'!$A$2:$E$70,5,FALSE)</f>
        <v>Trsf</v>
      </c>
      <c r="S2713" s="1" t="s">
        <v>3070</v>
      </c>
    </row>
    <row r="2714" spans="1:19" ht="15" customHeight="1" x14ac:dyDescent="0.3">
      <c r="A2714" s="4">
        <v>45364</v>
      </c>
      <c r="B2714" s="5">
        <f t="shared" si="660"/>
        <v>3</v>
      </c>
      <c r="C2714" s="5">
        <f t="shared" si="661"/>
        <v>2024</v>
      </c>
      <c r="D2714" s="5" t="s">
        <v>2436</v>
      </c>
      <c r="E2714" s="5" t="str">
        <f>VLOOKUP(F2714,'Set up'!$A$2:$C$70,2,FALSE)</f>
        <v>C00000042</v>
      </c>
      <c r="F2714" s="1" t="s">
        <v>2012</v>
      </c>
      <c r="G2714" s="99" t="s">
        <v>1061</v>
      </c>
      <c r="H2714" s="105">
        <v>4</v>
      </c>
      <c r="I2714" s="5" t="str">
        <f>VLOOKUP(F2714,'Set up'!$A$2:$C$70,3,FALSE)</f>
        <v>Cash</v>
      </c>
      <c r="J2714" s="5">
        <f>VLOOKUP(F2714,'Set up'!$A$2:$D$70,4,FALSE)</f>
        <v>0</v>
      </c>
      <c r="K2714" s="4">
        <f t="shared" si="662"/>
        <v>45364</v>
      </c>
      <c r="L2714" s="5">
        <f t="shared" si="663"/>
        <v>3</v>
      </c>
      <c r="M2714" s="5">
        <f t="shared" si="664"/>
        <v>2024</v>
      </c>
      <c r="N2714" s="12">
        <v>380</v>
      </c>
      <c r="O2714" s="6">
        <f>-N2714</f>
        <v>-380</v>
      </c>
      <c r="P2714" s="6">
        <f t="shared" si="671"/>
        <v>0</v>
      </c>
      <c r="Q2714" s="7">
        <f t="shared" si="665"/>
        <v>4424366.75</v>
      </c>
      <c r="R2714" s="44" t="str">
        <f>VLOOKUP(F2714,'Set up'!$A$2:$E$70,5,FALSE)</f>
        <v>Trsf</v>
      </c>
      <c r="S2714" s="1" t="s">
        <v>3067</v>
      </c>
    </row>
    <row r="2715" spans="1:19" ht="15" customHeight="1" x14ac:dyDescent="0.3">
      <c r="A2715" s="4">
        <v>45367</v>
      </c>
      <c r="B2715" s="5">
        <f t="shared" si="660"/>
        <v>3</v>
      </c>
      <c r="C2715" s="5">
        <f t="shared" si="661"/>
        <v>2024</v>
      </c>
      <c r="D2715" s="5" t="s">
        <v>2438</v>
      </c>
      <c r="E2715" s="5" t="str">
        <f>VLOOKUP(F2715,'Set up'!$A$2:$C$70,2,FALSE)</f>
        <v>C00000014</v>
      </c>
      <c r="F2715" s="1" t="s">
        <v>262</v>
      </c>
      <c r="G2715" s="89" t="s">
        <v>303</v>
      </c>
      <c r="H2715" s="88">
        <v>2</v>
      </c>
      <c r="I2715" s="5" t="str">
        <f>VLOOKUP(F2715,'Set up'!$A$2:$C$70,3,FALSE)</f>
        <v>Cash</v>
      </c>
      <c r="J2715" s="5">
        <f>VLOOKUP(F2715,'Set up'!$A$2:$D$70,4,FALSE)</f>
        <v>0</v>
      </c>
      <c r="K2715" s="4">
        <f t="shared" si="662"/>
        <v>45367</v>
      </c>
      <c r="L2715" s="5">
        <f t="shared" si="663"/>
        <v>3</v>
      </c>
      <c r="M2715" s="5">
        <f t="shared" si="664"/>
        <v>2024</v>
      </c>
      <c r="N2715" s="12">
        <v>3212</v>
      </c>
      <c r="O2715" s="6">
        <f t="shared" ref="O2715:O2717" si="672">-N2715</f>
        <v>-3212</v>
      </c>
      <c r="P2715" s="6">
        <f t="shared" si="671"/>
        <v>0</v>
      </c>
      <c r="Q2715" s="7">
        <f t="shared" si="665"/>
        <v>4427578.75</v>
      </c>
      <c r="R2715" s="44" t="str">
        <f>VLOOKUP(F2715,'Set up'!$A$2:$E$70,5,FALSE)</f>
        <v>Cash</v>
      </c>
      <c r="S2715" s="1" t="s">
        <v>2502</v>
      </c>
    </row>
    <row r="2716" spans="1:19" ht="15" customHeight="1" x14ac:dyDescent="0.3">
      <c r="A2716" s="4">
        <v>45367</v>
      </c>
      <c r="B2716" s="5">
        <f t="shared" si="660"/>
        <v>3</v>
      </c>
      <c r="C2716" s="5">
        <f t="shared" si="661"/>
        <v>2024</v>
      </c>
      <c r="D2716" s="5" t="s">
        <v>2438</v>
      </c>
      <c r="E2716" s="5" t="str">
        <f>VLOOKUP(F2716,'Set up'!$A$2:$C$70,2,FALSE)</f>
        <v>C00000014</v>
      </c>
      <c r="F2716" s="1" t="s">
        <v>262</v>
      </c>
      <c r="G2716" s="1" t="s">
        <v>1543</v>
      </c>
      <c r="H2716" s="88">
        <v>4</v>
      </c>
      <c r="I2716" s="5" t="str">
        <f>VLOOKUP(F2716,'Set up'!$A$2:$C$70,3,FALSE)</f>
        <v>Cash</v>
      </c>
      <c r="J2716" s="5">
        <f>VLOOKUP(F2716,'Set up'!$A$2:$D$70,4,FALSE)</f>
        <v>0</v>
      </c>
      <c r="K2716" s="4">
        <f t="shared" si="662"/>
        <v>45367</v>
      </c>
      <c r="L2716" s="5">
        <f t="shared" si="663"/>
        <v>3</v>
      </c>
      <c r="M2716" s="5">
        <f t="shared" si="664"/>
        <v>2024</v>
      </c>
      <c r="N2716" s="12">
        <v>828</v>
      </c>
      <c r="O2716" s="6">
        <f t="shared" si="672"/>
        <v>-828</v>
      </c>
      <c r="P2716" s="6">
        <f t="shared" si="671"/>
        <v>0</v>
      </c>
      <c r="Q2716" s="7">
        <f t="shared" si="665"/>
        <v>4428406.75</v>
      </c>
      <c r="R2716" s="44" t="str">
        <f>VLOOKUP(F2716,'Set up'!$A$2:$E$70,5,FALSE)</f>
        <v>Cash</v>
      </c>
      <c r="S2716" s="1" t="s">
        <v>2502</v>
      </c>
    </row>
    <row r="2717" spans="1:19" ht="15" customHeight="1" x14ac:dyDescent="0.3">
      <c r="A2717" s="4">
        <v>45367</v>
      </c>
      <c r="B2717" s="5">
        <f t="shared" si="660"/>
        <v>3</v>
      </c>
      <c r="C2717" s="5">
        <f t="shared" si="661"/>
        <v>2024</v>
      </c>
      <c r="D2717" s="5" t="s">
        <v>2438</v>
      </c>
      <c r="E2717" s="5" t="str">
        <f>VLOOKUP(F2717,'Set up'!$A$2:$C$70,2,FALSE)</f>
        <v>C00000014</v>
      </c>
      <c r="F2717" s="1" t="s">
        <v>262</v>
      </c>
      <c r="G2717" s="11" t="s">
        <v>2096</v>
      </c>
      <c r="H2717" s="88">
        <v>2</v>
      </c>
      <c r="I2717" s="5" t="str">
        <f>VLOOKUP(F2717,'Set up'!$A$2:$C$70,3,FALSE)</f>
        <v>Cash</v>
      </c>
      <c r="J2717" s="5">
        <f>VLOOKUP(F2717,'Set up'!$A$2:$D$70,4,FALSE)</f>
        <v>0</v>
      </c>
      <c r="K2717" s="4">
        <f t="shared" si="662"/>
        <v>45367</v>
      </c>
      <c r="L2717" s="5">
        <f t="shared" si="663"/>
        <v>3</v>
      </c>
      <c r="M2717" s="5">
        <f t="shared" si="664"/>
        <v>2024</v>
      </c>
      <c r="N2717" s="12">
        <v>567.6</v>
      </c>
      <c r="O2717" s="6">
        <f t="shared" si="672"/>
        <v>-567.6</v>
      </c>
      <c r="P2717" s="6">
        <f t="shared" si="671"/>
        <v>0</v>
      </c>
      <c r="Q2717" s="7">
        <f t="shared" si="665"/>
        <v>4428974.3499999996</v>
      </c>
      <c r="R2717" s="44" t="str">
        <f>VLOOKUP(F2717,'Set up'!$A$2:$E$70,5,FALSE)</f>
        <v>Cash</v>
      </c>
      <c r="S2717" s="1" t="s">
        <v>2502</v>
      </c>
    </row>
    <row r="2718" spans="1:19" ht="15" customHeight="1" x14ac:dyDescent="0.3">
      <c r="A2718" s="4">
        <v>45367</v>
      </c>
      <c r="B2718" s="5">
        <f t="shared" si="660"/>
        <v>3</v>
      </c>
      <c r="C2718" s="5">
        <f t="shared" si="661"/>
        <v>2024</v>
      </c>
      <c r="D2718" s="5" t="s">
        <v>2438</v>
      </c>
      <c r="E2718" s="5" t="str">
        <f>VLOOKUP(F2718,'Set up'!$A$2:$C$70,2,FALSE)</f>
        <v>C00000014</v>
      </c>
      <c r="F2718" s="1" t="s">
        <v>262</v>
      </c>
      <c r="G2718" s="90" t="s">
        <v>17</v>
      </c>
      <c r="H2718" s="88">
        <v>1</v>
      </c>
      <c r="I2718" s="5" t="str">
        <f>VLOOKUP(F2718,'Set up'!$A$2:$C$70,3,FALSE)</f>
        <v>Cash</v>
      </c>
      <c r="J2718" s="5">
        <f>VLOOKUP(F2718,'Set up'!$A$2:$D$70,4,FALSE)</f>
        <v>0</v>
      </c>
      <c r="K2718" s="4">
        <f t="shared" si="662"/>
        <v>45367</v>
      </c>
      <c r="L2718" s="5">
        <f t="shared" si="663"/>
        <v>3</v>
      </c>
      <c r="M2718" s="5">
        <f t="shared" si="664"/>
        <v>2024</v>
      </c>
      <c r="N2718" s="12">
        <v>110</v>
      </c>
      <c r="O2718" s="6">
        <f t="shared" ref="O2718:O2719" si="673">-N2718</f>
        <v>-110</v>
      </c>
      <c r="P2718" s="6">
        <f t="shared" si="671"/>
        <v>0</v>
      </c>
      <c r="Q2718" s="7">
        <f t="shared" si="665"/>
        <v>4429084.3499999996</v>
      </c>
      <c r="R2718" s="44" t="str">
        <f>VLOOKUP(F2718,'Set up'!$A$2:$E$70,5,FALSE)</f>
        <v>Cash</v>
      </c>
      <c r="S2718" s="1" t="s">
        <v>2502</v>
      </c>
    </row>
    <row r="2719" spans="1:19" ht="15" customHeight="1" x14ac:dyDescent="0.3">
      <c r="A2719" s="4">
        <v>45367</v>
      </c>
      <c r="B2719" s="5">
        <f t="shared" si="660"/>
        <v>3</v>
      </c>
      <c r="C2719" s="5">
        <f t="shared" si="661"/>
        <v>2024</v>
      </c>
      <c r="D2719" s="5" t="s">
        <v>2438</v>
      </c>
      <c r="E2719" s="5" t="str">
        <f>VLOOKUP(F2719,'Set up'!$A$2:$C$70,2,FALSE)</f>
        <v>C00000014</v>
      </c>
      <c r="F2719" s="1" t="s">
        <v>262</v>
      </c>
      <c r="G2719" s="99" t="s">
        <v>1886</v>
      </c>
      <c r="H2719" s="88">
        <v>1</v>
      </c>
      <c r="I2719" s="5" t="str">
        <f>VLOOKUP(F2719,'Set up'!$A$2:$C$70,3,FALSE)</f>
        <v>Cash</v>
      </c>
      <c r="J2719" s="5">
        <f>VLOOKUP(F2719,'Set up'!$A$2:$D$70,4,FALSE)</f>
        <v>0</v>
      </c>
      <c r="K2719" s="4">
        <f t="shared" si="662"/>
        <v>45367</v>
      </c>
      <c r="L2719" s="5">
        <f t="shared" si="663"/>
        <v>3</v>
      </c>
      <c r="M2719" s="5">
        <f t="shared" si="664"/>
        <v>2024</v>
      </c>
      <c r="N2719" s="12">
        <v>160</v>
      </c>
      <c r="O2719" s="6">
        <f t="shared" si="673"/>
        <v>-160</v>
      </c>
      <c r="P2719" s="6">
        <f t="shared" si="671"/>
        <v>0</v>
      </c>
      <c r="Q2719" s="7">
        <f t="shared" si="665"/>
        <v>4429244.3499999996</v>
      </c>
      <c r="R2719" s="44" t="str">
        <f>VLOOKUP(F2719,'Set up'!$A$2:$E$70,5,FALSE)</f>
        <v>Cash</v>
      </c>
      <c r="S2719" s="1" t="s">
        <v>2502</v>
      </c>
    </row>
    <row r="2720" spans="1:19" ht="15" customHeight="1" x14ac:dyDescent="0.3">
      <c r="A2720" s="4">
        <v>45367</v>
      </c>
      <c r="B2720" s="5">
        <f t="shared" si="660"/>
        <v>3</v>
      </c>
      <c r="C2720" s="5">
        <f t="shared" si="661"/>
        <v>2024</v>
      </c>
      <c r="D2720" s="5" t="s">
        <v>2439</v>
      </c>
      <c r="E2720" s="5" t="str">
        <f>VLOOKUP(F2720,'Set up'!$A$2:$C$70,2,FALSE)</f>
        <v>C00000048</v>
      </c>
      <c r="F2720" s="1" t="s">
        <v>2440</v>
      </c>
      <c r="G2720" s="89" t="s">
        <v>1423</v>
      </c>
      <c r="H2720" s="5">
        <v>1</v>
      </c>
      <c r="I2720" s="5" t="str">
        <f>VLOOKUP(F2720,'Set up'!$A$2:$C$70,3,FALSE)</f>
        <v>Cash</v>
      </c>
      <c r="J2720" s="5">
        <f>VLOOKUP(F2720,'Set up'!$A$2:$D$70,4,FALSE)</f>
        <v>0</v>
      </c>
      <c r="K2720" s="4">
        <f t="shared" si="662"/>
        <v>45367</v>
      </c>
      <c r="L2720" s="5">
        <f t="shared" si="663"/>
        <v>3</v>
      </c>
      <c r="M2720" s="5">
        <f t="shared" si="664"/>
        <v>2024</v>
      </c>
      <c r="N2720" s="12">
        <v>200</v>
      </c>
      <c r="O2720" s="6">
        <f t="shared" ref="O2720" si="674">-N2720</f>
        <v>-200</v>
      </c>
      <c r="P2720" s="6">
        <f t="shared" si="671"/>
        <v>0</v>
      </c>
      <c r="Q2720" s="7">
        <f t="shared" si="665"/>
        <v>4429444.3499999996</v>
      </c>
      <c r="R2720" s="44" t="str">
        <f>VLOOKUP(F2720,'Set up'!$A$2:$E$70,5,FALSE)</f>
        <v>Cash</v>
      </c>
      <c r="S2720" s="1" t="s">
        <v>2500</v>
      </c>
    </row>
    <row r="2721" spans="1:19" ht="15" customHeight="1" x14ac:dyDescent="0.3">
      <c r="A2721" s="4">
        <v>45367</v>
      </c>
      <c r="B2721" s="5">
        <f t="shared" si="660"/>
        <v>3</v>
      </c>
      <c r="C2721" s="5">
        <f t="shared" si="661"/>
        <v>2024</v>
      </c>
      <c r="D2721" s="5" t="s">
        <v>2441</v>
      </c>
      <c r="E2721" s="5" t="str">
        <f>VLOOKUP(F2721,'Set up'!$A$2:$C$70,2,FALSE)</f>
        <v>C00000019</v>
      </c>
      <c r="F2721" s="1" t="s">
        <v>400</v>
      </c>
      <c r="G2721" s="90" t="s">
        <v>95</v>
      </c>
      <c r="H2721" s="88">
        <v>1</v>
      </c>
      <c r="I2721" s="5" t="str">
        <f>VLOOKUP(F2721,'Set up'!$A$2:$C$70,3,FALSE)</f>
        <v>Cash</v>
      </c>
      <c r="J2721" s="5">
        <f>VLOOKUP(F2721,'Set up'!$A$2:$D$70,4,FALSE)</f>
        <v>0</v>
      </c>
      <c r="K2721" s="4">
        <f t="shared" si="662"/>
        <v>45367</v>
      </c>
      <c r="L2721" s="5">
        <f t="shared" si="663"/>
        <v>3</v>
      </c>
      <c r="M2721" s="5">
        <f t="shared" si="664"/>
        <v>2024</v>
      </c>
      <c r="N2721" s="12">
        <v>1738</v>
      </c>
      <c r="O2721" s="12">
        <f>-1216-522</f>
        <v>-1738</v>
      </c>
      <c r="P2721" s="6">
        <f t="shared" si="671"/>
        <v>0</v>
      </c>
      <c r="Q2721" s="7">
        <f t="shared" si="665"/>
        <v>4431182.3499999996</v>
      </c>
      <c r="R2721" s="44" t="str">
        <f>VLOOKUP(F2721,'Set up'!$A$2:$E$70,5,FALSE)</f>
        <v>Trsf</v>
      </c>
      <c r="S2721" s="1" t="s">
        <v>3667</v>
      </c>
    </row>
    <row r="2722" spans="1:19" ht="15" customHeight="1" x14ac:dyDescent="0.3">
      <c r="A2722" s="4">
        <v>45367</v>
      </c>
      <c r="B2722" s="5">
        <f t="shared" si="660"/>
        <v>3</v>
      </c>
      <c r="C2722" s="5">
        <f t="shared" si="661"/>
        <v>2024</v>
      </c>
      <c r="D2722" s="5" t="s">
        <v>2441</v>
      </c>
      <c r="E2722" s="5" t="str">
        <f>VLOOKUP(F2722,'Set up'!$A$2:$C$70,2,FALSE)</f>
        <v>C00000019</v>
      </c>
      <c r="F2722" s="1" t="s">
        <v>400</v>
      </c>
      <c r="G2722" s="90" t="s">
        <v>1411</v>
      </c>
      <c r="H2722" s="88">
        <v>1</v>
      </c>
      <c r="I2722" s="5" t="str">
        <f>VLOOKUP(F2722,'Set up'!$A$2:$C$70,3,FALSE)</f>
        <v>Cash</v>
      </c>
      <c r="J2722" s="5">
        <f>VLOOKUP(F2722,'Set up'!$A$2:$D$70,4,FALSE)</f>
        <v>0</v>
      </c>
      <c r="K2722" s="4">
        <f t="shared" si="662"/>
        <v>45367</v>
      </c>
      <c r="L2722" s="5">
        <f t="shared" si="663"/>
        <v>3</v>
      </c>
      <c r="M2722" s="5">
        <f t="shared" si="664"/>
        <v>2024</v>
      </c>
      <c r="N2722" s="12">
        <v>405</v>
      </c>
      <c r="O2722" s="6">
        <f t="shared" ref="O2722:O2728" si="675">-N2722</f>
        <v>-405</v>
      </c>
      <c r="P2722" s="6">
        <f t="shared" si="671"/>
        <v>0</v>
      </c>
      <c r="Q2722" s="7">
        <f t="shared" si="665"/>
        <v>4431587.3499999996</v>
      </c>
      <c r="R2722" s="44" t="str">
        <f>VLOOKUP(F2722,'Set up'!$A$2:$E$70,5,FALSE)</f>
        <v>Trsf</v>
      </c>
      <c r="S2722" s="1" t="s">
        <v>3668</v>
      </c>
    </row>
    <row r="2723" spans="1:19" ht="15" customHeight="1" x14ac:dyDescent="0.3">
      <c r="A2723" s="4">
        <v>45367</v>
      </c>
      <c r="B2723" s="5">
        <f t="shared" si="660"/>
        <v>3</v>
      </c>
      <c r="C2723" s="5">
        <f t="shared" si="661"/>
        <v>2024</v>
      </c>
      <c r="D2723" s="5" t="s">
        <v>2441</v>
      </c>
      <c r="E2723" s="5" t="str">
        <f>VLOOKUP(F2723,'Set up'!$A$2:$C$70,2,FALSE)</f>
        <v>C00000019</v>
      </c>
      <c r="F2723" s="1" t="s">
        <v>400</v>
      </c>
      <c r="G2723" s="90" t="s">
        <v>791</v>
      </c>
      <c r="H2723" s="88">
        <v>3</v>
      </c>
      <c r="I2723" s="5" t="str">
        <f>VLOOKUP(F2723,'Set up'!$A$2:$C$70,3,FALSE)</f>
        <v>Cash</v>
      </c>
      <c r="J2723" s="5">
        <f>VLOOKUP(F2723,'Set up'!$A$2:$D$70,4,FALSE)</f>
        <v>0</v>
      </c>
      <c r="K2723" s="4">
        <f t="shared" si="662"/>
        <v>45367</v>
      </c>
      <c r="L2723" s="5">
        <f t="shared" si="663"/>
        <v>3</v>
      </c>
      <c r="M2723" s="5">
        <f t="shared" si="664"/>
        <v>2024</v>
      </c>
      <c r="N2723" s="12">
        <v>187.5</v>
      </c>
      <c r="O2723" s="6">
        <f t="shared" si="675"/>
        <v>-187.5</v>
      </c>
      <c r="P2723" s="6">
        <f t="shared" si="671"/>
        <v>0</v>
      </c>
      <c r="Q2723" s="7">
        <f t="shared" si="665"/>
        <v>4431774.8499999996</v>
      </c>
      <c r="R2723" s="44" t="str">
        <f>VLOOKUP(F2723,'Set up'!$A$2:$E$70,5,FALSE)</f>
        <v>Trsf</v>
      </c>
      <c r="S2723" s="1" t="s">
        <v>3669</v>
      </c>
    </row>
    <row r="2724" spans="1:19" ht="15" customHeight="1" x14ac:dyDescent="0.3">
      <c r="A2724" s="4">
        <v>45367</v>
      </c>
      <c r="B2724" s="5">
        <f t="shared" si="660"/>
        <v>3</v>
      </c>
      <c r="C2724" s="5">
        <f t="shared" si="661"/>
        <v>2024</v>
      </c>
      <c r="D2724" s="5" t="s">
        <v>2441</v>
      </c>
      <c r="E2724" s="5" t="str">
        <f>VLOOKUP(F2724,'Set up'!$A$2:$C$70,2,FALSE)</f>
        <v>C00000019</v>
      </c>
      <c r="F2724" s="1" t="s">
        <v>400</v>
      </c>
      <c r="G2724" s="90" t="s">
        <v>46</v>
      </c>
      <c r="H2724" s="88">
        <v>1</v>
      </c>
      <c r="I2724" s="5" t="str">
        <f>VLOOKUP(F2724,'Set up'!$A$2:$C$70,3,FALSE)</f>
        <v>Cash</v>
      </c>
      <c r="J2724" s="5">
        <f>VLOOKUP(F2724,'Set up'!$A$2:$D$70,4,FALSE)</f>
        <v>0</v>
      </c>
      <c r="K2724" s="4">
        <f t="shared" si="662"/>
        <v>45367</v>
      </c>
      <c r="L2724" s="5">
        <f t="shared" si="663"/>
        <v>3</v>
      </c>
      <c r="M2724" s="5">
        <f t="shared" si="664"/>
        <v>2024</v>
      </c>
      <c r="N2724" s="12">
        <v>110</v>
      </c>
      <c r="O2724" s="6">
        <f t="shared" si="675"/>
        <v>-110</v>
      </c>
      <c r="P2724" s="6">
        <f t="shared" si="671"/>
        <v>0</v>
      </c>
      <c r="Q2724" s="7">
        <f t="shared" si="665"/>
        <v>4431884.8499999996</v>
      </c>
      <c r="R2724" s="44" t="str">
        <f>VLOOKUP(F2724,'Set up'!$A$2:$E$70,5,FALSE)</f>
        <v>Trsf</v>
      </c>
      <c r="S2724" s="1" t="s">
        <v>3671</v>
      </c>
    </row>
    <row r="2725" spans="1:19" ht="15" customHeight="1" x14ac:dyDescent="0.3">
      <c r="A2725" s="4">
        <v>45367</v>
      </c>
      <c r="B2725" s="5">
        <f t="shared" si="660"/>
        <v>3</v>
      </c>
      <c r="C2725" s="5">
        <f t="shared" si="661"/>
        <v>2024</v>
      </c>
      <c r="D2725" s="5" t="s">
        <v>2441</v>
      </c>
      <c r="E2725" s="5" t="str">
        <f>VLOOKUP(F2725,'Set up'!$A$2:$C$70,2,FALSE)</f>
        <v>C00000019</v>
      </c>
      <c r="F2725" s="1" t="s">
        <v>400</v>
      </c>
      <c r="G2725" s="90" t="s">
        <v>1469</v>
      </c>
      <c r="H2725" s="88">
        <v>1</v>
      </c>
      <c r="I2725" s="5" t="str">
        <f>VLOOKUP(F2725,'Set up'!$A$2:$C$70,3,FALSE)</f>
        <v>Cash</v>
      </c>
      <c r="J2725" s="5">
        <f>VLOOKUP(F2725,'Set up'!$A$2:$D$70,4,FALSE)</f>
        <v>0</v>
      </c>
      <c r="K2725" s="4">
        <f t="shared" si="662"/>
        <v>45367</v>
      </c>
      <c r="L2725" s="5">
        <f t="shared" si="663"/>
        <v>3</v>
      </c>
      <c r="M2725" s="5">
        <f t="shared" si="664"/>
        <v>2024</v>
      </c>
      <c r="N2725" s="12">
        <v>390</v>
      </c>
      <c r="O2725" s="6">
        <f t="shared" si="675"/>
        <v>-390</v>
      </c>
      <c r="P2725" s="6">
        <f t="shared" si="671"/>
        <v>0</v>
      </c>
      <c r="Q2725" s="7">
        <f t="shared" si="665"/>
        <v>4432274.8499999996</v>
      </c>
      <c r="R2725" s="44" t="str">
        <f>VLOOKUP(F2725,'Set up'!$A$2:$E$70,5,FALSE)</f>
        <v>Trsf</v>
      </c>
      <c r="S2725" s="1" t="s">
        <v>3670</v>
      </c>
    </row>
    <row r="2726" spans="1:19" ht="15" customHeight="1" x14ac:dyDescent="0.3">
      <c r="A2726" s="4">
        <v>45367</v>
      </c>
      <c r="B2726" s="5">
        <f t="shared" si="660"/>
        <v>3</v>
      </c>
      <c r="C2726" s="5">
        <f t="shared" si="661"/>
        <v>2024</v>
      </c>
      <c r="D2726" s="5" t="s">
        <v>2441</v>
      </c>
      <c r="E2726" s="5" t="str">
        <f>VLOOKUP(F2726,'Set up'!$A$2:$C$70,2,FALSE)</f>
        <v>C00000019</v>
      </c>
      <c r="F2726" s="1" t="s">
        <v>400</v>
      </c>
      <c r="G2726" s="89" t="s">
        <v>2098</v>
      </c>
      <c r="H2726" s="88">
        <v>1</v>
      </c>
      <c r="I2726" s="5" t="str">
        <f>VLOOKUP(F2726,'Set up'!$A$2:$C$70,3,FALSE)</f>
        <v>Cash</v>
      </c>
      <c r="J2726" s="5">
        <f>VLOOKUP(F2726,'Set up'!$A$2:$D$70,4,FALSE)</f>
        <v>0</v>
      </c>
      <c r="K2726" s="4">
        <f t="shared" si="662"/>
        <v>45367</v>
      </c>
      <c r="L2726" s="5">
        <f t="shared" si="663"/>
        <v>3</v>
      </c>
      <c r="M2726" s="5">
        <f t="shared" si="664"/>
        <v>2024</v>
      </c>
      <c r="N2726" s="12">
        <v>283.8</v>
      </c>
      <c r="O2726" s="6">
        <f t="shared" si="675"/>
        <v>-283.8</v>
      </c>
      <c r="P2726" s="6">
        <f t="shared" si="671"/>
        <v>0</v>
      </c>
      <c r="Q2726" s="7">
        <f t="shared" si="665"/>
        <v>4432558.6499999994</v>
      </c>
      <c r="R2726" s="44" t="str">
        <f>VLOOKUP(F2726,'Set up'!$A$2:$E$70,5,FALSE)</f>
        <v>Trsf</v>
      </c>
      <c r="S2726" s="1" t="s">
        <v>3672</v>
      </c>
    </row>
    <row r="2727" spans="1:19" ht="15" customHeight="1" x14ac:dyDescent="0.3">
      <c r="A2727" s="4">
        <v>45367</v>
      </c>
      <c r="B2727" s="5">
        <f t="shared" si="660"/>
        <v>3</v>
      </c>
      <c r="C2727" s="5">
        <f t="shared" si="661"/>
        <v>2024</v>
      </c>
      <c r="D2727" s="5" t="s">
        <v>2441</v>
      </c>
      <c r="E2727" s="5" t="str">
        <f>VLOOKUP(F2727,'Set up'!$A$2:$C$70,2,FALSE)</f>
        <v>C00000019</v>
      </c>
      <c r="F2727" s="1" t="s">
        <v>400</v>
      </c>
      <c r="G2727" s="90" t="s">
        <v>2442</v>
      </c>
      <c r="H2727" s="88">
        <v>1</v>
      </c>
      <c r="I2727" s="5" t="str">
        <f>VLOOKUP(F2727,'Set up'!$A$2:$C$70,3,FALSE)</f>
        <v>Cash</v>
      </c>
      <c r="J2727" s="5">
        <f>VLOOKUP(F2727,'Set up'!$A$2:$D$70,4,FALSE)</f>
        <v>0</v>
      </c>
      <c r="K2727" s="4">
        <f t="shared" si="662"/>
        <v>45367</v>
      </c>
      <c r="L2727" s="5">
        <f t="shared" si="663"/>
        <v>3</v>
      </c>
      <c r="M2727" s="5">
        <f t="shared" si="664"/>
        <v>2024</v>
      </c>
      <c r="N2727" s="12">
        <v>260</v>
      </c>
      <c r="O2727" s="12">
        <f>-101.7-158.3</f>
        <v>-260</v>
      </c>
      <c r="P2727" s="6">
        <f t="shared" si="671"/>
        <v>0</v>
      </c>
      <c r="Q2727" s="7">
        <f t="shared" si="665"/>
        <v>4432818.6499999994</v>
      </c>
      <c r="R2727" s="44" t="str">
        <f>VLOOKUP(F2727,'Set up'!$A$2:$E$70,5,FALSE)</f>
        <v>Trsf</v>
      </c>
      <c r="S2727" s="1" t="s">
        <v>3751</v>
      </c>
    </row>
    <row r="2728" spans="1:19" ht="15" customHeight="1" x14ac:dyDescent="0.3">
      <c r="A2728" s="4">
        <v>45367</v>
      </c>
      <c r="B2728" s="5">
        <f t="shared" si="660"/>
        <v>3</v>
      </c>
      <c r="C2728" s="5">
        <f t="shared" si="661"/>
        <v>2024</v>
      </c>
      <c r="D2728" s="5" t="s">
        <v>2441</v>
      </c>
      <c r="E2728" s="5" t="str">
        <f>VLOOKUP(F2728,'Set up'!$A$2:$C$70,2,FALSE)</f>
        <v>C00000019</v>
      </c>
      <c r="F2728" s="1" t="s">
        <v>400</v>
      </c>
      <c r="G2728" s="90" t="s">
        <v>949</v>
      </c>
      <c r="H2728" s="88">
        <v>2</v>
      </c>
      <c r="I2728" s="5" t="str">
        <f>VLOOKUP(F2728,'Set up'!$A$2:$C$70,3,FALSE)</f>
        <v>Cash</v>
      </c>
      <c r="J2728" s="5">
        <f>VLOOKUP(F2728,'Set up'!$A$2:$D$70,4,FALSE)</f>
        <v>0</v>
      </c>
      <c r="K2728" s="4">
        <f t="shared" si="662"/>
        <v>45367</v>
      </c>
      <c r="L2728" s="5">
        <f t="shared" si="663"/>
        <v>3</v>
      </c>
      <c r="M2728" s="5">
        <f t="shared" si="664"/>
        <v>2024</v>
      </c>
      <c r="N2728" s="12">
        <v>120</v>
      </c>
      <c r="O2728" s="6">
        <f t="shared" si="675"/>
        <v>-120</v>
      </c>
      <c r="P2728" s="6">
        <f t="shared" si="671"/>
        <v>0</v>
      </c>
      <c r="Q2728" s="7">
        <f t="shared" si="665"/>
        <v>4432938.6499999994</v>
      </c>
      <c r="R2728" s="44" t="str">
        <f>VLOOKUP(F2728,'Set up'!$A$2:$E$70,5,FALSE)</f>
        <v>Trsf</v>
      </c>
      <c r="S2728" s="1" t="s">
        <v>3752</v>
      </c>
    </row>
    <row r="2729" spans="1:19" ht="15" customHeight="1" x14ac:dyDescent="0.3">
      <c r="A2729" s="4">
        <v>45367</v>
      </c>
      <c r="B2729" s="5">
        <f t="shared" si="660"/>
        <v>3</v>
      </c>
      <c r="C2729" s="5">
        <f t="shared" si="661"/>
        <v>2024</v>
      </c>
      <c r="D2729" s="5" t="s">
        <v>2443</v>
      </c>
      <c r="E2729" s="5" t="str">
        <f>VLOOKUP(F2729,'Set up'!$A$2:$C$70,2,FALSE)</f>
        <v>C00000042</v>
      </c>
      <c r="F2729" s="1" t="s">
        <v>2012</v>
      </c>
      <c r="G2729" s="122" t="s">
        <v>1110</v>
      </c>
      <c r="H2729" s="5">
        <v>3</v>
      </c>
      <c r="I2729" s="5" t="str">
        <f>VLOOKUP(F2729,'Set up'!$A$2:$C$70,3,FALSE)</f>
        <v>Cash</v>
      </c>
      <c r="J2729" s="5">
        <f>VLOOKUP(F2729,'Set up'!$A$2:$D$70,4,FALSE)</f>
        <v>0</v>
      </c>
      <c r="K2729" s="4">
        <f t="shared" si="662"/>
        <v>45367</v>
      </c>
      <c r="L2729" s="5">
        <f t="shared" si="663"/>
        <v>3</v>
      </c>
      <c r="M2729" s="5">
        <f t="shared" si="664"/>
        <v>2024</v>
      </c>
      <c r="N2729" s="12">
        <v>187.5</v>
      </c>
      <c r="O2729" s="6">
        <f t="shared" ref="O2729:O2739" si="676">-N2729</f>
        <v>-187.5</v>
      </c>
      <c r="P2729" s="6">
        <f t="shared" si="671"/>
        <v>0</v>
      </c>
      <c r="Q2729" s="7">
        <f t="shared" si="665"/>
        <v>4433126.1499999994</v>
      </c>
      <c r="R2729" s="44" t="str">
        <f>VLOOKUP(F2729,'Set up'!$A$2:$E$70,5,FALSE)</f>
        <v>Trsf</v>
      </c>
      <c r="S2729" s="1" t="s">
        <v>3071</v>
      </c>
    </row>
    <row r="2730" spans="1:19" ht="15" customHeight="1" x14ac:dyDescent="0.3">
      <c r="A2730" s="4">
        <v>45367</v>
      </c>
      <c r="B2730" s="5">
        <f t="shared" si="660"/>
        <v>3</v>
      </c>
      <c r="C2730" s="5">
        <f t="shared" si="661"/>
        <v>2024</v>
      </c>
      <c r="D2730" s="5" t="s">
        <v>2444</v>
      </c>
      <c r="E2730" s="5" t="str">
        <f>VLOOKUP(F2730,'Set up'!$A$2:$C$70,2,FALSE)</f>
        <v>C00000042</v>
      </c>
      <c r="F2730" s="1" t="s">
        <v>2012</v>
      </c>
      <c r="G2730" s="122" t="s">
        <v>1733</v>
      </c>
      <c r="H2730" s="88">
        <v>3</v>
      </c>
      <c r="I2730" s="5" t="str">
        <f>VLOOKUP(F2730,'Set up'!$A$2:$C$70,3,FALSE)</f>
        <v>Cash</v>
      </c>
      <c r="J2730" s="5">
        <f>VLOOKUP(F2730,'Set up'!$A$2:$D$70,4,FALSE)</f>
        <v>0</v>
      </c>
      <c r="K2730" s="4">
        <f t="shared" si="662"/>
        <v>45367</v>
      </c>
      <c r="L2730" s="5">
        <f t="shared" si="663"/>
        <v>3</v>
      </c>
      <c r="M2730" s="5">
        <f t="shared" si="664"/>
        <v>2024</v>
      </c>
      <c r="N2730" s="12">
        <v>4818</v>
      </c>
      <c r="O2730" s="6">
        <f t="shared" si="676"/>
        <v>-4818</v>
      </c>
      <c r="P2730" s="6">
        <f t="shared" si="671"/>
        <v>0</v>
      </c>
      <c r="Q2730" s="7">
        <f t="shared" si="665"/>
        <v>4437944.1499999994</v>
      </c>
      <c r="R2730" s="44" t="str">
        <f>VLOOKUP(F2730,'Set up'!$A$2:$E$70,5,FALSE)</f>
        <v>Trsf</v>
      </c>
      <c r="S2730" s="1" t="s">
        <v>3072</v>
      </c>
    </row>
    <row r="2731" spans="1:19" ht="15" customHeight="1" x14ac:dyDescent="0.3">
      <c r="A2731" s="4">
        <v>45367</v>
      </c>
      <c r="B2731" s="5">
        <f t="shared" si="660"/>
        <v>3</v>
      </c>
      <c r="C2731" s="5">
        <f t="shared" si="661"/>
        <v>2024</v>
      </c>
      <c r="D2731" s="5" t="s">
        <v>2444</v>
      </c>
      <c r="E2731" s="5" t="str">
        <f>VLOOKUP(F2731,'Set up'!$A$2:$C$70,2,FALSE)</f>
        <v>C00000042</v>
      </c>
      <c r="F2731" s="1" t="s">
        <v>2012</v>
      </c>
      <c r="G2731" s="90" t="s">
        <v>2370</v>
      </c>
      <c r="H2731" s="88">
        <v>9</v>
      </c>
      <c r="I2731" s="5" t="str">
        <f>VLOOKUP(F2731,'Set up'!$A$2:$C$70,3,FALSE)</f>
        <v>Cash</v>
      </c>
      <c r="J2731" s="5">
        <f>VLOOKUP(F2731,'Set up'!$A$2:$D$70,4,FALSE)</f>
        <v>0</v>
      </c>
      <c r="K2731" s="4">
        <f t="shared" si="662"/>
        <v>45367</v>
      </c>
      <c r="L2731" s="5">
        <f t="shared" si="663"/>
        <v>3</v>
      </c>
      <c r="M2731" s="5">
        <f t="shared" si="664"/>
        <v>2024</v>
      </c>
      <c r="N2731" s="12">
        <v>1931.4</v>
      </c>
      <c r="O2731" s="6">
        <f t="shared" si="676"/>
        <v>-1931.4</v>
      </c>
      <c r="P2731" s="6">
        <f t="shared" si="671"/>
        <v>0</v>
      </c>
      <c r="Q2731" s="7">
        <f t="shared" si="665"/>
        <v>4439875.55</v>
      </c>
      <c r="R2731" s="44" t="str">
        <f>VLOOKUP(F2731,'Set up'!$A$2:$E$70,5,FALSE)</f>
        <v>Trsf</v>
      </c>
      <c r="S2731" s="1" t="s">
        <v>3073</v>
      </c>
    </row>
    <row r="2732" spans="1:19" ht="15" customHeight="1" x14ac:dyDescent="0.3">
      <c r="A2732" s="4">
        <v>45367</v>
      </c>
      <c r="B2732" s="5">
        <f t="shared" si="660"/>
        <v>3</v>
      </c>
      <c r="C2732" s="5">
        <f t="shared" si="661"/>
        <v>2024</v>
      </c>
      <c r="D2732" s="5" t="s">
        <v>2444</v>
      </c>
      <c r="E2732" s="5" t="str">
        <f>VLOOKUP(F2732,'Set up'!$A$2:$C$70,2,FALSE)</f>
        <v>C00000042</v>
      </c>
      <c r="F2732" s="1" t="s">
        <v>2012</v>
      </c>
      <c r="G2732" s="90" t="s">
        <v>1922</v>
      </c>
      <c r="H2732" s="88">
        <v>5</v>
      </c>
      <c r="I2732" s="5" t="str">
        <f>VLOOKUP(F2732,'Set up'!$A$2:$C$70,3,FALSE)</f>
        <v>Cash</v>
      </c>
      <c r="J2732" s="5">
        <f>VLOOKUP(F2732,'Set up'!$A$2:$D$70,4,FALSE)</f>
        <v>0</v>
      </c>
      <c r="K2732" s="4">
        <f t="shared" si="662"/>
        <v>45367</v>
      </c>
      <c r="L2732" s="5">
        <f t="shared" si="663"/>
        <v>3</v>
      </c>
      <c r="M2732" s="5">
        <f t="shared" si="664"/>
        <v>2024</v>
      </c>
      <c r="N2732" s="12">
        <v>1170</v>
      </c>
      <c r="O2732" s="6">
        <f t="shared" si="676"/>
        <v>-1170</v>
      </c>
      <c r="P2732" s="6">
        <f t="shared" si="671"/>
        <v>0</v>
      </c>
      <c r="Q2732" s="7">
        <f t="shared" si="665"/>
        <v>4441045.55</v>
      </c>
      <c r="R2732" s="44" t="str">
        <f>VLOOKUP(F2732,'Set up'!$A$2:$E$70,5,FALSE)</f>
        <v>Trsf</v>
      </c>
      <c r="S2732" s="1" t="s">
        <v>3074</v>
      </c>
    </row>
    <row r="2733" spans="1:19" ht="15" customHeight="1" x14ac:dyDescent="0.3">
      <c r="A2733" s="4">
        <v>45367</v>
      </c>
      <c r="B2733" s="5">
        <f t="shared" si="660"/>
        <v>3</v>
      </c>
      <c r="C2733" s="5">
        <f t="shared" si="661"/>
        <v>2024</v>
      </c>
      <c r="D2733" s="5" t="s">
        <v>2444</v>
      </c>
      <c r="E2733" s="5" t="str">
        <f>VLOOKUP(F2733,'Set up'!$A$2:$C$70,2,FALSE)</f>
        <v>C00000042</v>
      </c>
      <c r="F2733" s="1" t="s">
        <v>2012</v>
      </c>
      <c r="G2733" s="90" t="s">
        <v>1073</v>
      </c>
      <c r="H2733" s="88">
        <v>1</v>
      </c>
      <c r="I2733" s="5" t="str">
        <f>VLOOKUP(F2733,'Set up'!$A$2:$C$70,3,FALSE)</f>
        <v>Cash</v>
      </c>
      <c r="J2733" s="5">
        <f>VLOOKUP(F2733,'Set up'!$A$2:$D$70,4,FALSE)</f>
        <v>0</v>
      </c>
      <c r="K2733" s="4">
        <f t="shared" si="662"/>
        <v>45367</v>
      </c>
      <c r="L2733" s="5">
        <f t="shared" si="663"/>
        <v>3</v>
      </c>
      <c r="M2733" s="5">
        <f t="shared" si="664"/>
        <v>2024</v>
      </c>
      <c r="N2733" s="12">
        <v>1000</v>
      </c>
      <c r="O2733" s="6">
        <f t="shared" si="676"/>
        <v>-1000</v>
      </c>
      <c r="P2733" s="6">
        <f t="shared" si="671"/>
        <v>0</v>
      </c>
      <c r="Q2733" s="7">
        <f t="shared" si="665"/>
        <v>4442045.55</v>
      </c>
      <c r="R2733" s="44" t="str">
        <f>VLOOKUP(F2733,'Set up'!$A$2:$E$70,5,FALSE)</f>
        <v>Trsf</v>
      </c>
      <c r="S2733" s="1" t="s">
        <v>3069</v>
      </c>
    </row>
    <row r="2734" spans="1:19" ht="15" customHeight="1" x14ac:dyDescent="0.3">
      <c r="A2734" s="4">
        <v>45367</v>
      </c>
      <c r="B2734" s="5">
        <f t="shared" si="660"/>
        <v>3</v>
      </c>
      <c r="C2734" s="5">
        <f t="shared" si="661"/>
        <v>2024</v>
      </c>
      <c r="D2734" s="5" t="s">
        <v>2444</v>
      </c>
      <c r="E2734" s="5" t="str">
        <f>VLOOKUP(F2734,'Set up'!$A$2:$C$70,2,FALSE)</f>
        <v>C00000042</v>
      </c>
      <c r="F2734" s="1" t="s">
        <v>2012</v>
      </c>
      <c r="G2734" s="90" t="s">
        <v>1061</v>
      </c>
      <c r="H2734" s="88">
        <v>4</v>
      </c>
      <c r="I2734" s="5" t="str">
        <f>VLOOKUP(F2734,'Set up'!$A$2:$C$70,3,FALSE)</f>
        <v>Cash</v>
      </c>
      <c r="J2734" s="5">
        <f>VLOOKUP(F2734,'Set up'!$A$2:$D$70,4,FALSE)</f>
        <v>0</v>
      </c>
      <c r="K2734" s="4">
        <f t="shared" si="662"/>
        <v>45367</v>
      </c>
      <c r="L2734" s="5">
        <f t="shared" si="663"/>
        <v>3</v>
      </c>
      <c r="M2734" s="5">
        <f t="shared" si="664"/>
        <v>2024</v>
      </c>
      <c r="N2734" s="12">
        <v>380</v>
      </c>
      <c r="O2734" s="6">
        <f t="shared" si="676"/>
        <v>-380</v>
      </c>
      <c r="P2734" s="6">
        <f t="shared" si="671"/>
        <v>0</v>
      </c>
      <c r="Q2734" s="7">
        <f t="shared" si="665"/>
        <v>4442425.55</v>
      </c>
      <c r="R2734" s="44" t="str">
        <f>VLOOKUP(F2734,'Set up'!$A$2:$E$70,5,FALSE)</f>
        <v>Trsf</v>
      </c>
      <c r="S2734" s="1" t="s">
        <v>3067</v>
      </c>
    </row>
    <row r="2735" spans="1:19" ht="15" customHeight="1" x14ac:dyDescent="0.3">
      <c r="A2735" s="4">
        <v>45370</v>
      </c>
      <c r="B2735" s="5">
        <f t="shared" si="660"/>
        <v>3</v>
      </c>
      <c r="C2735" s="5">
        <f t="shared" si="661"/>
        <v>2024</v>
      </c>
      <c r="D2735" s="5" t="s">
        <v>2445</v>
      </c>
      <c r="E2735" s="5" t="str">
        <f>VLOOKUP(F2735,'Set up'!$A$2:$C$70,2,FALSE)</f>
        <v>C00000042</v>
      </c>
      <c r="F2735" s="1" t="s">
        <v>2012</v>
      </c>
      <c r="G2735" s="122" t="s">
        <v>1110</v>
      </c>
      <c r="H2735" s="5">
        <v>2</v>
      </c>
      <c r="I2735" s="5" t="str">
        <f>VLOOKUP(F2735,'Set up'!$A$2:$C$70,3,FALSE)</f>
        <v>Cash</v>
      </c>
      <c r="J2735" s="5">
        <f>VLOOKUP(F2735,'Set up'!$A$2:$D$70,4,FALSE)</f>
        <v>0</v>
      </c>
      <c r="K2735" s="4">
        <f t="shared" si="662"/>
        <v>45370</v>
      </c>
      <c r="L2735" s="5">
        <f t="shared" si="663"/>
        <v>3</v>
      </c>
      <c r="M2735" s="5">
        <f t="shared" si="664"/>
        <v>2024</v>
      </c>
      <c r="N2735" s="12">
        <v>125</v>
      </c>
      <c r="O2735" s="6">
        <f t="shared" si="676"/>
        <v>-125</v>
      </c>
      <c r="P2735" s="6">
        <f t="shared" si="671"/>
        <v>0</v>
      </c>
      <c r="Q2735" s="7">
        <f t="shared" si="665"/>
        <v>4442550.55</v>
      </c>
      <c r="R2735" s="44" t="str">
        <f>VLOOKUP(F2735,'Set up'!$A$2:$E$70,5,FALSE)</f>
        <v>Trsf</v>
      </c>
      <c r="S2735" s="1" t="s">
        <v>3075</v>
      </c>
    </row>
    <row r="2736" spans="1:19" ht="15" customHeight="1" x14ac:dyDescent="0.3">
      <c r="A2736" s="4">
        <v>45370</v>
      </c>
      <c r="B2736" s="5">
        <f t="shared" si="660"/>
        <v>3</v>
      </c>
      <c r="C2736" s="5">
        <f t="shared" si="661"/>
        <v>2024</v>
      </c>
      <c r="D2736" s="5" t="s">
        <v>2446</v>
      </c>
      <c r="E2736" s="5" t="str">
        <f>VLOOKUP(F2736,'Set up'!$A$2:$C$70,2,FALSE)</f>
        <v>C00000042</v>
      </c>
      <c r="F2736" s="1" t="s">
        <v>2012</v>
      </c>
      <c r="G2736" s="122" t="s">
        <v>1733</v>
      </c>
      <c r="H2736" s="88">
        <v>2</v>
      </c>
      <c r="I2736" s="5" t="str">
        <f>VLOOKUP(F2736,'Set up'!$A$2:$C$70,3,FALSE)</f>
        <v>Cash</v>
      </c>
      <c r="J2736" s="5">
        <f>VLOOKUP(F2736,'Set up'!$A$2:$D$70,4,FALSE)</f>
        <v>0</v>
      </c>
      <c r="K2736" s="4">
        <f t="shared" si="662"/>
        <v>45370</v>
      </c>
      <c r="L2736" s="5">
        <f t="shared" si="663"/>
        <v>3</v>
      </c>
      <c r="M2736" s="5">
        <f t="shared" si="664"/>
        <v>2024</v>
      </c>
      <c r="N2736" s="12">
        <v>3212</v>
      </c>
      <c r="O2736" s="6">
        <f t="shared" si="676"/>
        <v>-3212</v>
      </c>
      <c r="P2736" s="6">
        <f t="shared" si="671"/>
        <v>0</v>
      </c>
      <c r="Q2736" s="7">
        <f t="shared" si="665"/>
        <v>4445762.55</v>
      </c>
      <c r="R2736" s="44" t="str">
        <f>VLOOKUP(F2736,'Set up'!$A$2:$E$70,5,FALSE)</f>
        <v>Trsf</v>
      </c>
      <c r="S2736" s="1" t="s">
        <v>3076</v>
      </c>
    </row>
    <row r="2737" spans="1:19" ht="15" customHeight="1" x14ac:dyDescent="0.3">
      <c r="A2737" s="4">
        <v>45370</v>
      </c>
      <c r="B2737" s="5">
        <f t="shared" si="660"/>
        <v>3</v>
      </c>
      <c r="C2737" s="5">
        <f t="shared" si="661"/>
        <v>2024</v>
      </c>
      <c r="D2737" s="5" t="s">
        <v>2446</v>
      </c>
      <c r="E2737" s="5" t="str">
        <f>VLOOKUP(F2737,'Set up'!$A$2:$C$70,2,FALSE)</f>
        <v>C00000042</v>
      </c>
      <c r="F2737" s="1" t="s">
        <v>2012</v>
      </c>
      <c r="G2737" s="90" t="s">
        <v>2370</v>
      </c>
      <c r="H2737" s="88">
        <v>5</v>
      </c>
      <c r="I2737" s="5" t="str">
        <f>VLOOKUP(F2737,'Set up'!$A$2:$C$70,3,FALSE)</f>
        <v>Cash</v>
      </c>
      <c r="J2737" s="5">
        <f>VLOOKUP(F2737,'Set up'!$A$2:$D$70,4,FALSE)</f>
        <v>0</v>
      </c>
      <c r="K2737" s="4">
        <f t="shared" si="662"/>
        <v>45370</v>
      </c>
      <c r="L2737" s="5">
        <f t="shared" si="663"/>
        <v>3</v>
      </c>
      <c r="M2737" s="5">
        <f t="shared" si="664"/>
        <v>2024</v>
      </c>
      <c r="N2737" s="12">
        <v>1073</v>
      </c>
      <c r="O2737" s="6">
        <f t="shared" si="676"/>
        <v>-1073</v>
      </c>
      <c r="P2737" s="6">
        <f t="shared" si="671"/>
        <v>0</v>
      </c>
      <c r="Q2737" s="7">
        <f t="shared" si="665"/>
        <v>4446835.55</v>
      </c>
      <c r="R2737" s="44" t="str">
        <f>VLOOKUP(F2737,'Set up'!$A$2:$E$70,5,FALSE)</f>
        <v>Trsf</v>
      </c>
      <c r="S2737" s="1" t="s">
        <v>3077</v>
      </c>
    </row>
    <row r="2738" spans="1:19" ht="15" customHeight="1" x14ac:dyDescent="0.3">
      <c r="A2738" s="4">
        <v>45370</v>
      </c>
      <c r="B2738" s="5">
        <f t="shared" si="660"/>
        <v>3</v>
      </c>
      <c r="C2738" s="5">
        <f t="shared" si="661"/>
        <v>2024</v>
      </c>
      <c r="D2738" s="5" t="s">
        <v>2446</v>
      </c>
      <c r="E2738" s="5" t="str">
        <f>VLOOKUP(F2738,'Set up'!$A$2:$C$70,2,FALSE)</f>
        <v>C00000042</v>
      </c>
      <c r="F2738" s="1" t="s">
        <v>2012</v>
      </c>
      <c r="G2738" s="90" t="s">
        <v>1922</v>
      </c>
      <c r="H2738" s="88">
        <v>3</v>
      </c>
      <c r="I2738" s="5" t="str">
        <f>VLOOKUP(F2738,'Set up'!$A$2:$C$70,3,FALSE)</f>
        <v>Cash</v>
      </c>
      <c r="J2738" s="5">
        <f>VLOOKUP(F2738,'Set up'!$A$2:$D$70,4,FALSE)</f>
        <v>0</v>
      </c>
      <c r="K2738" s="4">
        <f t="shared" si="662"/>
        <v>45370</v>
      </c>
      <c r="L2738" s="5">
        <f t="shared" si="663"/>
        <v>3</v>
      </c>
      <c r="M2738" s="5">
        <f t="shared" si="664"/>
        <v>2024</v>
      </c>
      <c r="N2738" s="12">
        <v>702</v>
      </c>
      <c r="O2738" s="6">
        <f t="shared" si="676"/>
        <v>-702</v>
      </c>
      <c r="P2738" s="6">
        <f t="shared" si="671"/>
        <v>0</v>
      </c>
      <c r="Q2738" s="7">
        <f t="shared" si="665"/>
        <v>4447537.55</v>
      </c>
      <c r="R2738" s="44" t="str">
        <f>VLOOKUP(F2738,'Set up'!$A$2:$E$70,5,FALSE)</f>
        <v>Trsf</v>
      </c>
      <c r="S2738" s="1" t="s">
        <v>3078</v>
      </c>
    </row>
    <row r="2739" spans="1:19" ht="15" customHeight="1" x14ac:dyDescent="0.3">
      <c r="A2739" s="4">
        <v>45370</v>
      </c>
      <c r="B2739" s="5">
        <f t="shared" si="660"/>
        <v>3</v>
      </c>
      <c r="C2739" s="5">
        <f t="shared" si="661"/>
        <v>2024</v>
      </c>
      <c r="D2739" s="5" t="s">
        <v>2446</v>
      </c>
      <c r="E2739" s="5" t="str">
        <f>VLOOKUP(F2739,'Set up'!$A$2:$C$70,2,FALSE)</f>
        <v>C00000042</v>
      </c>
      <c r="F2739" s="1" t="s">
        <v>2012</v>
      </c>
      <c r="G2739" s="90" t="s">
        <v>1073</v>
      </c>
      <c r="H2739" s="88">
        <v>1</v>
      </c>
      <c r="I2739" s="5" t="str">
        <f>VLOOKUP(F2739,'Set up'!$A$2:$C$70,3,FALSE)</f>
        <v>Cash</v>
      </c>
      <c r="J2739" s="5">
        <f>VLOOKUP(F2739,'Set up'!$A$2:$D$70,4,FALSE)</f>
        <v>0</v>
      </c>
      <c r="K2739" s="4">
        <f t="shared" si="662"/>
        <v>45370</v>
      </c>
      <c r="L2739" s="5">
        <f t="shared" si="663"/>
        <v>3</v>
      </c>
      <c r="M2739" s="5">
        <f t="shared" si="664"/>
        <v>2024</v>
      </c>
      <c r="N2739" s="12">
        <v>1000</v>
      </c>
      <c r="O2739" s="6">
        <f t="shared" si="676"/>
        <v>-1000</v>
      </c>
      <c r="P2739" s="6">
        <f t="shared" si="671"/>
        <v>0</v>
      </c>
      <c r="Q2739" s="7">
        <f t="shared" si="665"/>
        <v>4448537.55</v>
      </c>
      <c r="R2739" s="44" t="str">
        <f>VLOOKUP(F2739,'Set up'!$A$2:$E$70,5,FALSE)</f>
        <v>Trsf</v>
      </c>
      <c r="S2739" s="1" t="s">
        <v>3069</v>
      </c>
    </row>
    <row r="2740" spans="1:19" ht="15" customHeight="1" x14ac:dyDescent="0.3">
      <c r="A2740" s="4">
        <v>45371</v>
      </c>
      <c r="B2740" s="5">
        <f t="shared" si="660"/>
        <v>3</v>
      </c>
      <c r="C2740" s="5">
        <f t="shared" si="661"/>
        <v>2024</v>
      </c>
      <c r="D2740" s="5" t="s">
        <v>2447</v>
      </c>
      <c r="E2740" s="5" t="str">
        <f>VLOOKUP(F2740,'Set up'!$A$2:$C$70,2,FALSE)</f>
        <v>C00000037</v>
      </c>
      <c r="F2740" s="1" t="s">
        <v>1309</v>
      </c>
      <c r="G2740" s="11" t="s">
        <v>1894</v>
      </c>
      <c r="H2740" s="105">
        <v>3</v>
      </c>
      <c r="I2740" s="5">
        <f>VLOOKUP(F2740,'Set up'!$A$2:$C$70,3,FALSE)</f>
        <v>30</v>
      </c>
      <c r="J2740" s="5">
        <f>VLOOKUP(F2740,'Set up'!$A$2:$D$70,4,FALSE)</f>
        <v>30</v>
      </c>
      <c r="K2740" s="4">
        <f t="shared" si="662"/>
        <v>45401</v>
      </c>
      <c r="L2740" s="5">
        <f t="shared" si="663"/>
        <v>4</v>
      </c>
      <c r="M2740" s="5">
        <f t="shared" si="664"/>
        <v>2024</v>
      </c>
      <c r="N2740" s="12">
        <v>5214</v>
      </c>
      <c r="O2740" s="6">
        <f t="shared" ref="O2740:O2751" si="677">-N2740</f>
        <v>-5214</v>
      </c>
      <c r="P2740" s="6">
        <f t="shared" si="671"/>
        <v>0</v>
      </c>
      <c r="Q2740" s="7">
        <f t="shared" si="665"/>
        <v>4453751.55</v>
      </c>
      <c r="R2740" s="44" t="str">
        <f>VLOOKUP(F2740,'Set up'!$A$2:$E$70,5,FALSE)</f>
        <v>Chq</v>
      </c>
      <c r="S2740" s="1" t="s">
        <v>2671</v>
      </c>
    </row>
    <row r="2741" spans="1:19" ht="15" customHeight="1" x14ac:dyDescent="0.3">
      <c r="A2741" s="4">
        <v>45371</v>
      </c>
      <c r="B2741" s="5">
        <f t="shared" si="660"/>
        <v>3</v>
      </c>
      <c r="C2741" s="5">
        <f t="shared" si="661"/>
        <v>2024</v>
      </c>
      <c r="D2741" s="5" t="s">
        <v>2447</v>
      </c>
      <c r="E2741" s="5" t="str">
        <f>VLOOKUP(F2741,'Set up'!$A$2:$C$70,2,FALSE)</f>
        <v>C00000037</v>
      </c>
      <c r="F2741" s="1" t="s">
        <v>1309</v>
      </c>
      <c r="G2741" s="11" t="s">
        <v>707</v>
      </c>
      <c r="H2741" s="105">
        <v>3</v>
      </c>
      <c r="I2741" s="5">
        <f>VLOOKUP(F2741,'Set up'!$A$2:$C$70,3,FALSE)</f>
        <v>30</v>
      </c>
      <c r="J2741" s="5">
        <f>VLOOKUP(F2741,'Set up'!$A$2:$D$70,4,FALSE)</f>
        <v>30</v>
      </c>
      <c r="K2741" s="4">
        <f t="shared" si="662"/>
        <v>45401</v>
      </c>
      <c r="L2741" s="5">
        <f t="shared" si="663"/>
        <v>4</v>
      </c>
      <c r="M2741" s="5">
        <f t="shared" si="664"/>
        <v>2024</v>
      </c>
      <c r="N2741" s="12">
        <v>1263.5999999999999</v>
      </c>
      <c r="O2741" s="6">
        <f t="shared" si="677"/>
        <v>-1263.5999999999999</v>
      </c>
      <c r="P2741" s="6">
        <f t="shared" si="671"/>
        <v>0</v>
      </c>
      <c r="Q2741" s="7">
        <f t="shared" si="665"/>
        <v>4455015.1499999994</v>
      </c>
      <c r="R2741" s="44" t="str">
        <f>VLOOKUP(F2741,'Set up'!$A$2:$E$70,5,FALSE)</f>
        <v>Chq</v>
      </c>
      <c r="S2741" s="1" t="s">
        <v>2671</v>
      </c>
    </row>
    <row r="2742" spans="1:19" ht="15" customHeight="1" x14ac:dyDescent="0.3">
      <c r="A2742" s="4">
        <v>45371</v>
      </c>
      <c r="B2742" s="5">
        <f t="shared" si="660"/>
        <v>3</v>
      </c>
      <c r="C2742" s="5">
        <f t="shared" si="661"/>
        <v>2024</v>
      </c>
      <c r="D2742" s="5" t="s">
        <v>2447</v>
      </c>
      <c r="E2742" s="5" t="str">
        <f>VLOOKUP(F2742,'Set up'!$A$2:$C$70,2,FALSE)</f>
        <v>C00000037</v>
      </c>
      <c r="F2742" s="1" t="s">
        <v>1309</v>
      </c>
      <c r="G2742" s="11" t="s">
        <v>1405</v>
      </c>
      <c r="H2742" s="88">
        <v>5</v>
      </c>
      <c r="I2742" s="5">
        <f>VLOOKUP(F2742,'Set up'!$A$2:$C$70,3,FALSE)</f>
        <v>30</v>
      </c>
      <c r="J2742" s="5">
        <f>VLOOKUP(F2742,'Set up'!$A$2:$D$70,4,FALSE)</f>
        <v>30</v>
      </c>
      <c r="K2742" s="4">
        <f t="shared" si="662"/>
        <v>45401</v>
      </c>
      <c r="L2742" s="5">
        <f t="shared" si="663"/>
        <v>4</v>
      </c>
      <c r="M2742" s="5">
        <f t="shared" si="664"/>
        <v>2024</v>
      </c>
      <c r="N2742" s="12">
        <v>240</v>
      </c>
      <c r="O2742" s="6">
        <f t="shared" si="677"/>
        <v>-240</v>
      </c>
      <c r="P2742" s="6">
        <f t="shared" si="671"/>
        <v>0</v>
      </c>
      <c r="Q2742" s="7">
        <f t="shared" si="665"/>
        <v>4455255.1499999994</v>
      </c>
      <c r="R2742" s="44" t="str">
        <f>VLOOKUP(F2742,'Set up'!$A$2:$E$70,5,FALSE)</f>
        <v>Chq</v>
      </c>
      <c r="S2742" s="1" t="s">
        <v>2671</v>
      </c>
    </row>
    <row r="2743" spans="1:19" ht="15" customHeight="1" x14ac:dyDescent="0.3">
      <c r="A2743" s="4">
        <v>45371</v>
      </c>
      <c r="B2743" s="5">
        <f t="shared" si="660"/>
        <v>3</v>
      </c>
      <c r="C2743" s="5">
        <f t="shared" si="661"/>
        <v>2024</v>
      </c>
      <c r="D2743" s="5" t="s">
        <v>2447</v>
      </c>
      <c r="E2743" s="5" t="str">
        <f>VLOOKUP(F2743,'Set up'!$A$2:$C$70,2,FALSE)</f>
        <v>C00000037</v>
      </c>
      <c r="F2743" s="1" t="s">
        <v>1309</v>
      </c>
      <c r="G2743" s="99" t="s">
        <v>2144</v>
      </c>
      <c r="H2743" s="105">
        <v>2</v>
      </c>
      <c r="I2743" s="5">
        <f>VLOOKUP(F2743,'Set up'!$A$2:$C$70,3,FALSE)</f>
        <v>30</v>
      </c>
      <c r="J2743" s="5">
        <f>VLOOKUP(F2743,'Set up'!$A$2:$D$70,4,FALSE)</f>
        <v>30</v>
      </c>
      <c r="K2743" s="4">
        <f t="shared" si="662"/>
        <v>45401</v>
      </c>
      <c r="L2743" s="5">
        <f t="shared" si="663"/>
        <v>4</v>
      </c>
      <c r="M2743" s="5">
        <f t="shared" si="664"/>
        <v>2024</v>
      </c>
      <c r="N2743" s="12">
        <v>572</v>
      </c>
      <c r="O2743" s="6">
        <f t="shared" si="677"/>
        <v>-572</v>
      </c>
      <c r="P2743" s="6">
        <f t="shared" si="671"/>
        <v>0</v>
      </c>
      <c r="Q2743" s="7">
        <f t="shared" si="665"/>
        <v>4455827.1499999994</v>
      </c>
      <c r="R2743" s="44" t="str">
        <f>VLOOKUP(F2743,'Set up'!$A$2:$E$70,5,FALSE)</f>
        <v>Chq</v>
      </c>
      <c r="S2743" s="1" t="s">
        <v>2671</v>
      </c>
    </row>
    <row r="2744" spans="1:19" ht="15" customHeight="1" x14ac:dyDescent="0.3">
      <c r="A2744" s="4">
        <v>45371</v>
      </c>
      <c r="B2744" s="5">
        <f t="shared" si="660"/>
        <v>3</v>
      </c>
      <c r="C2744" s="5">
        <f t="shared" si="661"/>
        <v>2024</v>
      </c>
      <c r="D2744" s="5" t="s">
        <v>2447</v>
      </c>
      <c r="E2744" s="5" t="str">
        <f>VLOOKUP(F2744,'Set up'!$A$2:$C$70,2,FALSE)</f>
        <v>C00000037</v>
      </c>
      <c r="F2744" s="1" t="s">
        <v>1309</v>
      </c>
      <c r="G2744" s="90" t="s">
        <v>1061</v>
      </c>
      <c r="H2744" s="88">
        <v>2</v>
      </c>
      <c r="I2744" s="5">
        <f>VLOOKUP(F2744,'Set up'!$A$2:$C$70,3,FALSE)</f>
        <v>30</v>
      </c>
      <c r="J2744" s="5">
        <f>VLOOKUP(F2744,'Set up'!$A$2:$D$70,4,FALSE)</f>
        <v>30</v>
      </c>
      <c r="K2744" s="4">
        <f t="shared" si="662"/>
        <v>45401</v>
      </c>
      <c r="L2744" s="5">
        <f t="shared" si="663"/>
        <v>4</v>
      </c>
      <c r="M2744" s="5">
        <f t="shared" si="664"/>
        <v>2024</v>
      </c>
      <c r="N2744" s="12">
        <v>190</v>
      </c>
      <c r="O2744" s="6">
        <f t="shared" si="677"/>
        <v>-190</v>
      </c>
      <c r="P2744" s="6">
        <f t="shared" si="671"/>
        <v>0</v>
      </c>
      <c r="Q2744" s="7">
        <f t="shared" si="665"/>
        <v>4456017.1499999994</v>
      </c>
      <c r="R2744" s="44" t="str">
        <f>VLOOKUP(F2744,'Set up'!$A$2:$E$70,5,FALSE)</f>
        <v>Chq</v>
      </c>
      <c r="S2744" s="1" t="s">
        <v>2671</v>
      </c>
    </row>
    <row r="2745" spans="1:19" ht="15" customHeight="1" x14ac:dyDescent="0.3">
      <c r="A2745" s="4">
        <v>45372</v>
      </c>
      <c r="B2745" s="5">
        <f t="shared" si="660"/>
        <v>3</v>
      </c>
      <c r="C2745" s="5">
        <f t="shared" si="661"/>
        <v>2024</v>
      </c>
      <c r="D2745" s="5" t="s">
        <v>2448</v>
      </c>
      <c r="E2745" s="5" t="str">
        <f>VLOOKUP(F2745,'Set up'!$A$2:$C$70,2,FALSE)</f>
        <v>C00000010</v>
      </c>
      <c r="F2745" s="1" t="s">
        <v>62</v>
      </c>
      <c r="G2745" s="89" t="s">
        <v>1178</v>
      </c>
      <c r="H2745" s="106">
        <v>6</v>
      </c>
      <c r="I2745" s="5">
        <f>VLOOKUP(F2745,'Set up'!$A$2:$C$70,3,FALSE)</f>
        <v>120</v>
      </c>
      <c r="J2745" s="5">
        <f>VLOOKUP(F2745,'Set up'!$A$2:$D$70,4,FALSE)</f>
        <v>120</v>
      </c>
      <c r="K2745" s="4">
        <f t="shared" si="662"/>
        <v>45492</v>
      </c>
      <c r="L2745" s="5">
        <f t="shared" si="663"/>
        <v>7</v>
      </c>
      <c r="M2745" s="5">
        <f t="shared" si="664"/>
        <v>2024</v>
      </c>
      <c r="N2745" s="12">
        <v>9636</v>
      </c>
      <c r="O2745" s="6">
        <f t="shared" si="677"/>
        <v>-9636</v>
      </c>
      <c r="P2745" s="6">
        <f t="shared" si="671"/>
        <v>0</v>
      </c>
      <c r="Q2745" s="7">
        <f t="shared" si="665"/>
        <v>4465653.1499999994</v>
      </c>
      <c r="R2745" s="44" t="str">
        <f>VLOOKUP(F2745,'Set up'!$A$2:$E$70,5,FALSE)</f>
        <v>Trsf</v>
      </c>
      <c r="S2745" s="1" t="s">
        <v>2988</v>
      </c>
    </row>
    <row r="2746" spans="1:19" ht="15" customHeight="1" x14ac:dyDescent="0.3">
      <c r="A2746" s="4">
        <v>45372</v>
      </c>
      <c r="B2746" s="5">
        <f t="shared" si="660"/>
        <v>3</v>
      </c>
      <c r="C2746" s="5">
        <f t="shared" si="661"/>
        <v>2024</v>
      </c>
      <c r="D2746" s="5" t="s">
        <v>2448</v>
      </c>
      <c r="E2746" s="5" t="str">
        <f>VLOOKUP(F2746,'Set up'!$A$2:$C$70,2,FALSE)</f>
        <v>C00000010</v>
      </c>
      <c r="F2746" s="1" t="s">
        <v>62</v>
      </c>
      <c r="G2746" s="90" t="s">
        <v>1392</v>
      </c>
      <c r="H2746" s="88">
        <v>10</v>
      </c>
      <c r="I2746" s="5">
        <f>VLOOKUP(F2746,'Set up'!$A$2:$C$70,3,FALSE)</f>
        <v>120</v>
      </c>
      <c r="J2746" s="5">
        <f>VLOOKUP(F2746,'Set up'!$A$2:$D$70,4,FALSE)</f>
        <v>120</v>
      </c>
      <c r="K2746" s="4">
        <f t="shared" si="662"/>
        <v>45492</v>
      </c>
      <c r="L2746" s="5">
        <f t="shared" si="663"/>
        <v>7</v>
      </c>
      <c r="M2746" s="5">
        <f t="shared" si="664"/>
        <v>2024</v>
      </c>
      <c r="N2746" s="12">
        <v>1740</v>
      </c>
      <c r="O2746" s="6">
        <f t="shared" si="677"/>
        <v>-1740</v>
      </c>
      <c r="P2746" s="6">
        <f t="shared" si="671"/>
        <v>0</v>
      </c>
      <c r="Q2746" s="7">
        <f t="shared" si="665"/>
        <v>4467393.1499999994</v>
      </c>
      <c r="R2746" s="44" t="str">
        <f>VLOOKUP(F2746,'Set up'!$A$2:$E$70,5,FALSE)</f>
        <v>Trsf</v>
      </c>
      <c r="S2746" s="1" t="s">
        <v>2988</v>
      </c>
    </row>
    <row r="2747" spans="1:19" ht="15" customHeight="1" x14ac:dyDescent="0.3">
      <c r="A2747" s="4">
        <v>45372</v>
      </c>
      <c r="B2747" s="5">
        <f t="shared" si="660"/>
        <v>3</v>
      </c>
      <c r="C2747" s="5">
        <f t="shared" si="661"/>
        <v>2024</v>
      </c>
      <c r="D2747" s="5" t="s">
        <v>2448</v>
      </c>
      <c r="E2747" s="5" t="str">
        <f>VLOOKUP(F2747,'Set up'!$A$2:$C$70,2,FALSE)</f>
        <v>C00000010</v>
      </c>
      <c r="F2747" s="1" t="s">
        <v>62</v>
      </c>
      <c r="G2747" s="90" t="s">
        <v>791</v>
      </c>
      <c r="H2747" s="88">
        <v>10</v>
      </c>
      <c r="I2747" s="5">
        <f>VLOOKUP(F2747,'Set up'!$A$2:$C$70,3,FALSE)</f>
        <v>120</v>
      </c>
      <c r="J2747" s="5">
        <f>VLOOKUP(F2747,'Set up'!$A$2:$D$70,4,FALSE)</f>
        <v>120</v>
      </c>
      <c r="K2747" s="4">
        <f t="shared" si="662"/>
        <v>45492</v>
      </c>
      <c r="L2747" s="5">
        <f t="shared" si="663"/>
        <v>7</v>
      </c>
      <c r="M2747" s="5">
        <f t="shared" si="664"/>
        <v>2024</v>
      </c>
      <c r="N2747" s="12">
        <v>575</v>
      </c>
      <c r="O2747" s="6">
        <f t="shared" si="677"/>
        <v>-575</v>
      </c>
      <c r="P2747" s="6">
        <f t="shared" si="671"/>
        <v>0</v>
      </c>
      <c r="Q2747" s="7">
        <f t="shared" si="665"/>
        <v>4467968.1499999994</v>
      </c>
      <c r="R2747" s="44" t="str">
        <f>VLOOKUP(F2747,'Set up'!$A$2:$E$70,5,FALSE)</f>
        <v>Trsf</v>
      </c>
      <c r="S2747" s="1" t="s">
        <v>2988</v>
      </c>
    </row>
    <row r="2748" spans="1:19" ht="15" customHeight="1" x14ac:dyDescent="0.3">
      <c r="A2748" s="4">
        <v>45372</v>
      </c>
      <c r="B2748" s="5">
        <f t="shared" si="660"/>
        <v>3</v>
      </c>
      <c r="C2748" s="5">
        <f t="shared" si="661"/>
        <v>2024</v>
      </c>
      <c r="D2748" s="5" t="s">
        <v>2448</v>
      </c>
      <c r="E2748" s="5" t="str">
        <f>VLOOKUP(F2748,'Set up'!$A$2:$C$70,2,FALSE)</f>
        <v>C00000010</v>
      </c>
      <c r="F2748" s="1" t="s">
        <v>62</v>
      </c>
      <c r="G2748" s="11" t="s">
        <v>46</v>
      </c>
      <c r="H2748" s="88">
        <v>8</v>
      </c>
      <c r="I2748" s="5">
        <f>VLOOKUP(F2748,'Set up'!$A$2:$C$70,3,FALSE)</f>
        <v>120</v>
      </c>
      <c r="J2748" s="5">
        <f>VLOOKUP(F2748,'Set up'!$A$2:$D$70,4,FALSE)</f>
        <v>120</v>
      </c>
      <c r="K2748" s="4">
        <f t="shared" si="662"/>
        <v>45492</v>
      </c>
      <c r="L2748" s="5">
        <f t="shared" si="663"/>
        <v>7</v>
      </c>
      <c r="M2748" s="5">
        <f t="shared" si="664"/>
        <v>2024</v>
      </c>
      <c r="N2748" s="12">
        <v>880</v>
      </c>
      <c r="O2748" s="6">
        <f t="shared" si="677"/>
        <v>-880</v>
      </c>
      <c r="P2748" s="6">
        <f t="shared" si="671"/>
        <v>0</v>
      </c>
      <c r="Q2748" s="7">
        <f t="shared" si="665"/>
        <v>4468848.1499999994</v>
      </c>
      <c r="R2748" s="44" t="str">
        <f>VLOOKUP(F2748,'Set up'!$A$2:$E$70,5,FALSE)</f>
        <v>Trsf</v>
      </c>
      <c r="S2748" s="1" t="s">
        <v>2988</v>
      </c>
    </row>
    <row r="2749" spans="1:19" ht="15" customHeight="1" x14ac:dyDescent="0.3">
      <c r="A2749" s="4">
        <v>45372</v>
      </c>
      <c r="B2749" s="5">
        <f t="shared" si="660"/>
        <v>3</v>
      </c>
      <c r="C2749" s="5">
        <f t="shared" si="661"/>
        <v>2024</v>
      </c>
      <c r="D2749" s="5" t="s">
        <v>2448</v>
      </c>
      <c r="E2749" s="5" t="str">
        <f>VLOOKUP(F2749,'Set up'!$A$2:$C$70,2,FALSE)</f>
        <v>C00000010</v>
      </c>
      <c r="F2749" s="1" t="s">
        <v>62</v>
      </c>
      <c r="G2749" s="90" t="s">
        <v>2449</v>
      </c>
      <c r="H2749" s="88">
        <v>1</v>
      </c>
      <c r="I2749" s="5">
        <f>VLOOKUP(F2749,'Set up'!$A$2:$C$70,3,FALSE)</f>
        <v>120</v>
      </c>
      <c r="J2749" s="5">
        <f>VLOOKUP(F2749,'Set up'!$A$2:$D$70,4,FALSE)</f>
        <v>120</v>
      </c>
      <c r="K2749" s="4">
        <f t="shared" si="662"/>
        <v>45492</v>
      </c>
      <c r="L2749" s="5">
        <f t="shared" si="663"/>
        <v>7</v>
      </c>
      <c r="M2749" s="5">
        <f t="shared" si="664"/>
        <v>2024</v>
      </c>
      <c r="N2749" s="12">
        <v>420</v>
      </c>
      <c r="O2749" s="6">
        <f t="shared" si="677"/>
        <v>-420</v>
      </c>
      <c r="P2749" s="6">
        <f t="shared" si="671"/>
        <v>0</v>
      </c>
      <c r="Q2749" s="7">
        <f t="shared" si="665"/>
        <v>4469268.1499999994</v>
      </c>
      <c r="R2749" s="44" t="str">
        <f>VLOOKUP(F2749,'Set up'!$A$2:$E$70,5,FALSE)</f>
        <v>Trsf</v>
      </c>
      <c r="S2749" s="1" t="s">
        <v>2988</v>
      </c>
    </row>
    <row r="2750" spans="1:19" ht="15" customHeight="1" x14ac:dyDescent="0.3">
      <c r="A2750" s="4">
        <v>45372</v>
      </c>
      <c r="B2750" s="5">
        <f t="shared" si="660"/>
        <v>3</v>
      </c>
      <c r="C2750" s="5">
        <f t="shared" si="661"/>
        <v>2024</v>
      </c>
      <c r="D2750" s="5" t="s">
        <v>2448</v>
      </c>
      <c r="E2750" s="5" t="str">
        <f>VLOOKUP(F2750,'Set up'!$A$2:$C$70,2,FALSE)</f>
        <v>C00000010</v>
      </c>
      <c r="F2750" s="1" t="s">
        <v>62</v>
      </c>
      <c r="G2750" s="90" t="s">
        <v>614</v>
      </c>
      <c r="H2750" s="88">
        <v>1</v>
      </c>
      <c r="I2750" s="5">
        <f>VLOOKUP(F2750,'Set up'!$A$2:$C$70,3,FALSE)</f>
        <v>120</v>
      </c>
      <c r="J2750" s="5">
        <f>VLOOKUP(F2750,'Set up'!$A$2:$D$70,4,FALSE)</f>
        <v>120</v>
      </c>
      <c r="K2750" s="4">
        <f t="shared" si="662"/>
        <v>45492</v>
      </c>
      <c r="L2750" s="5">
        <f t="shared" si="663"/>
        <v>7</v>
      </c>
      <c r="M2750" s="5">
        <f t="shared" si="664"/>
        <v>2024</v>
      </c>
      <c r="N2750" s="12">
        <v>395</v>
      </c>
      <c r="O2750" s="6">
        <f t="shared" si="677"/>
        <v>-395</v>
      </c>
      <c r="P2750" s="6">
        <f t="shared" si="671"/>
        <v>0</v>
      </c>
      <c r="Q2750" s="7">
        <f t="shared" si="665"/>
        <v>4469663.1499999994</v>
      </c>
      <c r="R2750" s="44" t="str">
        <f>VLOOKUP(F2750,'Set up'!$A$2:$E$70,5,FALSE)</f>
        <v>Trsf</v>
      </c>
      <c r="S2750" s="1" t="s">
        <v>2988</v>
      </c>
    </row>
    <row r="2751" spans="1:19" ht="15" customHeight="1" x14ac:dyDescent="0.3">
      <c r="A2751" s="4">
        <v>45372</v>
      </c>
      <c r="B2751" s="5">
        <f t="shared" si="660"/>
        <v>3</v>
      </c>
      <c r="C2751" s="5">
        <f t="shared" si="661"/>
        <v>2024</v>
      </c>
      <c r="D2751" s="5" t="s">
        <v>2448</v>
      </c>
      <c r="E2751" s="5" t="str">
        <f>VLOOKUP(F2751,'Set up'!$A$2:$C$70,2,FALSE)</f>
        <v>C00000010</v>
      </c>
      <c r="F2751" s="1" t="s">
        <v>62</v>
      </c>
      <c r="G2751" s="90" t="s">
        <v>2450</v>
      </c>
      <c r="H2751" s="88">
        <v>1</v>
      </c>
      <c r="I2751" s="5">
        <f>VLOOKUP(F2751,'Set up'!$A$2:$C$70,3,FALSE)</f>
        <v>120</v>
      </c>
      <c r="J2751" s="5">
        <f>VLOOKUP(F2751,'Set up'!$A$2:$D$70,4,FALSE)</f>
        <v>120</v>
      </c>
      <c r="K2751" s="4">
        <f t="shared" si="662"/>
        <v>45492</v>
      </c>
      <c r="L2751" s="5">
        <f t="shared" si="663"/>
        <v>7</v>
      </c>
      <c r="M2751" s="5">
        <f t="shared" si="664"/>
        <v>2024</v>
      </c>
      <c r="N2751" s="12">
        <v>1550</v>
      </c>
      <c r="O2751" s="6">
        <f t="shared" si="677"/>
        <v>-1550</v>
      </c>
      <c r="P2751" s="6">
        <f t="shared" si="671"/>
        <v>0</v>
      </c>
      <c r="Q2751" s="7">
        <f t="shared" si="665"/>
        <v>4471213.1499999994</v>
      </c>
      <c r="R2751" s="44" t="str">
        <f>VLOOKUP(F2751,'Set up'!$A$2:$E$70,5,FALSE)</f>
        <v>Trsf</v>
      </c>
      <c r="S2751" s="1" t="s">
        <v>2988</v>
      </c>
    </row>
    <row r="2752" spans="1:19" ht="15" customHeight="1" x14ac:dyDescent="0.3">
      <c r="A2752" s="4">
        <v>45373</v>
      </c>
      <c r="B2752" s="5">
        <f t="shared" si="660"/>
        <v>3</v>
      </c>
      <c r="C2752" s="5">
        <f t="shared" si="661"/>
        <v>2024</v>
      </c>
      <c r="D2752" s="5" t="s">
        <v>2451</v>
      </c>
      <c r="E2752" s="5" t="str">
        <f>VLOOKUP(F2752,'Set up'!$A$2:$C$70,2,FALSE)</f>
        <v>C00000044</v>
      </c>
      <c r="F2752" s="1" t="s">
        <v>2929</v>
      </c>
      <c r="G2752" s="123" t="s">
        <v>1178</v>
      </c>
      <c r="H2752" s="121">
        <v>1</v>
      </c>
      <c r="I2752" s="5" t="str">
        <f>VLOOKUP(F2752,'Set up'!$A$2:$C$70,3,FALSE)</f>
        <v>Cash</v>
      </c>
      <c r="J2752" s="5">
        <f>VLOOKUP(F2752,'Set up'!$A$2:$D$70,4,FALSE)</f>
        <v>0</v>
      </c>
      <c r="K2752" s="4">
        <f t="shared" si="662"/>
        <v>45373</v>
      </c>
      <c r="L2752" s="5">
        <f t="shared" si="663"/>
        <v>3</v>
      </c>
      <c r="M2752" s="5">
        <f t="shared" si="664"/>
        <v>2024</v>
      </c>
      <c r="N2752" s="12">
        <v>1628</v>
      </c>
      <c r="O2752" s="12">
        <f>-1500-128</f>
        <v>-1628</v>
      </c>
      <c r="P2752" s="6">
        <f t="shared" si="671"/>
        <v>0</v>
      </c>
      <c r="Q2752" s="7">
        <f t="shared" si="665"/>
        <v>4472841.1499999994</v>
      </c>
      <c r="R2752" s="44" t="str">
        <f>VLOOKUP(F2752,'Set up'!$A$2:$E$70,5,FALSE)</f>
        <v>Cash</v>
      </c>
      <c r="S2752" s="1" t="s">
        <v>2496</v>
      </c>
    </row>
    <row r="2753" spans="1:21" ht="15" customHeight="1" x14ac:dyDescent="0.3">
      <c r="A2753" s="4">
        <v>45373</v>
      </c>
      <c r="B2753" s="5">
        <f t="shared" si="660"/>
        <v>3</v>
      </c>
      <c r="C2753" s="5">
        <f t="shared" si="661"/>
        <v>2024</v>
      </c>
      <c r="D2753" s="5" t="s">
        <v>2451</v>
      </c>
      <c r="E2753" s="5" t="str">
        <f>VLOOKUP(F2753,'Set up'!$A$2:$C$70,2,FALSE)</f>
        <v>C00000044</v>
      </c>
      <c r="F2753" s="1" t="s">
        <v>2929</v>
      </c>
      <c r="G2753" s="120" t="s">
        <v>1543</v>
      </c>
      <c r="H2753" s="121">
        <v>2</v>
      </c>
      <c r="I2753" s="5" t="str">
        <f>VLOOKUP(F2753,'Set up'!$A$2:$C$70,3,FALSE)</f>
        <v>Cash</v>
      </c>
      <c r="J2753" s="5">
        <f>VLOOKUP(F2753,'Set up'!$A$2:$D$70,4,FALSE)</f>
        <v>0</v>
      </c>
      <c r="K2753" s="4">
        <f t="shared" si="662"/>
        <v>45373</v>
      </c>
      <c r="L2753" s="5">
        <f t="shared" si="663"/>
        <v>3</v>
      </c>
      <c r="M2753" s="5">
        <f t="shared" si="664"/>
        <v>2024</v>
      </c>
      <c r="N2753" s="12">
        <v>420</v>
      </c>
      <c r="O2753" s="6">
        <f t="shared" ref="O2753:O2755" si="678">-N2753</f>
        <v>-420</v>
      </c>
      <c r="P2753" s="6">
        <f t="shared" si="671"/>
        <v>0</v>
      </c>
      <c r="Q2753" s="7">
        <f t="shared" si="665"/>
        <v>4473261.1499999994</v>
      </c>
      <c r="R2753" s="44" t="str">
        <f>VLOOKUP(F2753,'Set up'!$A$2:$E$70,5,FALSE)</f>
        <v>Cash</v>
      </c>
      <c r="S2753" s="1" t="s">
        <v>2497</v>
      </c>
    </row>
    <row r="2754" spans="1:21" ht="15" customHeight="1" x14ac:dyDescent="0.3">
      <c r="A2754" s="4">
        <v>45373</v>
      </c>
      <c r="B2754" s="5">
        <f t="shared" si="660"/>
        <v>3</v>
      </c>
      <c r="C2754" s="5">
        <f t="shared" si="661"/>
        <v>2024</v>
      </c>
      <c r="D2754" s="5" t="s">
        <v>2451</v>
      </c>
      <c r="E2754" s="5" t="str">
        <f>VLOOKUP(F2754,'Set up'!$A$2:$C$70,2,FALSE)</f>
        <v>C00000044</v>
      </c>
      <c r="F2754" s="1" t="s">
        <v>2929</v>
      </c>
      <c r="G2754" s="120" t="s">
        <v>2029</v>
      </c>
      <c r="H2754" s="121">
        <v>1</v>
      </c>
      <c r="I2754" s="5" t="str">
        <f>VLOOKUP(F2754,'Set up'!$A$2:$C$70,3,FALSE)</f>
        <v>Cash</v>
      </c>
      <c r="J2754" s="5">
        <f>VLOOKUP(F2754,'Set up'!$A$2:$D$70,4,FALSE)</f>
        <v>0</v>
      </c>
      <c r="K2754" s="4">
        <f t="shared" si="662"/>
        <v>45373</v>
      </c>
      <c r="L2754" s="5">
        <f t="shared" si="663"/>
        <v>3</v>
      </c>
      <c r="M2754" s="5">
        <f t="shared" si="664"/>
        <v>2024</v>
      </c>
      <c r="N2754" s="12">
        <v>280</v>
      </c>
      <c r="O2754" s="6">
        <f t="shared" si="678"/>
        <v>-280</v>
      </c>
      <c r="P2754" s="6">
        <f t="shared" si="671"/>
        <v>0</v>
      </c>
      <c r="Q2754" s="7">
        <f t="shared" si="665"/>
        <v>4473541.1499999994</v>
      </c>
      <c r="R2754" s="44" t="str">
        <f>VLOOKUP(F2754,'Set up'!$A$2:$E$70,5,FALSE)</f>
        <v>Cash</v>
      </c>
      <c r="S2754" s="1" t="s">
        <v>2498</v>
      </c>
    </row>
    <row r="2755" spans="1:21" ht="15" customHeight="1" x14ac:dyDescent="0.3">
      <c r="A2755" s="4">
        <v>45373</v>
      </c>
      <c r="B2755" s="5">
        <f t="shared" ref="B2755:B2818" si="679">MONTH(A2755)</f>
        <v>3</v>
      </c>
      <c r="C2755" s="5">
        <f t="shared" ref="C2755:C2818" si="680">YEAR(A2755)</f>
        <v>2024</v>
      </c>
      <c r="D2755" s="5" t="s">
        <v>2451</v>
      </c>
      <c r="E2755" s="5" t="str">
        <f>VLOOKUP(F2755,'Set up'!$A$2:$C$70,2,FALSE)</f>
        <v>C00000044</v>
      </c>
      <c r="F2755" s="1" t="s">
        <v>2929</v>
      </c>
      <c r="G2755" s="120" t="s">
        <v>46</v>
      </c>
      <c r="H2755" s="121">
        <v>1</v>
      </c>
      <c r="I2755" s="5" t="str">
        <f>VLOOKUP(F2755,'Set up'!$A$2:$C$70,3,FALSE)</f>
        <v>Cash</v>
      </c>
      <c r="J2755" s="5">
        <f>VLOOKUP(F2755,'Set up'!$A$2:$D$70,4,FALSE)</f>
        <v>0</v>
      </c>
      <c r="K2755" s="4">
        <f t="shared" ref="K2755:K2818" si="681">A2755+J2755</f>
        <v>45373</v>
      </c>
      <c r="L2755" s="5">
        <f t="shared" ref="L2755:L2818" si="682">MONTH(K2755)</f>
        <v>3</v>
      </c>
      <c r="M2755" s="5">
        <f t="shared" ref="M2755:M2818" si="683">YEAR(K2755)</f>
        <v>2024</v>
      </c>
      <c r="N2755" s="12">
        <v>110</v>
      </c>
      <c r="O2755" s="6">
        <f t="shared" si="678"/>
        <v>-110</v>
      </c>
      <c r="P2755" s="6">
        <f t="shared" si="671"/>
        <v>0</v>
      </c>
      <c r="Q2755" s="7">
        <f t="shared" ref="Q2755:Q2818" si="684">SUM(Q2754+N2755)</f>
        <v>4473651.1499999994</v>
      </c>
      <c r="R2755" s="44" t="str">
        <f>VLOOKUP(F2755,'Set up'!$A$2:$E$70,5,FALSE)</f>
        <v>Cash</v>
      </c>
      <c r="S2755" s="1" t="s">
        <v>2499</v>
      </c>
    </row>
    <row r="2756" spans="1:21" ht="15" customHeight="1" x14ac:dyDescent="0.3">
      <c r="A2756" s="4">
        <v>45379</v>
      </c>
      <c r="B2756" s="5">
        <f t="shared" si="679"/>
        <v>3</v>
      </c>
      <c r="C2756" s="5">
        <f t="shared" si="680"/>
        <v>2024</v>
      </c>
      <c r="D2756" s="5" t="s">
        <v>2452</v>
      </c>
      <c r="E2756" s="5" t="str">
        <f>VLOOKUP(F2756,'Set up'!$A$2:$C$70,2,FALSE)</f>
        <v>C00000019</v>
      </c>
      <c r="F2756" s="1" t="s">
        <v>400</v>
      </c>
      <c r="G2756" s="90" t="s">
        <v>95</v>
      </c>
      <c r="H2756" s="88">
        <v>1</v>
      </c>
      <c r="I2756" s="5" t="str">
        <f>VLOOKUP(F2756,'Set up'!$A$2:$C$70,3,FALSE)</f>
        <v>Cash</v>
      </c>
      <c r="J2756" s="5">
        <f>VLOOKUP(F2756,'Set up'!$A$2:$D$70,4,FALSE)</f>
        <v>0</v>
      </c>
      <c r="K2756" s="4">
        <f t="shared" si="681"/>
        <v>45379</v>
      </c>
      <c r="L2756" s="5">
        <f t="shared" si="682"/>
        <v>3</v>
      </c>
      <c r="M2756" s="5">
        <f t="shared" si="683"/>
        <v>2024</v>
      </c>
      <c r="N2756" s="98">
        <v>1738</v>
      </c>
      <c r="O2756" s="12">
        <f>-1721.7-16.3</f>
        <v>-1738</v>
      </c>
      <c r="P2756" s="6">
        <f t="shared" si="671"/>
        <v>0</v>
      </c>
      <c r="Q2756" s="7">
        <f t="shared" si="684"/>
        <v>4475389.1499999994</v>
      </c>
      <c r="R2756" s="44" t="str">
        <f>VLOOKUP(F2756,'Set up'!$A$2:$E$70,5,FALSE)</f>
        <v>Trsf</v>
      </c>
      <c r="S2756" s="1" t="s">
        <v>3753</v>
      </c>
    </row>
    <row r="2757" spans="1:21" ht="15" customHeight="1" x14ac:dyDescent="0.3">
      <c r="A2757" s="4">
        <v>45379</v>
      </c>
      <c r="B2757" s="5">
        <f t="shared" si="679"/>
        <v>3</v>
      </c>
      <c r="C2757" s="5">
        <f t="shared" si="680"/>
        <v>2024</v>
      </c>
      <c r="D2757" s="5" t="s">
        <v>2452</v>
      </c>
      <c r="E2757" s="5" t="str">
        <f>VLOOKUP(F2757,'Set up'!$A$2:$C$70,2,FALSE)</f>
        <v>C00000019</v>
      </c>
      <c r="F2757" s="1" t="s">
        <v>400</v>
      </c>
      <c r="G2757" s="90" t="s">
        <v>1411</v>
      </c>
      <c r="H2757" s="88">
        <v>1</v>
      </c>
      <c r="I2757" s="5" t="str">
        <f>VLOOKUP(F2757,'Set up'!$A$2:$C$70,3,FALSE)</f>
        <v>Cash</v>
      </c>
      <c r="J2757" s="5">
        <f>VLOOKUP(F2757,'Set up'!$A$2:$D$70,4,FALSE)</f>
        <v>0</v>
      </c>
      <c r="K2757" s="4">
        <f t="shared" si="681"/>
        <v>45379</v>
      </c>
      <c r="L2757" s="5">
        <f t="shared" si="682"/>
        <v>3</v>
      </c>
      <c r="M2757" s="5">
        <f t="shared" si="683"/>
        <v>2024</v>
      </c>
      <c r="N2757" s="98">
        <v>405</v>
      </c>
      <c r="O2757" s="6">
        <f t="shared" ref="O2757:O2758" si="685">-N2757</f>
        <v>-405</v>
      </c>
      <c r="P2757" s="6">
        <f t="shared" si="671"/>
        <v>0</v>
      </c>
      <c r="Q2757" s="7">
        <f t="shared" si="684"/>
        <v>4475794.1499999994</v>
      </c>
      <c r="R2757" s="44" t="str">
        <f>VLOOKUP(F2757,'Set up'!$A$2:$E$70,5,FALSE)</f>
        <v>Trsf</v>
      </c>
      <c r="S2757" s="1" t="s">
        <v>3754</v>
      </c>
    </row>
    <row r="2758" spans="1:21" ht="15" customHeight="1" x14ac:dyDescent="0.3">
      <c r="A2758" s="4">
        <v>45379</v>
      </c>
      <c r="B2758" s="5">
        <f t="shared" si="679"/>
        <v>3</v>
      </c>
      <c r="C2758" s="5">
        <f t="shared" si="680"/>
        <v>2024</v>
      </c>
      <c r="D2758" s="5" t="s">
        <v>2452</v>
      </c>
      <c r="E2758" s="5" t="str">
        <f>VLOOKUP(F2758,'Set up'!$A$2:$C$70,2,FALSE)</f>
        <v>C00000019</v>
      </c>
      <c r="F2758" s="1" t="s">
        <v>400</v>
      </c>
      <c r="G2758" s="90" t="s">
        <v>1469</v>
      </c>
      <c r="H2758" s="88">
        <v>1</v>
      </c>
      <c r="I2758" s="5" t="str">
        <f>VLOOKUP(F2758,'Set up'!$A$2:$C$70,3,FALSE)</f>
        <v>Cash</v>
      </c>
      <c r="J2758" s="5">
        <f>VLOOKUP(F2758,'Set up'!$A$2:$D$70,4,FALSE)</f>
        <v>0</v>
      </c>
      <c r="K2758" s="4">
        <f t="shared" si="681"/>
        <v>45379</v>
      </c>
      <c r="L2758" s="5">
        <f t="shared" si="682"/>
        <v>3</v>
      </c>
      <c r="M2758" s="5">
        <f t="shared" si="683"/>
        <v>2024</v>
      </c>
      <c r="N2758" s="98">
        <v>390</v>
      </c>
      <c r="O2758" s="6">
        <f t="shared" si="685"/>
        <v>-390</v>
      </c>
      <c r="P2758" s="6">
        <f t="shared" si="671"/>
        <v>0</v>
      </c>
      <c r="Q2758" s="7">
        <f t="shared" si="684"/>
        <v>4476184.1499999994</v>
      </c>
      <c r="R2758" s="44" t="str">
        <f>VLOOKUP(F2758,'Set up'!$A$2:$E$70,5,FALSE)</f>
        <v>Trsf</v>
      </c>
      <c r="S2758" s="1" t="s">
        <v>3755</v>
      </c>
    </row>
    <row r="2759" spans="1:21" ht="15" customHeight="1" x14ac:dyDescent="0.3">
      <c r="A2759" s="4">
        <v>45380</v>
      </c>
      <c r="B2759" s="5">
        <f t="shared" si="679"/>
        <v>3</v>
      </c>
      <c r="C2759" s="5">
        <f t="shared" si="680"/>
        <v>2024</v>
      </c>
      <c r="D2759" s="5" t="s">
        <v>2453</v>
      </c>
      <c r="E2759" s="5" t="str">
        <f>VLOOKUP(F2759,'Set up'!$A$2:$C$70,2,FALSE)</f>
        <v>C00000042</v>
      </c>
      <c r="F2759" s="1" t="s">
        <v>2012</v>
      </c>
      <c r="G2759" s="122" t="s">
        <v>1110</v>
      </c>
      <c r="H2759" s="5">
        <v>4</v>
      </c>
      <c r="I2759" s="5" t="str">
        <f>VLOOKUP(F2759,'Set up'!$A$2:$C$70,3,FALSE)</f>
        <v>Cash</v>
      </c>
      <c r="J2759" s="5">
        <f>VLOOKUP(F2759,'Set up'!$A$2:$D$70,4,FALSE)</f>
        <v>0</v>
      </c>
      <c r="K2759" s="4">
        <f t="shared" si="681"/>
        <v>45380</v>
      </c>
      <c r="L2759" s="5">
        <f t="shared" si="682"/>
        <v>3</v>
      </c>
      <c r="M2759" s="5">
        <f t="shared" si="683"/>
        <v>2024</v>
      </c>
      <c r="N2759" s="12">
        <v>250</v>
      </c>
      <c r="O2759" s="6">
        <f>-N2759</f>
        <v>-250</v>
      </c>
      <c r="P2759" s="6">
        <f t="shared" si="671"/>
        <v>0</v>
      </c>
      <c r="Q2759" s="7">
        <f t="shared" si="684"/>
        <v>4476434.1499999994</v>
      </c>
      <c r="R2759" s="44" t="str">
        <f>VLOOKUP(F2759,'Set up'!$A$2:$E$70,5,FALSE)</f>
        <v>Trsf</v>
      </c>
      <c r="S2759" s="1" t="s">
        <v>3079</v>
      </c>
    </row>
    <row r="2760" spans="1:21" ht="15" customHeight="1" x14ac:dyDescent="0.3">
      <c r="A2760" s="4">
        <v>45380</v>
      </c>
      <c r="B2760" s="5">
        <f t="shared" si="679"/>
        <v>3</v>
      </c>
      <c r="C2760" s="5">
        <f t="shared" si="680"/>
        <v>2024</v>
      </c>
      <c r="D2760" s="5" t="s">
        <v>2454</v>
      </c>
      <c r="E2760" s="5" t="str">
        <f>VLOOKUP(F2760,'Set up'!$A$2:$C$70,2,FALSE)</f>
        <v>C00000042</v>
      </c>
      <c r="F2760" s="1" t="s">
        <v>2012</v>
      </c>
      <c r="G2760" s="122" t="s">
        <v>1733</v>
      </c>
      <c r="H2760" s="88">
        <v>4</v>
      </c>
      <c r="I2760" s="5" t="str">
        <f>VLOOKUP(F2760,'Set up'!$A$2:$C$70,3,FALSE)</f>
        <v>Cash</v>
      </c>
      <c r="J2760" s="5">
        <f>VLOOKUP(F2760,'Set up'!$A$2:$D$70,4,FALSE)</f>
        <v>0</v>
      </c>
      <c r="K2760" s="4">
        <f t="shared" si="681"/>
        <v>45380</v>
      </c>
      <c r="L2760" s="5">
        <f t="shared" si="682"/>
        <v>3</v>
      </c>
      <c r="M2760" s="5">
        <f t="shared" si="683"/>
        <v>2024</v>
      </c>
      <c r="N2760" s="12">
        <v>6424</v>
      </c>
      <c r="O2760" s="12">
        <f>-6178.6-245.4</f>
        <v>-6424</v>
      </c>
      <c r="P2760" s="6">
        <f t="shared" si="671"/>
        <v>0</v>
      </c>
      <c r="Q2760" s="7">
        <f t="shared" si="684"/>
        <v>4482858.1499999994</v>
      </c>
      <c r="R2760" s="44" t="str">
        <f>VLOOKUP(F2760,'Set up'!$A$2:$E$70,5,FALSE)</f>
        <v>Trsf</v>
      </c>
      <c r="S2760" s="1" t="s">
        <v>3080</v>
      </c>
    </row>
    <row r="2761" spans="1:21" ht="15" customHeight="1" x14ac:dyDescent="0.3">
      <c r="A2761" s="4">
        <v>45380</v>
      </c>
      <c r="B2761" s="5">
        <f t="shared" si="679"/>
        <v>3</v>
      </c>
      <c r="C2761" s="5">
        <f t="shared" si="680"/>
        <v>2024</v>
      </c>
      <c r="D2761" s="5" t="s">
        <v>2454</v>
      </c>
      <c r="E2761" s="5" t="str">
        <f>VLOOKUP(F2761,'Set up'!$A$2:$C$70,2,FALSE)</f>
        <v>C00000042</v>
      </c>
      <c r="F2761" s="1" t="s">
        <v>2012</v>
      </c>
      <c r="G2761" s="90" t="s">
        <v>654</v>
      </c>
      <c r="H2761" s="88">
        <v>12</v>
      </c>
      <c r="I2761" s="5" t="str">
        <f>VLOOKUP(F2761,'Set up'!$A$2:$C$70,3,FALSE)</f>
        <v>Cash</v>
      </c>
      <c r="J2761" s="5">
        <f>VLOOKUP(F2761,'Set up'!$A$2:$D$70,4,FALSE)</f>
        <v>0</v>
      </c>
      <c r="K2761" s="4">
        <f t="shared" si="681"/>
        <v>45380</v>
      </c>
      <c r="L2761" s="5">
        <f t="shared" si="682"/>
        <v>3</v>
      </c>
      <c r="M2761" s="5">
        <f t="shared" si="683"/>
        <v>2024</v>
      </c>
      <c r="N2761" s="12">
        <v>2088</v>
      </c>
      <c r="O2761" s="6">
        <f t="shared" ref="O2761:O2763" si="686">-N2761</f>
        <v>-2088</v>
      </c>
      <c r="P2761" s="6">
        <f t="shared" si="671"/>
        <v>0</v>
      </c>
      <c r="Q2761" s="7">
        <f t="shared" si="684"/>
        <v>4484946.1499999994</v>
      </c>
      <c r="R2761" s="44" t="str">
        <f>VLOOKUP(F2761,'Set up'!$A$2:$E$70,5,FALSE)</f>
        <v>Trsf</v>
      </c>
      <c r="S2761" s="1" t="s">
        <v>3081</v>
      </c>
    </row>
    <row r="2762" spans="1:21" ht="15" customHeight="1" x14ac:dyDescent="0.3">
      <c r="A2762" s="4">
        <v>45380</v>
      </c>
      <c r="B2762" s="5">
        <f t="shared" si="679"/>
        <v>3</v>
      </c>
      <c r="C2762" s="5">
        <f t="shared" si="680"/>
        <v>2024</v>
      </c>
      <c r="D2762" s="5" t="s">
        <v>2454</v>
      </c>
      <c r="E2762" s="5" t="str">
        <f>VLOOKUP(F2762,'Set up'!$A$2:$C$70,2,FALSE)</f>
        <v>C00000042</v>
      </c>
      <c r="F2762" s="1" t="s">
        <v>2012</v>
      </c>
      <c r="G2762" s="90" t="s">
        <v>1922</v>
      </c>
      <c r="H2762" s="88">
        <v>6</v>
      </c>
      <c r="I2762" s="5" t="str">
        <f>VLOOKUP(F2762,'Set up'!$A$2:$C$70,3,FALSE)</f>
        <v>Cash</v>
      </c>
      <c r="J2762" s="5">
        <f>VLOOKUP(F2762,'Set up'!$A$2:$D$70,4,FALSE)</f>
        <v>0</v>
      </c>
      <c r="K2762" s="4">
        <f t="shared" si="681"/>
        <v>45380</v>
      </c>
      <c r="L2762" s="5">
        <f t="shared" si="682"/>
        <v>3</v>
      </c>
      <c r="M2762" s="5">
        <f t="shared" si="683"/>
        <v>2024</v>
      </c>
      <c r="N2762" s="12">
        <v>1404</v>
      </c>
      <c r="O2762" s="6">
        <f t="shared" si="686"/>
        <v>-1404</v>
      </c>
      <c r="P2762" s="6">
        <f t="shared" si="671"/>
        <v>0</v>
      </c>
      <c r="Q2762" s="7">
        <f t="shared" si="684"/>
        <v>4486350.1499999994</v>
      </c>
      <c r="R2762" s="44" t="str">
        <f>VLOOKUP(F2762,'Set up'!$A$2:$E$70,5,FALSE)</f>
        <v>Trsf</v>
      </c>
      <c r="S2762" s="1" t="s">
        <v>3082</v>
      </c>
    </row>
    <row r="2763" spans="1:21" ht="15" customHeight="1" x14ac:dyDescent="0.3">
      <c r="A2763" s="4">
        <v>45380</v>
      </c>
      <c r="B2763" s="5">
        <f t="shared" si="679"/>
        <v>3</v>
      </c>
      <c r="C2763" s="5">
        <f t="shared" si="680"/>
        <v>2024</v>
      </c>
      <c r="D2763" s="5" t="s">
        <v>2454</v>
      </c>
      <c r="E2763" s="5" t="str">
        <f>VLOOKUP(F2763,'Set up'!$A$2:$C$70,2,FALSE)</f>
        <v>C00000042</v>
      </c>
      <c r="F2763" s="1" t="s">
        <v>2012</v>
      </c>
      <c r="G2763" s="90" t="s">
        <v>1061</v>
      </c>
      <c r="H2763" s="88">
        <v>4</v>
      </c>
      <c r="I2763" s="5" t="str">
        <f>VLOOKUP(F2763,'Set up'!$A$2:$C$70,3,FALSE)</f>
        <v>Cash</v>
      </c>
      <c r="J2763" s="5">
        <f>VLOOKUP(F2763,'Set up'!$A$2:$D$70,4,FALSE)</f>
        <v>0</v>
      </c>
      <c r="K2763" s="4">
        <f t="shared" si="681"/>
        <v>45380</v>
      </c>
      <c r="L2763" s="5">
        <f t="shared" si="682"/>
        <v>3</v>
      </c>
      <c r="M2763" s="5">
        <f t="shared" si="683"/>
        <v>2024</v>
      </c>
      <c r="N2763" s="12">
        <v>380</v>
      </c>
      <c r="O2763" s="6">
        <f t="shared" si="686"/>
        <v>-380</v>
      </c>
      <c r="P2763" s="6">
        <f t="shared" si="671"/>
        <v>0</v>
      </c>
      <c r="Q2763" s="7">
        <f t="shared" si="684"/>
        <v>4486730.1499999994</v>
      </c>
      <c r="R2763" s="44" t="str">
        <f>VLOOKUP(F2763,'Set up'!$A$2:$E$70,5,FALSE)</f>
        <v>Trsf</v>
      </c>
      <c r="S2763" s="1" t="s">
        <v>3083</v>
      </c>
    </row>
    <row r="2764" spans="1:21" ht="15" customHeight="1" x14ac:dyDescent="0.3">
      <c r="A2764" s="4">
        <v>45381</v>
      </c>
      <c r="B2764" s="5">
        <f t="shared" si="679"/>
        <v>3</v>
      </c>
      <c r="C2764" s="5">
        <f t="shared" si="680"/>
        <v>2024</v>
      </c>
      <c r="D2764" s="5" t="s">
        <v>2455</v>
      </c>
      <c r="E2764" s="5" t="str">
        <f>VLOOKUP(F2764,'Set up'!$A$2:$C$70,2,FALSE)</f>
        <v>C00000021</v>
      </c>
      <c r="F2764" s="1" t="s">
        <v>491</v>
      </c>
      <c r="G2764" s="100" t="s">
        <v>67</v>
      </c>
      <c r="H2764" s="105">
        <v>1</v>
      </c>
      <c r="I2764" s="5" t="str">
        <f>VLOOKUP(F2764,'Set up'!$A$2:$C$70,3,FALSE)</f>
        <v>Cash</v>
      </c>
      <c r="J2764" s="5">
        <f>VLOOKUP(F2764,'Set up'!$A$2:$D$70,4,FALSE)</f>
        <v>0</v>
      </c>
      <c r="K2764" s="4">
        <f t="shared" si="681"/>
        <v>45381</v>
      </c>
      <c r="L2764" s="5">
        <f t="shared" si="682"/>
        <v>3</v>
      </c>
      <c r="M2764" s="5">
        <f t="shared" si="683"/>
        <v>2024</v>
      </c>
      <c r="N2764" s="12">
        <v>1738</v>
      </c>
      <c r="O2764" s="12"/>
      <c r="P2764" s="6">
        <f t="shared" si="671"/>
        <v>1738</v>
      </c>
      <c r="Q2764" s="7">
        <f t="shared" si="684"/>
        <v>4488468.1499999994</v>
      </c>
      <c r="R2764" s="44" t="str">
        <f>VLOOKUP(F2764,'Set up'!$A$2:$E$70,5,FALSE)</f>
        <v>PD Chq</v>
      </c>
    </row>
    <row r="2765" spans="1:21" ht="15" customHeight="1" x14ac:dyDescent="0.3">
      <c r="A2765" s="4">
        <v>45381</v>
      </c>
      <c r="B2765" s="5">
        <f t="shared" si="679"/>
        <v>3</v>
      </c>
      <c r="C2765" s="5">
        <f t="shared" si="680"/>
        <v>2024</v>
      </c>
      <c r="D2765" s="5" t="s">
        <v>2455</v>
      </c>
      <c r="E2765" s="5" t="str">
        <f>VLOOKUP(F2765,'Set up'!$A$2:$C$70,2,FALSE)</f>
        <v>C00000021</v>
      </c>
      <c r="F2765" s="1" t="s">
        <v>491</v>
      </c>
      <c r="G2765" s="99" t="s">
        <v>2129</v>
      </c>
      <c r="H2765" s="105">
        <v>3</v>
      </c>
      <c r="I2765" s="5" t="str">
        <f>VLOOKUP(F2765,'Set up'!$A$2:$C$70,3,FALSE)</f>
        <v>Cash</v>
      </c>
      <c r="J2765" s="5">
        <f>VLOOKUP(F2765,'Set up'!$A$2:$D$70,4,FALSE)</f>
        <v>0</v>
      </c>
      <c r="K2765" s="4">
        <f t="shared" si="681"/>
        <v>45381</v>
      </c>
      <c r="L2765" s="5">
        <f t="shared" si="682"/>
        <v>3</v>
      </c>
      <c r="M2765" s="5">
        <f t="shared" si="683"/>
        <v>2024</v>
      </c>
      <c r="N2765" s="12">
        <v>832.5</v>
      </c>
      <c r="O2765" s="12"/>
      <c r="P2765" s="6">
        <f t="shared" si="671"/>
        <v>832.5</v>
      </c>
      <c r="Q2765" s="7">
        <f t="shared" si="684"/>
        <v>4489300.6499999994</v>
      </c>
      <c r="R2765" s="44" t="str">
        <f>VLOOKUP(F2765,'Set up'!$A$2:$E$70,5,FALSE)</f>
        <v>PD Chq</v>
      </c>
    </row>
    <row r="2766" spans="1:21" ht="15" customHeight="1" x14ac:dyDescent="0.3">
      <c r="A2766" s="4">
        <v>45381</v>
      </c>
      <c r="B2766" s="5">
        <f t="shared" si="679"/>
        <v>3</v>
      </c>
      <c r="C2766" s="5">
        <f t="shared" si="680"/>
        <v>2024</v>
      </c>
      <c r="D2766" s="5" t="s">
        <v>2455</v>
      </c>
      <c r="E2766" s="5" t="str">
        <f>VLOOKUP(F2766,'Set up'!$A$2:$C$70,2,FALSE)</f>
        <v>C00000021</v>
      </c>
      <c r="F2766" s="1" t="s">
        <v>491</v>
      </c>
      <c r="G2766" s="99" t="s">
        <v>1061</v>
      </c>
      <c r="H2766" s="105">
        <v>1</v>
      </c>
      <c r="I2766" s="5" t="str">
        <f>VLOOKUP(F2766,'Set up'!$A$2:$C$70,3,FALSE)</f>
        <v>Cash</v>
      </c>
      <c r="J2766" s="5">
        <f>VLOOKUP(F2766,'Set up'!$A$2:$D$70,4,FALSE)</f>
        <v>0</v>
      </c>
      <c r="K2766" s="4">
        <f t="shared" si="681"/>
        <v>45381</v>
      </c>
      <c r="L2766" s="5">
        <f t="shared" si="682"/>
        <v>3</v>
      </c>
      <c r="M2766" s="5">
        <f t="shared" si="683"/>
        <v>2024</v>
      </c>
      <c r="N2766" s="12">
        <v>95</v>
      </c>
      <c r="O2766" s="12"/>
      <c r="P2766" s="6">
        <f t="shared" si="671"/>
        <v>95</v>
      </c>
      <c r="Q2766" s="7">
        <f t="shared" si="684"/>
        <v>4489395.6499999994</v>
      </c>
      <c r="R2766" s="44" t="str">
        <f>VLOOKUP(F2766,'Set up'!$A$2:$E$70,5,FALSE)</f>
        <v>PD Chq</v>
      </c>
    </row>
    <row r="2767" spans="1:21" ht="15" customHeight="1" x14ac:dyDescent="0.3">
      <c r="A2767" s="4">
        <v>45381</v>
      </c>
      <c r="B2767" s="5">
        <f t="shared" si="679"/>
        <v>3</v>
      </c>
      <c r="C2767" s="5">
        <f t="shared" si="680"/>
        <v>2024</v>
      </c>
      <c r="D2767" s="5" t="s">
        <v>2456</v>
      </c>
      <c r="E2767" s="5" t="str">
        <f>VLOOKUP(F2767,'Set up'!$A$2:$C$70,2,FALSE)</f>
        <v>C00000003</v>
      </c>
      <c r="F2767" s="1" t="s">
        <v>20</v>
      </c>
      <c r="G2767" s="100" t="s">
        <v>67</v>
      </c>
      <c r="H2767" s="5">
        <v>1</v>
      </c>
      <c r="I2767" s="5">
        <f>VLOOKUP(F2767,'Set up'!$A$2:$C$70,3,FALSE)</f>
        <v>45</v>
      </c>
      <c r="J2767" s="5">
        <f>VLOOKUP(F2767,'Set up'!$A$2:$D$70,4,FALSE)</f>
        <v>45</v>
      </c>
      <c r="K2767" s="4">
        <f t="shared" si="681"/>
        <v>45426</v>
      </c>
      <c r="L2767" s="5">
        <f t="shared" si="682"/>
        <v>5</v>
      </c>
      <c r="M2767" s="5">
        <f t="shared" si="683"/>
        <v>2024</v>
      </c>
      <c r="N2767" s="12">
        <v>1738</v>
      </c>
      <c r="O2767" s="12">
        <f>-1000-738</f>
        <v>-1738</v>
      </c>
      <c r="P2767" s="6">
        <f t="shared" si="671"/>
        <v>0</v>
      </c>
      <c r="Q2767" s="7">
        <f t="shared" si="684"/>
        <v>4491133.6499999994</v>
      </c>
      <c r="R2767" s="44" t="str">
        <f>VLOOKUP(F2767,'Set up'!$A$2:$E$70,5,FALSE)</f>
        <v>PD Chq</v>
      </c>
      <c r="S2767" s="1" t="s">
        <v>2830</v>
      </c>
      <c r="U2767" s="1" t="s">
        <v>3603</v>
      </c>
    </row>
    <row r="2768" spans="1:21" ht="15" customHeight="1" x14ac:dyDescent="0.3">
      <c r="A2768" s="4">
        <v>45381</v>
      </c>
      <c r="B2768" s="5">
        <f t="shared" si="679"/>
        <v>3</v>
      </c>
      <c r="C2768" s="5">
        <f t="shared" si="680"/>
        <v>2024</v>
      </c>
      <c r="D2768" s="5" t="s">
        <v>2456</v>
      </c>
      <c r="E2768" s="5" t="str">
        <f>VLOOKUP(F2768,'Set up'!$A$2:$C$70,2,FALSE)</f>
        <v>C00000003</v>
      </c>
      <c r="F2768" s="1" t="s">
        <v>20</v>
      </c>
      <c r="G2768" s="99" t="s">
        <v>17</v>
      </c>
      <c r="H2768" s="5">
        <v>2</v>
      </c>
      <c r="I2768" s="5">
        <f>VLOOKUP(F2768,'Set up'!$A$2:$C$70,3,FALSE)</f>
        <v>45</v>
      </c>
      <c r="J2768" s="5">
        <f>VLOOKUP(F2768,'Set up'!$A$2:$D$70,4,FALSE)</f>
        <v>45</v>
      </c>
      <c r="K2768" s="4">
        <f t="shared" si="681"/>
        <v>45426</v>
      </c>
      <c r="L2768" s="5">
        <f t="shared" si="682"/>
        <v>5</v>
      </c>
      <c r="M2768" s="5">
        <f t="shared" si="683"/>
        <v>2024</v>
      </c>
      <c r="N2768" s="12">
        <v>220</v>
      </c>
      <c r="O2768" s="6">
        <f>-N2768</f>
        <v>-220</v>
      </c>
      <c r="P2768" s="6">
        <f t="shared" si="671"/>
        <v>0</v>
      </c>
      <c r="Q2768" s="7">
        <f t="shared" si="684"/>
        <v>4491353.6499999994</v>
      </c>
      <c r="R2768" s="44" t="str">
        <f>VLOOKUP(F2768,'Set up'!$A$2:$E$70,5,FALSE)</f>
        <v>PD Chq</v>
      </c>
      <c r="S2768" s="1" t="s">
        <v>2830</v>
      </c>
      <c r="U2768" s="1" t="s">
        <v>3603</v>
      </c>
    </row>
    <row r="2769" spans="1:19" ht="15" customHeight="1" x14ac:dyDescent="0.3">
      <c r="A2769" s="4">
        <v>45386</v>
      </c>
      <c r="B2769" s="5">
        <f t="shared" si="679"/>
        <v>4</v>
      </c>
      <c r="C2769" s="5">
        <f t="shared" si="680"/>
        <v>2024</v>
      </c>
      <c r="D2769" s="5" t="s">
        <v>2506</v>
      </c>
      <c r="E2769" s="5" t="str">
        <f>VLOOKUP(F2769,'Set up'!$A$2:$C$70,2,FALSE)</f>
        <v>C00000044</v>
      </c>
      <c r="F2769" s="1" t="s">
        <v>2929</v>
      </c>
      <c r="G2769" s="99" t="s">
        <v>1178</v>
      </c>
      <c r="H2769" s="5">
        <v>1</v>
      </c>
      <c r="I2769" s="5" t="str">
        <f>VLOOKUP(F2769,'Set up'!$A$2:$C$70,3,FALSE)</f>
        <v>Cash</v>
      </c>
      <c r="J2769" s="5">
        <f>VLOOKUP(F2769,'Set up'!$A$2:$D$70,4,FALSE)</f>
        <v>0</v>
      </c>
      <c r="K2769" s="4">
        <f t="shared" si="681"/>
        <v>45386</v>
      </c>
      <c r="L2769" s="5">
        <f t="shared" si="682"/>
        <v>4</v>
      </c>
      <c r="M2769" s="5">
        <f t="shared" si="683"/>
        <v>2024</v>
      </c>
      <c r="N2769" s="12">
        <v>1650</v>
      </c>
      <c r="O2769" s="6">
        <f t="shared" ref="O2769:O2776" si="687">-N2769</f>
        <v>-1650</v>
      </c>
      <c r="P2769" s="6">
        <f t="shared" si="671"/>
        <v>0</v>
      </c>
      <c r="Q2769" s="7">
        <f t="shared" si="684"/>
        <v>4493003.6499999994</v>
      </c>
      <c r="R2769" s="44" t="str">
        <f>VLOOKUP(F2769,'Set up'!$A$2:$E$70,5,FALSE)</f>
        <v>Cash</v>
      </c>
      <c r="S2769" s="1" t="s">
        <v>2624</v>
      </c>
    </row>
    <row r="2770" spans="1:19" ht="15" customHeight="1" x14ac:dyDescent="0.3">
      <c r="A2770" s="4">
        <v>45386</v>
      </c>
      <c r="B2770" s="5">
        <f t="shared" si="679"/>
        <v>4</v>
      </c>
      <c r="C2770" s="5">
        <f t="shared" si="680"/>
        <v>2024</v>
      </c>
      <c r="D2770" s="5" t="s">
        <v>2506</v>
      </c>
      <c r="E2770" s="5" t="str">
        <f>VLOOKUP(F2770,'Set up'!$A$2:$C$70,2,FALSE)</f>
        <v>C00000044</v>
      </c>
      <c r="F2770" s="1" t="s">
        <v>2929</v>
      </c>
      <c r="G2770" s="99" t="s">
        <v>1543</v>
      </c>
      <c r="H2770" s="5">
        <v>2</v>
      </c>
      <c r="I2770" s="5" t="str">
        <f>VLOOKUP(F2770,'Set up'!$A$2:$C$70,3,FALSE)</f>
        <v>Cash</v>
      </c>
      <c r="J2770" s="5">
        <f>VLOOKUP(F2770,'Set up'!$A$2:$D$70,4,FALSE)</f>
        <v>0</v>
      </c>
      <c r="K2770" s="4">
        <f t="shared" si="681"/>
        <v>45386</v>
      </c>
      <c r="L2770" s="5">
        <f t="shared" si="682"/>
        <v>4</v>
      </c>
      <c r="M2770" s="5">
        <f t="shared" si="683"/>
        <v>2024</v>
      </c>
      <c r="N2770" s="12">
        <v>420</v>
      </c>
      <c r="O2770" s="6">
        <f t="shared" si="687"/>
        <v>-420</v>
      </c>
      <c r="P2770" s="6">
        <f t="shared" si="671"/>
        <v>0</v>
      </c>
      <c r="Q2770" s="7">
        <f t="shared" si="684"/>
        <v>4493423.6499999994</v>
      </c>
      <c r="R2770" s="44" t="str">
        <f>VLOOKUP(F2770,'Set up'!$A$2:$E$70,5,FALSE)</f>
        <v>Cash</v>
      </c>
      <c r="S2770" s="1" t="s">
        <v>2624</v>
      </c>
    </row>
    <row r="2771" spans="1:19" ht="15" customHeight="1" x14ac:dyDescent="0.3">
      <c r="A2771" s="4">
        <v>45387</v>
      </c>
      <c r="B2771" s="5">
        <f t="shared" si="679"/>
        <v>4</v>
      </c>
      <c r="C2771" s="5">
        <f t="shared" si="680"/>
        <v>2024</v>
      </c>
      <c r="D2771" s="5" t="s">
        <v>2507</v>
      </c>
      <c r="E2771" s="5" t="str">
        <f>VLOOKUP(F2771,'Set up'!$A$2:$C$70,2,FALSE)</f>
        <v>C00000009</v>
      </c>
      <c r="F2771" s="1" t="s">
        <v>58</v>
      </c>
      <c r="G2771" s="99" t="s">
        <v>719</v>
      </c>
      <c r="H2771" s="5">
        <v>1</v>
      </c>
      <c r="I2771" s="5">
        <f>VLOOKUP(F2771,'Set up'!$A$2:$C$70,3,FALSE)</f>
        <v>60</v>
      </c>
      <c r="J2771" s="5">
        <f>VLOOKUP(F2771,'Set up'!$A$2:$D$70,4,FALSE)</f>
        <v>60</v>
      </c>
      <c r="K2771" s="4">
        <f t="shared" si="681"/>
        <v>45447</v>
      </c>
      <c r="L2771" s="5">
        <f t="shared" si="682"/>
        <v>6</v>
      </c>
      <c r="M2771" s="5">
        <f t="shared" si="683"/>
        <v>2024</v>
      </c>
      <c r="N2771" s="12">
        <v>3256</v>
      </c>
      <c r="O2771" s="6">
        <f t="shared" si="687"/>
        <v>-3256</v>
      </c>
      <c r="P2771" s="6">
        <f t="shared" si="671"/>
        <v>0</v>
      </c>
      <c r="Q2771" s="7">
        <f t="shared" si="684"/>
        <v>4496679.6499999994</v>
      </c>
      <c r="R2771" s="44" t="str">
        <f>VLOOKUP(F2771,'Set up'!$A$2:$E$70,5,FALSE)</f>
        <v>Chq</v>
      </c>
      <c r="S2771" s="1" t="s">
        <v>3203</v>
      </c>
    </row>
    <row r="2772" spans="1:19" ht="15" customHeight="1" x14ac:dyDescent="0.3">
      <c r="A2772" s="4">
        <v>45387</v>
      </c>
      <c r="B2772" s="5">
        <f t="shared" si="679"/>
        <v>4</v>
      </c>
      <c r="C2772" s="5">
        <f t="shared" si="680"/>
        <v>2024</v>
      </c>
      <c r="D2772" s="5" t="s">
        <v>2507</v>
      </c>
      <c r="E2772" s="5" t="str">
        <f>VLOOKUP(F2772,'Set up'!$A$2:$C$70,2,FALSE)</f>
        <v>C00000009</v>
      </c>
      <c r="F2772" s="1" t="s">
        <v>58</v>
      </c>
      <c r="G2772" s="99" t="s">
        <v>616</v>
      </c>
      <c r="H2772" s="5">
        <v>1</v>
      </c>
      <c r="I2772" s="5">
        <f>VLOOKUP(F2772,'Set up'!$A$2:$C$70,3,FALSE)</f>
        <v>60</v>
      </c>
      <c r="J2772" s="5">
        <f>VLOOKUP(F2772,'Set up'!$A$2:$D$70,4,FALSE)</f>
        <v>60</v>
      </c>
      <c r="K2772" s="4">
        <f t="shared" si="681"/>
        <v>45447</v>
      </c>
      <c r="L2772" s="5">
        <f t="shared" si="682"/>
        <v>6</v>
      </c>
      <c r="M2772" s="5">
        <f t="shared" si="683"/>
        <v>2024</v>
      </c>
      <c r="N2772" s="12">
        <v>1628</v>
      </c>
      <c r="O2772" s="6">
        <f t="shared" si="687"/>
        <v>-1628</v>
      </c>
      <c r="P2772" s="6">
        <f t="shared" si="671"/>
        <v>0</v>
      </c>
      <c r="Q2772" s="7">
        <f t="shared" si="684"/>
        <v>4498307.6499999994</v>
      </c>
      <c r="R2772" s="44" t="str">
        <f>VLOOKUP(F2772,'Set up'!$A$2:$E$70,5,FALSE)</f>
        <v>Chq</v>
      </c>
      <c r="S2772" s="1" t="s">
        <v>3203</v>
      </c>
    </row>
    <row r="2773" spans="1:19" ht="15" customHeight="1" x14ac:dyDescent="0.3">
      <c r="A2773" s="4">
        <v>45387</v>
      </c>
      <c r="B2773" s="5">
        <f t="shared" si="679"/>
        <v>4</v>
      </c>
      <c r="C2773" s="5">
        <f t="shared" si="680"/>
        <v>2024</v>
      </c>
      <c r="D2773" s="5" t="s">
        <v>2507</v>
      </c>
      <c r="E2773" s="5" t="str">
        <f>VLOOKUP(F2773,'Set up'!$A$2:$C$70,2,FALSE)</f>
        <v>C00000009</v>
      </c>
      <c r="F2773" s="1" t="s">
        <v>58</v>
      </c>
      <c r="G2773" s="99" t="s">
        <v>1411</v>
      </c>
      <c r="H2773" s="5">
        <v>2</v>
      </c>
      <c r="I2773" s="5">
        <f>VLOOKUP(F2773,'Set up'!$A$2:$C$70,3,FALSE)</f>
        <v>60</v>
      </c>
      <c r="J2773" s="5">
        <f>VLOOKUP(F2773,'Set up'!$A$2:$D$70,4,FALSE)</f>
        <v>60</v>
      </c>
      <c r="K2773" s="4">
        <f t="shared" si="681"/>
        <v>45447</v>
      </c>
      <c r="L2773" s="5">
        <f t="shared" si="682"/>
        <v>6</v>
      </c>
      <c r="M2773" s="5">
        <f t="shared" si="683"/>
        <v>2024</v>
      </c>
      <c r="N2773" s="12">
        <v>626.4</v>
      </c>
      <c r="O2773" s="6">
        <f t="shared" si="687"/>
        <v>-626.4</v>
      </c>
      <c r="P2773" s="6">
        <f t="shared" ref="P2773:P2836" si="688">SUM(N2773+O2773)</f>
        <v>0</v>
      </c>
      <c r="Q2773" s="7">
        <f t="shared" si="684"/>
        <v>4498934.05</v>
      </c>
      <c r="R2773" s="44" t="str">
        <f>VLOOKUP(F2773,'Set up'!$A$2:$E$70,5,FALSE)</f>
        <v>Chq</v>
      </c>
      <c r="S2773" s="1" t="s">
        <v>3203</v>
      </c>
    </row>
    <row r="2774" spans="1:19" ht="15" customHeight="1" x14ac:dyDescent="0.3">
      <c r="A2774" s="4">
        <v>45387</v>
      </c>
      <c r="B2774" s="5">
        <f t="shared" si="679"/>
        <v>4</v>
      </c>
      <c r="C2774" s="5">
        <f t="shared" si="680"/>
        <v>2024</v>
      </c>
      <c r="D2774" s="5" t="s">
        <v>2507</v>
      </c>
      <c r="E2774" s="5" t="str">
        <f>VLOOKUP(F2774,'Set up'!$A$2:$C$70,2,FALSE)</f>
        <v>C00000009</v>
      </c>
      <c r="F2774" s="1" t="s">
        <v>58</v>
      </c>
      <c r="G2774" s="99" t="s">
        <v>2133</v>
      </c>
      <c r="H2774" s="5">
        <v>2</v>
      </c>
      <c r="I2774" s="5">
        <f>VLOOKUP(F2774,'Set up'!$A$2:$C$70,3,FALSE)</f>
        <v>60</v>
      </c>
      <c r="J2774" s="5">
        <f>VLOOKUP(F2774,'Set up'!$A$2:$D$70,4,FALSE)</f>
        <v>60</v>
      </c>
      <c r="K2774" s="4">
        <f t="shared" si="681"/>
        <v>45447</v>
      </c>
      <c r="L2774" s="5">
        <f t="shared" si="682"/>
        <v>6</v>
      </c>
      <c r="M2774" s="5">
        <f t="shared" si="683"/>
        <v>2024</v>
      </c>
      <c r="N2774" s="12">
        <v>626.4</v>
      </c>
      <c r="O2774" s="6">
        <f t="shared" si="687"/>
        <v>-626.4</v>
      </c>
      <c r="P2774" s="6">
        <f t="shared" si="688"/>
        <v>0</v>
      </c>
      <c r="Q2774" s="7">
        <f t="shared" si="684"/>
        <v>4499560.45</v>
      </c>
      <c r="R2774" s="44" t="str">
        <f>VLOOKUP(F2774,'Set up'!$A$2:$E$70,5,FALSE)</f>
        <v>Chq</v>
      </c>
      <c r="S2774" s="1" t="s">
        <v>3203</v>
      </c>
    </row>
    <row r="2775" spans="1:19" ht="15" customHeight="1" x14ac:dyDescent="0.3">
      <c r="A2775" s="4">
        <v>45387</v>
      </c>
      <c r="B2775" s="5">
        <f t="shared" si="679"/>
        <v>4</v>
      </c>
      <c r="C2775" s="5">
        <f t="shared" si="680"/>
        <v>2024</v>
      </c>
      <c r="D2775" s="5" t="s">
        <v>2507</v>
      </c>
      <c r="E2775" s="5" t="str">
        <f>VLOOKUP(F2775,'Set up'!$A$2:$C$70,2,FALSE)</f>
        <v>C00000009</v>
      </c>
      <c r="F2775" s="1" t="s">
        <v>58</v>
      </c>
      <c r="G2775" s="99" t="s">
        <v>1110</v>
      </c>
      <c r="H2775" s="5">
        <v>1</v>
      </c>
      <c r="I2775" s="5">
        <f>VLOOKUP(F2775,'Set up'!$A$2:$C$70,3,FALSE)</f>
        <v>60</v>
      </c>
      <c r="J2775" s="5">
        <f>VLOOKUP(F2775,'Set up'!$A$2:$D$70,4,FALSE)</f>
        <v>60</v>
      </c>
      <c r="K2775" s="4">
        <f t="shared" si="681"/>
        <v>45447</v>
      </c>
      <c r="L2775" s="5">
        <f t="shared" si="682"/>
        <v>6</v>
      </c>
      <c r="M2775" s="5">
        <f t="shared" si="683"/>
        <v>2024</v>
      </c>
      <c r="N2775" s="12">
        <v>62.5</v>
      </c>
      <c r="O2775" s="6">
        <f t="shared" si="687"/>
        <v>-62.5</v>
      </c>
      <c r="P2775" s="6">
        <f t="shared" si="688"/>
        <v>0</v>
      </c>
      <c r="Q2775" s="7">
        <f t="shared" si="684"/>
        <v>4499622.95</v>
      </c>
      <c r="R2775" s="44" t="str">
        <f>VLOOKUP(F2775,'Set up'!$A$2:$E$70,5,FALSE)</f>
        <v>Chq</v>
      </c>
      <c r="S2775" s="1" t="s">
        <v>3203</v>
      </c>
    </row>
    <row r="2776" spans="1:19" ht="15" customHeight="1" x14ac:dyDescent="0.3">
      <c r="A2776" s="4">
        <v>45387</v>
      </c>
      <c r="B2776" s="5">
        <f t="shared" si="679"/>
        <v>4</v>
      </c>
      <c r="C2776" s="5">
        <f t="shared" si="680"/>
        <v>2024</v>
      </c>
      <c r="D2776" s="5" t="s">
        <v>2507</v>
      </c>
      <c r="E2776" s="5" t="str">
        <f>VLOOKUP(F2776,'Set up'!$A$2:$C$70,2,FALSE)</f>
        <v>C00000009</v>
      </c>
      <c r="F2776" s="1" t="s">
        <v>58</v>
      </c>
      <c r="G2776" s="99" t="s">
        <v>2449</v>
      </c>
      <c r="H2776" s="5">
        <v>1</v>
      </c>
      <c r="I2776" s="5">
        <f>VLOOKUP(F2776,'Set up'!$A$2:$C$70,3,FALSE)</f>
        <v>60</v>
      </c>
      <c r="J2776" s="5">
        <f>VLOOKUP(F2776,'Set up'!$A$2:$D$70,4,FALSE)</f>
        <v>60</v>
      </c>
      <c r="K2776" s="4">
        <f t="shared" si="681"/>
        <v>45447</v>
      </c>
      <c r="L2776" s="5">
        <f t="shared" si="682"/>
        <v>6</v>
      </c>
      <c r="M2776" s="5">
        <f t="shared" si="683"/>
        <v>2024</v>
      </c>
      <c r="N2776" s="12">
        <v>420</v>
      </c>
      <c r="O2776" s="6">
        <f t="shared" si="687"/>
        <v>-420</v>
      </c>
      <c r="P2776" s="6">
        <f t="shared" si="688"/>
        <v>0</v>
      </c>
      <c r="Q2776" s="7">
        <f t="shared" si="684"/>
        <v>4500042.95</v>
      </c>
      <c r="R2776" s="44" t="str">
        <f>VLOOKUP(F2776,'Set up'!$A$2:$E$70,5,FALSE)</f>
        <v>Chq</v>
      </c>
      <c r="S2776" s="1" t="s">
        <v>3203</v>
      </c>
    </row>
    <row r="2777" spans="1:19" ht="15" customHeight="1" x14ac:dyDescent="0.3">
      <c r="A2777" s="4">
        <v>45390</v>
      </c>
      <c r="B2777" s="5">
        <f t="shared" si="679"/>
        <v>4</v>
      </c>
      <c r="C2777" s="5">
        <f t="shared" si="680"/>
        <v>2024</v>
      </c>
      <c r="D2777" s="5" t="s">
        <v>2508</v>
      </c>
      <c r="E2777" s="5" t="str">
        <f>VLOOKUP(F2777,'Set up'!$A$2:$C$70,2,FALSE)</f>
        <v>C00000009</v>
      </c>
      <c r="F2777" s="1" t="s">
        <v>58</v>
      </c>
      <c r="G2777" s="99" t="s">
        <v>1746</v>
      </c>
      <c r="H2777" s="5">
        <v>1</v>
      </c>
      <c r="I2777" s="5">
        <f>VLOOKUP(F2777,'Set up'!$A$2:$C$70,3,FALSE)</f>
        <v>60</v>
      </c>
      <c r="J2777" s="5">
        <f>VLOOKUP(F2777,'Set up'!$A$2:$D$70,4,FALSE)</f>
        <v>60</v>
      </c>
      <c r="K2777" s="4">
        <f t="shared" si="681"/>
        <v>45450</v>
      </c>
      <c r="L2777" s="5">
        <f t="shared" si="682"/>
        <v>6</v>
      </c>
      <c r="M2777" s="5">
        <f t="shared" si="683"/>
        <v>2024</v>
      </c>
      <c r="N2777" s="12">
        <v>260</v>
      </c>
      <c r="O2777" s="6">
        <f t="shared" ref="O2777" si="689">-N2777</f>
        <v>-260</v>
      </c>
      <c r="P2777" s="6">
        <f t="shared" si="688"/>
        <v>0</v>
      </c>
      <c r="Q2777" s="7">
        <f t="shared" si="684"/>
        <v>4500302.95</v>
      </c>
      <c r="R2777" s="44" t="str">
        <f>VLOOKUP(F2777,'Set up'!$A$2:$E$70,5,FALSE)</f>
        <v>Chq</v>
      </c>
      <c r="S2777" s="1" t="s">
        <v>3036</v>
      </c>
    </row>
    <row r="2778" spans="1:19" ht="15" customHeight="1" x14ac:dyDescent="0.3">
      <c r="A2778" s="4">
        <v>45390</v>
      </c>
      <c r="B2778" s="5">
        <f t="shared" si="679"/>
        <v>4</v>
      </c>
      <c r="C2778" s="5">
        <f t="shared" si="680"/>
        <v>2024</v>
      </c>
      <c r="D2778" s="5" t="s">
        <v>2509</v>
      </c>
      <c r="E2778" s="5" t="str">
        <f>VLOOKUP(F2778,'Set up'!$A$2:$C$70,2,FALSE)</f>
        <v>C00000019</v>
      </c>
      <c r="F2778" s="1" t="s">
        <v>400</v>
      </c>
      <c r="G2778" s="99" t="s">
        <v>719</v>
      </c>
      <c r="H2778" s="5">
        <v>1</v>
      </c>
      <c r="I2778" s="5" t="str">
        <f>VLOOKUP(F2778,'Set up'!$A$2:$C$70,3,FALSE)</f>
        <v>Cash</v>
      </c>
      <c r="J2778" s="5">
        <f>VLOOKUP(F2778,'Set up'!$A$2:$D$70,4,FALSE)</f>
        <v>0</v>
      </c>
      <c r="K2778" s="4">
        <f t="shared" si="681"/>
        <v>45390</v>
      </c>
      <c r="L2778" s="5">
        <f t="shared" si="682"/>
        <v>4</v>
      </c>
      <c r="M2778" s="5">
        <f t="shared" si="683"/>
        <v>2024</v>
      </c>
      <c r="N2778" s="12">
        <v>1738</v>
      </c>
      <c r="O2778" s="12">
        <f>-188.7-1000-549.3</f>
        <v>-1738</v>
      </c>
      <c r="P2778" s="6">
        <f t="shared" si="688"/>
        <v>0</v>
      </c>
      <c r="Q2778" s="7">
        <f t="shared" si="684"/>
        <v>4502040.95</v>
      </c>
      <c r="R2778" s="44" t="str">
        <f>VLOOKUP(F2778,'Set up'!$A$2:$E$70,5,FALSE)</f>
        <v>Trsf</v>
      </c>
      <c r="S2778" s="1" t="s">
        <v>3756</v>
      </c>
    </row>
    <row r="2779" spans="1:19" ht="15" customHeight="1" x14ac:dyDescent="0.3">
      <c r="A2779" s="4">
        <v>45390</v>
      </c>
      <c r="B2779" s="5">
        <f t="shared" si="679"/>
        <v>4</v>
      </c>
      <c r="C2779" s="5">
        <f t="shared" si="680"/>
        <v>2024</v>
      </c>
      <c r="D2779" s="5" t="s">
        <v>2509</v>
      </c>
      <c r="E2779" s="5" t="str">
        <f>VLOOKUP(F2779,'Set up'!$A$2:$C$70,2,FALSE)</f>
        <v>C00000019</v>
      </c>
      <c r="F2779" s="1" t="s">
        <v>400</v>
      </c>
      <c r="G2779" s="99" t="s">
        <v>1411</v>
      </c>
      <c r="H2779" s="5">
        <v>1</v>
      </c>
      <c r="I2779" s="5" t="str">
        <f>VLOOKUP(F2779,'Set up'!$A$2:$C$70,3,FALSE)</f>
        <v>Cash</v>
      </c>
      <c r="J2779" s="5">
        <f>VLOOKUP(F2779,'Set up'!$A$2:$D$70,4,FALSE)</f>
        <v>0</v>
      </c>
      <c r="K2779" s="4">
        <f t="shared" si="681"/>
        <v>45390</v>
      </c>
      <c r="L2779" s="5">
        <f t="shared" si="682"/>
        <v>4</v>
      </c>
      <c r="M2779" s="5">
        <f t="shared" si="683"/>
        <v>2024</v>
      </c>
      <c r="N2779" s="12">
        <v>405</v>
      </c>
      <c r="O2779" s="12">
        <f>-405</f>
        <v>-405</v>
      </c>
      <c r="P2779" s="6">
        <f t="shared" si="688"/>
        <v>0</v>
      </c>
      <c r="Q2779" s="7">
        <f t="shared" si="684"/>
        <v>4502445.95</v>
      </c>
      <c r="R2779" s="44" t="str">
        <f>VLOOKUP(F2779,'Set up'!$A$2:$E$70,5,FALSE)</f>
        <v>Trsf</v>
      </c>
      <c r="S2779" s="1" t="s">
        <v>3757</v>
      </c>
    </row>
    <row r="2780" spans="1:19" ht="15" customHeight="1" x14ac:dyDescent="0.3">
      <c r="A2780" s="4">
        <v>45390</v>
      </c>
      <c r="B2780" s="5">
        <f t="shared" si="679"/>
        <v>4</v>
      </c>
      <c r="C2780" s="5">
        <f t="shared" si="680"/>
        <v>2024</v>
      </c>
      <c r="D2780" s="5" t="s">
        <v>2509</v>
      </c>
      <c r="E2780" s="5" t="str">
        <f>VLOOKUP(F2780,'Set up'!$A$2:$C$70,2,FALSE)</f>
        <v>C00000019</v>
      </c>
      <c r="F2780" s="1" t="s">
        <v>400</v>
      </c>
      <c r="G2780" s="99" t="s">
        <v>1469</v>
      </c>
      <c r="H2780" s="5">
        <v>1</v>
      </c>
      <c r="I2780" s="5" t="str">
        <f>VLOOKUP(F2780,'Set up'!$A$2:$C$70,3,FALSE)</f>
        <v>Cash</v>
      </c>
      <c r="J2780" s="5">
        <f>VLOOKUP(F2780,'Set up'!$A$2:$D$70,4,FALSE)</f>
        <v>0</v>
      </c>
      <c r="K2780" s="4">
        <f t="shared" si="681"/>
        <v>45390</v>
      </c>
      <c r="L2780" s="5">
        <f t="shared" si="682"/>
        <v>4</v>
      </c>
      <c r="M2780" s="5">
        <f t="shared" si="683"/>
        <v>2024</v>
      </c>
      <c r="N2780" s="12">
        <v>395</v>
      </c>
      <c r="O2780" s="12">
        <f>-395</f>
        <v>-395</v>
      </c>
      <c r="P2780" s="6">
        <f t="shared" si="688"/>
        <v>0</v>
      </c>
      <c r="Q2780" s="7">
        <f t="shared" si="684"/>
        <v>4502840.95</v>
      </c>
      <c r="R2780" s="44" t="str">
        <f>VLOOKUP(F2780,'Set up'!$A$2:$E$70,5,FALSE)</f>
        <v>Trsf</v>
      </c>
      <c r="S2780" s="1" t="s">
        <v>3758</v>
      </c>
    </row>
    <row r="2781" spans="1:19" ht="15" customHeight="1" x14ac:dyDescent="0.3">
      <c r="A2781" s="4">
        <v>45390</v>
      </c>
      <c r="B2781" s="5">
        <f t="shared" si="679"/>
        <v>4</v>
      </c>
      <c r="C2781" s="5">
        <f t="shared" si="680"/>
        <v>2024</v>
      </c>
      <c r="D2781" s="5" t="s">
        <v>2509</v>
      </c>
      <c r="E2781" s="5" t="str">
        <f>VLOOKUP(F2781,'Set up'!$A$2:$C$70,2,FALSE)</f>
        <v>C00000019</v>
      </c>
      <c r="F2781" s="1" t="s">
        <v>400</v>
      </c>
      <c r="G2781" s="99" t="s">
        <v>894</v>
      </c>
      <c r="H2781" s="5">
        <v>1</v>
      </c>
      <c r="I2781" s="5" t="str">
        <f>VLOOKUP(F2781,'Set up'!$A$2:$C$70,3,FALSE)</f>
        <v>Cash</v>
      </c>
      <c r="J2781" s="5">
        <f>VLOOKUP(F2781,'Set up'!$A$2:$D$70,4,FALSE)</f>
        <v>0</v>
      </c>
      <c r="K2781" s="4">
        <f t="shared" si="681"/>
        <v>45390</v>
      </c>
      <c r="L2781" s="5">
        <f t="shared" si="682"/>
        <v>4</v>
      </c>
      <c r="M2781" s="5">
        <f t="shared" si="683"/>
        <v>2024</v>
      </c>
      <c r="N2781" s="12">
        <v>150</v>
      </c>
      <c r="O2781" s="12">
        <f>-50.7-99.3</f>
        <v>-150</v>
      </c>
      <c r="P2781" s="6">
        <f t="shared" si="688"/>
        <v>0</v>
      </c>
      <c r="Q2781" s="7">
        <f t="shared" si="684"/>
        <v>4502990.95</v>
      </c>
      <c r="R2781" s="44" t="str">
        <f>VLOOKUP(F2781,'Set up'!$A$2:$E$70,5,FALSE)</f>
        <v>Trsf</v>
      </c>
      <c r="S2781" s="1" t="s">
        <v>3895</v>
      </c>
    </row>
    <row r="2782" spans="1:19" ht="15" customHeight="1" x14ac:dyDescent="0.3">
      <c r="A2782" s="4">
        <v>45390</v>
      </c>
      <c r="B2782" s="5">
        <f t="shared" si="679"/>
        <v>4</v>
      </c>
      <c r="C2782" s="5">
        <f t="shared" si="680"/>
        <v>2024</v>
      </c>
      <c r="D2782" s="5" t="s">
        <v>2510</v>
      </c>
      <c r="E2782" s="5" t="str">
        <f>VLOOKUP(F2782,'Set up'!$A$2:$C$70,2,FALSE)</f>
        <v>C00000021</v>
      </c>
      <c r="F2782" s="1" t="s">
        <v>491</v>
      </c>
      <c r="G2782" s="99" t="s">
        <v>67</v>
      </c>
      <c r="H2782" s="5">
        <v>1</v>
      </c>
      <c r="I2782" s="5" t="str">
        <f>VLOOKUP(F2782,'Set up'!$A$2:$C$70,3,FALSE)</f>
        <v>Cash</v>
      </c>
      <c r="J2782" s="5">
        <f>VLOOKUP(F2782,'Set up'!$A$2:$D$70,4,FALSE)</f>
        <v>0</v>
      </c>
      <c r="K2782" s="4">
        <f t="shared" si="681"/>
        <v>45390</v>
      </c>
      <c r="L2782" s="5">
        <f t="shared" si="682"/>
        <v>4</v>
      </c>
      <c r="M2782" s="5">
        <f t="shared" si="683"/>
        <v>2024</v>
      </c>
      <c r="N2782" s="12">
        <v>1738</v>
      </c>
      <c r="O2782" s="12"/>
      <c r="P2782" s="6">
        <f t="shared" si="688"/>
        <v>1738</v>
      </c>
      <c r="Q2782" s="7">
        <f t="shared" si="684"/>
        <v>4504728.95</v>
      </c>
      <c r="R2782" s="44" t="str">
        <f>VLOOKUP(F2782,'Set up'!$A$2:$E$70,5,FALSE)</f>
        <v>PD Chq</v>
      </c>
    </row>
    <row r="2783" spans="1:19" ht="15" customHeight="1" x14ac:dyDescent="0.3">
      <c r="A2783" s="4">
        <v>45390</v>
      </c>
      <c r="B2783" s="5">
        <f t="shared" si="679"/>
        <v>4</v>
      </c>
      <c r="C2783" s="5">
        <f t="shared" si="680"/>
        <v>2024</v>
      </c>
      <c r="D2783" s="5" t="s">
        <v>2510</v>
      </c>
      <c r="E2783" s="5" t="str">
        <f>VLOOKUP(F2783,'Set up'!$A$2:$C$70,2,FALSE)</f>
        <v>C00000021</v>
      </c>
      <c r="F2783" s="1" t="s">
        <v>491</v>
      </c>
      <c r="G2783" s="99" t="s">
        <v>2129</v>
      </c>
      <c r="H2783" s="5">
        <v>3</v>
      </c>
      <c r="I2783" s="5" t="str">
        <f>VLOOKUP(F2783,'Set up'!$A$2:$C$70,3,FALSE)</f>
        <v>Cash</v>
      </c>
      <c r="J2783" s="5">
        <f>VLOOKUP(F2783,'Set up'!$A$2:$D$70,4,FALSE)</f>
        <v>0</v>
      </c>
      <c r="K2783" s="4">
        <f t="shared" si="681"/>
        <v>45390</v>
      </c>
      <c r="L2783" s="5">
        <f t="shared" si="682"/>
        <v>4</v>
      </c>
      <c r="M2783" s="5">
        <f t="shared" si="683"/>
        <v>2024</v>
      </c>
      <c r="N2783" s="12">
        <v>832.5</v>
      </c>
      <c r="O2783" s="12"/>
      <c r="P2783" s="6">
        <f t="shared" si="688"/>
        <v>832.5</v>
      </c>
      <c r="Q2783" s="7">
        <f t="shared" si="684"/>
        <v>4505561.45</v>
      </c>
      <c r="R2783" s="44" t="str">
        <f>VLOOKUP(F2783,'Set up'!$A$2:$E$70,5,FALSE)</f>
        <v>PD Chq</v>
      </c>
    </row>
    <row r="2784" spans="1:19" ht="15" customHeight="1" x14ac:dyDescent="0.3">
      <c r="A2784" s="4">
        <v>45390</v>
      </c>
      <c r="B2784" s="5">
        <f t="shared" si="679"/>
        <v>4</v>
      </c>
      <c r="C2784" s="5">
        <f t="shared" si="680"/>
        <v>2024</v>
      </c>
      <c r="D2784" s="5" t="s">
        <v>2510</v>
      </c>
      <c r="E2784" s="5" t="str">
        <f>VLOOKUP(F2784,'Set up'!$A$2:$C$70,2,FALSE)</f>
        <v>C00000021</v>
      </c>
      <c r="F2784" s="1" t="s">
        <v>491</v>
      </c>
      <c r="G2784" s="99" t="s">
        <v>1061</v>
      </c>
      <c r="H2784" s="5">
        <v>1</v>
      </c>
      <c r="I2784" s="5" t="str">
        <f>VLOOKUP(F2784,'Set up'!$A$2:$C$70,3,FALSE)</f>
        <v>Cash</v>
      </c>
      <c r="J2784" s="5">
        <f>VLOOKUP(F2784,'Set up'!$A$2:$D$70,4,FALSE)</f>
        <v>0</v>
      </c>
      <c r="K2784" s="4">
        <f t="shared" si="681"/>
        <v>45390</v>
      </c>
      <c r="L2784" s="5">
        <f t="shared" si="682"/>
        <v>4</v>
      </c>
      <c r="M2784" s="5">
        <f t="shared" si="683"/>
        <v>2024</v>
      </c>
      <c r="N2784" s="12">
        <v>95</v>
      </c>
      <c r="O2784" s="12"/>
      <c r="P2784" s="6">
        <f t="shared" si="688"/>
        <v>95</v>
      </c>
      <c r="Q2784" s="7">
        <f t="shared" si="684"/>
        <v>4505656.45</v>
      </c>
      <c r="R2784" s="44" t="str">
        <f>VLOOKUP(F2784,'Set up'!$A$2:$E$70,5,FALSE)</f>
        <v>PD Chq</v>
      </c>
    </row>
    <row r="2785" spans="1:19" ht="15" customHeight="1" x14ac:dyDescent="0.3">
      <c r="A2785" s="4">
        <v>45388</v>
      </c>
      <c r="B2785" s="5">
        <f t="shared" si="679"/>
        <v>4</v>
      </c>
      <c r="C2785" s="5">
        <f t="shared" si="680"/>
        <v>2024</v>
      </c>
      <c r="D2785" s="5" t="s">
        <v>2511</v>
      </c>
      <c r="E2785" s="5" t="str">
        <f>VLOOKUP(F2785,'Set up'!$A$2:$C$70,2,FALSE)</f>
        <v>C00000042</v>
      </c>
      <c r="F2785" s="1" t="s">
        <v>2012</v>
      </c>
      <c r="G2785" s="99" t="s">
        <v>1073</v>
      </c>
      <c r="H2785" s="5">
        <v>1</v>
      </c>
      <c r="I2785" s="5" t="str">
        <f>VLOOKUP(F2785,'Set up'!$A$2:$C$70,3,FALSE)</f>
        <v>Cash</v>
      </c>
      <c r="J2785" s="5">
        <f>VLOOKUP(F2785,'Set up'!$A$2:$D$70,4,FALSE)</f>
        <v>0</v>
      </c>
      <c r="K2785" s="4">
        <f t="shared" si="681"/>
        <v>45388</v>
      </c>
      <c r="L2785" s="5">
        <f t="shared" si="682"/>
        <v>4</v>
      </c>
      <c r="M2785" s="5">
        <f t="shared" si="683"/>
        <v>2024</v>
      </c>
      <c r="N2785" s="12">
        <v>1000</v>
      </c>
      <c r="O2785" s="6">
        <f>-382.6-617.4</f>
        <v>-1000</v>
      </c>
      <c r="P2785" s="6">
        <f t="shared" si="688"/>
        <v>0</v>
      </c>
      <c r="Q2785" s="7">
        <f t="shared" si="684"/>
        <v>4506656.45</v>
      </c>
      <c r="R2785" s="44" t="str">
        <f>VLOOKUP(F2785,'Set up'!$A$2:$E$70,5,FALSE)</f>
        <v>Trsf</v>
      </c>
      <c r="S2785" s="1" t="s">
        <v>3084</v>
      </c>
    </row>
    <row r="2786" spans="1:19" ht="15" customHeight="1" x14ac:dyDescent="0.3">
      <c r="A2786" s="4">
        <v>45394</v>
      </c>
      <c r="B2786" s="5">
        <f t="shared" si="679"/>
        <v>4</v>
      </c>
      <c r="C2786" s="5">
        <f t="shared" si="680"/>
        <v>2024</v>
      </c>
      <c r="D2786" s="5" t="s">
        <v>2512</v>
      </c>
      <c r="E2786" s="5" t="str">
        <f>VLOOKUP(F2786,'Set up'!$A$2:$C$70,2,FALSE)</f>
        <v>C00000006</v>
      </c>
      <c r="F2786" s="1" t="s">
        <v>43</v>
      </c>
      <c r="G2786" s="99" t="s">
        <v>95</v>
      </c>
      <c r="H2786" s="5">
        <v>2</v>
      </c>
      <c r="I2786" s="5" t="str">
        <f>VLOOKUP(F2786,'Set up'!$A$2:$C$70,3,FALSE)</f>
        <v>Cash</v>
      </c>
      <c r="J2786" s="5">
        <f>VLOOKUP(F2786,'Set up'!$A$2:$D$70,4,FALSE)</f>
        <v>0</v>
      </c>
      <c r="K2786" s="4">
        <f t="shared" si="681"/>
        <v>45394</v>
      </c>
      <c r="L2786" s="5">
        <f t="shared" si="682"/>
        <v>4</v>
      </c>
      <c r="M2786" s="5">
        <f t="shared" si="683"/>
        <v>2024</v>
      </c>
      <c r="N2786" s="12">
        <v>3476</v>
      </c>
      <c r="O2786" s="6">
        <f>-N2786</f>
        <v>-3476</v>
      </c>
      <c r="P2786" s="6">
        <f t="shared" si="688"/>
        <v>0</v>
      </c>
      <c r="Q2786" s="7">
        <f t="shared" si="684"/>
        <v>4510132.45</v>
      </c>
      <c r="R2786" s="44" t="str">
        <f>VLOOKUP(F2786,'Set up'!$A$2:$E$70,5,FALSE)</f>
        <v>Chq</v>
      </c>
      <c r="S2786" s="1" t="s">
        <v>2731</v>
      </c>
    </row>
    <row r="2787" spans="1:19" ht="15" customHeight="1" x14ac:dyDescent="0.3">
      <c r="A2787" s="4">
        <v>45394</v>
      </c>
      <c r="B2787" s="5">
        <f t="shared" si="679"/>
        <v>4</v>
      </c>
      <c r="C2787" s="5">
        <f t="shared" si="680"/>
        <v>2024</v>
      </c>
      <c r="D2787" s="5" t="s">
        <v>2512</v>
      </c>
      <c r="E2787" s="5" t="str">
        <f>VLOOKUP(F2787,'Set up'!$A$2:$C$70,2,FALSE)</f>
        <v>C00000006</v>
      </c>
      <c r="F2787" s="1" t="s">
        <v>43</v>
      </c>
      <c r="G2787" s="99" t="s">
        <v>1796</v>
      </c>
      <c r="H2787" s="5">
        <v>3</v>
      </c>
      <c r="I2787" s="5" t="str">
        <f>VLOOKUP(F2787,'Set up'!$A$2:$C$70,3,FALSE)</f>
        <v>Cash</v>
      </c>
      <c r="J2787" s="5">
        <f>VLOOKUP(F2787,'Set up'!$A$2:$D$70,4,FALSE)</f>
        <v>0</v>
      </c>
      <c r="K2787" s="4">
        <f t="shared" si="681"/>
        <v>45394</v>
      </c>
      <c r="L2787" s="5">
        <f t="shared" si="682"/>
        <v>4</v>
      </c>
      <c r="M2787" s="5">
        <f t="shared" si="683"/>
        <v>2024</v>
      </c>
      <c r="N2787" s="12">
        <v>675</v>
      </c>
      <c r="O2787" s="6">
        <f>-N2787</f>
        <v>-675</v>
      </c>
      <c r="P2787" s="6">
        <f t="shared" si="688"/>
        <v>0</v>
      </c>
      <c r="Q2787" s="7">
        <f t="shared" si="684"/>
        <v>4510807.45</v>
      </c>
      <c r="R2787" s="44" t="str">
        <f>VLOOKUP(F2787,'Set up'!$A$2:$E$70,5,FALSE)</f>
        <v>Chq</v>
      </c>
      <c r="S2787" s="1" t="s">
        <v>2731</v>
      </c>
    </row>
    <row r="2788" spans="1:19" ht="15" customHeight="1" x14ac:dyDescent="0.3">
      <c r="A2788" s="4">
        <v>45394</v>
      </c>
      <c r="B2788" s="5">
        <f t="shared" si="679"/>
        <v>4</v>
      </c>
      <c r="C2788" s="5">
        <f t="shared" si="680"/>
        <v>2024</v>
      </c>
      <c r="D2788" s="5" t="s">
        <v>2513</v>
      </c>
      <c r="E2788" s="5" t="str">
        <f>VLOOKUP(F2788,'Set up'!$A$2:$C$70,2,FALSE)</f>
        <v>C00000042</v>
      </c>
      <c r="F2788" s="1" t="s">
        <v>2012</v>
      </c>
      <c r="G2788" s="99" t="s">
        <v>1110</v>
      </c>
      <c r="H2788" s="5">
        <v>6</v>
      </c>
      <c r="I2788" s="5" t="str">
        <f>VLOOKUP(F2788,'Set up'!$A$2:$C$70,3,FALSE)</f>
        <v>Cash</v>
      </c>
      <c r="J2788" s="5">
        <f>VLOOKUP(F2788,'Set up'!$A$2:$D$70,4,FALSE)</f>
        <v>0</v>
      </c>
      <c r="K2788" s="4">
        <f t="shared" si="681"/>
        <v>45394</v>
      </c>
      <c r="L2788" s="5">
        <f t="shared" si="682"/>
        <v>4</v>
      </c>
      <c r="M2788" s="5">
        <f t="shared" si="683"/>
        <v>2024</v>
      </c>
      <c r="N2788" s="12">
        <v>375</v>
      </c>
      <c r="O2788" s="6">
        <f t="shared" ref="O2788:O2793" si="690">-N2788</f>
        <v>-375</v>
      </c>
      <c r="P2788" s="6">
        <f t="shared" si="688"/>
        <v>0</v>
      </c>
      <c r="Q2788" s="7">
        <f t="shared" si="684"/>
        <v>4511182.45</v>
      </c>
      <c r="R2788" s="44" t="str">
        <f>VLOOKUP(F2788,'Set up'!$A$2:$E$70,5,FALSE)</f>
        <v>Trsf</v>
      </c>
      <c r="S2788" s="1" t="s">
        <v>3085</v>
      </c>
    </row>
    <row r="2789" spans="1:19" ht="15" customHeight="1" x14ac:dyDescent="0.3">
      <c r="A2789" s="4">
        <v>45394</v>
      </c>
      <c r="B2789" s="5">
        <f t="shared" si="679"/>
        <v>4</v>
      </c>
      <c r="C2789" s="5">
        <f t="shared" si="680"/>
        <v>2024</v>
      </c>
      <c r="D2789" s="5" t="s">
        <v>2514</v>
      </c>
      <c r="E2789" s="5" t="str">
        <f>VLOOKUP(F2789,'Set up'!$A$2:$C$70,2,FALSE)</f>
        <v>C00000042</v>
      </c>
      <c r="F2789" s="1" t="s">
        <v>2012</v>
      </c>
      <c r="G2789" s="99" t="s">
        <v>1733</v>
      </c>
      <c r="H2789" s="5">
        <v>6</v>
      </c>
      <c r="I2789" s="5" t="str">
        <f>VLOOKUP(F2789,'Set up'!$A$2:$C$70,3,FALSE)</f>
        <v>Cash</v>
      </c>
      <c r="J2789" s="5">
        <f>VLOOKUP(F2789,'Set up'!$A$2:$D$70,4,FALSE)</f>
        <v>0</v>
      </c>
      <c r="K2789" s="4">
        <f t="shared" si="681"/>
        <v>45394</v>
      </c>
      <c r="L2789" s="5">
        <f t="shared" si="682"/>
        <v>4</v>
      </c>
      <c r="M2789" s="5">
        <f t="shared" si="683"/>
        <v>2024</v>
      </c>
      <c r="N2789" s="12">
        <v>9768</v>
      </c>
      <c r="O2789" s="6">
        <f t="shared" si="690"/>
        <v>-9768</v>
      </c>
      <c r="P2789" s="6">
        <f t="shared" si="688"/>
        <v>0</v>
      </c>
      <c r="Q2789" s="7">
        <f t="shared" si="684"/>
        <v>4520950.45</v>
      </c>
      <c r="R2789" s="44" t="str">
        <f>VLOOKUP(F2789,'Set up'!$A$2:$E$70,5,FALSE)</f>
        <v>Trsf</v>
      </c>
      <c r="S2789" s="1" t="s">
        <v>3086</v>
      </c>
    </row>
    <row r="2790" spans="1:19" ht="15" customHeight="1" x14ac:dyDescent="0.3">
      <c r="A2790" s="4">
        <v>45394</v>
      </c>
      <c r="B2790" s="5">
        <f t="shared" si="679"/>
        <v>4</v>
      </c>
      <c r="C2790" s="5">
        <f t="shared" si="680"/>
        <v>2024</v>
      </c>
      <c r="D2790" s="5" t="s">
        <v>2514</v>
      </c>
      <c r="E2790" s="5" t="str">
        <f>VLOOKUP(F2790,'Set up'!$A$2:$C$70,2,FALSE)</f>
        <v>C00000042</v>
      </c>
      <c r="F2790" s="1" t="s">
        <v>2012</v>
      </c>
      <c r="G2790" s="99" t="s">
        <v>913</v>
      </c>
      <c r="H2790" s="5">
        <v>20</v>
      </c>
      <c r="I2790" s="5" t="str">
        <f>VLOOKUP(F2790,'Set up'!$A$2:$C$70,3,FALSE)</f>
        <v>Cash</v>
      </c>
      <c r="J2790" s="5">
        <f>VLOOKUP(F2790,'Set up'!$A$2:$D$70,4,FALSE)</f>
        <v>0</v>
      </c>
      <c r="K2790" s="4">
        <f t="shared" si="681"/>
        <v>45394</v>
      </c>
      <c r="L2790" s="5">
        <f t="shared" si="682"/>
        <v>4</v>
      </c>
      <c r="M2790" s="5">
        <f t="shared" si="683"/>
        <v>2024</v>
      </c>
      <c r="N2790" s="12">
        <v>3480</v>
      </c>
      <c r="O2790" s="6">
        <f t="shared" si="690"/>
        <v>-3480</v>
      </c>
      <c r="P2790" s="6">
        <f t="shared" si="688"/>
        <v>0</v>
      </c>
      <c r="Q2790" s="7">
        <f t="shared" si="684"/>
        <v>4524430.45</v>
      </c>
      <c r="R2790" s="44" t="str">
        <f>VLOOKUP(F2790,'Set up'!$A$2:$E$70,5,FALSE)</f>
        <v>Trsf</v>
      </c>
      <c r="S2790" s="1" t="s">
        <v>3087</v>
      </c>
    </row>
    <row r="2791" spans="1:19" ht="15" customHeight="1" x14ac:dyDescent="0.3">
      <c r="A2791" s="4">
        <v>45394</v>
      </c>
      <c r="B2791" s="5">
        <f t="shared" si="679"/>
        <v>4</v>
      </c>
      <c r="C2791" s="5">
        <f t="shared" si="680"/>
        <v>2024</v>
      </c>
      <c r="D2791" s="5" t="s">
        <v>2514</v>
      </c>
      <c r="E2791" s="5" t="str">
        <f>VLOOKUP(F2791,'Set up'!$A$2:$C$70,2,FALSE)</f>
        <v>C00000042</v>
      </c>
      <c r="F2791" s="1" t="s">
        <v>2012</v>
      </c>
      <c r="G2791" s="99" t="s">
        <v>1922</v>
      </c>
      <c r="H2791" s="5">
        <v>10</v>
      </c>
      <c r="I2791" s="5" t="str">
        <f>VLOOKUP(F2791,'Set up'!$A$2:$C$70,3,FALSE)</f>
        <v>Cash</v>
      </c>
      <c r="J2791" s="5">
        <f>VLOOKUP(F2791,'Set up'!$A$2:$D$70,4,FALSE)</f>
        <v>0</v>
      </c>
      <c r="K2791" s="4">
        <f t="shared" si="681"/>
        <v>45394</v>
      </c>
      <c r="L2791" s="5">
        <f t="shared" si="682"/>
        <v>4</v>
      </c>
      <c r="M2791" s="5">
        <f t="shared" si="683"/>
        <v>2024</v>
      </c>
      <c r="N2791" s="12">
        <v>2340</v>
      </c>
      <c r="O2791" s="6">
        <f t="shared" si="690"/>
        <v>-2340</v>
      </c>
      <c r="P2791" s="6">
        <f t="shared" si="688"/>
        <v>0</v>
      </c>
      <c r="Q2791" s="7">
        <f t="shared" si="684"/>
        <v>4526770.45</v>
      </c>
      <c r="R2791" s="44" t="str">
        <f>VLOOKUP(F2791,'Set up'!$A$2:$E$70,5,FALSE)</f>
        <v>Trsf</v>
      </c>
      <c r="S2791" s="1" t="s">
        <v>3088</v>
      </c>
    </row>
    <row r="2792" spans="1:19" ht="15" customHeight="1" x14ac:dyDescent="0.3">
      <c r="A2792" s="4">
        <v>45394</v>
      </c>
      <c r="B2792" s="5">
        <f t="shared" si="679"/>
        <v>4</v>
      </c>
      <c r="C2792" s="5">
        <f t="shared" si="680"/>
        <v>2024</v>
      </c>
      <c r="D2792" s="5" t="s">
        <v>2514</v>
      </c>
      <c r="E2792" s="5" t="str">
        <f>VLOOKUP(F2792,'Set up'!$A$2:$C$70,2,FALSE)</f>
        <v>C00000042</v>
      </c>
      <c r="F2792" s="1" t="s">
        <v>2012</v>
      </c>
      <c r="G2792" s="99" t="s">
        <v>1061</v>
      </c>
      <c r="H2792" s="5">
        <v>4</v>
      </c>
      <c r="I2792" s="5" t="str">
        <f>VLOOKUP(F2792,'Set up'!$A$2:$C$70,3,FALSE)</f>
        <v>Cash</v>
      </c>
      <c r="J2792" s="5">
        <f>VLOOKUP(F2792,'Set up'!$A$2:$D$70,4,FALSE)</f>
        <v>0</v>
      </c>
      <c r="K2792" s="4">
        <f t="shared" si="681"/>
        <v>45394</v>
      </c>
      <c r="L2792" s="5">
        <f t="shared" si="682"/>
        <v>4</v>
      </c>
      <c r="M2792" s="5">
        <f t="shared" si="683"/>
        <v>2024</v>
      </c>
      <c r="N2792" s="12">
        <v>380</v>
      </c>
      <c r="O2792" s="6">
        <f t="shared" si="690"/>
        <v>-380</v>
      </c>
      <c r="P2792" s="6">
        <f t="shared" si="688"/>
        <v>0</v>
      </c>
      <c r="Q2792" s="7">
        <f t="shared" si="684"/>
        <v>4527150.45</v>
      </c>
      <c r="R2792" s="44" t="str">
        <f>VLOOKUP(F2792,'Set up'!$A$2:$E$70,5,FALSE)</f>
        <v>Trsf</v>
      </c>
      <c r="S2792" s="1" t="s">
        <v>3089</v>
      </c>
    </row>
    <row r="2793" spans="1:19" ht="15" customHeight="1" x14ac:dyDescent="0.3">
      <c r="A2793" s="4">
        <v>45394</v>
      </c>
      <c r="B2793" s="5">
        <f t="shared" si="679"/>
        <v>4</v>
      </c>
      <c r="C2793" s="5">
        <f t="shared" si="680"/>
        <v>2024</v>
      </c>
      <c r="D2793" s="5" t="s">
        <v>2514</v>
      </c>
      <c r="E2793" s="5" t="str">
        <f>VLOOKUP(F2793,'Set up'!$A$2:$C$70,2,FALSE)</f>
        <v>C00000042</v>
      </c>
      <c r="F2793" s="1" t="s">
        <v>2012</v>
      </c>
      <c r="G2793" s="99" t="s">
        <v>1073</v>
      </c>
      <c r="H2793" s="5">
        <v>1</v>
      </c>
      <c r="I2793" s="5" t="str">
        <f>VLOOKUP(F2793,'Set up'!$A$2:$C$70,3,FALSE)</f>
        <v>Cash</v>
      </c>
      <c r="J2793" s="5">
        <f>VLOOKUP(F2793,'Set up'!$A$2:$D$70,4,FALSE)</f>
        <v>0</v>
      </c>
      <c r="K2793" s="4">
        <f t="shared" si="681"/>
        <v>45394</v>
      </c>
      <c r="L2793" s="5">
        <f t="shared" si="682"/>
        <v>4</v>
      </c>
      <c r="M2793" s="5">
        <f t="shared" si="683"/>
        <v>2024</v>
      </c>
      <c r="N2793" s="12">
        <v>1000</v>
      </c>
      <c r="O2793" s="6">
        <f t="shared" si="690"/>
        <v>-1000</v>
      </c>
      <c r="P2793" s="6">
        <f t="shared" si="688"/>
        <v>0</v>
      </c>
      <c r="Q2793" s="7">
        <f t="shared" si="684"/>
        <v>4528150.45</v>
      </c>
      <c r="R2793" s="44" t="str">
        <f>VLOOKUP(F2793,'Set up'!$A$2:$E$70,5,FALSE)</f>
        <v>Trsf</v>
      </c>
      <c r="S2793" s="1" t="s">
        <v>3090</v>
      </c>
    </row>
    <row r="2794" spans="1:19" ht="15" customHeight="1" x14ac:dyDescent="0.3">
      <c r="A2794" s="4">
        <v>45402</v>
      </c>
      <c r="B2794" s="5">
        <f t="shared" si="679"/>
        <v>4</v>
      </c>
      <c r="C2794" s="5">
        <f t="shared" si="680"/>
        <v>2024</v>
      </c>
      <c r="D2794" s="5" t="s">
        <v>2515</v>
      </c>
      <c r="E2794" s="5" t="str">
        <f>VLOOKUP(F2794,'Set up'!$A$2:$C$70,2,FALSE)</f>
        <v>C00000019</v>
      </c>
      <c r="F2794" s="1" t="s">
        <v>400</v>
      </c>
      <c r="G2794" s="99" t="s">
        <v>719</v>
      </c>
      <c r="H2794" s="5">
        <v>1</v>
      </c>
      <c r="I2794" s="5" t="str">
        <f>VLOOKUP(F2794,'Set up'!$A$2:$C$70,3,FALSE)</f>
        <v>Cash</v>
      </c>
      <c r="J2794" s="5">
        <f>VLOOKUP(F2794,'Set up'!$A$2:$D$70,4,FALSE)</f>
        <v>0</v>
      </c>
      <c r="K2794" s="4">
        <f t="shared" si="681"/>
        <v>45402</v>
      </c>
      <c r="L2794" s="5">
        <f t="shared" si="682"/>
        <v>4</v>
      </c>
      <c r="M2794" s="5">
        <f t="shared" si="683"/>
        <v>2024</v>
      </c>
      <c r="N2794" s="12">
        <v>1738</v>
      </c>
      <c r="O2794" s="12">
        <f>-500.7-1000-237.3</f>
        <v>-1738</v>
      </c>
      <c r="P2794" s="6">
        <f t="shared" si="688"/>
        <v>0</v>
      </c>
      <c r="Q2794" s="7">
        <f t="shared" si="684"/>
        <v>4529888.45</v>
      </c>
      <c r="R2794" s="44" t="str">
        <f>VLOOKUP(F2794,'Set up'!$A$2:$E$70,5,FALSE)</f>
        <v>Trsf</v>
      </c>
      <c r="S2794" s="1" t="s">
        <v>3896</v>
      </c>
    </row>
    <row r="2795" spans="1:19" ht="15" customHeight="1" x14ac:dyDescent="0.3">
      <c r="A2795" s="4">
        <v>45402</v>
      </c>
      <c r="B2795" s="5">
        <f t="shared" si="679"/>
        <v>4</v>
      </c>
      <c r="C2795" s="5">
        <f t="shared" si="680"/>
        <v>2024</v>
      </c>
      <c r="D2795" s="5" t="s">
        <v>2515</v>
      </c>
      <c r="E2795" s="5" t="str">
        <f>VLOOKUP(F2795,'Set up'!$A$2:$C$70,2,FALSE)</f>
        <v>C00000019</v>
      </c>
      <c r="F2795" s="1" t="s">
        <v>400</v>
      </c>
      <c r="G2795" s="99" t="s">
        <v>791</v>
      </c>
      <c r="H2795" s="5">
        <v>3</v>
      </c>
      <c r="I2795" s="5" t="str">
        <f>VLOOKUP(F2795,'Set up'!$A$2:$C$70,3,FALSE)</f>
        <v>Cash</v>
      </c>
      <c r="J2795" s="5">
        <f>VLOOKUP(F2795,'Set up'!$A$2:$D$70,4,FALSE)</f>
        <v>0</v>
      </c>
      <c r="K2795" s="4">
        <f t="shared" si="681"/>
        <v>45402</v>
      </c>
      <c r="L2795" s="5">
        <f t="shared" si="682"/>
        <v>4</v>
      </c>
      <c r="M2795" s="5">
        <f t="shared" si="683"/>
        <v>2024</v>
      </c>
      <c r="N2795" s="12">
        <v>187.5</v>
      </c>
      <c r="O2795" s="6">
        <f t="shared" ref="O2795" si="691">-N2795</f>
        <v>-187.5</v>
      </c>
      <c r="P2795" s="6">
        <f t="shared" si="688"/>
        <v>0</v>
      </c>
      <c r="Q2795" s="7">
        <f t="shared" si="684"/>
        <v>4530075.95</v>
      </c>
      <c r="R2795" s="44" t="str">
        <f>VLOOKUP(F2795,'Set up'!$A$2:$E$70,5,FALSE)</f>
        <v>Trsf</v>
      </c>
      <c r="S2795" s="1" t="s">
        <v>3897</v>
      </c>
    </row>
    <row r="2796" spans="1:19" ht="15" customHeight="1" x14ac:dyDescent="0.3">
      <c r="A2796" s="4">
        <v>45404</v>
      </c>
      <c r="B2796" s="5">
        <f t="shared" si="679"/>
        <v>4</v>
      </c>
      <c r="C2796" s="5">
        <f t="shared" si="680"/>
        <v>2024</v>
      </c>
      <c r="D2796" s="5" t="s">
        <v>2516</v>
      </c>
      <c r="E2796" s="5" t="str">
        <f>VLOOKUP(F2796,'Set up'!$A$2:$C$70,2,FALSE)</f>
        <v>C00000010</v>
      </c>
      <c r="F2796" s="1" t="s">
        <v>62</v>
      </c>
      <c r="G2796" s="99" t="s">
        <v>1178</v>
      </c>
      <c r="H2796" s="5">
        <v>6</v>
      </c>
      <c r="I2796" s="5">
        <f>VLOOKUP(F2796,'Set up'!$A$2:$C$70,3,FALSE)</f>
        <v>120</v>
      </c>
      <c r="J2796" s="5">
        <f>VLOOKUP(F2796,'Set up'!$A$2:$D$70,4,FALSE)</f>
        <v>120</v>
      </c>
      <c r="K2796" s="4">
        <f t="shared" si="681"/>
        <v>45524</v>
      </c>
      <c r="L2796" s="5">
        <f t="shared" si="682"/>
        <v>8</v>
      </c>
      <c r="M2796" s="5">
        <f t="shared" si="683"/>
        <v>2024</v>
      </c>
      <c r="N2796" s="12">
        <v>9768</v>
      </c>
      <c r="O2796" s="6">
        <f t="shared" ref="O2796:O2799" si="692">-N2796</f>
        <v>-9768</v>
      </c>
      <c r="P2796" s="6">
        <f t="shared" si="688"/>
        <v>0</v>
      </c>
      <c r="Q2796" s="7">
        <f t="shared" si="684"/>
        <v>4539843.95</v>
      </c>
      <c r="R2796" s="44" t="str">
        <f>VLOOKUP(F2796,'Set up'!$A$2:$E$70,5,FALSE)</f>
        <v>Trsf</v>
      </c>
      <c r="S2796" s="1" t="s">
        <v>2988</v>
      </c>
    </row>
    <row r="2797" spans="1:19" ht="15" customHeight="1" x14ac:dyDescent="0.3">
      <c r="A2797" s="4">
        <v>45404</v>
      </c>
      <c r="B2797" s="5">
        <f t="shared" si="679"/>
        <v>4</v>
      </c>
      <c r="C2797" s="5">
        <f t="shared" si="680"/>
        <v>2024</v>
      </c>
      <c r="D2797" s="5" t="s">
        <v>2516</v>
      </c>
      <c r="E2797" s="5" t="str">
        <f>VLOOKUP(F2797,'Set up'!$A$2:$C$70,2,FALSE)</f>
        <v>C00000010</v>
      </c>
      <c r="F2797" s="1" t="s">
        <v>62</v>
      </c>
      <c r="G2797" s="99" t="s">
        <v>1543</v>
      </c>
      <c r="H2797" s="5">
        <v>10</v>
      </c>
      <c r="I2797" s="5">
        <f>VLOOKUP(F2797,'Set up'!$A$2:$C$70,3,FALSE)</f>
        <v>120</v>
      </c>
      <c r="J2797" s="5">
        <f>VLOOKUP(F2797,'Set up'!$A$2:$D$70,4,FALSE)</f>
        <v>120</v>
      </c>
      <c r="K2797" s="4">
        <f t="shared" si="681"/>
        <v>45524</v>
      </c>
      <c r="L2797" s="5">
        <f t="shared" si="682"/>
        <v>8</v>
      </c>
      <c r="M2797" s="5">
        <f t="shared" si="683"/>
        <v>2024</v>
      </c>
      <c r="N2797" s="12">
        <v>1740</v>
      </c>
      <c r="O2797" s="6">
        <f t="shared" si="692"/>
        <v>-1740</v>
      </c>
      <c r="P2797" s="6">
        <f t="shared" si="688"/>
        <v>0</v>
      </c>
      <c r="Q2797" s="7">
        <f t="shared" si="684"/>
        <v>4541583.95</v>
      </c>
      <c r="R2797" s="44" t="str">
        <f>VLOOKUP(F2797,'Set up'!$A$2:$E$70,5,FALSE)</f>
        <v>Trsf</v>
      </c>
      <c r="S2797" s="1" t="s">
        <v>2988</v>
      </c>
    </row>
    <row r="2798" spans="1:19" ht="15" customHeight="1" x14ac:dyDescent="0.3">
      <c r="A2798" s="4">
        <v>45404</v>
      </c>
      <c r="B2798" s="5">
        <f t="shared" si="679"/>
        <v>4</v>
      </c>
      <c r="C2798" s="5">
        <f t="shared" si="680"/>
        <v>2024</v>
      </c>
      <c r="D2798" s="5" t="s">
        <v>2516</v>
      </c>
      <c r="E2798" s="5" t="str">
        <f>VLOOKUP(F2798,'Set up'!$A$2:$C$70,2,FALSE)</f>
        <v>C00000010</v>
      </c>
      <c r="F2798" s="1" t="s">
        <v>62</v>
      </c>
      <c r="G2798" s="99" t="s">
        <v>46</v>
      </c>
      <c r="H2798" s="5">
        <v>4</v>
      </c>
      <c r="I2798" s="5">
        <f>VLOOKUP(F2798,'Set up'!$A$2:$C$70,3,FALSE)</f>
        <v>120</v>
      </c>
      <c r="J2798" s="5">
        <f>VLOOKUP(F2798,'Set up'!$A$2:$D$70,4,FALSE)</f>
        <v>120</v>
      </c>
      <c r="K2798" s="4">
        <f t="shared" si="681"/>
        <v>45524</v>
      </c>
      <c r="L2798" s="5">
        <f t="shared" si="682"/>
        <v>8</v>
      </c>
      <c r="M2798" s="5">
        <f t="shared" si="683"/>
        <v>2024</v>
      </c>
      <c r="N2798" s="12">
        <v>440</v>
      </c>
      <c r="O2798" s="6">
        <f t="shared" si="692"/>
        <v>-440</v>
      </c>
      <c r="P2798" s="6">
        <f t="shared" si="688"/>
        <v>0</v>
      </c>
      <c r="Q2798" s="7">
        <f t="shared" si="684"/>
        <v>4542023.95</v>
      </c>
      <c r="R2798" s="44" t="str">
        <f>VLOOKUP(F2798,'Set up'!$A$2:$E$70,5,FALSE)</f>
        <v>Trsf</v>
      </c>
      <c r="S2798" s="1" t="s">
        <v>2988</v>
      </c>
    </row>
    <row r="2799" spans="1:19" ht="15" customHeight="1" x14ac:dyDescent="0.3">
      <c r="A2799" s="4">
        <v>45404</v>
      </c>
      <c r="B2799" s="5">
        <f t="shared" si="679"/>
        <v>4</v>
      </c>
      <c r="C2799" s="5">
        <f t="shared" si="680"/>
        <v>2024</v>
      </c>
      <c r="D2799" s="5" t="s">
        <v>2516</v>
      </c>
      <c r="E2799" s="5" t="str">
        <f>VLOOKUP(F2799,'Set up'!$A$2:$C$70,2,FALSE)</f>
        <v>C00000010</v>
      </c>
      <c r="F2799" s="1" t="s">
        <v>62</v>
      </c>
      <c r="G2799" s="99" t="s">
        <v>614</v>
      </c>
      <c r="H2799" s="5">
        <v>1</v>
      </c>
      <c r="I2799" s="5">
        <f>VLOOKUP(F2799,'Set up'!$A$2:$C$70,3,FALSE)</f>
        <v>120</v>
      </c>
      <c r="J2799" s="5">
        <f>VLOOKUP(F2799,'Set up'!$A$2:$D$70,4,FALSE)</f>
        <v>120</v>
      </c>
      <c r="K2799" s="4">
        <f t="shared" si="681"/>
        <v>45524</v>
      </c>
      <c r="L2799" s="5">
        <f t="shared" si="682"/>
        <v>8</v>
      </c>
      <c r="M2799" s="5">
        <f t="shared" si="683"/>
        <v>2024</v>
      </c>
      <c r="N2799" s="12">
        <v>395</v>
      </c>
      <c r="O2799" s="6">
        <f t="shared" si="692"/>
        <v>-395</v>
      </c>
      <c r="P2799" s="6">
        <f t="shared" si="688"/>
        <v>0</v>
      </c>
      <c r="Q2799" s="7">
        <f t="shared" si="684"/>
        <v>4542418.95</v>
      </c>
      <c r="R2799" s="44" t="str">
        <f>VLOOKUP(F2799,'Set up'!$A$2:$E$70,5,FALSE)</f>
        <v>Trsf</v>
      </c>
      <c r="S2799" s="1" t="s">
        <v>2988</v>
      </c>
    </row>
    <row r="2800" spans="1:19" ht="15" customHeight="1" x14ac:dyDescent="0.3">
      <c r="A2800" s="4">
        <v>45406</v>
      </c>
      <c r="B2800" s="5">
        <f t="shared" si="679"/>
        <v>4</v>
      </c>
      <c r="C2800" s="5">
        <f t="shared" si="680"/>
        <v>2024</v>
      </c>
      <c r="D2800" s="5" t="s">
        <v>2517</v>
      </c>
      <c r="E2800" s="5" t="str">
        <f>VLOOKUP(F2800,'Set up'!$A$2:$C$70,2,FALSE)</f>
        <v>C00000014</v>
      </c>
      <c r="F2800" s="1" t="s">
        <v>262</v>
      </c>
      <c r="G2800" s="99" t="s">
        <v>303</v>
      </c>
      <c r="H2800" s="5">
        <v>1</v>
      </c>
      <c r="I2800" s="5" t="str">
        <f>VLOOKUP(F2800,'Set up'!$A$2:$C$70,3,FALSE)</f>
        <v>Cash</v>
      </c>
      <c r="J2800" s="5">
        <f>VLOOKUP(F2800,'Set up'!$A$2:$D$70,4,FALSE)</f>
        <v>0</v>
      </c>
      <c r="K2800" s="4">
        <f t="shared" si="681"/>
        <v>45406</v>
      </c>
      <c r="L2800" s="5">
        <f t="shared" si="682"/>
        <v>4</v>
      </c>
      <c r="M2800" s="5">
        <f t="shared" si="683"/>
        <v>2024</v>
      </c>
      <c r="N2800" s="12">
        <v>1628</v>
      </c>
      <c r="O2800" s="6">
        <f t="shared" ref="O2800:O2805" si="693">-N2800</f>
        <v>-1628</v>
      </c>
      <c r="P2800" s="6">
        <f t="shared" si="688"/>
        <v>0</v>
      </c>
      <c r="Q2800" s="7">
        <f t="shared" si="684"/>
        <v>4544046.95</v>
      </c>
      <c r="R2800" s="44" t="str">
        <f>VLOOKUP(F2800,'Set up'!$A$2:$E$70,5,FALSE)</f>
        <v>Cash</v>
      </c>
      <c r="S2800" s="1" t="s">
        <v>2545</v>
      </c>
    </row>
    <row r="2801" spans="1:19" ht="15" customHeight="1" x14ac:dyDescent="0.3">
      <c r="A2801" s="4">
        <v>45406</v>
      </c>
      <c r="B2801" s="5">
        <f t="shared" si="679"/>
        <v>4</v>
      </c>
      <c r="C2801" s="5">
        <f t="shared" si="680"/>
        <v>2024</v>
      </c>
      <c r="D2801" s="5" t="s">
        <v>2517</v>
      </c>
      <c r="E2801" s="5" t="str">
        <f>VLOOKUP(F2801,'Set up'!$A$2:$C$70,2,FALSE)</f>
        <v>C00000014</v>
      </c>
      <c r="F2801" s="1" t="s">
        <v>262</v>
      </c>
      <c r="G2801" s="99" t="s">
        <v>1543</v>
      </c>
      <c r="H2801" s="5">
        <v>3</v>
      </c>
      <c r="I2801" s="5" t="str">
        <f>VLOOKUP(F2801,'Set up'!$A$2:$C$70,3,FALSE)</f>
        <v>Cash</v>
      </c>
      <c r="J2801" s="5">
        <f>VLOOKUP(F2801,'Set up'!$A$2:$D$70,4,FALSE)</f>
        <v>0</v>
      </c>
      <c r="K2801" s="4">
        <f t="shared" si="681"/>
        <v>45406</v>
      </c>
      <c r="L2801" s="5">
        <f t="shared" si="682"/>
        <v>4</v>
      </c>
      <c r="M2801" s="5">
        <f t="shared" si="683"/>
        <v>2024</v>
      </c>
      <c r="N2801" s="12">
        <v>621</v>
      </c>
      <c r="O2801" s="6">
        <f t="shared" si="693"/>
        <v>-621</v>
      </c>
      <c r="P2801" s="6">
        <f t="shared" si="688"/>
        <v>0</v>
      </c>
      <c r="Q2801" s="7">
        <f t="shared" si="684"/>
        <v>4544667.95</v>
      </c>
      <c r="R2801" s="44" t="str">
        <f>VLOOKUP(F2801,'Set up'!$A$2:$E$70,5,FALSE)</f>
        <v>Cash</v>
      </c>
      <c r="S2801" s="1" t="s">
        <v>2545</v>
      </c>
    </row>
    <row r="2802" spans="1:19" ht="15" customHeight="1" x14ac:dyDescent="0.3">
      <c r="A2802" s="4">
        <v>45406</v>
      </c>
      <c r="B2802" s="5">
        <f t="shared" si="679"/>
        <v>4</v>
      </c>
      <c r="C2802" s="5">
        <f t="shared" si="680"/>
        <v>2024</v>
      </c>
      <c r="D2802" s="5" t="s">
        <v>2517</v>
      </c>
      <c r="E2802" s="5" t="str">
        <f>VLOOKUP(F2802,'Set up'!$A$2:$C$70,2,FALSE)</f>
        <v>C00000014</v>
      </c>
      <c r="F2802" s="1" t="s">
        <v>262</v>
      </c>
      <c r="G2802" s="99" t="s">
        <v>2096</v>
      </c>
      <c r="H2802" s="5">
        <v>1</v>
      </c>
      <c r="I2802" s="5" t="str">
        <f>VLOOKUP(F2802,'Set up'!$A$2:$C$70,3,FALSE)</f>
        <v>Cash</v>
      </c>
      <c r="J2802" s="5">
        <f>VLOOKUP(F2802,'Set up'!$A$2:$D$70,4,FALSE)</f>
        <v>0</v>
      </c>
      <c r="K2802" s="4">
        <f t="shared" si="681"/>
        <v>45406</v>
      </c>
      <c r="L2802" s="5">
        <f t="shared" si="682"/>
        <v>4</v>
      </c>
      <c r="M2802" s="5">
        <f t="shared" si="683"/>
        <v>2024</v>
      </c>
      <c r="N2802" s="12">
        <v>283.8</v>
      </c>
      <c r="O2802" s="6">
        <f t="shared" si="693"/>
        <v>-283.8</v>
      </c>
      <c r="P2802" s="6">
        <f t="shared" si="688"/>
        <v>0</v>
      </c>
      <c r="Q2802" s="7">
        <f t="shared" si="684"/>
        <v>4544951.75</v>
      </c>
      <c r="R2802" s="44" t="str">
        <f>VLOOKUP(F2802,'Set up'!$A$2:$E$70,5,FALSE)</f>
        <v>Cash</v>
      </c>
      <c r="S2802" s="1" t="s">
        <v>2545</v>
      </c>
    </row>
    <row r="2803" spans="1:19" ht="15" customHeight="1" x14ac:dyDescent="0.3">
      <c r="A2803" s="4">
        <v>45406</v>
      </c>
      <c r="B2803" s="5">
        <f t="shared" si="679"/>
        <v>4</v>
      </c>
      <c r="C2803" s="5">
        <f t="shared" si="680"/>
        <v>2024</v>
      </c>
      <c r="D2803" s="5" t="s">
        <v>2517</v>
      </c>
      <c r="E2803" s="5" t="str">
        <f>VLOOKUP(F2803,'Set up'!$A$2:$C$70,2,FALSE)</f>
        <v>C00000014</v>
      </c>
      <c r="F2803" s="1" t="s">
        <v>262</v>
      </c>
      <c r="G2803" s="99" t="s">
        <v>1886</v>
      </c>
      <c r="H2803" s="5">
        <v>1</v>
      </c>
      <c r="I2803" s="5" t="str">
        <f>VLOOKUP(F2803,'Set up'!$A$2:$C$70,3,FALSE)</f>
        <v>Cash</v>
      </c>
      <c r="J2803" s="5">
        <f>VLOOKUP(F2803,'Set up'!$A$2:$D$70,4,FALSE)</f>
        <v>0</v>
      </c>
      <c r="K2803" s="4">
        <f t="shared" si="681"/>
        <v>45406</v>
      </c>
      <c r="L2803" s="5">
        <f t="shared" si="682"/>
        <v>4</v>
      </c>
      <c r="M2803" s="5">
        <f t="shared" si="683"/>
        <v>2024</v>
      </c>
      <c r="N2803" s="12">
        <v>160</v>
      </c>
      <c r="O2803" s="6">
        <f t="shared" si="693"/>
        <v>-160</v>
      </c>
      <c r="P2803" s="6">
        <f t="shared" si="688"/>
        <v>0</v>
      </c>
      <c r="Q2803" s="7">
        <f t="shared" si="684"/>
        <v>4545111.75</v>
      </c>
      <c r="R2803" s="44" t="str">
        <f>VLOOKUP(F2803,'Set up'!$A$2:$E$70,5,FALSE)</f>
        <v>Cash</v>
      </c>
      <c r="S2803" s="1" t="s">
        <v>2545</v>
      </c>
    </row>
    <row r="2804" spans="1:19" ht="15" customHeight="1" x14ac:dyDescent="0.3">
      <c r="A2804" s="4">
        <v>45406</v>
      </c>
      <c r="B2804" s="5">
        <f t="shared" si="679"/>
        <v>4</v>
      </c>
      <c r="C2804" s="5">
        <f t="shared" si="680"/>
        <v>2024</v>
      </c>
      <c r="D2804" s="5" t="s">
        <v>2517</v>
      </c>
      <c r="E2804" s="5" t="str">
        <f>VLOOKUP(F2804,'Set up'!$A$2:$C$70,2,FALSE)</f>
        <v>C00000014</v>
      </c>
      <c r="F2804" s="1" t="s">
        <v>262</v>
      </c>
      <c r="G2804" s="99" t="s">
        <v>1715</v>
      </c>
      <c r="H2804" s="5">
        <v>1</v>
      </c>
      <c r="I2804" s="5" t="str">
        <f>VLOOKUP(F2804,'Set up'!$A$2:$C$70,3,FALSE)</f>
        <v>Cash</v>
      </c>
      <c r="J2804" s="5">
        <f>VLOOKUP(F2804,'Set up'!$A$2:$D$70,4,FALSE)</f>
        <v>0</v>
      </c>
      <c r="K2804" s="4">
        <f t="shared" si="681"/>
        <v>45406</v>
      </c>
      <c r="L2804" s="5">
        <f t="shared" si="682"/>
        <v>4</v>
      </c>
      <c r="M2804" s="5">
        <f t="shared" si="683"/>
        <v>2024</v>
      </c>
      <c r="N2804" s="12">
        <v>165</v>
      </c>
      <c r="O2804" s="6">
        <f t="shared" si="693"/>
        <v>-165</v>
      </c>
      <c r="P2804" s="6">
        <f t="shared" si="688"/>
        <v>0</v>
      </c>
      <c r="Q2804" s="7">
        <f t="shared" si="684"/>
        <v>4545276.75</v>
      </c>
      <c r="R2804" s="44" t="str">
        <f>VLOOKUP(F2804,'Set up'!$A$2:$E$70,5,FALSE)</f>
        <v>Cash</v>
      </c>
      <c r="S2804" s="1" t="s">
        <v>2545</v>
      </c>
    </row>
    <row r="2805" spans="1:19" ht="15" customHeight="1" x14ac:dyDescent="0.3">
      <c r="A2805" s="4">
        <v>45406</v>
      </c>
      <c r="B2805" s="5">
        <f t="shared" si="679"/>
        <v>4</v>
      </c>
      <c r="C2805" s="5">
        <f t="shared" si="680"/>
        <v>2024</v>
      </c>
      <c r="D2805" s="5" t="s">
        <v>2517</v>
      </c>
      <c r="E2805" s="5" t="str">
        <f>VLOOKUP(F2805,'Set up'!$A$2:$C$70,2,FALSE)</f>
        <v>C00000014</v>
      </c>
      <c r="F2805" s="1" t="s">
        <v>262</v>
      </c>
      <c r="G2805" s="99" t="s">
        <v>17</v>
      </c>
      <c r="H2805" s="5">
        <v>1</v>
      </c>
      <c r="I2805" s="5" t="str">
        <f>VLOOKUP(F2805,'Set up'!$A$2:$C$70,3,FALSE)</f>
        <v>Cash</v>
      </c>
      <c r="J2805" s="5">
        <f>VLOOKUP(F2805,'Set up'!$A$2:$D$70,4,FALSE)</f>
        <v>0</v>
      </c>
      <c r="K2805" s="4">
        <f t="shared" si="681"/>
        <v>45406</v>
      </c>
      <c r="L2805" s="5">
        <f t="shared" si="682"/>
        <v>4</v>
      </c>
      <c r="M2805" s="5">
        <f t="shared" si="683"/>
        <v>2024</v>
      </c>
      <c r="N2805" s="12">
        <v>110</v>
      </c>
      <c r="O2805" s="6">
        <f t="shared" si="693"/>
        <v>-110</v>
      </c>
      <c r="P2805" s="6">
        <f t="shared" si="688"/>
        <v>0</v>
      </c>
      <c r="Q2805" s="7">
        <f t="shared" si="684"/>
        <v>4545386.75</v>
      </c>
      <c r="R2805" s="44" t="str">
        <f>VLOOKUP(F2805,'Set up'!$A$2:$E$70,5,FALSE)</f>
        <v>Cash</v>
      </c>
      <c r="S2805" s="1" t="s">
        <v>2545</v>
      </c>
    </row>
    <row r="2806" spans="1:19" ht="15" customHeight="1" x14ac:dyDescent="0.3">
      <c r="A2806" s="4">
        <v>45406</v>
      </c>
      <c r="B2806" s="5">
        <f t="shared" si="679"/>
        <v>4</v>
      </c>
      <c r="C2806" s="5">
        <f t="shared" si="680"/>
        <v>2024</v>
      </c>
      <c r="D2806" s="5" t="s">
        <v>2517</v>
      </c>
      <c r="E2806" s="5" t="str">
        <f>VLOOKUP(F2806,'Set up'!$A$2:$C$70,2,FALSE)</f>
        <v>C00000014</v>
      </c>
      <c r="F2806" s="1" t="s">
        <v>262</v>
      </c>
      <c r="G2806" s="99" t="s">
        <v>949</v>
      </c>
      <c r="H2806" s="5">
        <v>2</v>
      </c>
      <c r="I2806" s="5" t="str">
        <f>VLOOKUP(F2806,'Set up'!$A$2:$C$70,3,FALSE)</f>
        <v>Cash</v>
      </c>
      <c r="J2806" s="5">
        <f>VLOOKUP(F2806,'Set up'!$A$2:$D$70,4,FALSE)</f>
        <v>0</v>
      </c>
      <c r="K2806" s="4">
        <f t="shared" si="681"/>
        <v>45406</v>
      </c>
      <c r="L2806" s="5">
        <f t="shared" si="682"/>
        <v>4</v>
      </c>
      <c r="M2806" s="5">
        <f t="shared" si="683"/>
        <v>2024</v>
      </c>
      <c r="N2806" s="12">
        <v>120</v>
      </c>
      <c r="O2806" s="6">
        <f t="shared" ref="O2806" si="694">-N2806</f>
        <v>-120</v>
      </c>
      <c r="P2806" s="6">
        <f t="shared" si="688"/>
        <v>0</v>
      </c>
      <c r="Q2806" s="7">
        <f t="shared" si="684"/>
        <v>4545506.75</v>
      </c>
      <c r="R2806" s="44" t="str">
        <f>VLOOKUP(F2806,'Set up'!$A$2:$E$70,5,FALSE)</f>
        <v>Cash</v>
      </c>
      <c r="S2806" s="1" t="s">
        <v>2545</v>
      </c>
    </row>
    <row r="2807" spans="1:19" ht="15" customHeight="1" x14ac:dyDescent="0.3">
      <c r="A2807" s="4">
        <v>45407</v>
      </c>
      <c r="B2807" s="5">
        <f t="shared" si="679"/>
        <v>4</v>
      </c>
      <c r="C2807" s="5">
        <f t="shared" si="680"/>
        <v>2024</v>
      </c>
      <c r="D2807" s="5" t="s">
        <v>2518</v>
      </c>
      <c r="E2807" s="5" t="str">
        <f>VLOOKUP(F2807,'Set up'!$A$2:$C$70,2,FALSE)</f>
        <v>C00000021</v>
      </c>
      <c r="F2807" s="1" t="s">
        <v>491</v>
      </c>
      <c r="G2807" s="99" t="s">
        <v>67</v>
      </c>
      <c r="H2807" s="5">
        <v>1</v>
      </c>
      <c r="I2807" s="5" t="str">
        <f>VLOOKUP(F2807,'Set up'!$A$2:$C$70,3,FALSE)</f>
        <v>Cash</v>
      </c>
      <c r="J2807" s="5">
        <f>VLOOKUP(F2807,'Set up'!$A$2:$D$70,4,FALSE)</f>
        <v>0</v>
      </c>
      <c r="K2807" s="4">
        <f t="shared" si="681"/>
        <v>45407</v>
      </c>
      <c r="L2807" s="5">
        <f t="shared" si="682"/>
        <v>4</v>
      </c>
      <c r="M2807" s="5">
        <f t="shared" si="683"/>
        <v>2024</v>
      </c>
      <c r="N2807" s="12">
        <v>1738</v>
      </c>
      <c r="O2807" s="12"/>
      <c r="P2807" s="6">
        <f t="shared" si="688"/>
        <v>1738</v>
      </c>
      <c r="Q2807" s="7">
        <f t="shared" si="684"/>
        <v>4547244.75</v>
      </c>
      <c r="R2807" s="44" t="str">
        <f>VLOOKUP(F2807,'Set up'!$A$2:$E$70,5,FALSE)</f>
        <v>PD Chq</v>
      </c>
    </row>
    <row r="2808" spans="1:19" ht="15" customHeight="1" x14ac:dyDescent="0.3">
      <c r="A2808" s="4">
        <v>45407</v>
      </c>
      <c r="B2808" s="5">
        <f t="shared" si="679"/>
        <v>4</v>
      </c>
      <c r="C2808" s="5">
        <f t="shared" si="680"/>
        <v>2024</v>
      </c>
      <c r="D2808" s="5" t="s">
        <v>2518</v>
      </c>
      <c r="E2808" s="5" t="str">
        <f>VLOOKUP(F2808,'Set up'!$A$2:$C$70,2,FALSE)</f>
        <v>C00000021</v>
      </c>
      <c r="F2808" s="1" t="s">
        <v>491</v>
      </c>
      <c r="G2808" s="99" t="s">
        <v>2129</v>
      </c>
      <c r="H2808" s="5">
        <v>2</v>
      </c>
      <c r="I2808" s="5" t="str">
        <f>VLOOKUP(F2808,'Set up'!$A$2:$C$70,3,FALSE)</f>
        <v>Cash</v>
      </c>
      <c r="J2808" s="5">
        <f>VLOOKUP(F2808,'Set up'!$A$2:$D$70,4,FALSE)</f>
        <v>0</v>
      </c>
      <c r="K2808" s="4">
        <f t="shared" si="681"/>
        <v>45407</v>
      </c>
      <c r="L2808" s="5">
        <f t="shared" si="682"/>
        <v>4</v>
      </c>
      <c r="M2808" s="5">
        <f t="shared" si="683"/>
        <v>2024</v>
      </c>
      <c r="N2808" s="12">
        <v>555</v>
      </c>
      <c r="O2808" s="12"/>
      <c r="P2808" s="6">
        <f t="shared" si="688"/>
        <v>555</v>
      </c>
      <c r="Q2808" s="7">
        <f t="shared" si="684"/>
        <v>4547799.75</v>
      </c>
      <c r="R2808" s="44" t="str">
        <f>VLOOKUP(F2808,'Set up'!$A$2:$E$70,5,FALSE)</f>
        <v>PD Chq</v>
      </c>
    </row>
    <row r="2809" spans="1:19" ht="15" customHeight="1" x14ac:dyDescent="0.3">
      <c r="A2809" s="4">
        <v>45407</v>
      </c>
      <c r="B2809" s="5">
        <f t="shared" si="679"/>
        <v>4</v>
      </c>
      <c r="C2809" s="5">
        <f t="shared" si="680"/>
        <v>2024</v>
      </c>
      <c r="D2809" s="5" t="s">
        <v>2518</v>
      </c>
      <c r="E2809" s="5" t="str">
        <f>VLOOKUP(F2809,'Set up'!$A$2:$C$70,2,FALSE)</f>
        <v>C00000021</v>
      </c>
      <c r="F2809" s="1" t="s">
        <v>491</v>
      </c>
      <c r="G2809" s="99" t="s">
        <v>1061</v>
      </c>
      <c r="H2809" s="5">
        <v>1</v>
      </c>
      <c r="I2809" s="5" t="str">
        <f>VLOOKUP(F2809,'Set up'!$A$2:$C$70,3,FALSE)</f>
        <v>Cash</v>
      </c>
      <c r="J2809" s="5">
        <f>VLOOKUP(F2809,'Set up'!$A$2:$D$70,4,FALSE)</f>
        <v>0</v>
      </c>
      <c r="K2809" s="4">
        <f t="shared" si="681"/>
        <v>45407</v>
      </c>
      <c r="L2809" s="5">
        <f t="shared" si="682"/>
        <v>4</v>
      </c>
      <c r="M2809" s="5">
        <f t="shared" si="683"/>
        <v>2024</v>
      </c>
      <c r="N2809" s="12">
        <v>95</v>
      </c>
      <c r="O2809" s="12"/>
      <c r="P2809" s="6">
        <f t="shared" si="688"/>
        <v>95</v>
      </c>
      <c r="Q2809" s="7">
        <f t="shared" si="684"/>
        <v>4547894.75</v>
      </c>
      <c r="R2809" s="44" t="str">
        <f>VLOOKUP(F2809,'Set up'!$A$2:$E$70,5,FALSE)</f>
        <v>PD Chq</v>
      </c>
    </row>
    <row r="2810" spans="1:19" ht="15" customHeight="1" x14ac:dyDescent="0.3">
      <c r="A2810" s="4">
        <v>45407</v>
      </c>
      <c r="B2810" s="5">
        <f t="shared" si="679"/>
        <v>4</v>
      </c>
      <c r="C2810" s="5">
        <f t="shared" si="680"/>
        <v>2024</v>
      </c>
      <c r="D2810" s="5" t="s">
        <v>2518</v>
      </c>
      <c r="E2810" s="5" t="str">
        <f>VLOOKUP(F2810,'Set up'!$A$2:$C$70,2,FALSE)</f>
        <v>C00000021</v>
      </c>
      <c r="F2810" s="1" t="s">
        <v>491</v>
      </c>
      <c r="G2810" s="99" t="s">
        <v>54</v>
      </c>
      <c r="H2810" s="5">
        <v>5</v>
      </c>
      <c r="I2810" s="5" t="str">
        <f>VLOOKUP(F2810,'Set up'!$A$2:$C$70,3,FALSE)</f>
        <v>Cash</v>
      </c>
      <c r="J2810" s="5">
        <f>VLOOKUP(F2810,'Set up'!$A$2:$D$70,4,FALSE)</f>
        <v>0</v>
      </c>
      <c r="K2810" s="4">
        <f t="shared" si="681"/>
        <v>45407</v>
      </c>
      <c r="L2810" s="5">
        <f t="shared" si="682"/>
        <v>4</v>
      </c>
      <c r="M2810" s="5">
        <f t="shared" si="683"/>
        <v>2024</v>
      </c>
      <c r="N2810" s="12">
        <v>312.5</v>
      </c>
      <c r="O2810" s="12"/>
      <c r="P2810" s="6">
        <f t="shared" si="688"/>
        <v>312.5</v>
      </c>
      <c r="Q2810" s="7">
        <f t="shared" si="684"/>
        <v>4548207.25</v>
      </c>
      <c r="R2810" s="44" t="str">
        <f>VLOOKUP(F2810,'Set up'!$A$2:$E$70,5,FALSE)</f>
        <v>PD Chq</v>
      </c>
    </row>
    <row r="2811" spans="1:19" ht="15" customHeight="1" x14ac:dyDescent="0.3">
      <c r="A2811" s="4">
        <v>45407</v>
      </c>
      <c r="B2811" s="5">
        <f t="shared" si="679"/>
        <v>4</v>
      </c>
      <c r="C2811" s="5">
        <f t="shared" si="680"/>
        <v>2024</v>
      </c>
      <c r="D2811" s="5" t="s">
        <v>2518</v>
      </c>
      <c r="E2811" s="5" t="str">
        <f>VLOOKUP(F2811,'Set up'!$A$2:$C$70,2,FALSE)</f>
        <v>C00000021</v>
      </c>
      <c r="F2811" s="1" t="s">
        <v>491</v>
      </c>
      <c r="G2811" s="99" t="s">
        <v>2519</v>
      </c>
      <c r="H2811" s="5">
        <v>12</v>
      </c>
      <c r="I2811" s="5" t="str">
        <f>VLOOKUP(F2811,'Set up'!$A$2:$C$70,3,FALSE)</f>
        <v>Cash</v>
      </c>
      <c r="J2811" s="5">
        <f>VLOOKUP(F2811,'Set up'!$A$2:$D$70,4,FALSE)</f>
        <v>0</v>
      </c>
      <c r="K2811" s="4">
        <f t="shared" si="681"/>
        <v>45407</v>
      </c>
      <c r="L2811" s="5">
        <f t="shared" si="682"/>
        <v>4</v>
      </c>
      <c r="M2811" s="5">
        <f t="shared" si="683"/>
        <v>2024</v>
      </c>
      <c r="N2811" s="12">
        <v>480</v>
      </c>
      <c r="O2811" s="12"/>
      <c r="P2811" s="6">
        <f t="shared" si="688"/>
        <v>480</v>
      </c>
      <c r="Q2811" s="7">
        <f t="shared" si="684"/>
        <v>4548687.25</v>
      </c>
      <c r="R2811" s="44" t="str">
        <f>VLOOKUP(F2811,'Set up'!$A$2:$E$70,5,FALSE)</f>
        <v>PD Chq</v>
      </c>
    </row>
    <row r="2812" spans="1:19" ht="15" customHeight="1" x14ac:dyDescent="0.3">
      <c r="A2812" s="4">
        <v>45408</v>
      </c>
      <c r="B2812" s="5">
        <f t="shared" si="679"/>
        <v>4</v>
      </c>
      <c r="C2812" s="5">
        <f t="shared" si="680"/>
        <v>2024</v>
      </c>
      <c r="D2812" s="5" t="s">
        <v>2520</v>
      </c>
      <c r="E2812" s="5" t="str">
        <f>VLOOKUP(F2812,'Set up'!$A$2:$C$70,2,FALSE)</f>
        <v>C00000044</v>
      </c>
      <c r="F2812" s="1" t="s">
        <v>2929</v>
      </c>
      <c r="G2812" s="99" t="s">
        <v>1178</v>
      </c>
      <c r="H2812" s="5">
        <v>1</v>
      </c>
      <c r="I2812" s="5" t="str">
        <f>VLOOKUP(F2812,'Set up'!$A$2:$C$70,3,FALSE)</f>
        <v>Cash</v>
      </c>
      <c r="J2812" s="5">
        <f>VLOOKUP(F2812,'Set up'!$A$2:$D$70,4,FALSE)</f>
        <v>0</v>
      </c>
      <c r="K2812" s="4">
        <f t="shared" si="681"/>
        <v>45408</v>
      </c>
      <c r="L2812" s="5">
        <f t="shared" si="682"/>
        <v>4</v>
      </c>
      <c r="M2812" s="5">
        <f t="shared" si="683"/>
        <v>2024</v>
      </c>
      <c r="N2812" s="12">
        <v>1650</v>
      </c>
      <c r="O2812" s="6">
        <f t="shared" ref="O2812:O2816" si="695">-N2812</f>
        <v>-1650</v>
      </c>
      <c r="P2812" s="6">
        <f t="shared" si="688"/>
        <v>0</v>
      </c>
      <c r="Q2812" s="7">
        <f t="shared" si="684"/>
        <v>4550337.25</v>
      </c>
      <c r="R2812" s="44" t="str">
        <f>VLOOKUP(F2812,'Set up'!$A$2:$E$70,5,FALSE)</f>
        <v>Cash</v>
      </c>
      <c r="S2812" s="1" t="s">
        <v>2546</v>
      </c>
    </row>
    <row r="2813" spans="1:19" ht="15" customHeight="1" x14ac:dyDescent="0.3">
      <c r="A2813" s="4">
        <v>45408</v>
      </c>
      <c r="B2813" s="5">
        <f t="shared" si="679"/>
        <v>4</v>
      </c>
      <c r="C2813" s="5">
        <f t="shared" si="680"/>
        <v>2024</v>
      </c>
      <c r="D2813" s="5" t="s">
        <v>2520</v>
      </c>
      <c r="E2813" s="5" t="str">
        <f>VLOOKUP(F2813,'Set up'!$A$2:$C$70,2,FALSE)</f>
        <v>C00000044</v>
      </c>
      <c r="F2813" s="1" t="s">
        <v>2929</v>
      </c>
      <c r="G2813" s="99" t="s">
        <v>1543</v>
      </c>
      <c r="H2813" s="5">
        <v>2</v>
      </c>
      <c r="I2813" s="5" t="str">
        <f>VLOOKUP(F2813,'Set up'!$A$2:$C$70,3,FALSE)</f>
        <v>Cash</v>
      </c>
      <c r="J2813" s="5">
        <f>VLOOKUP(F2813,'Set up'!$A$2:$D$70,4,FALSE)</f>
        <v>0</v>
      </c>
      <c r="K2813" s="4">
        <f t="shared" si="681"/>
        <v>45408</v>
      </c>
      <c r="L2813" s="5">
        <f t="shared" si="682"/>
        <v>4</v>
      </c>
      <c r="M2813" s="5">
        <f t="shared" si="683"/>
        <v>2024</v>
      </c>
      <c r="N2813" s="12">
        <v>420</v>
      </c>
      <c r="O2813" s="6">
        <f t="shared" si="695"/>
        <v>-420</v>
      </c>
      <c r="P2813" s="6">
        <f t="shared" si="688"/>
        <v>0</v>
      </c>
      <c r="Q2813" s="7">
        <f t="shared" si="684"/>
        <v>4550757.25</v>
      </c>
      <c r="R2813" s="44" t="str">
        <f>VLOOKUP(F2813,'Set up'!$A$2:$E$70,5,FALSE)</f>
        <v>Cash</v>
      </c>
      <c r="S2813" s="1" t="s">
        <v>2546</v>
      </c>
    </row>
    <row r="2814" spans="1:19" ht="15" customHeight="1" x14ac:dyDescent="0.3">
      <c r="A2814" s="4">
        <v>45408</v>
      </c>
      <c r="B2814" s="5">
        <f t="shared" si="679"/>
        <v>4</v>
      </c>
      <c r="C2814" s="5">
        <f t="shared" si="680"/>
        <v>2024</v>
      </c>
      <c r="D2814" s="5" t="s">
        <v>2520</v>
      </c>
      <c r="E2814" s="5" t="str">
        <f>VLOOKUP(F2814,'Set up'!$A$2:$C$70,2,FALSE)</f>
        <v>C00000044</v>
      </c>
      <c r="F2814" s="1" t="s">
        <v>2929</v>
      </c>
      <c r="G2814" s="99" t="s">
        <v>949</v>
      </c>
      <c r="H2814" s="5">
        <v>1</v>
      </c>
      <c r="I2814" s="5" t="str">
        <f>VLOOKUP(F2814,'Set up'!$A$2:$C$70,3,FALSE)</f>
        <v>Cash</v>
      </c>
      <c r="J2814" s="5">
        <f>VLOOKUP(F2814,'Set up'!$A$2:$D$70,4,FALSE)</f>
        <v>0</v>
      </c>
      <c r="K2814" s="4">
        <f t="shared" si="681"/>
        <v>45408</v>
      </c>
      <c r="L2814" s="5">
        <f t="shared" si="682"/>
        <v>4</v>
      </c>
      <c r="M2814" s="5">
        <f t="shared" si="683"/>
        <v>2024</v>
      </c>
      <c r="N2814" s="12">
        <v>60</v>
      </c>
      <c r="O2814" s="6">
        <f t="shared" si="695"/>
        <v>-60</v>
      </c>
      <c r="P2814" s="6">
        <f t="shared" si="688"/>
        <v>0</v>
      </c>
      <c r="Q2814" s="7">
        <f t="shared" si="684"/>
        <v>4550817.25</v>
      </c>
      <c r="R2814" s="44" t="str">
        <f>VLOOKUP(F2814,'Set up'!$A$2:$E$70,5,FALSE)</f>
        <v>Cash</v>
      </c>
      <c r="S2814" s="1" t="s">
        <v>2546</v>
      </c>
    </row>
    <row r="2815" spans="1:19" ht="15" customHeight="1" x14ac:dyDescent="0.3">
      <c r="A2815" s="4">
        <v>45411</v>
      </c>
      <c r="B2815" s="5">
        <f t="shared" si="679"/>
        <v>4</v>
      </c>
      <c r="C2815" s="5">
        <f t="shared" si="680"/>
        <v>2024</v>
      </c>
      <c r="D2815" s="5" t="s">
        <v>2521</v>
      </c>
      <c r="E2815" s="5" t="str">
        <f>VLOOKUP(F2815,'Set up'!$A$2:$C$70,2,FALSE)</f>
        <v>C00000019</v>
      </c>
      <c r="F2815" s="1" t="s">
        <v>400</v>
      </c>
      <c r="G2815" s="99" t="s">
        <v>944</v>
      </c>
      <c r="H2815" s="5">
        <v>1</v>
      </c>
      <c r="I2815" s="5" t="str">
        <f>VLOOKUP(F2815,'Set up'!$A$2:$C$70,3,FALSE)</f>
        <v>Cash</v>
      </c>
      <c r="J2815" s="5">
        <f>VLOOKUP(F2815,'Set up'!$A$2:$D$70,4,FALSE)</f>
        <v>0</v>
      </c>
      <c r="K2815" s="4">
        <f t="shared" si="681"/>
        <v>45411</v>
      </c>
      <c r="L2815" s="5">
        <f t="shared" si="682"/>
        <v>4</v>
      </c>
      <c r="M2815" s="5">
        <f t="shared" si="683"/>
        <v>2024</v>
      </c>
      <c r="N2815" s="12">
        <v>420</v>
      </c>
      <c r="O2815" s="6">
        <f t="shared" si="695"/>
        <v>-420</v>
      </c>
      <c r="P2815" s="6">
        <f t="shared" si="688"/>
        <v>0</v>
      </c>
      <c r="Q2815" s="7">
        <f t="shared" si="684"/>
        <v>4551237.25</v>
      </c>
      <c r="R2815" s="44" t="str">
        <f>VLOOKUP(F2815,'Set up'!$A$2:$E$70,5,FALSE)</f>
        <v>Trsf</v>
      </c>
      <c r="S2815" s="1" t="s">
        <v>3898</v>
      </c>
    </row>
    <row r="2816" spans="1:19" ht="15" customHeight="1" x14ac:dyDescent="0.3">
      <c r="A2816" s="4">
        <v>45411</v>
      </c>
      <c r="B2816" s="5">
        <f t="shared" si="679"/>
        <v>4</v>
      </c>
      <c r="C2816" s="5">
        <f t="shared" si="680"/>
        <v>2024</v>
      </c>
      <c r="D2816" s="5" t="s">
        <v>2521</v>
      </c>
      <c r="E2816" s="5" t="str">
        <f>VLOOKUP(F2816,'Set up'!$A$2:$C$70,2,FALSE)</f>
        <v>C00000019</v>
      </c>
      <c r="F2816" s="1" t="s">
        <v>400</v>
      </c>
      <c r="G2816" s="99" t="s">
        <v>46</v>
      </c>
      <c r="H2816" s="5">
        <v>1</v>
      </c>
      <c r="I2816" s="5" t="str">
        <f>VLOOKUP(F2816,'Set up'!$A$2:$C$70,3,FALSE)</f>
        <v>Cash</v>
      </c>
      <c r="J2816" s="5">
        <f>VLOOKUP(F2816,'Set up'!$A$2:$D$70,4,FALSE)</f>
        <v>0</v>
      </c>
      <c r="K2816" s="4">
        <f t="shared" si="681"/>
        <v>45411</v>
      </c>
      <c r="L2816" s="5">
        <f t="shared" si="682"/>
        <v>4</v>
      </c>
      <c r="M2816" s="5">
        <f t="shared" si="683"/>
        <v>2024</v>
      </c>
      <c r="N2816" s="12">
        <v>110</v>
      </c>
      <c r="O2816" s="6">
        <f t="shared" si="695"/>
        <v>-110</v>
      </c>
      <c r="P2816" s="6">
        <f t="shared" si="688"/>
        <v>0</v>
      </c>
      <c r="Q2816" s="7">
        <f t="shared" si="684"/>
        <v>4551347.25</v>
      </c>
      <c r="R2816" s="44" t="str">
        <f>VLOOKUP(F2816,'Set up'!$A$2:$E$70,5,FALSE)</f>
        <v>Trsf</v>
      </c>
      <c r="S2816" s="1" t="s">
        <v>3899</v>
      </c>
    </row>
    <row r="2817" spans="1:19" ht="15" customHeight="1" x14ac:dyDescent="0.3">
      <c r="A2817" s="4">
        <v>45411</v>
      </c>
      <c r="B2817" s="5">
        <f t="shared" si="679"/>
        <v>4</v>
      </c>
      <c r="C2817" s="5">
        <f t="shared" si="680"/>
        <v>2024</v>
      </c>
      <c r="D2817" s="5" t="s">
        <v>2522</v>
      </c>
      <c r="E2817" s="5" t="str">
        <f>VLOOKUP(F2817,'Set up'!$A$2:$C$70,2,FALSE)</f>
        <v>C00000041</v>
      </c>
      <c r="F2817" s="1" t="s">
        <v>1704</v>
      </c>
      <c r="G2817" s="99" t="s">
        <v>2523</v>
      </c>
      <c r="H2817" s="5">
        <v>2</v>
      </c>
      <c r="I2817" s="5" t="str">
        <f>VLOOKUP(F2817,'Set up'!$A$2:$C$70,3,FALSE)</f>
        <v>Cash</v>
      </c>
      <c r="J2817" s="5">
        <f>VLOOKUP(F2817,'Set up'!$A$2:$D$70,4,FALSE)</f>
        <v>0</v>
      </c>
      <c r="K2817" s="4">
        <f t="shared" si="681"/>
        <v>45411</v>
      </c>
      <c r="L2817" s="5">
        <f t="shared" si="682"/>
        <v>4</v>
      </c>
      <c r="M2817" s="5">
        <f t="shared" si="683"/>
        <v>2024</v>
      </c>
      <c r="N2817" s="12">
        <v>474</v>
      </c>
      <c r="O2817" s="6">
        <f t="shared" ref="O2817:O2826" si="696">-N2817</f>
        <v>-474</v>
      </c>
      <c r="P2817" s="6">
        <f t="shared" si="688"/>
        <v>0</v>
      </c>
      <c r="Q2817" s="7">
        <f t="shared" si="684"/>
        <v>4551821.25</v>
      </c>
      <c r="R2817" s="44" t="str">
        <f>VLOOKUP(F2817,'Set up'!$A$2:$E$70,5,FALSE)</f>
        <v>Trsf</v>
      </c>
      <c r="S2817" s="1" t="s">
        <v>2544</v>
      </c>
    </row>
    <row r="2818" spans="1:19" ht="15" customHeight="1" x14ac:dyDescent="0.3">
      <c r="A2818" s="4">
        <v>45411</v>
      </c>
      <c r="B2818" s="5">
        <f t="shared" si="679"/>
        <v>4</v>
      </c>
      <c r="C2818" s="5">
        <f t="shared" si="680"/>
        <v>2024</v>
      </c>
      <c r="D2818" s="5" t="s">
        <v>2522</v>
      </c>
      <c r="E2818" s="5" t="str">
        <f>VLOOKUP(F2818,'Set up'!$A$2:$C$70,2,FALSE)</f>
        <v>C00000041</v>
      </c>
      <c r="F2818" s="1" t="s">
        <v>1704</v>
      </c>
      <c r="G2818" s="99" t="s">
        <v>2524</v>
      </c>
      <c r="H2818" s="5">
        <v>1</v>
      </c>
      <c r="I2818" s="5" t="str">
        <f>VLOOKUP(F2818,'Set up'!$A$2:$C$70,3,FALSE)</f>
        <v>Cash</v>
      </c>
      <c r="J2818" s="5">
        <f>VLOOKUP(F2818,'Set up'!$A$2:$D$70,4,FALSE)</f>
        <v>0</v>
      </c>
      <c r="K2818" s="4">
        <f t="shared" si="681"/>
        <v>45411</v>
      </c>
      <c r="L2818" s="5">
        <f t="shared" si="682"/>
        <v>4</v>
      </c>
      <c r="M2818" s="5">
        <f t="shared" si="683"/>
        <v>2024</v>
      </c>
      <c r="N2818" s="12">
        <v>185</v>
      </c>
      <c r="O2818" s="6">
        <f t="shared" si="696"/>
        <v>-185</v>
      </c>
      <c r="P2818" s="6">
        <f t="shared" si="688"/>
        <v>0</v>
      </c>
      <c r="Q2818" s="7">
        <f t="shared" si="684"/>
        <v>4552006.25</v>
      </c>
      <c r="R2818" s="44" t="str">
        <f>VLOOKUP(F2818,'Set up'!$A$2:$E$70,5,FALSE)</f>
        <v>Trsf</v>
      </c>
      <c r="S2818" s="1" t="s">
        <v>2544</v>
      </c>
    </row>
    <row r="2819" spans="1:19" ht="15" customHeight="1" x14ac:dyDescent="0.3">
      <c r="A2819" s="4">
        <v>45411</v>
      </c>
      <c r="B2819" s="5">
        <f t="shared" ref="B2819:B2882" si="697">MONTH(A2819)</f>
        <v>4</v>
      </c>
      <c r="C2819" s="5">
        <f t="shared" ref="C2819:C2882" si="698">YEAR(A2819)</f>
        <v>2024</v>
      </c>
      <c r="D2819" s="5" t="s">
        <v>2525</v>
      </c>
      <c r="E2819" s="5" t="str">
        <f>VLOOKUP(F2819,'Set up'!$A$2:$C$70,2,FALSE)</f>
        <v>C00000009</v>
      </c>
      <c r="F2819" s="1" t="s">
        <v>58</v>
      </c>
      <c r="G2819" s="99" t="s">
        <v>719</v>
      </c>
      <c r="H2819" s="5">
        <v>2</v>
      </c>
      <c r="I2819" s="5">
        <f>VLOOKUP(F2819,'Set up'!$A$2:$C$70,3,FALSE)</f>
        <v>60</v>
      </c>
      <c r="J2819" s="5">
        <f>VLOOKUP(F2819,'Set up'!$A$2:$D$70,4,FALSE)</f>
        <v>60</v>
      </c>
      <c r="K2819" s="4">
        <f t="shared" ref="K2819:K2882" si="699">A2819+J2819</f>
        <v>45471</v>
      </c>
      <c r="L2819" s="5">
        <f t="shared" ref="L2819:L2882" si="700">MONTH(K2819)</f>
        <v>6</v>
      </c>
      <c r="M2819" s="5">
        <f t="shared" ref="M2819:M2882" si="701">YEAR(K2819)</f>
        <v>2024</v>
      </c>
      <c r="N2819" s="12">
        <v>3256</v>
      </c>
      <c r="O2819" s="6">
        <f t="shared" si="696"/>
        <v>-3256</v>
      </c>
      <c r="P2819" s="6">
        <f t="shared" si="688"/>
        <v>0</v>
      </c>
      <c r="Q2819" s="7">
        <f t="shared" ref="Q2819:Q2882" si="702">SUM(Q2818+N2819)</f>
        <v>4555262.25</v>
      </c>
      <c r="R2819" s="44" t="str">
        <f>VLOOKUP(F2819,'Set up'!$A$2:$E$70,5,FALSE)</f>
        <v>Chq</v>
      </c>
      <c r="S2819" s="1" t="s">
        <v>3036</v>
      </c>
    </row>
    <row r="2820" spans="1:19" ht="15" customHeight="1" x14ac:dyDescent="0.3">
      <c r="A2820" s="4">
        <v>45411</v>
      </c>
      <c r="B2820" s="5">
        <f t="shared" si="697"/>
        <v>4</v>
      </c>
      <c r="C2820" s="5">
        <f t="shared" si="698"/>
        <v>2024</v>
      </c>
      <c r="D2820" s="5" t="s">
        <v>2525</v>
      </c>
      <c r="E2820" s="5" t="str">
        <f>VLOOKUP(F2820,'Set up'!$A$2:$C$70,2,FALSE)</f>
        <v>C00000009</v>
      </c>
      <c r="F2820" s="1" t="s">
        <v>58</v>
      </c>
      <c r="G2820" s="99" t="s">
        <v>616</v>
      </c>
      <c r="H2820" s="5">
        <v>1</v>
      </c>
      <c r="I2820" s="5">
        <f>VLOOKUP(F2820,'Set up'!$A$2:$C$70,3,FALSE)</f>
        <v>60</v>
      </c>
      <c r="J2820" s="5">
        <f>VLOOKUP(F2820,'Set up'!$A$2:$D$70,4,FALSE)</f>
        <v>60</v>
      </c>
      <c r="K2820" s="4">
        <f t="shared" si="699"/>
        <v>45471</v>
      </c>
      <c r="L2820" s="5">
        <f t="shared" si="700"/>
        <v>6</v>
      </c>
      <c r="M2820" s="5">
        <f t="shared" si="701"/>
        <v>2024</v>
      </c>
      <c r="N2820" s="12">
        <v>1628</v>
      </c>
      <c r="O2820" s="6">
        <f t="shared" si="696"/>
        <v>-1628</v>
      </c>
      <c r="P2820" s="6">
        <f t="shared" si="688"/>
        <v>0</v>
      </c>
      <c r="Q2820" s="7">
        <f t="shared" si="702"/>
        <v>4556890.25</v>
      </c>
      <c r="R2820" s="44" t="str">
        <f>VLOOKUP(F2820,'Set up'!$A$2:$E$70,5,FALSE)</f>
        <v>Chq</v>
      </c>
      <c r="S2820" s="1" t="s">
        <v>3036</v>
      </c>
    </row>
    <row r="2821" spans="1:19" ht="15" customHeight="1" x14ac:dyDescent="0.3">
      <c r="A2821" s="4">
        <v>45411</v>
      </c>
      <c r="B2821" s="5">
        <f t="shared" si="697"/>
        <v>4</v>
      </c>
      <c r="C2821" s="5">
        <f t="shared" si="698"/>
        <v>2024</v>
      </c>
      <c r="D2821" s="5" t="s">
        <v>2525</v>
      </c>
      <c r="E2821" s="5" t="str">
        <f>VLOOKUP(F2821,'Set up'!$A$2:$C$70,2,FALSE)</f>
        <v>C00000009</v>
      </c>
      <c r="F2821" s="1" t="s">
        <v>58</v>
      </c>
      <c r="G2821" s="99" t="s">
        <v>292</v>
      </c>
      <c r="H2821" s="5">
        <v>1</v>
      </c>
      <c r="I2821" s="5">
        <f>VLOOKUP(F2821,'Set up'!$A$2:$C$70,3,FALSE)</f>
        <v>60</v>
      </c>
      <c r="J2821" s="5">
        <f>VLOOKUP(F2821,'Set up'!$A$2:$D$70,4,FALSE)</f>
        <v>60</v>
      </c>
      <c r="K2821" s="4">
        <f t="shared" si="699"/>
        <v>45471</v>
      </c>
      <c r="L2821" s="5">
        <f t="shared" si="700"/>
        <v>6</v>
      </c>
      <c r="M2821" s="5">
        <f t="shared" si="701"/>
        <v>2024</v>
      </c>
      <c r="N2821" s="12">
        <v>450</v>
      </c>
      <c r="O2821" s="6">
        <f t="shared" si="696"/>
        <v>-450</v>
      </c>
      <c r="P2821" s="6">
        <f t="shared" si="688"/>
        <v>0</v>
      </c>
      <c r="Q2821" s="7">
        <f t="shared" si="702"/>
        <v>4557340.25</v>
      </c>
      <c r="R2821" s="44" t="str">
        <f>VLOOKUP(F2821,'Set up'!$A$2:$E$70,5,FALSE)</f>
        <v>Chq</v>
      </c>
      <c r="S2821" s="1" t="s">
        <v>3036</v>
      </c>
    </row>
    <row r="2822" spans="1:19" ht="15" customHeight="1" x14ac:dyDescent="0.3">
      <c r="A2822" s="4">
        <v>45411</v>
      </c>
      <c r="B2822" s="5">
        <f t="shared" si="697"/>
        <v>4</v>
      </c>
      <c r="C2822" s="5">
        <f t="shared" si="698"/>
        <v>2024</v>
      </c>
      <c r="D2822" s="5" t="s">
        <v>2526</v>
      </c>
      <c r="E2822" s="5" t="str">
        <f>VLOOKUP(F2822,'Set up'!$A$2:$C$70,2,FALSE)</f>
        <v>C00000042</v>
      </c>
      <c r="F2822" s="1" t="s">
        <v>2012</v>
      </c>
      <c r="G2822" s="99" t="s">
        <v>1110</v>
      </c>
      <c r="H2822" s="5">
        <v>7</v>
      </c>
      <c r="I2822" s="5" t="str">
        <f>VLOOKUP(F2822,'Set up'!$A$2:$C$70,3,FALSE)</f>
        <v>Cash</v>
      </c>
      <c r="J2822" s="5">
        <f>VLOOKUP(F2822,'Set up'!$A$2:$D$70,4,FALSE)</f>
        <v>0</v>
      </c>
      <c r="K2822" s="4">
        <f t="shared" si="699"/>
        <v>45411</v>
      </c>
      <c r="L2822" s="5">
        <f t="shared" si="700"/>
        <v>4</v>
      </c>
      <c r="M2822" s="5">
        <f t="shared" si="701"/>
        <v>2024</v>
      </c>
      <c r="N2822" s="12">
        <v>437.5</v>
      </c>
      <c r="O2822" s="6">
        <f t="shared" si="696"/>
        <v>-437.5</v>
      </c>
      <c r="P2822" s="6">
        <f t="shared" si="688"/>
        <v>0</v>
      </c>
      <c r="Q2822" s="7">
        <f t="shared" si="702"/>
        <v>4557777.75</v>
      </c>
      <c r="R2822" s="44" t="str">
        <f>VLOOKUP(F2822,'Set up'!$A$2:$E$70,5,FALSE)</f>
        <v>Trsf</v>
      </c>
      <c r="S2822" s="1" t="s">
        <v>3091</v>
      </c>
    </row>
    <row r="2823" spans="1:19" ht="15" customHeight="1" x14ac:dyDescent="0.3">
      <c r="A2823" s="4">
        <v>45411</v>
      </c>
      <c r="B2823" s="5">
        <f t="shared" si="697"/>
        <v>4</v>
      </c>
      <c r="C2823" s="5">
        <f t="shared" si="698"/>
        <v>2024</v>
      </c>
      <c r="D2823" s="5" t="s">
        <v>2526</v>
      </c>
      <c r="E2823" s="5" t="str">
        <f>VLOOKUP(F2823,'Set up'!$A$2:$C$70,2,FALSE)</f>
        <v>C00000042</v>
      </c>
      <c r="F2823" s="1" t="s">
        <v>2012</v>
      </c>
      <c r="G2823" s="99" t="s">
        <v>2527</v>
      </c>
      <c r="H2823" s="5">
        <v>1</v>
      </c>
      <c r="I2823" s="5" t="str">
        <f>VLOOKUP(F2823,'Set up'!$A$2:$C$70,3,FALSE)</f>
        <v>Cash</v>
      </c>
      <c r="J2823" s="5">
        <f>VLOOKUP(F2823,'Set up'!$A$2:$D$70,4,FALSE)</f>
        <v>0</v>
      </c>
      <c r="K2823" s="4">
        <f t="shared" si="699"/>
        <v>45411</v>
      </c>
      <c r="L2823" s="5">
        <f t="shared" si="700"/>
        <v>4</v>
      </c>
      <c r="M2823" s="5">
        <f t="shared" si="701"/>
        <v>2024</v>
      </c>
      <c r="N2823" s="12">
        <v>0</v>
      </c>
      <c r="O2823" s="6">
        <f t="shared" si="696"/>
        <v>0</v>
      </c>
      <c r="P2823" s="6">
        <f t="shared" si="688"/>
        <v>0</v>
      </c>
      <c r="Q2823" s="7">
        <f t="shared" si="702"/>
        <v>4557777.75</v>
      </c>
      <c r="R2823" s="44" t="str">
        <f>VLOOKUP(F2823,'Set up'!$A$2:$E$70,5,FALSE)</f>
        <v>Trsf</v>
      </c>
      <c r="S2823" s="1" t="s">
        <v>3092</v>
      </c>
    </row>
    <row r="2824" spans="1:19" ht="15" customHeight="1" x14ac:dyDescent="0.3">
      <c r="A2824" s="4">
        <v>45411</v>
      </c>
      <c r="B2824" s="5">
        <f t="shared" si="697"/>
        <v>4</v>
      </c>
      <c r="C2824" s="5">
        <f t="shared" si="698"/>
        <v>2024</v>
      </c>
      <c r="D2824" s="5" t="s">
        <v>2528</v>
      </c>
      <c r="E2824" s="5" t="str">
        <f>VLOOKUP(F2824,'Set up'!$A$2:$C$70,2,FALSE)</f>
        <v>C00000042</v>
      </c>
      <c r="F2824" s="1" t="s">
        <v>2012</v>
      </c>
      <c r="G2824" s="99" t="s">
        <v>1733</v>
      </c>
      <c r="H2824" s="5">
        <v>7</v>
      </c>
      <c r="I2824" s="5" t="str">
        <f>VLOOKUP(F2824,'Set up'!$A$2:$C$70,3,FALSE)</f>
        <v>Cash</v>
      </c>
      <c r="J2824" s="5">
        <f>VLOOKUP(F2824,'Set up'!$A$2:$D$70,4,FALSE)</f>
        <v>0</v>
      </c>
      <c r="K2824" s="4">
        <f t="shared" si="699"/>
        <v>45411</v>
      </c>
      <c r="L2824" s="5">
        <f t="shared" si="700"/>
        <v>4</v>
      </c>
      <c r="M2824" s="5">
        <f t="shared" si="701"/>
        <v>2024</v>
      </c>
      <c r="N2824" s="12">
        <v>11396</v>
      </c>
      <c r="O2824" s="6">
        <f t="shared" si="696"/>
        <v>-11396</v>
      </c>
      <c r="P2824" s="6">
        <f t="shared" si="688"/>
        <v>0</v>
      </c>
      <c r="Q2824" s="7">
        <f t="shared" si="702"/>
        <v>4569173.75</v>
      </c>
      <c r="R2824" s="44" t="str">
        <f>VLOOKUP(F2824,'Set up'!$A$2:$E$70,5,FALSE)</f>
        <v>Trsf</v>
      </c>
      <c r="S2824" s="1" t="s">
        <v>3093</v>
      </c>
    </row>
    <row r="2825" spans="1:19" ht="15" customHeight="1" x14ac:dyDescent="0.3">
      <c r="A2825" s="4">
        <v>45411</v>
      </c>
      <c r="B2825" s="5">
        <f t="shared" si="697"/>
        <v>4</v>
      </c>
      <c r="C2825" s="5">
        <f t="shared" si="698"/>
        <v>2024</v>
      </c>
      <c r="D2825" s="5" t="s">
        <v>2528</v>
      </c>
      <c r="E2825" s="5" t="str">
        <f>VLOOKUP(F2825,'Set up'!$A$2:$C$70,2,FALSE)</f>
        <v>C00000042</v>
      </c>
      <c r="F2825" s="1" t="s">
        <v>2012</v>
      </c>
      <c r="G2825" s="99" t="s">
        <v>913</v>
      </c>
      <c r="H2825" s="5">
        <v>21</v>
      </c>
      <c r="I2825" s="5" t="str">
        <f>VLOOKUP(F2825,'Set up'!$A$2:$C$70,3,FALSE)</f>
        <v>Cash</v>
      </c>
      <c r="J2825" s="5">
        <f>VLOOKUP(F2825,'Set up'!$A$2:$D$70,4,FALSE)</f>
        <v>0</v>
      </c>
      <c r="K2825" s="4">
        <f t="shared" si="699"/>
        <v>45411</v>
      </c>
      <c r="L2825" s="5">
        <f t="shared" si="700"/>
        <v>4</v>
      </c>
      <c r="M2825" s="5">
        <f t="shared" si="701"/>
        <v>2024</v>
      </c>
      <c r="N2825" s="12">
        <v>3654</v>
      </c>
      <c r="O2825" s="6">
        <f t="shared" si="696"/>
        <v>-3654</v>
      </c>
      <c r="P2825" s="6">
        <f t="shared" si="688"/>
        <v>0</v>
      </c>
      <c r="Q2825" s="7">
        <f t="shared" si="702"/>
        <v>4572827.75</v>
      </c>
      <c r="R2825" s="44" t="str">
        <f>VLOOKUP(F2825,'Set up'!$A$2:$E$70,5,FALSE)</f>
        <v>Trsf</v>
      </c>
      <c r="S2825" s="1" t="s">
        <v>3094</v>
      </c>
    </row>
    <row r="2826" spans="1:19" ht="15" customHeight="1" x14ac:dyDescent="0.3">
      <c r="A2826" s="4">
        <v>45411</v>
      </c>
      <c r="B2826" s="5">
        <f t="shared" si="697"/>
        <v>4</v>
      </c>
      <c r="C2826" s="5">
        <f t="shared" si="698"/>
        <v>2024</v>
      </c>
      <c r="D2826" s="5" t="s">
        <v>2528</v>
      </c>
      <c r="E2826" s="5" t="str">
        <f>VLOOKUP(F2826,'Set up'!$A$2:$C$70,2,FALSE)</f>
        <v>C00000042</v>
      </c>
      <c r="F2826" s="1" t="s">
        <v>2012</v>
      </c>
      <c r="G2826" s="99" t="s">
        <v>1922</v>
      </c>
      <c r="H2826" s="5">
        <v>8</v>
      </c>
      <c r="I2826" s="5" t="str">
        <f>VLOOKUP(F2826,'Set up'!$A$2:$C$70,3,FALSE)</f>
        <v>Cash</v>
      </c>
      <c r="J2826" s="5">
        <f>VLOOKUP(F2826,'Set up'!$A$2:$D$70,4,FALSE)</f>
        <v>0</v>
      </c>
      <c r="K2826" s="4">
        <f t="shared" si="699"/>
        <v>45411</v>
      </c>
      <c r="L2826" s="5">
        <f t="shared" si="700"/>
        <v>4</v>
      </c>
      <c r="M2826" s="5">
        <f t="shared" si="701"/>
        <v>2024</v>
      </c>
      <c r="N2826" s="12">
        <v>1872</v>
      </c>
      <c r="O2826" s="6">
        <f t="shared" si="696"/>
        <v>-1872</v>
      </c>
      <c r="P2826" s="6">
        <f t="shared" si="688"/>
        <v>0</v>
      </c>
      <c r="Q2826" s="7">
        <f t="shared" si="702"/>
        <v>4574699.75</v>
      </c>
      <c r="R2826" s="44" t="str">
        <f>VLOOKUP(F2826,'Set up'!$A$2:$E$70,5,FALSE)</f>
        <v>Trsf</v>
      </c>
      <c r="S2826" s="1" t="s">
        <v>3095</v>
      </c>
    </row>
    <row r="2827" spans="1:19" ht="15" customHeight="1" x14ac:dyDescent="0.3">
      <c r="A2827" s="4">
        <v>45411</v>
      </c>
      <c r="B2827" s="5">
        <f t="shared" si="697"/>
        <v>4</v>
      </c>
      <c r="C2827" s="5">
        <f t="shared" si="698"/>
        <v>2024</v>
      </c>
      <c r="D2827" s="5" t="s">
        <v>2528</v>
      </c>
      <c r="E2827" s="5" t="str">
        <f>VLOOKUP(F2827,'Set up'!$A$2:$C$70,2,FALSE)</f>
        <v>C00000042</v>
      </c>
      <c r="F2827" s="1" t="s">
        <v>2012</v>
      </c>
      <c r="G2827" s="99" t="s">
        <v>1073</v>
      </c>
      <c r="H2827" s="5">
        <v>1</v>
      </c>
      <c r="I2827" s="5" t="str">
        <f>VLOOKUP(F2827,'Set up'!$A$2:$C$70,3,FALSE)</f>
        <v>Cash</v>
      </c>
      <c r="J2827" s="5">
        <f>VLOOKUP(F2827,'Set up'!$A$2:$D$70,4,FALSE)</f>
        <v>0</v>
      </c>
      <c r="K2827" s="4">
        <f t="shared" si="699"/>
        <v>45411</v>
      </c>
      <c r="L2827" s="5">
        <f t="shared" si="700"/>
        <v>4</v>
      </c>
      <c r="M2827" s="5">
        <f t="shared" si="701"/>
        <v>2024</v>
      </c>
      <c r="N2827" s="12">
        <v>1000</v>
      </c>
      <c r="O2827" s="12">
        <f>-680.1-319.9</f>
        <v>-1000</v>
      </c>
      <c r="P2827" s="6">
        <f t="shared" si="688"/>
        <v>0</v>
      </c>
      <c r="Q2827" s="7">
        <f t="shared" si="702"/>
        <v>4575699.75</v>
      </c>
      <c r="R2827" s="44" t="str">
        <f>VLOOKUP(F2827,'Set up'!$A$2:$E$70,5,FALSE)</f>
        <v>Trsf</v>
      </c>
      <c r="S2827" s="1" t="s">
        <v>3096</v>
      </c>
    </row>
    <row r="2828" spans="1:19" ht="15" customHeight="1" x14ac:dyDescent="0.3">
      <c r="A2828" s="4">
        <v>45413</v>
      </c>
      <c r="B2828" s="5">
        <f t="shared" si="697"/>
        <v>5</v>
      </c>
      <c r="C2828" s="5">
        <f t="shared" si="698"/>
        <v>2024</v>
      </c>
      <c r="D2828" s="5" t="s">
        <v>2548</v>
      </c>
      <c r="E2828" s="5" t="str">
        <f>VLOOKUP(F2828,'Set up'!$A$2:$C$70,2,FALSE)</f>
        <v>C00000019</v>
      </c>
      <c r="F2828" s="1" t="s">
        <v>400</v>
      </c>
      <c r="G2828" s="99" t="s">
        <v>95</v>
      </c>
      <c r="H2828" s="5">
        <v>1</v>
      </c>
      <c r="I2828" s="5" t="str">
        <f>VLOOKUP(F2828,'Set up'!$A$2:$C$70,3,FALSE)</f>
        <v>Cash</v>
      </c>
      <c r="J2828" s="5">
        <f>VLOOKUP(F2828,'Set up'!$A$2:$D$70,4,FALSE)</f>
        <v>0</v>
      </c>
      <c r="K2828" s="4">
        <f t="shared" si="699"/>
        <v>45413</v>
      </c>
      <c r="L2828" s="5">
        <f t="shared" si="700"/>
        <v>5</v>
      </c>
      <c r="M2828" s="5">
        <f t="shared" si="701"/>
        <v>2024</v>
      </c>
      <c r="N2828" s="12">
        <v>1760</v>
      </c>
      <c r="O2828" s="12">
        <f>-545.2-1000-214.8</f>
        <v>-1760</v>
      </c>
      <c r="P2828" s="6">
        <f t="shared" si="688"/>
        <v>0</v>
      </c>
      <c r="Q2828" s="7">
        <f t="shared" si="702"/>
        <v>4577459.75</v>
      </c>
      <c r="R2828" s="44" t="str">
        <f>VLOOKUP(F2828,'Set up'!$A$2:$E$70,5,FALSE)</f>
        <v>Trsf</v>
      </c>
      <c r="S2828" s="1" t="s">
        <v>3900</v>
      </c>
    </row>
    <row r="2829" spans="1:19" ht="15" customHeight="1" x14ac:dyDescent="0.3">
      <c r="A2829" s="4">
        <v>45413</v>
      </c>
      <c r="B2829" s="5">
        <f t="shared" si="697"/>
        <v>5</v>
      </c>
      <c r="C2829" s="5">
        <f t="shared" si="698"/>
        <v>2024</v>
      </c>
      <c r="D2829" s="5" t="s">
        <v>2548</v>
      </c>
      <c r="E2829" s="5" t="str">
        <f>VLOOKUP(F2829,'Set up'!$A$2:$C$70,2,FALSE)</f>
        <v>C00000019</v>
      </c>
      <c r="F2829" s="1" t="s">
        <v>400</v>
      </c>
      <c r="G2829" s="99" t="s">
        <v>1411</v>
      </c>
      <c r="H2829" s="5">
        <v>1</v>
      </c>
      <c r="I2829" s="5" t="str">
        <f>VLOOKUP(F2829,'Set up'!$A$2:$C$70,3,FALSE)</f>
        <v>Cash</v>
      </c>
      <c r="J2829" s="5">
        <f>VLOOKUP(F2829,'Set up'!$A$2:$D$70,4,FALSE)</f>
        <v>0</v>
      </c>
      <c r="K2829" s="4">
        <f t="shared" si="699"/>
        <v>45413</v>
      </c>
      <c r="L2829" s="5">
        <f t="shared" si="700"/>
        <v>5</v>
      </c>
      <c r="M2829" s="5">
        <f t="shared" si="701"/>
        <v>2024</v>
      </c>
      <c r="N2829" s="12">
        <v>405</v>
      </c>
      <c r="O2829" s="6">
        <f t="shared" ref="O2829:O2831" si="703">-N2829</f>
        <v>-405</v>
      </c>
      <c r="P2829" s="6">
        <f t="shared" si="688"/>
        <v>0</v>
      </c>
      <c r="Q2829" s="7">
        <f t="shared" si="702"/>
        <v>4577864.75</v>
      </c>
      <c r="R2829" s="44" t="str">
        <f>VLOOKUP(F2829,'Set up'!$A$2:$E$70,5,FALSE)</f>
        <v>Trsf</v>
      </c>
      <c r="S2829" s="1" t="s">
        <v>3901</v>
      </c>
    </row>
    <row r="2830" spans="1:19" ht="15" customHeight="1" x14ac:dyDescent="0.3">
      <c r="A2830" s="4">
        <v>45413</v>
      </c>
      <c r="B2830" s="5">
        <f t="shared" si="697"/>
        <v>5</v>
      </c>
      <c r="C2830" s="5">
        <f t="shared" si="698"/>
        <v>2024</v>
      </c>
      <c r="D2830" s="5" t="s">
        <v>2548</v>
      </c>
      <c r="E2830" s="5" t="str">
        <f>VLOOKUP(F2830,'Set up'!$A$2:$C$70,2,FALSE)</f>
        <v>C00000019</v>
      </c>
      <c r="F2830" s="1" t="s">
        <v>400</v>
      </c>
      <c r="G2830" s="99" t="s">
        <v>1469</v>
      </c>
      <c r="H2830" s="5">
        <v>1</v>
      </c>
      <c r="I2830" s="5" t="str">
        <f>VLOOKUP(F2830,'Set up'!$A$2:$C$70,3,FALSE)</f>
        <v>Cash</v>
      </c>
      <c r="J2830" s="5">
        <f>VLOOKUP(F2830,'Set up'!$A$2:$D$70,4,FALSE)</f>
        <v>0</v>
      </c>
      <c r="K2830" s="4">
        <f t="shared" si="699"/>
        <v>45413</v>
      </c>
      <c r="L2830" s="5">
        <f t="shared" si="700"/>
        <v>5</v>
      </c>
      <c r="M2830" s="5">
        <f t="shared" si="701"/>
        <v>2024</v>
      </c>
      <c r="N2830" s="12">
        <v>390</v>
      </c>
      <c r="O2830" s="6">
        <f t="shared" si="703"/>
        <v>-390</v>
      </c>
      <c r="P2830" s="6">
        <f t="shared" si="688"/>
        <v>0</v>
      </c>
      <c r="Q2830" s="7">
        <f t="shared" si="702"/>
        <v>4578254.75</v>
      </c>
      <c r="R2830" s="44" t="str">
        <f>VLOOKUP(F2830,'Set up'!$A$2:$E$70,5,FALSE)</f>
        <v>Trsf</v>
      </c>
      <c r="S2830" s="1" t="s">
        <v>3902</v>
      </c>
    </row>
    <row r="2831" spans="1:19" ht="15" customHeight="1" x14ac:dyDescent="0.3">
      <c r="A2831" s="4">
        <v>45413</v>
      </c>
      <c r="B2831" s="5">
        <f t="shared" si="697"/>
        <v>5</v>
      </c>
      <c r="C2831" s="5">
        <f t="shared" si="698"/>
        <v>2024</v>
      </c>
      <c r="D2831" s="5" t="s">
        <v>2548</v>
      </c>
      <c r="E2831" s="5" t="str">
        <f>VLOOKUP(F2831,'Set up'!$A$2:$C$70,2,FALSE)</f>
        <v>C00000019</v>
      </c>
      <c r="F2831" s="1" t="s">
        <v>400</v>
      </c>
      <c r="G2831" s="99" t="s">
        <v>791</v>
      </c>
      <c r="H2831" s="5">
        <v>3</v>
      </c>
      <c r="I2831" s="5" t="str">
        <f>VLOOKUP(F2831,'Set up'!$A$2:$C$70,3,FALSE)</f>
        <v>Cash</v>
      </c>
      <c r="J2831" s="5">
        <f>VLOOKUP(F2831,'Set up'!$A$2:$D$70,4,FALSE)</f>
        <v>0</v>
      </c>
      <c r="K2831" s="4">
        <f t="shared" si="699"/>
        <v>45413</v>
      </c>
      <c r="L2831" s="5">
        <f t="shared" si="700"/>
        <v>5</v>
      </c>
      <c r="M2831" s="5">
        <f t="shared" si="701"/>
        <v>2024</v>
      </c>
      <c r="N2831" s="12">
        <v>187.5</v>
      </c>
      <c r="O2831" s="6">
        <f t="shared" si="703"/>
        <v>-187.5</v>
      </c>
      <c r="P2831" s="6">
        <f t="shared" si="688"/>
        <v>0</v>
      </c>
      <c r="Q2831" s="7">
        <f t="shared" si="702"/>
        <v>4578442.25</v>
      </c>
      <c r="R2831" s="44" t="str">
        <f>VLOOKUP(F2831,'Set up'!$A$2:$E$70,5,FALSE)</f>
        <v>Trsf</v>
      </c>
      <c r="S2831" s="1" t="s">
        <v>3903</v>
      </c>
    </row>
    <row r="2832" spans="1:19" ht="15" customHeight="1" x14ac:dyDescent="0.3">
      <c r="A2832" s="4">
        <v>45415</v>
      </c>
      <c r="B2832" s="5">
        <f t="shared" si="697"/>
        <v>5</v>
      </c>
      <c r="C2832" s="5">
        <f t="shared" si="698"/>
        <v>2024</v>
      </c>
      <c r="D2832" s="5" t="s">
        <v>2549</v>
      </c>
      <c r="E2832" s="5" t="str">
        <f>VLOOKUP(F2832,'Set up'!$A$2:$C$70,2,FALSE)</f>
        <v>C00000014</v>
      </c>
      <c r="F2832" s="1" t="s">
        <v>262</v>
      </c>
      <c r="G2832" s="99" t="s">
        <v>2096</v>
      </c>
      <c r="H2832" s="5">
        <v>1</v>
      </c>
      <c r="I2832" s="5" t="str">
        <f>VLOOKUP(F2832,'Set up'!$A$2:$C$70,3,FALSE)</f>
        <v>Cash</v>
      </c>
      <c r="J2832" s="5">
        <f>VLOOKUP(F2832,'Set up'!$A$2:$D$70,4,FALSE)</f>
        <v>0</v>
      </c>
      <c r="K2832" s="4">
        <f t="shared" si="699"/>
        <v>45415</v>
      </c>
      <c r="L2832" s="5">
        <f t="shared" si="700"/>
        <v>5</v>
      </c>
      <c r="M2832" s="5">
        <f t="shared" si="701"/>
        <v>2024</v>
      </c>
      <c r="N2832" s="12">
        <v>283.8</v>
      </c>
      <c r="O2832" s="6">
        <f t="shared" ref="O2832:O2839" si="704">-N2832</f>
        <v>-283.8</v>
      </c>
      <c r="P2832" s="6">
        <f t="shared" si="688"/>
        <v>0</v>
      </c>
      <c r="Q2832" s="7">
        <f t="shared" si="702"/>
        <v>4578726.05</v>
      </c>
      <c r="R2832" s="44" t="str">
        <f>VLOOKUP(F2832,'Set up'!$A$2:$E$70,5,FALSE)</f>
        <v>Cash</v>
      </c>
      <c r="S2832" s="1" t="s">
        <v>2626</v>
      </c>
    </row>
    <row r="2833" spans="1:19" ht="15" customHeight="1" x14ac:dyDescent="0.3">
      <c r="A2833" s="4">
        <v>45415</v>
      </c>
      <c r="B2833" s="5">
        <f t="shared" si="697"/>
        <v>5</v>
      </c>
      <c r="C2833" s="5">
        <f t="shared" si="698"/>
        <v>2024</v>
      </c>
      <c r="D2833" s="5" t="s">
        <v>2549</v>
      </c>
      <c r="E2833" s="5" t="str">
        <f>VLOOKUP(F2833,'Set up'!$A$2:$C$70,2,FALSE)</f>
        <v>C00000014</v>
      </c>
      <c r="F2833" s="1" t="s">
        <v>262</v>
      </c>
      <c r="G2833" s="99" t="s">
        <v>1886</v>
      </c>
      <c r="H2833" s="5">
        <v>1</v>
      </c>
      <c r="I2833" s="5" t="str">
        <f>VLOOKUP(F2833,'Set up'!$A$2:$C$70,3,FALSE)</f>
        <v>Cash</v>
      </c>
      <c r="J2833" s="5">
        <f>VLOOKUP(F2833,'Set up'!$A$2:$D$70,4,FALSE)</f>
        <v>0</v>
      </c>
      <c r="K2833" s="4">
        <f t="shared" si="699"/>
        <v>45415</v>
      </c>
      <c r="L2833" s="5">
        <f t="shared" si="700"/>
        <v>5</v>
      </c>
      <c r="M2833" s="5">
        <f t="shared" si="701"/>
        <v>2024</v>
      </c>
      <c r="N2833" s="12">
        <v>160</v>
      </c>
      <c r="O2833" s="6">
        <f t="shared" si="704"/>
        <v>-160</v>
      </c>
      <c r="P2833" s="6">
        <f t="shared" si="688"/>
        <v>0</v>
      </c>
      <c r="Q2833" s="7">
        <f t="shared" si="702"/>
        <v>4578886.05</v>
      </c>
      <c r="R2833" s="44" t="str">
        <f>VLOOKUP(F2833,'Set up'!$A$2:$E$70,5,FALSE)</f>
        <v>Cash</v>
      </c>
      <c r="S2833" s="1" t="s">
        <v>2626</v>
      </c>
    </row>
    <row r="2834" spans="1:19" ht="15" customHeight="1" x14ac:dyDescent="0.3">
      <c r="A2834" s="4">
        <v>45416</v>
      </c>
      <c r="B2834" s="5">
        <f t="shared" si="697"/>
        <v>5</v>
      </c>
      <c r="C2834" s="5">
        <f t="shared" si="698"/>
        <v>2024</v>
      </c>
      <c r="D2834" s="5" t="s">
        <v>2550</v>
      </c>
      <c r="E2834" s="5" t="str">
        <f>VLOOKUP(F2834,'Set up'!$A$2:$C$70,2,FALSE)</f>
        <v>C00000042</v>
      </c>
      <c r="F2834" s="1" t="s">
        <v>2012</v>
      </c>
      <c r="G2834" s="99" t="s">
        <v>1110</v>
      </c>
      <c r="H2834" s="5">
        <v>8</v>
      </c>
      <c r="I2834" s="5" t="str">
        <f>VLOOKUP(F2834,'Set up'!$A$2:$C$70,3,FALSE)</f>
        <v>Cash</v>
      </c>
      <c r="J2834" s="5">
        <f>VLOOKUP(F2834,'Set up'!$A$2:$D$70,4,FALSE)</f>
        <v>0</v>
      </c>
      <c r="K2834" s="4">
        <f t="shared" si="699"/>
        <v>45416</v>
      </c>
      <c r="L2834" s="5">
        <f t="shared" si="700"/>
        <v>5</v>
      </c>
      <c r="M2834" s="5">
        <f t="shared" si="701"/>
        <v>2024</v>
      </c>
      <c r="N2834" s="12">
        <v>500</v>
      </c>
      <c r="O2834" s="6">
        <f t="shared" si="704"/>
        <v>-500</v>
      </c>
      <c r="P2834" s="6">
        <f t="shared" si="688"/>
        <v>0</v>
      </c>
      <c r="Q2834" s="7">
        <f t="shared" si="702"/>
        <v>4579386.05</v>
      </c>
      <c r="R2834" s="44" t="str">
        <f>VLOOKUP(F2834,'Set up'!$A$2:$E$70,5,FALSE)</f>
        <v>Trsf</v>
      </c>
      <c r="S2834" s="1" t="s">
        <v>3149</v>
      </c>
    </row>
    <row r="2835" spans="1:19" ht="15" customHeight="1" x14ac:dyDescent="0.3">
      <c r="A2835" s="4">
        <v>45416</v>
      </c>
      <c r="B2835" s="5">
        <f t="shared" si="697"/>
        <v>5</v>
      </c>
      <c r="C2835" s="5">
        <f t="shared" si="698"/>
        <v>2024</v>
      </c>
      <c r="D2835" s="5" t="s">
        <v>2551</v>
      </c>
      <c r="E2835" s="5" t="str">
        <f>VLOOKUP(F2835,'Set up'!$A$2:$C$70,2,FALSE)</f>
        <v>C00000042</v>
      </c>
      <c r="F2835" s="1" t="s">
        <v>2012</v>
      </c>
      <c r="G2835" s="99" t="s">
        <v>2552</v>
      </c>
      <c r="H2835" s="5">
        <v>8</v>
      </c>
      <c r="I2835" s="5" t="str">
        <f>VLOOKUP(F2835,'Set up'!$A$2:$C$70,3,FALSE)</f>
        <v>Cash</v>
      </c>
      <c r="J2835" s="5">
        <f>VLOOKUP(F2835,'Set up'!$A$2:$D$70,4,FALSE)</f>
        <v>0</v>
      </c>
      <c r="K2835" s="4">
        <f t="shared" si="699"/>
        <v>45416</v>
      </c>
      <c r="L2835" s="5">
        <f t="shared" si="700"/>
        <v>5</v>
      </c>
      <c r="M2835" s="5">
        <f t="shared" si="701"/>
        <v>2024</v>
      </c>
      <c r="N2835" s="12">
        <v>13024</v>
      </c>
      <c r="O2835" s="6">
        <f t="shared" si="704"/>
        <v>-13024</v>
      </c>
      <c r="P2835" s="6">
        <f t="shared" si="688"/>
        <v>0</v>
      </c>
      <c r="Q2835" s="7">
        <f t="shared" si="702"/>
        <v>4592410.05</v>
      </c>
      <c r="R2835" s="44" t="str">
        <f>VLOOKUP(F2835,'Set up'!$A$2:$E$70,5,FALSE)</f>
        <v>Trsf</v>
      </c>
      <c r="S2835" s="1" t="s">
        <v>3150</v>
      </c>
    </row>
    <row r="2836" spans="1:19" ht="15" customHeight="1" x14ac:dyDescent="0.3">
      <c r="A2836" s="4">
        <v>45416</v>
      </c>
      <c r="B2836" s="5">
        <f t="shared" si="697"/>
        <v>5</v>
      </c>
      <c r="C2836" s="5">
        <f t="shared" si="698"/>
        <v>2024</v>
      </c>
      <c r="D2836" s="5" t="s">
        <v>2551</v>
      </c>
      <c r="E2836" s="5" t="str">
        <f>VLOOKUP(F2836,'Set up'!$A$2:$C$70,2,FALSE)</f>
        <v>C00000042</v>
      </c>
      <c r="F2836" s="1" t="s">
        <v>2012</v>
      </c>
      <c r="G2836" s="99" t="s">
        <v>913</v>
      </c>
      <c r="H2836" s="5">
        <v>22</v>
      </c>
      <c r="I2836" s="5" t="str">
        <f>VLOOKUP(F2836,'Set up'!$A$2:$C$70,3,FALSE)</f>
        <v>Cash</v>
      </c>
      <c r="J2836" s="5">
        <f>VLOOKUP(F2836,'Set up'!$A$2:$D$70,4,FALSE)</f>
        <v>0</v>
      </c>
      <c r="K2836" s="4">
        <f t="shared" si="699"/>
        <v>45416</v>
      </c>
      <c r="L2836" s="5">
        <f t="shared" si="700"/>
        <v>5</v>
      </c>
      <c r="M2836" s="5">
        <f t="shared" si="701"/>
        <v>2024</v>
      </c>
      <c r="N2836" s="12">
        <v>3828</v>
      </c>
      <c r="O2836" s="6">
        <f t="shared" si="704"/>
        <v>-3828</v>
      </c>
      <c r="P2836" s="6">
        <f t="shared" si="688"/>
        <v>0</v>
      </c>
      <c r="Q2836" s="7">
        <f t="shared" si="702"/>
        <v>4596238.05</v>
      </c>
      <c r="R2836" s="44" t="str">
        <f>VLOOKUP(F2836,'Set up'!$A$2:$E$70,5,FALSE)</f>
        <v>Trsf</v>
      </c>
      <c r="S2836" s="1" t="s">
        <v>3151</v>
      </c>
    </row>
    <row r="2837" spans="1:19" ht="15" customHeight="1" x14ac:dyDescent="0.3">
      <c r="A2837" s="4">
        <v>45416</v>
      </c>
      <c r="B2837" s="5">
        <f t="shared" si="697"/>
        <v>5</v>
      </c>
      <c r="C2837" s="5">
        <f t="shared" si="698"/>
        <v>2024</v>
      </c>
      <c r="D2837" s="5" t="s">
        <v>2551</v>
      </c>
      <c r="E2837" s="5" t="str">
        <f>VLOOKUP(F2837,'Set up'!$A$2:$C$70,2,FALSE)</f>
        <v>C00000042</v>
      </c>
      <c r="F2837" s="1" t="s">
        <v>2012</v>
      </c>
      <c r="G2837" s="99" t="s">
        <v>1922</v>
      </c>
      <c r="H2837" s="5">
        <v>12</v>
      </c>
      <c r="I2837" s="5" t="str">
        <f>VLOOKUP(F2837,'Set up'!$A$2:$C$70,3,FALSE)</f>
        <v>Cash</v>
      </c>
      <c r="J2837" s="5">
        <f>VLOOKUP(F2837,'Set up'!$A$2:$D$70,4,FALSE)</f>
        <v>0</v>
      </c>
      <c r="K2837" s="4">
        <f t="shared" si="699"/>
        <v>45416</v>
      </c>
      <c r="L2837" s="5">
        <f t="shared" si="700"/>
        <v>5</v>
      </c>
      <c r="M2837" s="5">
        <f t="shared" si="701"/>
        <v>2024</v>
      </c>
      <c r="N2837" s="12">
        <v>2808</v>
      </c>
      <c r="O2837" s="6">
        <f t="shared" si="704"/>
        <v>-2808</v>
      </c>
      <c r="P2837" s="6">
        <f t="shared" ref="P2837:P2900" si="705">SUM(N2837+O2837)</f>
        <v>0</v>
      </c>
      <c r="Q2837" s="7">
        <f t="shared" si="702"/>
        <v>4599046.05</v>
      </c>
      <c r="R2837" s="44" t="str">
        <f>VLOOKUP(F2837,'Set up'!$A$2:$E$70,5,FALSE)</f>
        <v>Trsf</v>
      </c>
      <c r="S2837" s="1" t="s">
        <v>3152</v>
      </c>
    </row>
    <row r="2838" spans="1:19" ht="15" customHeight="1" x14ac:dyDescent="0.3">
      <c r="A2838" s="4">
        <v>45416</v>
      </c>
      <c r="B2838" s="5">
        <f t="shared" si="697"/>
        <v>5</v>
      </c>
      <c r="C2838" s="5">
        <f t="shared" si="698"/>
        <v>2024</v>
      </c>
      <c r="D2838" s="5" t="s">
        <v>2551</v>
      </c>
      <c r="E2838" s="5" t="str">
        <f>VLOOKUP(F2838,'Set up'!$A$2:$C$70,2,FALSE)</f>
        <v>C00000042</v>
      </c>
      <c r="F2838" s="1" t="s">
        <v>2012</v>
      </c>
      <c r="G2838" s="99" t="s">
        <v>1073</v>
      </c>
      <c r="H2838" s="5">
        <v>1</v>
      </c>
      <c r="I2838" s="5" t="str">
        <f>VLOOKUP(F2838,'Set up'!$A$2:$C$70,3,FALSE)</f>
        <v>Cash</v>
      </c>
      <c r="J2838" s="5">
        <f>VLOOKUP(F2838,'Set up'!$A$2:$D$70,4,FALSE)</f>
        <v>0</v>
      </c>
      <c r="K2838" s="4">
        <f t="shared" si="699"/>
        <v>45416</v>
      </c>
      <c r="L2838" s="5">
        <f t="shared" si="700"/>
        <v>5</v>
      </c>
      <c r="M2838" s="5">
        <f t="shared" si="701"/>
        <v>2024</v>
      </c>
      <c r="N2838" s="12">
        <v>1000</v>
      </c>
      <c r="O2838" s="6">
        <f t="shared" si="704"/>
        <v>-1000</v>
      </c>
      <c r="P2838" s="6">
        <f t="shared" si="705"/>
        <v>0</v>
      </c>
      <c r="Q2838" s="7">
        <f t="shared" si="702"/>
        <v>4600046.05</v>
      </c>
      <c r="R2838" s="44" t="str">
        <f>VLOOKUP(F2838,'Set up'!$A$2:$E$70,5,FALSE)</f>
        <v>Trsf</v>
      </c>
      <c r="S2838" s="1" t="s">
        <v>3153</v>
      </c>
    </row>
    <row r="2839" spans="1:19" ht="15" customHeight="1" x14ac:dyDescent="0.3">
      <c r="A2839" s="4">
        <v>45416</v>
      </c>
      <c r="B2839" s="5">
        <f t="shared" si="697"/>
        <v>5</v>
      </c>
      <c r="C2839" s="5">
        <f t="shared" si="698"/>
        <v>2024</v>
      </c>
      <c r="D2839" s="5" t="s">
        <v>2551</v>
      </c>
      <c r="E2839" s="5" t="str">
        <f>VLOOKUP(F2839,'Set up'!$A$2:$C$70,2,FALSE)</f>
        <v>C00000042</v>
      </c>
      <c r="F2839" s="1" t="s">
        <v>2012</v>
      </c>
      <c r="G2839" s="99" t="s">
        <v>1061</v>
      </c>
      <c r="H2839" s="5">
        <v>4</v>
      </c>
      <c r="I2839" s="5" t="str">
        <f>VLOOKUP(F2839,'Set up'!$A$2:$C$70,3,FALSE)</f>
        <v>Cash</v>
      </c>
      <c r="J2839" s="5">
        <f>VLOOKUP(F2839,'Set up'!$A$2:$D$70,4,FALSE)</f>
        <v>0</v>
      </c>
      <c r="K2839" s="4">
        <f t="shared" si="699"/>
        <v>45416</v>
      </c>
      <c r="L2839" s="5">
        <f t="shared" si="700"/>
        <v>5</v>
      </c>
      <c r="M2839" s="5">
        <f t="shared" si="701"/>
        <v>2024</v>
      </c>
      <c r="N2839" s="12">
        <v>380</v>
      </c>
      <c r="O2839" s="6">
        <f t="shared" si="704"/>
        <v>-380</v>
      </c>
      <c r="P2839" s="6">
        <f t="shared" si="705"/>
        <v>0</v>
      </c>
      <c r="Q2839" s="7">
        <f t="shared" si="702"/>
        <v>4600426.05</v>
      </c>
      <c r="R2839" s="44" t="str">
        <f>VLOOKUP(F2839,'Set up'!$A$2:$E$70,5,FALSE)</f>
        <v>Trsf</v>
      </c>
      <c r="S2839" s="1" t="s">
        <v>3154</v>
      </c>
    </row>
    <row r="2840" spans="1:19" ht="15" customHeight="1" x14ac:dyDescent="0.3">
      <c r="A2840" s="4">
        <v>45419</v>
      </c>
      <c r="B2840" s="5">
        <f t="shared" si="697"/>
        <v>5</v>
      </c>
      <c r="C2840" s="5">
        <f t="shared" si="698"/>
        <v>2024</v>
      </c>
      <c r="D2840" s="5" t="s">
        <v>2553</v>
      </c>
      <c r="E2840" s="5" t="str">
        <f>VLOOKUP(F2840,'Set up'!$A$2:$C$70,2,FALSE)</f>
        <v>C00000026</v>
      </c>
      <c r="F2840" s="1" t="s">
        <v>784</v>
      </c>
      <c r="G2840" s="99" t="s">
        <v>2552</v>
      </c>
      <c r="H2840" s="5">
        <v>2</v>
      </c>
      <c r="I2840" s="5" t="str">
        <f>VLOOKUP(F2840,'Set up'!$A$2:$C$70,3,FALSE)</f>
        <v>Cash</v>
      </c>
      <c r="J2840" s="5">
        <f>VLOOKUP(F2840,'Set up'!$A$2:$D$70,4,FALSE)</f>
        <v>0</v>
      </c>
      <c r="K2840" s="4">
        <f t="shared" si="699"/>
        <v>45419</v>
      </c>
      <c r="L2840" s="5">
        <f t="shared" si="700"/>
        <v>5</v>
      </c>
      <c r="M2840" s="5">
        <f t="shared" si="701"/>
        <v>2024</v>
      </c>
      <c r="N2840" s="12">
        <v>3476</v>
      </c>
      <c r="O2840" s="12">
        <f>-3000-476</f>
        <v>-3476</v>
      </c>
      <c r="P2840" s="6">
        <f t="shared" si="705"/>
        <v>0</v>
      </c>
      <c r="Q2840" s="7">
        <f t="shared" si="702"/>
        <v>4603902.05</v>
      </c>
      <c r="R2840" s="44" t="str">
        <f>VLOOKUP(F2840,'Set up'!$A$2:$E$70,5,FALSE)</f>
        <v>Trsf</v>
      </c>
      <c r="S2840" s="1" t="s">
        <v>2716</v>
      </c>
    </row>
    <row r="2841" spans="1:19" ht="15" customHeight="1" x14ac:dyDescent="0.3">
      <c r="A2841" s="4">
        <v>45419</v>
      </c>
      <c r="B2841" s="5">
        <f t="shared" si="697"/>
        <v>5</v>
      </c>
      <c r="C2841" s="5">
        <f t="shared" si="698"/>
        <v>2024</v>
      </c>
      <c r="D2841" s="5" t="s">
        <v>2553</v>
      </c>
      <c r="E2841" s="5" t="str">
        <f>VLOOKUP(F2841,'Set up'!$A$2:$C$70,2,FALSE)</f>
        <v>C00000026</v>
      </c>
      <c r="F2841" s="1" t="s">
        <v>784</v>
      </c>
      <c r="G2841" s="99" t="s">
        <v>1411</v>
      </c>
      <c r="H2841" s="5">
        <v>1</v>
      </c>
      <c r="I2841" s="5" t="str">
        <f>VLOOKUP(F2841,'Set up'!$A$2:$C$70,3,FALSE)</f>
        <v>Cash</v>
      </c>
      <c r="J2841" s="5">
        <f>VLOOKUP(F2841,'Set up'!$A$2:$D$70,4,FALSE)</f>
        <v>0</v>
      </c>
      <c r="K2841" s="4">
        <f t="shared" si="699"/>
        <v>45419</v>
      </c>
      <c r="L2841" s="5">
        <f t="shared" si="700"/>
        <v>5</v>
      </c>
      <c r="M2841" s="5">
        <f t="shared" si="701"/>
        <v>2024</v>
      </c>
      <c r="N2841" s="12">
        <v>405</v>
      </c>
      <c r="O2841" s="6">
        <f t="shared" ref="O2841:O2850" si="706">-N2841</f>
        <v>-405</v>
      </c>
      <c r="P2841" s="6">
        <f t="shared" si="705"/>
        <v>0</v>
      </c>
      <c r="Q2841" s="7">
        <f t="shared" si="702"/>
        <v>4604307.05</v>
      </c>
      <c r="R2841" s="44" t="str">
        <f>VLOOKUP(F2841,'Set up'!$A$2:$E$70,5,FALSE)</f>
        <v>Trsf</v>
      </c>
      <c r="S2841" s="1" t="s">
        <v>2717</v>
      </c>
    </row>
    <row r="2842" spans="1:19" ht="15" customHeight="1" x14ac:dyDescent="0.3">
      <c r="A2842" s="4">
        <v>45419</v>
      </c>
      <c r="B2842" s="5">
        <f t="shared" si="697"/>
        <v>5</v>
      </c>
      <c r="C2842" s="5">
        <f t="shared" si="698"/>
        <v>2024</v>
      </c>
      <c r="D2842" s="5" t="s">
        <v>2553</v>
      </c>
      <c r="E2842" s="5" t="str">
        <f>VLOOKUP(F2842,'Set up'!$A$2:$C$70,2,FALSE)</f>
        <v>C00000026</v>
      </c>
      <c r="F2842" s="1" t="s">
        <v>784</v>
      </c>
      <c r="G2842" s="99" t="s">
        <v>17</v>
      </c>
      <c r="H2842" s="5">
        <v>2</v>
      </c>
      <c r="I2842" s="5" t="str">
        <f>VLOOKUP(F2842,'Set up'!$A$2:$C$70,3,FALSE)</f>
        <v>Cash</v>
      </c>
      <c r="J2842" s="5">
        <f>VLOOKUP(F2842,'Set up'!$A$2:$D$70,4,FALSE)</f>
        <v>0</v>
      </c>
      <c r="K2842" s="4">
        <f t="shared" si="699"/>
        <v>45419</v>
      </c>
      <c r="L2842" s="5">
        <f t="shared" si="700"/>
        <v>5</v>
      </c>
      <c r="M2842" s="5">
        <f t="shared" si="701"/>
        <v>2024</v>
      </c>
      <c r="N2842" s="12">
        <v>220</v>
      </c>
      <c r="O2842" s="6">
        <f t="shared" si="706"/>
        <v>-220</v>
      </c>
      <c r="P2842" s="6">
        <f t="shared" si="705"/>
        <v>0</v>
      </c>
      <c r="Q2842" s="7">
        <f t="shared" si="702"/>
        <v>4604527.05</v>
      </c>
      <c r="R2842" s="44" t="str">
        <f>VLOOKUP(F2842,'Set up'!$A$2:$E$70,5,FALSE)</f>
        <v>Trsf</v>
      </c>
      <c r="S2842" s="1" t="s">
        <v>2718</v>
      </c>
    </row>
    <row r="2843" spans="1:19" ht="15" customHeight="1" x14ac:dyDescent="0.3">
      <c r="A2843" s="4">
        <v>45419</v>
      </c>
      <c r="B2843" s="5">
        <f t="shared" si="697"/>
        <v>5</v>
      </c>
      <c r="C2843" s="5">
        <f t="shared" si="698"/>
        <v>2024</v>
      </c>
      <c r="D2843" s="5" t="s">
        <v>2553</v>
      </c>
      <c r="E2843" s="5" t="str">
        <f>VLOOKUP(F2843,'Set up'!$A$2:$C$70,2,FALSE)</f>
        <v>C00000026</v>
      </c>
      <c r="F2843" s="1" t="s">
        <v>784</v>
      </c>
      <c r="G2843" s="99" t="s">
        <v>2144</v>
      </c>
      <c r="H2843" s="5">
        <v>2</v>
      </c>
      <c r="I2843" s="5" t="str">
        <f>VLOOKUP(F2843,'Set up'!$A$2:$C$70,3,FALSE)</f>
        <v>Cash</v>
      </c>
      <c r="J2843" s="5">
        <f>VLOOKUP(F2843,'Set up'!$A$2:$D$70,4,FALSE)</f>
        <v>0</v>
      </c>
      <c r="K2843" s="4">
        <f t="shared" si="699"/>
        <v>45419</v>
      </c>
      <c r="L2843" s="5">
        <f t="shared" si="700"/>
        <v>5</v>
      </c>
      <c r="M2843" s="5">
        <f t="shared" si="701"/>
        <v>2024</v>
      </c>
      <c r="N2843" s="12">
        <v>567.6</v>
      </c>
      <c r="O2843" s="6">
        <f t="shared" si="706"/>
        <v>-567.6</v>
      </c>
      <c r="P2843" s="6">
        <f t="shared" si="705"/>
        <v>0</v>
      </c>
      <c r="Q2843" s="7">
        <f t="shared" si="702"/>
        <v>4605094.6499999994</v>
      </c>
      <c r="R2843" s="44" t="str">
        <f>VLOOKUP(F2843,'Set up'!$A$2:$E$70,5,FALSE)</f>
        <v>Trsf</v>
      </c>
      <c r="S2843" s="1" t="s">
        <v>2719</v>
      </c>
    </row>
    <row r="2844" spans="1:19" ht="15" customHeight="1" x14ac:dyDescent="0.3">
      <c r="A2844" s="4">
        <v>45419</v>
      </c>
      <c r="B2844" s="5">
        <f t="shared" si="697"/>
        <v>5</v>
      </c>
      <c r="C2844" s="5">
        <f t="shared" si="698"/>
        <v>2024</v>
      </c>
      <c r="D2844" s="5" t="s">
        <v>2553</v>
      </c>
      <c r="E2844" s="5" t="str">
        <f>VLOOKUP(F2844,'Set up'!$A$2:$C$70,2,FALSE)</f>
        <v>C00000026</v>
      </c>
      <c r="F2844" s="1" t="s">
        <v>784</v>
      </c>
      <c r="G2844" s="99" t="s">
        <v>949</v>
      </c>
      <c r="H2844" s="5">
        <v>2</v>
      </c>
      <c r="I2844" s="5" t="str">
        <f>VLOOKUP(F2844,'Set up'!$A$2:$C$70,3,FALSE)</f>
        <v>Cash</v>
      </c>
      <c r="J2844" s="5">
        <f>VLOOKUP(F2844,'Set up'!$A$2:$D$70,4,FALSE)</f>
        <v>0</v>
      </c>
      <c r="K2844" s="4">
        <f t="shared" si="699"/>
        <v>45419</v>
      </c>
      <c r="L2844" s="5">
        <f t="shared" si="700"/>
        <v>5</v>
      </c>
      <c r="M2844" s="5">
        <f t="shared" si="701"/>
        <v>2024</v>
      </c>
      <c r="N2844" s="12">
        <v>120</v>
      </c>
      <c r="O2844" s="6">
        <f t="shared" si="706"/>
        <v>-120</v>
      </c>
      <c r="P2844" s="6">
        <f t="shared" si="705"/>
        <v>0</v>
      </c>
      <c r="Q2844" s="7">
        <f t="shared" si="702"/>
        <v>4605214.6499999994</v>
      </c>
      <c r="R2844" s="44" t="str">
        <f>VLOOKUP(F2844,'Set up'!$A$2:$E$70,5,FALSE)</f>
        <v>Trsf</v>
      </c>
      <c r="S2844" s="1" t="s">
        <v>2720</v>
      </c>
    </row>
    <row r="2845" spans="1:19" ht="15" customHeight="1" x14ac:dyDescent="0.3">
      <c r="A2845" s="4">
        <v>45419</v>
      </c>
      <c r="B2845" s="5">
        <f t="shared" si="697"/>
        <v>5</v>
      </c>
      <c r="C2845" s="5">
        <f t="shared" si="698"/>
        <v>2024</v>
      </c>
      <c r="D2845" s="5" t="s">
        <v>2553</v>
      </c>
      <c r="E2845" s="5" t="str">
        <f>VLOOKUP(F2845,'Set up'!$A$2:$C$70,2,FALSE)</f>
        <v>C00000026</v>
      </c>
      <c r="F2845" s="1" t="s">
        <v>784</v>
      </c>
      <c r="G2845" s="99" t="s">
        <v>1743</v>
      </c>
      <c r="H2845" s="5">
        <v>1</v>
      </c>
      <c r="I2845" s="5" t="str">
        <f>VLOOKUP(F2845,'Set up'!$A$2:$C$70,3,FALSE)</f>
        <v>Cash</v>
      </c>
      <c r="J2845" s="5">
        <f>VLOOKUP(F2845,'Set up'!$A$2:$D$70,4,FALSE)</f>
        <v>0</v>
      </c>
      <c r="K2845" s="4">
        <f t="shared" si="699"/>
        <v>45419</v>
      </c>
      <c r="L2845" s="5">
        <f t="shared" si="700"/>
        <v>5</v>
      </c>
      <c r="M2845" s="5">
        <f t="shared" si="701"/>
        <v>2024</v>
      </c>
      <c r="N2845" s="12">
        <v>55.2</v>
      </c>
      <c r="O2845" s="6">
        <f t="shared" si="706"/>
        <v>-55.2</v>
      </c>
      <c r="P2845" s="6">
        <f t="shared" si="705"/>
        <v>0</v>
      </c>
      <c r="Q2845" s="7">
        <f t="shared" si="702"/>
        <v>4605269.8499999996</v>
      </c>
      <c r="R2845" s="44" t="str">
        <f>VLOOKUP(F2845,'Set up'!$A$2:$E$70,5,FALSE)</f>
        <v>Trsf</v>
      </c>
      <c r="S2845" s="1" t="s">
        <v>2721</v>
      </c>
    </row>
    <row r="2846" spans="1:19" ht="15" customHeight="1" x14ac:dyDescent="0.3">
      <c r="A2846" s="4">
        <v>45421</v>
      </c>
      <c r="B2846" s="5">
        <f t="shared" si="697"/>
        <v>5</v>
      </c>
      <c r="C2846" s="5">
        <f t="shared" si="698"/>
        <v>2024</v>
      </c>
      <c r="D2846" s="5" t="s">
        <v>2554</v>
      </c>
      <c r="E2846" s="5" t="str">
        <f>VLOOKUP(F2846,'Set up'!$A$2:$C$70,2,FALSE)</f>
        <v>C00000037</v>
      </c>
      <c r="F2846" s="1" t="s">
        <v>1309</v>
      </c>
      <c r="G2846" s="99" t="s">
        <v>2555</v>
      </c>
      <c r="H2846" s="5">
        <v>3</v>
      </c>
      <c r="I2846" s="5">
        <f>VLOOKUP(F2846,'Set up'!$A$2:$C$70,3,FALSE)</f>
        <v>30</v>
      </c>
      <c r="J2846" s="5">
        <f>VLOOKUP(F2846,'Set up'!$A$2:$D$70,4,FALSE)</f>
        <v>30</v>
      </c>
      <c r="K2846" s="4">
        <f t="shared" si="699"/>
        <v>45451</v>
      </c>
      <c r="L2846" s="5">
        <f t="shared" si="700"/>
        <v>6</v>
      </c>
      <c r="M2846" s="5">
        <f t="shared" si="701"/>
        <v>2024</v>
      </c>
      <c r="N2846" s="12">
        <v>5280</v>
      </c>
      <c r="O2846" s="6">
        <f t="shared" si="706"/>
        <v>-5280</v>
      </c>
      <c r="P2846" s="6">
        <f t="shared" si="705"/>
        <v>0</v>
      </c>
      <c r="Q2846" s="7">
        <f t="shared" si="702"/>
        <v>4610549.8499999996</v>
      </c>
      <c r="R2846" s="44" t="str">
        <f>VLOOKUP(F2846,'Set up'!$A$2:$E$70,5,FALSE)</f>
        <v>Chq</v>
      </c>
      <c r="S2846" s="1" t="s">
        <v>2878</v>
      </c>
    </row>
    <row r="2847" spans="1:19" ht="15" customHeight="1" x14ac:dyDescent="0.3">
      <c r="A2847" s="4">
        <v>45421</v>
      </c>
      <c r="B2847" s="5">
        <f t="shared" si="697"/>
        <v>5</v>
      </c>
      <c r="C2847" s="5">
        <f t="shared" si="698"/>
        <v>2024</v>
      </c>
      <c r="D2847" s="5" t="s">
        <v>2554</v>
      </c>
      <c r="E2847" s="5" t="str">
        <f>VLOOKUP(F2847,'Set up'!$A$2:$C$70,2,FALSE)</f>
        <v>C00000037</v>
      </c>
      <c r="F2847" s="1" t="s">
        <v>1309</v>
      </c>
      <c r="G2847" s="99" t="s">
        <v>707</v>
      </c>
      <c r="H2847" s="5">
        <v>1</v>
      </c>
      <c r="I2847" s="5">
        <f>VLOOKUP(F2847,'Set up'!$A$2:$C$70,3,FALSE)</f>
        <v>30</v>
      </c>
      <c r="J2847" s="5">
        <f>VLOOKUP(F2847,'Set up'!$A$2:$D$70,4,FALSE)</f>
        <v>30</v>
      </c>
      <c r="K2847" s="4">
        <f t="shared" si="699"/>
        <v>45451</v>
      </c>
      <c r="L2847" s="5">
        <f t="shared" si="700"/>
        <v>6</v>
      </c>
      <c r="M2847" s="5">
        <f t="shared" si="701"/>
        <v>2024</v>
      </c>
      <c r="N2847" s="12">
        <v>421.2</v>
      </c>
      <c r="O2847" s="6">
        <f t="shared" si="706"/>
        <v>-421.2</v>
      </c>
      <c r="P2847" s="6">
        <f t="shared" si="705"/>
        <v>0</v>
      </c>
      <c r="Q2847" s="7">
        <f t="shared" si="702"/>
        <v>4610971.05</v>
      </c>
      <c r="R2847" s="44" t="str">
        <f>VLOOKUP(F2847,'Set up'!$A$2:$E$70,5,FALSE)</f>
        <v>Chq</v>
      </c>
      <c r="S2847" s="1" t="s">
        <v>2878</v>
      </c>
    </row>
    <row r="2848" spans="1:19" ht="15" customHeight="1" x14ac:dyDescent="0.3">
      <c r="A2848" s="4">
        <v>45421</v>
      </c>
      <c r="B2848" s="5">
        <f t="shared" si="697"/>
        <v>5</v>
      </c>
      <c r="C2848" s="5">
        <f t="shared" si="698"/>
        <v>2024</v>
      </c>
      <c r="D2848" s="5" t="s">
        <v>2554</v>
      </c>
      <c r="E2848" s="5" t="str">
        <f>VLOOKUP(F2848,'Set up'!$A$2:$C$70,2,FALSE)</f>
        <v>C00000037</v>
      </c>
      <c r="F2848" s="1" t="s">
        <v>1309</v>
      </c>
      <c r="G2848" s="99" t="s">
        <v>2556</v>
      </c>
      <c r="H2848" s="5">
        <v>1</v>
      </c>
      <c r="I2848" s="5">
        <f>VLOOKUP(F2848,'Set up'!$A$2:$C$70,3,FALSE)</f>
        <v>30</v>
      </c>
      <c r="J2848" s="5">
        <f>VLOOKUP(F2848,'Set up'!$A$2:$D$70,4,FALSE)</f>
        <v>30</v>
      </c>
      <c r="K2848" s="4">
        <f t="shared" si="699"/>
        <v>45451</v>
      </c>
      <c r="L2848" s="5">
        <f t="shared" si="700"/>
        <v>6</v>
      </c>
      <c r="M2848" s="5">
        <f t="shared" si="701"/>
        <v>2024</v>
      </c>
      <c r="N2848" s="12">
        <v>421.2</v>
      </c>
      <c r="O2848" s="6">
        <f t="shared" si="706"/>
        <v>-421.2</v>
      </c>
      <c r="P2848" s="6">
        <f t="shared" si="705"/>
        <v>0</v>
      </c>
      <c r="Q2848" s="7">
        <f t="shared" si="702"/>
        <v>4611392.25</v>
      </c>
      <c r="R2848" s="44" t="str">
        <f>VLOOKUP(F2848,'Set up'!$A$2:$E$70,5,FALSE)</f>
        <v>Chq</v>
      </c>
      <c r="S2848" s="1" t="s">
        <v>2878</v>
      </c>
    </row>
    <row r="2849" spans="1:19" ht="15" customHeight="1" x14ac:dyDescent="0.3">
      <c r="A2849" s="4">
        <v>45421</v>
      </c>
      <c r="B2849" s="5">
        <f t="shared" si="697"/>
        <v>5</v>
      </c>
      <c r="C2849" s="5">
        <f t="shared" si="698"/>
        <v>2024</v>
      </c>
      <c r="D2849" s="5" t="s">
        <v>2554</v>
      </c>
      <c r="E2849" s="5" t="str">
        <f>VLOOKUP(F2849,'Set up'!$A$2:$C$70,2,FALSE)</f>
        <v>C00000037</v>
      </c>
      <c r="F2849" s="1" t="s">
        <v>1309</v>
      </c>
      <c r="G2849" s="99" t="s">
        <v>1405</v>
      </c>
      <c r="H2849" s="5">
        <v>5</v>
      </c>
      <c r="I2849" s="5">
        <f>VLOOKUP(F2849,'Set up'!$A$2:$C$70,3,FALSE)</f>
        <v>30</v>
      </c>
      <c r="J2849" s="5">
        <f>VLOOKUP(F2849,'Set up'!$A$2:$D$70,4,FALSE)</f>
        <v>30</v>
      </c>
      <c r="K2849" s="4">
        <f t="shared" si="699"/>
        <v>45451</v>
      </c>
      <c r="L2849" s="5">
        <f t="shared" si="700"/>
        <v>6</v>
      </c>
      <c r="M2849" s="5">
        <f t="shared" si="701"/>
        <v>2024</v>
      </c>
      <c r="N2849" s="12">
        <v>240</v>
      </c>
      <c r="O2849" s="6">
        <f t="shared" si="706"/>
        <v>-240</v>
      </c>
      <c r="P2849" s="6">
        <f t="shared" si="705"/>
        <v>0</v>
      </c>
      <c r="Q2849" s="7">
        <f t="shared" si="702"/>
        <v>4611632.25</v>
      </c>
      <c r="R2849" s="44" t="str">
        <f>VLOOKUP(F2849,'Set up'!$A$2:$E$70,5,FALSE)</f>
        <v>Chq</v>
      </c>
      <c r="S2849" s="1" t="s">
        <v>2878</v>
      </c>
    </row>
    <row r="2850" spans="1:19" ht="15" customHeight="1" x14ac:dyDescent="0.3">
      <c r="A2850" s="4">
        <v>45421</v>
      </c>
      <c r="B2850" s="5">
        <f t="shared" si="697"/>
        <v>5</v>
      </c>
      <c r="C2850" s="5">
        <f t="shared" si="698"/>
        <v>2024</v>
      </c>
      <c r="D2850" s="5" t="s">
        <v>2554</v>
      </c>
      <c r="E2850" s="5" t="str">
        <f>VLOOKUP(F2850,'Set up'!$A$2:$C$70,2,FALSE)</f>
        <v>C00000037</v>
      </c>
      <c r="F2850" s="1" t="s">
        <v>1309</v>
      </c>
      <c r="G2850" s="99" t="s">
        <v>1110</v>
      </c>
      <c r="H2850" s="5">
        <v>5</v>
      </c>
      <c r="I2850" s="5">
        <f>VLOOKUP(F2850,'Set up'!$A$2:$C$70,3,FALSE)</f>
        <v>30</v>
      </c>
      <c r="J2850" s="5">
        <f>VLOOKUP(F2850,'Set up'!$A$2:$D$70,4,FALSE)</f>
        <v>30</v>
      </c>
      <c r="K2850" s="4">
        <f t="shared" si="699"/>
        <v>45451</v>
      </c>
      <c r="L2850" s="5">
        <f t="shared" si="700"/>
        <v>6</v>
      </c>
      <c r="M2850" s="5">
        <f t="shared" si="701"/>
        <v>2024</v>
      </c>
      <c r="N2850" s="12">
        <v>312.5</v>
      </c>
      <c r="O2850" s="6">
        <f t="shared" si="706"/>
        <v>-312.5</v>
      </c>
      <c r="P2850" s="6">
        <f t="shared" si="705"/>
        <v>0</v>
      </c>
      <c r="Q2850" s="7">
        <f t="shared" si="702"/>
        <v>4611944.75</v>
      </c>
      <c r="R2850" s="44" t="str">
        <f>VLOOKUP(F2850,'Set up'!$A$2:$E$70,5,FALSE)</f>
        <v>Chq</v>
      </c>
      <c r="S2850" s="1" t="s">
        <v>2878</v>
      </c>
    </row>
    <row r="2851" spans="1:19" ht="15" customHeight="1" x14ac:dyDescent="0.3">
      <c r="A2851" s="4">
        <v>45422</v>
      </c>
      <c r="B2851" s="5">
        <f t="shared" si="697"/>
        <v>5</v>
      </c>
      <c r="C2851" s="5">
        <f t="shared" si="698"/>
        <v>2024</v>
      </c>
      <c r="D2851" s="5" t="s">
        <v>2557</v>
      </c>
      <c r="E2851" s="5" t="str">
        <f>VLOOKUP(F2851,'Set up'!$A$2:$C$70,2,FALSE)</f>
        <v>C00000006</v>
      </c>
      <c r="F2851" s="1" t="s">
        <v>43</v>
      </c>
      <c r="G2851" s="99" t="s">
        <v>95</v>
      </c>
      <c r="H2851" s="5">
        <v>2</v>
      </c>
      <c r="I2851" s="5" t="str">
        <f>VLOOKUP(F2851,'Set up'!$A$2:$C$70,3,FALSE)</f>
        <v>Cash</v>
      </c>
      <c r="J2851" s="5">
        <f>VLOOKUP(F2851,'Set up'!$A$2:$D$70,4,FALSE)</f>
        <v>0</v>
      </c>
      <c r="K2851" s="4">
        <f t="shared" si="699"/>
        <v>45422</v>
      </c>
      <c r="L2851" s="5">
        <f t="shared" si="700"/>
        <v>5</v>
      </c>
      <c r="M2851" s="5">
        <f t="shared" si="701"/>
        <v>2024</v>
      </c>
      <c r="N2851" s="12">
        <v>3476</v>
      </c>
      <c r="O2851" s="6">
        <f t="shared" ref="O2851:O2857" si="707">-N2851</f>
        <v>-3476</v>
      </c>
      <c r="P2851" s="6">
        <f t="shared" si="705"/>
        <v>0</v>
      </c>
      <c r="Q2851" s="7">
        <f t="shared" si="702"/>
        <v>4615420.75</v>
      </c>
      <c r="R2851" s="44" t="str">
        <f>VLOOKUP(F2851,'Set up'!$A$2:$E$70,5,FALSE)</f>
        <v>Chq</v>
      </c>
      <c r="S2851" s="1" t="s">
        <v>2837</v>
      </c>
    </row>
    <row r="2852" spans="1:19" ht="15" customHeight="1" x14ac:dyDescent="0.3">
      <c r="A2852" s="4">
        <v>45422</v>
      </c>
      <c r="B2852" s="5">
        <f t="shared" si="697"/>
        <v>5</v>
      </c>
      <c r="C2852" s="5">
        <f t="shared" si="698"/>
        <v>2024</v>
      </c>
      <c r="D2852" s="5" t="s">
        <v>2557</v>
      </c>
      <c r="E2852" s="5" t="str">
        <f>VLOOKUP(F2852,'Set up'!$A$2:$C$70,2,FALSE)</f>
        <v>C00000006</v>
      </c>
      <c r="F2852" s="1" t="s">
        <v>43</v>
      </c>
      <c r="G2852" s="99" t="s">
        <v>1796</v>
      </c>
      <c r="H2852" s="5">
        <v>6</v>
      </c>
      <c r="I2852" s="5" t="str">
        <f>VLOOKUP(F2852,'Set up'!$A$2:$C$70,3,FALSE)</f>
        <v>Cash</v>
      </c>
      <c r="J2852" s="5">
        <f>VLOOKUP(F2852,'Set up'!$A$2:$D$70,4,FALSE)</f>
        <v>0</v>
      </c>
      <c r="K2852" s="4">
        <f t="shared" si="699"/>
        <v>45422</v>
      </c>
      <c r="L2852" s="5">
        <f t="shared" si="700"/>
        <v>5</v>
      </c>
      <c r="M2852" s="5">
        <f t="shared" si="701"/>
        <v>2024</v>
      </c>
      <c r="N2852" s="12">
        <v>1350</v>
      </c>
      <c r="O2852" s="6">
        <f t="shared" si="707"/>
        <v>-1350</v>
      </c>
      <c r="P2852" s="6">
        <f t="shared" si="705"/>
        <v>0</v>
      </c>
      <c r="Q2852" s="7">
        <f t="shared" si="702"/>
        <v>4616770.75</v>
      </c>
      <c r="R2852" s="44" t="str">
        <f>VLOOKUP(F2852,'Set up'!$A$2:$E$70,5,FALSE)</f>
        <v>Chq</v>
      </c>
      <c r="S2852" s="1" t="s">
        <v>2837</v>
      </c>
    </row>
    <row r="2853" spans="1:19" ht="15" customHeight="1" x14ac:dyDescent="0.3">
      <c r="A2853" s="4">
        <v>45422</v>
      </c>
      <c r="B2853" s="5">
        <f t="shared" si="697"/>
        <v>5</v>
      </c>
      <c r="C2853" s="5">
        <f t="shared" si="698"/>
        <v>2024</v>
      </c>
      <c r="D2853" s="5" t="s">
        <v>2557</v>
      </c>
      <c r="E2853" s="5" t="str">
        <f>VLOOKUP(F2853,'Set up'!$A$2:$C$70,2,FALSE)</f>
        <v>C00000006</v>
      </c>
      <c r="F2853" s="1" t="s">
        <v>43</v>
      </c>
      <c r="G2853" s="99" t="s">
        <v>17</v>
      </c>
      <c r="H2853" s="5">
        <v>2</v>
      </c>
      <c r="I2853" s="5" t="str">
        <f>VLOOKUP(F2853,'Set up'!$A$2:$C$70,3,FALSE)</f>
        <v>Cash</v>
      </c>
      <c r="J2853" s="5">
        <f>VLOOKUP(F2853,'Set up'!$A$2:$D$70,4,FALSE)</f>
        <v>0</v>
      </c>
      <c r="K2853" s="4">
        <f t="shared" si="699"/>
        <v>45422</v>
      </c>
      <c r="L2853" s="5">
        <f t="shared" si="700"/>
        <v>5</v>
      </c>
      <c r="M2853" s="5">
        <f t="shared" si="701"/>
        <v>2024</v>
      </c>
      <c r="N2853" s="12">
        <v>220</v>
      </c>
      <c r="O2853" s="6">
        <f t="shared" si="707"/>
        <v>-220</v>
      </c>
      <c r="P2853" s="6">
        <f t="shared" si="705"/>
        <v>0</v>
      </c>
      <c r="Q2853" s="7">
        <f t="shared" si="702"/>
        <v>4616990.75</v>
      </c>
      <c r="R2853" s="44" t="str">
        <f>VLOOKUP(F2853,'Set up'!$A$2:$E$70,5,FALSE)</f>
        <v>Chq</v>
      </c>
      <c r="S2853" s="1" t="s">
        <v>2837</v>
      </c>
    </row>
    <row r="2854" spans="1:19" ht="15" customHeight="1" x14ac:dyDescent="0.3">
      <c r="A2854" s="4">
        <v>45422</v>
      </c>
      <c r="B2854" s="5">
        <f t="shared" si="697"/>
        <v>5</v>
      </c>
      <c r="C2854" s="5">
        <f t="shared" si="698"/>
        <v>2024</v>
      </c>
      <c r="D2854" s="5" t="s">
        <v>2557</v>
      </c>
      <c r="E2854" s="5" t="str">
        <f>VLOOKUP(F2854,'Set up'!$A$2:$C$70,2,FALSE)</f>
        <v>C00000006</v>
      </c>
      <c r="F2854" s="1" t="s">
        <v>43</v>
      </c>
      <c r="G2854" s="99" t="s">
        <v>293</v>
      </c>
      <c r="H2854" s="5">
        <v>2</v>
      </c>
      <c r="I2854" s="5" t="str">
        <f>VLOOKUP(F2854,'Set up'!$A$2:$C$70,3,FALSE)</f>
        <v>Cash</v>
      </c>
      <c r="J2854" s="5">
        <f>VLOOKUP(F2854,'Set up'!$A$2:$D$70,4,FALSE)</f>
        <v>0</v>
      </c>
      <c r="K2854" s="4">
        <f t="shared" si="699"/>
        <v>45422</v>
      </c>
      <c r="L2854" s="5">
        <f t="shared" si="700"/>
        <v>5</v>
      </c>
      <c r="M2854" s="5">
        <f t="shared" si="701"/>
        <v>2024</v>
      </c>
      <c r="N2854" s="12">
        <v>96</v>
      </c>
      <c r="O2854" s="6">
        <f t="shared" si="707"/>
        <v>-96</v>
      </c>
      <c r="P2854" s="6">
        <f t="shared" si="705"/>
        <v>0</v>
      </c>
      <c r="Q2854" s="7">
        <f t="shared" si="702"/>
        <v>4617086.75</v>
      </c>
      <c r="R2854" s="44" t="str">
        <f>VLOOKUP(F2854,'Set up'!$A$2:$E$70,5,FALSE)</f>
        <v>Chq</v>
      </c>
      <c r="S2854" s="1" t="s">
        <v>2837</v>
      </c>
    </row>
    <row r="2855" spans="1:19" ht="15" customHeight="1" x14ac:dyDescent="0.3">
      <c r="A2855" s="4">
        <v>45422</v>
      </c>
      <c r="B2855" s="5">
        <f t="shared" si="697"/>
        <v>5</v>
      </c>
      <c r="C2855" s="5">
        <f t="shared" si="698"/>
        <v>2024</v>
      </c>
      <c r="D2855" s="5" t="s">
        <v>2557</v>
      </c>
      <c r="E2855" s="5" t="str">
        <f>VLOOKUP(F2855,'Set up'!$A$2:$C$70,2,FALSE)</f>
        <v>C00000006</v>
      </c>
      <c r="F2855" s="1" t="s">
        <v>43</v>
      </c>
      <c r="G2855" s="99" t="s">
        <v>2558</v>
      </c>
      <c r="H2855" s="5">
        <v>1</v>
      </c>
      <c r="I2855" s="5" t="str">
        <f>VLOOKUP(F2855,'Set up'!$A$2:$C$70,3,FALSE)</f>
        <v>Cash</v>
      </c>
      <c r="J2855" s="5">
        <f>VLOOKUP(F2855,'Set up'!$A$2:$D$70,4,FALSE)</f>
        <v>0</v>
      </c>
      <c r="K2855" s="4">
        <f t="shared" si="699"/>
        <v>45422</v>
      </c>
      <c r="L2855" s="5">
        <f t="shared" si="700"/>
        <v>5</v>
      </c>
      <c r="M2855" s="5">
        <f t="shared" si="701"/>
        <v>2024</v>
      </c>
      <c r="N2855" s="12">
        <v>275</v>
      </c>
      <c r="O2855" s="6">
        <f t="shared" si="707"/>
        <v>-275</v>
      </c>
      <c r="P2855" s="6">
        <f t="shared" si="705"/>
        <v>0</v>
      </c>
      <c r="Q2855" s="7">
        <f t="shared" si="702"/>
        <v>4617361.75</v>
      </c>
      <c r="R2855" s="44" t="str">
        <f>VLOOKUP(F2855,'Set up'!$A$2:$E$70,5,FALSE)</f>
        <v>Chq</v>
      </c>
      <c r="S2855" s="1" t="s">
        <v>2837</v>
      </c>
    </row>
    <row r="2856" spans="1:19" ht="15" customHeight="1" x14ac:dyDescent="0.3">
      <c r="A2856" s="4">
        <v>45422</v>
      </c>
      <c r="B2856" s="5">
        <f t="shared" si="697"/>
        <v>5</v>
      </c>
      <c r="C2856" s="5">
        <f t="shared" si="698"/>
        <v>2024</v>
      </c>
      <c r="D2856" s="5" t="s">
        <v>2557</v>
      </c>
      <c r="E2856" s="5" t="str">
        <f>VLOOKUP(F2856,'Set up'!$A$2:$C$70,2,FALSE)</f>
        <v>C00000006</v>
      </c>
      <c r="F2856" s="1" t="s">
        <v>43</v>
      </c>
      <c r="G2856" s="99" t="s">
        <v>1661</v>
      </c>
      <c r="H2856" s="5">
        <v>1</v>
      </c>
      <c r="I2856" s="5" t="str">
        <f>VLOOKUP(F2856,'Set up'!$A$2:$C$70,3,FALSE)</f>
        <v>Cash</v>
      </c>
      <c r="J2856" s="5">
        <f>VLOOKUP(F2856,'Set up'!$A$2:$D$70,4,FALSE)</f>
        <v>0</v>
      </c>
      <c r="K2856" s="4">
        <f t="shared" si="699"/>
        <v>45422</v>
      </c>
      <c r="L2856" s="5">
        <f t="shared" si="700"/>
        <v>5</v>
      </c>
      <c r="M2856" s="5">
        <f t="shared" si="701"/>
        <v>2024</v>
      </c>
      <c r="N2856" s="12">
        <v>160</v>
      </c>
      <c r="O2856" s="6">
        <f t="shared" si="707"/>
        <v>-160</v>
      </c>
      <c r="P2856" s="6">
        <f t="shared" si="705"/>
        <v>0</v>
      </c>
      <c r="Q2856" s="7">
        <f t="shared" si="702"/>
        <v>4617521.75</v>
      </c>
      <c r="R2856" s="44" t="str">
        <f>VLOOKUP(F2856,'Set up'!$A$2:$E$70,5,FALSE)</f>
        <v>Chq</v>
      </c>
      <c r="S2856" s="1" t="s">
        <v>2837</v>
      </c>
    </row>
    <row r="2857" spans="1:19" ht="15" customHeight="1" x14ac:dyDescent="0.3">
      <c r="A2857" s="4">
        <v>45421</v>
      </c>
      <c r="B2857" s="5">
        <f t="shared" si="697"/>
        <v>5</v>
      </c>
      <c r="C2857" s="5">
        <f t="shared" si="698"/>
        <v>2024</v>
      </c>
      <c r="D2857" s="5" t="s">
        <v>2559</v>
      </c>
      <c r="E2857" s="5" t="str">
        <f>VLOOKUP(F2857,'Set up'!$A$2:$C$70,2,FALSE)</f>
        <v>C00000042</v>
      </c>
      <c r="F2857" s="1" t="s">
        <v>2012</v>
      </c>
      <c r="G2857" s="99" t="s">
        <v>1110</v>
      </c>
      <c r="H2857" s="5">
        <v>7</v>
      </c>
      <c r="I2857" s="5" t="str">
        <f>VLOOKUP(F2857,'Set up'!$A$2:$C$70,3,FALSE)</f>
        <v>Cash</v>
      </c>
      <c r="J2857" s="5">
        <f>VLOOKUP(F2857,'Set up'!$A$2:$D$70,4,FALSE)</f>
        <v>0</v>
      </c>
      <c r="K2857" s="4">
        <f t="shared" si="699"/>
        <v>45421</v>
      </c>
      <c r="L2857" s="5">
        <f t="shared" si="700"/>
        <v>5</v>
      </c>
      <c r="M2857" s="5">
        <f t="shared" si="701"/>
        <v>2024</v>
      </c>
      <c r="N2857" s="12">
        <v>437.5</v>
      </c>
      <c r="O2857" s="6">
        <f t="shared" si="707"/>
        <v>-437.5</v>
      </c>
      <c r="P2857" s="6">
        <f t="shared" si="705"/>
        <v>0</v>
      </c>
      <c r="Q2857" s="7">
        <f t="shared" si="702"/>
        <v>4617959.25</v>
      </c>
      <c r="R2857" s="44" t="str">
        <f>VLOOKUP(F2857,'Set up'!$A$2:$E$70,5,FALSE)</f>
        <v>Trsf</v>
      </c>
      <c r="S2857" s="1" t="s">
        <v>3155</v>
      </c>
    </row>
    <row r="2858" spans="1:19" ht="15" customHeight="1" x14ac:dyDescent="0.3">
      <c r="A2858" s="4">
        <v>45421</v>
      </c>
      <c r="B2858" s="5">
        <f t="shared" si="697"/>
        <v>5</v>
      </c>
      <c r="C2858" s="5">
        <f t="shared" si="698"/>
        <v>2024</v>
      </c>
      <c r="D2858" s="5" t="s">
        <v>2560</v>
      </c>
      <c r="E2858" s="5" t="str">
        <f>VLOOKUP(F2858,'Set up'!$A$2:$C$70,2,FALSE)</f>
        <v>C00000042</v>
      </c>
      <c r="F2858" s="1" t="s">
        <v>2012</v>
      </c>
      <c r="G2858" s="99" t="s">
        <v>2552</v>
      </c>
      <c r="H2858" s="5">
        <v>7</v>
      </c>
      <c r="I2858" s="5" t="str">
        <f>VLOOKUP(F2858,'Set up'!$A$2:$C$70,3,FALSE)</f>
        <v>Cash</v>
      </c>
      <c r="J2858" s="5">
        <f>VLOOKUP(F2858,'Set up'!$A$2:$D$70,4,FALSE)</f>
        <v>0</v>
      </c>
      <c r="K2858" s="4">
        <f t="shared" si="699"/>
        <v>45421</v>
      </c>
      <c r="L2858" s="5">
        <f t="shared" si="700"/>
        <v>5</v>
      </c>
      <c r="M2858" s="5">
        <f t="shared" si="701"/>
        <v>2024</v>
      </c>
      <c r="N2858" s="12">
        <v>11396</v>
      </c>
      <c r="O2858" s="6">
        <f>-2702.6-8693.4</f>
        <v>-11396</v>
      </c>
      <c r="P2858" s="6">
        <f t="shared" si="705"/>
        <v>0</v>
      </c>
      <c r="Q2858" s="7">
        <f t="shared" si="702"/>
        <v>4629355.25</v>
      </c>
      <c r="R2858" s="44" t="str">
        <f>VLOOKUP(F2858,'Set up'!$A$2:$E$70,5,FALSE)</f>
        <v>Trsf</v>
      </c>
      <c r="S2858" s="1" t="s">
        <v>3156</v>
      </c>
    </row>
    <row r="2859" spans="1:19" ht="15" customHeight="1" x14ac:dyDescent="0.3">
      <c r="A2859" s="4">
        <v>45421</v>
      </c>
      <c r="B2859" s="5">
        <f t="shared" si="697"/>
        <v>5</v>
      </c>
      <c r="C2859" s="5">
        <f t="shared" si="698"/>
        <v>2024</v>
      </c>
      <c r="D2859" s="5" t="s">
        <v>2560</v>
      </c>
      <c r="E2859" s="5" t="str">
        <f>VLOOKUP(F2859,'Set up'!$A$2:$C$70,2,FALSE)</f>
        <v>C00000042</v>
      </c>
      <c r="F2859" s="1" t="s">
        <v>2012</v>
      </c>
      <c r="G2859" s="99" t="s">
        <v>913</v>
      </c>
      <c r="H2859" s="5">
        <v>21</v>
      </c>
      <c r="I2859" s="5" t="str">
        <f>VLOOKUP(F2859,'Set up'!$A$2:$C$70,3,FALSE)</f>
        <v>Cash</v>
      </c>
      <c r="J2859" s="5">
        <f>VLOOKUP(F2859,'Set up'!$A$2:$D$70,4,FALSE)</f>
        <v>0</v>
      </c>
      <c r="K2859" s="4">
        <f t="shared" si="699"/>
        <v>45421</v>
      </c>
      <c r="L2859" s="5">
        <f t="shared" si="700"/>
        <v>5</v>
      </c>
      <c r="M2859" s="5">
        <f t="shared" si="701"/>
        <v>2024</v>
      </c>
      <c r="N2859" s="12">
        <v>3654</v>
      </c>
      <c r="O2859" s="6">
        <f>-N2859</f>
        <v>-3654</v>
      </c>
      <c r="P2859" s="6">
        <f>SUM(N2859+O2859)</f>
        <v>0</v>
      </c>
      <c r="Q2859" s="7">
        <f t="shared" si="702"/>
        <v>4633009.25</v>
      </c>
      <c r="R2859" s="44" t="str">
        <f>VLOOKUP(F2859,'Set up'!$A$2:$E$70,5,FALSE)</f>
        <v>Trsf</v>
      </c>
      <c r="S2859" s="1" t="s">
        <v>3148</v>
      </c>
    </row>
    <row r="2860" spans="1:19" ht="15" customHeight="1" x14ac:dyDescent="0.3">
      <c r="A2860" s="4">
        <v>45421</v>
      </c>
      <c r="B2860" s="5">
        <f t="shared" si="697"/>
        <v>5</v>
      </c>
      <c r="C2860" s="5">
        <f t="shared" si="698"/>
        <v>2024</v>
      </c>
      <c r="D2860" s="5" t="s">
        <v>2560</v>
      </c>
      <c r="E2860" s="5" t="str">
        <f>VLOOKUP(F2860,'Set up'!$A$2:$C$70,2,FALSE)</f>
        <v>C00000042</v>
      </c>
      <c r="F2860" s="1" t="s">
        <v>2012</v>
      </c>
      <c r="G2860" s="99" t="s">
        <v>1922</v>
      </c>
      <c r="H2860" s="5">
        <v>7</v>
      </c>
      <c r="I2860" s="5" t="str">
        <f>VLOOKUP(F2860,'Set up'!$A$2:$C$70,3,FALSE)</f>
        <v>Cash</v>
      </c>
      <c r="J2860" s="5">
        <f>VLOOKUP(F2860,'Set up'!$A$2:$D$70,4,FALSE)</f>
        <v>0</v>
      </c>
      <c r="K2860" s="4">
        <f t="shared" si="699"/>
        <v>45421</v>
      </c>
      <c r="L2860" s="5">
        <f t="shared" si="700"/>
        <v>5</v>
      </c>
      <c r="M2860" s="5">
        <f t="shared" si="701"/>
        <v>2024</v>
      </c>
      <c r="N2860" s="12">
        <v>1638</v>
      </c>
      <c r="O2860" s="6">
        <f>-N2860</f>
        <v>-1638</v>
      </c>
      <c r="P2860" s="6">
        <f>SUM(N2860+O2860)</f>
        <v>0</v>
      </c>
      <c r="Q2860" s="7">
        <f t="shared" si="702"/>
        <v>4634647.25</v>
      </c>
      <c r="R2860" s="44" t="str">
        <f>VLOOKUP(F2860,'Set up'!$A$2:$E$70,5,FALSE)</f>
        <v>Trsf</v>
      </c>
      <c r="S2860" s="1" t="s">
        <v>3148</v>
      </c>
    </row>
    <row r="2861" spans="1:19" ht="15" customHeight="1" x14ac:dyDescent="0.3">
      <c r="A2861" s="4">
        <v>45421</v>
      </c>
      <c r="B2861" s="5">
        <f t="shared" si="697"/>
        <v>5</v>
      </c>
      <c r="C2861" s="5">
        <f t="shared" si="698"/>
        <v>2024</v>
      </c>
      <c r="D2861" s="5" t="s">
        <v>2560</v>
      </c>
      <c r="E2861" s="5" t="str">
        <f>VLOOKUP(F2861,'Set up'!$A$2:$C$70,2,FALSE)</f>
        <v>C00000042</v>
      </c>
      <c r="F2861" s="1" t="s">
        <v>2012</v>
      </c>
      <c r="G2861" s="99" t="s">
        <v>1073</v>
      </c>
      <c r="H2861" s="5">
        <v>1</v>
      </c>
      <c r="I2861" s="5" t="str">
        <f>VLOOKUP(F2861,'Set up'!$A$2:$C$70,3,FALSE)</f>
        <v>Cash</v>
      </c>
      <c r="J2861" s="5">
        <f>VLOOKUP(F2861,'Set up'!$A$2:$D$70,4,FALSE)</f>
        <v>0</v>
      </c>
      <c r="K2861" s="4">
        <f t="shared" si="699"/>
        <v>45421</v>
      </c>
      <c r="L2861" s="5">
        <f t="shared" si="700"/>
        <v>5</v>
      </c>
      <c r="M2861" s="5">
        <f t="shared" si="701"/>
        <v>2024</v>
      </c>
      <c r="N2861" s="12">
        <v>1000</v>
      </c>
      <c r="O2861" s="6">
        <f>-N2861</f>
        <v>-1000</v>
      </c>
      <c r="P2861" s="6">
        <f t="shared" si="705"/>
        <v>0</v>
      </c>
      <c r="Q2861" s="7">
        <f t="shared" si="702"/>
        <v>4635647.25</v>
      </c>
      <c r="R2861" s="44" t="str">
        <f>VLOOKUP(F2861,'Set up'!$A$2:$E$70,5,FALSE)</f>
        <v>Trsf</v>
      </c>
      <c r="S2861" s="1" t="s">
        <v>3157</v>
      </c>
    </row>
    <row r="2862" spans="1:19" ht="15" customHeight="1" x14ac:dyDescent="0.3">
      <c r="A2862" s="4">
        <v>45421</v>
      </c>
      <c r="B2862" s="5">
        <f t="shared" si="697"/>
        <v>5</v>
      </c>
      <c r="C2862" s="5">
        <f t="shared" si="698"/>
        <v>2024</v>
      </c>
      <c r="D2862" s="5" t="s">
        <v>2560</v>
      </c>
      <c r="E2862" s="5" t="str">
        <f>VLOOKUP(F2862,'Set up'!$A$2:$C$70,2,FALSE)</f>
        <v>C00000042</v>
      </c>
      <c r="F2862" s="1" t="s">
        <v>2012</v>
      </c>
      <c r="G2862" s="99" t="s">
        <v>1061</v>
      </c>
      <c r="H2862" s="5">
        <v>4</v>
      </c>
      <c r="I2862" s="5" t="str">
        <f>VLOOKUP(F2862,'Set up'!$A$2:$C$70,3,FALSE)</f>
        <v>Cash</v>
      </c>
      <c r="J2862" s="5">
        <f>VLOOKUP(F2862,'Set up'!$A$2:$D$70,4,FALSE)</f>
        <v>0</v>
      </c>
      <c r="K2862" s="4">
        <f t="shared" si="699"/>
        <v>45421</v>
      </c>
      <c r="L2862" s="5">
        <f t="shared" si="700"/>
        <v>5</v>
      </c>
      <c r="M2862" s="5">
        <f t="shared" si="701"/>
        <v>2024</v>
      </c>
      <c r="N2862" s="12">
        <v>380</v>
      </c>
      <c r="O2862" s="6">
        <f>-N2862</f>
        <v>-380</v>
      </c>
      <c r="P2862" s="6">
        <f t="shared" si="705"/>
        <v>0</v>
      </c>
      <c r="Q2862" s="7">
        <f t="shared" si="702"/>
        <v>4636027.25</v>
      </c>
      <c r="R2862" s="44" t="str">
        <f>VLOOKUP(F2862,'Set up'!$A$2:$E$70,5,FALSE)</f>
        <v>Trsf</v>
      </c>
      <c r="S2862" s="1" t="s">
        <v>3158</v>
      </c>
    </row>
    <row r="2863" spans="1:19" ht="15" customHeight="1" x14ac:dyDescent="0.3">
      <c r="A2863" s="4">
        <v>45422</v>
      </c>
      <c r="B2863" s="5">
        <f t="shared" si="697"/>
        <v>5</v>
      </c>
      <c r="C2863" s="5">
        <f t="shared" si="698"/>
        <v>2024</v>
      </c>
      <c r="D2863" s="5" t="s">
        <v>2561</v>
      </c>
      <c r="E2863" s="5" t="str">
        <f>VLOOKUP(F2863,'Set up'!$A$2:$C$70,2,FALSE)</f>
        <v>C00000019</v>
      </c>
      <c r="F2863" s="1" t="s">
        <v>400</v>
      </c>
      <c r="G2863" s="99" t="s">
        <v>95</v>
      </c>
      <c r="H2863" s="5">
        <v>1</v>
      </c>
      <c r="I2863" s="5" t="str">
        <f>VLOOKUP(F2863,'Set up'!$A$2:$C$70,3,FALSE)</f>
        <v>Cash</v>
      </c>
      <c r="J2863" s="5">
        <f>VLOOKUP(F2863,'Set up'!$A$2:$D$70,4,FALSE)</f>
        <v>0</v>
      </c>
      <c r="K2863" s="4">
        <f t="shared" si="699"/>
        <v>45422</v>
      </c>
      <c r="L2863" s="5">
        <f t="shared" si="700"/>
        <v>5</v>
      </c>
      <c r="M2863" s="5">
        <f t="shared" si="701"/>
        <v>2024</v>
      </c>
      <c r="N2863" s="12">
        <v>1760</v>
      </c>
      <c r="O2863" s="12">
        <f>-302.7-700-500-257.3</f>
        <v>-1760</v>
      </c>
      <c r="P2863" s="6">
        <f t="shared" si="705"/>
        <v>0</v>
      </c>
      <c r="Q2863" s="7">
        <f t="shared" si="702"/>
        <v>4637787.25</v>
      </c>
      <c r="R2863" s="44" t="str">
        <f>VLOOKUP(F2863,'Set up'!$A$2:$E$70,5,FALSE)</f>
        <v>Trsf</v>
      </c>
      <c r="S2863" s="1" t="s">
        <v>4060</v>
      </c>
    </row>
    <row r="2864" spans="1:19" ht="15" customHeight="1" x14ac:dyDescent="0.3">
      <c r="A2864" s="4">
        <v>45422</v>
      </c>
      <c r="B2864" s="5">
        <f t="shared" si="697"/>
        <v>5</v>
      </c>
      <c r="C2864" s="5">
        <f t="shared" si="698"/>
        <v>2024</v>
      </c>
      <c r="D2864" s="5" t="s">
        <v>2561</v>
      </c>
      <c r="E2864" s="5" t="str">
        <f>VLOOKUP(F2864,'Set up'!$A$2:$C$70,2,FALSE)</f>
        <v>C00000019</v>
      </c>
      <c r="F2864" s="1" t="s">
        <v>400</v>
      </c>
      <c r="G2864" s="99" t="s">
        <v>2141</v>
      </c>
      <c r="H2864" s="5">
        <v>1</v>
      </c>
      <c r="I2864" s="5" t="str">
        <f>VLOOKUP(F2864,'Set up'!$A$2:$C$70,3,FALSE)</f>
        <v>Cash</v>
      </c>
      <c r="J2864" s="5">
        <f>VLOOKUP(F2864,'Set up'!$A$2:$D$70,4,FALSE)</f>
        <v>0</v>
      </c>
      <c r="K2864" s="4">
        <f t="shared" si="699"/>
        <v>45422</v>
      </c>
      <c r="L2864" s="5">
        <f t="shared" si="700"/>
        <v>5</v>
      </c>
      <c r="M2864" s="5">
        <f t="shared" si="701"/>
        <v>2024</v>
      </c>
      <c r="N2864" s="12">
        <v>405</v>
      </c>
      <c r="O2864" s="12">
        <f>-242.7-162.3</f>
        <v>-405</v>
      </c>
      <c r="P2864" s="6">
        <f t="shared" si="705"/>
        <v>0</v>
      </c>
      <c r="Q2864" s="7">
        <f t="shared" si="702"/>
        <v>4638192.25</v>
      </c>
      <c r="R2864" s="44" t="str">
        <f>VLOOKUP(F2864,'Set up'!$A$2:$E$70,5,FALSE)</f>
        <v>Trsf</v>
      </c>
      <c r="S2864" s="1" t="s">
        <v>4061</v>
      </c>
    </row>
    <row r="2865" spans="1:19" ht="15" customHeight="1" x14ac:dyDescent="0.3">
      <c r="A2865" s="4">
        <v>45422</v>
      </c>
      <c r="B2865" s="5">
        <f t="shared" si="697"/>
        <v>5</v>
      </c>
      <c r="C2865" s="5">
        <f t="shared" si="698"/>
        <v>2024</v>
      </c>
      <c r="D2865" s="5" t="s">
        <v>2561</v>
      </c>
      <c r="E2865" s="5" t="str">
        <f>VLOOKUP(F2865,'Set up'!$A$2:$C$70,2,FALSE)</f>
        <v>C00000019</v>
      </c>
      <c r="F2865" s="1" t="s">
        <v>400</v>
      </c>
      <c r="G2865" s="99" t="s">
        <v>791</v>
      </c>
      <c r="H2865" s="5">
        <v>3</v>
      </c>
      <c r="I2865" s="5" t="str">
        <f>VLOOKUP(F2865,'Set up'!$A$2:$C$70,3,FALSE)</f>
        <v>Cash</v>
      </c>
      <c r="J2865" s="5">
        <f>VLOOKUP(F2865,'Set up'!$A$2:$D$70,4,FALSE)</f>
        <v>0</v>
      </c>
      <c r="K2865" s="4">
        <f t="shared" si="699"/>
        <v>45422</v>
      </c>
      <c r="L2865" s="5">
        <f t="shared" si="700"/>
        <v>5</v>
      </c>
      <c r="M2865" s="5">
        <f t="shared" si="701"/>
        <v>2024</v>
      </c>
      <c r="N2865" s="12">
        <v>187.5</v>
      </c>
      <c r="O2865" s="6">
        <f t="shared" ref="O2865" si="708">-N2865</f>
        <v>-187.5</v>
      </c>
      <c r="P2865" s="6">
        <f t="shared" si="705"/>
        <v>0</v>
      </c>
      <c r="Q2865" s="7">
        <f t="shared" si="702"/>
        <v>4638379.75</v>
      </c>
      <c r="R2865" s="44" t="str">
        <f>VLOOKUP(F2865,'Set up'!$A$2:$E$70,5,FALSE)</f>
        <v>Trsf</v>
      </c>
      <c r="S2865" s="1" t="s">
        <v>4062</v>
      </c>
    </row>
    <row r="2866" spans="1:19" ht="15" customHeight="1" x14ac:dyDescent="0.3">
      <c r="A2866" s="4">
        <v>45422</v>
      </c>
      <c r="B2866" s="5">
        <f t="shared" si="697"/>
        <v>5</v>
      </c>
      <c r="C2866" s="5">
        <f t="shared" si="698"/>
        <v>2024</v>
      </c>
      <c r="D2866" s="5" t="s">
        <v>2561</v>
      </c>
      <c r="E2866" s="5" t="str">
        <f>VLOOKUP(F2866,'Set up'!$A$2:$C$70,2,FALSE)</f>
        <v>C00000019</v>
      </c>
      <c r="F2866" s="1" t="s">
        <v>400</v>
      </c>
      <c r="G2866" s="99" t="s">
        <v>1660</v>
      </c>
      <c r="H2866" s="5">
        <v>1</v>
      </c>
      <c r="I2866" s="5" t="str">
        <f>VLOOKUP(F2866,'Set up'!$A$2:$C$70,3,FALSE)</f>
        <v>Cash</v>
      </c>
      <c r="J2866" s="5">
        <f>VLOOKUP(F2866,'Set up'!$A$2:$D$70,4,FALSE)</f>
        <v>0</v>
      </c>
      <c r="K2866" s="4">
        <f t="shared" si="699"/>
        <v>45422</v>
      </c>
      <c r="L2866" s="5">
        <f t="shared" si="700"/>
        <v>5</v>
      </c>
      <c r="M2866" s="5">
        <f t="shared" si="701"/>
        <v>2024</v>
      </c>
      <c r="N2866" s="12">
        <v>160</v>
      </c>
      <c r="O2866" s="12">
        <f>-150.2-9.8</f>
        <v>-160</v>
      </c>
      <c r="P2866" s="6">
        <f t="shared" si="705"/>
        <v>0</v>
      </c>
      <c r="Q2866" s="7">
        <f t="shared" si="702"/>
        <v>4638539.75</v>
      </c>
      <c r="R2866" s="44" t="str">
        <f>VLOOKUP(F2866,'Set up'!$A$2:$E$70,5,FALSE)</f>
        <v>Trsf</v>
      </c>
      <c r="S2866" s="1" t="s">
        <v>4063</v>
      </c>
    </row>
    <row r="2867" spans="1:19" ht="15" customHeight="1" x14ac:dyDescent="0.3">
      <c r="A2867" s="4">
        <v>45422</v>
      </c>
      <c r="B2867" s="5">
        <f t="shared" si="697"/>
        <v>5</v>
      </c>
      <c r="C2867" s="5">
        <f t="shared" si="698"/>
        <v>2024</v>
      </c>
      <c r="D2867" s="5" t="s">
        <v>2562</v>
      </c>
      <c r="E2867" s="5" t="str">
        <f>VLOOKUP(F2867,'Set up'!$A$2:$C$70,2,FALSE)</f>
        <v>C00000010</v>
      </c>
      <c r="F2867" s="1" t="s">
        <v>62</v>
      </c>
      <c r="G2867" s="99" t="s">
        <v>1178</v>
      </c>
      <c r="H2867" s="5">
        <v>6</v>
      </c>
      <c r="I2867" s="5">
        <f>VLOOKUP(F2867,'Set up'!$A$2:$C$70,3,FALSE)</f>
        <v>120</v>
      </c>
      <c r="J2867" s="5">
        <f>VLOOKUP(F2867,'Set up'!$A$2:$D$70,4,FALSE)</f>
        <v>120</v>
      </c>
      <c r="K2867" s="4">
        <f t="shared" si="699"/>
        <v>45542</v>
      </c>
      <c r="L2867" s="5">
        <f t="shared" si="700"/>
        <v>9</v>
      </c>
      <c r="M2867" s="5">
        <f t="shared" si="701"/>
        <v>2024</v>
      </c>
      <c r="N2867" s="12">
        <v>9768</v>
      </c>
      <c r="O2867" s="6">
        <f t="shared" ref="O2867:O2872" si="709">-N2867</f>
        <v>-9768</v>
      </c>
      <c r="P2867" s="6">
        <f t="shared" si="705"/>
        <v>0</v>
      </c>
      <c r="Q2867" s="7">
        <f t="shared" si="702"/>
        <v>4648307.75</v>
      </c>
      <c r="R2867" s="44" t="str">
        <f>VLOOKUP(F2867,'Set up'!$A$2:$E$70,5,FALSE)</f>
        <v>Trsf</v>
      </c>
      <c r="S2867" s="1" t="s">
        <v>3065</v>
      </c>
    </row>
    <row r="2868" spans="1:19" ht="15" customHeight="1" x14ac:dyDescent="0.3">
      <c r="A2868" s="4">
        <v>45422</v>
      </c>
      <c r="B2868" s="5">
        <f t="shared" si="697"/>
        <v>5</v>
      </c>
      <c r="C2868" s="5">
        <f t="shared" si="698"/>
        <v>2024</v>
      </c>
      <c r="D2868" s="5" t="s">
        <v>2562</v>
      </c>
      <c r="E2868" s="5" t="str">
        <f>VLOOKUP(F2868,'Set up'!$A$2:$C$70,2,FALSE)</f>
        <v>C00000010</v>
      </c>
      <c r="F2868" s="1" t="s">
        <v>62</v>
      </c>
      <c r="G2868" s="99" t="s">
        <v>1392</v>
      </c>
      <c r="H2868" s="5">
        <v>10</v>
      </c>
      <c r="I2868" s="5">
        <f>VLOOKUP(F2868,'Set up'!$A$2:$C$70,3,FALSE)</f>
        <v>120</v>
      </c>
      <c r="J2868" s="5">
        <f>VLOOKUP(F2868,'Set up'!$A$2:$D$70,4,FALSE)</f>
        <v>120</v>
      </c>
      <c r="K2868" s="4">
        <f t="shared" si="699"/>
        <v>45542</v>
      </c>
      <c r="L2868" s="5">
        <f t="shared" si="700"/>
        <v>9</v>
      </c>
      <c r="M2868" s="5">
        <f t="shared" si="701"/>
        <v>2024</v>
      </c>
      <c r="N2868" s="12">
        <v>1740</v>
      </c>
      <c r="O2868" s="6">
        <f t="shared" si="709"/>
        <v>-1740</v>
      </c>
      <c r="P2868" s="6">
        <f t="shared" si="705"/>
        <v>0</v>
      </c>
      <c r="Q2868" s="7">
        <f t="shared" si="702"/>
        <v>4650047.75</v>
      </c>
      <c r="R2868" s="44" t="str">
        <f>VLOOKUP(F2868,'Set up'!$A$2:$E$70,5,FALSE)</f>
        <v>Trsf</v>
      </c>
      <c r="S2868" s="1" t="s">
        <v>3065</v>
      </c>
    </row>
    <row r="2869" spans="1:19" ht="15" customHeight="1" x14ac:dyDescent="0.3">
      <c r="A2869" s="4">
        <v>45422</v>
      </c>
      <c r="B2869" s="5">
        <f t="shared" si="697"/>
        <v>5</v>
      </c>
      <c r="C2869" s="5">
        <f t="shared" si="698"/>
        <v>2024</v>
      </c>
      <c r="D2869" s="5" t="s">
        <v>2562</v>
      </c>
      <c r="E2869" s="5" t="str">
        <f>VLOOKUP(F2869,'Set up'!$A$2:$C$70,2,FALSE)</f>
        <v>C00000010</v>
      </c>
      <c r="F2869" s="1" t="s">
        <v>62</v>
      </c>
      <c r="G2869" s="99" t="s">
        <v>791</v>
      </c>
      <c r="H2869" s="5">
        <v>10</v>
      </c>
      <c r="I2869" s="5">
        <f>VLOOKUP(F2869,'Set up'!$A$2:$C$70,3,FALSE)</f>
        <v>120</v>
      </c>
      <c r="J2869" s="5">
        <f>VLOOKUP(F2869,'Set up'!$A$2:$D$70,4,FALSE)</f>
        <v>120</v>
      </c>
      <c r="K2869" s="4">
        <f t="shared" si="699"/>
        <v>45542</v>
      </c>
      <c r="L2869" s="5">
        <f t="shared" si="700"/>
        <v>9</v>
      </c>
      <c r="M2869" s="5">
        <f t="shared" si="701"/>
        <v>2024</v>
      </c>
      <c r="N2869" s="12">
        <v>575</v>
      </c>
      <c r="O2869" s="6">
        <f t="shared" si="709"/>
        <v>-575</v>
      </c>
      <c r="P2869" s="6">
        <f t="shared" si="705"/>
        <v>0</v>
      </c>
      <c r="Q2869" s="7">
        <f t="shared" si="702"/>
        <v>4650622.75</v>
      </c>
      <c r="R2869" s="44" t="str">
        <f>VLOOKUP(F2869,'Set up'!$A$2:$E$70,5,FALSE)</f>
        <v>Trsf</v>
      </c>
      <c r="S2869" s="1" t="s">
        <v>3065</v>
      </c>
    </row>
    <row r="2870" spans="1:19" ht="15" customHeight="1" x14ac:dyDescent="0.3">
      <c r="A2870" s="4">
        <v>45422</v>
      </c>
      <c r="B2870" s="5">
        <f t="shared" si="697"/>
        <v>5</v>
      </c>
      <c r="C2870" s="5">
        <f t="shared" si="698"/>
        <v>2024</v>
      </c>
      <c r="D2870" s="5" t="s">
        <v>2562</v>
      </c>
      <c r="E2870" s="5" t="str">
        <f>VLOOKUP(F2870,'Set up'!$A$2:$C$70,2,FALSE)</f>
        <v>C00000010</v>
      </c>
      <c r="F2870" s="1" t="s">
        <v>62</v>
      </c>
      <c r="G2870" s="99" t="s">
        <v>46</v>
      </c>
      <c r="H2870" s="5">
        <v>4</v>
      </c>
      <c r="I2870" s="5">
        <f>VLOOKUP(F2870,'Set up'!$A$2:$C$70,3,FALSE)</f>
        <v>120</v>
      </c>
      <c r="J2870" s="5">
        <f>VLOOKUP(F2870,'Set up'!$A$2:$D$70,4,FALSE)</f>
        <v>120</v>
      </c>
      <c r="K2870" s="4">
        <f t="shared" si="699"/>
        <v>45542</v>
      </c>
      <c r="L2870" s="5">
        <f t="shared" si="700"/>
        <v>9</v>
      </c>
      <c r="M2870" s="5">
        <f t="shared" si="701"/>
        <v>2024</v>
      </c>
      <c r="N2870" s="12">
        <v>440</v>
      </c>
      <c r="O2870" s="6">
        <f t="shared" si="709"/>
        <v>-440</v>
      </c>
      <c r="P2870" s="6">
        <f t="shared" si="705"/>
        <v>0</v>
      </c>
      <c r="Q2870" s="7">
        <f t="shared" si="702"/>
        <v>4651062.75</v>
      </c>
      <c r="R2870" s="44" t="str">
        <f>VLOOKUP(F2870,'Set up'!$A$2:$E$70,5,FALSE)</f>
        <v>Trsf</v>
      </c>
      <c r="S2870" s="1" t="s">
        <v>3065</v>
      </c>
    </row>
    <row r="2871" spans="1:19" ht="15" customHeight="1" x14ac:dyDescent="0.3">
      <c r="A2871" s="4">
        <v>45422</v>
      </c>
      <c r="B2871" s="5">
        <f t="shared" si="697"/>
        <v>5</v>
      </c>
      <c r="C2871" s="5">
        <f t="shared" si="698"/>
        <v>2024</v>
      </c>
      <c r="D2871" s="5" t="s">
        <v>2562</v>
      </c>
      <c r="E2871" s="5" t="str">
        <f>VLOOKUP(F2871,'Set up'!$A$2:$C$70,2,FALSE)</f>
        <v>C00000010</v>
      </c>
      <c r="F2871" s="1" t="s">
        <v>62</v>
      </c>
      <c r="G2871" s="99" t="s">
        <v>2449</v>
      </c>
      <c r="H2871" s="5">
        <v>1</v>
      </c>
      <c r="I2871" s="5">
        <f>VLOOKUP(F2871,'Set up'!$A$2:$C$70,3,FALSE)</f>
        <v>120</v>
      </c>
      <c r="J2871" s="5">
        <f>VLOOKUP(F2871,'Set up'!$A$2:$D$70,4,FALSE)</f>
        <v>120</v>
      </c>
      <c r="K2871" s="4">
        <f t="shared" si="699"/>
        <v>45542</v>
      </c>
      <c r="L2871" s="5">
        <f t="shared" si="700"/>
        <v>9</v>
      </c>
      <c r="M2871" s="5">
        <f t="shared" si="701"/>
        <v>2024</v>
      </c>
      <c r="N2871" s="12">
        <v>420</v>
      </c>
      <c r="O2871" s="6">
        <f t="shared" si="709"/>
        <v>-420</v>
      </c>
      <c r="P2871" s="6">
        <f t="shared" si="705"/>
        <v>0</v>
      </c>
      <c r="Q2871" s="7">
        <f t="shared" si="702"/>
        <v>4651482.75</v>
      </c>
      <c r="R2871" s="44" t="str">
        <f>VLOOKUP(F2871,'Set up'!$A$2:$E$70,5,FALSE)</f>
        <v>Trsf</v>
      </c>
      <c r="S2871" s="1" t="s">
        <v>3065</v>
      </c>
    </row>
    <row r="2872" spans="1:19" ht="15" customHeight="1" x14ac:dyDescent="0.3">
      <c r="A2872" s="4">
        <v>45422</v>
      </c>
      <c r="B2872" s="5">
        <f t="shared" si="697"/>
        <v>5</v>
      </c>
      <c r="C2872" s="5">
        <f t="shared" si="698"/>
        <v>2024</v>
      </c>
      <c r="D2872" s="5" t="s">
        <v>2562</v>
      </c>
      <c r="E2872" s="5" t="str">
        <f>VLOOKUP(F2872,'Set up'!$A$2:$C$70,2,FALSE)</f>
        <v>C00000010</v>
      </c>
      <c r="F2872" s="1" t="s">
        <v>62</v>
      </c>
      <c r="G2872" s="99" t="s">
        <v>614</v>
      </c>
      <c r="H2872" s="5">
        <v>1</v>
      </c>
      <c r="I2872" s="5">
        <f>VLOOKUP(F2872,'Set up'!$A$2:$C$70,3,FALSE)</f>
        <v>120</v>
      </c>
      <c r="J2872" s="5">
        <f>VLOOKUP(F2872,'Set up'!$A$2:$D$70,4,FALSE)</f>
        <v>120</v>
      </c>
      <c r="K2872" s="4">
        <f t="shared" si="699"/>
        <v>45542</v>
      </c>
      <c r="L2872" s="5">
        <f t="shared" si="700"/>
        <v>9</v>
      </c>
      <c r="M2872" s="5">
        <f t="shared" si="701"/>
        <v>2024</v>
      </c>
      <c r="N2872" s="12">
        <v>395</v>
      </c>
      <c r="O2872" s="6">
        <f t="shared" si="709"/>
        <v>-395</v>
      </c>
      <c r="P2872" s="6">
        <f t="shared" si="705"/>
        <v>0</v>
      </c>
      <c r="Q2872" s="7">
        <f t="shared" si="702"/>
        <v>4651877.75</v>
      </c>
      <c r="R2872" s="44" t="str">
        <f>VLOOKUP(F2872,'Set up'!$A$2:$E$70,5,FALSE)</f>
        <v>Trsf</v>
      </c>
      <c r="S2872" s="1" t="s">
        <v>3065</v>
      </c>
    </row>
    <row r="2873" spans="1:19" ht="15" customHeight="1" x14ac:dyDescent="0.3">
      <c r="A2873" s="4">
        <v>45426</v>
      </c>
      <c r="B2873" s="5">
        <f t="shared" si="697"/>
        <v>5</v>
      </c>
      <c r="C2873" s="5">
        <f t="shared" si="698"/>
        <v>2024</v>
      </c>
      <c r="D2873" s="5" t="s">
        <v>2563</v>
      </c>
      <c r="E2873" s="5" t="str">
        <f>VLOOKUP(F2873,'Set up'!$A$2:$C$70,2,FALSE)</f>
        <v>C00000042</v>
      </c>
      <c r="F2873" s="1" t="s">
        <v>2012</v>
      </c>
      <c r="G2873" s="99" t="s">
        <v>913</v>
      </c>
      <c r="H2873" s="5">
        <v>4</v>
      </c>
      <c r="I2873" s="5" t="str">
        <f>VLOOKUP(F2873,'Set up'!$A$2:$C$70,3,FALSE)</f>
        <v>Cash</v>
      </c>
      <c r="J2873" s="5">
        <f>VLOOKUP(F2873,'Set up'!$A$2:$D$70,4,FALSE)</f>
        <v>0</v>
      </c>
      <c r="K2873" s="4">
        <f t="shared" si="699"/>
        <v>45426</v>
      </c>
      <c r="L2873" s="5">
        <f t="shared" si="700"/>
        <v>5</v>
      </c>
      <c r="M2873" s="5">
        <f t="shared" si="701"/>
        <v>2024</v>
      </c>
      <c r="N2873" s="12">
        <v>696</v>
      </c>
      <c r="O2873" s="6">
        <f>-N2873</f>
        <v>-696</v>
      </c>
      <c r="P2873" s="6">
        <f t="shared" si="705"/>
        <v>0</v>
      </c>
      <c r="Q2873" s="7">
        <f t="shared" si="702"/>
        <v>4652573.75</v>
      </c>
      <c r="R2873" s="44" t="str">
        <f>VLOOKUP(F2873,'Set up'!$A$2:$E$70,5,FALSE)</f>
        <v>Trsf</v>
      </c>
      <c r="S2873" s="1" t="s">
        <v>3159</v>
      </c>
    </row>
    <row r="2874" spans="1:19" ht="15" customHeight="1" x14ac:dyDescent="0.3">
      <c r="A2874" s="4">
        <v>45426</v>
      </c>
      <c r="B2874" s="5">
        <f t="shared" si="697"/>
        <v>5</v>
      </c>
      <c r="C2874" s="5">
        <f t="shared" si="698"/>
        <v>2024</v>
      </c>
      <c r="D2874" s="5" t="s">
        <v>2563</v>
      </c>
      <c r="E2874" s="5" t="str">
        <f>VLOOKUP(F2874,'Set up'!$A$2:$C$70,2,FALSE)</f>
        <v>C00000042</v>
      </c>
      <c r="F2874" s="1" t="s">
        <v>2012</v>
      </c>
      <c r="G2874" s="99" t="s">
        <v>1922</v>
      </c>
      <c r="H2874" s="5">
        <v>2</v>
      </c>
      <c r="I2874" s="5" t="str">
        <f>VLOOKUP(F2874,'Set up'!$A$2:$C$70,3,FALSE)</f>
        <v>Cash</v>
      </c>
      <c r="J2874" s="5">
        <f>VLOOKUP(F2874,'Set up'!$A$2:$D$70,4,FALSE)</f>
        <v>0</v>
      </c>
      <c r="K2874" s="4">
        <f t="shared" si="699"/>
        <v>45426</v>
      </c>
      <c r="L2874" s="5">
        <f t="shared" si="700"/>
        <v>5</v>
      </c>
      <c r="M2874" s="5">
        <f t="shared" si="701"/>
        <v>2024</v>
      </c>
      <c r="N2874" s="12">
        <v>468</v>
      </c>
      <c r="O2874" s="6">
        <f>-N2874</f>
        <v>-468</v>
      </c>
      <c r="P2874" s="6">
        <f t="shared" si="705"/>
        <v>0</v>
      </c>
      <c r="Q2874" s="7">
        <f t="shared" si="702"/>
        <v>4653041.75</v>
      </c>
      <c r="R2874" s="44" t="str">
        <f>VLOOKUP(F2874,'Set up'!$A$2:$E$70,5,FALSE)</f>
        <v>Trsf</v>
      </c>
      <c r="S2874" s="1" t="s">
        <v>3160</v>
      </c>
    </row>
    <row r="2875" spans="1:19" ht="15" customHeight="1" x14ac:dyDescent="0.3">
      <c r="A2875" s="4">
        <v>45426</v>
      </c>
      <c r="B2875" s="5">
        <f t="shared" si="697"/>
        <v>5</v>
      </c>
      <c r="C2875" s="5">
        <f t="shared" si="698"/>
        <v>2024</v>
      </c>
      <c r="D2875" s="5" t="s">
        <v>2563</v>
      </c>
      <c r="E2875" s="5" t="str">
        <f>VLOOKUP(F2875,'Set up'!$A$2:$C$70,2,FALSE)</f>
        <v>C00000042</v>
      </c>
      <c r="F2875" s="1" t="s">
        <v>2012</v>
      </c>
      <c r="G2875" s="99" t="s">
        <v>1073</v>
      </c>
      <c r="H2875" s="5">
        <v>1</v>
      </c>
      <c r="I2875" s="5" t="str">
        <f>VLOOKUP(F2875,'Set up'!$A$2:$C$70,3,FALSE)</f>
        <v>Cash</v>
      </c>
      <c r="J2875" s="5">
        <f>VLOOKUP(F2875,'Set up'!$A$2:$D$70,4,FALSE)</f>
        <v>0</v>
      </c>
      <c r="K2875" s="4">
        <f t="shared" si="699"/>
        <v>45426</v>
      </c>
      <c r="L2875" s="5">
        <f t="shared" si="700"/>
        <v>5</v>
      </c>
      <c r="M2875" s="5">
        <f t="shared" si="701"/>
        <v>2024</v>
      </c>
      <c r="N2875" s="12">
        <v>1000</v>
      </c>
      <c r="O2875" s="6">
        <f>-N2875</f>
        <v>-1000</v>
      </c>
      <c r="P2875" s="6">
        <f t="shared" si="705"/>
        <v>0</v>
      </c>
      <c r="Q2875" s="7">
        <f t="shared" si="702"/>
        <v>4654041.75</v>
      </c>
      <c r="R2875" s="44" t="str">
        <f>VLOOKUP(F2875,'Set up'!$A$2:$E$70,5,FALSE)</f>
        <v>Trsf</v>
      </c>
      <c r="S2875" s="1" t="s">
        <v>3157</v>
      </c>
    </row>
    <row r="2876" spans="1:19" ht="15" customHeight="1" x14ac:dyDescent="0.3">
      <c r="A2876" s="4">
        <v>45426</v>
      </c>
      <c r="B2876" s="5">
        <f t="shared" si="697"/>
        <v>5</v>
      </c>
      <c r="C2876" s="5">
        <f t="shared" si="698"/>
        <v>2024</v>
      </c>
      <c r="D2876" s="5" t="s">
        <v>2563</v>
      </c>
      <c r="E2876" s="5" t="str">
        <f>VLOOKUP(F2876,'Set up'!$A$2:$C$70,2,FALSE)</f>
        <v>C00000042</v>
      </c>
      <c r="F2876" s="1" t="s">
        <v>2012</v>
      </c>
      <c r="G2876" s="99" t="s">
        <v>1061</v>
      </c>
      <c r="H2876" s="5">
        <v>4</v>
      </c>
      <c r="I2876" s="5" t="str">
        <f>VLOOKUP(F2876,'Set up'!$A$2:$C$70,3,FALSE)</f>
        <v>Cash</v>
      </c>
      <c r="J2876" s="5">
        <f>VLOOKUP(F2876,'Set up'!$A$2:$D$70,4,FALSE)</f>
        <v>0</v>
      </c>
      <c r="K2876" s="4">
        <f t="shared" si="699"/>
        <v>45426</v>
      </c>
      <c r="L2876" s="5">
        <f t="shared" si="700"/>
        <v>5</v>
      </c>
      <c r="M2876" s="5">
        <f t="shared" si="701"/>
        <v>2024</v>
      </c>
      <c r="N2876" s="12">
        <v>380</v>
      </c>
      <c r="O2876" s="6">
        <f>-N2876</f>
        <v>-380</v>
      </c>
      <c r="P2876" s="6">
        <f t="shared" si="705"/>
        <v>0</v>
      </c>
      <c r="Q2876" s="7">
        <f t="shared" si="702"/>
        <v>4654421.75</v>
      </c>
      <c r="R2876" s="44" t="str">
        <f>VLOOKUP(F2876,'Set up'!$A$2:$E$70,5,FALSE)</f>
        <v>Trsf</v>
      </c>
      <c r="S2876" s="1" t="s">
        <v>3158</v>
      </c>
    </row>
    <row r="2877" spans="1:19" ht="15" customHeight="1" x14ac:dyDescent="0.3">
      <c r="A2877" s="4">
        <v>45429</v>
      </c>
      <c r="B2877" s="5">
        <f t="shared" si="697"/>
        <v>5</v>
      </c>
      <c r="C2877" s="5">
        <f t="shared" si="698"/>
        <v>2024</v>
      </c>
      <c r="D2877" s="5" t="s">
        <v>2564</v>
      </c>
      <c r="E2877" s="5" t="str">
        <f>VLOOKUP(F2877,'Set up'!$A$2:$C$70,2,FALSE)</f>
        <v>C00000042</v>
      </c>
      <c r="F2877" s="1" t="s">
        <v>2012</v>
      </c>
      <c r="G2877" s="99" t="s">
        <v>1110</v>
      </c>
      <c r="H2877" s="5">
        <v>5</v>
      </c>
      <c r="I2877" s="5" t="str">
        <f>VLOOKUP(F2877,'Set up'!$A$2:$C$70,3,FALSE)</f>
        <v>Cash</v>
      </c>
      <c r="J2877" s="5">
        <f>VLOOKUP(F2877,'Set up'!$A$2:$D$70,4,FALSE)</f>
        <v>0</v>
      </c>
      <c r="K2877" s="4">
        <f t="shared" si="699"/>
        <v>45429</v>
      </c>
      <c r="L2877" s="5">
        <f t="shared" si="700"/>
        <v>5</v>
      </c>
      <c r="M2877" s="5">
        <f t="shared" si="701"/>
        <v>2024</v>
      </c>
      <c r="N2877" s="12">
        <v>312.5</v>
      </c>
      <c r="O2877" s="6">
        <f>-N2877</f>
        <v>-312.5</v>
      </c>
      <c r="P2877" s="6">
        <f t="shared" si="705"/>
        <v>0</v>
      </c>
      <c r="Q2877" s="7">
        <f t="shared" si="702"/>
        <v>4654734.25</v>
      </c>
      <c r="R2877" s="44" t="str">
        <f>VLOOKUP(F2877,'Set up'!$A$2:$E$70,5,FALSE)</f>
        <v>Trsf</v>
      </c>
      <c r="S2877" s="1" t="s">
        <v>3161</v>
      </c>
    </row>
    <row r="2878" spans="1:19" ht="15" customHeight="1" x14ac:dyDescent="0.3">
      <c r="A2878" s="4">
        <v>45429</v>
      </c>
      <c r="B2878" s="5">
        <f t="shared" si="697"/>
        <v>5</v>
      </c>
      <c r="C2878" s="5">
        <f t="shared" si="698"/>
        <v>2024</v>
      </c>
      <c r="D2878" s="5" t="s">
        <v>2565</v>
      </c>
      <c r="E2878" s="5" t="str">
        <f>VLOOKUP(F2878,'Set up'!$A$2:$C$70,2,FALSE)</f>
        <v>C00000042</v>
      </c>
      <c r="F2878" s="1" t="s">
        <v>2012</v>
      </c>
      <c r="G2878" s="99" t="s">
        <v>2552</v>
      </c>
      <c r="H2878" s="5">
        <v>5</v>
      </c>
      <c r="I2878" s="5" t="str">
        <f>VLOOKUP(F2878,'Set up'!$A$2:$C$70,3,FALSE)</f>
        <v>Cash</v>
      </c>
      <c r="J2878" s="5">
        <f>VLOOKUP(F2878,'Set up'!$A$2:$D$70,4,FALSE)</f>
        <v>0</v>
      </c>
      <c r="K2878" s="4">
        <f t="shared" si="699"/>
        <v>45429</v>
      </c>
      <c r="L2878" s="5">
        <f t="shared" si="700"/>
        <v>5</v>
      </c>
      <c r="M2878" s="5">
        <f t="shared" si="701"/>
        <v>2024</v>
      </c>
      <c r="N2878" s="12">
        <v>8140</v>
      </c>
      <c r="O2878" s="12">
        <f>-1778.1-6361.9</f>
        <v>-8140</v>
      </c>
      <c r="P2878" s="6">
        <f t="shared" si="705"/>
        <v>0</v>
      </c>
      <c r="Q2878" s="7">
        <f t="shared" si="702"/>
        <v>4662874.25</v>
      </c>
      <c r="R2878" s="44" t="str">
        <f>VLOOKUP(F2878,'Set up'!$A$2:$E$70,5,FALSE)</f>
        <v>Trsf</v>
      </c>
      <c r="S2878" s="1" t="s">
        <v>3162</v>
      </c>
    </row>
    <row r="2879" spans="1:19" ht="15" customHeight="1" x14ac:dyDescent="0.3">
      <c r="A2879" s="4">
        <v>45429</v>
      </c>
      <c r="B2879" s="5">
        <f t="shared" si="697"/>
        <v>5</v>
      </c>
      <c r="C2879" s="5">
        <f t="shared" si="698"/>
        <v>2024</v>
      </c>
      <c r="D2879" s="5" t="s">
        <v>2565</v>
      </c>
      <c r="E2879" s="5" t="str">
        <f>VLOOKUP(F2879,'Set up'!$A$2:$C$70,2,FALSE)</f>
        <v>C00000042</v>
      </c>
      <c r="F2879" s="1" t="s">
        <v>2012</v>
      </c>
      <c r="G2879" s="99" t="s">
        <v>913</v>
      </c>
      <c r="H2879" s="5">
        <v>15</v>
      </c>
      <c r="I2879" s="5" t="str">
        <f>VLOOKUP(F2879,'Set up'!$A$2:$C$70,3,FALSE)</f>
        <v>Cash</v>
      </c>
      <c r="J2879" s="5">
        <f>VLOOKUP(F2879,'Set up'!$A$2:$D$70,4,FALSE)</f>
        <v>0</v>
      </c>
      <c r="K2879" s="4">
        <f t="shared" si="699"/>
        <v>45429</v>
      </c>
      <c r="L2879" s="5">
        <f t="shared" si="700"/>
        <v>5</v>
      </c>
      <c r="M2879" s="5">
        <f t="shared" si="701"/>
        <v>2024</v>
      </c>
      <c r="N2879" s="12">
        <v>2610</v>
      </c>
      <c r="O2879" s="6">
        <f>-N2879</f>
        <v>-2610</v>
      </c>
      <c r="P2879" s="6">
        <f t="shared" si="705"/>
        <v>0</v>
      </c>
      <c r="Q2879" s="7">
        <f t="shared" si="702"/>
        <v>4665484.25</v>
      </c>
      <c r="R2879" s="44" t="str">
        <f>VLOOKUP(F2879,'Set up'!$A$2:$E$70,5,FALSE)</f>
        <v>Trsf</v>
      </c>
      <c r="S2879" s="1" t="s">
        <v>3163</v>
      </c>
    </row>
    <row r="2880" spans="1:19" ht="15" customHeight="1" x14ac:dyDescent="0.3">
      <c r="A2880" s="4">
        <v>45429</v>
      </c>
      <c r="B2880" s="5">
        <f t="shared" si="697"/>
        <v>5</v>
      </c>
      <c r="C2880" s="5">
        <f t="shared" si="698"/>
        <v>2024</v>
      </c>
      <c r="D2880" s="5" t="s">
        <v>2565</v>
      </c>
      <c r="E2880" s="5" t="str">
        <f>VLOOKUP(F2880,'Set up'!$A$2:$C$70,2,FALSE)</f>
        <v>C00000042</v>
      </c>
      <c r="F2880" s="1" t="s">
        <v>2012</v>
      </c>
      <c r="G2880" s="99" t="s">
        <v>1922</v>
      </c>
      <c r="H2880" s="5">
        <v>8</v>
      </c>
      <c r="I2880" s="5" t="str">
        <f>VLOOKUP(F2880,'Set up'!$A$2:$C$70,3,FALSE)</f>
        <v>Cash</v>
      </c>
      <c r="J2880" s="5">
        <f>VLOOKUP(F2880,'Set up'!$A$2:$D$70,4,FALSE)</f>
        <v>0</v>
      </c>
      <c r="K2880" s="4">
        <f t="shared" si="699"/>
        <v>45429</v>
      </c>
      <c r="L2880" s="5">
        <f t="shared" si="700"/>
        <v>5</v>
      </c>
      <c r="M2880" s="5">
        <f t="shared" si="701"/>
        <v>2024</v>
      </c>
      <c r="N2880" s="12">
        <v>1872</v>
      </c>
      <c r="O2880" s="6">
        <f>-N2880</f>
        <v>-1872</v>
      </c>
      <c r="P2880" s="6">
        <f t="shared" si="705"/>
        <v>0</v>
      </c>
      <c r="Q2880" s="7">
        <f t="shared" si="702"/>
        <v>4667356.25</v>
      </c>
      <c r="R2880" s="44" t="str">
        <f>VLOOKUP(F2880,'Set up'!$A$2:$E$70,5,FALSE)</f>
        <v>Trsf</v>
      </c>
      <c r="S2880" s="1" t="s">
        <v>3164</v>
      </c>
    </row>
    <row r="2881" spans="1:19" ht="15" customHeight="1" x14ac:dyDescent="0.3">
      <c r="A2881" s="4">
        <v>45429</v>
      </c>
      <c r="B2881" s="5">
        <f t="shared" si="697"/>
        <v>5</v>
      </c>
      <c r="C2881" s="5">
        <f t="shared" si="698"/>
        <v>2024</v>
      </c>
      <c r="D2881" s="5" t="s">
        <v>2565</v>
      </c>
      <c r="E2881" s="5" t="str">
        <f>VLOOKUP(F2881,'Set up'!$A$2:$C$70,2,FALSE)</f>
        <v>C00000042</v>
      </c>
      <c r="F2881" s="1" t="s">
        <v>2012</v>
      </c>
      <c r="G2881" s="99" t="s">
        <v>1073</v>
      </c>
      <c r="H2881" s="5">
        <v>1</v>
      </c>
      <c r="I2881" s="5" t="str">
        <f>VLOOKUP(F2881,'Set up'!$A$2:$C$70,3,FALSE)</f>
        <v>Cash</v>
      </c>
      <c r="J2881" s="5">
        <f>VLOOKUP(F2881,'Set up'!$A$2:$D$70,4,FALSE)</f>
        <v>0</v>
      </c>
      <c r="K2881" s="4">
        <f t="shared" si="699"/>
        <v>45429</v>
      </c>
      <c r="L2881" s="5">
        <f t="shared" si="700"/>
        <v>5</v>
      </c>
      <c r="M2881" s="5">
        <f t="shared" si="701"/>
        <v>2024</v>
      </c>
      <c r="N2881" s="12">
        <v>1000</v>
      </c>
      <c r="O2881" s="6">
        <f>-N2881</f>
        <v>-1000</v>
      </c>
      <c r="P2881" s="6">
        <f t="shared" si="705"/>
        <v>0</v>
      </c>
      <c r="Q2881" s="7">
        <f t="shared" si="702"/>
        <v>4668356.25</v>
      </c>
      <c r="R2881" s="44" t="str">
        <f>VLOOKUP(F2881,'Set up'!$A$2:$E$70,5,FALSE)</f>
        <v>Trsf</v>
      </c>
      <c r="S2881" s="1" t="s">
        <v>3165</v>
      </c>
    </row>
    <row r="2882" spans="1:19" ht="15" customHeight="1" x14ac:dyDescent="0.3">
      <c r="A2882" s="4">
        <v>45432</v>
      </c>
      <c r="B2882" s="5">
        <f t="shared" si="697"/>
        <v>5</v>
      </c>
      <c r="C2882" s="5">
        <f t="shared" si="698"/>
        <v>2024</v>
      </c>
      <c r="D2882" s="5" t="s">
        <v>2566</v>
      </c>
      <c r="E2882" s="5" t="str">
        <f>VLOOKUP(F2882,'Set up'!$A$2:$C$70,2,FALSE)</f>
        <v>C00000021</v>
      </c>
      <c r="F2882" s="1" t="s">
        <v>491</v>
      </c>
      <c r="G2882" s="99" t="s">
        <v>67</v>
      </c>
      <c r="H2882" s="5">
        <v>1</v>
      </c>
      <c r="I2882" s="5" t="str">
        <f>VLOOKUP(F2882,'Set up'!$A$2:$C$70,3,FALSE)</f>
        <v>Cash</v>
      </c>
      <c r="J2882" s="5">
        <f>VLOOKUP(F2882,'Set up'!$A$2:$D$70,4,FALSE)</f>
        <v>0</v>
      </c>
      <c r="K2882" s="4">
        <f t="shared" si="699"/>
        <v>45432</v>
      </c>
      <c r="L2882" s="5">
        <f t="shared" si="700"/>
        <v>5</v>
      </c>
      <c r="M2882" s="5">
        <f t="shared" si="701"/>
        <v>2024</v>
      </c>
      <c r="N2882" s="12">
        <v>1760</v>
      </c>
      <c r="O2882" s="12"/>
      <c r="P2882" s="6">
        <f t="shared" si="705"/>
        <v>1760</v>
      </c>
      <c r="Q2882" s="7">
        <f t="shared" si="702"/>
        <v>4670116.25</v>
      </c>
      <c r="R2882" s="44" t="str">
        <f>VLOOKUP(F2882,'Set up'!$A$2:$E$70,5,FALSE)</f>
        <v>PD Chq</v>
      </c>
    </row>
    <row r="2883" spans="1:19" ht="15" customHeight="1" x14ac:dyDescent="0.3">
      <c r="A2883" s="4">
        <v>45432</v>
      </c>
      <c r="B2883" s="5">
        <f t="shared" ref="B2883:B2946" si="710">MONTH(A2883)</f>
        <v>5</v>
      </c>
      <c r="C2883" s="5">
        <f t="shared" ref="C2883:C2946" si="711">YEAR(A2883)</f>
        <v>2024</v>
      </c>
      <c r="D2883" s="5" t="s">
        <v>2566</v>
      </c>
      <c r="E2883" s="5" t="str">
        <f>VLOOKUP(F2883,'Set up'!$A$2:$C$70,2,FALSE)</f>
        <v>C00000021</v>
      </c>
      <c r="F2883" s="1" t="s">
        <v>491</v>
      </c>
      <c r="G2883" s="99" t="s">
        <v>2129</v>
      </c>
      <c r="H2883" s="5">
        <v>2</v>
      </c>
      <c r="I2883" s="5" t="str">
        <f>VLOOKUP(F2883,'Set up'!$A$2:$C$70,3,FALSE)</f>
        <v>Cash</v>
      </c>
      <c r="J2883" s="5">
        <f>VLOOKUP(F2883,'Set up'!$A$2:$D$70,4,FALSE)</f>
        <v>0</v>
      </c>
      <c r="K2883" s="4">
        <f t="shared" ref="K2883:K2946" si="712">A2883+J2883</f>
        <v>45432</v>
      </c>
      <c r="L2883" s="5">
        <f t="shared" ref="L2883:L2946" si="713">MONTH(K2883)</f>
        <v>5</v>
      </c>
      <c r="M2883" s="5">
        <f t="shared" ref="M2883:M2946" si="714">YEAR(K2883)</f>
        <v>2024</v>
      </c>
      <c r="N2883" s="12">
        <v>555</v>
      </c>
      <c r="O2883" s="12"/>
      <c r="P2883" s="6">
        <f t="shared" si="705"/>
        <v>555</v>
      </c>
      <c r="Q2883" s="7">
        <f t="shared" ref="Q2883:Q2946" si="715">SUM(Q2882+N2883)</f>
        <v>4670671.25</v>
      </c>
      <c r="R2883" s="44" t="str">
        <f>VLOOKUP(F2883,'Set up'!$A$2:$E$70,5,FALSE)</f>
        <v>PD Chq</v>
      </c>
    </row>
    <row r="2884" spans="1:19" ht="15" customHeight="1" x14ac:dyDescent="0.3">
      <c r="A2884" s="4">
        <v>45432</v>
      </c>
      <c r="B2884" s="5">
        <f t="shared" si="710"/>
        <v>5</v>
      </c>
      <c r="C2884" s="5">
        <f t="shared" si="711"/>
        <v>2024</v>
      </c>
      <c r="D2884" s="5" t="s">
        <v>2566</v>
      </c>
      <c r="E2884" s="5" t="str">
        <f>VLOOKUP(F2884,'Set up'!$A$2:$C$70,2,FALSE)</f>
        <v>C00000021</v>
      </c>
      <c r="F2884" s="1" t="s">
        <v>491</v>
      </c>
      <c r="G2884" s="99" t="s">
        <v>1061</v>
      </c>
      <c r="H2884" s="5">
        <v>1</v>
      </c>
      <c r="I2884" s="5" t="str">
        <f>VLOOKUP(F2884,'Set up'!$A$2:$C$70,3,FALSE)</f>
        <v>Cash</v>
      </c>
      <c r="J2884" s="5">
        <f>VLOOKUP(F2884,'Set up'!$A$2:$D$70,4,FALSE)</f>
        <v>0</v>
      </c>
      <c r="K2884" s="4">
        <f t="shared" si="712"/>
        <v>45432</v>
      </c>
      <c r="L2884" s="5">
        <f t="shared" si="713"/>
        <v>5</v>
      </c>
      <c r="M2884" s="5">
        <f t="shared" si="714"/>
        <v>2024</v>
      </c>
      <c r="N2884" s="12">
        <v>95</v>
      </c>
      <c r="O2884" s="12"/>
      <c r="P2884" s="6">
        <f t="shared" si="705"/>
        <v>95</v>
      </c>
      <c r="Q2884" s="7">
        <f t="shared" si="715"/>
        <v>4670766.25</v>
      </c>
      <c r="R2884" s="44" t="str">
        <f>VLOOKUP(F2884,'Set up'!$A$2:$E$70,5,FALSE)</f>
        <v>PD Chq</v>
      </c>
    </row>
    <row r="2885" spans="1:19" ht="15" customHeight="1" x14ac:dyDescent="0.3">
      <c r="A2885" s="4">
        <v>45432</v>
      </c>
      <c r="B2885" s="5">
        <f t="shared" si="710"/>
        <v>5</v>
      </c>
      <c r="C2885" s="5">
        <f t="shared" si="711"/>
        <v>2024</v>
      </c>
      <c r="D2885" s="5" t="s">
        <v>2566</v>
      </c>
      <c r="E2885" s="5" t="str">
        <f>VLOOKUP(F2885,'Set up'!$A$2:$C$70,2,FALSE)</f>
        <v>C00000021</v>
      </c>
      <c r="F2885" s="1" t="s">
        <v>491</v>
      </c>
      <c r="G2885" s="99" t="s">
        <v>54</v>
      </c>
      <c r="H2885" s="5">
        <v>5</v>
      </c>
      <c r="I2885" s="5" t="str">
        <f>VLOOKUP(F2885,'Set up'!$A$2:$C$70,3,FALSE)</f>
        <v>Cash</v>
      </c>
      <c r="J2885" s="5">
        <f>VLOOKUP(F2885,'Set up'!$A$2:$D$70,4,FALSE)</f>
        <v>0</v>
      </c>
      <c r="K2885" s="4">
        <f t="shared" si="712"/>
        <v>45432</v>
      </c>
      <c r="L2885" s="5">
        <f t="shared" si="713"/>
        <v>5</v>
      </c>
      <c r="M2885" s="5">
        <f t="shared" si="714"/>
        <v>2024</v>
      </c>
      <c r="N2885" s="12">
        <v>312.5</v>
      </c>
      <c r="O2885" s="12"/>
      <c r="P2885" s="6">
        <f t="shared" si="705"/>
        <v>312.5</v>
      </c>
      <c r="Q2885" s="7">
        <f t="shared" si="715"/>
        <v>4671078.75</v>
      </c>
      <c r="R2885" s="44" t="str">
        <f>VLOOKUP(F2885,'Set up'!$A$2:$E$70,5,FALSE)</f>
        <v>PD Chq</v>
      </c>
    </row>
    <row r="2886" spans="1:19" ht="15" customHeight="1" x14ac:dyDescent="0.3">
      <c r="A2886" s="4">
        <v>45437</v>
      </c>
      <c r="B2886" s="5">
        <f t="shared" si="710"/>
        <v>5</v>
      </c>
      <c r="C2886" s="5">
        <f t="shared" si="711"/>
        <v>2024</v>
      </c>
      <c r="D2886" s="5" t="s">
        <v>2567</v>
      </c>
      <c r="E2886" s="5" t="str">
        <f>VLOOKUP(F2886,'Set up'!$A$2:$C$70,2,FALSE)</f>
        <v>C00000021</v>
      </c>
      <c r="F2886" s="1" t="s">
        <v>491</v>
      </c>
      <c r="G2886" s="99" t="s">
        <v>67</v>
      </c>
      <c r="H2886" s="5">
        <v>1</v>
      </c>
      <c r="I2886" s="5" t="str">
        <f>VLOOKUP(F2886,'Set up'!$A$2:$C$70,3,FALSE)</f>
        <v>Cash</v>
      </c>
      <c r="J2886" s="5">
        <f>VLOOKUP(F2886,'Set up'!$A$2:$D$70,4,FALSE)</f>
        <v>0</v>
      </c>
      <c r="K2886" s="4">
        <f t="shared" si="712"/>
        <v>45437</v>
      </c>
      <c r="L2886" s="5">
        <f t="shared" si="713"/>
        <v>5</v>
      </c>
      <c r="M2886" s="5">
        <f t="shared" si="714"/>
        <v>2024</v>
      </c>
      <c r="N2886" s="12">
        <v>1760</v>
      </c>
      <c r="O2886" s="12"/>
      <c r="P2886" s="6">
        <f t="shared" si="705"/>
        <v>1760</v>
      </c>
      <c r="Q2886" s="7">
        <f t="shared" si="715"/>
        <v>4672838.75</v>
      </c>
      <c r="R2886" s="44" t="str">
        <f>VLOOKUP(F2886,'Set up'!$A$2:$E$70,5,FALSE)</f>
        <v>PD Chq</v>
      </c>
    </row>
    <row r="2887" spans="1:19" ht="15" customHeight="1" x14ac:dyDescent="0.3">
      <c r="A2887" s="4">
        <v>45437</v>
      </c>
      <c r="B2887" s="5">
        <f t="shared" si="710"/>
        <v>5</v>
      </c>
      <c r="C2887" s="5">
        <f t="shared" si="711"/>
        <v>2024</v>
      </c>
      <c r="D2887" s="5" t="s">
        <v>2567</v>
      </c>
      <c r="E2887" s="5" t="str">
        <f>VLOOKUP(F2887,'Set up'!$A$2:$C$70,2,FALSE)</f>
        <v>C00000021</v>
      </c>
      <c r="F2887" s="1" t="s">
        <v>491</v>
      </c>
      <c r="G2887" s="99" t="s">
        <v>2129</v>
      </c>
      <c r="H2887" s="5">
        <v>2</v>
      </c>
      <c r="I2887" s="5" t="str">
        <f>VLOOKUP(F2887,'Set up'!$A$2:$C$70,3,FALSE)</f>
        <v>Cash</v>
      </c>
      <c r="J2887" s="5">
        <f>VLOOKUP(F2887,'Set up'!$A$2:$D$70,4,FALSE)</f>
        <v>0</v>
      </c>
      <c r="K2887" s="4">
        <f t="shared" si="712"/>
        <v>45437</v>
      </c>
      <c r="L2887" s="5">
        <f t="shared" si="713"/>
        <v>5</v>
      </c>
      <c r="M2887" s="5">
        <f t="shared" si="714"/>
        <v>2024</v>
      </c>
      <c r="N2887" s="12">
        <v>555</v>
      </c>
      <c r="O2887" s="12"/>
      <c r="P2887" s="6">
        <f t="shared" si="705"/>
        <v>555</v>
      </c>
      <c r="Q2887" s="7">
        <f t="shared" si="715"/>
        <v>4673393.75</v>
      </c>
      <c r="R2887" s="44" t="str">
        <f>VLOOKUP(F2887,'Set up'!$A$2:$E$70,5,FALSE)</f>
        <v>PD Chq</v>
      </c>
    </row>
    <row r="2888" spans="1:19" ht="15" customHeight="1" x14ac:dyDescent="0.3">
      <c r="A2888" s="4">
        <v>45437</v>
      </c>
      <c r="B2888" s="5">
        <f t="shared" si="710"/>
        <v>5</v>
      </c>
      <c r="C2888" s="5">
        <f t="shared" si="711"/>
        <v>2024</v>
      </c>
      <c r="D2888" s="5" t="s">
        <v>2567</v>
      </c>
      <c r="E2888" s="5" t="str">
        <f>VLOOKUP(F2888,'Set up'!$A$2:$C$70,2,FALSE)</f>
        <v>C00000021</v>
      </c>
      <c r="F2888" s="1" t="s">
        <v>491</v>
      </c>
      <c r="G2888" s="99" t="s">
        <v>1061</v>
      </c>
      <c r="H2888" s="5">
        <v>1</v>
      </c>
      <c r="I2888" s="5" t="str">
        <f>VLOOKUP(F2888,'Set up'!$A$2:$C$70,3,FALSE)</f>
        <v>Cash</v>
      </c>
      <c r="J2888" s="5">
        <f>VLOOKUP(F2888,'Set up'!$A$2:$D$70,4,FALSE)</f>
        <v>0</v>
      </c>
      <c r="K2888" s="4">
        <f t="shared" si="712"/>
        <v>45437</v>
      </c>
      <c r="L2888" s="5">
        <f t="shared" si="713"/>
        <v>5</v>
      </c>
      <c r="M2888" s="5">
        <f t="shared" si="714"/>
        <v>2024</v>
      </c>
      <c r="N2888" s="12">
        <v>95</v>
      </c>
      <c r="O2888" s="12"/>
      <c r="P2888" s="6">
        <f t="shared" si="705"/>
        <v>95</v>
      </c>
      <c r="Q2888" s="7">
        <f t="shared" si="715"/>
        <v>4673488.75</v>
      </c>
      <c r="R2888" s="44" t="str">
        <f>VLOOKUP(F2888,'Set up'!$A$2:$E$70,5,FALSE)</f>
        <v>PD Chq</v>
      </c>
    </row>
    <row r="2889" spans="1:19" ht="15" customHeight="1" x14ac:dyDescent="0.3">
      <c r="A2889" s="4">
        <v>45440</v>
      </c>
      <c r="B2889" s="5">
        <f t="shared" si="710"/>
        <v>5</v>
      </c>
      <c r="C2889" s="5">
        <f t="shared" si="711"/>
        <v>2024</v>
      </c>
      <c r="D2889" s="5" t="s">
        <v>2568</v>
      </c>
      <c r="E2889" s="5" t="str">
        <f>VLOOKUP(F2889,'Set up'!$A$2:$C$70,2,FALSE)</f>
        <v>C00000019</v>
      </c>
      <c r="F2889" s="1" t="s">
        <v>400</v>
      </c>
      <c r="G2889" s="99" t="s">
        <v>719</v>
      </c>
      <c r="H2889" s="5">
        <v>1</v>
      </c>
      <c r="I2889" s="5" t="str">
        <f>VLOOKUP(F2889,'Set up'!$A$2:$C$70,3,FALSE)</f>
        <v>Cash</v>
      </c>
      <c r="J2889" s="5">
        <f>VLOOKUP(F2889,'Set up'!$A$2:$D$70,4,FALSE)</f>
        <v>0</v>
      </c>
      <c r="K2889" s="4">
        <f t="shared" si="712"/>
        <v>45440</v>
      </c>
      <c r="L2889" s="5">
        <f t="shared" si="713"/>
        <v>5</v>
      </c>
      <c r="M2889" s="5">
        <f t="shared" si="714"/>
        <v>2024</v>
      </c>
      <c r="N2889" s="12">
        <v>1760</v>
      </c>
      <c r="O2889" s="12">
        <f>-490.2-500-500-269.8</f>
        <v>-1760</v>
      </c>
      <c r="P2889" s="6">
        <f t="shared" si="705"/>
        <v>0</v>
      </c>
      <c r="Q2889" s="7">
        <f t="shared" si="715"/>
        <v>4675248.75</v>
      </c>
      <c r="R2889" s="44" t="str">
        <f>VLOOKUP(F2889,'Set up'!$A$2:$E$70,5,FALSE)</f>
        <v>Trsf</v>
      </c>
      <c r="S2889" s="1" t="s">
        <v>4064</v>
      </c>
    </row>
    <row r="2890" spans="1:19" ht="15" customHeight="1" x14ac:dyDescent="0.3">
      <c r="A2890" s="4">
        <v>45440</v>
      </c>
      <c r="B2890" s="5">
        <f t="shared" si="710"/>
        <v>5</v>
      </c>
      <c r="C2890" s="5">
        <f t="shared" si="711"/>
        <v>2024</v>
      </c>
      <c r="D2890" s="5" t="s">
        <v>2568</v>
      </c>
      <c r="E2890" s="5" t="str">
        <f>VLOOKUP(F2890,'Set up'!$A$2:$C$70,2,FALSE)</f>
        <v>C00000019</v>
      </c>
      <c r="F2890" s="1" t="s">
        <v>400</v>
      </c>
      <c r="G2890" s="99" t="s">
        <v>1411</v>
      </c>
      <c r="H2890" s="5">
        <v>1</v>
      </c>
      <c r="I2890" s="5" t="str">
        <f>VLOOKUP(F2890,'Set up'!$A$2:$C$70,3,FALSE)</f>
        <v>Cash</v>
      </c>
      <c r="J2890" s="5">
        <f>VLOOKUP(F2890,'Set up'!$A$2:$D$70,4,FALSE)</f>
        <v>0</v>
      </c>
      <c r="K2890" s="4">
        <f t="shared" si="712"/>
        <v>45440</v>
      </c>
      <c r="L2890" s="5">
        <f t="shared" si="713"/>
        <v>5</v>
      </c>
      <c r="M2890" s="5">
        <f t="shared" si="714"/>
        <v>2024</v>
      </c>
      <c r="N2890" s="12">
        <v>405</v>
      </c>
      <c r="O2890" s="12">
        <f>-230.2</f>
        <v>-230.2</v>
      </c>
      <c r="P2890" s="6">
        <f t="shared" si="705"/>
        <v>174.8</v>
      </c>
      <c r="Q2890" s="7">
        <f t="shared" si="715"/>
        <v>4675653.75</v>
      </c>
      <c r="R2890" s="44" t="str">
        <f>VLOOKUP(F2890,'Set up'!$A$2:$E$70,5,FALSE)</f>
        <v>Trsf</v>
      </c>
      <c r="S2890" s="1" t="s">
        <v>4065</v>
      </c>
    </row>
    <row r="2891" spans="1:19" ht="15" customHeight="1" x14ac:dyDescent="0.3">
      <c r="A2891" s="4">
        <v>45440</v>
      </c>
      <c r="B2891" s="5">
        <f t="shared" si="710"/>
        <v>5</v>
      </c>
      <c r="C2891" s="5">
        <f t="shared" si="711"/>
        <v>2024</v>
      </c>
      <c r="D2891" s="5" t="s">
        <v>2568</v>
      </c>
      <c r="E2891" s="5" t="str">
        <f>VLOOKUP(F2891,'Set up'!$A$2:$C$70,2,FALSE)</f>
        <v>C00000019</v>
      </c>
      <c r="F2891" s="1" t="s">
        <v>400</v>
      </c>
      <c r="G2891" s="99" t="s">
        <v>46</v>
      </c>
      <c r="H2891" s="5">
        <v>1</v>
      </c>
      <c r="I2891" s="5" t="str">
        <f>VLOOKUP(F2891,'Set up'!$A$2:$C$70,3,FALSE)</f>
        <v>Cash</v>
      </c>
      <c r="J2891" s="5">
        <f>VLOOKUP(F2891,'Set up'!$A$2:$D$70,4,FALSE)</f>
        <v>0</v>
      </c>
      <c r="K2891" s="4">
        <f t="shared" si="712"/>
        <v>45440</v>
      </c>
      <c r="L2891" s="5">
        <f t="shared" si="713"/>
        <v>5</v>
      </c>
      <c r="M2891" s="5">
        <f t="shared" si="714"/>
        <v>2024</v>
      </c>
      <c r="N2891" s="12">
        <v>110</v>
      </c>
      <c r="O2891" s="12"/>
      <c r="P2891" s="6">
        <f t="shared" si="705"/>
        <v>110</v>
      </c>
      <c r="Q2891" s="7">
        <f t="shared" si="715"/>
        <v>4675763.75</v>
      </c>
      <c r="R2891" s="44" t="str">
        <f>VLOOKUP(F2891,'Set up'!$A$2:$E$70,5,FALSE)</f>
        <v>Trsf</v>
      </c>
    </row>
    <row r="2892" spans="1:19" ht="15" customHeight="1" x14ac:dyDescent="0.3">
      <c r="A2892" s="4">
        <v>45440</v>
      </c>
      <c r="B2892" s="5">
        <f t="shared" si="710"/>
        <v>5</v>
      </c>
      <c r="C2892" s="5">
        <f t="shared" si="711"/>
        <v>2024</v>
      </c>
      <c r="D2892" s="5" t="s">
        <v>2568</v>
      </c>
      <c r="E2892" s="5" t="str">
        <f>VLOOKUP(F2892,'Set up'!$A$2:$C$70,2,FALSE)</f>
        <v>C00000019</v>
      </c>
      <c r="F2892" s="1" t="s">
        <v>400</v>
      </c>
      <c r="G2892" s="99" t="s">
        <v>894</v>
      </c>
      <c r="H2892" s="5">
        <v>1</v>
      </c>
      <c r="I2892" s="5" t="str">
        <f>VLOOKUP(F2892,'Set up'!$A$2:$C$70,3,FALSE)</f>
        <v>Cash</v>
      </c>
      <c r="J2892" s="5">
        <f>VLOOKUP(F2892,'Set up'!$A$2:$D$70,4,FALSE)</f>
        <v>0</v>
      </c>
      <c r="K2892" s="4">
        <f t="shared" si="712"/>
        <v>45440</v>
      </c>
      <c r="L2892" s="5">
        <f t="shared" si="713"/>
        <v>5</v>
      </c>
      <c r="M2892" s="5">
        <f t="shared" si="714"/>
        <v>2024</v>
      </c>
      <c r="N2892" s="12">
        <v>150</v>
      </c>
      <c r="O2892" s="12"/>
      <c r="P2892" s="6">
        <f t="shared" si="705"/>
        <v>150</v>
      </c>
      <c r="Q2892" s="7">
        <f t="shared" si="715"/>
        <v>4675913.75</v>
      </c>
      <c r="R2892" s="44" t="str">
        <f>VLOOKUP(F2892,'Set up'!$A$2:$E$70,5,FALSE)</f>
        <v>Trsf</v>
      </c>
    </row>
    <row r="2893" spans="1:19" ht="15" customHeight="1" x14ac:dyDescent="0.3">
      <c r="A2893" s="4">
        <v>45440</v>
      </c>
      <c r="B2893" s="5">
        <f t="shared" si="710"/>
        <v>5</v>
      </c>
      <c r="C2893" s="5">
        <f t="shared" si="711"/>
        <v>2024</v>
      </c>
      <c r="D2893" s="5" t="s">
        <v>2568</v>
      </c>
      <c r="E2893" s="5" t="str">
        <f>VLOOKUP(F2893,'Set up'!$A$2:$C$70,2,FALSE)</f>
        <v>C00000019</v>
      </c>
      <c r="F2893" s="1" t="s">
        <v>400</v>
      </c>
      <c r="G2893" s="99" t="s">
        <v>2098</v>
      </c>
      <c r="H2893" s="5">
        <v>1</v>
      </c>
      <c r="I2893" s="5" t="str">
        <f>VLOOKUP(F2893,'Set up'!$A$2:$C$70,3,FALSE)</f>
        <v>Cash</v>
      </c>
      <c r="J2893" s="5">
        <f>VLOOKUP(F2893,'Set up'!$A$2:$D$70,4,FALSE)</f>
        <v>0</v>
      </c>
      <c r="K2893" s="4">
        <f t="shared" si="712"/>
        <v>45440</v>
      </c>
      <c r="L2893" s="5">
        <f t="shared" si="713"/>
        <v>5</v>
      </c>
      <c r="M2893" s="5">
        <f t="shared" si="714"/>
        <v>2024</v>
      </c>
      <c r="N2893" s="12">
        <v>283.8</v>
      </c>
      <c r="O2893" s="12"/>
      <c r="P2893" s="6">
        <f t="shared" si="705"/>
        <v>283.8</v>
      </c>
      <c r="Q2893" s="7">
        <f t="shared" si="715"/>
        <v>4676197.55</v>
      </c>
      <c r="R2893" s="44" t="str">
        <f>VLOOKUP(F2893,'Set up'!$A$2:$E$70,5,FALSE)</f>
        <v>Trsf</v>
      </c>
    </row>
    <row r="2894" spans="1:19" ht="15" customHeight="1" x14ac:dyDescent="0.3">
      <c r="A2894" s="4">
        <v>45440</v>
      </c>
      <c r="B2894" s="5">
        <f t="shared" si="710"/>
        <v>5</v>
      </c>
      <c r="C2894" s="5">
        <f t="shared" si="711"/>
        <v>2024</v>
      </c>
      <c r="D2894" s="5" t="s">
        <v>2569</v>
      </c>
      <c r="E2894" s="5" t="str">
        <f>VLOOKUP(F2894,'Set up'!$A$2:$C$70,2,FALSE)</f>
        <v>C00000014</v>
      </c>
      <c r="F2894" s="1" t="s">
        <v>262</v>
      </c>
      <c r="G2894" s="99" t="s">
        <v>303</v>
      </c>
      <c r="H2894" s="5">
        <v>1</v>
      </c>
      <c r="I2894" s="5" t="str">
        <f>VLOOKUP(F2894,'Set up'!$A$2:$C$70,3,FALSE)</f>
        <v>Cash</v>
      </c>
      <c r="J2894" s="5">
        <f>VLOOKUP(F2894,'Set up'!$A$2:$D$70,4,FALSE)</f>
        <v>0</v>
      </c>
      <c r="K2894" s="4">
        <f t="shared" si="712"/>
        <v>45440</v>
      </c>
      <c r="L2894" s="5">
        <f t="shared" si="713"/>
        <v>5</v>
      </c>
      <c r="M2894" s="5">
        <f t="shared" si="714"/>
        <v>2024</v>
      </c>
      <c r="N2894" s="12">
        <v>1650</v>
      </c>
      <c r="O2894" s="6">
        <f t="shared" ref="O2894:O2901" si="716">-N2894</f>
        <v>-1650</v>
      </c>
      <c r="P2894" s="6">
        <f t="shared" si="705"/>
        <v>0</v>
      </c>
      <c r="Q2894" s="7">
        <f t="shared" si="715"/>
        <v>4677847.55</v>
      </c>
      <c r="R2894" s="44" t="str">
        <f>VLOOKUP(F2894,'Set up'!$A$2:$E$70,5,FALSE)</f>
        <v>Cash</v>
      </c>
      <c r="S2894" s="1" t="s">
        <v>2627</v>
      </c>
    </row>
    <row r="2895" spans="1:19" ht="15" customHeight="1" x14ac:dyDescent="0.3">
      <c r="A2895" s="4">
        <v>45440</v>
      </c>
      <c r="B2895" s="5">
        <f t="shared" si="710"/>
        <v>5</v>
      </c>
      <c r="C2895" s="5">
        <f t="shared" si="711"/>
        <v>2024</v>
      </c>
      <c r="D2895" s="5" t="s">
        <v>2569</v>
      </c>
      <c r="E2895" s="5" t="str">
        <f>VLOOKUP(F2895,'Set up'!$A$2:$C$70,2,FALSE)</f>
        <v>C00000014</v>
      </c>
      <c r="F2895" s="1" t="s">
        <v>262</v>
      </c>
      <c r="G2895" s="99" t="s">
        <v>2570</v>
      </c>
      <c r="H2895" s="5">
        <v>4</v>
      </c>
      <c r="I2895" s="5" t="str">
        <f>VLOOKUP(F2895,'Set up'!$A$2:$C$70,3,FALSE)</f>
        <v>Cash</v>
      </c>
      <c r="J2895" s="5">
        <f>VLOOKUP(F2895,'Set up'!$A$2:$D$70,4,FALSE)</f>
        <v>0</v>
      </c>
      <c r="K2895" s="4">
        <f t="shared" si="712"/>
        <v>45440</v>
      </c>
      <c r="L2895" s="5">
        <f t="shared" si="713"/>
        <v>5</v>
      </c>
      <c r="M2895" s="5">
        <f t="shared" si="714"/>
        <v>2024</v>
      </c>
      <c r="N2895" s="12">
        <v>840</v>
      </c>
      <c r="O2895" s="6">
        <f t="shared" si="716"/>
        <v>-840</v>
      </c>
      <c r="P2895" s="6">
        <f t="shared" si="705"/>
        <v>0</v>
      </c>
      <c r="Q2895" s="7">
        <f t="shared" si="715"/>
        <v>4678687.55</v>
      </c>
      <c r="R2895" s="44" t="str">
        <f>VLOOKUP(F2895,'Set up'!$A$2:$E$70,5,FALSE)</f>
        <v>Cash</v>
      </c>
      <c r="S2895" s="1" t="s">
        <v>2627</v>
      </c>
    </row>
    <row r="2896" spans="1:19" ht="15" customHeight="1" x14ac:dyDescent="0.3">
      <c r="A2896" s="4">
        <v>45440</v>
      </c>
      <c r="B2896" s="5">
        <f t="shared" si="710"/>
        <v>5</v>
      </c>
      <c r="C2896" s="5">
        <f t="shared" si="711"/>
        <v>2024</v>
      </c>
      <c r="D2896" s="5" t="s">
        <v>2569</v>
      </c>
      <c r="E2896" s="5" t="str">
        <f>VLOOKUP(F2896,'Set up'!$A$2:$C$70,2,FALSE)</f>
        <v>C00000014</v>
      </c>
      <c r="F2896" s="1" t="s">
        <v>262</v>
      </c>
      <c r="G2896" s="99" t="s">
        <v>2571</v>
      </c>
      <c r="H2896" s="5">
        <v>1</v>
      </c>
      <c r="I2896" s="5" t="str">
        <f>VLOOKUP(F2896,'Set up'!$A$2:$C$70,3,FALSE)</f>
        <v>Cash</v>
      </c>
      <c r="J2896" s="5">
        <f>VLOOKUP(F2896,'Set up'!$A$2:$D$70,4,FALSE)</f>
        <v>0</v>
      </c>
      <c r="K2896" s="4">
        <f t="shared" si="712"/>
        <v>45440</v>
      </c>
      <c r="L2896" s="5">
        <f t="shared" si="713"/>
        <v>5</v>
      </c>
      <c r="M2896" s="5">
        <f t="shared" si="714"/>
        <v>2024</v>
      </c>
      <c r="N2896" s="12">
        <v>280</v>
      </c>
      <c r="O2896" s="6">
        <f t="shared" si="716"/>
        <v>-280</v>
      </c>
      <c r="P2896" s="6">
        <f t="shared" si="705"/>
        <v>0</v>
      </c>
      <c r="Q2896" s="7">
        <f t="shared" si="715"/>
        <v>4678967.55</v>
      </c>
      <c r="R2896" s="44" t="str">
        <f>VLOOKUP(F2896,'Set up'!$A$2:$E$70,5,FALSE)</f>
        <v>Cash</v>
      </c>
      <c r="S2896" s="1" t="s">
        <v>2627</v>
      </c>
    </row>
    <row r="2897" spans="1:19" ht="15" customHeight="1" x14ac:dyDescent="0.3">
      <c r="A2897" s="4">
        <v>45440</v>
      </c>
      <c r="B2897" s="5">
        <f t="shared" si="710"/>
        <v>5</v>
      </c>
      <c r="C2897" s="5">
        <f t="shared" si="711"/>
        <v>2024</v>
      </c>
      <c r="D2897" s="5" t="s">
        <v>2569</v>
      </c>
      <c r="E2897" s="5" t="str">
        <f>VLOOKUP(F2897,'Set up'!$A$2:$C$70,2,FALSE)</f>
        <v>C00000014</v>
      </c>
      <c r="F2897" s="1" t="s">
        <v>262</v>
      </c>
      <c r="G2897" s="99" t="s">
        <v>1886</v>
      </c>
      <c r="H2897" s="5">
        <v>2</v>
      </c>
      <c r="I2897" s="5" t="str">
        <f>VLOOKUP(F2897,'Set up'!$A$2:$C$70,3,FALSE)</f>
        <v>Cash</v>
      </c>
      <c r="J2897" s="5">
        <f>VLOOKUP(F2897,'Set up'!$A$2:$D$70,4,FALSE)</f>
        <v>0</v>
      </c>
      <c r="K2897" s="4">
        <f t="shared" si="712"/>
        <v>45440</v>
      </c>
      <c r="L2897" s="5">
        <f t="shared" si="713"/>
        <v>5</v>
      </c>
      <c r="M2897" s="5">
        <f t="shared" si="714"/>
        <v>2024</v>
      </c>
      <c r="N2897" s="12">
        <v>320</v>
      </c>
      <c r="O2897" s="6">
        <f t="shared" si="716"/>
        <v>-320</v>
      </c>
      <c r="P2897" s="6">
        <f t="shared" si="705"/>
        <v>0</v>
      </c>
      <c r="Q2897" s="7">
        <f t="shared" si="715"/>
        <v>4679287.55</v>
      </c>
      <c r="R2897" s="44" t="str">
        <f>VLOOKUP(F2897,'Set up'!$A$2:$E$70,5,FALSE)</f>
        <v>Cash</v>
      </c>
      <c r="S2897" s="1" t="s">
        <v>2627</v>
      </c>
    </row>
    <row r="2898" spans="1:19" ht="15" customHeight="1" x14ac:dyDescent="0.3">
      <c r="A2898" s="4">
        <v>45440</v>
      </c>
      <c r="B2898" s="5">
        <f t="shared" si="710"/>
        <v>5</v>
      </c>
      <c r="C2898" s="5">
        <f t="shared" si="711"/>
        <v>2024</v>
      </c>
      <c r="D2898" s="5" t="s">
        <v>2569</v>
      </c>
      <c r="E2898" s="5" t="str">
        <f>VLOOKUP(F2898,'Set up'!$A$2:$C$70,2,FALSE)</f>
        <v>C00000014</v>
      </c>
      <c r="F2898" s="1" t="s">
        <v>262</v>
      </c>
      <c r="G2898" s="99" t="s">
        <v>2098</v>
      </c>
      <c r="H2898" s="5">
        <v>1</v>
      </c>
      <c r="I2898" s="5" t="str">
        <f>VLOOKUP(F2898,'Set up'!$A$2:$C$70,3,FALSE)</f>
        <v>Cash</v>
      </c>
      <c r="J2898" s="5">
        <f>VLOOKUP(F2898,'Set up'!$A$2:$D$70,4,FALSE)</f>
        <v>0</v>
      </c>
      <c r="K2898" s="4">
        <f t="shared" si="712"/>
        <v>45440</v>
      </c>
      <c r="L2898" s="5">
        <f t="shared" si="713"/>
        <v>5</v>
      </c>
      <c r="M2898" s="5">
        <f t="shared" si="714"/>
        <v>2024</v>
      </c>
      <c r="N2898" s="12">
        <v>283.8</v>
      </c>
      <c r="O2898" s="6">
        <f t="shared" si="716"/>
        <v>-283.8</v>
      </c>
      <c r="P2898" s="6">
        <f t="shared" si="705"/>
        <v>0</v>
      </c>
      <c r="Q2898" s="7">
        <f t="shared" si="715"/>
        <v>4679571.3499999996</v>
      </c>
      <c r="R2898" s="44" t="str">
        <f>VLOOKUP(F2898,'Set up'!$A$2:$E$70,5,FALSE)</f>
        <v>Cash</v>
      </c>
      <c r="S2898" s="1" t="s">
        <v>2627</v>
      </c>
    </row>
    <row r="2899" spans="1:19" ht="15" customHeight="1" x14ac:dyDescent="0.3">
      <c r="A2899" s="4">
        <v>45441</v>
      </c>
      <c r="B2899" s="5">
        <f t="shared" si="710"/>
        <v>5</v>
      </c>
      <c r="C2899" s="5">
        <f t="shared" si="711"/>
        <v>2024</v>
      </c>
      <c r="D2899" s="5" t="s">
        <v>2572</v>
      </c>
      <c r="E2899" s="5" t="str">
        <f>VLOOKUP(F2899,'Set up'!$A$2:$C$70,2,FALSE)</f>
        <v>C00000046</v>
      </c>
      <c r="F2899" s="1" t="s">
        <v>2284</v>
      </c>
      <c r="G2899" s="99" t="s">
        <v>2573</v>
      </c>
      <c r="H2899" s="5">
        <v>1</v>
      </c>
      <c r="I2899" s="5" t="str">
        <f>VLOOKUP(F2899,'Set up'!$A$2:$C$70,3,FALSE)</f>
        <v>Cash</v>
      </c>
      <c r="J2899" s="5">
        <f>VLOOKUP(F2899,'Set up'!$A$2:$D$70,4,FALSE)</f>
        <v>0</v>
      </c>
      <c r="K2899" s="4">
        <f t="shared" si="712"/>
        <v>45441</v>
      </c>
      <c r="L2899" s="5">
        <f t="shared" si="713"/>
        <v>5</v>
      </c>
      <c r="M2899" s="5">
        <f t="shared" si="714"/>
        <v>2024</v>
      </c>
      <c r="N2899" s="12">
        <v>240</v>
      </c>
      <c r="O2899" s="6">
        <f t="shared" si="716"/>
        <v>-240</v>
      </c>
      <c r="P2899" s="6">
        <f t="shared" si="705"/>
        <v>0</v>
      </c>
      <c r="Q2899" s="7">
        <f t="shared" si="715"/>
        <v>4679811.3499999996</v>
      </c>
      <c r="R2899" s="44" t="str">
        <f>VLOOKUP(F2899,'Set up'!$A$2:$E$70,5,FALSE)</f>
        <v>Cash</v>
      </c>
      <c r="S2899" s="1" t="s">
        <v>2630</v>
      </c>
    </row>
    <row r="2900" spans="1:19" ht="15" customHeight="1" x14ac:dyDescent="0.3">
      <c r="A2900" s="4">
        <v>45441</v>
      </c>
      <c r="B2900" s="5">
        <f t="shared" si="710"/>
        <v>5</v>
      </c>
      <c r="C2900" s="5">
        <f t="shared" si="711"/>
        <v>2024</v>
      </c>
      <c r="D2900" s="5" t="s">
        <v>2572</v>
      </c>
      <c r="E2900" s="5" t="str">
        <f>VLOOKUP(F2900,'Set up'!$A$2:$C$70,2,FALSE)</f>
        <v>C00000046</v>
      </c>
      <c r="F2900" s="1" t="s">
        <v>2284</v>
      </c>
      <c r="G2900" s="99" t="s">
        <v>2574</v>
      </c>
      <c r="H2900" s="5">
        <v>1</v>
      </c>
      <c r="I2900" s="5" t="str">
        <f>VLOOKUP(F2900,'Set up'!$A$2:$C$70,3,FALSE)</f>
        <v>Cash</v>
      </c>
      <c r="J2900" s="5">
        <f>VLOOKUP(F2900,'Set up'!$A$2:$D$70,4,FALSE)</f>
        <v>0</v>
      </c>
      <c r="K2900" s="4">
        <f t="shared" si="712"/>
        <v>45441</v>
      </c>
      <c r="L2900" s="5">
        <f t="shared" si="713"/>
        <v>5</v>
      </c>
      <c r="M2900" s="5">
        <f t="shared" si="714"/>
        <v>2024</v>
      </c>
      <c r="N2900" s="12">
        <v>225</v>
      </c>
      <c r="O2900" s="6">
        <f t="shared" si="716"/>
        <v>-225</v>
      </c>
      <c r="P2900" s="6">
        <f t="shared" si="705"/>
        <v>0</v>
      </c>
      <c r="Q2900" s="7">
        <f t="shared" si="715"/>
        <v>4680036.3499999996</v>
      </c>
      <c r="R2900" s="44" t="str">
        <f>VLOOKUP(F2900,'Set up'!$A$2:$E$70,5,FALSE)</f>
        <v>Cash</v>
      </c>
      <c r="S2900" s="1" t="s">
        <v>2630</v>
      </c>
    </row>
    <row r="2901" spans="1:19" ht="15" customHeight="1" x14ac:dyDescent="0.3">
      <c r="A2901" s="4">
        <v>45441</v>
      </c>
      <c r="B2901" s="5">
        <f t="shared" si="710"/>
        <v>5</v>
      </c>
      <c r="C2901" s="5">
        <f t="shared" si="711"/>
        <v>2024</v>
      </c>
      <c r="D2901" s="5" t="s">
        <v>2572</v>
      </c>
      <c r="E2901" s="5" t="str">
        <f>VLOOKUP(F2901,'Set up'!$A$2:$C$70,2,FALSE)</f>
        <v>C00000046</v>
      </c>
      <c r="F2901" s="1" t="s">
        <v>2284</v>
      </c>
      <c r="G2901" s="99" t="s">
        <v>1654</v>
      </c>
      <c r="H2901" s="5">
        <v>1</v>
      </c>
      <c r="I2901" s="5" t="str">
        <f>VLOOKUP(F2901,'Set up'!$A$2:$C$70,3,FALSE)</f>
        <v>Cash</v>
      </c>
      <c r="J2901" s="5">
        <f>VLOOKUP(F2901,'Set up'!$A$2:$D$70,4,FALSE)</f>
        <v>0</v>
      </c>
      <c r="K2901" s="4">
        <f t="shared" si="712"/>
        <v>45441</v>
      </c>
      <c r="L2901" s="5">
        <f t="shared" si="713"/>
        <v>5</v>
      </c>
      <c r="M2901" s="5">
        <f t="shared" si="714"/>
        <v>2024</v>
      </c>
      <c r="N2901" s="12">
        <v>258</v>
      </c>
      <c r="O2901" s="6">
        <f t="shared" si="716"/>
        <v>-258</v>
      </c>
      <c r="P2901" s="6">
        <f t="shared" ref="P2901:P2964" si="717">SUM(N2901+O2901)</f>
        <v>0</v>
      </c>
      <c r="Q2901" s="7">
        <f t="shared" si="715"/>
        <v>4680294.3499999996</v>
      </c>
      <c r="R2901" s="44" t="str">
        <f>VLOOKUP(F2901,'Set up'!$A$2:$E$70,5,FALSE)</f>
        <v>Cash</v>
      </c>
      <c r="S2901" s="1" t="s">
        <v>2630</v>
      </c>
    </row>
    <row r="2902" spans="1:19" ht="15" customHeight="1" x14ac:dyDescent="0.3">
      <c r="A2902" s="4">
        <v>45441</v>
      </c>
      <c r="B2902" s="5">
        <f t="shared" si="710"/>
        <v>5</v>
      </c>
      <c r="C2902" s="5">
        <f t="shared" si="711"/>
        <v>2024</v>
      </c>
      <c r="D2902" s="5" t="s">
        <v>2575</v>
      </c>
      <c r="E2902" s="5" t="str">
        <f>VLOOKUP(F2902,'Set up'!$A$2:$C$70,2,FALSE)</f>
        <v>C00000044</v>
      </c>
      <c r="F2902" s="1" t="s">
        <v>2929</v>
      </c>
      <c r="G2902" s="99" t="s">
        <v>1178</v>
      </c>
      <c r="H2902" s="5">
        <v>1</v>
      </c>
      <c r="I2902" s="5" t="str">
        <f>VLOOKUP(F2902,'Set up'!$A$2:$C$70,3,FALSE)</f>
        <v>Cash</v>
      </c>
      <c r="J2902" s="5">
        <f>VLOOKUP(F2902,'Set up'!$A$2:$D$70,4,FALSE)</f>
        <v>0</v>
      </c>
      <c r="K2902" s="4">
        <f t="shared" si="712"/>
        <v>45441</v>
      </c>
      <c r="L2902" s="5">
        <f t="shared" si="713"/>
        <v>5</v>
      </c>
      <c r="M2902" s="5">
        <f t="shared" si="714"/>
        <v>2024</v>
      </c>
      <c r="N2902" s="12">
        <v>1672</v>
      </c>
      <c r="O2902" s="6">
        <f t="shared" ref="O2902:O2904" si="718">-N2902</f>
        <v>-1672</v>
      </c>
      <c r="P2902" s="6">
        <f t="shared" si="717"/>
        <v>0</v>
      </c>
      <c r="Q2902" s="7">
        <f t="shared" si="715"/>
        <v>4681966.3499999996</v>
      </c>
      <c r="R2902" s="44" t="str">
        <f>VLOOKUP(F2902,'Set up'!$A$2:$E$70,5,FALSE)</f>
        <v>Cash</v>
      </c>
      <c r="S2902" s="1" t="s">
        <v>2625</v>
      </c>
    </row>
    <row r="2903" spans="1:19" ht="15" customHeight="1" x14ac:dyDescent="0.3">
      <c r="A2903" s="4">
        <v>45441</v>
      </c>
      <c r="B2903" s="5">
        <f t="shared" si="710"/>
        <v>5</v>
      </c>
      <c r="C2903" s="5">
        <f t="shared" si="711"/>
        <v>2024</v>
      </c>
      <c r="D2903" s="5" t="s">
        <v>2575</v>
      </c>
      <c r="E2903" s="5" t="str">
        <f>VLOOKUP(F2903,'Set up'!$A$2:$C$70,2,FALSE)</f>
        <v>C00000044</v>
      </c>
      <c r="F2903" s="1" t="s">
        <v>2929</v>
      </c>
      <c r="G2903" s="99" t="s">
        <v>2570</v>
      </c>
      <c r="H2903" s="5">
        <v>3</v>
      </c>
      <c r="I2903" s="5" t="str">
        <f>VLOOKUP(F2903,'Set up'!$A$2:$C$70,3,FALSE)</f>
        <v>Cash</v>
      </c>
      <c r="J2903" s="5">
        <f>VLOOKUP(F2903,'Set up'!$A$2:$D$70,4,FALSE)</f>
        <v>0</v>
      </c>
      <c r="K2903" s="4">
        <f t="shared" si="712"/>
        <v>45441</v>
      </c>
      <c r="L2903" s="5">
        <f t="shared" si="713"/>
        <v>5</v>
      </c>
      <c r="M2903" s="5">
        <f t="shared" si="714"/>
        <v>2024</v>
      </c>
      <c r="N2903" s="12">
        <v>630</v>
      </c>
      <c r="O2903" s="6">
        <f t="shared" si="718"/>
        <v>-630</v>
      </c>
      <c r="P2903" s="6">
        <f t="shared" si="717"/>
        <v>0</v>
      </c>
      <c r="Q2903" s="7">
        <f t="shared" si="715"/>
        <v>4682596.3499999996</v>
      </c>
      <c r="R2903" s="44" t="str">
        <f>VLOOKUP(F2903,'Set up'!$A$2:$E$70,5,FALSE)</f>
        <v>Cash</v>
      </c>
      <c r="S2903" s="1" t="s">
        <v>2625</v>
      </c>
    </row>
    <row r="2904" spans="1:19" ht="15" customHeight="1" x14ac:dyDescent="0.3">
      <c r="A2904" s="4">
        <v>45441</v>
      </c>
      <c r="B2904" s="5">
        <f t="shared" si="710"/>
        <v>5</v>
      </c>
      <c r="C2904" s="5">
        <f t="shared" si="711"/>
        <v>2024</v>
      </c>
      <c r="D2904" s="5" t="s">
        <v>2575</v>
      </c>
      <c r="E2904" s="5" t="str">
        <f>VLOOKUP(F2904,'Set up'!$A$2:$C$70,2,FALSE)</f>
        <v>C00000044</v>
      </c>
      <c r="F2904" s="1" t="s">
        <v>2929</v>
      </c>
      <c r="G2904" s="99" t="s">
        <v>46</v>
      </c>
      <c r="H2904" s="5">
        <v>1</v>
      </c>
      <c r="I2904" s="5" t="str">
        <f>VLOOKUP(F2904,'Set up'!$A$2:$C$70,3,FALSE)</f>
        <v>Cash</v>
      </c>
      <c r="J2904" s="5">
        <f>VLOOKUP(F2904,'Set up'!$A$2:$D$70,4,FALSE)</f>
        <v>0</v>
      </c>
      <c r="K2904" s="4">
        <f t="shared" si="712"/>
        <v>45441</v>
      </c>
      <c r="L2904" s="5">
        <f t="shared" si="713"/>
        <v>5</v>
      </c>
      <c r="M2904" s="5">
        <f t="shared" si="714"/>
        <v>2024</v>
      </c>
      <c r="N2904" s="12">
        <v>110</v>
      </c>
      <c r="O2904" s="6">
        <f t="shared" si="718"/>
        <v>-110</v>
      </c>
      <c r="P2904" s="6">
        <f t="shared" si="717"/>
        <v>0</v>
      </c>
      <c r="Q2904" s="7">
        <f t="shared" si="715"/>
        <v>4682706.3499999996</v>
      </c>
      <c r="R2904" s="44" t="str">
        <f>VLOOKUP(F2904,'Set up'!$A$2:$E$70,5,FALSE)</f>
        <v>Cash</v>
      </c>
      <c r="S2904" s="1" t="s">
        <v>2625</v>
      </c>
    </row>
    <row r="2905" spans="1:19" ht="15" customHeight="1" x14ac:dyDescent="0.3">
      <c r="A2905" s="4">
        <v>45441</v>
      </c>
      <c r="B2905" s="5">
        <f t="shared" si="710"/>
        <v>5</v>
      </c>
      <c r="C2905" s="5">
        <f t="shared" si="711"/>
        <v>2024</v>
      </c>
      <c r="D2905" s="5" t="s">
        <v>2576</v>
      </c>
      <c r="E2905" s="5" t="str">
        <f>VLOOKUP(F2905,'Set up'!$A$2:$C$70,2,FALSE)</f>
        <v>C00000042</v>
      </c>
      <c r="F2905" s="1" t="s">
        <v>2012</v>
      </c>
      <c r="G2905" s="99" t="s">
        <v>1110</v>
      </c>
      <c r="H2905" s="5">
        <v>7</v>
      </c>
      <c r="I2905" s="5" t="str">
        <f>VLOOKUP(F2905,'Set up'!$A$2:$C$70,3,FALSE)</f>
        <v>Cash</v>
      </c>
      <c r="J2905" s="5">
        <f>VLOOKUP(F2905,'Set up'!$A$2:$D$70,4,FALSE)</f>
        <v>0</v>
      </c>
      <c r="K2905" s="4">
        <f t="shared" si="712"/>
        <v>45441</v>
      </c>
      <c r="L2905" s="5">
        <f t="shared" si="713"/>
        <v>5</v>
      </c>
      <c r="M2905" s="5">
        <f t="shared" si="714"/>
        <v>2024</v>
      </c>
      <c r="N2905" s="12">
        <v>437.5</v>
      </c>
      <c r="O2905" s="6">
        <f>-N2905</f>
        <v>-437.5</v>
      </c>
      <c r="P2905" s="6">
        <f t="shared" si="717"/>
        <v>0</v>
      </c>
      <c r="Q2905" s="7">
        <f t="shared" si="715"/>
        <v>4683143.8499999996</v>
      </c>
      <c r="R2905" s="44" t="str">
        <f>VLOOKUP(F2905,'Set up'!$A$2:$E$70,5,FALSE)</f>
        <v>Trsf</v>
      </c>
      <c r="S2905" s="1" t="s">
        <v>3166</v>
      </c>
    </row>
    <row r="2906" spans="1:19" ht="15" customHeight="1" x14ac:dyDescent="0.3">
      <c r="A2906" s="4">
        <v>45441</v>
      </c>
      <c r="B2906" s="5">
        <f t="shared" si="710"/>
        <v>5</v>
      </c>
      <c r="C2906" s="5">
        <f t="shared" si="711"/>
        <v>2024</v>
      </c>
      <c r="D2906" s="5" t="s">
        <v>2577</v>
      </c>
      <c r="E2906" s="5" t="str">
        <f>VLOOKUP(F2906,'Set up'!$A$2:$C$70,2,FALSE)</f>
        <v>C00000042</v>
      </c>
      <c r="F2906" s="1" t="s">
        <v>2012</v>
      </c>
      <c r="G2906" s="99" t="s">
        <v>2552</v>
      </c>
      <c r="H2906" s="5">
        <v>7</v>
      </c>
      <c r="I2906" s="5" t="str">
        <f>VLOOKUP(F2906,'Set up'!$A$2:$C$70,3,FALSE)</f>
        <v>Cash</v>
      </c>
      <c r="J2906" s="5">
        <f>VLOOKUP(F2906,'Set up'!$A$2:$D$70,4,FALSE)</f>
        <v>0</v>
      </c>
      <c r="K2906" s="4">
        <f t="shared" si="712"/>
        <v>45441</v>
      </c>
      <c r="L2906" s="5">
        <f t="shared" si="713"/>
        <v>5</v>
      </c>
      <c r="M2906" s="5">
        <f t="shared" si="714"/>
        <v>2024</v>
      </c>
      <c r="N2906" s="12">
        <v>11396</v>
      </c>
      <c r="O2906" s="6">
        <f>-N2906</f>
        <v>-11396</v>
      </c>
      <c r="P2906" s="6">
        <f t="shared" si="717"/>
        <v>0</v>
      </c>
      <c r="Q2906" s="7">
        <f t="shared" si="715"/>
        <v>4694539.8499999996</v>
      </c>
      <c r="R2906" s="44" t="str">
        <f>VLOOKUP(F2906,'Set up'!$A$2:$E$70,5,FALSE)</f>
        <v>Trsf</v>
      </c>
      <c r="S2906" s="1" t="s">
        <v>3167</v>
      </c>
    </row>
    <row r="2907" spans="1:19" ht="15" customHeight="1" x14ac:dyDescent="0.3">
      <c r="A2907" s="4">
        <v>45441</v>
      </c>
      <c r="B2907" s="5">
        <f t="shared" si="710"/>
        <v>5</v>
      </c>
      <c r="C2907" s="5">
        <f t="shared" si="711"/>
        <v>2024</v>
      </c>
      <c r="D2907" s="5" t="s">
        <v>2577</v>
      </c>
      <c r="E2907" s="5" t="str">
        <f>VLOOKUP(F2907,'Set up'!$A$2:$C$70,2,FALSE)</f>
        <v>C00000042</v>
      </c>
      <c r="F2907" s="1" t="s">
        <v>2012</v>
      </c>
      <c r="G2907" s="99" t="s">
        <v>2578</v>
      </c>
      <c r="H2907" s="5">
        <v>20</v>
      </c>
      <c r="I2907" s="5" t="str">
        <f>VLOOKUP(F2907,'Set up'!$A$2:$C$70,3,FALSE)</f>
        <v>Cash</v>
      </c>
      <c r="J2907" s="5">
        <f>VLOOKUP(F2907,'Set up'!$A$2:$D$70,4,FALSE)</f>
        <v>0</v>
      </c>
      <c r="K2907" s="4">
        <f t="shared" si="712"/>
        <v>45441</v>
      </c>
      <c r="L2907" s="5">
        <f t="shared" si="713"/>
        <v>5</v>
      </c>
      <c r="M2907" s="5">
        <f t="shared" si="714"/>
        <v>2024</v>
      </c>
      <c r="N2907" s="12">
        <v>3480</v>
      </c>
      <c r="O2907" s="6">
        <f>-N2907</f>
        <v>-3480</v>
      </c>
      <c r="P2907" s="6">
        <f t="shared" si="717"/>
        <v>0</v>
      </c>
      <c r="Q2907" s="7">
        <f t="shared" si="715"/>
        <v>4698019.8499999996</v>
      </c>
      <c r="R2907" s="44" t="str">
        <f>VLOOKUP(F2907,'Set up'!$A$2:$E$70,5,FALSE)</f>
        <v>Trsf</v>
      </c>
      <c r="S2907" s="1" t="s">
        <v>3168</v>
      </c>
    </row>
    <row r="2908" spans="1:19" ht="15" customHeight="1" x14ac:dyDescent="0.3">
      <c r="A2908" s="4">
        <v>45441</v>
      </c>
      <c r="B2908" s="5">
        <f t="shared" si="710"/>
        <v>5</v>
      </c>
      <c r="C2908" s="5">
        <f t="shared" si="711"/>
        <v>2024</v>
      </c>
      <c r="D2908" s="5" t="s">
        <v>2577</v>
      </c>
      <c r="E2908" s="5" t="str">
        <f>VLOOKUP(F2908,'Set up'!$A$2:$C$70,2,FALSE)</f>
        <v>C00000042</v>
      </c>
      <c r="F2908" s="1" t="s">
        <v>2012</v>
      </c>
      <c r="G2908" s="99" t="s">
        <v>1922</v>
      </c>
      <c r="H2908" s="5">
        <v>10</v>
      </c>
      <c r="I2908" s="5" t="str">
        <f>VLOOKUP(F2908,'Set up'!$A$2:$C$70,3,FALSE)</f>
        <v>Cash</v>
      </c>
      <c r="J2908" s="5">
        <f>VLOOKUP(F2908,'Set up'!$A$2:$D$70,4,FALSE)</f>
        <v>0</v>
      </c>
      <c r="K2908" s="4">
        <f t="shared" si="712"/>
        <v>45441</v>
      </c>
      <c r="L2908" s="5">
        <f t="shared" si="713"/>
        <v>5</v>
      </c>
      <c r="M2908" s="5">
        <f t="shared" si="714"/>
        <v>2024</v>
      </c>
      <c r="N2908" s="12">
        <v>2340</v>
      </c>
      <c r="O2908" s="6">
        <f>-N2908</f>
        <v>-2340</v>
      </c>
      <c r="P2908" s="6">
        <f t="shared" si="717"/>
        <v>0</v>
      </c>
      <c r="Q2908" s="7">
        <f t="shared" si="715"/>
        <v>4700359.8499999996</v>
      </c>
      <c r="R2908" s="44" t="str">
        <f>VLOOKUP(F2908,'Set up'!$A$2:$E$70,5,FALSE)</f>
        <v>Trsf</v>
      </c>
      <c r="S2908" s="1" t="s">
        <v>3169</v>
      </c>
    </row>
    <row r="2909" spans="1:19" ht="15" customHeight="1" x14ac:dyDescent="0.3">
      <c r="A2909" s="4">
        <v>45441</v>
      </c>
      <c r="B2909" s="5">
        <f t="shared" si="710"/>
        <v>5</v>
      </c>
      <c r="C2909" s="5">
        <f t="shared" si="711"/>
        <v>2024</v>
      </c>
      <c r="D2909" s="5" t="s">
        <v>2577</v>
      </c>
      <c r="E2909" s="5" t="str">
        <f>VLOOKUP(F2909,'Set up'!$A$2:$C$70,2,FALSE)</f>
        <v>C00000042</v>
      </c>
      <c r="F2909" s="1" t="s">
        <v>2012</v>
      </c>
      <c r="G2909" s="99" t="s">
        <v>1073</v>
      </c>
      <c r="H2909" s="5">
        <v>2</v>
      </c>
      <c r="I2909" s="5" t="str">
        <f>VLOOKUP(F2909,'Set up'!$A$2:$C$70,3,FALSE)</f>
        <v>Cash</v>
      </c>
      <c r="J2909" s="5">
        <f>VLOOKUP(F2909,'Set up'!$A$2:$D$70,4,FALSE)</f>
        <v>0</v>
      </c>
      <c r="K2909" s="4">
        <f t="shared" si="712"/>
        <v>45441</v>
      </c>
      <c r="L2909" s="5">
        <f t="shared" si="713"/>
        <v>5</v>
      </c>
      <c r="M2909" s="5">
        <f t="shared" si="714"/>
        <v>2024</v>
      </c>
      <c r="N2909" s="12">
        <v>2000</v>
      </c>
      <c r="O2909" s="6">
        <f>-N2909</f>
        <v>-2000</v>
      </c>
      <c r="P2909" s="6">
        <f t="shared" si="717"/>
        <v>0</v>
      </c>
      <c r="Q2909" s="7">
        <f t="shared" si="715"/>
        <v>4702359.8499999996</v>
      </c>
      <c r="R2909" s="44" t="str">
        <f>VLOOKUP(F2909,'Set up'!$A$2:$E$70,5,FALSE)</f>
        <v>Trsf</v>
      </c>
      <c r="S2909" s="1" t="s">
        <v>3170</v>
      </c>
    </row>
    <row r="2910" spans="1:19" ht="15" customHeight="1" x14ac:dyDescent="0.3">
      <c r="A2910" s="4">
        <v>45444</v>
      </c>
      <c r="B2910" s="5">
        <f t="shared" si="710"/>
        <v>6</v>
      </c>
      <c r="C2910" s="5">
        <f t="shared" si="711"/>
        <v>2024</v>
      </c>
      <c r="D2910" s="5" t="s">
        <v>2634</v>
      </c>
      <c r="E2910" s="5" t="str">
        <f>VLOOKUP(F2910,'Set up'!$A$2:$C$70,2,FALSE)</f>
        <v>C00000010</v>
      </c>
      <c r="F2910" s="1" t="s">
        <v>62</v>
      </c>
      <c r="G2910" s="99" t="s">
        <v>1402</v>
      </c>
      <c r="H2910" s="5">
        <v>8</v>
      </c>
      <c r="I2910" s="5">
        <f>VLOOKUP(F2910,'Set up'!$A$2:$C$70,3,FALSE)</f>
        <v>120</v>
      </c>
      <c r="J2910" s="5">
        <f>VLOOKUP(F2910,'Set up'!$A$2:$D$70,4,FALSE)</f>
        <v>120</v>
      </c>
      <c r="K2910" s="4">
        <f t="shared" si="712"/>
        <v>45564</v>
      </c>
      <c r="L2910" s="5">
        <f t="shared" si="713"/>
        <v>9</v>
      </c>
      <c r="M2910" s="5">
        <f t="shared" si="714"/>
        <v>2024</v>
      </c>
      <c r="N2910" s="12">
        <v>13024</v>
      </c>
      <c r="O2910" s="6">
        <f t="shared" ref="O2910:O2916" si="719">-N2910</f>
        <v>-13024</v>
      </c>
      <c r="P2910" s="6">
        <f t="shared" si="717"/>
        <v>0</v>
      </c>
      <c r="Q2910" s="7">
        <f t="shared" si="715"/>
        <v>4715383.8499999996</v>
      </c>
      <c r="R2910" s="44" t="str">
        <f>VLOOKUP(F2910,'Set up'!$A$2:$E$70,5,FALSE)</f>
        <v>Trsf</v>
      </c>
      <c r="S2910" s="1" t="s">
        <v>3147</v>
      </c>
    </row>
    <row r="2911" spans="1:19" ht="15" customHeight="1" x14ac:dyDescent="0.3">
      <c r="A2911" s="4">
        <v>45444</v>
      </c>
      <c r="B2911" s="5">
        <f t="shared" si="710"/>
        <v>6</v>
      </c>
      <c r="C2911" s="5">
        <f t="shared" si="711"/>
        <v>2024</v>
      </c>
      <c r="D2911" s="5" t="s">
        <v>2634</v>
      </c>
      <c r="E2911" s="5" t="str">
        <f>VLOOKUP(F2911,'Set up'!$A$2:$C$70,2,FALSE)</f>
        <v>C00000010</v>
      </c>
      <c r="F2911" s="1" t="s">
        <v>62</v>
      </c>
      <c r="G2911" s="99" t="s">
        <v>1543</v>
      </c>
      <c r="H2911" s="5">
        <v>15</v>
      </c>
      <c r="I2911" s="5">
        <f>VLOOKUP(F2911,'Set up'!$A$2:$C$70,3,FALSE)</f>
        <v>120</v>
      </c>
      <c r="J2911" s="5">
        <f>VLOOKUP(F2911,'Set up'!$A$2:$D$70,4,FALSE)</f>
        <v>120</v>
      </c>
      <c r="K2911" s="4">
        <f t="shared" si="712"/>
        <v>45564</v>
      </c>
      <c r="L2911" s="5">
        <f t="shared" si="713"/>
        <v>9</v>
      </c>
      <c r="M2911" s="5">
        <f t="shared" si="714"/>
        <v>2024</v>
      </c>
      <c r="N2911" s="12">
        <v>2610</v>
      </c>
      <c r="O2911" s="6">
        <f t="shared" si="719"/>
        <v>-2610</v>
      </c>
      <c r="P2911" s="6">
        <f t="shared" si="717"/>
        <v>0</v>
      </c>
      <c r="Q2911" s="7">
        <f t="shared" si="715"/>
        <v>4717993.8499999996</v>
      </c>
      <c r="R2911" s="44" t="str">
        <f>VLOOKUP(F2911,'Set up'!$A$2:$E$70,5,FALSE)</f>
        <v>Trsf</v>
      </c>
      <c r="S2911" s="1" t="s">
        <v>3147</v>
      </c>
    </row>
    <row r="2912" spans="1:19" ht="15" customHeight="1" x14ac:dyDescent="0.3">
      <c r="A2912" s="4">
        <v>45444</v>
      </c>
      <c r="B2912" s="5">
        <f t="shared" si="710"/>
        <v>6</v>
      </c>
      <c r="C2912" s="5">
        <f t="shared" si="711"/>
        <v>2024</v>
      </c>
      <c r="D2912" s="5" t="s">
        <v>2634</v>
      </c>
      <c r="E2912" s="5" t="str">
        <f>VLOOKUP(F2912,'Set up'!$A$2:$C$70,2,FALSE)</f>
        <v>C00000010</v>
      </c>
      <c r="F2912" s="1" t="s">
        <v>62</v>
      </c>
      <c r="G2912" s="99" t="s">
        <v>2635</v>
      </c>
      <c r="H2912" s="5">
        <v>15</v>
      </c>
      <c r="I2912" s="5">
        <f>VLOOKUP(F2912,'Set up'!$A$2:$C$70,3,FALSE)</f>
        <v>120</v>
      </c>
      <c r="J2912" s="5">
        <f>VLOOKUP(F2912,'Set up'!$A$2:$D$70,4,FALSE)</f>
        <v>120</v>
      </c>
      <c r="K2912" s="4">
        <f t="shared" si="712"/>
        <v>45564</v>
      </c>
      <c r="L2912" s="5">
        <f t="shared" si="713"/>
        <v>9</v>
      </c>
      <c r="M2912" s="5">
        <f t="shared" si="714"/>
        <v>2024</v>
      </c>
      <c r="N2912" s="12">
        <v>862.5</v>
      </c>
      <c r="O2912" s="6">
        <f t="shared" si="719"/>
        <v>-862.5</v>
      </c>
      <c r="P2912" s="6">
        <f t="shared" si="717"/>
        <v>0</v>
      </c>
      <c r="Q2912" s="7">
        <f t="shared" si="715"/>
        <v>4718856.3499999996</v>
      </c>
      <c r="R2912" s="44" t="str">
        <f>VLOOKUP(F2912,'Set up'!$A$2:$E$70,5,FALSE)</f>
        <v>Trsf</v>
      </c>
      <c r="S2912" s="1" t="s">
        <v>3147</v>
      </c>
    </row>
    <row r="2913" spans="1:21" ht="15" customHeight="1" x14ac:dyDescent="0.3">
      <c r="A2913" s="4">
        <v>45444</v>
      </c>
      <c r="B2913" s="5">
        <f t="shared" si="710"/>
        <v>6</v>
      </c>
      <c r="C2913" s="5">
        <f t="shared" si="711"/>
        <v>2024</v>
      </c>
      <c r="D2913" s="5" t="s">
        <v>2634</v>
      </c>
      <c r="E2913" s="5" t="str">
        <f>VLOOKUP(F2913,'Set up'!$A$2:$C$70,2,FALSE)</f>
        <v>C00000010</v>
      </c>
      <c r="F2913" s="1" t="s">
        <v>62</v>
      </c>
      <c r="G2913" s="99" t="s">
        <v>46</v>
      </c>
      <c r="H2913" s="5">
        <v>4</v>
      </c>
      <c r="I2913" s="5">
        <f>VLOOKUP(F2913,'Set up'!$A$2:$C$70,3,FALSE)</f>
        <v>120</v>
      </c>
      <c r="J2913" s="5">
        <f>VLOOKUP(F2913,'Set up'!$A$2:$D$70,4,FALSE)</f>
        <v>120</v>
      </c>
      <c r="K2913" s="4">
        <f t="shared" si="712"/>
        <v>45564</v>
      </c>
      <c r="L2913" s="5">
        <f t="shared" si="713"/>
        <v>9</v>
      </c>
      <c r="M2913" s="5">
        <f t="shared" si="714"/>
        <v>2024</v>
      </c>
      <c r="N2913" s="12">
        <v>440</v>
      </c>
      <c r="O2913" s="6">
        <f t="shared" si="719"/>
        <v>-440</v>
      </c>
      <c r="P2913" s="6">
        <f t="shared" si="717"/>
        <v>0</v>
      </c>
      <c r="Q2913" s="7">
        <f t="shared" si="715"/>
        <v>4719296.3499999996</v>
      </c>
      <c r="R2913" s="44" t="str">
        <f>VLOOKUP(F2913,'Set up'!$A$2:$E$70,5,FALSE)</f>
        <v>Trsf</v>
      </c>
      <c r="S2913" s="1" t="s">
        <v>3147</v>
      </c>
    </row>
    <row r="2914" spans="1:21" ht="15" customHeight="1" x14ac:dyDescent="0.3">
      <c r="A2914" s="4">
        <v>45444</v>
      </c>
      <c r="B2914" s="5">
        <f t="shared" si="710"/>
        <v>6</v>
      </c>
      <c r="C2914" s="5">
        <f t="shared" si="711"/>
        <v>2024</v>
      </c>
      <c r="D2914" s="5" t="s">
        <v>2634</v>
      </c>
      <c r="E2914" s="5" t="str">
        <f>VLOOKUP(F2914,'Set up'!$A$2:$C$70,2,FALSE)</f>
        <v>C00000010</v>
      </c>
      <c r="F2914" s="1" t="s">
        <v>62</v>
      </c>
      <c r="G2914" s="99" t="s">
        <v>2449</v>
      </c>
      <c r="H2914" s="5">
        <v>1</v>
      </c>
      <c r="I2914" s="5">
        <f>VLOOKUP(F2914,'Set up'!$A$2:$C$70,3,FALSE)</f>
        <v>120</v>
      </c>
      <c r="J2914" s="5">
        <f>VLOOKUP(F2914,'Set up'!$A$2:$D$70,4,FALSE)</f>
        <v>120</v>
      </c>
      <c r="K2914" s="4">
        <f t="shared" si="712"/>
        <v>45564</v>
      </c>
      <c r="L2914" s="5">
        <f t="shared" si="713"/>
        <v>9</v>
      </c>
      <c r="M2914" s="5">
        <f t="shared" si="714"/>
        <v>2024</v>
      </c>
      <c r="N2914" s="12">
        <v>420</v>
      </c>
      <c r="O2914" s="6">
        <f t="shared" si="719"/>
        <v>-420</v>
      </c>
      <c r="P2914" s="6">
        <f t="shared" si="717"/>
        <v>0</v>
      </c>
      <c r="Q2914" s="7">
        <f t="shared" si="715"/>
        <v>4719716.3499999996</v>
      </c>
      <c r="R2914" s="44" t="str">
        <f>VLOOKUP(F2914,'Set up'!$A$2:$E$70,5,FALSE)</f>
        <v>Trsf</v>
      </c>
      <c r="S2914" s="1" t="s">
        <v>3147</v>
      </c>
    </row>
    <row r="2915" spans="1:21" ht="15" customHeight="1" x14ac:dyDescent="0.3">
      <c r="A2915" s="4">
        <v>45444</v>
      </c>
      <c r="B2915" s="5">
        <f t="shared" si="710"/>
        <v>6</v>
      </c>
      <c r="C2915" s="5">
        <f t="shared" si="711"/>
        <v>2024</v>
      </c>
      <c r="D2915" s="5" t="s">
        <v>2634</v>
      </c>
      <c r="E2915" s="5" t="str">
        <f>VLOOKUP(F2915,'Set up'!$A$2:$C$70,2,FALSE)</f>
        <v>C00000010</v>
      </c>
      <c r="F2915" s="1" t="s">
        <v>62</v>
      </c>
      <c r="G2915" s="99" t="s">
        <v>614</v>
      </c>
      <c r="H2915" s="5">
        <v>1</v>
      </c>
      <c r="I2915" s="5">
        <f>VLOOKUP(F2915,'Set up'!$A$2:$C$70,3,FALSE)</f>
        <v>120</v>
      </c>
      <c r="J2915" s="5">
        <f>VLOOKUP(F2915,'Set up'!$A$2:$D$70,4,FALSE)</f>
        <v>120</v>
      </c>
      <c r="K2915" s="4">
        <f t="shared" si="712"/>
        <v>45564</v>
      </c>
      <c r="L2915" s="5">
        <f t="shared" si="713"/>
        <v>9</v>
      </c>
      <c r="M2915" s="5">
        <f t="shared" si="714"/>
        <v>2024</v>
      </c>
      <c r="N2915" s="12">
        <v>395</v>
      </c>
      <c r="O2915" s="6">
        <f t="shared" si="719"/>
        <v>-395</v>
      </c>
      <c r="P2915" s="6">
        <f t="shared" si="717"/>
        <v>0</v>
      </c>
      <c r="Q2915" s="7">
        <f t="shared" si="715"/>
        <v>4720111.3499999996</v>
      </c>
      <c r="R2915" s="44" t="str">
        <f>VLOOKUP(F2915,'Set up'!$A$2:$E$70,5,FALSE)</f>
        <v>Trsf</v>
      </c>
      <c r="S2915" s="1" t="s">
        <v>3147</v>
      </c>
    </row>
    <row r="2916" spans="1:21" ht="15" customHeight="1" x14ac:dyDescent="0.3">
      <c r="A2916" s="4">
        <v>45444</v>
      </c>
      <c r="B2916" s="5">
        <f t="shared" si="710"/>
        <v>6</v>
      </c>
      <c r="C2916" s="5">
        <f t="shared" si="711"/>
        <v>2024</v>
      </c>
      <c r="D2916" s="5" t="s">
        <v>2634</v>
      </c>
      <c r="E2916" s="5" t="str">
        <f>VLOOKUP(F2916,'Set up'!$A$2:$C$70,2,FALSE)</f>
        <v>C00000010</v>
      </c>
      <c r="F2916" s="1" t="s">
        <v>62</v>
      </c>
      <c r="G2916" s="99" t="s">
        <v>946</v>
      </c>
      <c r="H2916" s="5">
        <v>4</v>
      </c>
      <c r="I2916" s="5">
        <f>VLOOKUP(F2916,'Set up'!$A$2:$C$70,3,FALSE)</f>
        <v>120</v>
      </c>
      <c r="J2916" s="5">
        <f>VLOOKUP(F2916,'Set up'!$A$2:$D$70,4,FALSE)</f>
        <v>120</v>
      </c>
      <c r="K2916" s="4">
        <f t="shared" si="712"/>
        <v>45564</v>
      </c>
      <c r="L2916" s="5">
        <f t="shared" si="713"/>
        <v>9</v>
      </c>
      <c r="M2916" s="5">
        <f t="shared" si="714"/>
        <v>2024</v>
      </c>
      <c r="N2916" s="12">
        <v>230.4</v>
      </c>
      <c r="O2916" s="6">
        <f t="shared" si="719"/>
        <v>-230.4</v>
      </c>
      <c r="P2916" s="6">
        <f t="shared" si="717"/>
        <v>0</v>
      </c>
      <c r="Q2916" s="7">
        <f t="shared" si="715"/>
        <v>4720341.75</v>
      </c>
      <c r="R2916" s="44" t="str">
        <f>VLOOKUP(F2916,'Set up'!$A$2:$E$70,5,FALSE)</f>
        <v>Trsf</v>
      </c>
      <c r="S2916" s="1" t="s">
        <v>3147</v>
      </c>
    </row>
    <row r="2917" spans="1:21" ht="15" customHeight="1" x14ac:dyDescent="0.3">
      <c r="A2917" s="4">
        <v>45444</v>
      </c>
      <c r="B2917" s="5">
        <f t="shared" si="710"/>
        <v>6</v>
      </c>
      <c r="C2917" s="5">
        <f t="shared" si="711"/>
        <v>2024</v>
      </c>
      <c r="D2917" s="5" t="s">
        <v>2636</v>
      </c>
      <c r="E2917" s="5" t="str">
        <f>VLOOKUP(F2917,'Set up'!$A$2:$C$70,2,FALSE)</f>
        <v>C00000021</v>
      </c>
      <c r="F2917" s="1" t="s">
        <v>491</v>
      </c>
      <c r="G2917" s="99" t="s">
        <v>67</v>
      </c>
      <c r="H2917" s="5">
        <v>1</v>
      </c>
      <c r="I2917" s="5" t="str">
        <f>VLOOKUP(F2917,'Set up'!$A$2:$C$70,3,FALSE)</f>
        <v>Cash</v>
      </c>
      <c r="J2917" s="5">
        <f>VLOOKUP(F2917,'Set up'!$A$2:$D$70,4,FALSE)</f>
        <v>0</v>
      </c>
      <c r="K2917" s="4">
        <f t="shared" si="712"/>
        <v>45444</v>
      </c>
      <c r="L2917" s="5">
        <f t="shared" si="713"/>
        <v>6</v>
      </c>
      <c r="M2917" s="5">
        <f t="shared" si="714"/>
        <v>2024</v>
      </c>
      <c r="N2917" s="12">
        <v>1760</v>
      </c>
      <c r="O2917" s="12"/>
      <c r="P2917" s="6">
        <f t="shared" si="717"/>
        <v>1760</v>
      </c>
      <c r="Q2917" s="7">
        <f t="shared" si="715"/>
        <v>4722101.75</v>
      </c>
      <c r="R2917" s="44" t="str">
        <f>VLOOKUP(F2917,'Set up'!$A$2:$E$70,5,FALSE)</f>
        <v>PD Chq</v>
      </c>
    </row>
    <row r="2918" spans="1:21" ht="15" customHeight="1" x14ac:dyDescent="0.3">
      <c r="A2918" s="4">
        <v>45444</v>
      </c>
      <c r="B2918" s="5">
        <f t="shared" si="710"/>
        <v>6</v>
      </c>
      <c r="C2918" s="5">
        <f t="shared" si="711"/>
        <v>2024</v>
      </c>
      <c r="D2918" s="5" t="s">
        <v>2636</v>
      </c>
      <c r="E2918" s="5" t="str">
        <f>VLOOKUP(F2918,'Set up'!$A$2:$C$70,2,FALSE)</f>
        <v>C00000021</v>
      </c>
      <c r="F2918" s="1" t="s">
        <v>491</v>
      </c>
      <c r="G2918" s="99" t="s">
        <v>2129</v>
      </c>
      <c r="H2918" s="5">
        <v>2</v>
      </c>
      <c r="I2918" s="5" t="str">
        <f>VLOOKUP(F2918,'Set up'!$A$2:$C$70,3,FALSE)</f>
        <v>Cash</v>
      </c>
      <c r="J2918" s="5">
        <f>VLOOKUP(F2918,'Set up'!$A$2:$D$70,4,FALSE)</f>
        <v>0</v>
      </c>
      <c r="K2918" s="4">
        <f t="shared" si="712"/>
        <v>45444</v>
      </c>
      <c r="L2918" s="5">
        <f t="shared" si="713"/>
        <v>6</v>
      </c>
      <c r="M2918" s="5">
        <f t="shared" si="714"/>
        <v>2024</v>
      </c>
      <c r="N2918" s="12">
        <v>555</v>
      </c>
      <c r="O2918" s="12"/>
      <c r="P2918" s="6">
        <f t="shared" si="717"/>
        <v>555</v>
      </c>
      <c r="Q2918" s="7">
        <f t="shared" si="715"/>
        <v>4722656.75</v>
      </c>
      <c r="R2918" s="44" t="str">
        <f>VLOOKUP(F2918,'Set up'!$A$2:$E$70,5,FALSE)</f>
        <v>PD Chq</v>
      </c>
    </row>
    <row r="2919" spans="1:21" ht="15" customHeight="1" x14ac:dyDescent="0.3">
      <c r="A2919" s="4">
        <v>45444</v>
      </c>
      <c r="B2919" s="5">
        <f t="shared" si="710"/>
        <v>6</v>
      </c>
      <c r="C2919" s="5">
        <f t="shared" si="711"/>
        <v>2024</v>
      </c>
      <c r="D2919" s="5" t="s">
        <v>2636</v>
      </c>
      <c r="E2919" s="5" t="str">
        <f>VLOOKUP(F2919,'Set up'!$A$2:$C$70,2,FALSE)</f>
        <v>C00000021</v>
      </c>
      <c r="F2919" s="1" t="s">
        <v>491</v>
      </c>
      <c r="G2919" s="99" t="s">
        <v>1061</v>
      </c>
      <c r="H2919" s="5">
        <v>1</v>
      </c>
      <c r="I2919" s="5" t="str">
        <f>VLOOKUP(F2919,'Set up'!$A$2:$C$70,3,FALSE)</f>
        <v>Cash</v>
      </c>
      <c r="J2919" s="5">
        <f>VLOOKUP(F2919,'Set up'!$A$2:$D$70,4,FALSE)</f>
        <v>0</v>
      </c>
      <c r="K2919" s="4">
        <f t="shared" si="712"/>
        <v>45444</v>
      </c>
      <c r="L2919" s="5">
        <f t="shared" si="713"/>
        <v>6</v>
      </c>
      <c r="M2919" s="5">
        <f t="shared" si="714"/>
        <v>2024</v>
      </c>
      <c r="N2919" s="12">
        <v>95</v>
      </c>
      <c r="O2919" s="12"/>
      <c r="P2919" s="6">
        <f t="shared" si="717"/>
        <v>95</v>
      </c>
      <c r="Q2919" s="7">
        <f t="shared" si="715"/>
        <v>4722751.75</v>
      </c>
      <c r="R2919" s="44" t="str">
        <f>VLOOKUP(F2919,'Set up'!$A$2:$E$70,5,FALSE)</f>
        <v>PD Chq</v>
      </c>
    </row>
    <row r="2920" spans="1:21" ht="15" customHeight="1" x14ac:dyDescent="0.3">
      <c r="A2920" s="4">
        <v>45447</v>
      </c>
      <c r="B2920" s="5">
        <f t="shared" si="710"/>
        <v>6</v>
      </c>
      <c r="C2920" s="5">
        <f t="shared" si="711"/>
        <v>2024</v>
      </c>
      <c r="D2920" s="5" t="s">
        <v>2637</v>
      </c>
      <c r="E2920" s="5" t="str">
        <f>VLOOKUP(F2920,'Set up'!$A$2:$C$70,2,FALSE)</f>
        <v>C00000014</v>
      </c>
      <c r="F2920" s="1" t="s">
        <v>262</v>
      </c>
      <c r="G2920" s="99" t="s">
        <v>303</v>
      </c>
      <c r="H2920" s="5">
        <v>1</v>
      </c>
      <c r="I2920" s="5" t="str">
        <f>VLOOKUP(F2920,'Set up'!$A$2:$C$70,3,FALSE)</f>
        <v>Cash</v>
      </c>
      <c r="J2920" s="5">
        <f>VLOOKUP(F2920,'Set up'!$A$2:$D$70,4,FALSE)</f>
        <v>0</v>
      </c>
      <c r="K2920" s="4">
        <f t="shared" si="712"/>
        <v>45447</v>
      </c>
      <c r="L2920" s="5">
        <f t="shared" si="713"/>
        <v>6</v>
      </c>
      <c r="M2920" s="5">
        <f t="shared" si="714"/>
        <v>2024</v>
      </c>
      <c r="N2920" s="12">
        <v>1650</v>
      </c>
      <c r="O2920" s="6">
        <f t="shared" ref="O2920:O2922" si="720">-N2920</f>
        <v>-1650</v>
      </c>
      <c r="P2920" s="6">
        <f t="shared" si="717"/>
        <v>0</v>
      </c>
      <c r="Q2920" s="7">
        <f t="shared" si="715"/>
        <v>4724401.75</v>
      </c>
      <c r="R2920" s="44" t="str">
        <f>VLOOKUP(F2920,'Set up'!$A$2:$E$70,5,FALSE)</f>
        <v>Cash</v>
      </c>
      <c r="S2920" s="1" t="s">
        <v>2672</v>
      </c>
    </row>
    <row r="2921" spans="1:21" ht="15" customHeight="1" x14ac:dyDescent="0.3">
      <c r="A2921" s="4">
        <v>45447</v>
      </c>
      <c r="B2921" s="5">
        <f t="shared" si="710"/>
        <v>6</v>
      </c>
      <c r="C2921" s="5">
        <f t="shared" si="711"/>
        <v>2024</v>
      </c>
      <c r="D2921" s="5" t="s">
        <v>2637</v>
      </c>
      <c r="E2921" s="5" t="str">
        <f>VLOOKUP(F2921,'Set up'!$A$2:$C$70,2,FALSE)</f>
        <v>C00000014</v>
      </c>
      <c r="F2921" s="1" t="s">
        <v>262</v>
      </c>
      <c r="G2921" s="99" t="s">
        <v>2571</v>
      </c>
      <c r="H2921" s="5">
        <v>1</v>
      </c>
      <c r="I2921" s="5" t="str">
        <f>VLOOKUP(F2921,'Set up'!$A$2:$C$70,3,FALSE)</f>
        <v>Cash</v>
      </c>
      <c r="J2921" s="5">
        <f>VLOOKUP(F2921,'Set up'!$A$2:$D$70,4,FALSE)</f>
        <v>0</v>
      </c>
      <c r="K2921" s="4">
        <f t="shared" si="712"/>
        <v>45447</v>
      </c>
      <c r="L2921" s="5">
        <f t="shared" si="713"/>
        <v>6</v>
      </c>
      <c r="M2921" s="5">
        <f t="shared" si="714"/>
        <v>2024</v>
      </c>
      <c r="N2921" s="12">
        <v>280</v>
      </c>
      <c r="O2921" s="6">
        <f t="shared" si="720"/>
        <v>-280</v>
      </c>
      <c r="P2921" s="6">
        <f t="shared" si="717"/>
        <v>0</v>
      </c>
      <c r="Q2921" s="7">
        <f t="shared" si="715"/>
        <v>4724681.75</v>
      </c>
      <c r="R2921" s="44" t="str">
        <f>VLOOKUP(F2921,'Set up'!$A$2:$E$70,5,FALSE)</f>
        <v>Cash</v>
      </c>
      <c r="S2921" s="1" t="s">
        <v>2672</v>
      </c>
    </row>
    <row r="2922" spans="1:21" ht="15" customHeight="1" x14ac:dyDescent="0.3">
      <c r="A2922" s="4">
        <v>45447</v>
      </c>
      <c r="B2922" s="5">
        <f t="shared" si="710"/>
        <v>6</v>
      </c>
      <c r="C2922" s="5">
        <f t="shared" si="711"/>
        <v>2024</v>
      </c>
      <c r="D2922" s="5" t="s">
        <v>2637</v>
      </c>
      <c r="E2922" s="5" t="str">
        <f>VLOOKUP(F2922,'Set up'!$A$2:$C$70,2,FALSE)</f>
        <v>C00000014</v>
      </c>
      <c r="F2922" s="1" t="s">
        <v>262</v>
      </c>
      <c r="G2922" s="99" t="s">
        <v>1886</v>
      </c>
      <c r="H2922" s="5">
        <v>1</v>
      </c>
      <c r="I2922" s="5" t="str">
        <f>VLOOKUP(F2922,'Set up'!$A$2:$C$70,3,FALSE)</f>
        <v>Cash</v>
      </c>
      <c r="J2922" s="5">
        <f>VLOOKUP(F2922,'Set up'!$A$2:$D$70,4,FALSE)</f>
        <v>0</v>
      </c>
      <c r="K2922" s="4">
        <f t="shared" si="712"/>
        <v>45447</v>
      </c>
      <c r="L2922" s="5">
        <f t="shared" si="713"/>
        <v>6</v>
      </c>
      <c r="M2922" s="5">
        <f t="shared" si="714"/>
        <v>2024</v>
      </c>
      <c r="N2922" s="12">
        <v>160</v>
      </c>
      <c r="O2922" s="6">
        <f t="shared" si="720"/>
        <v>-160</v>
      </c>
      <c r="P2922" s="6">
        <f t="shared" si="717"/>
        <v>0</v>
      </c>
      <c r="Q2922" s="7">
        <f t="shared" si="715"/>
        <v>4724841.75</v>
      </c>
      <c r="R2922" s="44" t="str">
        <f>VLOOKUP(F2922,'Set up'!$A$2:$E$70,5,FALSE)</f>
        <v>Cash</v>
      </c>
      <c r="S2922" s="1" t="s">
        <v>2672</v>
      </c>
    </row>
    <row r="2923" spans="1:21" ht="15" customHeight="1" x14ac:dyDescent="0.3">
      <c r="A2923" s="4">
        <v>45447</v>
      </c>
      <c r="B2923" s="5">
        <f t="shared" si="710"/>
        <v>6</v>
      </c>
      <c r="C2923" s="5">
        <f t="shared" si="711"/>
        <v>2024</v>
      </c>
      <c r="D2923" s="5" t="s">
        <v>2638</v>
      </c>
      <c r="E2923" s="5" t="str">
        <f>VLOOKUP(F2923,'Set up'!$A$2:$C$70,2,FALSE)</f>
        <v>C00000003</v>
      </c>
      <c r="F2923" s="1" t="s">
        <v>20</v>
      </c>
      <c r="G2923" s="99" t="s">
        <v>67</v>
      </c>
      <c r="H2923" s="5">
        <v>1</v>
      </c>
      <c r="I2923" s="5">
        <f>VLOOKUP(F2923,'Set up'!$A$2:$C$70,3,FALSE)</f>
        <v>45</v>
      </c>
      <c r="J2923" s="5">
        <f>VLOOKUP(F2923,'Set up'!$A$2:$D$70,4,FALSE)</f>
        <v>45</v>
      </c>
      <c r="K2923" s="4">
        <f t="shared" si="712"/>
        <v>45492</v>
      </c>
      <c r="L2923" s="5">
        <f t="shared" si="713"/>
        <v>7</v>
      </c>
      <c r="M2923" s="5">
        <f t="shared" si="714"/>
        <v>2024</v>
      </c>
      <c r="N2923" s="12">
        <v>1738</v>
      </c>
      <c r="O2923" s="12">
        <f>-1000-738</f>
        <v>-1738</v>
      </c>
      <c r="P2923" s="6">
        <f t="shared" si="717"/>
        <v>0</v>
      </c>
      <c r="Q2923" s="7">
        <f t="shared" si="715"/>
        <v>4726579.75</v>
      </c>
      <c r="R2923" s="44" t="str">
        <f>VLOOKUP(F2923,'Set up'!$A$2:$E$70,5,FALSE)</f>
        <v>PD Chq</v>
      </c>
      <c r="S2923" s="1" t="s">
        <v>2831</v>
      </c>
      <c r="U2923" s="1" t="s">
        <v>3603</v>
      </c>
    </row>
    <row r="2924" spans="1:21" ht="15" customHeight="1" x14ac:dyDescent="0.3">
      <c r="A2924" s="4">
        <v>45447</v>
      </c>
      <c r="B2924" s="5">
        <f t="shared" si="710"/>
        <v>6</v>
      </c>
      <c r="C2924" s="5">
        <f t="shared" si="711"/>
        <v>2024</v>
      </c>
      <c r="D2924" s="5" t="s">
        <v>2638</v>
      </c>
      <c r="E2924" s="5" t="str">
        <f>VLOOKUP(F2924,'Set up'!$A$2:$C$70,2,FALSE)</f>
        <v>C00000003</v>
      </c>
      <c r="F2924" s="1" t="s">
        <v>20</v>
      </c>
      <c r="G2924" s="99" t="s">
        <v>17</v>
      </c>
      <c r="H2924" s="5">
        <v>2</v>
      </c>
      <c r="I2924" s="5">
        <f>VLOOKUP(F2924,'Set up'!$A$2:$C$70,3,FALSE)</f>
        <v>45</v>
      </c>
      <c r="J2924" s="5">
        <f>VLOOKUP(F2924,'Set up'!$A$2:$D$70,4,FALSE)</f>
        <v>45</v>
      </c>
      <c r="K2924" s="4">
        <f t="shared" si="712"/>
        <v>45492</v>
      </c>
      <c r="L2924" s="5">
        <f t="shared" si="713"/>
        <v>7</v>
      </c>
      <c r="M2924" s="5">
        <f t="shared" si="714"/>
        <v>2024</v>
      </c>
      <c r="N2924" s="12">
        <v>220</v>
      </c>
      <c r="O2924" s="6">
        <f>-N2924</f>
        <v>-220</v>
      </c>
      <c r="P2924" s="6">
        <f t="shared" si="717"/>
        <v>0</v>
      </c>
      <c r="Q2924" s="7">
        <f t="shared" si="715"/>
        <v>4726799.75</v>
      </c>
      <c r="R2924" s="44" t="str">
        <f>VLOOKUP(F2924,'Set up'!$A$2:$E$70,5,FALSE)</f>
        <v>PD Chq</v>
      </c>
      <c r="S2924" s="1" t="s">
        <v>2832</v>
      </c>
      <c r="U2924" s="1" t="s">
        <v>3603</v>
      </c>
    </row>
    <row r="2925" spans="1:21" ht="15" customHeight="1" x14ac:dyDescent="0.3">
      <c r="A2925" s="4">
        <v>45448</v>
      </c>
      <c r="B2925" s="5">
        <f t="shared" si="710"/>
        <v>6</v>
      </c>
      <c r="C2925" s="5">
        <f t="shared" si="711"/>
        <v>2024</v>
      </c>
      <c r="D2925" s="5" t="s">
        <v>2639</v>
      </c>
      <c r="E2925" s="5" t="str">
        <f>VLOOKUP(F2925,'Set up'!$A$2:$C$70,2,FALSE)</f>
        <v>C00000046</v>
      </c>
      <c r="F2925" s="1" t="s">
        <v>2284</v>
      </c>
      <c r="G2925" s="99" t="s">
        <v>2098</v>
      </c>
      <c r="H2925" s="5">
        <v>1</v>
      </c>
      <c r="I2925" s="5" t="str">
        <f>VLOOKUP(F2925,'Set up'!$A$2:$C$70,3,FALSE)</f>
        <v>Cash</v>
      </c>
      <c r="J2925" s="5">
        <f>VLOOKUP(F2925,'Set up'!$A$2:$D$70,4,FALSE)</f>
        <v>0</v>
      </c>
      <c r="K2925" s="4">
        <f t="shared" si="712"/>
        <v>45448</v>
      </c>
      <c r="L2925" s="5">
        <f t="shared" si="713"/>
        <v>6</v>
      </c>
      <c r="M2925" s="5">
        <f t="shared" si="714"/>
        <v>2024</v>
      </c>
      <c r="N2925" s="12">
        <v>283.8</v>
      </c>
      <c r="O2925" s="6">
        <f t="shared" ref="O2925" si="721">-N2925</f>
        <v>-283.8</v>
      </c>
      <c r="P2925" s="6">
        <f t="shared" si="717"/>
        <v>0</v>
      </c>
      <c r="Q2925" s="7">
        <f t="shared" si="715"/>
        <v>4727083.55</v>
      </c>
      <c r="R2925" s="44" t="str">
        <f>VLOOKUP(F2925,'Set up'!$A$2:$E$70,5,FALSE)</f>
        <v>Cash</v>
      </c>
      <c r="S2925" s="1" t="s">
        <v>2673</v>
      </c>
    </row>
    <row r="2926" spans="1:21" ht="15" customHeight="1" x14ac:dyDescent="0.3">
      <c r="A2926" s="4">
        <v>45449</v>
      </c>
      <c r="B2926" s="5">
        <f t="shared" si="710"/>
        <v>6</v>
      </c>
      <c r="C2926" s="5">
        <f t="shared" si="711"/>
        <v>2024</v>
      </c>
      <c r="D2926" s="5" t="s">
        <v>2640</v>
      </c>
      <c r="E2926" s="5" t="str">
        <f>VLOOKUP(F2926,'Set up'!$A$2:$C$70,2,FALSE)</f>
        <v>C00000042</v>
      </c>
      <c r="F2926" s="1" t="s">
        <v>2012</v>
      </c>
      <c r="G2926" s="99" t="s">
        <v>1110</v>
      </c>
      <c r="H2926" s="5">
        <v>10</v>
      </c>
      <c r="I2926" s="5" t="str">
        <f>VLOOKUP(F2926,'Set up'!$A$2:$C$70,3,FALSE)</f>
        <v>Cash</v>
      </c>
      <c r="J2926" s="5">
        <f>VLOOKUP(F2926,'Set up'!$A$2:$D$70,4,FALSE)</f>
        <v>0</v>
      </c>
      <c r="K2926" s="4">
        <f t="shared" si="712"/>
        <v>45449</v>
      </c>
      <c r="L2926" s="5">
        <f t="shared" si="713"/>
        <v>6</v>
      </c>
      <c r="M2926" s="5">
        <f t="shared" si="714"/>
        <v>2024</v>
      </c>
      <c r="N2926" s="12">
        <v>625</v>
      </c>
      <c r="O2926" s="6">
        <f>-N2926</f>
        <v>-625</v>
      </c>
      <c r="P2926" s="6">
        <f t="shared" si="717"/>
        <v>0</v>
      </c>
      <c r="Q2926" s="7">
        <f t="shared" si="715"/>
        <v>4727708.55</v>
      </c>
      <c r="R2926" s="44" t="str">
        <f>VLOOKUP(F2926,'Set up'!$A$2:$E$70,5,FALSE)</f>
        <v>Trsf</v>
      </c>
      <c r="S2926" s="1" t="s">
        <v>3171</v>
      </c>
    </row>
    <row r="2927" spans="1:21" ht="15" customHeight="1" x14ac:dyDescent="0.3">
      <c r="A2927" s="4">
        <v>45449</v>
      </c>
      <c r="B2927" s="5">
        <f t="shared" si="710"/>
        <v>6</v>
      </c>
      <c r="C2927" s="5">
        <f t="shared" si="711"/>
        <v>2024</v>
      </c>
      <c r="D2927" s="5" t="s">
        <v>2641</v>
      </c>
      <c r="E2927" s="5" t="str">
        <f>VLOOKUP(F2927,'Set up'!$A$2:$C$70,2,FALSE)</f>
        <v>C00000042</v>
      </c>
      <c r="F2927" s="1" t="s">
        <v>2012</v>
      </c>
      <c r="G2927" s="99" t="s">
        <v>2552</v>
      </c>
      <c r="H2927" s="5">
        <v>10</v>
      </c>
      <c r="I2927" s="5" t="str">
        <f>VLOOKUP(F2927,'Set up'!$A$2:$C$70,3,FALSE)</f>
        <v>Cash</v>
      </c>
      <c r="J2927" s="5">
        <f>VLOOKUP(F2927,'Set up'!$A$2:$D$70,4,FALSE)</f>
        <v>0</v>
      </c>
      <c r="K2927" s="4">
        <f t="shared" si="712"/>
        <v>45449</v>
      </c>
      <c r="L2927" s="5">
        <f t="shared" si="713"/>
        <v>6</v>
      </c>
      <c r="M2927" s="5">
        <f t="shared" si="714"/>
        <v>2024</v>
      </c>
      <c r="N2927" s="12">
        <v>16280</v>
      </c>
      <c r="O2927" s="6">
        <f>-N2927</f>
        <v>-16280</v>
      </c>
      <c r="P2927" s="6">
        <f t="shared" si="717"/>
        <v>0</v>
      </c>
      <c r="Q2927" s="7">
        <f t="shared" si="715"/>
        <v>4743988.55</v>
      </c>
      <c r="R2927" s="44" t="str">
        <f>VLOOKUP(F2927,'Set up'!$A$2:$E$70,5,FALSE)</f>
        <v>Trsf</v>
      </c>
      <c r="S2927" s="1" t="s">
        <v>3172</v>
      </c>
    </row>
    <row r="2928" spans="1:21" ht="15" customHeight="1" x14ac:dyDescent="0.3">
      <c r="A2928" s="4">
        <v>45449</v>
      </c>
      <c r="B2928" s="5">
        <f t="shared" si="710"/>
        <v>6</v>
      </c>
      <c r="C2928" s="5">
        <f t="shared" si="711"/>
        <v>2024</v>
      </c>
      <c r="D2928" s="5" t="s">
        <v>2641</v>
      </c>
      <c r="E2928" s="5" t="str">
        <f>VLOOKUP(F2928,'Set up'!$A$2:$C$70,2,FALSE)</f>
        <v>C00000042</v>
      </c>
      <c r="F2928" s="1" t="s">
        <v>2012</v>
      </c>
      <c r="G2928" s="99" t="s">
        <v>2578</v>
      </c>
      <c r="H2928" s="5">
        <v>30</v>
      </c>
      <c r="I2928" s="5" t="str">
        <f>VLOOKUP(F2928,'Set up'!$A$2:$C$70,3,FALSE)</f>
        <v>Cash</v>
      </c>
      <c r="J2928" s="5">
        <f>VLOOKUP(F2928,'Set up'!$A$2:$D$70,4,FALSE)</f>
        <v>0</v>
      </c>
      <c r="K2928" s="4">
        <f t="shared" si="712"/>
        <v>45449</v>
      </c>
      <c r="L2928" s="5">
        <f t="shared" si="713"/>
        <v>6</v>
      </c>
      <c r="M2928" s="5">
        <f t="shared" si="714"/>
        <v>2024</v>
      </c>
      <c r="N2928" s="12">
        <v>5220</v>
      </c>
      <c r="O2928" s="12">
        <f>-1597.6-3622.4</f>
        <v>-5220</v>
      </c>
      <c r="P2928" s="6">
        <f t="shared" si="717"/>
        <v>0</v>
      </c>
      <c r="Q2928" s="7">
        <f t="shared" si="715"/>
        <v>4749208.55</v>
      </c>
      <c r="R2928" s="44" t="str">
        <f>VLOOKUP(F2928,'Set up'!$A$2:$E$70,5,FALSE)</f>
        <v>Trsf</v>
      </c>
      <c r="S2928" s="1" t="s">
        <v>3173</v>
      </c>
    </row>
    <row r="2929" spans="1:19" ht="15" customHeight="1" x14ac:dyDescent="0.3">
      <c r="A2929" s="4">
        <v>45449</v>
      </c>
      <c r="B2929" s="5">
        <f t="shared" si="710"/>
        <v>6</v>
      </c>
      <c r="C2929" s="5">
        <f t="shared" si="711"/>
        <v>2024</v>
      </c>
      <c r="D2929" s="5" t="s">
        <v>2641</v>
      </c>
      <c r="E2929" s="5" t="str">
        <f>VLOOKUP(F2929,'Set up'!$A$2:$C$70,2,FALSE)</f>
        <v>C00000042</v>
      </c>
      <c r="F2929" s="1" t="s">
        <v>2012</v>
      </c>
      <c r="G2929" s="99" t="s">
        <v>1922</v>
      </c>
      <c r="H2929" s="5">
        <v>15</v>
      </c>
      <c r="I2929" s="5" t="str">
        <f>VLOOKUP(F2929,'Set up'!$A$2:$C$70,3,FALSE)</f>
        <v>Cash</v>
      </c>
      <c r="J2929" s="5">
        <f>VLOOKUP(F2929,'Set up'!$A$2:$D$70,4,FALSE)</f>
        <v>0</v>
      </c>
      <c r="K2929" s="4">
        <f t="shared" si="712"/>
        <v>45449</v>
      </c>
      <c r="L2929" s="5">
        <f t="shared" si="713"/>
        <v>6</v>
      </c>
      <c r="M2929" s="5">
        <f t="shared" si="714"/>
        <v>2024</v>
      </c>
      <c r="N2929" s="12">
        <v>3510</v>
      </c>
      <c r="O2929" s="6">
        <f>-N2929</f>
        <v>-3510</v>
      </c>
      <c r="P2929" s="6">
        <f t="shared" si="717"/>
        <v>0</v>
      </c>
      <c r="Q2929" s="7">
        <f t="shared" si="715"/>
        <v>4752718.55</v>
      </c>
      <c r="R2929" s="44" t="str">
        <f>VLOOKUP(F2929,'Set up'!$A$2:$E$70,5,FALSE)</f>
        <v>Trsf</v>
      </c>
      <c r="S2929" s="1" t="s">
        <v>3174</v>
      </c>
    </row>
    <row r="2930" spans="1:19" ht="15" customHeight="1" x14ac:dyDescent="0.3">
      <c r="A2930" s="4">
        <v>45449</v>
      </c>
      <c r="B2930" s="5">
        <f t="shared" si="710"/>
        <v>6</v>
      </c>
      <c r="C2930" s="5">
        <f t="shared" si="711"/>
        <v>2024</v>
      </c>
      <c r="D2930" s="5" t="s">
        <v>2641</v>
      </c>
      <c r="E2930" s="5" t="str">
        <f>VLOOKUP(F2930,'Set up'!$A$2:$C$70,2,FALSE)</f>
        <v>C00000042</v>
      </c>
      <c r="F2930" s="1" t="s">
        <v>2012</v>
      </c>
      <c r="G2930" s="99" t="s">
        <v>1061</v>
      </c>
      <c r="H2930" s="5">
        <v>6</v>
      </c>
      <c r="I2930" s="5" t="str">
        <f>VLOOKUP(F2930,'Set up'!$A$2:$C$70,3,FALSE)</f>
        <v>Cash</v>
      </c>
      <c r="J2930" s="5">
        <f>VLOOKUP(F2930,'Set up'!$A$2:$D$70,4,FALSE)</f>
        <v>0</v>
      </c>
      <c r="K2930" s="4">
        <f t="shared" si="712"/>
        <v>45449</v>
      </c>
      <c r="L2930" s="5">
        <f t="shared" si="713"/>
        <v>6</v>
      </c>
      <c r="M2930" s="5">
        <f t="shared" si="714"/>
        <v>2024</v>
      </c>
      <c r="N2930" s="12">
        <v>570</v>
      </c>
      <c r="O2930" s="6">
        <f>-N2930</f>
        <v>-570</v>
      </c>
      <c r="P2930" s="6">
        <f t="shared" si="717"/>
        <v>0</v>
      </c>
      <c r="Q2930" s="7">
        <f t="shared" si="715"/>
        <v>4753288.55</v>
      </c>
      <c r="R2930" s="44" t="str">
        <f>VLOOKUP(F2930,'Set up'!$A$2:$E$70,5,FALSE)</f>
        <v>Trsf</v>
      </c>
      <c r="S2930" s="1" t="s">
        <v>3175</v>
      </c>
    </row>
    <row r="2931" spans="1:19" ht="15" customHeight="1" x14ac:dyDescent="0.3">
      <c r="A2931" s="4">
        <v>45449</v>
      </c>
      <c r="B2931" s="5">
        <f t="shared" si="710"/>
        <v>6</v>
      </c>
      <c r="C2931" s="5">
        <f t="shared" si="711"/>
        <v>2024</v>
      </c>
      <c r="D2931" s="5" t="s">
        <v>2641</v>
      </c>
      <c r="E2931" s="5" t="str">
        <f>VLOOKUP(F2931,'Set up'!$A$2:$C$70,2,FALSE)</f>
        <v>C00000042</v>
      </c>
      <c r="F2931" s="1" t="s">
        <v>2012</v>
      </c>
      <c r="G2931" s="99" t="s">
        <v>17</v>
      </c>
      <c r="H2931" s="5">
        <v>2</v>
      </c>
      <c r="I2931" s="5" t="str">
        <f>VLOOKUP(F2931,'Set up'!$A$2:$C$70,3,FALSE)</f>
        <v>Cash</v>
      </c>
      <c r="J2931" s="5">
        <f>VLOOKUP(F2931,'Set up'!$A$2:$D$70,4,FALSE)</f>
        <v>0</v>
      </c>
      <c r="K2931" s="4">
        <f t="shared" si="712"/>
        <v>45449</v>
      </c>
      <c r="L2931" s="5">
        <f t="shared" si="713"/>
        <v>6</v>
      </c>
      <c r="M2931" s="5">
        <f t="shared" si="714"/>
        <v>2024</v>
      </c>
      <c r="N2931" s="12">
        <v>220</v>
      </c>
      <c r="O2931" s="6">
        <f>-N2931</f>
        <v>-220</v>
      </c>
      <c r="P2931" s="6">
        <f t="shared" si="717"/>
        <v>0</v>
      </c>
      <c r="Q2931" s="7">
        <f t="shared" si="715"/>
        <v>4753508.55</v>
      </c>
      <c r="R2931" s="44" t="str">
        <f>VLOOKUP(F2931,'Set up'!$A$2:$E$70,5,FALSE)</f>
        <v>Trsf</v>
      </c>
      <c r="S2931" s="1" t="s">
        <v>3176</v>
      </c>
    </row>
    <row r="2932" spans="1:19" ht="15" customHeight="1" x14ac:dyDescent="0.3">
      <c r="A2932" s="4">
        <v>45450</v>
      </c>
      <c r="B2932" s="5">
        <f t="shared" si="710"/>
        <v>6</v>
      </c>
      <c r="C2932" s="5">
        <f t="shared" si="711"/>
        <v>2024</v>
      </c>
      <c r="D2932" s="5" t="s">
        <v>2642</v>
      </c>
      <c r="E2932" s="5" t="str">
        <f>VLOOKUP(F2932,'Set up'!$A$2:$C$70,2,FALSE)</f>
        <v>C00000019</v>
      </c>
      <c r="F2932" s="1" t="s">
        <v>400</v>
      </c>
      <c r="G2932" s="99" t="s">
        <v>95</v>
      </c>
      <c r="H2932" s="5">
        <v>1</v>
      </c>
      <c r="I2932" s="5" t="str">
        <f>VLOOKUP(F2932,'Set up'!$A$2:$C$70,3,FALSE)</f>
        <v>Cash</v>
      </c>
      <c r="J2932" s="5">
        <f>VLOOKUP(F2932,'Set up'!$A$2:$D$70,4,FALSE)</f>
        <v>0</v>
      </c>
      <c r="K2932" s="4">
        <f t="shared" si="712"/>
        <v>45450</v>
      </c>
      <c r="L2932" s="5">
        <f t="shared" si="713"/>
        <v>6</v>
      </c>
      <c r="M2932" s="5">
        <f t="shared" si="714"/>
        <v>2024</v>
      </c>
      <c r="N2932" s="12">
        <v>1760</v>
      </c>
      <c r="O2932" s="12"/>
      <c r="P2932" s="6">
        <f t="shared" si="717"/>
        <v>1760</v>
      </c>
      <c r="Q2932" s="7">
        <f t="shared" si="715"/>
        <v>4755268.55</v>
      </c>
      <c r="R2932" s="44" t="str">
        <f>VLOOKUP(F2932,'Set up'!$A$2:$E$70,5,FALSE)</f>
        <v>Trsf</v>
      </c>
    </row>
    <row r="2933" spans="1:19" ht="15" customHeight="1" x14ac:dyDescent="0.3">
      <c r="A2933" s="4">
        <v>45450</v>
      </c>
      <c r="B2933" s="5">
        <f t="shared" si="710"/>
        <v>6</v>
      </c>
      <c r="C2933" s="5">
        <f t="shared" si="711"/>
        <v>2024</v>
      </c>
      <c r="D2933" s="5" t="s">
        <v>2642</v>
      </c>
      <c r="E2933" s="5" t="str">
        <f>VLOOKUP(F2933,'Set up'!$A$2:$C$70,2,FALSE)</f>
        <v>C00000019</v>
      </c>
      <c r="F2933" s="1" t="s">
        <v>400</v>
      </c>
      <c r="G2933" s="99" t="s">
        <v>2635</v>
      </c>
      <c r="H2933" s="5">
        <v>2</v>
      </c>
      <c r="I2933" s="5" t="str">
        <f>VLOOKUP(F2933,'Set up'!$A$2:$C$70,3,FALSE)</f>
        <v>Cash</v>
      </c>
      <c r="J2933" s="5">
        <f>VLOOKUP(F2933,'Set up'!$A$2:$D$70,4,FALSE)</f>
        <v>0</v>
      </c>
      <c r="K2933" s="4">
        <f t="shared" si="712"/>
        <v>45450</v>
      </c>
      <c r="L2933" s="5">
        <f t="shared" si="713"/>
        <v>6</v>
      </c>
      <c r="M2933" s="5">
        <f t="shared" si="714"/>
        <v>2024</v>
      </c>
      <c r="N2933" s="12">
        <v>125</v>
      </c>
      <c r="O2933" s="12"/>
      <c r="P2933" s="6">
        <f t="shared" si="717"/>
        <v>125</v>
      </c>
      <c r="Q2933" s="7">
        <f t="shared" si="715"/>
        <v>4755393.55</v>
      </c>
      <c r="R2933" s="44" t="str">
        <f>VLOOKUP(F2933,'Set up'!$A$2:$E$70,5,FALSE)</f>
        <v>Trsf</v>
      </c>
    </row>
    <row r="2934" spans="1:19" ht="15" customHeight="1" x14ac:dyDescent="0.3">
      <c r="A2934" s="4">
        <v>45450</v>
      </c>
      <c r="B2934" s="5">
        <f t="shared" si="710"/>
        <v>6</v>
      </c>
      <c r="C2934" s="5">
        <f t="shared" si="711"/>
        <v>2024</v>
      </c>
      <c r="D2934" s="5" t="s">
        <v>2642</v>
      </c>
      <c r="E2934" s="5" t="str">
        <f>VLOOKUP(F2934,'Set up'!$A$2:$C$70,2,FALSE)</f>
        <v>C00000019</v>
      </c>
      <c r="F2934" s="1" t="s">
        <v>400</v>
      </c>
      <c r="G2934" s="99" t="s">
        <v>17</v>
      </c>
      <c r="H2934" s="5">
        <v>1</v>
      </c>
      <c r="I2934" s="5" t="str">
        <f>VLOOKUP(F2934,'Set up'!$A$2:$C$70,3,FALSE)</f>
        <v>Cash</v>
      </c>
      <c r="J2934" s="5">
        <f>VLOOKUP(F2934,'Set up'!$A$2:$D$70,4,FALSE)</f>
        <v>0</v>
      </c>
      <c r="K2934" s="4">
        <f t="shared" si="712"/>
        <v>45450</v>
      </c>
      <c r="L2934" s="5">
        <f t="shared" si="713"/>
        <v>6</v>
      </c>
      <c r="M2934" s="5">
        <f t="shared" si="714"/>
        <v>2024</v>
      </c>
      <c r="N2934" s="12">
        <v>110</v>
      </c>
      <c r="O2934" s="12"/>
      <c r="P2934" s="6">
        <f t="shared" si="717"/>
        <v>110</v>
      </c>
      <c r="Q2934" s="7">
        <f t="shared" si="715"/>
        <v>4755503.55</v>
      </c>
      <c r="R2934" s="44" t="str">
        <f>VLOOKUP(F2934,'Set up'!$A$2:$E$70,5,FALSE)</f>
        <v>Trsf</v>
      </c>
    </row>
    <row r="2935" spans="1:19" ht="15" customHeight="1" x14ac:dyDescent="0.3">
      <c r="A2935" s="4">
        <v>45450</v>
      </c>
      <c r="B2935" s="5">
        <f t="shared" si="710"/>
        <v>6</v>
      </c>
      <c r="C2935" s="5">
        <f t="shared" si="711"/>
        <v>2024</v>
      </c>
      <c r="D2935" s="5" t="s">
        <v>2642</v>
      </c>
      <c r="E2935" s="5" t="str">
        <f>VLOOKUP(F2935,'Set up'!$A$2:$C$70,2,FALSE)</f>
        <v>C00000019</v>
      </c>
      <c r="F2935" s="1" t="s">
        <v>400</v>
      </c>
      <c r="G2935" s="99" t="s">
        <v>1469</v>
      </c>
      <c r="H2935" s="5">
        <v>1</v>
      </c>
      <c r="I2935" s="5" t="str">
        <f>VLOOKUP(F2935,'Set up'!$A$2:$C$70,3,FALSE)</f>
        <v>Cash</v>
      </c>
      <c r="J2935" s="5">
        <f>VLOOKUP(F2935,'Set up'!$A$2:$D$70,4,FALSE)</f>
        <v>0</v>
      </c>
      <c r="K2935" s="4">
        <f t="shared" si="712"/>
        <v>45450</v>
      </c>
      <c r="L2935" s="5">
        <f t="shared" si="713"/>
        <v>6</v>
      </c>
      <c r="M2935" s="5">
        <f t="shared" si="714"/>
        <v>2024</v>
      </c>
      <c r="N2935" s="12">
        <v>395</v>
      </c>
      <c r="O2935" s="12"/>
      <c r="P2935" s="6">
        <f t="shared" si="717"/>
        <v>395</v>
      </c>
      <c r="Q2935" s="7">
        <f t="shared" si="715"/>
        <v>4755898.55</v>
      </c>
      <c r="R2935" s="44" t="str">
        <f>VLOOKUP(F2935,'Set up'!$A$2:$E$70,5,FALSE)</f>
        <v>Trsf</v>
      </c>
    </row>
    <row r="2936" spans="1:19" ht="15" customHeight="1" x14ac:dyDescent="0.3">
      <c r="A2936" s="4">
        <v>45451</v>
      </c>
      <c r="B2936" s="5">
        <f t="shared" si="710"/>
        <v>6</v>
      </c>
      <c r="C2936" s="5">
        <f t="shared" si="711"/>
        <v>2024</v>
      </c>
      <c r="D2936" s="5" t="s">
        <v>2643</v>
      </c>
      <c r="E2936" s="5" t="str">
        <f>VLOOKUP(F2936,'Set up'!$A$2:$C$70,2,FALSE)</f>
        <v>C00000037</v>
      </c>
      <c r="F2936" s="1" t="s">
        <v>1309</v>
      </c>
      <c r="G2936" s="99" t="s">
        <v>2555</v>
      </c>
      <c r="H2936" s="5">
        <v>3</v>
      </c>
      <c r="I2936" s="5">
        <f>VLOOKUP(F2936,'Set up'!$A$2:$C$70,3,FALSE)</f>
        <v>30</v>
      </c>
      <c r="J2936" s="5">
        <f>VLOOKUP(F2936,'Set up'!$A$2:$D$70,4,FALSE)</f>
        <v>30</v>
      </c>
      <c r="K2936" s="4">
        <f t="shared" si="712"/>
        <v>45481</v>
      </c>
      <c r="L2936" s="5">
        <f t="shared" si="713"/>
        <v>7</v>
      </c>
      <c r="M2936" s="5">
        <f t="shared" si="714"/>
        <v>2024</v>
      </c>
      <c r="N2936" s="12">
        <v>5280</v>
      </c>
      <c r="O2936" s="6">
        <f t="shared" ref="O2936:O2939" si="722">-N2936</f>
        <v>-5280</v>
      </c>
      <c r="P2936" s="6">
        <f t="shared" si="717"/>
        <v>0</v>
      </c>
      <c r="Q2936" s="7">
        <f t="shared" si="715"/>
        <v>4761178.55</v>
      </c>
      <c r="R2936" s="44" t="str">
        <f>VLOOKUP(F2936,'Set up'!$A$2:$E$70,5,FALSE)</f>
        <v>Chq</v>
      </c>
      <c r="S2936" s="1" t="s">
        <v>3049</v>
      </c>
    </row>
    <row r="2937" spans="1:19" ht="15" customHeight="1" x14ac:dyDescent="0.3">
      <c r="A2937" s="4">
        <v>45451</v>
      </c>
      <c r="B2937" s="5">
        <f t="shared" si="710"/>
        <v>6</v>
      </c>
      <c r="C2937" s="5">
        <f t="shared" si="711"/>
        <v>2024</v>
      </c>
      <c r="D2937" s="5" t="s">
        <v>2643</v>
      </c>
      <c r="E2937" s="5" t="str">
        <f>VLOOKUP(F2937,'Set up'!$A$2:$C$70,2,FALSE)</f>
        <v>C00000037</v>
      </c>
      <c r="F2937" s="1" t="s">
        <v>1309</v>
      </c>
      <c r="G2937" s="99" t="s">
        <v>707</v>
      </c>
      <c r="H2937" s="5">
        <v>3</v>
      </c>
      <c r="I2937" s="5">
        <f>VLOOKUP(F2937,'Set up'!$A$2:$C$70,3,FALSE)</f>
        <v>30</v>
      </c>
      <c r="J2937" s="5">
        <f>VLOOKUP(F2937,'Set up'!$A$2:$D$70,4,FALSE)</f>
        <v>30</v>
      </c>
      <c r="K2937" s="4">
        <f t="shared" si="712"/>
        <v>45481</v>
      </c>
      <c r="L2937" s="5">
        <f t="shared" si="713"/>
        <v>7</v>
      </c>
      <c r="M2937" s="5">
        <f t="shared" si="714"/>
        <v>2024</v>
      </c>
      <c r="N2937" s="12">
        <v>1263.5999999999999</v>
      </c>
      <c r="O2937" s="6">
        <f t="shared" si="722"/>
        <v>-1263.5999999999999</v>
      </c>
      <c r="P2937" s="6">
        <f t="shared" si="717"/>
        <v>0</v>
      </c>
      <c r="Q2937" s="7">
        <f t="shared" si="715"/>
        <v>4762442.1499999994</v>
      </c>
      <c r="R2937" s="44" t="str">
        <f>VLOOKUP(F2937,'Set up'!$A$2:$E$70,5,FALSE)</f>
        <v>Chq</v>
      </c>
      <c r="S2937" s="1" t="s">
        <v>3049</v>
      </c>
    </row>
    <row r="2938" spans="1:19" ht="15" customHeight="1" x14ac:dyDescent="0.3">
      <c r="A2938" s="4">
        <v>45451</v>
      </c>
      <c r="B2938" s="5">
        <f t="shared" si="710"/>
        <v>6</v>
      </c>
      <c r="C2938" s="5">
        <f t="shared" si="711"/>
        <v>2024</v>
      </c>
      <c r="D2938" s="5" t="s">
        <v>2643</v>
      </c>
      <c r="E2938" s="5" t="str">
        <f>VLOOKUP(F2938,'Set up'!$A$2:$C$70,2,FALSE)</f>
        <v>C00000037</v>
      </c>
      <c r="F2938" s="1" t="s">
        <v>1309</v>
      </c>
      <c r="G2938" s="99" t="s">
        <v>1405</v>
      </c>
      <c r="H2938" s="5">
        <v>3</v>
      </c>
      <c r="I2938" s="5">
        <f>VLOOKUP(F2938,'Set up'!$A$2:$C$70,3,FALSE)</f>
        <v>30</v>
      </c>
      <c r="J2938" s="5">
        <f>VLOOKUP(F2938,'Set up'!$A$2:$D$70,4,FALSE)</f>
        <v>30</v>
      </c>
      <c r="K2938" s="4">
        <f t="shared" si="712"/>
        <v>45481</v>
      </c>
      <c r="L2938" s="5">
        <f t="shared" si="713"/>
        <v>7</v>
      </c>
      <c r="M2938" s="5">
        <f t="shared" si="714"/>
        <v>2024</v>
      </c>
      <c r="N2938" s="12">
        <v>144</v>
      </c>
      <c r="O2938" s="6">
        <f t="shared" si="722"/>
        <v>-144</v>
      </c>
      <c r="P2938" s="6">
        <f t="shared" si="717"/>
        <v>0</v>
      </c>
      <c r="Q2938" s="7">
        <f t="shared" si="715"/>
        <v>4762586.1499999994</v>
      </c>
      <c r="R2938" s="44" t="str">
        <f>VLOOKUP(F2938,'Set up'!$A$2:$E$70,5,FALSE)</f>
        <v>Chq</v>
      </c>
      <c r="S2938" s="1" t="s">
        <v>3049</v>
      </c>
    </row>
    <row r="2939" spans="1:19" ht="15" customHeight="1" x14ac:dyDescent="0.3">
      <c r="A2939" s="4">
        <v>45451</v>
      </c>
      <c r="B2939" s="5">
        <f t="shared" si="710"/>
        <v>6</v>
      </c>
      <c r="C2939" s="5">
        <f t="shared" si="711"/>
        <v>2024</v>
      </c>
      <c r="D2939" s="5" t="s">
        <v>2643</v>
      </c>
      <c r="E2939" s="5" t="str">
        <f>VLOOKUP(F2939,'Set up'!$A$2:$C$70,2,FALSE)</f>
        <v>C00000037</v>
      </c>
      <c r="F2939" s="1" t="s">
        <v>1309</v>
      </c>
      <c r="G2939" s="99" t="s">
        <v>2144</v>
      </c>
      <c r="H2939" s="5">
        <v>2</v>
      </c>
      <c r="I2939" s="5">
        <f>VLOOKUP(F2939,'Set up'!$A$2:$C$70,3,FALSE)</f>
        <v>30</v>
      </c>
      <c r="J2939" s="5">
        <f>VLOOKUP(F2939,'Set up'!$A$2:$D$70,4,FALSE)</f>
        <v>30</v>
      </c>
      <c r="K2939" s="4">
        <f t="shared" si="712"/>
        <v>45481</v>
      </c>
      <c r="L2939" s="5">
        <f t="shared" si="713"/>
        <v>7</v>
      </c>
      <c r="M2939" s="5">
        <f t="shared" si="714"/>
        <v>2024</v>
      </c>
      <c r="N2939" s="12">
        <v>572</v>
      </c>
      <c r="O2939" s="6">
        <f t="shared" si="722"/>
        <v>-572</v>
      </c>
      <c r="P2939" s="6">
        <f t="shared" si="717"/>
        <v>0</v>
      </c>
      <c r="Q2939" s="7">
        <f t="shared" si="715"/>
        <v>4763158.1499999994</v>
      </c>
      <c r="R2939" s="44" t="str">
        <f>VLOOKUP(F2939,'Set up'!$A$2:$E$70,5,FALSE)</f>
        <v>Chq</v>
      </c>
      <c r="S2939" s="1" t="s">
        <v>3049</v>
      </c>
    </row>
    <row r="2940" spans="1:19" ht="15" customHeight="1" x14ac:dyDescent="0.3">
      <c r="A2940" s="4">
        <v>45455</v>
      </c>
      <c r="B2940" s="5">
        <f t="shared" si="710"/>
        <v>6</v>
      </c>
      <c r="C2940" s="5">
        <f t="shared" si="711"/>
        <v>2024</v>
      </c>
      <c r="D2940" s="5" t="s">
        <v>2644</v>
      </c>
      <c r="E2940" s="5" t="str">
        <f>VLOOKUP(F2940,'Set up'!$A$2:$C$70,2,FALSE)</f>
        <v>C00000027</v>
      </c>
      <c r="F2940" s="1" t="s">
        <v>859</v>
      </c>
      <c r="G2940" s="99" t="s">
        <v>95</v>
      </c>
      <c r="H2940" s="5">
        <v>3</v>
      </c>
      <c r="I2940" s="5" t="str">
        <f>VLOOKUP(F2940,'Set up'!$A$2:$C$70,3,FALSE)</f>
        <v>Cash</v>
      </c>
      <c r="J2940" s="5">
        <f>VLOOKUP(F2940,'Set up'!$A$2:$D$70,4,FALSE)</f>
        <v>0</v>
      </c>
      <c r="K2940" s="4">
        <f t="shared" si="712"/>
        <v>45455</v>
      </c>
      <c r="L2940" s="5">
        <f t="shared" si="713"/>
        <v>6</v>
      </c>
      <c r="M2940" s="5">
        <f t="shared" si="714"/>
        <v>2024</v>
      </c>
      <c r="N2940" s="12">
        <v>5280</v>
      </c>
      <c r="O2940" s="12">
        <f>-2654.3-2625.7</f>
        <v>-5280</v>
      </c>
      <c r="P2940" s="6">
        <f t="shared" si="717"/>
        <v>0</v>
      </c>
      <c r="Q2940" s="7">
        <f t="shared" si="715"/>
        <v>4768438.1499999994</v>
      </c>
      <c r="R2940" s="44" t="str">
        <f>VLOOKUP(F2940,'Set up'!$A$2:$E$70,5,FALSE)</f>
        <v>Trsf</v>
      </c>
      <c r="S2940" s="1" t="s">
        <v>2980</v>
      </c>
    </row>
    <row r="2941" spans="1:19" ht="15" customHeight="1" x14ac:dyDescent="0.3">
      <c r="A2941" s="4">
        <v>45455</v>
      </c>
      <c r="B2941" s="5">
        <f t="shared" si="710"/>
        <v>6</v>
      </c>
      <c r="C2941" s="5">
        <f t="shared" si="711"/>
        <v>2024</v>
      </c>
      <c r="D2941" s="5" t="s">
        <v>2644</v>
      </c>
      <c r="E2941" s="5" t="str">
        <f>VLOOKUP(F2941,'Set up'!$A$2:$C$70,2,FALSE)</f>
        <v>C00000027</v>
      </c>
      <c r="F2941" s="1" t="s">
        <v>859</v>
      </c>
      <c r="G2941" s="99" t="s">
        <v>2144</v>
      </c>
      <c r="H2941" s="5">
        <v>2</v>
      </c>
      <c r="I2941" s="5" t="str">
        <f>VLOOKUP(F2941,'Set up'!$A$2:$C$70,3,FALSE)</f>
        <v>Cash</v>
      </c>
      <c r="J2941" s="5">
        <f>VLOOKUP(F2941,'Set up'!$A$2:$D$70,4,FALSE)</f>
        <v>0</v>
      </c>
      <c r="K2941" s="4">
        <f t="shared" si="712"/>
        <v>45455</v>
      </c>
      <c r="L2941" s="5">
        <f t="shared" si="713"/>
        <v>6</v>
      </c>
      <c r="M2941" s="5">
        <f t="shared" si="714"/>
        <v>2024</v>
      </c>
      <c r="N2941" s="12">
        <v>563.20000000000005</v>
      </c>
      <c r="O2941" s="6">
        <f t="shared" ref="O2941:O2946" si="723">-N2941</f>
        <v>-563.20000000000005</v>
      </c>
      <c r="P2941" s="6">
        <f t="shared" si="717"/>
        <v>0</v>
      </c>
      <c r="Q2941" s="7">
        <f t="shared" si="715"/>
        <v>4769001.3499999996</v>
      </c>
      <c r="R2941" s="44" t="str">
        <f>VLOOKUP(F2941,'Set up'!$A$2:$E$70,5,FALSE)</f>
        <v>Trsf</v>
      </c>
      <c r="S2941" s="1" t="s">
        <v>2981</v>
      </c>
    </row>
    <row r="2942" spans="1:19" ht="15" customHeight="1" x14ac:dyDescent="0.3">
      <c r="A2942" s="4">
        <v>45455</v>
      </c>
      <c r="B2942" s="5">
        <f t="shared" si="710"/>
        <v>6</v>
      </c>
      <c r="C2942" s="5">
        <f t="shared" si="711"/>
        <v>2024</v>
      </c>
      <c r="D2942" s="5" t="s">
        <v>2644</v>
      </c>
      <c r="E2942" s="5" t="str">
        <f>VLOOKUP(F2942,'Set up'!$A$2:$C$70,2,FALSE)</f>
        <v>C00000027</v>
      </c>
      <c r="F2942" s="1" t="s">
        <v>859</v>
      </c>
      <c r="G2942" s="99" t="s">
        <v>1399</v>
      </c>
      <c r="H2942" s="5">
        <v>1</v>
      </c>
      <c r="I2942" s="5" t="str">
        <f>VLOOKUP(F2942,'Set up'!$A$2:$C$70,3,FALSE)</f>
        <v>Cash</v>
      </c>
      <c r="J2942" s="5">
        <f>VLOOKUP(F2942,'Set up'!$A$2:$D$70,4,FALSE)</f>
        <v>0</v>
      </c>
      <c r="K2942" s="4">
        <f t="shared" si="712"/>
        <v>45455</v>
      </c>
      <c r="L2942" s="5">
        <f t="shared" si="713"/>
        <v>6</v>
      </c>
      <c r="M2942" s="5">
        <f t="shared" si="714"/>
        <v>2024</v>
      </c>
      <c r="N2942" s="12">
        <v>160</v>
      </c>
      <c r="O2942" s="6">
        <f t="shared" si="723"/>
        <v>-160</v>
      </c>
      <c r="P2942" s="6">
        <f t="shared" si="717"/>
        <v>0</v>
      </c>
      <c r="Q2942" s="7">
        <f t="shared" si="715"/>
        <v>4769161.3499999996</v>
      </c>
      <c r="R2942" s="44" t="str">
        <f>VLOOKUP(F2942,'Set up'!$A$2:$E$70,5,FALSE)</f>
        <v>Trsf</v>
      </c>
      <c r="S2942" s="1" t="s">
        <v>2982</v>
      </c>
    </row>
    <row r="2943" spans="1:19" ht="15" customHeight="1" x14ac:dyDescent="0.3">
      <c r="A2943" s="4">
        <v>45455</v>
      </c>
      <c r="B2943" s="5">
        <f t="shared" si="710"/>
        <v>6</v>
      </c>
      <c r="C2943" s="5">
        <f t="shared" si="711"/>
        <v>2024</v>
      </c>
      <c r="D2943" s="5" t="s">
        <v>2644</v>
      </c>
      <c r="E2943" s="5" t="str">
        <f>VLOOKUP(F2943,'Set up'!$A$2:$C$70,2,FALSE)</f>
        <v>C00000027</v>
      </c>
      <c r="F2943" s="1" t="s">
        <v>859</v>
      </c>
      <c r="G2943" s="99" t="s">
        <v>2137</v>
      </c>
      <c r="H2943" s="5">
        <v>1</v>
      </c>
      <c r="I2943" s="5" t="str">
        <f>VLOOKUP(F2943,'Set up'!$A$2:$C$70,3,FALSE)</f>
        <v>Cash</v>
      </c>
      <c r="J2943" s="5">
        <f>VLOOKUP(F2943,'Set up'!$A$2:$D$70,4,FALSE)</f>
        <v>0</v>
      </c>
      <c r="K2943" s="4">
        <f t="shared" si="712"/>
        <v>45455</v>
      </c>
      <c r="L2943" s="5">
        <f t="shared" si="713"/>
        <v>6</v>
      </c>
      <c r="M2943" s="5">
        <f t="shared" si="714"/>
        <v>2024</v>
      </c>
      <c r="N2943" s="12">
        <v>170</v>
      </c>
      <c r="O2943" s="6">
        <f t="shared" si="723"/>
        <v>-170</v>
      </c>
      <c r="P2943" s="6">
        <f t="shared" si="717"/>
        <v>0</v>
      </c>
      <c r="Q2943" s="7">
        <f t="shared" si="715"/>
        <v>4769331.3499999996</v>
      </c>
      <c r="R2943" s="44" t="str">
        <f>VLOOKUP(F2943,'Set up'!$A$2:$E$70,5,FALSE)</f>
        <v>Trsf</v>
      </c>
      <c r="S2943" s="1" t="s">
        <v>2983</v>
      </c>
    </row>
    <row r="2944" spans="1:19" ht="15" customHeight="1" x14ac:dyDescent="0.3">
      <c r="A2944" s="4">
        <v>45455</v>
      </c>
      <c r="B2944" s="5">
        <f t="shared" si="710"/>
        <v>6</v>
      </c>
      <c r="C2944" s="5">
        <f t="shared" si="711"/>
        <v>2024</v>
      </c>
      <c r="D2944" s="5" t="s">
        <v>2644</v>
      </c>
      <c r="E2944" s="5" t="str">
        <f>VLOOKUP(F2944,'Set up'!$A$2:$C$70,2,FALSE)</f>
        <v>C00000027</v>
      </c>
      <c r="F2944" s="1" t="s">
        <v>859</v>
      </c>
      <c r="G2944" s="99" t="s">
        <v>1061</v>
      </c>
      <c r="H2944" s="5">
        <v>2</v>
      </c>
      <c r="I2944" s="5" t="str">
        <f>VLOOKUP(F2944,'Set up'!$A$2:$C$70,3,FALSE)</f>
        <v>Cash</v>
      </c>
      <c r="J2944" s="5">
        <f>VLOOKUP(F2944,'Set up'!$A$2:$D$70,4,FALSE)</f>
        <v>0</v>
      </c>
      <c r="K2944" s="4">
        <f t="shared" si="712"/>
        <v>45455</v>
      </c>
      <c r="L2944" s="5">
        <f t="shared" si="713"/>
        <v>6</v>
      </c>
      <c r="M2944" s="5">
        <f t="shared" si="714"/>
        <v>2024</v>
      </c>
      <c r="N2944" s="12">
        <v>190</v>
      </c>
      <c r="O2944" s="6">
        <f t="shared" si="723"/>
        <v>-190</v>
      </c>
      <c r="P2944" s="6">
        <f t="shared" si="717"/>
        <v>0</v>
      </c>
      <c r="Q2944" s="7">
        <f t="shared" si="715"/>
        <v>4769521.3499999996</v>
      </c>
      <c r="R2944" s="44" t="str">
        <f>VLOOKUP(F2944,'Set up'!$A$2:$E$70,5,FALSE)</f>
        <v>Trsf</v>
      </c>
      <c r="S2944" s="1" t="s">
        <v>2984</v>
      </c>
    </row>
    <row r="2945" spans="1:19" ht="15" customHeight="1" x14ac:dyDescent="0.3">
      <c r="A2945" s="4">
        <v>45455</v>
      </c>
      <c r="B2945" s="5">
        <f t="shared" si="710"/>
        <v>6</v>
      </c>
      <c r="C2945" s="5">
        <f t="shared" si="711"/>
        <v>2024</v>
      </c>
      <c r="D2945" s="5" t="s">
        <v>2644</v>
      </c>
      <c r="E2945" s="5" t="str">
        <f>VLOOKUP(F2945,'Set up'!$A$2:$C$70,2,FALSE)</f>
        <v>C00000027</v>
      </c>
      <c r="F2945" s="1" t="s">
        <v>859</v>
      </c>
      <c r="G2945" s="99" t="s">
        <v>949</v>
      </c>
      <c r="H2945" s="5">
        <v>6</v>
      </c>
      <c r="I2945" s="5" t="str">
        <f>VLOOKUP(F2945,'Set up'!$A$2:$C$70,3,FALSE)</f>
        <v>Cash</v>
      </c>
      <c r="J2945" s="5">
        <f>VLOOKUP(F2945,'Set up'!$A$2:$D$70,4,FALSE)</f>
        <v>0</v>
      </c>
      <c r="K2945" s="4">
        <f t="shared" si="712"/>
        <v>45455</v>
      </c>
      <c r="L2945" s="5">
        <f t="shared" si="713"/>
        <v>6</v>
      </c>
      <c r="M2945" s="5">
        <f t="shared" si="714"/>
        <v>2024</v>
      </c>
      <c r="N2945" s="12">
        <v>360</v>
      </c>
      <c r="O2945" s="6">
        <f t="shared" si="723"/>
        <v>-360</v>
      </c>
      <c r="P2945" s="6">
        <f t="shared" si="717"/>
        <v>0</v>
      </c>
      <c r="Q2945" s="7">
        <f t="shared" si="715"/>
        <v>4769881.3499999996</v>
      </c>
      <c r="R2945" s="44" t="str">
        <f>VLOOKUP(F2945,'Set up'!$A$2:$E$70,5,FALSE)</f>
        <v>Trsf</v>
      </c>
      <c r="S2945" s="1" t="s">
        <v>2985</v>
      </c>
    </row>
    <row r="2946" spans="1:19" ht="15" customHeight="1" x14ac:dyDescent="0.3">
      <c r="A2946" s="4">
        <v>45455</v>
      </c>
      <c r="B2946" s="5">
        <f t="shared" si="710"/>
        <v>6</v>
      </c>
      <c r="C2946" s="5">
        <f t="shared" si="711"/>
        <v>2024</v>
      </c>
      <c r="D2946" s="5" t="s">
        <v>2644</v>
      </c>
      <c r="E2946" s="5" t="str">
        <f>VLOOKUP(F2946,'Set up'!$A$2:$C$70,2,FALSE)</f>
        <v>C00000027</v>
      </c>
      <c r="F2946" s="1" t="s">
        <v>859</v>
      </c>
      <c r="G2946" s="99" t="s">
        <v>2449</v>
      </c>
      <c r="H2946" s="5">
        <v>1</v>
      </c>
      <c r="I2946" s="5" t="str">
        <f>VLOOKUP(F2946,'Set up'!$A$2:$C$70,3,FALSE)</f>
        <v>Cash</v>
      </c>
      <c r="J2946" s="5">
        <f>VLOOKUP(F2946,'Set up'!$A$2:$D$70,4,FALSE)</f>
        <v>0</v>
      </c>
      <c r="K2946" s="4">
        <f t="shared" si="712"/>
        <v>45455</v>
      </c>
      <c r="L2946" s="5">
        <f t="shared" si="713"/>
        <v>6</v>
      </c>
      <c r="M2946" s="5">
        <f t="shared" si="714"/>
        <v>2024</v>
      </c>
      <c r="N2946" s="12">
        <v>420</v>
      </c>
      <c r="O2946" s="6">
        <f t="shared" si="723"/>
        <v>-420</v>
      </c>
      <c r="P2946" s="6">
        <f t="shared" si="717"/>
        <v>0</v>
      </c>
      <c r="Q2946" s="7">
        <f t="shared" si="715"/>
        <v>4770301.3499999996</v>
      </c>
      <c r="R2946" s="44" t="str">
        <f>VLOOKUP(F2946,'Set up'!$A$2:$E$70,5,FALSE)</f>
        <v>Trsf</v>
      </c>
      <c r="S2946" s="1" t="s">
        <v>2986</v>
      </c>
    </row>
    <row r="2947" spans="1:19" ht="15" customHeight="1" x14ac:dyDescent="0.3">
      <c r="A2947" s="4">
        <v>45455</v>
      </c>
      <c r="B2947" s="5">
        <f t="shared" ref="B2947:B3010" si="724">MONTH(A2947)</f>
        <v>6</v>
      </c>
      <c r="C2947" s="5">
        <f t="shared" ref="C2947:C3010" si="725">YEAR(A2947)</f>
        <v>2024</v>
      </c>
      <c r="D2947" s="5" t="s">
        <v>2645</v>
      </c>
      <c r="E2947" s="5" t="str">
        <f>VLOOKUP(F2947,'Set up'!$A$2:$C$70,2,FALSE)</f>
        <v>C00000042</v>
      </c>
      <c r="F2947" s="1" t="s">
        <v>2012</v>
      </c>
      <c r="G2947" s="99" t="s">
        <v>2646</v>
      </c>
      <c r="H2947" s="5">
        <v>2</v>
      </c>
      <c r="I2947" s="5" t="str">
        <f>VLOOKUP(F2947,'Set up'!$A$2:$C$70,3,FALSE)</f>
        <v>Cash</v>
      </c>
      <c r="J2947" s="5">
        <f>VLOOKUP(F2947,'Set up'!$A$2:$D$70,4,FALSE)</f>
        <v>0</v>
      </c>
      <c r="K2947" s="4">
        <f t="shared" ref="K2947:K3010" si="726">A2947+J2947</f>
        <v>45455</v>
      </c>
      <c r="L2947" s="5">
        <f t="shared" ref="L2947:L3010" si="727">MONTH(K2947)</f>
        <v>6</v>
      </c>
      <c r="M2947" s="5">
        <f t="shared" ref="M2947:M3010" si="728">YEAR(K2947)</f>
        <v>2024</v>
      </c>
      <c r="N2947" s="12">
        <v>125</v>
      </c>
      <c r="O2947" s="6">
        <f t="shared" ref="O2947:O2957" si="729">-N2947</f>
        <v>-125</v>
      </c>
      <c r="P2947" s="6">
        <f t="shared" si="717"/>
        <v>0</v>
      </c>
      <c r="Q2947" s="7">
        <f t="shared" ref="Q2947:Q3010" si="730">SUM(Q2946+N2947)</f>
        <v>4770426.3499999996</v>
      </c>
      <c r="R2947" s="44" t="str">
        <f>VLOOKUP(F2947,'Set up'!$A$2:$E$70,5,FALSE)</f>
        <v>Trsf</v>
      </c>
      <c r="S2947" s="1" t="s">
        <v>3179</v>
      </c>
    </row>
    <row r="2948" spans="1:19" ht="15" customHeight="1" x14ac:dyDescent="0.3">
      <c r="A2948" s="4">
        <v>45455</v>
      </c>
      <c r="B2948" s="5">
        <f t="shared" si="724"/>
        <v>6</v>
      </c>
      <c r="C2948" s="5">
        <f t="shared" si="725"/>
        <v>2024</v>
      </c>
      <c r="D2948" s="5" t="s">
        <v>2647</v>
      </c>
      <c r="E2948" s="5" t="str">
        <f>VLOOKUP(F2948,'Set up'!$A$2:$C$70,2,FALSE)</f>
        <v>C00000042</v>
      </c>
      <c r="F2948" s="1" t="s">
        <v>2012</v>
      </c>
      <c r="G2948" s="99" t="s">
        <v>2552</v>
      </c>
      <c r="H2948" s="5">
        <v>2</v>
      </c>
      <c r="I2948" s="5" t="str">
        <f>VLOOKUP(F2948,'Set up'!$A$2:$C$70,3,FALSE)</f>
        <v>Cash</v>
      </c>
      <c r="J2948" s="5">
        <f>VLOOKUP(F2948,'Set up'!$A$2:$D$70,4,FALSE)</f>
        <v>0</v>
      </c>
      <c r="K2948" s="4">
        <f t="shared" si="726"/>
        <v>45455</v>
      </c>
      <c r="L2948" s="5">
        <f t="shared" si="727"/>
        <v>6</v>
      </c>
      <c r="M2948" s="5">
        <f t="shared" si="728"/>
        <v>2024</v>
      </c>
      <c r="N2948" s="12">
        <v>3256</v>
      </c>
      <c r="O2948" s="6">
        <f t="shared" si="729"/>
        <v>-3256</v>
      </c>
      <c r="P2948" s="6">
        <f t="shared" si="717"/>
        <v>0</v>
      </c>
      <c r="Q2948" s="7">
        <f t="shared" si="730"/>
        <v>4773682.3499999996</v>
      </c>
      <c r="R2948" s="44" t="str">
        <f>VLOOKUP(F2948,'Set up'!$A$2:$E$70,5,FALSE)</f>
        <v>Trsf</v>
      </c>
      <c r="S2948" s="1" t="s">
        <v>3180</v>
      </c>
    </row>
    <row r="2949" spans="1:19" ht="15" customHeight="1" x14ac:dyDescent="0.3">
      <c r="A2949" s="4">
        <v>45455</v>
      </c>
      <c r="B2949" s="5">
        <f t="shared" si="724"/>
        <v>6</v>
      </c>
      <c r="C2949" s="5">
        <f t="shared" si="725"/>
        <v>2024</v>
      </c>
      <c r="D2949" s="5" t="s">
        <v>2647</v>
      </c>
      <c r="E2949" s="5" t="str">
        <f>VLOOKUP(F2949,'Set up'!$A$2:$C$70,2,FALSE)</f>
        <v>C00000042</v>
      </c>
      <c r="F2949" s="1" t="s">
        <v>2012</v>
      </c>
      <c r="G2949" s="99" t="s">
        <v>2578</v>
      </c>
      <c r="H2949" s="5">
        <v>7</v>
      </c>
      <c r="I2949" s="5" t="str">
        <f>VLOOKUP(F2949,'Set up'!$A$2:$C$70,3,FALSE)</f>
        <v>Cash</v>
      </c>
      <c r="J2949" s="5">
        <f>VLOOKUP(F2949,'Set up'!$A$2:$D$70,4,FALSE)</f>
        <v>0</v>
      </c>
      <c r="K2949" s="4">
        <f t="shared" si="726"/>
        <v>45455</v>
      </c>
      <c r="L2949" s="5">
        <f t="shared" si="727"/>
        <v>6</v>
      </c>
      <c r="M2949" s="5">
        <f t="shared" si="728"/>
        <v>2024</v>
      </c>
      <c r="N2949" s="12">
        <v>1218</v>
      </c>
      <c r="O2949" s="6">
        <f t="shared" si="729"/>
        <v>-1218</v>
      </c>
      <c r="P2949" s="6">
        <f t="shared" si="717"/>
        <v>0</v>
      </c>
      <c r="Q2949" s="7">
        <f t="shared" si="730"/>
        <v>4774900.3499999996</v>
      </c>
      <c r="R2949" s="44" t="str">
        <f>VLOOKUP(F2949,'Set up'!$A$2:$E$70,5,FALSE)</f>
        <v>Trsf</v>
      </c>
      <c r="S2949" s="1" t="s">
        <v>3181</v>
      </c>
    </row>
    <row r="2950" spans="1:19" ht="15" customHeight="1" x14ac:dyDescent="0.3">
      <c r="A2950" s="4">
        <v>45455</v>
      </c>
      <c r="B2950" s="5">
        <f t="shared" si="724"/>
        <v>6</v>
      </c>
      <c r="C2950" s="5">
        <f t="shared" si="725"/>
        <v>2024</v>
      </c>
      <c r="D2950" s="5" t="s">
        <v>2647</v>
      </c>
      <c r="E2950" s="5" t="str">
        <f>VLOOKUP(F2950,'Set up'!$A$2:$C$70,2,FALSE)</f>
        <v>C00000042</v>
      </c>
      <c r="F2950" s="1" t="s">
        <v>2012</v>
      </c>
      <c r="G2950" s="99" t="s">
        <v>1922</v>
      </c>
      <c r="H2950" s="5">
        <v>3</v>
      </c>
      <c r="I2950" s="5" t="str">
        <f>VLOOKUP(F2950,'Set up'!$A$2:$C$70,3,FALSE)</f>
        <v>Cash</v>
      </c>
      <c r="J2950" s="5">
        <f>VLOOKUP(F2950,'Set up'!$A$2:$D$70,4,FALSE)</f>
        <v>0</v>
      </c>
      <c r="K2950" s="4">
        <f t="shared" si="726"/>
        <v>45455</v>
      </c>
      <c r="L2950" s="5">
        <f t="shared" si="727"/>
        <v>6</v>
      </c>
      <c r="M2950" s="5">
        <f t="shared" si="728"/>
        <v>2024</v>
      </c>
      <c r="N2950" s="12">
        <v>702</v>
      </c>
      <c r="O2950" s="6">
        <f t="shared" si="729"/>
        <v>-702</v>
      </c>
      <c r="P2950" s="6">
        <f t="shared" si="717"/>
        <v>0</v>
      </c>
      <c r="Q2950" s="7">
        <f t="shared" si="730"/>
        <v>4775602.3499999996</v>
      </c>
      <c r="R2950" s="44" t="str">
        <f>VLOOKUP(F2950,'Set up'!$A$2:$E$70,5,FALSE)</f>
        <v>Trsf</v>
      </c>
      <c r="S2950" s="1" t="s">
        <v>3178</v>
      </c>
    </row>
    <row r="2951" spans="1:19" ht="15" customHeight="1" x14ac:dyDescent="0.3">
      <c r="A2951" s="4">
        <v>45455</v>
      </c>
      <c r="B2951" s="5">
        <f t="shared" si="724"/>
        <v>6</v>
      </c>
      <c r="C2951" s="5">
        <f t="shared" si="725"/>
        <v>2024</v>
      </c>
      <c r="D2951" s="5" t="s">
        <v>2647</v>
      </c>
      <c r="E2951" s="5" t="str">
        <f>VLOOKUP(F2951,'Set up'!$A$2:$C$70,2,FALSE)</f>
        <v>C00000042</v>
      </c>
      <c r="F2951" s="1" t="s">
        <v>2012</v>
      </c>
      <c r="G2951" s="99" t="s">
        <v>1073</v>
      </c>
      <c r="H2951" s="5">
        <v>1</v>
      </c>
      <c r="I2951" s="5" t="str">
        <f>VLOOKUP(F2951,'Set up'!$A$2:$C$70,3,FALSE)</f>
        <v>Cash</v>
      </c>
      <c r="J2951" s="5">
        <f>VLOOKUP(F2951,'Set up'!$A$2:$D$70,4,FALSE)</f>
        <v>0</v>
      </c>
      <c r="K2951" s="4">
        <f t="shared" si="726"/>
        <v>45455</v>
      </c>
      <c r="L2951" s="5">
        <f t="shared" si="727"/>
        <v>6</v>
      </c>
      <c r="M2951" s="5">
        <f t="shared" si="728"/>
        <v>2024</v>
      </c>
      <c r="N2951" s="12">
        <v>1000</v>
      </c>
      <c r="O2951" s="6">
        <f t="shared" si="729"/>
        <v>-1000</v>
      </c>
      <c r="P2951" s="6">
        <f t="shared" si="717"/>
        <v>0</v>
      </c>
      <c r="Q2951" s="7">
        <f t="shared" si="730"/>
        <v>4776602.3499999996</v>
      </c>
      <c r="R2951" s="44" t="str">
        <f>VLOOKUP(F2951,'Set up'!$A$2:$E$70,5,FALSE)</f>
        <v>Trsf</v>
      </c>
      <c r="S2951" s="1" t="s">
        <v>3182</v>
      </c>
    </row>
    <row r="2952" spans="1:19" ht="15" customHeight="1" x14ac:dyDescent="0.3">
      <c r="A2952" s="4">
        <v>45457</v>
      </c>
      <c r="B2952" s="5">
        <f t="shared" si="724"/>
        <v>6</v>
      </c>
      <c r="C2952" s="5">
        <f t="shared" si="725"/>
        <v>2024</v>
      </c>
      <c r="D2952" s="5" t="s">
        <v>2648</v>
      </c>
      <c r="E2952" s="5" t="str">
        <f>VLOOKUP(F2952,'Set up'!$A$2:$C$70,2,FALSE)</f>
        <v>C00000042</v>
      </c>
      <c r="F2952" s="1" t="s">
        <v>2012</v>
      </c>
      <c r="G2952" s="99" t="s">
        <v>2646</v>
      </c>
      <c r="H2952" s="5">
        <v>15</v>
      </c>
      <c r="I2952" s="5" t="str">
        <f>VLOOKUP(F2952,'Set up'!$A$2:$C$70,3,FALSE)</f>
        <v>Cash</v>
      </c>
      <c r="J2952" s="5">
        <f>VLOOKUP(F2952,'Set up'!$A$2:$D$70,4,FALSE)</f>
        <v>0</v>
      </c>
      <c r="K2952" s="4">
        <f t="shared" si="726"/>
        <v>45457</v>
      </c>
      <c r="L2952" s="5">
        <f t="shared" si="727"/>
        <v>6</v>
      </c>
      <c r="M2952" s="5">
        <f t="shared" si="728"/>
        <v>2024</v>
      </c>
      <c r="N2952" s="12">
        <v>937.5</v>
      </c>
      <c r="O2952" s="6">
        <f t="shared" si="729"/>
        <v>-937.5</v>
      </c>
      <c r="P2952" s="6">
        <f t="shared" si="717"/>
        <v>0</v>
      </c>
      <c r="Q2952" s="7">
        <f t="shared" si="730"/>
        <v>4777539.8499999996</v>
      </c>
      <c r="R2952" s="44" t="str">
        <f>VLOOKUP(F2952,'Set up'!$A$2:$E$70,5,FALSE)</f>
        <v>Trsf</v>
      </c>
      <c r="S2952" s="1" t="s">
        <v>3177</v>
      </c>
    </row>
    <row r="2953" spans="1:19" ht="15" customHeight="1" x14ac:dyDescent="0.3">
      <c r="A2953" s="4">
        <v>45457</v>
      </c>
      <c r="B2953" s="5">
        <f t="shared" si="724"/>
        <v>6</v>
      </c>
      <c r="C2953" s="5">
        <f t="shared" si="725"/>
        <v>2024</v>
      </c>
      <c r="D2953" s="5" t="s">
        <v>2649</v>
      </c>
      <c r="E2953" s="5" t="str">
        <f>VLOOKUP(F2953,'Set up'!$A$2:$C$70,2,FALSE)</f>
        <v>C00000042</v>
      </c>
      <c r="F2953" s="1" t="s">
        <v>2012</v>
      </c>
      <c r="G2953" s="99" t="s">
        <v>2552</v>
      </c>
      <c r="H2953" s="5">
        <v>15</v>
      </c>
      <c r="I2953" s="5" t="str">
        <f>VLOOKUP(F2953,'Set up'!$A$2:$C$70,3,FALSE)</f>
        <v>Cash</v>
      </c>
      <c r="J2953" s="5">
        <f>VLOOKUP(F2953,'Set up'!$A$2:$D$70,4,FALSE)</f>
        <v>0</v>
      </c>
      <c r="K2953" s="4">
        <f t="shared" si="726"/>
        <v>45457</v>
      </c>
      <c r="L2953" s="5">
        <f t="shared" si="727"/>
        <v>6</v>
      </c>
      <c r="M2953" s="5">
        <f t="shared" si="728"/>
        <v>2024</v>
      </c>
      <c r="N2953" s="12">
        <v>24420</v>
      </c>
      <c r="O2953" s="12">
        <f>-14839.1-9580.9</f>
        <v>-24420</v>
      </c>
      <c r="P2953" s="6">
        <f t="shared" si="717"/>
        <v>0</v>
      </c>
      <c r="Q2953" s="7">
        <f t="shared" si="730"/>
        <v>4801959.8499999996</v>
      </c>
      <c r="R2953" s="44" t="str">
        <f>VLOOKUP(F2953,'Set up'!$A$2:$E$70,5,FALSE)</f>
        <v>Trsf</v>
      </c>
      <c r="S2953" s="1" t="s">
        <v>3183</v>
      </c>
    </row>
    <row r="2954" spans="1:19" ht="15" customHeight="1" x14ac:dyDescent="0.3">
      <c r="A2954" s="4">
        <v>45457</v>
      </c>
      <c r="B2954" s="5">
        <f t="shared" si="724"/>
        <v>6</v>
      </c>
      <c r="C2954" s="5">
        <f t="shared" si="725"/>
        <v>2024</v>
      </c>
      <c r="D2954" s="5" t="s">
        <v>2649</v>
      </c>
      <c r="E2954" s="5" t="str">
        <f>VLOOKUP(F2954,'Set up'!$A$2:$C$70,2,FALSE)</f>
        <v>C00000042</v>
      </c>
      <c r="F2954" s="1" t="s">
        <v>2012</v>
      </c>
      <c r="G2954" s="99" t="s">
        <v>2578</v>
      </c>
      <c r="H2954" s="5">
        <v>45</v>
      </c>
      <c r="I2954" s="5" t="str">
        <f>VLOOKUP(F2954,'Set up'!$A$2:$C$70,3,FALSE)</f>
        <v>Cash</v>
      </c>
      <c r="J2954" s="5">
        <f>VLOOKUP(F2954,'Set up'!$A$2:$D$70,4,FALSE)</f>
        <v>0</v>
      </c>
      <c r="K2954" s="4">
        <f t="shared" si="726"/>
        <v>45457</v>
      </c>
      <c r="L2954" s="5">
        <f t="shared" si="727"/>
        <v>6</v>
      </c>
      <c r="M2954" s="5">
        <f t="shared" si="728"/>
        <v>2024</v>
      </c>
      <c r="N2954" s="12">
        <v>7830</v>
      </c>
      <c r="O2954" s="6">
        <f t="shared" si="729"/>
        <v>-7830</v>
      </c>
      <c r="P2954" s="6">
        <f t="shared" si="717"/>
        <v>0</v>
      </c>
      <c r="Q2954" s="7">
        <f t="shared" si="730"/>
        <v>4809789.8499999996</v>
      </c>
      <c r="R2954" s="44" t="str">
        <f>VLOOKUP(F2954,'Set up'!$A$2:$E$70,5,FALSE)</f>
        <v>Trsf</v>
      </c>
      <c r="S2954" s="1" t="s">
        <v>3184</v>
      </c>
    </row>
    <row r="2955" spans="1:19" ht="15" customHeight="1" x14ac:dyDescent="0.3">
      <c r="A2955" s="4">
        <v>45457</v>
      </c>
      <c r="B2955" s="5">
        <f t="shared" si="724"/>
        <v>6</v>
      </c>
      <c r="C2955" s="5">
        <f t="shared" si="725"/>
        <v>2024</v>
      </c>
      <c r="D2955" s="5" t="s">
        <v>2649</v>
      </c>
      <c r="E2955" s="5" t="str">
        <f>VLOOKUP(F2955,'Set up'!$A$2:$C$70,2,FALSE)</f>
        <v>C00000042</v>
      </c>
      <c r="F2955" s="1" t="s">
        <v>2012</v>
      </c>
      <c r="G2955" s="99" t="s">
        <v>1922</v>
      </c>
      <c r="H2955" s="5">
        <v>20</v>
      </c>
      <c r="I2955" s="5" t="str">
        <f>VLOOKUP(F2955,'Set up'!$A$2:$C$70,3,FALSE)</f>
        <v>Cash</v>
      </c>
      <c r="J2955" s="5">
        <f>VLOOKUP(F2955,'Set up'!$A$2:$D$70,4,FALSE)</f>
        <v>0</v>
      </c>
      <c r="K2955" s="4">
        <f t="shared" si="726"/>
        <v>45457</v>
      </c>
      <c r="L2955" s="5">
        <f t="shared" si="727"/>
        <v>6</v>
      </c>
      <c r="M2955" s="5">
        <f t="shared" si="728"/>
        <v>2024</v>
      </c>
      <c r="N2955" s="12">
        <v>4680</v>
      </c>
      <c r="O2955" s="6">
        <f t="shared" si="729"/>
        <v>-4680</v>
      </c>
      <c r="P2955" s="6">
        <f t="shared" si="717"/>
        <v>0</v>
      </c>
      <c r="Q2955" s="7">
        <f t="shared" si="730"/>
        <v>4814469.8499999996</v>
      </c>
      <c r="R2955" s="44" t="str">
        <f>VLOOKUP(F2955,'Set up'!$A$2:$E$70,5,FALSE)</f>
        <v>Trsf</v>
      </c>
      <c r="S2955" s="1" t="s">
        <v>3184</v>
      </c>
    </row>
    <row r="2956" spans="1:19" ht="15" customHeight="1" x14ac:dyDescent="0.3">
      <c r="A2956" s="4">
        <v>45457</v>
      </c>
      <c r="B2956" s="5">
        <f t="shared" si="724"/>
        <v>6</v>
      </c>
      <c r="C2956" s="5">
        <f t="shared" si="725"/>
        <v>2024</v>
      </c>
      <c r="D2956" s="5" t="s">
        <v>2649</v>
      </c>
      <c r="E2956" s="5" t="str">
        <f>VLOOKUP(F2956,'Set up'!$A$2:$C$70,2,FALSE)</f>
        <v>C00000042</v>
      </c>
      <c r="F2956" s="1" t="s">
        <v>2012</v>
      </c>
      <c r="G2956" s="99" t="s">
        <v>1061</v>
      </c>
      <c r="H2956" s="5">
        <v>8</v>
      </c>
      <c r="I2956" s="5" t="str">
        <f>VLOOKUP(F2956,'Set up'!$A$2:$C$70,3,FALSE)</f>
        <v>Cash</v>
      </c>
      <c r="J2956" s="5">
        <f>VLOOKUP(F2956,'Set up'!$A$2:$D$70,4,FALSE)</f>
        <v>0</v>
      </c>
      <c r="K2956" s="4">
        <f t="shared" si="726"/>
        <v>45457</v>
      </c>
      <c r="L2956" s="5">
        <f t="shared" si="727"/>
        <v>6</v>
      </c>
      <c r="M2956" s="5">
        <f t="shared" si="728"/>
        <v>2024</v>
      </c>
      <c r="N2956" s="12">
        <v>760</v>
      </c>
      <c r="O2956" s="6">
        <f t="shared" si="729"/>
        <v>-760</v>
      </c>
      <c r="P2956" s="6">
        <f t="shared" si="717"/>
        <v>0</v>
      </c>
      <c r="Q2956" s="7">
        <f t="shared" si="730"/>
        <v>4815229.8499999996</v>
      </c>
      <c r="R2956" s="44" t="str">
        <f>VLOOKUP(F2956,'Set up'!$A$2:$E$70,5,FALSE)</f>
        <v>Trsf</v>
      </c>
      <c r="S2956" s="1" t="s">
        <v>3185</v>
      </c>
    </row>
    <row r="2957" spans="1:19" ht="15" customHeight="1" x14ac:dyDescent="0.3">
      <c r="A2957" s="4">
        <v>45457</v>
      </c>
      <c r="B2957" s="5">
        <f t="shared" si="724"/>
        <v>6</v>
      </c>
      <c r="C2957" s="5">
        <f t="shared" si="725"/>
        <v>2024</v>
      </c>
      <c r="D2957" s="5" t="s">
        <v>2649</v>
      </c>
      <c r="E2957" s="5" t="str">
        <f>VLOOKUP(F2957,'Set up'!$A$2:$C$70,2,FALSE)</f>
        <v>C00000042</v>
      </c>
      <c r="F2957" s="1" t="s">
        <v>2012</v>
      </c>
      <c r="G2957" s="99" t="s">
        <v>1073</v>
      </c>
      <c r="H2957" s="5">
        <v>3</v>
      </c>
      <c r="I2957" s="5" t="str">
        <f>VLOOKUP(F2957,'Set up'!$A$2:$C$70,3,FALSE)</f>
        <v>Cash</v>
      </c>
      <c r="J2957" s="5">
        <f>VLOOKUP(F2957,'Set up'!$A$2:$D$70,4,FALSE)</f>
        <v>0</v>
      </c>
      <c r="K2957" s="4">
        <f t="shared" si="726"/>
        <v>45457</v>
      </c>
      <c r="L2957" s="5">
        <f t="shared" si="727"/>
        <v>6</v>
      </c>
      <c r="M2957" s="5">
        <f t="shared" si="728"/>
        <v>2024</v>
      </c>
      <c r="N2957" s="12">
        <v>3000</v>
      </c>
      <c r="O2957" s="6">
        <f t="shared" si="729"/>
        <v>-3000</v>
      </c>
      <c r="P2957" s="6">
        <f t="shared" si="717"/>
        <v>0</v>
      </c>
      <c r="Q2957" s="7">
        <f t="shared" si="730"/>
        <v>4818229.8499999996</v>
      </c>
      <c r="R2957" s="44" t="str">
        <f>VLOOKUP(F2957,'Set up'!$A$2:$E$70,5,FALSE)</f>
        <v>Trsf</v>
      </c>
      <c r="S2957" s="1" t="s">
        <v>3185</v>
      </c>
    </row>
    <row r="2958" spans="1:19" ht="15" customHeight="1" x14ac:dyDescent="0.3">
      <c r="A2958" s="4">
        <v>45463</v>
      </c>
      <c r="B2958" s="5">
        <f t="shared" si="724"/>
        <v>6</v>
      </c>
      <c r="C2958" s="5">
        <f t="shared" si="725"/>
        <v>2024</v>
      </c>
      <c r="D2958" s="5" t="s">
        <v>2650</v>
      </c>
      <c r="E2958" s="5" t="str">
        <f>VLOOKUP(F2958,'Set up'!$A$2:$C$70,2,FALSE)</f>
        <v>C00000049</v>
      </c>
      <c r="F2958" s="1" t="s">
        <v>2728</v>
      </c>
      <c r="G2958" s="99" t="s">
        <v>1997</v>
      </c>
      <c r="H2958" s="5">
        <v>3</v>
      </c>
      <c r="I2958" s="5" t="str">
        <f>VLOOKUP(F2958,'Set up'!$A$2:$C$70,3,FALSE)</f>
        <v>Cash</v>
      </c>
      <c r="J2958" s="5">
        <f>VLOOKUP(F2958,'Set up'!$A$2:$D$70,4,FALSE)</f>
        <v>0</v>
      </c>
      <c r="K2958" s="4">
        <f t="shared" si="726"/>
        <v>45463</v>
      </c>
      <c r="L2958" s="5">
        <f t="shared" si="727"/>
        <v>6</v>
      </c>
      <c r="M2958" s="5">
        <f t="shared" si="728"/>
        <v>2024</v>
      </c>
      <c r="N2958" s="12">
        <v>10800</v>
      </c>
      <c r="O2958" s="6">
        <f t="shared" ref="O2958:O2964" si="731">-N2958</f>
        <v>-10800</v>
      </c>
      <c r="P2958" s="6">
        <f t="shared" si="717"/>
        <v>0</v>
      </c>
      <c r="Q2958" s="7">
        <f t="shared" si="730"/>
        <v>4829029.8499999996</v>
      </c>
      <c r="R2958" s="44" t="str">
        <f>VLOOKUP(F2958,'Set up'!$A$2:$E$70,5,FALSE)</f>
        <v>Cash</v>
      </c>
      <c r="S2958" s="1" t="s">
        <v>2730</v>
      </c>
    </row>
    <row r="2959" spans="1:19" ht="15" customHeight="1" x14ac:dyDescent="0.3">
      <c r="A2959" s="4">
        <v>45463</v>
      </c>
      <c r="B2959" s="5">
        <f t="shared" si="724"/>
        <v>6</v>
      </c>
      <c r="C2959" s="5">
        <f t="shared" si="725"/>
        <v>2024</v>
      </c>
      <c r="D2959" s="5" t="s">
        <v>2650</v>
      </c>
      <c r="E2959" s="5" t="str">
        <f>VLOOKUP(F2959,'Set up'!$A$2:$C$70,2,FALSE)</f>
        <v>C00000049</v>
      </c>
      <c r="F2959" s="1" t="s">
        <v>2728</v>
      </c>
      <c r="G2959" s="99" t="s">
        <v>1543</v>
      </c>
      <c r="H2959" s="5">
        <v>4</v>
      </c>
      <c r="I2959" s="5" t="str">
        <f>VLOOKUP(F2959,'Set up'!$A$2:$C$70,3,FALSE)</f>
        <v>Cash</v>
      </c>
      <c r="J2959" s="5">
        <f>VLOOKUP(F2959,'Set up'!$A$2:$D$70,4,FALSE)</f>
        <v>0</v>
      </c>
      <c r="K2959" s="4">
        <f t="shared" si="726"/>
        <v>45463</v>
      </c>
      <c r="L2959" s="5">
        <f t="shared" si="727"/>
        <v>6</v>
      </c>
      <c r="M2959" s="5">
        <f t="shared" si="728"/>
        <v>2024</v>
      </c>
      <c r="N2959" s="12">
        <v>900</v>
      </c>
      <c r="O2959" s="6">
        <f t="shared" si="731"/>
        <v>-900</v>
      </c>
      <c r="P2959" s="6">
        <f t="shared" si="717"/>
        <v>0</v>
      </c>
      <c r="Q2959" s="7">
        <f t="shared" si="730"/>
        <v>4829929.8499999996</v>
      </c>
      <c r="R2959" s="44" t="str">
        <f>VLOOKUP(F2959,'Set up'!$A$2:$E$70,5,FALSE)</f>
        <v>Cash</v>
      </c>
      <c r="S2959" s="1" t="s">
        <v>2730</v>
      </c>
    </row>
    <row r="2960" spans="1:19" ht="15" customHeight="1" x14ac:dyDescent="0.3">
      <c r="A2960" s="4">
        <v>45463</v>
      </c>
      <c r="B2960" s="5">
        <f t="shared" si="724"/>
        <v>6</v>
      </c>
      <c r="C2960" s="5">
        <f t="shared" si="725"/>
        <v>2024</v>
      </c>
      <c r="D2960" s="5" t="s">
        <v>2650</v>
      </c>
      <c r="E2960" s="5" t="str">
        <f>VLOOKUP(F2960,'Set up'!$A$2:$C$70,2,FALSE)</f>
        <v>C00000049</v>
      </c>
      <c r="F2960" s="1" t="s">
        <v>2728</v>
      </c>
      <c r="G2960" s="99" t="s">
        <v>2523</v>
      </c>
      <c r="H2960" s="5">
        <v>4</v>
      </c>
      <c r="I2960" s="5" t="str">
        <f>VLOOKUP(F2960,'Set up'!$A$2:$C$70,3,FALSE)</f>
        <v>Cash</v>
      </c>
      <c r="J2960" s="5">
        <f>VLOOKUP(F2960,'Set up'!$A$2:$D$70,4,FALSE)</f>
        <v>0</v>
      </c>
      <c r="K2960" s="4">
        <f t="shared" si="726"/>
        <v>45463</v>
      </c>
      <c r="L2960" s="5">
        <f t="shared" si="727"/>
        <v>6</v>
      </c>
      <c r="M2960" s="5">
        <f t="shared" si="728"/>
        <v>2024</v>
      </c>
      <c r="N2960" s="12">
        <v>900</v>
      </c>
      <c r="O2960" s="6">
        <f t="shared" si="731"/>
        <v>-900</v>
      </c>
      <c r="P2960" s="6">
        <f t="shared" si="717"/>
        <v>0</v>
      </c>
      <c r="Q2960" s="7">
        <f t="shared" si="730"/>
        <v>4830829.8499999996</v>
      </c>
      <c r="R2960" s="44" t="str">
        <f>VLOOKUP(F2960,'Set up'!$A$2:$E$70,5,FALSE)</f>
        <v>Cash</v>
      </c>
      <c r="S2960" s="1" t="s">
        <v>2730</v>
      </c>
    </row>
    <row r="2961" spans="1:19" ht="15" customHeight="1" x14ac:dyDescent="0.3">
      <c r="A2961" s="4">
        <v>45463</v>
      </c>
      <c r="B2961" s="5">
        <f t="shared" si="724"/>
        <v>6</v>
      </c>
      <c r="C2961" s="5">
        <f t="shared" si="725"/>
        <v>2024</v>
      </c>
      <c r="D2961" s="5" t="s">
        <v>2650</v>
      </c>
      <c r="E2961" s="5" t="str">
        <f>VLOOKUP(F2961,'Set up'!$A$2:$C$70,2,FALSE)</f>
        <v>C00000049</v>
      </c>
      <c r="F2961" s="1" t="s">
        <v>2728</v>
      </c>
      <c r="G2961" s="99" t="s">
        <v>17</v>
      </c>
      <c r="H2961" s="5">
        <v>1</v>
      </c>
      <c r="I2961" s="5" t="str">
        <f>VLOOKUP(F2961,'Set up'!$A$2:$C$70,3,FALSE)</f>
        <v>Cash</v>
      </c>
      <c r="J2961" s="5">
        <f>VLOOKUP(F2961,'Set up'!$A$2:$D$70,4,FALSE)</f>
        <v>0</v>
      </c>
      <c r="K2961" s="4">
        <f t="shared" si="726"/>
        <v>45463</v>
      </c>
      <c r="L2961" s="5">
        <f t="shared" si="727"/>
        <v>6</v>
      </c>
      <c r="M2961" s="5">
        <f t="shared" si="728"/>
        <v>2024</v>
      </c>
      <c r="N2961" s="12">
        <v>110</v>
      </c>
      <c r="O2961" s="6">
        <f t="shared" si="731"/>
        <v>-110</v>
      </c>
      <c r="P2961" s="6">
        <f t="shared" si="717"/>
        <v>0</v>
      </c>
      <c r="Q2961" s="7">
        <f t="shared" si="730"/>
        <v>4830939.8499999996</v>
      </c>
      <c r="R2961" s="44" t="str">
        <f>VLOOKUP(F2961,'Set up'!$A$2:$E$70,5,FALSE)</f>
        <v>Cash</v>
      </c>
      <c r="S2961" s="1" t="s">
        <v>2730</v>
      </c>
    </row>
    <row r="2962" spans="1:19" ht="15" customHeight="1" x14ac:dyDescent="0.3">
      <c r="A2962" s="4">
        <v>45463</v>
      </c>
      <c r="B2962" s="5">
        <f t="shared" si="724"/>
        <v>6</v>
      </c>
      <c r="C2962" s="5">
        <f t="shared" si="725"/>
        <v>2024</v>
      </c>
      <c r="D2962" s="5" t="s">
        <v>2650</v>
      </c>
      <c r="E2962" s="5" t="str">
        <f>VLOOKUP(F2962,'Set up'!$A$2:$C$70,2,FALSE)</f>
        <v>C00000049</v>
      </c>
      <c r="F2962" s="1" t="s">
        <v>2728</v>
      </c>
      <c r="G2962" s="99" t="s">
        <v>2651</v>
      </c>
      <c r="H2962" s="5">
        <v>2</v>
      </c>
      <c r="I2962" s="5" t="str">
        <f>VLOOKUP(F2962,'Set up'!$A$2:$C$70,3,FALSE)</f>
        <v>Cash</v>
      </c>
      <c r="J2962" s="5">
        <f>VLOOKUP(F2962,'Set up'!$A$2:$D$70,4,FALSE)</f>
        <v>0</v>
      </c>
      <c r="K2962" s="4">
        <f t="shared" si="726"/>
        <v>45463</v>
      </c>
      <c r="L2962" s="5">
        <f t="shared" si="727"/>
        <v>6</v>
      </c>
      <c r="M2962" s="5">
        <f t="shared" si="728"/>
        <v>2024</v>
      </c>
      <c r="N2962" s="12">
        <v>90</v>
      </c>
      <c r="O2962" s="6">
        <f t="shared" si="731"/>
        <v>-90</v>
      </c>
      <c r="P2962" s="6">
        <f t="shared" si="717"/>
        <v>0</v>
      </c>
      <c r="Q2962" s="7">
        <f t="shared" si="730"/>
        <v>4831029.8499999996</v>
      </c>
      <c r="R2962" s="44" t="str">
        <f>VLOOKUP(F2962,'Set up'!$A$2:$E$70,5,FALSE)</f>
        <v>Cash</v>
      </c>
      <c r="S2962" s="1" t="s">
        <v>2730</v>
      </c>
    </row>
    <row r="2963" spans="1:19" ht="15" customHeight="1" x14ac:dyDescent="0.3">
      <c r="A2963" s="4">
        <v>45463</v>
      </c>
      <c r="B2963" s="5">
        <f t="shared" si="724"/>
        <v>6</v>
      </c>
      <c r="C2963" s="5">
        <f t="shared" si="725"/>
        <v>2024</v>
      </c>
      <c r="D2963" s="5" t="s">
        <v>2650</v>
      </c>
      <c r="E2963" s="5" t="str">
        <f>VLOOKUP(F2963,'Set up'!$A$2:$C$70,2,FALSE)</f>
        <v>C00000049</v>
      </c>
      <c r="F2963" s="1" t="s">
        <v>2728</v>
      </c>
      <c r="G2963" s="99" t="s">
        <v>2652</v>
      </c>
      <c r="H2963" s="5">
        <v>1</v>
      </c>
      <c r="I2963" s="5" t="str">
        <f>VLOOKUP(F2963,'Set up'!$A$2:$C$70,3,FALSE)</f>
        <v>Cash</v>
      </c>
      <c r="J2963" s="5">
        <f>VLOOKUP(F2963,'Set up'!$A$2:$D$70,4,FALSE)</f>
        <v>0</v>
      </c>
      <c r="K2963" s="4">
        <f t="shared" si="726"/>
        <v>45463</v>
      </c>
      <c r="L2963" s="5">
        <f t="shared" si="727"/>
        <v>6</v>
      </c>
      <c r="M2963" s="5">
        <f t="shared" si="728"/>
        <v>2024</v>
      </c>
      <c r="N2963" s="12">
        <v>48</v>
      </c>
      <c r="O2963" s="6">
        <f t="shared" si="731"/>
        <v>-48</v>
      </c>
      <c r="P2963" s="6">
        <f t="shared" si="717"/>
        <v>0</v>
      </c>
      <c r="Q2963" s="7">
        <f t="shared" si="730"/>
        <v>4831077.8499999996</v>
      </c>
      <c r="R2963" s="44" t="str">
        <f>VLOOKUP(F2963,'Set up'!$A$2:$E$70,5,FALSE)</f>
        <v>Cash</v>
      </c>
      <c r="S2963" s="1" t="s">
        <v>2730</v>
      </c>
    </row>
    <row r="2964" spans="1:19" ht="15" customHeight="1" x14ac:dyDescent="0.3">
      <c r="A2964" s="4">
        <v>45463</v>
      </c>
      <c r="B2964" s="5">
        <f t="shared" si="724"/>
        <v>6</v>
      </c>
      <c r="C2964" s="5">
        <f t="shared" si="725"/>
        <v>2024</v>
      </c>
      <c r="D2964" s="5" t="s">
        <v>2650</v>
      </c>
      <c r="E2964" s="5" t="str">
        <f>VLOOKUP(F2964,'Set up'!$A$2:$C$70,2,FALSE)</f>
        <v>C00000049</v>
      </c>
      <c r="F2964" s="1" t="s">
        <v>2728</v>
      </c>
      <c r="G2964" s="99" t="s">
        <v>2653</v>
      </c>
      <c r="H2964" s="5">
        <v>1</v>
      </c>
      <c r="I2964" s="5" t="str">
        <f>VLOOKUP(F2964,'Set up'!$A$2:$C$70,3,FALSE)</f>
        <v>Cash</v>
      </c>
      <c r="J2964" s="5">
        <f>VLOOKUP(F2964,'Set up'!$A$2:$D$70,4,FALSE)</f>
        <v>0</v>
      </c>
      <c r="K2964" s="4">
        <f t="shared" si="726"/>
        <v>45463</v>
      </c>
      <c r="L2964" s="5">
        <f t="shared" si="727"/>
        <v>6</v>
      </c>
      <c r="M2964" s="5">
        <f t="shared" si="728"/>
        <v>2024</v>
      </c>
      <c r="N2964" s="12">
        <v>48</v>
      </c>
      <c r="O2964" s="6">
        <f t="shared" si="731"/>
        <v>-48</v>
      </c>
      <c r="P2964" s="6">
        <f t="shared" si="717"/>
        <v>0</v>
      </c>
      <c r="Q2964" s="7">
        <f t="shared" si="730"/>
        <v>4831125.8499999996</v>
      </c>
      <c r="R2964" s="44" t="str">
        <f>VLOOKUP(F2964,'Set up'!$A$2:$E$70,5,FALSE)</f>
        <v>Cash</v>
      </c>
      <c r="S2964" s="1" t="s">
        <v>2730</v>
      </c>
    </row>
    <row r="2965" spans="1:19" ht="15" customHeight="1" x14ac:dyDescent="0.3">
      <c r="A2965" s="4">
        <v>45464</v>
      </c>
      <c r="B2965" s="5">
        <f t="shared" si="724"/>
        <v>6</v>
      </c>
      <c r="C2965" s="5">
        <f t="shared" si="725"/>
        <v>2024</v>
      </c>
      <c r="D2965" s="5" t="s">
        <v>2654</v>
      </c>
      <c r="E2965" s="5" t="str">
        <f>VLOOKUP(F2965,'Set up'!$A$2:$C$70,2,FALSE)</f>
        <v>C00000050</v>
      </c>
      <c r="F2965" s="1" t="s">
        <v>2656</v>
      </c>
      <c r="G2965" s="99" t="s">
        <v>1894</v>
      </c>
      <c r="H2965" s="5">
        <v>1</v>
      </c>
      <c r="I2965" s="5" t="str">
        <f>VLOOKUP(F2965,'Set up'!$A$2:$C$70,3,FALSE)</f>
        <v>Cash</v>
      </c>
      <c r="J2965" s="5">
        <f>VLOOKUP(F2965,'Set up'!$A$2:$D$70,4,FALSE)</f>
        <v>0</v>
      </c>
      <c r="K2965" s="4">
        <f t="shared" si="726"/>
        <v>45464</v>
      </c>
      <c r="L2965" s="5">
        <f t="shared" si="727"/>
        <v>6</v>
      </c>
      <c r="M2965" s="5">
        <f t="shared" si="728"/>
        <v>2024</v>
      </c>
      <c r="N2965" s="12">
        <v>1760</v>
      </c>
      <c r="O2965" s="6">
        <f t="shared" ref="O2965:O2968" si="732">-N2965</f>
        <v>-1760</v>
      </c>
      <c r="P2965" s="6">
        <f t="shared" ref="P2965:P3028" si="733">SUM(N2965+O2965)</f>
        <v>0</v>
      </c>
      <c r="Q2965" s="7">
        <f t="shared" si="730"/>
        <v>4832885.8499999996</v>
      </c>
      <c r="R2965" s="44" t="str">
        <f>VLOOKUP(F2965,'Set up'!$A$2:$E$70,5,FALSE)</f>
        <v>Cash</v>
      </c>
      <c r="S2965" s="1" t="s">
        <v>2670</v>
      </c>
    </row>
    <row r="2966" spans="1:19" ht="15" customHeight="1" x14ac:dyDescent="0.3">
      <c r="A2966" s="4">
        <v>45464</v>
      </c>
      <c r="B2966" s="5">
        <f t="shared" si="724"/>
        <v>6</v>
      </c>
      <c r="C2966" s="5">
        <f t="shared" si="725"/>
        <v>2024</v>
      </c>
      <c r="D2966" s="5" t="s">
        <v>2654</v>
      </c>
      <c r="E2966" s="5" t="str">
        <f>VLOOKUP(F2966,'Set up'!$A$2:$C$70,2,FALSE)</f>
        <v>C00000050</v>
      </c>
      <c r="F2966" s="1" t="s">
        <v>2656</v>
      </c>
      <c r="G2966" s="99" t="s">
        <v>1061</v>
      </c>
      <c r="H2966" s="5">
        <v>1</v>
      </c>
      <c r="I2966" s="5" t="str">
        <f>VLOOKUP(F2966,'Set up'!$A$2:$C$70,3,FALSE)</f>
        <v>Cash</v>
      </c>
      <c r="J2966" s="5">
        <f>VLOOKUP(F2966,'Set up'!$A$2:$D$70,4,FALSE)</f>
        <v>0</v>
      </c>
      <c r="K2966" s="4">
        <f t="shared" si="726"/>
        <v>45464</v>
      </c>
      <c r="L2966" s="5">
        <f t="shared" si="727"/>
        <v>6</v>
      </c>
      <c r="M2966" s="5">
        <f t="shared" si="728"/>
        <v>2024</v>
      </c>
      <c r="N2966" s="12">
        <v>95</v>
      </c>
      <c r="O2966" s="6">
        <f t="shared" si="732"/>
        <v>-95</v>
      </c>
      <c r="P2966" s="6">
        <f t="shared" si="733"/>
        <v>0</v>
      </c>
      <c r="Q2966" s="7">
        <f t="shared" si="730"/>
        <v>4832980.8499999996</v>
      </c>
      <c r="R2966" s="44" t="str">
        <f>VLOOKUP(F2966,'Set up'!$A$2:$E$70,5,FALSE)</f>
        <v>Cash</v>
      </c>
      <c r="S2966" s="1" t="s">
        <v>2670</v>
      </c>
    </row>
    <row r="2967" spans="1:19" ht="15" customHeight="1" x14ac:dyDescent="0.3">
      <c r="A2967" s="4">
        <v>45464</v>
      </c>
      <c r="B2967" s="5">
        <f t="shared" si="724"/>
        <v>6</v>
      </c>
      <c r="C2967" s="5">
        <f t="shared" si="725"/>
        <v>2024</v>
      </c>
      <c r="D2967" s="5" t="s">
        <v>2654</v>
      </c>
      <c r="E2967" s="5" t="str">
        <f>VLOOKUP(F2967,'Set up'!$A$2:$C$70,2,FALSE)</f>
        <v>C00000050</v>
      </c>
      <c r="F2967" s="1" t="s">
        <v>2656</v>
      </c>
      <c r="G2967" s="99" t="s">
        <v>54</v>
      </c>
      <c r="H2967" s="5">
        <v>5</v>
      </c>
      <c r="I2967" s="5" t="str">
        <f>VLOOKUP(F2967,'Set up'!$A$2:$C$70,3,FALSE)</f>
        <v>Cash</v>
      </c>
      <c r="J2967" s="5">
        <f>VLOOKUP(F2967,'Set up'!$A$2:$D$70,4,FALSE)</f>
        <v>0</v>
      </c>
      <c r="K2967" s="4">
        <f t="shared" si="726"/>
        <v>45464</v>
      </c>
      <c r="L2967" s="5">
        <f t="shared" si="727"/>
        <v>6</v>
      </c>
      <c r="M2967" s="5">
        <f t="shared" si="728"/>
        <v>2024</v>
      </c>
      <c r="N2967" s="12">
        <v>312.5</v>
      </c>
      <c r="O2967" s="6">
        <f t="shared" si="732"/>
        <v>-312.5</v>
      </c>
      <c r="P2967" s="6">
        <f t="shared" si="733"/>
        <v>0</v>
      </c>
      <c r="Q2967" s="7">
        <f t="shared" si="730"/>
        <v>4833293.3499999996</v>
      </c>
      <c r="R2967" s="44" t="str">
        <f>VLOOKUP(F2967,'Set up'!$A$2:$E$70,5,FALSE)</f>
        <v>Cash</v>
      </c>
      <c r="S2967" s="1" t="s">
        <v>2670</v>
      </c>
    </row>
    <row r="2968" spans="1:19" ht="15" customHeight="1" x14ac:dyDescent="0.3">
      <c r="A2968" s="4">
        <v>45464</v>
      </c>
      <c r="B2968" s="5">
        <f t="shared" si="724"/>
        <v>6</v>
      </c>
      <c r="C2968" s="5">
        <f t="shared" si="725"/>
        <v>2024</v>
      </c>
      <c r="D2968" s="5" t="s">
        <v>2654</v>
      </c>
      <c r="E2968" s="5" t="str">
        <f>VLOOKUP(F2968,'Set up'!$A$2:$C$70,2,FALSE)</f>
        <v>C00000050</v>
      </c>
      <c r="F2968" s="1" t="s">
        <v>2656</v>
      </c>
      <c r="G2968" s="99" t="s">
        <v>800</v>
      </c>
      <c r="H2968" s="5">
        <v>1</v>
      </c>
      <c r="I2968" s="5" t="str">
        <f>VLOOKUP(F2968,'Set up'!$A$2:$C$70,3,FALSE)</f>
        <v>Cash</v>
      </c>
      <c r="J2968" s="5">
        <f>VLOOKUP(F2968,'Set up'!$A$2:$D$70,4,FALSE)</f>
        <v>0</v>
      </c>
      <c r="K2968" s="4">
        <f t="shared" si="726"/>
        <v>45464</v>
      </c>
      <c r="L2968" s="5">
        <f t="shared" si="727"/>
        <v>6</v>
      </c>
      <c r="M2968" s="5">
        <f t="shared" si="728"/>
        <v>2024</v>
      </c>
      <c r="N2968" s="12">
        <v>225</v>
      </c>
      <c r="O2968" s="6">
        <f t="shared" si="732"/>
        <v>-225</v>
      </c>
      <c r="P2968" s="6">
        <f t="shared" si="733"/>
        <v>0</v>
      </c>
      <c r="Q2968" s="7">
        <f t="shared" si="730"/>
        <v>4833518.3499999996</v>
      </c>
      <c r="R2968" s="44" t="str">
        <f>VLOOKUP(F2968,'Set up'!$A$2:$E$70,5,FALSE)</f>
        <v>Cash</v>
      </c>
      <c r="S2968" s="1" t="s">
        <v>2670</v>
      </c>
    </row>
    <row r="2969" spans="1:19" ht="15" customHeight="1" x14ac:dyDescent="0.3">
      <c r="A2969" s="4">
        <v>45465</v>
      </c>
      <c r="B2969" s="5">
        <f t="shared" si="724"/>
        <v>6</v>
      </c>
      <c r="C2969" s="5">
        <f t="shared" si="725"/>
        <v>2024</v>
      </c>
      <c r="D2969" s="5" t="s">
        <v>2657</v>
      </c>
      <c r="E2969" s="5" t="str">
        <f>VLOOKUP(F2969,'Set up'!$A$2:$C$70,2,FALSE)</f>
        <v>C00000019</v>
      </c>
      <c r="F2969" s="1" t="s">
        <v>400</v>
      </c>
      <c r="G2969" s="99" t="s">
        <v>95</v>
      </c>
      <c r="H2969" s="5">
        <v>1</v>
      </c>
      <c r="I2969" s="5" t="str">
        <f>VLOOKUP(F2969,'Set up'!$A$2:$C$70,3,FALSE)</f>
        <v>Cash</v>
      </c>
      <c r="J2969" s="5">
        <f>VLOOKUP(F2969,'Set up'!$A$2:$D$70,4,FALSE)</f>
        <v>0</v>
      </c>
      <c r="K2969" s="4">
        <f t="shared" si="726"/>
        <v>45465</v>
      </c>
      <c r="L2969" s="5">
        <f t="shared" si="727"/>
        <v>6</v>
      </c>
      <c r="M2969" s="5">
        <f t="shared" si="728"/>
        <v>2024</v>
      </c>
      <c r="N2969" s="12">
        <v>1760</v>
      </c>
      <c r="O2969" s="12"/>
      <c r="P2969" s="6">
        <f t="shared" si="733"/>
        <v>1760</v>
      </c>
      <c r="Q2969" s="7">
        <f t="shared" si="730"/>
        <v>4835278.3499999996</v>
      </c>
      <c r="R2969" s="44" t="str">
        <f>VLOOKUP(F2969,'Set up'!$A$2:$E$70,5,FALSE)</f>
        <v>Trsf</v>
      </c>
    </row>
    <row r="2970" spans="1:19" ht="15" customHeight="1" x14ac:dyDescent="0.3">
      <c r="A2970" s="4">
        <v>45465</v>
      </c>
      <c r="B2970" s="5">
        <f t="shared" si="724"/>
        <v>6</v>
      </c>
      <c r="C2970" s="5">
        <f t="shared" si="725"/>
        <v>2024</v>
      </c>
      <c r="D2970" s="5" t="s">
        <v>2657</v>
      </c>
      <c r="E2970" s="5" t="str">
        <f>VLOOKUP(F2970,'Set up'!$A$2:$C$70,2,FALSE)</f>
        <v>C00000019</v>
      </c>
      <c r="F2970" s="1" t="s">
        <v>400</v>
      </c>
      <c r="G2970" s="99" t="s">
        <v>1411</v>
      </c>
      <c r="H2970" s="5">
        <v>1</v>
      </c>
      <c r="I2970" s="5" t="str">
        <f>VLOOKUP(F2970,'Set up'!$A$2:$C$70,3,FALSE)</f>
        <v>Cash</v>
      </c>
      <c r="J2970" s="5">
        <f>VLOOKUP(F2970,'Set up'!$A$2:$D$70,4,FALSE)</f>
        <v>0</v>
      </c>
      <c r="K2970" s="4">
        <f t="shared" si="726"/>
        <v>45465</v>
      </c>
      <c r="L2970" s="5">
        <f t="shared" si="727"/>
        <v>6</v>
      </c>
      <c r="M2970" s="5">
        <f t="shared" si="728"/>
        <v>2024</v>
      </c>
      <c r="N2970" s="12">
        <v>405</v>
      </c>
      <c r="O2970" s="12"/>
      <c r="P2970" s="6">
        <f t="shared" si="733"/>
        <v>405</v>
      </c>
      <c r="Q2970" s="7">
        <f t="shared" si="730"/>
        <v>4835683.3499999996</v>
      </c>
      <c r="R2970" s="44" t="str">
        <f>VLOOKUP(F2970,'Set up'!$A$2:$E$70,5,FALSE)</f>
        <v>Trsf</v>
      </c>
    </row>
    <row r="2971" spans="1:19" ht="15" customHeight="1" x14ac:dyDescent="0.3">
      <c r="A2971" s="4">
        <v>45465</v>
      </c>
      <c r="B2971" s="5">
        <f t="shared" si="724"/>
        <v>6</v>
      </c>
      <c r="C2971" s="5">
        <f t="shared" si="725"/>
        <v>2024</v>
      </c>
      <c r="D2971" s="5" t="s">
        <v>2657</v>
      </c>
      <c r="E2971" s="5" t="str">
        <f>VLOOKUP(F2971,'Set up'!$A$2:$C$70,2,FALSE)</f>
        <v>C00000019</v>
      </c>
      <c r="F2971" s="1" t="s">
        <v>400</v>
      </c>
      <c r="G2971" s="99" t="s">
        <v>2635</v>
      </c>
      <c r="H2971" s="5">
        <v>3</v>
      </c>
      <c r="I2971" s="5" t="str">
        <f>VLOOKUP(F2971,'Set up'!$A$2:$C$70,3,FALSE)</f>
        <v>Cash</v>
      </c>
      <c r="J2971" s="5">
        <f>VLOOKUP(F2971,'Set up'!$A$2:$D$70,4,FALSE)</f>
        <v>0</v>
      </c>
      <c r="K2971" s="4">
        <f t="shared" si="726"/>
        <v>45465</v>
      </c>
      <c r="L2971" s="5">
        <f t="shared" si="727"/>
        <v>6</v>
      </c>
      <c r="M2971" s="5">
        <f t="shared" si="728"/>
        <v>2024</v>
      </c>
      <c r="N2971" s="12">
        <v>187.5</v>
      </c>
      <c r="O2971" s="12"/>
      <c r="P2971" s="6">
        <f t="shared" si="733"/>
        <v>187.5</v>
      </c>
      <c r="Q2971" s="7">
        <f t="shared" si="730"/>
        <v>4835870.8499999996</v>
      </c>
      <c r="R2971" s="44" t="str">
        <f>VLOOKUP(F2971,'Set up'!$A$2:$E$70,5,FALSE)</f>
        <v>Trsf</v>
      </c>
    </row>
    <row r="2972" spans="1:19" ht="15" customHeight="1" x14ac:dyDescent="0.3">
      <c r="A2972" s="4">
        <v>45465</v>
      </c>
      <c r="B2972" s="5">
        <f t="shared" si="724"/>
        <v>6</v>
      </c>
      <c r="C2972" s="5">
        <f t="shared" si="725"/>
        <v>2024</v>
      </c>
      <c r="D2972" s="5" t="s">
        <v>2657</v>
      </c>
      <c r="E2972" s="5" t="str">
        <f>VLOOKUP(F2972,'Set up'!$A$2:$C$70,2,FALSE)</f>
        <v>C00000019</v>
      </c>
      <c r="F2972" s="1" t="s">
        <v>400</v>
      </c>
      <c r="G2972" s="99" t="s">
        <v>17</v>
      </c>
      <c r="H2972" s="5">
        <v>1</v>
      </c>
      <c r="I2972" s="5" t="str">
        <f>VLOOKUP(F2972,'Set up'!$A$2:$C$70,3,FALSE)</f>
        <v>Cash</v>
      </c>
      <c r="J2972" s="5">
        <f>VLOOKUP(F2972,'Set up'!$A$2:$D$70,4,FALSE)</f>
        <v>0</v>
      </c>
      <c r="K2972" s="4">
        <f t="shared" si="726"/>
        <v>45465</v>
      </c>
      <c r="L2972" s="5">
        <f t="shared" si="727"/>
        <v>6</v>
      </c>
      <c r="M2972" s="5">
        <f t="shared" si="728"/>
        <v>2024</v>
      </c>
      <c r="N2972" s="12">
        <v>110</v>
      </c>
      <c r="O2972" s="12"/>
      <c r="P2972" s="6">
        <f t="shared" si="733"/>
        <v>110</v>
      </c>
      <c r="Q2972" s="7">
        <f t="shared" si="730"/>
        <v>4835980.8499999996</v>
      </c>
      <c r="R2972" s="44" t="str">
        <f>VLOOKUP(F2972,'Set up'!$A$2:$E$70,5,FALSE)</f>
        <v>Trsf</v>
      </c>
    </row>
    <row r="2973" spans="1:19" ht="15" customHeight="1" x14ac:dyDescent="0.3">
      <c r="A2973" s="4">
        <v>45467</v>
      </c>
      <c r="B2973" s="5">
        <f t="shared" si="724"/>
        <v>6</v>
      </c>
      <c r="C2973" s="5">
        <f t="shared" si="725"/>
        <v>2024</v>
      </c>
      <c r="D2973" s="5" t="s">
        <v>2658</v>
      </c>
      <c r="E2973" s="5" t="str">
        <f>VLOOKUP(F2973,'Set up'!$A$2:$C$70,2,FALSE)</f>
        <v>C00000010</v>
      </c>
      <c r="F2973" s="1" t="s">
        <v>62</v>
      </c>
      <c r="G2973" s="99" t="s">
        <v>1402</v>
      </c>
      <c r="H2973" s="5">
        <v>8</v>
      </c>
      <c r="I2973" s="5">
        <f>VLOOKUP(F2973,'Set up'!$A$2:$C$70,3,FALSE)</f>
        <v>120</v>
      </c>
      <c r="J2973" s="5">
        <f>VLOOKUP(F2973,'Set up'!$A$2:$D$70,4,FALSE)</f>
        <v>120</v>
      </c>
      <c r="K2973" s="4">
        <f t="shared" si="726"/>
        <v>45587</v>
      </c>
      <c r="L2973" s="5">
        <f t="shared" si="727"/>
        <v>10</v>
      </c>
      <c r="M2973" s="5">
        <f t="shared" si="728"/>
        <v>2024</v>
      </c>
      <c r="N2973" s="12">
        <v>13024</v>
      </c>
      <c r="O2973" s="6">
        <f t="shared" ref="O2973:O2980" si="734">-N2973</f>
        <v>-13024</v>
      </c>
      <c r="P2973" s="6">
        <f t="shared" si="733"/>
        <v>0</v>
      </c>
      <c r="Q2973" s="7">
        <f t="shared" si="730"/>
        <v>4849004.8499999996</v>
      </c>
      <c r="R2973" s="44" t="str">
        <f>VLOOKUP(F2973,'Set up'!$A$2:$E$70,5,FALSE)</f>
        <v>Trsf</v>
      </c>
      <c r="S2973" s="1" t="s">
        <v>3147</v>
      </c>
    </row>
    <row r="2974" spans="1:19" ht="15" customHeight="1" x14ac:dyDescent="0.3">
      <c r="A2974" s="4">
        <v>45467</v>
      </c>
      <c r="B2974" s="5">
        <f t="shared" si="724"/>
        <v>6</v>
      </c>
      <c r="C2974" s="5">
        <f t="shared" si="725"/>
        <v>2024</v>
      </c>
      <c r="D2974" s="5" t="s">
        <v>2658</v>
      </c>
      <c r="E2974" s="5" t="str">
        <f>VLOOKUP(F2974,'Set up'!$A$2:$C$70,2,FALSE)</f>
        <v>C00000010</v>
      </c>
      <c r="F2974" s="1" t="s">
        <v>62</v>
      </c>
      <c r="G2974" s="99" t="s">
        <v>2129</v>
      </c>
      <c r="H2974" s="5">
        <v>10</v>
      </c>
      <c r="I2974" s="5">
        <f>VLOOKUP(F2974,'Set up'!$A$2:$C$70,3,FALSE)</f>
        <v>120</v>
      </c>
      <c r="J2974" s="5">
        <f>VLOOKUP(F2974,'Set up'!$A$2:$D$70,4,FALSE)</f>
        <v>120</v>
      </c>
      <c r="K2974" s="4">
        <f t="shared" si="726"/>
        <v>45587</v>
      </c>
      <c r="L2974" s="5">
        <f t="shared" si="727"/>
        <v>10</v>
      </c>
      <c r="M2974" s="5">
        <f t="shared" si="728"/>
        <v>2024</v>
      </c>
      <c r="N2974" s="12">
        <v>2146</v>
      </c>
      <c r="O2974" s="6">
        <f t="shared" si="734"/>
        <v>-2146</v>
      </c>
      <c r="P2974" s="6">
        <f t="shared" si="733"/>
        <v>0</v>
      </c>
      <c r="Q2974" s="7">
        <f t="shared" si="730"/>
        <v>4851150.8499999996</v>
      </c>
      <c r="R2974" s="44" t="str">
        <f>VLOOKUP(F2974,'Set up'!$A$2:$E$70,5,FALSE)</f>
        <v>Trsf</v>
      </c>
      <c r="S2974" s="1" t="s">
        <v>3147</v>
      </c>
    </row>
    <row r="2975" spans="1:19" ht="15" customHeight="1" x14ac:dyDescent="0.3">
      <c r="A2975" s="4">
        <v>45467</v>
      </c>
      <c r="B2975" s="5">
        <f t="shared" si="724"/>
        <v>6</v>
      </c>
      <c r="C2975" s="5">
        <f t="shared" si="725"/>
        <v>2024</v>
      </c>
      <c r="D2975" s="5" t="s">
        <v>2658</v>
      </c>
      <c r="E2975" s="5" t="str">
        <f>VLOOKUP(F2975,'Set up'!$A$2:$C$70,2,FALSE)</f>
        <v>C00000010</v>
      </c>
      <c r="F2975" s="1" t="s">
        <v>62</v>
      </c>
      <c r="G2975" s="99" t="s">
        <v>2635</v>
      </c>
      <c r="H2975" s="5">
        <v>10</v>
      </c>
      <c r="I2975" s="5">
        <f>VLOOKUP(F2975,'Set up'!$A$2:$C$70,3,FALSE)</f>
        <v>120</v>
      </c>
      <c r="J2975" s="5">
        <f>VLOOKUP(F2975,'Set up'!$A$2:$D$70,4,FALSE)</f>
        <v>120</v>
      </c>
      <c r="K2975" s="4">
        <f t="shared" si="726"/>
        <v>45587</v>
      </c>
      <c r="L2975" s="5">
        <f t="shared" si="727"/>
        <v>10</v>
      </c>
      <c r="M2975" s="5">
        <f t="shared" si="728"/>
        <v>2024</v>
      </c>
      <c r="N2975" s="12">
        <v>575</v>
      </c>
      <c r="O2975" s="6">
        <f t="shared" si="734"/>
        <v>-575</v>
      </c>
      <c r="P2975" s="6">
        <f t="shared" si="733"/>
        <v>0</v>
      </c>
      <c r="Q2975" s="7">
        <f t="shared" si="730"/>
        <v>4851725.8499999996</v>
      </c>
      <c r="R2975" s="44" t="str">
        <f>VLOOKUP(F2975,'Set up'!$A$2:$E$70,5,FALSE)</f>
        <v>Trsf</v>
      </c>
      <c r="S2975" s="1" t="s">
        <v>3147</v>
      </c>
    </row>
    <row r="2976" spans="1:19" ht="15" customHeight="1" x14ac:dyDescent="0.3">
      <c r="A2976" s="4">
        <v>45467</v>
      </c>
      <c r="B2976" s="5">
        <f t="shared" si="724"/>
        <v>6</v>
      </c>
      <c r="C2976" s="5">
        <f t="shared" si="725"/>
        <v>2024</v>
      </c>
      <c r="D2976" s="5" t="s">
        <v>2658</v>
      </c>
      <c r="E2976" s="5" t="str">
        <f>VLOOKUP(F2976,'Set up'!$A$2:$C$70,2,FALSE)</f>
        <v>C00000010</v>
      </c>
      <c r="F2976" s="1" t="s">
        <v>62</v>
      </c>
      <c r="G2976" s="99" t="s">
        <v>46</v>
      </c>
      <c r="H2976" s="5">
        <v>8</v>
      </c>
      <c r="I2976" s="5">
        <f>VLOOKUP(F2976,'Set up'!$A$2:$C$70,3,FALSE)</f>
        <v>120</v>
      </c>
      <c r="J2976" s="5">
        <f>VLOOKUP(F2976,'Set up'!$A$2:$D$70,4,FALSE)</f>
        <v>120</v>
      </c>
      <c r="K2976" s="4">
        <f t="shared" si="726"/>
        <v>45587</v>
      </c>
      <c r="L2976" s="5">
        <f t="shared" si="727"/>
        <v>10</v>
      </c>
      <c r="M2976" s="5">
        <f t="shared" si="728"/>
        <v>2024</v>
      </c>
      <c r="N2976" s="12">
        <v>880</v>
      </c>
      <c r="O2976" s="6">
        <f t="shared" si="734"/>
        <v>-880</v>
      </c>
      <c r="P2976" s="6">
        <f t="shared" si="733"/>
        <v>0</v>
      </c>
      <c r="Q2976" s="7">
        <f t="shared" si="730"/>
        <v>4852605.8499999996</v>
      </c>
      <c r="R2976" s="44" t="str">
        <f>VLOOKUP(F2976,'Set up'!$A$2:$E$70,5,FALSE)</f>
        <v>Trsf</v>
      </c>
      <c r="S2976" s="1" t="s">
        <v>3147</v>
      </c>
    </row>
    <row r="2977" spans="1:19" ht="15" customHeight="1" x14ac:dyDescent="0.3">
      <c r="A2977" s="4">
        <v>45468</v>
      </c>
      <c r="B2977" s="5">
        <f t="shared" si="724"/>
        <v>6</v>
      </c>
      <c r="C2977" s="5">
        <f t="shared" si="725"/>
        <v>2024</v>
      </c>
      <c r="D2977" s="5" t="s">
        <v>2659</v>
      </c>
      <c r="E2977" s="5" t="str">
        <f>VLOOKUP(F2977,'Set up'!$A$2:$C$70,2,FALSE)</f>
        <v>C00000009</v>
      </c>
      <c r="F2977" s="1" t="s">
        <v>58</v>
      </c>
      <c r="G2977" s="99" t="s">
        <v>2552</v>
      </c>
      <c r="H2977" s="5">
        <v>2</v>
      </c>
      <c r="I2977" s="5">
        <f>VLOOKUP(F2977,'Set up'!$A$2:$C$70,3,FALSE)</f>
        <v>60</v>
      </c>
      <c r="J2977" s="5">
        <f>VLOOKUP(F2977,'Set up'!$A$2:$D$70,4,FALSE)</f>
        <v>60</v>
      </c>
      <c r="K2977" s="4">
        <f t="shared" si="726"/>
        <v>45528</v>
      </c>
      <c r="L2977" s="5">
        <f t="shared" si="727"/>
        <v>8</v>
      </c>
      <c r="M2977" s="5">
        <f t="shared" si="728"/>
        <v>2024</v>
      </c>
      <c r="N2977" s="12">
        <v>3256</v>
      </c>
      <c r="O2977" s="6">
        <f t="shared" si="734"/>
        <v>-3256</v>
      </c>
      <c r="P2977" s="6">
        <f t="shared" si="733"/>
        <v>0</v>
      </c>
      <c r="Q2977" s="7">
        <f t="shared" si="730"/>
        <v>4855861.8499999996</v>
      </c>
      <c r="R2977" s="44" t="str">
        <f>VLOOKUP(F2977,'Set up'!$A$2:$E$70,5,FALSE)</f>
        <v>Chq</v>
      </c>
      <c r="S2977" s="1" t="s">
        <v>3327</v>
      </c>
    </row>
    <row r="2978" spans="1:19" ht="15" customHeight="1" x14ac:dyDescent="0.3">
      <c r="A2978" s="4">
        <v>45468</v>
      </c>
      <c r="B2978" s="5">
        <f t="shared" si="724"/>
        <v>6</v>
      </c>
      <c r="C2978" s="5">
        <f t="shared" si="725"/>
        <v>2024</v>
      </c>
      <c r="D2978" s="5" t="s">
        <v>2659</v>
      </c>
      <c r="E2978" s="5" t="str">
        <f>VLOOKUP(F2978,'Set up'!$A$2:$C$70,2,FALSE)</f>
        <v>C00000009</v>
      </c>
      <c r="F2978" s="1" t="s">
        <v>58</v>
      </c>
      <c r="G2978" s="99" t="s">
        <v>1411</v>
      </c>
      <c r="H2978" s="5">
        <v>3</v>
      </c>
      <c r="I2978" s="5">
        <f>VLOOKUP(F2978,'Set up'!$A$2:$C$70,3,FALSE)</f>
        <v>60</v>
      </c>
      <c r="J2978" s="5">
        <f>VLOOKUP(F2978,'Set up'!$A$2:$D$70,4,FALSE)</f>
        <v>60</v>
      </c>
      <c r="K2978" s="4">
        <f t="shared" si="726"/>
        <v>45528</v>
      </c>
      <c r="L2978" s="5">
        <f t="shared" si="727"/>
        <v>8</v>
      </c>
      <c r="M2978" s="5">
        <f t="shared" si="728"/>
        <v>2024</v>
      </c>
      <c r="N2978" s="12">
        <v>939.6</v>
      </c>
      <c r="O2978" s="6">
        <f t="shared" si="734"/>
        <v>-939.6</v>
      </c>
      <c r="P2978" s="6">
        <f t="shared" si="733"/>
        <v>0</v>
      </c>
      <c r="Q2978" s="7">
        <f t="shared" si="730"/>
        <v>4856801.4499999993</v>
      </c>
      <c r="R2978" s="44" t="str">
        <f>VLOOKUP(F2978,'Set up'!$A$2:$E$70,5,FALSE)</f>
        <v>Chq</v>
      </c>
      <c r="S2978" s="1" t="s">
        <v>3327</v>
      </c>
    </row>
    <row r="2979" spans="1:19" ht="15" customHeight="1" x14ac:dyDescent="0.3">
      <c r="A2979" s="4">
        <v>45468</v>
      </c>
      <c r="B2979" s="5">
        <f t="shared" si="724"/>
        <v>6</v>
      </c>
      <c r="C2979" s="5">
        <f t="shared" si="725"/>
        <v>2024</v>
      </c>
      <c r="D2979" s="5" t="s">
        <v>2659</v>
      </c>
      <c r="E2979" s="5" t="str">
        <f>VLOOKUP(F2979,'Set up'!$A$2:$C$70,2,FALSE)</f>
        <v>C00000009</v>
      </c>
      <c r="F2979" s="1" t="s">
        <v>58</v>
      </c>
      <c r="G2979" s="99" t="s">
        <v>2133</v>
      </c>
      <c r="H2979" s="5">
        <v>2</v>
      </c>
      <c r="I2979" s="5">
        <f>VLOOKUP(F2979,'Set up'!$A$2:$C$70,3,FALSE)</f>
        <v>60</v>
      </c>
      <c r="J2979" s="5">
        <f>VLOOKUP(F2979,'Set up'!$A$2:$D$70,4,FALSE)</f>
        <v>60</v>
      </c>
      <c r="K2979" s="4">
        <f t="shared" si="726"/>
        <v>45528</v>
      </c>
      <c r="L2979" s="5">
        <f t="shared" si="727"/>
        <v>8</v>
      </c>
      <c r="M2979" s="5">
        <f t="shared" si="728"/>
        <v>2024</v>
      </c>
      <c r="N2979" s="12">
        <v>626.4</v>
      </c>
      <c r="O2979" s="6">
        <f t="shared" si="734"/>
        <v>-626.4</v>
      </c>
      <c r="P2979" s="6">
        <f t="shared" si="733"/>
        <v>0</v>
      </c>
      <c r="Q2979" s="7">
        <f t="shared" si="730"/>
        <v>4857427.8499999996</v>
      </c>
      <c r="R2979" s="44" t="str">
        <f>VLOOKUP(F2979,'Set up'!$A$2:$E$70,5,FALSE)</f>
        <v>Chq</v>
      </c>
      <c r="S2979" s="1" t="s">
        <v>3327</v>
      </c>
    </row>
    <row r="2980" spans="1:19" ht="15" customHeight="1" x14ac:dyDescent="0.3">
      <c r="A2980" s="4">
        <v>45468</v>
      </c>
      <c r="B2980" s="5">
        <f t="shared" si="724"/>
        <v>6</v>
      </c>
      <c r="C2980" s="5">
        <f t="shared" si="725"/>
        <v>2024</v>
      </c>
      <c r="D2980" s="5" t="s">
        <v>2659</v>
      </c>
      <c r="E2980" s="5" t="str">
        <f>VLOOKUP(F2980,'Set up'!$A$2:$C$70,2,FALSE)</f>
        <v>C00000009</v>
      </c>
      <c r="F2980" s="1" t="s">
        <v>58</v>
      </c>
      <c r="G2980" s="99" t="s">
        <v>46</v>
      </c>
      <c r="H2980" s="5">
        <v>2</v>
      </c>
      <c r="I2980" s="5">
        <f>VLOOKUP(F2980,'Set up'!$A$2:$C$70,3,FALSE)</f>
        <v>60</v>
      </c>
      <c r="J2980" s="5">
        <f>VLOOKUP(F2980,'Set up'!$A$2:$D$70,4,FALSE)</f>
        <v>60</v>
      </c>
      <c r="K2980" s="4">
        <f t="shared" si="726"/>
        <v>45528</v>
      </c>
      <c r="L2980" s="5">
        <f t="shared" si="727"/>
        <v>8</v>
      </c>
      <c r="M2980" s="5">
        <f t="shared" si="728"/>
        <v>2024</v>
      </c>
      <c r="N2980" s="12">
        <v>220</v>
      </c>
      <c r="O2980" s="6">
        <f t="shared" si="734"/>
        <v>-220</v>
      </c>
      <c r="P2980" s="6">
        <f t="shared" si="733"/>
        <v>0</v>
      </c>
      <c r="Q2980" s="7">
        <f t="shared" si="730"/>
        <v>4857647.8499999996</v>
      </c>
      <c r="R2980" s="44" t="str">
        <f>VLOOKUP(F2980,'Set up'!$A$2:$E$70,5,FALSE)</f>
        <v>Chq</v>
      </c>
      <c r="S2980" s="1" t="s">
        <v>3327</v>
      </c>
    </row>
    <row r="2981" spans="1:19" ht="15" customHeight="1" x14ac:dyDescent="0.3">
      <c r="A2981" s="4">
        <v>45469</v>
      </c>
      <c r="B2981" s="5">
        <f t="shared" si="724"/>
        <v>6</v>
      </c>
      <c r="C2981" s="5">
        <f t="shared" si="725"/>
        <v>2024</v>
      </c>
      <c r="D2981" s="5" t="s">
        <v>2660</v>
      </c>
      <c r="E2981" s="5" t="str">
        <f>VLOOKUP(F2981,'Set up'!$A$2:$C$70,2,FALSE)</f>
        <v>C00000010</v>
      </c>
      <c r="F2981" s="1" t="s">
        <v>62</v>
      </c>
      <c r="G2981" s="99" t="s">
        <v>2144</v>
      </c>
      <c r="H2981" s="5">
        <v>2</v>
      </c>
      <c r="I2981" s="5">
        <f>VLOOKUP(F2981,'Set up'!$A$2:$C$70,3,FALSE)</f>
        <v>120</v>
      </c>
      <c r="J2981" s="5">
        <f>VLOOKUP(F2981,'Set up'!$A$2:$D$70,4,FALSE)</f>
        <v>120</v>
      </c>
      <c r="K2981" s="4">
        <f t="shared" si="726"/>
        <v>45589</v>
      </c>
      <c r="L2981" s="5">
        <f t="shared" si="727"/>
        <v>10</v>
      </c>
      <c r="M2981" s="5">
        <f t="shared" si="728"/>
        <v>2024</v>
      </c>
      <c r="N2981" s="12">
        <v>523.6</v>
      </c>
      <c r="O2981" s="6">
        <f t="shared" ref="O2981:O2983" si="735">-N2981</f>
        <v>-523.6</v>
      </c>
      <c r="P2981" s="6">
        <f t="shared" si="733"/>
        <v>0</v>
      </c>
      <c r="Q2981" s="7">
        <f t="shared" si="730"/>
        <v>4858171.4499999993</v>
      </c>
      <c r="R2981" s="44" t="str">
        <f>VLOOKUP(F2981,'Set up'!$A$2:$E$70,5,FALSE)</f>
        <v>Trsf</v>
      </c>
      <c r="S2981" s="1" t="s">
        <v>3147</v>
      </c>
    </row>
    <row r="2982" spans="1:19" ht="15" customHeight="1" x14ac:dyDescent="0.3">
      <c r="A2982" s="4">
        <v>45469</v>
      </c>
      <c r="B2982" s="5">
        <f t="shared" si="724"/>
        <v>6</v>
      </c>
      <c r="C2982" s="5">
        <f t="shared" si="725"/>
        <v>2024</v>
      </c>
      <c r="D2982" s="5" t="s">
        <v>2660</v>
      </c>
      <c r="E2982" s="5" t="str">
        <f>VLOOKUP(F2982,'Set up'!$A$2:$C$70,2,FALSE)</f>
        <v>C00000010</v>
      </c>
      <c r="F2982" s="1" t="s">
        <v>62</v>
      </c>
      <c r="G2982" s="99" t="s">
        <v>1393</v>
      </c>
      <c r="H2982" s="5">
        <v>2</v>
      </c>
      <c r="I2982" s="5">
        <f>VLOOKUP(F2982,'Set up'!$A$2:$C$70,3,FALSE)</f>
        <v>120</v>
      </c>
      <c r="J2982" s="5">
        <f>VLOOKUP(F2982,'Set up'!$A$2:$D$70,4,FALSE)</f>
        <v>120</v>
      </c>
      <c r="K2982" s="4">
        <f t="shared" si="726"/>
        <v>45589</v>
      </c>
      <c r="L2982" s="5">
        <f t="shared" si="727"/>
        <v>10</v>
      </c>
      <c r="M2982" s="5">
        <f t="shared" si="728"/>
        <v>2024</v>
      </c>
      <c r="N2982" s="12">
        <v>360</v>
      </c>
      <c r="O2982" s="6">
        <f t="shared" si="735"/>
        <v>-360</v>
      </c>
      <c r="P2982" s="6">
        <f t="shared" si="733"/>
        <v>0</v>
      </c>
      <c r="Q2982" s="7">
        <f t="shared" si="730"/>
        <v>4858531.4499999993</v>
      </c>
      <c r="R2982" s="44" t="str">
        <f>VLOOKUP(F2982,'Set up'!$A$2:$E$70,5,FALSE)</f>
        <v>Trsf</v>
      </c>
      <c r="S2982" s="1" t="s">
        <v>3147</v>
      </c>
    </row>
    <row r="2983" spans="1:19" ht="15" customHeight="1" x14ac:dyDescent="0.3">
      <c r="A2983" s="4">
        <v>45469</v>
      </c>
      <c r="B2983" s="5">
        <f t="shared" si="724"/>
        <v>6</v>
      </c>
      <c r="C2983" s="5">
        <f t="shared" si="725"/>
        <v>2024</v>
      </c>
      <c r="D2983" s="5" t="s">
        <v>2660</v>
      </c>
      <c r="E2983" s="5" t="str">
        <f>VLOOKUP(F2983,'Set up'!$A$2:$C$70,2,FALSE)</f>
        <v>C00000010</v>
      </c>
      <c r="F2983" s="1" t="s">
        <v>62</v>
      </c>
      <c r="G2983" s="99" t="s">
        <v>2661</v>
      </c>
      <c r="H2983" s="5">
        <v>1</v>
      </c>
      <c r="I2983" s="5">
        <f>VLOOKUP(F2983,'Set up'!$A$2:$C$70,3,FALSE)</f>
        <v>120</v>
      </c>
      <c r="J2983" s="5">
        <f>VLOOKUP(F2983,'Set up'!$A$2:$D$70,4,FALSE)</f>
        <v>120</v>
      </c>
      <c r="K2983" s="4">
        <f t="shared" si="726"/>
        <v>45589</v>
      </c>
      <c r="L2983" s="5">
        <f t="shared" si="727"/>
        <v>10</v>
      </c>
      <c r="M2983" s="5">
        <f t="shared" si="728"/>
        <v>2024</v>
      </c>
      <c r="N2983" s="12">
        <v>260</v>
      </c>
      <c r="O2983" s="6">
        <f t="shared" si="735"/>
        <v>-260</v>
      </c>
      <c r="P2983" s="6">
        <f t="shared" si="733"/>
        <v>0</v>
      </c>
      <c r="Q2983" s="7">
        <f t="shared" si="730"/>
        <v>4858791.4499999993</v>
      </c>
      <c r="R2983" s="44" t="str">
        <f>VLOOKUP(F2983,'Set up'!$A$2:$E$70,5,FALSE)</f>
        <v>Trsf</v>
      </c>
      <c r="S2983" s="1" t="s">
        <v>3147</v>
      </c>
    </row>
    <row r="2984" spans="1:19" ht="15" customHeight="1" x14ac:dyDescent="0.3">
      <c r="A2984" s="4">
        <v>45470</v>
      </c>
      <c r="B2984" s="5">
        <f t="shared" si="724"/>
        <v>6</v>
      </c>
      <c r="C2984" s="5">
        <f t="shared" si="725"/>
        <v>2024</v>
      </c>
      <c r="D2984" s="5" t="s">
        <v>2662</v>
      </c>
      <c r="E2984" s="5" t="str">
        <f>VLOOKUP(F2984,'Set up'!$A$2:$C$70,2,FALSE)</f>
        <v>C00000051</v>
      </c>
      <c r="F2984" s="1" t="s">
        <v>3061</v>
      </c>
      <c r="G2984" s="99" t="s">
        <v>1630</v>
      </c>
      <c r="H2984" s="5">
        <v>1</v>
      </c>
      <c r="I2984" s="5" t="str">
        <f>VLOOKUP(F2984,'Set up'!$A$2:$C$70,3,FALSE)</f>
        <v>Cash</v>
      </c>
      <c r="J2984" s="5">
        <f>VLOOKUP(F2984,'Set up'!$A$2:$D$70,4,FALSE)</f>
        <v>0</v>
      </c>
      <c r="K2984" s="4">
        <f t="shared" si="726"/>
        <v>45470</v>
      </c>
      <c r="L2984" s="5">
        <f t="shared" si="727"/>
        <v>6</v>
      </c>
      <c r="M2984" s="5">
        <f t="shared" si="728"/>
        <v>2024</v>
      </c>
      <c r="N2984" s="12">
        <v>337.5</v>
      </c>
      <c r="O2984" s="6">
        <f t="shared" ref="O2984:O2988" si="736">-N2984</f>
        <v>-337.5</v>
      </c>
      <c r="P2984" s="6">
        <f t="shared" si="733"/>
        <v>0</v>
      </c>
      <c r="Q2984" s="7">
        <f t="shared" si="730"/>
        <v>4859128.9499999993</v>
      </c>
      <c r="R2984" s="44" t="str">
        <f>VLOOKUP(F2984,'Set up'!$A$2:$E$70,5,FALSE)</f>
        <v>Cash</v>
      </c>
      <c r="S2984" s="1" t="s">
        <v>2732</v>
      </c>
    </row>
    <row r="2985" spans="1:19" ht="15" customHeight="1" x14ac:dyDescent="0.3">
      <c r="A2985" s="4">
        <v>45470</v>
      </c>
      <c r="B2985" s="5">
        <f t="shared" si="724"/>
        <v>6</v>
      </c>
      <c r="C2985" s="5">
        <f t="shared" si="725"/>
        <v>2024</v>
      </c>
      <c r="D2985" s="5" t="s">
        <v>2662</v>
      </c>
      <c r="E2985" s="5" t="str">
        <f>VLOOKUP(F2985,'Set up'!$A$2:$C$70,2,FALSE)</f>
        <v>C00000051</v>
      </c>
      <c r="F2985" s="1" t="s">
        <v>3061</v>
      </c>
      <c r="G2985" s="99" t="s">
        <v>2570</v>
      </c>
      <c r="H2985" s="5">
        <v>1</v>
      </c>
      <c r="I2985" s="5" t="str">
        <f>VLOOKUP(F2985,'Set up'!$A$2:$C$70,3,FALSE)</f>
        <v>Cash</v>
      </c>
      <c r="J2985" s="5">
        <f>VLOOKUP(F2985,'Set up'!$A$2:$D$70,4,FALSE)</f>
        <v>0</v>
      </c>
      <c r="K2985" s="4">
        <f t="shared" si="726"/>
        <v>45470</v>
      </c>
      <c r="L2985" s="5">
        <f t="shared" si="727"/>
        <v>6</v>
      </c>
      <c r="M2985" s="5">
        <f t="shared" si="728"/>
        <v>2024</v>
      </c>
      <c r="N2985" s="12">
        <v>255</v>
      </c>
      <c r="O2985" s="6">
        <f t="shared" si="736"/>
        <v>-255</v>
      </c>
      <c r="P2985" s="6">
        <f t="shared" si="733"/>
        <v>0</v>
      </c>
      <c r="Q2985" s="7">
        <f t="shared" si="730"/>
        <v>4859383.9499999993</v>
      </c>
      <c r="R2985" s="44" t="str">
        <f>VLOOKUP(F2985,'Set up'!$A$2:$E$70,5,FALSE)</f>
        <v>Cash</v>
      </c>
      <c r="S2985" s="1" t="s">
        <v>2732</v>
      </c>
    </row>
    <row r="2986" spans="1:19" ht="15" customHeight="1" x14ac:dyDescent="0.3">
      <c r="A2986" s="4">
        <v>45470</v>
      </c>
      <c r="B2986" s="5">
        <f t="shared" si="724"/>
        <v>6</v>
      </c>
      <c r="C2986" s="5">
        <f t="shared" si="725"/>
        <v>2024</v>
      </c>
      <c r="D2986" s="5" t="s">
        <v>2662</v>
      </c>
      <c r="E2986" s="5" t="str">
        <f>VLOOKUP(F2986,'Set up'!$A$2:$C$70,2,FALSE)</f>
        <v>C00000051</v>
      </c>
      <c r="F2986" s="1" t="s">
        <v>3061</v>
      </c>
      <c r="G2986" s="99" t="s">
        <v>1061</v>
      </c>
      <c r="H2986" s="5">
        <v>1</v>
      </c>
      <c r="I2986" s="5" t="str">
        <f>VLOOKUP(F2986,'Set up'!$A$2:$C$70,3,FALSE)</f>
        <v>Cash</v>
      </c>
      <c r="J2986" s="5">
        <f>VLOOKUP(F2986,'Set up'!$A$2:$D$70,4,FALSE)</f>
        <v>0</v>
      </c>
      <c r="K2986" s="4">
        <f t="shared" si="726"/>
        <v>45470</v>
      </c>
      <c r="L2986" s="5">
        <f t="shared" si="727"/>
        <v>6</v>
      </c>
      <c r="M2986" s="5">
        <f t="shared" si="728"/>
        <v>2024</v>
      </c>
      <c r="N2986" s="12">
        <v>100</v>
      </c>
      <c r="O2986" s="6">
        <f t="shared" si="736"/>
        <v>-100</v>
      </c>
      <c r="P2986" s="6">
        <f t="shared" si="733"/>
        <v>0</v>
      </c>
      <c r="Q2986" s="7">
        <f t="shared" si="730"/>
        <v>4859483.9499999993</v>
      </c>
      <c r="R2986" s="44" t="str">
        <f>VLOOKUP(F2986,'Set up'!$A$2:$E$70,5,FALSE)</f>
        <v>Cash</v>
      </c>
      <c r="S2986" s="1" t="s">
        <v>2732</v>
      </c>
    </row>
    <row r="2987" spans="1:19" ht="15" customHeight="1" x14ac:dyDescent="0.3">
      <c r="A2987" s="4">
        <v>45470</v>
      </c>
      <c r="B2987" s="5">
        <f t="shared" si="724"/>
        <v>6</v>
      </c>
      <c r="C2987" s="5">
        <f t="shared" si="725"/>
        <v>2024</v>
      </c>
      <c r="D2987" s="5" t="s">
        <v>2662</v>
      </c>
      <c r="E2987" s="5" t="str">
        <f>VLOOKUP(F2987,'Set up'!$A$2:$C$70,2,FALSE)</f>
        <v>C00000051</v>
      </c>
      <c r="F2987" s="1" t="s">
        <v>3061</v>
      </c>
      <c r="G2987" s="99" t="s">
        <v>2646</v>
      </c>
      <c r="H2987" s="5">
        <v>1</v>
      </c>
      <c r="I2987" s="5" t="str">
        <f>VLOOKUP(F2987,'Set up'!$A$2:$C$70,3,FALSE)</f>
        <v>Cash</v>
      </c>
      <c r="J2987" s="5">
        <f>VLOOKUP(F2987,'Set up'!$A$2:$D$70,4,FALSE)</f>
        <v>0</v>
      </c>
      <c r="K2987" s="4">
        <f t="shared" si="726"/>
        <v>45470</v>
      </c>
      <c r="L2987" s="5">
        <f t="shared" si="727"/>
        <v>6</v>
      </c>
      <c r="M2987" s="5">
        <f t="shared" si="728"/>
        <v>2024</v>
      </c>
      <c r="N2987" s="12">
        <v>62.5</v>
      </c>
      <c r="O2987" s="6">
        <f t="shared" si="736"/>
        <v>-62.5</v>
      </c>
      <c r="P2987" s="6">
        <f t="shared" si="733"/>
        <v>0</v>
      </c>
      <c r="Q2987" s="7">
        <f t="shared" si="730"/>
        <v>4859546.4499999993</v>
      </c>
      <c r="R2987" s="44" t="str">
        <f>VLOOKUP(F2987,'Set up'!$A$2:$E$70,5,FALSE)</f>
        <v>Cash</v>
      </c>
      <c r="S2987" s="1" t="s">
        <v>2732</v>
      </c>
    </row>
    <row r="2988" spans="1:19" ht="15" customHeight="1" x14ac:dyDescent="0.3">
      <c r="A2988" s="4">
        <v>45471</v>
      </c>
      <c r="B2988" s="5">
        <f t="shared" si="724"/>
        <v>6</v>
      </c>
      <c r="C2988" s="5">
        <f t="shared" si="725"/>
        <v>2024</v>
      </c>
      <c r="D2988" s="5" t="s">
        <v>2664</v>
      </c>
      <c r="E2988" s="5" t="str">
        <f>VLOOKUP(F2988,'Set up'!$A$2:$C$70,2,FALSE)</f>
        <v>C00000042</v>
      </c>
      <c r="F2988" s="1" t="s">
        <v>2012</v>
      </c>
      <c r="G2988" s="99" t="s">
        <v>2646</v>
      </c>
      <c r="H2988" s="5">
        <v>15</v>
      </c>
      <c r="I2988" s="5" t="str">
        <f>VLOOKUP(F2988,'Set up'!$A$2:$C$70,3,FALSE)</f>
        <v>Cash</v>
      </c>
      <c r="J2988" s="5">
        <f>VLOOKUP(F2988,'Set up'!$A$2:$D$70,4,FALSE)</f>
        <v>0</v>
      </c>
      <c r="K2988" s="4">
        <f t="shared" si="726"/>
        <v>45471</v>
      </c>
      <c r="L2988" s="5">
        <f t="shared" si="727"/>
        <v>6</v>
      </c>
      <c r="M2988" s="5">
        <f t="shared" si="728"/>
        <v>2024</v>
      </c>
      <c r="N2988" s="12">
        <v>937.5</v>
      </c>
      <c r="O2988" s="6">
        <f t="shared" si="736"/>
        <v>-937.5</v>
      </c>
      <c r="P2988" s="6">
        <f t="shared" si="733"/>
        <v>0</v>
      </c>
      <c r="Q2988" s="7">
        <f t="shared" si="730"/>
        <v>4860483.9499999993</v>
      </c>
      <c r="R2988" s="44" t="str">
        <f>VLOOKUP(F2988,'Set up'!$A$2:$E$70,5,FALSE)</f>
        <v>Trsf</v>
      </c>
      <c r="S2988" s="1" t="s">
        <v>3185</v>
      </c>
    </row>
    <row r="2989" spans="1:19" ht="15" customHeight="1" x14ac:dyDescent="0.3">
      <c r="A2989" s="4">
        <v>45471</v>
      </c>
      <c r="B2989" s="5">
        <f t="shared" si="724"/>
        <v>6</v>
      </c>
      <c r="C2989" s="5">
        <f t="shared" si="725"/>
        <v>2024</v>
      </c>
      <c r="D2989" s="5" t="s">
        <v>2665</v>
      </c>
      <c r="E2989" s="5" t="str">
        <f>VLOOKUP(F2989,'Set up'!$A$2:$C$70,2,FALSE)</f>
        <v>C00000042</v>
      </c>
      <c r="F2989" s="1" t="s">
        <v>2012</v>
      </c>
      <c r="G2989" s="99" t="s">
        <v>2552</v>
      </c>
      <c r="H2989" s="5">
        <v>15</v>
      </c>
      <c r="I2989" s="5" t="str">
        <f>VLOOKUP(F2989,'Set up'!$A$2:$C$70,3,FALSE)</f>
        <v>Cash</v>
      </c>
      <c r="J2989" s="5">
        <f>VLOOKUP(F2989,'Set up'!$A$2:$D$70,4,FALSE)</f>
        <v>0</v>
      </c>
      <c r="K2989" s="4">
        <f t="shared" si="726"/>
        <v>45471</v>
      </c>
      <c r="L2989" s="5">
        <f t="shared" si="727"/>
        <v>6</v>
      </c>
      <c r="M2989" s="5">
        <f t="shared" si="728"/>
        <v>2024</v>
      </c>
      <c r="N2989" s="12">
        <v>24420</v>
      </c>
      <c r="O2989" s="12">
        <f>-3211.6-21208.4</f>
        <v>-24420</v>
      </c>
      <c r="P2989" s="6">
        <f t="shared" si="733"/>
        <v>0</v>
      </c>
      <c r="Q2989" s="7">
        <f t="shared" si="730"/>
        <v>4884903.9499999993</v>
      </c>
      <c r="R2989" s="44" t="str">
        <f>VLOOKUP(F2989,'Set up'!$A$2:$E$70,5,FALSE)</f>
        <v>Trsf</v>
      </c>
      <c r="S2989" s="1" t="s">
        <v>3186</v>
      </c>
    </row>
    <row r="2990" spans="1:19" ht="15" customHeight="1" x14ac:dyDescent="0.3">
      <c r="A2990" s="4">
        <v>45471</v>
      </c>
      <c r="B2990" s="5">
        <f t="shared" si="724"/>
        <v>6</v>
      </c>
      <c r="C2990" s="5">
        <f t="shared" si="725"/>
        <v>2024</v>
      </c>
      <c r="D2990" s="5" t="s">
        <v>2665</v>
      </c>
      <c r="E2990" s="5" t="str">
        <f>VLOOKUP(F2990,'Set up'!$A$2:$C$70,2,FALSE)</f>
        <v>C00000042</v>
      </c>
      <c r="F2990" s="1" t="s">
        <v>2012</v>
      </c>
      <c r="G2990" s="99" t="s">
        <v>2370</v>
      </c>
      <c r="H2990" s="5">
        <v>45</v>
      </c>
      <c r="I2990" s="5" t="str">
        <f>VLOOKUP(F2990,'Set up'!$A$2:$C$70,3,FALSE)</f>
        <v>Cash</v>
      </c>
      <c r="J2990" s="5">
        <f>VLOOKUP(F2990,'Set up'!$A$2:$D$70,4,FALSE)</f>
        <v>0</v>
      </c>
      <c r="K2990" s="4">
        <f t="shared" si="726"/>
        <v>45471</v>
      </c>
      <c r="L2990" s="5">
        <f t="shared" si="727"/>
        <v>6</v>
      </c>
      <c r="M2990" s="5">
        <f t="shared" si="728"/>
        <v>2024</v>
      </c>
      <c r="N2990" s="12">
        <v>10156.5</v>
      </c>
      <c r="O2990" s="12">
        <f>-3791.6-6364.9</f>
        <v>-10156.5</v>
      </c>
      <c r="P2990" s="6">
        <f t="shared" si="733"/>
        <v>0</v>
      </c>
      <c r="Q2990" s="7">
        <f t="shared" si="730"/>
        <v>4895060.4499999993</v>
      </c>
      <c r="R2990" s="44" t="str">
        <f>VLOOKUP(F2990,'Set up'!$A$2:$E$70,5,FALSE)</f>
        <v>Trsf</v>
      </c>
      <c r="S2990" s="1" t="s">
        <v>3289</v>
      </c>
    </row>
    <row r="2991" spans="1:19" ht="15" customHeight="1" x14ac:dyDescent="0.3">
      <c r="A2991" s="4">
        <v>45471</v>
      </c>
      <c r="B2991" s="5">
        <f t="shared" si="724"/>
        <v>6</v>
      </c>
      <c r="C2991" s="5">
        <f t="shared" si="725"/>
        <v>2024</v>
      </c>
      <c r="D2991" s="5" t="s">
        <v>2665</v>
      </c>
      <c r="E2991" s="5" t="str">
        <f>VLOOKUP(F2991,'Set up'!$A$2:$C$70,2,FALSE)</f>
        <v>C00000042</v>
      </c>
      <c r="F2991" s="1" t="s">
        <v>2012</v>
      </c>
      <c r="G2991" s="99" t="s">
        <v>1922</v>
      </c>
      <c r="H2991" s="5">
        <v>3</v>
      </c>
      <c r="I2991" s="5" t="str">
        <f>VLOOKUP(F2991,'Set up'!$A$2:$C$70,3,FALSE)</f>
        <v>Cash</v>
      </c>
      <c r="J2991" s="5">
        <f>VLOOKUP(F2991,'Set up'!$A$2:$D$70,4,FALSE)</f>
        <v>0</v>
      </c>
      <c r="K2991" s="4">
        <f t="shared" si="726"/>
        <v>45471</v>
      </c>
      <c r="L2991" s="5">
        <f t="shared" si="727"/>
        <v>6</v>
      </c>
      <c r="M2991" s="5">
        <f t="shared" si="728"/>
        <v>2024</v>
      </c>
      <c r="N2991" s="12">
        <v>702</v>
      </c>
      <c r="O2991" s="6">
        <f t="shared" ref="O2991:O2994" si="737">-N2991</f>
        <v>-702</v>
      </c>
      <c r="P2991" s="6">
        <f t="shared" si="733"/>
        <v>0</v>
      </c>
      <c r="Q2991" s="7">
        <f t="shared" si="730"/>
        <v>4895762.4499999993</v>
      </c>
      <c r="R2991" s="44" t="str">
        <f>VLOOKUP(F2991,'Set up'!$A$2:$E$70,5,FALSE)</f>
        <v>Trsf</v>
      </c>
      <c r="S2991" s="1" t="s">
        <v>3290</v>
      </c>
    </row>
    <row r="2992" spans="1:19" ht="15" customHeight="1" x14ac:dyDescent="0.3">
      <c r="A2992" s="4">
        <v>45471</v>
      </c>
      <c r="B2992" s="5">
        <f t="shared" si="724"/>
        <v>6</v>
      </c>
      <c r="C2992" s="5">
        <f t="shared" si="725"/>
        <v>2024</v>
      </c>
      <c r="D2992" s="5" t="s">
        <v>2665</v>
      </c>
      <c r="E2992" s="5" t="str">
        <f>VLOOKUP(F2992,'Set up'!$A$2:$C$70,2,FALSE)</f>
        <v>C00000042</v>
      </c>
      <c r="F2992" s="1" t="s">
        <v>2012</v>
      </c>
      <c r="G2992" s="99" t="s">
        <v>655</v>
      </c>
      <c r="H2992" s="5">
        <v>17</v>
      </c>
      <c r="I2992" s="5" t="str">
        <f>VLOOKUP(F2992,'Set up'!$A$2:$C$70,3,FALSE)</f>
        <v>Cash</v>
      </c>
      <c r="J2992" s="5">
        <f>VLOOKUP(F2992,'Set up'!$A$2:$D$70,4,FALSE)</f>
        <v>0</v>
      </c>
      <c r="K2992" s="4">
        <f t="shared" si="726"/>
        <v>45471</v>
      </c>
      <c r="L2992" s="5">
        <f t="shared" si="727"/>
        <v>6</v>
      </c>
      <c r="M2992" s="5">
        <f t="shared" si="728"/>
        <v>2024</v>
      </c>
      <c r="N2992" s="12">
        <v>3740</v>
      </c>
      <c r="O2992" s="6">
        <f t="shared" si="737"/>
        <v>-3740</v>
      </c>
      <c r="P2992" s="6">
        <f t="shared" si="733"/>
        <v>0</v>
      </c>
      <c r="Q2992" s="7">
        <f t="shared" si="730"/>
        <v>4899502.4499999993</v>
      </c>
      <c r="R2992" s="44" t="str">
        <f>VLOOKUP(F2992,'Set up'!$A$2:$E$70,5,FALSE)</f>
        <v>Trsf</v>
      </c>
      <c r="S2992" s="1" t="s">
        <v>3291</v>
      </c>
    </row>
    <row r="2993" spans="1:19" ht="15" customHeight="1" x14ac:dyDescent="0.3">
      <c r="A2993" s="4">
        <v>45471</v>
      </c>
      <c r="B2993" s="5">
        <f t="shared" si="724"/>
        <v>6</v>
      </c>
      <c r="C2993" s="5">
        <f t="shared" si="725"/>
        <v>2024</v>
      </c>
      <c r="D2993" s="5" t="s">
        <v>2665</v>
      </c>
      <c r="E2993" s="5" t="str">
        <f>VLOOKUP(F2993,'Set up'!$A$2:$C$70,2,FALSE)</f>
        <v>C00000042</v>
      </c>
      <c r="F2993" s="1" t="s">
        <v>2012</v>
      </c>
      <c r="G2993" s="99" t="s">
        <v>1061</v>
      </c>
      <c r="H2993" s="5">
        <v>8</v>
      </c>
      <c r="I2993" s="5" t="str">
        <f>VLOOKUP(F2993,'Set up'!$A$2:$C$70,3,FALSE)</f>
        <v>Cash</v>
      </c>
      <c r="J2993" s="5">
        <f>VLOOKUP(F2993,'Set up'!$A$2:$D$70,4,FALSE)</f>
        <v>0</v>
      </c>
      <c r="K2993" s="4">
        <f t="shared" si="726"/>
        <v>45471</v>
      </c>
      <c r="L2993" s="5">
        <f t="shared" si="727"/>
        <v>6</v>
      </c>
      <c r="M2993" s="5">
        <f t="shared" si="728"/>
        <v>2024</v>
      </c>
      <c r="N2993" s="12">
        <v>760</v>
      </c>
      <c r="O2993" s="6">
        <f t="shared" si="737"/>
        <v>-760</v>
      </c>
      <c r="P2993" s="6">
        <f t="shared" si="733"/>
        <v>0</v>
      </c>
      <c r="Q2993" s="7">
        <f t="shared" si="730"/>
        <v>4900262.4499999993</v>
      </c>
      <c r="R2993" s="44" t="str">
        <f>VLOOKUP(F2993,'Set up'!$A$2:$E$70,5,FALSE)</f>
        <v>Trsf</v>
      </c>
      <c r="S2993" s="1" t="s">
        <v>3292</v>
      </c>
    </row>
    <row r="2994" spans="1:19" ht="15" customHeight="1" x14ac:dyDescent="0.3">
      <c r="A2994" s="4">
        <v>45471</v>
      </c>
      <c r="B2994" s="5">
        <f t="shared" si="724"/>
        <v>6</v>
      </c>
      <c r="C2994" s="5">
        <f t="shared" si="725"/>
        <v>2024</v>
      </c>
      <c r="D2994" s="5" t="s">
        <v>2665</v>
      </c>
      <c r="E2994" s="5" t="str">
        <f>VLOOKUP(F2994,'Set up'!$A$2:$C$70,2,FALSE)</f>
        <v>C00000042</v>
      </c>
      <c r="F2994" s="1" t="s">
        <v>2012</v>
      </c>
      <c r="G2994" s="99" t="s">
        <v>1073</v>
      </c>
      <c r="H2994" s="5">
        <v>2</v>
      </c>
      <c r="I2994" s="5" t="str">
        <f>VLOOKUP(F2994,'Set up'!$A$2:$C$70,3,FALSE)</f>
        <v>Cash</v>
      </c>
      <c r="J2994" s="5">
        <f>VLOOKUP(F2994,'Set up'!$A$2:$D$70,4,FALSE)</f>
        <v>0</v>
      </c>
      <c r="K2994" s="4">
        <f t="shared" si="726"/>
        <v>45471</v>
      </c>
      <c r="L2994" s="5">
        <f t="shared" si="727"/>
        <v>6</v>
      </c>
      <c r="M2994" s="5">
        <f t="shared" si="728"/>
        <v>2024</v>
      </c>
      <c r="N2994" s="12">
        <v>2000</v>
      </c>
      <c r="O2994" s="6">
        <f t="shared" si="737"/>
        <v>-2000</v>
      </c>
      <c r="P2994" s="6">
        <f t="shared" si="733"/>
        <v>0</v>
      </c>
      <c r="Q2994" s="7">
        <f t="shared" si="730"/>
        <v>4902262.4499999993</v>
      </c>
      <c r="R2994" s="44" t="str">
        <f>VLOOKUP(F2994,'Set up'!$A$2:$E$70,5,FALSE)</f>
        <v>Trsf</v>
      </c>
      <c r="S2994" s="1" t="s">
        <v>3293</v>
      </c>
    </row>
    <row r="2995" spans="1:19" ht="15" customHeight="1" x14ac:dyDescent="0.3">
      <c r="A2995" s="4">
        <v>45475</v>
      </c>
      <c r="B2995" s="5">
        <f t="shared" si="724"/>
        <v>7</v>
      </c>
      <c r="C2995" s="5">
        <f t="shared" si="725"/>
        <v>2024</v>
      </c>
      <c r="D2995" s="5" t="s">
        <v>2746</v>
      </c>
      <c r="E2995" s="5" t="str">
        <f>VLOOKUP(F2995,'Set up'!$A$2:$C$70,2,FALSE)</f>
        <v>C00000052</v>
      </c>
      <c r="F2995" s="1" t="s">
        <v>2734</v>
      </c>
      <c r="G2995" s="99" t="s">
        <v>2735</v>
      </c>
      <c r="H2995" s="5">
        <v>1</v>
      </c>
      <c r="I2995" s="5" t="str">
        <f>VLOOKUP(F2995,'Set up'!$A$2:$C$70,3,FALSE)</f>
        <v>Cash</v>
      </c>
      <c r="J2995" s="5">
        <f>VLOOKUP(F2995,'Set up'!$A$2:$D$70,4,FALSE)</f>
        <v>0</v>
      </c>
      <c r="K2995" s="4">
        <f t="shared" si="726"/>
        <v>45475</v>
      </c>
      <c r="L2995" s="5">
        <f t="shared" si="727"/>
        <v>7</v>
      </c>
      <c r="M2995" s="5">
        <f t="shared" si="728"/>
        <v>2024</v>
      </c>
      <c r="N2995" s="12">
        <v>337.5</v>
      </c>
      <c r="O2995" s="6">
        <f t="shared" ref="O2995:O3003" si="738">-N2995</f>
        <v>-337.5</v>
      </c>
      <c r="P2995" s="6">
        <f t="shared" si="733"/>
        <v>0</v>
      </c>
      <c r="Q2995" s="7">
        <f t="shared" si="730"/>
        <v>4902599.9499999993</v>
      </c>
      <c r="R2995" s="44" t="str">
        <f>VLOOKUP(F2995,'Set up'!$A$2:$E$70,5,FALSE)</f>
        <v>Cash</v>
      </c>
      <c r="S2995" s="1" t="s">
        <v>2783</v>
      </c>
    </row>
    <row r="2996" spans="1:19" ht="15" customHeight="1" x14ac:dyDescent="0.3">
      <c r="A2996" s="4">
        <v>45475</v>
      </c>
      <c r="B2996" s="5">
        <f t="shared" si="724"/>
        <v>7</v>
      </c>
      <c r="C2996" s="5">
        <f t="shared" si="725"/>
        <v>2024</v>
      </c>
      <c r="D2996" s="5" t="s">
        <v>2746</v>
      </c>
      <c r="E2996" s="5" t="str">
        <f>VLOOKUP(F2996,'Set up'!$A$2:$C$70,2,FALSE)</f>
        <v>C00000052</v>
      </c>
      <c r="F2996" s="1" t="s">
        <v>2734</v>
      </c>
      <c r="G2996" s="99" t="s">
        <v>2570</v>
      </c>
      <c r="H2996" s="5">
        <v>1</v>
      </c>
      <c r="I2996" s="5" t="str">
        <f>VLOOKUP(F2996,'Set up'!$A$2:$C$70,3,FALSE)</f>
        <v>Cash</v>
      </c>
      <c r="J2996" s="5">
        <f>VLOOKUP(F2996,'Set up'!$A$2:$D$70,4,FALSE)</f>
        <v>0</v>
      </c>
      <c r="K2996" s="4">
        <f t="shared" si="726"/>
        <v>45475</v>
      </c>
      <c r="L2996" s="5">
        <f t="shared" si="727"/>
        <v>7</v>
      </c>
      <c r="M2996" s="5">
        <f t="shared" si="728"/>
        <v>2024</v>
      </c>
      <c r="N2996" s="12">
        <v>255</v>
      </c>
      <c r="O2996" s="6">
        <f t="shared" si="738"/>
        <v>-255</v>
      </c>
      <c r="P2996" s="6">
        <f t="shared" si="733"/>
        <v>0</v>
      </c>
      <c r="Q2996" s="7">
        <f t="shared" si="730"/>
        <v>4902854.9499999993</v>
      </c>
      <c r="R2996" s="44" t="str">
        <f>VLOOKUP(F2996,'Set up'!$A$2:$E$70,5,FALSE)</f>
        <v>Cash</v>
      </c>
      <c r="S2996" s="1" t="s">
        <v>2783</v>
      </c>
    </row>
    <row r="2997" spans="1:19" ht="15" customHeight="1" x14ac:dyDescent="0.3">
      <c r="A2997" s="4">
        <v>45475</v>
      </c>
      <c r="B2997" s="5">
        <f t="shared" si="724"/>
        <v>7</v>
      </c>
      <c r="C2997" s="5">
        <f t="shared" si="725"/>
        <v>2024</v>
      </c>
      <c r="D2997" s="5" t="s">
        <v>2746</v>
      </c>
      <c r="E2997" s="5" t="str">
        <f>VLOOKUP(F2997,'Set up'!$A$2:$C$70,2,FALSE)</f>
        <v>C00000052</v>
      </c>
      <c r="F2997" s="1" t="s">
        <v>2734</v>
      </c>
      <c r="G2997" s="99" t="s">
        <v>46</v>
      </c>
      <c r="H2997" s="5">
        <v>1</v>
      </c>
      <c r="I2997" s="5" t="str">
        <f>VLOOKUP(F2997,'Set up'!$A$2:$C$70,3,FALSE)</f>
        <v>Cash</v>
      </c>
      <c r="J2997" s="5">
        <f>VLOOKUP(F2997,'Set up'!$A$2:$D$70,4,FALSE)</f>
        <v>0</v>
      </c>
      <c r="K2997" s="4">
        <f t="shared" si="726"/>
        <v>45475</v>
      </c>
      <c r="L2997" s="5">
        <f t="shared" si="727"/>
        <v>7</v>
      </c>
      <c r="M2997" s="5">
        <f t="shared" si="728"/>
        <v>2024</v>
      </c>
      <c r="N2997" s="12">
        <v>115</v>
      </c>
      <c r="O2997" s="6">
        <f t="shared" si="738"/>
        <v>-115</v>
      </c>
      <c r="P2997" s="6">
        <f t="shared" si="733"/>
        <v>0</v>
      </c>
      <c r="Q2997" s="7">
        <f t="shared" si="730"/>
        <v>4902969.9499999993</v>
      </c>
      <c r="R2997" s="44" t="str">
        <f>VLOOKUP(F2997,'Set up'!$A$2:$E$70,5,FALSE)</f>
        <v>Cash</v>
      </c>
      <c r="S2997" s="1" t="s">
        <v>2783</v>
      </c>
    </row>
    <row r="2998" spans="1:19" ht="15" customHeight="1" x14ac:dyDescent="0.3">
      <c r="A2998" s="4">
        <v>45475</v>
      </c>
      <c r="B2998" s="5">
        <f t="shared" si="724"/>
        <v>7</v>
      </c>
      <c r="C2998" s="5">
        <f t="shared" si="725"/>
        <v>2024</v>
      </c>
      <c r="D2998" s="5" t="s">
        <v>2746</v>
      </c>
      <c r="E2998" s="5" t="str">
        <f>VLOOKUP(F2998,'Set up'!$A$2:$C$70,2,FALSE)</f>
        <v>C00000052</v>
      </c>
      <c r="F2998" s="1" t="s">
        <v>2734</v>
      </c>
      <c r="G2998" s="99" t="s">
        <v>1405</v>
      </c>
      <c r="H2998" s="5">
        <v>1</v>
      </c>
      <c r="I2998" s="5" t="str">
        <f>VLOOKUP(F2998,'Set up'!$A$2:$C$70,3,FALSE)</f>
        <v>Cash</v>
      </c>
      <c r="J2998" s="5">
        <f>VLOOKUP(F2998,'Set up'!$A$2:$D$70,4,FALSE)</f>
        <v>0</v>
      </c>
      <c r="K2998" s="4">
        <f t="shared" si="726"/>
        <v>45475</v>
      </c>
      <c r="L2998" s="5">
        <f t="shared" si="727"/>
        <v>7</v>
      </c>
      <c r="M2998" s="5">
        <f t="shared" si="728"/>
        <v>2024</v>
      </c>
      <c r="N2998" s="12">
        <v>49</v>
      </c>
      <c r="O2998" s="6">
        <f t="shared" si="738"/>
        <v>-49</v>
      </c>
      <c r="P2998" s="6">
        <f t="shared" si="733"/>
        <v>0</v>
      </c>
      <c r="Q2998" s="7">
        <f t="shared" si="730"/>
        <v>4903018.9499999993</v>
      </c>
      <c r="R2998" s="44" t="str">
        <f>VLOOKUP(F2998,'Set up'!$A$2:$E$70,5,FALSE)</f>
        <v>Cash</v>
      </c>
      <c r="S2998" s="1" t="s">
        <v>2783</v>
      </c>
    </row>
    <row r="2999" spans="1:19" ht="15" customHeight="1" x14ac:dyDescent="0.3">
      <c r="A2999" s="4">
        <v>45475</v>
      </c>
      <c r="B2999" s="5">
        <f t="shared" si="724"/>
        <v>7</v>
      </c>
      <c r="C2999" s="5">
        <f t="shared" si="725"/>
        <v>2024</v>
      </c>
      <c r="D2999" s="5" t="s">
        <v>2746</v>
      </c>
      <c r="E2999" s="5" t="str">
        <f>VLOOKUP(F2999,'Set up'!$A$2:$C$70,2,FALSE)</f>
        <v>C00000052</v>
      </c>
      <c r="F2999" s="1" t="s">
        <v>2734</v>
      </c>
      <c r="G2999" s="99" t="s">
        <v>2098</v>
      </c>
      <c r="H2999" s="5">
        <v>1</v>
      </c>
      <c r="I2999" s="5" t="str">
        <f>VLOOKUP(F2999,'Set up'!$A$2:$C$70,3,FALSE)</f>
        <v>Cash</v>
      </c>
      <c r="J2999" s="5">
        <f>VLOOKUP(F2999,'Set up'!$A$2:$D$70,4,FALSE)</f>
        <v>0</v>
      </c>
      <c r="K2999" s="4">
        <f t="shared" si="726"/>
        <v>45475</v>
      </c>
      <c r="L2999" s="5">
        <f t="shared" si="727"/>
        <v>7</v>
      </c>
      <c r="M2999" s="5">
        <f t="shared" si="728"/>
        <v>2024</v>
      </c>
      <c r="N2999" s="12">
        <v>297</v>
      </c>
      <c r="O2999" s="6">
        <f t="shared" si="738"/>
        <v>-297</v>
      </c>
      <c r="P2999" s="6">
        <f t="shared" si="733"/>
        <v>0</v>
      </c>
      <c r="Q2999" s="7">
        <f t="shared" si="730"/>
        <v>4903315.9499999993</v>
      </c>
      <c r="R2999" s="44" t="str">
        <f>VLOOKUP(F2999,'Set up'!$A$2:$E$70,5,FALSE)</f>
        <v>Cash</v>
      </c>
      <c r="S2999" s="1" t="s">
        <v>2783</v>
      </c>
    </row>
    <row r="3000" spans="1:19" ht="15" customHeight="1" x14ac:dyDescent="0.3">
      <c r="A3000" s="4">
        <v>45475</v>
      </c>
      <c r="B3000" s="5">
        <f t="shared" si="724"/>
        <v>7</v>
      </c>
      <c r="C3000" s="5">
        <f t="shared" si="725"/>
        <v>2024</v>
      </c>
      <c r="D3000" s="5" t="s">
        <v>2746</v>
      </c>
      <c r="E3000" s="5" t="str">
        <f>VLOOKUP(F3000,'Set up'!$A$2:$C$70,2,FALSE)</f>
        <v>C00000052</v>
      </c>
      <c r="F3000" s="1" t="s">
        <v>2734</v>
      </c>
      <c r="G3000" s="99" t="s">
        <v>2652</v>
      </c>
      <c r="H3000" s="5">
        <v>1</v>
      </c>
      <c r="I3000" s="5" t="str">
        <f>VLOOKUP(F3000,'Set up'!$A$2:$C$70,3,FALSE)</f>
        <v>Cash</v>
      </c>
      <c r="J3000" s="5">
        <f>VLOOKUP(F3000,'Set up'!$A$2:$D$70,4,FALSE)</f>
        <v>0</v>
      </c>
      <c r="K3000" s="4">
        <f t="shared" si="726"/>
        <v>45475</v>
      </c>
      <c r="L3000" s="5">
        <f t="shared" si="727"/>
        <v>7</v>
      </c>
      <c r="M3000" s="5">
        <f t="shared" si="728"/>
        <v>2024</v>
      </c>
      <c r="N3000" s="12">
        <v>48</v>
      </c>
      <c r="O3000" s="6">
        <f t="shared" si="738"/>
        <v>-48</v>
      </c>
      <c r="P3000" s="6">
        <f t="shared" si="733"/>
        <v>0</v>
      </c>
      <c r="Q3000" s="7">
        <f t="shared" si="730"/>
        <v>4903363.9499999993</v>
      </c>
      <c r="R3000" s="44" t="str">
        <f>VLOOKUP(F3000,'Set up'!$A$2:$E$70,5,FALSE)</f>
        <v>Cash</v>
      </c>
      <c r="S3000" s="1" t="s">
        <v>2783</v>
      </c>
    </row>
    <row r="3001" spans="1:19" ht="15" customHeight="1" x14ac:dyDescent="0.3">
      <c r="A3001" s="4">
        <v>45475</v>
      </c>
      <c r="B3001" s="5">
        <f t="shared" si="724"/>
        <v>7</v>
      </c>
      <c r="C3001" s="5">
        <f t="shared" si="725"/>
        <v>2024</v>
      </c>
      <c r="D3001" s="5" t="s">
        <v>2746</v>
      </c>
      <c r="E3001" s="5" t="str">
        <f>VLOOKUP(F3001,'Set up'!$A$2:$C$70,2,FALSE)</f>
        <v>C00000052</v>
      </c>
      <c r="F3001" s="1" t="s">
        <v>2734</v>
      </c>
      <c r="G3001" s="99" t="s">
        <v>2736</v>
      </c>
      <c r="H3001" s="5">
        <v>5</v>
      </c>
      <c r="I3001" s="5" t="str">
        <f>VLOOKUP(F3001,'Set up'!$A$2:$C$70,3,FALSE)</f>
        <v>Cash</v>
      </c>
      <c r="J3001" s="5">
        <f>VLOOKUP(F3001,'Set up'!$A$2:$D$70,4,FALSE)</f>
        <v>0</v>
      </c>
      <c r="K3001" s="4">
        <f t="shared" si="726"/>
        <v>45475</v>
      </c>
      <c r="L3001" s="5">
        <f t="shared" si="727"/>
        <v>7</v>
      </c>
      <c r="M3001" s="5">
        <f t="shared" si="728"/>
        <v>2024</v>
      </c>
      <c r="N3001" s="12">
        <v>30</v>
      </c>
      <c r="O3001" s="6">
        <f t="shared" si="738"/>
        <v>-30</v>
      </c>
      <c r="P3001" s="6">
        <f t="shared" si="733"/>
        <v>0</v>
      </c>
      <c r="Q3001" s="7">
        <f t="shared" si="730"/>
        <v>4903393.9499999993</v>
      </c>
      <c r="R3001" s="44" t="str">
        <f>VLOOKUP(F3001,'Set up'!$A$2:$E$70,5,FALSE)</f>
        <v>Cash</v>
      </c>
      <c r="S3001" s="1" t="s">
        <v>2783</v>
      </c>
    </row>
    <row r="3002" spans="1:19" ht="15" customHeight="1" x14ac:dyDescent="0.3">
      <c r="A3002" s="4">
        <v>45475</v>
      </c>
      <c r="B3002" s="5">
        <f t="shared" si="724"/>
        <v>7</v>
      </c>
      <c r="C3002" s="5">
        <f t="shared" si="725"/>
        <v>2024</v>
      </c>
      <c r="D3002" s="5" t="s">
        <v>2748</v>
      </c>
      <c r="E3002" s="5" t="str">
        <f>VLOOKUP(F3002,'Set up'!$A$2:$C$70,2,FALSE)</f>
        <v>C00000010</v>
      </c>
      <c r="F3002" s="1" t="s">
        <v>62</v>
      </c>
      <c r="G3002" s="99" t="s">
        <v>2137</v>
      </c>
      <c r="H3002" s="5">
        <v>1</v>
      </c>
      <c r="I3002" s="5">
        <f>VLOOKUP(F3002,'Set up'!$A$2:$C$70,3,FALSE)</f>
        <v>120</v>
      </c>
      <c r="J3002" s="5">
        <f>VLOOKUP(F3002,'Set up'!$A$2:$D$70,4,FALSE)</f>
        <v>120</v>
      </c>
      <c r="K3002" s="4">
        <f t="shared" si="726"/>
        <v>45595</v>
      </c>
      <c r="L3002" s="5">
        <f t="shared" si="727"/>
        <v>10</v>
      </c>
      <c r="M3002" s="5">
        <f t="shared" si="728"/>
        <v>2024</v>
      </c>
      <c r="N3002" s="12">
        <v>160</v>
      </c>
      <c r="O3002" s="6">
        <f t="shared" si="738"/>
        <v>-160</v>
      </c>
      <c r="P3002" s="6">
        <f t="shared" si="733"/>
        <v>0</v>
      </c>
      <c r="Q3002" s="7">
        <f t="shared" si="730"/>
        <v>4903553.9499999993</v>
      </c>
      <c r="R3002" s="44" t="str">
        <f>VLOOKUP(F3002,'Set up'!$A$2:$E$70,5,FALSE)</f>
        <v>Trsf</v>
      </c>
      <c r="S3002" s="1" t="s">
        <v>3288</v>
      </c>
    </row>
    <row r="3003" spans="1:19" ht="15" customHeight="1" x14ac:dyDescent="0.3">
      <c r="A3003" s="4">
        <v>45475</v>
      </c>
      <c r="B3003" s="5">
        <f t="shared" si="724"/>
        <v>7</v>
      </c>
      <c r="C3003" s="5">
        <f t="shared" si="725"/>
        <v>2024</v>
      </c>
      <c r="D3003" s="5" t="s">
        <v>2748</v>
      </c>
      <c r="E3003" s="5" t="str">
        <f>VLOOKUP(F3003,'Set up'!$A$2:$C$70,2,FALSE)</f>
        <v>C00000010</v>
      </c>
      <c r="F3003" s="1" t="s">
        <v>62</v>
      </c>
      <c r="G3003" s="99" t="s">
        <v>2737</v>
      </c>
      <c r="H3003" s="5">
        <v>1</v>
      </c>
      <c r="I3003" s="5">
        <f>VLOOKUP(F3003,'Set up'!$A$2:$C$70,3,FALSE)</f>
        <v>120</v>
      </c>
      <c r="J3003" s="5">
        <f>VLOOKUP(F3003,'Set up'!$A$2:$D$70,4,FALSE)</f>
        <v>120</v>
      </c>
      <c r="K3003" s="4">
        <f t="shared" si="726"/>
        <v>45595</v>
      </c>
      <c r="L3003" s="5">
        <f t="shared" si="727"/>
        <v>10</v>
      </c>
      <c r="M3003" s="5">
        <f t="shared" si="728"/>
        <v>2024</v>
      </c>
      <c r="N3003" s="12">
        <v>260</v>
      </c>
      <c r="O3003" s="6">
        <f t="shared" si="738"/>
        <v>-260</v>
      </c>
      <c r="P3003" s="6">
        <f t="shared" si="733"/>
        <v>0</v>
      </c>
      <c r="Q3003" s="7">
        <f t="shared" si="730"/>
        <v>4903813.9499999993</v>
      </c>
      <c r="R3003" s="44" t="str">
        <f>VLOOKUP(F3003,'Set up'!$A$2:$E$70,5,FALSE)</f>
        <v>Trsf</v>
      </c>
      <c r="S3003" s="1" t="s">
        <v>3288</v>
      </c>
    </row>
    <row r="3004" spans="1:19" ht="15" customHeight="1" x14ac:dyDescent="0.3">
      <c r="A3004" s="4">
        <v>45475</v>
      </c>
      <c r="B3004" s="5">
        <f t="shared" si="724"/>
        <v>7</v>
      </c>
      <c r="C3004" s="5">
        <f t="shared" si="725"/>
        <v>2024</v>
      </c>
      <c r="D3004" s="5" t="s">
        <v>2749</v>
      </c>
      <c r="E3004" s="5" t="str">
        <f>VLOOKUP(F3004,'Set up'!$A$2:$C$70,2,FALSE)</f>
        <v>C00000044</v>
      </c>
      <c r="F3004" s="1" t="s">
        <v>2929</v>
      </c>
      <c r="G3004" s="99" t="s">
        <v>2738</v>
      </c>
      <c r="H3004" s="5">
        <v>3</v>
      </c>
      <c r="I3004" s="5" t="str">
        <f>VLOOKUP(F3004,'Set up'!$A$2:$C$70,3,FALSE)</f>
        <v>Cash</v>
      </c>
      <c r="J3004" s="5">
        <f>VLOOKUP(F3004,'Set up'!$A$2:$D$70,4,FALSE)</f>
        <v>0</v>
      </c>
      <c r="K3004" s="4">
        <f t="shared" si="726"/>
        <v>45475</v>
      </c>
      <c r="L3004" s="5">
        <f t="shared" si="727"/>
        <v>7</v>
      </c>
      <c r="M3004" s="5">
        <f t="shared" si="728"/>
        <v>2024</v>
      </c>
      <c r="N3004" s="12">
        <v>534</v>
      </c>
      <c r="O3004" s="6">
        <f t="shared" ref="O3004:O3005" si="739">-N3004</f>
        <v>-534</v>
      </c>
      <c r="P3004" s="6">
        <f t="shared" si="733"/>
        <v>0</v>
      </c>
      <c r="Q3004" s="7">
        <f t="shared" si="730"/>
        <v>4904347.9499999993</v>
      </c>
      <c r="R3004" s="44" t="str">
        <f>VLOOKUP(F3004,'Set up'!$A$2:$E$70,5,FALSE)</f>
        <v>Cash</v>
      </c>
      <c r="S3004" s="1" t="s">
        <v>2824</v>
      </c>
    </row>
    <row r="3005" spans="1:19" ht="15" customHeight="1" x14ac:dyDescent="0.3">
      <c r="A3005" s="4">
        <v>45475</v>
      </c>
      <c r="B3005" s="5">
        <f t="shared" si="724"/>
        <v>7</v>
      </c>
      <c r="C3005" s="5">
        <f t="shared" si="725"/>
        <v>2024</v>
      </c>
      <c r="D3005" s="5" t="s">
        <v>2749</v>
      </c>
      <c r="E3005" s="5" t="str">
        <f>VLOOKUP(F3005,'Set up'!$A$2:$C$70,2,FALSE)</f>
        <v>C00000044</v>
      </c>
      <c r="F3005" s="1" t="s">
        <v>2929</v>
      </c>
      <c r="G3005" s="99" t="s">
        <v>1351</v>
      </c>
      <c r="H3005" s="5">
        <v>4</v>
      </c>
      <c r="I3005" s="5" t="str">
        <f>VLOOKUP(F3005,'Set up'!$A$2:$C$70,3,FALSE)</f>
        <v>Cash</v>
      </c>
      <c r="J3005" s="5">
        <f>VLOOKUP(F3005,'Set up'!$A$2:$D$70,4,FALSE)</f>
        <v>0</v>
      </c>
      <c r="K3005" s="4">
        <f t="shared" si="726"/>
        <v>45475</v>
      </c>
      <c r="L3005" s="5">
        <f t="shared" si="727"/>
        <v>7</v>
      </c>
      <c r="M3005" s="5">
        <f t="shared" si="728"/>
        <v>2024</v>
      </c>
      <c r="N3005" s="12">
        <v>552</v>
      </c>
      <c r="O3005" s="6">
        <f t="shared" si="739"/>
        <v>-552</v>
      </c>
      <c r="P3005" s="6">
        <f t="shared" si="733"/>
        <v>0</v>
      </c>
      <c r="Q3005" s="7">
        <f t="shared" si="730"/>
        <v>4904899.9499999993</v>
      </c>
      <c r="R3005" s="44" t="str">
        <f>VLOOKUP(F3005,'Set up'!$A$2:$E$70,5,FALSE)</f>
        <v>Cash</v>
      </c>
      <c r="S3005" s="1" t="s">
        <v>2824</v>
      </c>
    </row>
    <row r="3006" spans="1:19" ht="15" customHeight="1" x14ac:dyDescent="0.3">
      <c r="A3006" s="4">
        <v>45475</v>
      </c>
      <c r="B3006" s="5">
        <f t="shared" si="724"/>
        <v>7</v>
      </c>
      <c r="C3006" s="5">
        <f t="shared" si="725"/>
        <v>2024</v>
      </c>
      <c r="D3006" s="5" t="s">
        <v>2750</v>
      </c>
      <c r="E3006" s="5" t="str">
        <f>VLOOKUP(F3006,'Set up'!$A$2:$C$70,2,FALSE)</f>
        <v>C00000027</v>
      </c>
      <c r="F3006" s="1" t="s">
        <v>859</v>
      </c>
      <c r="G3006" s="99" t="s">
        <v>95</v>
      </c>
      <c r="H3006" s="5">
        <v>4</v>
      </c>
      <c r="I3006" s="5" t="str">
        <f>VLOOKUP(F3006,'Set up'!$A$2:$C$70,3,FALSE)</f>
        <v>Cash</v>
      </c>
      <c r="J3006" s="5">
        <f>VLOOKUP(F3006,'Set up'!$A$2:$D$70,4,FALSE)</f>
        <v>0</v>
      </c>
      <c r="K3006" s="4">
        <f t="shared" si="726"/>
        <v>45475</v>
      </c>
      <c r="L3006" s="5">
        <f t="shared" si="727"/>
        <v>7</v>
      </c>
      <c r="M3006" s="5">
        <f t="shared" si="728"/>
        <v>2024</v>
      </c>
      <c r="N3006" s="12">
        <v>7040</v>
      </c>
      <c r="O3006" s="12">
        <f>-511.1-5000-1528.9</f>
        <v>-7040</v>
      </c>
      <c r="P3006" s="6">
        <f t="shared" si="733"/>
        <v>0</v>
      </c>
      <c r="Q3006" s="7">
        <f t="shared" si="730"/>
        <v>4911939.9499999993</v>
      </c>
      <c r="R3006" s="44" t="str">
        <f>VLOOKUP(F3006,'Set up'!$A$2:$E$70,5,FALSE)</f>
        <v>Trsf</v>
      </c>
      <c r="S3006" s="1" t="s">
        <v>3364</v>
      </c>
    </row>
    <row r="3007" spans="1:19" ht="15" customHeight="1" x14ac:dyDescent="0.3">
      <c r="A3007" s="4">
        <v>45475</v>
      </c>
      <c r="B3007" s="5">
        <f t="shared" si="724"/>
        <v>7</v>
      </c>
      <c r="C3007" s="5">
        <f t="shared" si="725"/>
        <v>2024</v>
      </c>
      <c r="D3007" s="5" t="s">
        <v>2750</v>
      </c>
      <c r="E3007" s="5" t="str">
        <f>VLOOKUP(F3007,'Set up'!$A$2:$C$70,2,FALSE)</f>
        <v>C00000027</v>
      </c>
      <c r="F3007" s="1" t="s">
        <v>859</v>
      </c>
      <c r="G3007" s="99" t="s">
        <v>1744</v>
      </c>
      <c r="H3007" s="5">
        <v>1</v>
      </c>
      <c r="I3007" s="5" t="str">
        <f>VLOOKUP(F3007,'Set up'!$A$2:$C$70,3,FALSE)</f>
        <v>Cash</v>
      </c>
      <c r="J3007" s="5">
        <f>VLOOKUP(F3007,'Set up'!$A$2:$D$70,4,FALSE)</f>
        <v>0</v>
      </c>
      <c r="K3007" s="4">
        <f t="shared" si="726"/>
        <v>45475</v>
      </c>
      <c r="L3007" s="5">
        <f t="shared" si="727"/>
        <v>7</v>
      </c>
      <c r="M3007" s="5">
        <f t="shared" si="728"/>
        <v>2024</v>
      </c>
      <c r="N3007" s="12">
        <v>1108.4000000000001</v>
      </c>
      <c r="O3007" s="6">
        <f t="shared" ref="O3007:O3011" si="740">-N3007</f>
        <v>-1108.4000000000001</v>
      </c>
      <c r="P3007" s="6">
        <f t="shared" si="733"/>
        <v>0</v>
      </c>
      <c r="Q3007" s="7">
        <f t="shared" si="730"/>
        <v>4913048.3499999996</v>
      </c>
      <c r="R3007" s="44" t="str">
        <f>VLOOKUP(F3007,'Set up'!$A$2:$E$70,5,FALSE)</f>
        <v>Trsf</v>
      </c>
      <c r="S3007" s="1" t="s">
        <v>3365</v>
      </c>
    </row>
    <row r="3008" spans="1:19" ht="15" customHeight="1" x14ac:dyDescent="0.3">
      <c r="A3008" s="4">
        <v>45475</v>
      </c>
      <c r="B3008" s="5">
        <f t="shared" si="724"/>
        <v>7</v>
      </c>
      <c r="C3008" s="5">
        <f t="shared" si="725"/>
        <v>2024</v>
      </c>
      <c r="D3008" s="5" t="s">
        <v>2750</v>
      </c>
      <c r="E3008" s="5" t="str">
        <f>VLOOKUP(F3008,'Set up'!$A$2:$C$70,2,FALSE)</f>
        <v>C00000027</v>
      </c>
      <c r="F3008" s="1" t="s">
        <v>859</v>
      </c>
      <c r="G3008" s="99" t="s">
        <v>1399</v>
      </c>
      <c r="H3008" s="5">
        <v>2</v>
      </c>
      <c r="I3008" s="5" t="str">
        <f>VLOOKUP(F3008,'Set up'!$A$2:$C$70,3,FALSE)</f>
        <v>Cash</v>
      </c>
      <c r="J3008" s="5">
        <f>VLOOKUP(F3008,'Set up'!$A$2:$D$70,4,FALSE)</f>
        <v>0</v>
      </c>
      <c r="K3008" s="4">
        <f t="shared" si="726"/>
        <v>45475</v>
      </c>
      <c r="L3008" s="5">
        <f t="shared" si="727"/>
        <v>7</v>
      </c>
      <c r="M3008" s="5">
        <f t="shared" si="728"/>
        <v>2024</v>
      </c>
      <c r="N3008" s="12">
        <v>320</v>
      </c>
      <c r="O3008" s="6">
        <f t="shared" si="740"/>
        <v>-320</v>
      </c>
      <c r="P3008" s="6">
        <f t="shared" si="733"/>
        <v>0</v>
      </c>
      <c r="Q3008" s="7">
        <f t="shared" si="730"/>
        <v>4913368.3499999996</v>
      </c>
      <c r="R3008" s="44" t="str">
        <f>VLOOKUP(F3008,'Set up'!$A$2:$E$70,5,FALSE)</f>
        <v>Trsf</v>
      </c>
      <c r="S3008" s="1" t="s">
        <v>3366</v>
      </c>
    </row>
    <row r="3009" spans="1:21" ht="15" customHeight="1" x14ac:dyDescent="0.3">
      <c r="A3009" s="4">
        <v>45475</v>
      </c>
      <c r="B3009" s="5">
        <f t="shared" si="724"/>
        <v>7</v>
      </c>
      <c r="C3009" s="5">
        <f t="shared" si="725"/>
        <v>2024</v>
      </c>
      <c r="D3009" s="5" t="s">
        <v>2750</v>
      </c>
      <c r="E3009" s="5" t="str">
        <f>VLOOKUP(F3009,'Set up'!$A$2:$C$70,2,FALSE)</f>
        <v>C00000027</v>
      </c>
      <c r="F3009" s="1" t="s">
        <v>859</v>
      </c>
      <c r="G3009" s="99" t="s">
        <v>949</v>
      </c>
      <c r="H3009" s="5">
        <v>6</v>
      </c>
      <c r="I3009" s="5" t="str">
        <f>VLOOKUP(F3009,'Set up'!$A$2:$C$70,3,FALSE)</f>
        <v>Cash</v>
      </c>
      <c r="J3009" s="5">
        <f>VLOOKUP(F3009,'Set up'!$A$2:$D$70,4,FALSE)</f>
        <v>0</v>
      </c>
      <c r="K3009" s="4">
        <f t="shared" si="726"/>
        <v>45475</v>
      </c>
      <c r="L3009" s="5">
        <f t="shared" si="727"/>
        <v>7</v>
      </c>
      <c r="M3009" s="5">
        <f t="shared" si="728"/>
        <v>2024</v>
      </c>
      <c r="N3009" s="12">
        <v>360</v>
      </c>
      <c r="O3009" s="6">
        <f t="shared" si="740"/>
        <v>-360</v>
      </c>
      <c r="P3009" s="6">
        <f t="shared" si="733"/>
        <v>0</v>
      </c>
      <c r="Q3009" s="7">
        <f t="shared" si="730"/>
        <v>4913728.3499999996</v>
      </c>
      <c r="R3009" s="44" t="str">
        <f>VLOOKUP(F3009,'Set up'!$A$2:$E$70,5,FALSE)</f>
        <v>Trsf</v>
      </c>
      <c r="S3009" s="1" t="s">
        <v>3367</v>
      </c>
    </row>
    <row r="3010" spans="1:21" ht="15" customHeight="1" x14ac:dyDescent="0.3">
      <c r="A3010" s="4">
        <v>45475</v>
      </c>
      <c r="B3010" s="5">
        <f t="shared" si="724"/>
        <v>7</v>
      </c>
      <c r="C3010" s="5">
        <f t="shared" si="725"/>
        <v>2024</v>
      </c>
      <c r="D3010" s="5" t="s">
        <v>2750</v>
      </c>
      <c r="E3010" s="5" t="str">
        <f>VLOOKUP(F3010,'Set up'!$A$2:$C$70,2,FALSE)</f>
        <v>C00000027</v>
      </c>
      <c r="F3010" s="1" t="s">
        <v>859</v>
      </c>
      <c r="G3010" s="99" t="s">
        <v>1061</v>
      </c>
      <c r="H3010" s="5">
        <v>2</v>
      </c>
      <c r="I3010" s="5" t="str">
        <f>VLOOKUP(F3010,'Set up'!$A$2:$C$70,3,FALSE)</f>
        <v>Cash</v>
      </c>
      <c r="J3010" s="5">
        <f>VLOOKUP(F3010,'Set up'!$A$2:$D$70,4,FALSE)</f>
        <v>0</v>
      </c>
      <c r="K3010" s="4">
        <f t="shared" si="726"/>
        <v>45475</v>
      </c>
      <c r="L3010" s="5">
        <f t="shared" si="727"/>
        <v>7</v>
      </c>
      <c r="M3010" s="5">
        <f t="shared" si="728"/>
        <v>2024</v>
      </c>
      <c r="N3010" s="12">
        <v>190</v>
      </c>
      <c r="O3010" s="6">
        <f t="shared" si="740"/>
        <v>-190</v>
      </c>
      <c r="P3010" s="6">
        <f t="shared" si="733"/>
        <v>0</v>
      </c>
      <c r="Q3010" s="7">
        <f t="shared" si="730"/>
        <v>4913918.3499999996</v>
      </c>
      <c r="R3010" s="44" t="str">
        <f>VLOOKUP(F3010,'Set up'!$A$2:$E$70,5,FALSE)</f>
        <v>Trsf</v>
      </c>
      <c r="S3010" s="1" t="s">
        <v>3368</v>
      </c>
    </row>
    <row r="3011" spans="1:21" ht="15" customHeight="1" x14ac:dyDescent="0.3">
      <c r="A3011" s="4">
        <v>45475</v>
      </c>
      <c r="B3011" s="5">
        <f t="shared" ref="B3011:B3074" si="741">MONTH(A3011)</f>
        <v>7</v>
      </c>
      <c r="C3011" s="5">
        <f t="shared" ref="C3011:C3074" si="742">YEAR(A3011)</f>
        <v>2024</v>
      </c>
      <c r="D3011" s="5" t="s">
        <v>2750</v>
      </c>
      <c r="E3011" s="5" t="str">
        <f>VLOOKUP(F3011,'Set up'!$A$2:$C$70,2,FALSE)</f>
        <v>C00000027</v>
      </c>
      <c r="F3011" s="1" t="s">
        <v>859</v>
      </c>
      <c r="G3011" s="99" t="s">
        <v>2144</v>
      </c>
      <c r="H3011" s="5">
        <v>2</v>
      </c>
      <c r="I3011" s="5" t="str">
        <f>VLOOKUP(F3011,'Set up'!$A$2:$C$70,3,FALSE)</f>
        <v>Cash</v>
      </c>
      <c r="J3011" s="5">
        <f>VLOOKUP(F3011,'Set up'!$A$2:$D$70,4,FALSE)</f>
        <v>0</v>
      </c>
      <c r="K3011" s="4">
        <f t="shared" ref="K3011:K3074" si="743">A3011+J3011</f>
        <v>45475</v>
      </c>
      <c r="L3011" s="5">
        <f t="shared" ref="L3011:L3074" si="744">MONTH(K3011)</f>
        <v>7</v>
      </c>
      <c r="M3011" s="5">
        <f t="shared" ref="M3011:M3074" si="745">YEAR(K3011)</f>
        <v>2024</v>
      </c>
      <c r="N3011" s="12">
        <v>563.20000000000005</v>
      </c>
      <c r="O3011" s="6">
        <f t="shared" si="740"/>
        <v>-563.20000000000005</v>
      </c>
      <c r="P3011" s="6">
        <f t="shared" si="733"/>
        <v>0</v>
      </c>
      <c r="Q3011" s="7">
        <f t="shared" ref="Q3011:Q3074" si="746">SUM(Q3010+N3011)</f>
        <v>4914481.55</v>
      </c>
      <c r="R3011" s="44" t="str">
        <f>VLOOKUP(F3011,'Set up'!$A$2:$E$70,5,FALSE)</f>
        <v>Trsf</v>
      </c>
      <c r="S3011" s="1" t="s">
        <v>3369</v>
      </c>
    </row>
    <row r="3012" spans="1:21" ht="15" customHeight="1" x14ac:dyDescent="0.3">
      <c r="A3012" s="4">
        <v>45475</v>
      </c>
      <c r="B3012" s="5">
        <f t="shared" si="741"/>
        <v>7</v>
      </c>
      <c r="C3012" s="5">
        <f t="shared" si="742"/>
        <v>2024</v>
      </c>
      <c r="D3012" s="5" t="s">
        <v>2750</v>
      </c>
      <c r="E3012" s="5" t="str">
        <f>VLOOKUP(F3012,'Set up'!$A$2:$C$70,2,FALSE)</f>
        <v>C00000027</v>
      </c>
      <c r="F3012" s="1" t="s">
        <v>859</v>
      </c>
      <c r="G3012" s="99" t="s">
        <v>893</v>
      </c>
      <c r="H3012" s="5">
        <v>4</v>
      </c>
      <c r="I3012" s="5" t="str">
        <f>VLOOKUP(F3012,'Set up'!$A$2:$C$70,3,FALSE)</f>
        <v>Cash</v>
      </c>
      <c r="J3012" s="5">
        <f>VLOOKUP(F3012,'Set up'!$A$2:$D$70,4,FALSE)</f>
        <v>0</v>
      </c>
      <c r="K3012" s="4">
        <f t="shared" si="743"/>
        <v>45475</v>
      </c>
      <c r="L3012" s="5">
        <f t="shared" si="744"/>
        <v>7</v>
      </c>
      <c r="M3012" s="5">
        <f t="shared" si="745"/>
        <v>2024</v>
      </c>
      <c r="N3012" s="12">
        <v>1684.8</v>
      </c>
      <c r="O3012" s="12">
        <f>-929.5-755.3</f>
        <v>-1684.8</v>
      </c>
      <c r="P3012" s="6">
        <f t="shared" si="733"/>
        <v>0</v>
      </c>
      <c r="Q3012" s="7">
        <f t="shared" si="746"/>
        <v>4916166.3499999996</v>
      </c>
      <c r="R3012" s="44" t="str">
        <f>VLOOKUP(F3012,'Set up'!$A$2:$E$70,5,FALSE)</f>
        <v>Trsf</v>
      </c>
      <c r="S3012" s="1" t="s">
        <v>3370</v>
      </c>
    </row>
    <row r="3013" spans="1:21" ht="15" customHeight="1" x14ac:dyDescent="0.3">
      <c r="A3013" s="4">
        <v>45475</v>
      </c>
      <c r="B3013" s="5">
        <f t="shared" si="741"/>
        <v>7</v>
      </c>
      <c r="C3013" s="5">
        <f t="shared" si="742"/>
        <v>2024</v>
      </c>
      <c r="D3013" s="5" t="s">
        <v>2751</v>
      </c>
      <c r="E3013" s="5" t="str">
        <f>VLOOKUP(F3013,'Set up'!$A$2:$C$70,2,FALSE)</f>
        <v>C00000003</v>
      </c>
      <c r="F3013" s="1" t="s">
        <v>20</v>
      </c>
      <c r="G3013" s="99" t="s">
        <v>2646</v>
      </c>
      <c r="H3013" s="5">
        <v>2</v>
      </c>
      <c r="I3013" s="5">
        <f>VLOOKUP(F3013,'Set up'!$A$2:$C$70,3,FALSE)</f>
        <v>45</v>
      </c>
      <c r="J3013" s="5">
        <f>VLOOKUP(F3013,'Set up'!$A$2:$D$70,4,FALSE)</f>
        <v>45</v>
      </c>
      <c r="K3013" s="4">
        <f t="shared" si="743"/>
        <v>45520</v>
      </c>
      <c r="L3013" s="5">
        <f t="shared" si="744"/>
        <v>8</v>
      </c>
      <c r="M3013" s="5">
        <f t="shared" si="745"/>
        <v>2024</v>
      </c>
      <c r="N3013" s="12">
        <v>130</v>
      </c>
      <c r="O3013" s="6">
        <f>-N3013</f>
        <v>-130</v>
      </c>
      <c r="P3013" s="6">
        <f t="shared" si="733"/>
        <v>0</v>
      </c>
      <c r="Q3013" s="7">
        <f t="shared" si="746"/>
        <v>4916296.3499999996</v>
      </c>
      <c r="R3013" s="44" t="str">
        <f>VLOOKUP(F3013,'Set up'!$A$2:$E$70,5,FALSE)</f>
        <v>PD Chq</v>
      </c>
      <c r="S3013" s="1" t="s">
        <v>2833</v>
      </c>
      <c r="U3013" s="1" t="s">
        <v>3603</v>
      </c>
    </row>
    <row r="3014" spans="1:21" ht="15" customHeight="1" x14ac:dyDescent="0.3">
      <c r="A3014" s="4">
        <v>45476</v>
      </c>
      <c r="B3014" s="5">
        <f t="shared" si="741"/>
        <v>7</v>
      </c>
      <c r="C3014" s="5">
        <f t="shared" si="742"/>
        <v>2024</v>
      </c>
      <c r="D3014" s="5" t="s">
        <v>2752</v>
      </c>
      <c r="E3014" s="5" t="str">
        <f>VLOOKUP(F3014,'Set up'!$A$2:$C$70,2,FALSE)</f>
        <v>C00000049</v>
      </c>
      <c r="F3014" s="1" t="s">
        <v>2728</v>
      </c>
      <c r="G3014" s="99" t="s">
        <v>2739</v>
      </c>
      <c r="H3014" s="5">
        <v>1</v>
      </c>
      <c r="I3014" s="5" t="str">
        <f>VLOOKUP(F3014,'Set up'!$A$2:$C$70,3,FALSE)</f>
        <v>Cash</v>
      </c>
      <c r="J3014" s="5">
        <f>VLOOKUP(F3014,'Set up'!$A$2:$D$70,4,FALSE)</f>
        <v>0</v>
      </c>
      <c r="K3014" s="4">
        <f t="shared" si="743"/>
        <v>45476</v>
      </c>
      <c r="L3014" s="5">
        <f t="shared" si="744"/>
        <v>7</v>
      </c>
      <c r="M3014" s="5">
        <f t="shared" si="745"/>
        <v>2024</v>
      </c>
      <c r="N3014" s="12">
        <v>200</v>
      </c>
      <c r="O3014" s="6">
        <f t="shared" ref="O3014:O3021" si="747">-N3014</f>
        <v>-200</v>
      </c>
      <c r="P3014" s="6">
        <f t="shared" si="733"/>
        <v>0</v>
      </c>
      <c r="Q3014" s="7">
        <f t="shared" si="746"/>
        <v>4916496.3499999996</v>
      </c>
      <c r="R3014" s="44" t="str">
        <f>VLOOKUP(F3014,'Set up'!$A$2:$E$70,5,FALSE)</f>
        <v>Cash</v>
      </c>
      <c r="S3014" s="1" t="s">
        <v>2784</v>
      </c>
    </row>
    <row r="3015" spans="1:21" ht="15" customHeight="1" x14ac:dyDescent="0.3">
      <c r="A3015" s="4">
        <v>45476</v>
      </c>
      <c r="B3015" s="5">
        <f t="shared" si="741"/>
        <v>7</v>
      </c>
      <c r="C3015" s="5">
        <f t="shared" si="742"/>
        <v>2024</v>
      </c>
      <c r="D3015" s="5" t="s">
        <v>2752</v>
      </c>
      <c r="E3015" s="5" t="str">
        <f>VLOOKUP(F3015,'Set up'!$A$2:$C$70,2,FALSE)</f>
        <v>C00000049</v>
      </c>
      <c r="F3015" s="1" t="s">
        <v>2728</v>
      </c>
      <c r="G3015" s="99" t="s">
        <v>1908</v>
      </c>
      <c r="H3015" s="5">
        <v>1</v>
      </c>
      <c r="I3015" s="5" t="str">
        <f>VLOOKUP(F3015,'Set up'!$A$2:$C$70,3,FALSE)</f>
        <v>Cash</v>
      </c>
      <c r="J3015" s="5">
        <f>VLOOKUP(F3015,'Set up'!$A$2:$D$70,4,FALSE)</f>
        <v>0</v>
      </c>
      <c r="K3015" s="4">
        <f t="shared" si="743"/>
        <v>45476</v>
      </c>
      <c r="L3015" s="5">
        <f t="shared" si="744"/>
        <v>7</v>
      </c>
      <c r="M3015" s="5">
        <f t="shared" si="745"/>
        <v>2024</v>
      </c>
      <c r="N3015" s="12">
        <v>175</v>
      </c>
      <c r="O3015" s="6">
        <f t="shared" si="747"/>
        <v>-175</v>
      </c>
      <c r="P3015" s="6">
        <f t="shared" si="733"/>
        <v>0</v>
      </c>
      <c r="Q3015" s="7">
        <f t="shared" si="746"/>
        <v>4916671.3499999996</v>
      </c>
      <c r="R3015" s="44" t="str">
        <f>VLOOKUP(F3015,'Set up'!$A$2:$E$70,5,FALSE)</f>
        <v>Cash</v>
      </c>
      <c r="S3015" s="1" t="s">
        <v>2784</v>
      </c>
    </row>
    <row r="3016" spans="1:21" ht="15" customHeight="1" x14ac:dyDescent="0.3">
      <c r="A3016" s="4">
        <v>45477</v>
      </c>
      <c r="B3016" s="5">
        <f t="shared" si="741"/>
        <v>7</v>
      </c>
      <c r="C3016" s="5">
        <f t="shared" si="742"/>
        <v>2024</v>
      </c>
      <c r="D3016" s="5" t="s">
        <v>2753</v>
      </c>
      <c r="E3016" s="5" t="str">
        <f>VLOOKUP(F3016,'Set up'!$A$2:$C$70,2,FALSE)</f>
        <v>C00000006</v>
      </c>
      <c r="F3016" s="1" t="s">
        <v>43</v>
      </c>
      <c r="G3016" s="99" t="s">
        <v>95</v>
      </c>
      <c r="H3016" s="5">
        <v>1</v>
      </c>
      <c r="I3016" s="5" t="str">
        <f>VLOOKUP(F3016,'Set up'!$A$2:$C$70,3,FALSE)</f>
        <v>Cash</v>
      </c>
      <c r="J3016" s="5">
        <f>VLOOKUP(F3016,'Set up'!$A$2:$D$70,4,FALSE)</f>
        <v>0</v>
      </c>
      <c r="K3016" s="4">
        <f t="shared" si="743"/>
        <v>45477</v>
      </c>
      <c r="L3016" s="5">
        <f t="shared" si="744"/>
        <v>7</v>
      </c>
      <c r="M3016" s="5">
        <f t="shared" si="745"/>
        <v>2024</v>
      </c>
      <c r="N3016" s="12">
        <v>1738</v>
      </c>
      <c r="O3016" s="6">
        <f t="shared" si="747"/>
        <v>-1738</v>
      </c>
      <c r="P3016" s="6">
        <f t="shared" si="733"/>
        <v>0</v>
      </c>
      <c r="Q3016" s="7">
        <f t="shared" si="746"/>
        <v>4918409.3499999996</v>
      </c>
      <c r="R3016" s="44" t="str">
        <f>VLOOKUP(F3016,'Set up'!$A$2:$E$70,5,FALSE)</f>
        <v>Chq</v>
      </c>
      <c r="S3016" s="1" t="s">
        <v>2987</v>
      </c>
    </row>
    <row r="3017" spans="1:21" ht="15" customHeight="1" x14ac:dyDescent="0.3">
      <c r="A3017" s="4">
        <v>45477</v>
      </c>
      <c r="B3017" s="5">
        <f t="shared" si="741"/>
        <v>7</v>
      </c>
      <c r="C3017" s="5">
        <f t="shared" si="742"/>
        <v>2024</v>
      </c>
      <c r="D3017" s="5" t="s">
        <v>2753</v>
      </c>
      <c r="E3017" s="5" t="str">
        <f>VLOOKUP(F3017,'Set up'!$A$2:$C$70,2,FALSE)</f>
        <v>C00000006</v>
      </c>
      <c r="F3017" s="1" t="s">
        <v>43</v>
      </c>
      <c r="G3017" s="99" t="s">
        <v>2370</v>
      </c>
      <c r="H3017" s="5">
        <v>2</v>
      </c>
      <c r="I3017" s="5" t="str">
        <f>VLOOKUP(F3017,'Set up'!$A$2:$C$70,3,FALSE)</f>
        <v>Cash</v>
      </c>
      <c r="J3017" s="5">
        <f>VLOOKUP(F3017,'Set up'!$A$2:$D$70,4,FALSE)</f>
        <v>0</v>
      </c>
      <c r="K3017" s="4">
        <f t="shared" si="743"/>
        <v>45477</v>
      </c>
      <c r="L3017" s="5">
        <f t="shared" si="744"/>
        <v>7</v>
      </c>
      <c r="M3017" s="5">
        <f t="shared" si="745"/>
        <v>2024</v>
      </c>
      <c r="N3017" s="12">
        <v>555</v>
      </c>
      <c r="O3017" s="6">
        <f t="shared" si="747"/>
        <v>-555</v>
      </c>
      <c r="P3017" s="6">
        <f t="shared" si="733"/>
        <v>0</v>
      </c>
      <c r="Q3017" s="7">
        <f t="shared" si="746"/>
        <v>4918964.3499999996</v>
      </c>
      <c r="R3017" s="44" t="str">
        <f>VLOOKUP(F3017,'Set up'!$A$2:$E$70,5,FALSE)</f>
        <v>Chq</v>
      </c>
      <c r="S3017" s="1" t="s">
        <v>2987</v>
      </c>
    </row>
    <row r="3018" spans="1:21" ht="15" customHeight="1" x14ac:dyDescent="0.3">
      <c r="A3018" s="4">
        <v>45477</v>
      </c>
      <c r="B3018" s="5">
        <f t="shared" si="741"/>
        <v>7</v>
      </c>
      <c r="C3018" s="5">
        <f t="shared" si="742"/>
        <v>2024</v>
      </c>
      <c r="D3018" s="5" t="s">
        <v>2753</v>
      </c>
      <c r="E3018" s="5" t="str">
        <f>VLOOKUP(F3018,'Set up'!$A$2:$C$70,2,FALSE)</f>
        <v>C00000006</v>
      </c>
      <c r="F3018" s="1" t="s">
        <v>43</v>
      </c>
      <c r="G3018" s="99" t="s">
        <v>639</v>
      </c>
      <c r="H3018" s="5">
        <v>1</v>
      </c>
      <c r="I3018" s="5" t="str">
        <f>VLOOKUP(F3018,'Set up'!$A$2:$C$70,3,FALSE)</f>
        <v>Cash</v>
      </c>
      <c r="J3018" s="5">
        <f>VLOOKUP(F3018,'Set up'!$A$2:$D$70,4,FALSE)</f>
        <v>0</v>
      </c>
      <c r="K3018" s="4">
        <f t="shared" si="743"/>
        <v>45477</v>
      </c>
      <c r="L3018" s="5">
        <f t="shared" si="744"/>
        <v>7</v>
      </c>
      <c r="M3018" s="5">
        <f t="shared" si="745"/>
        <v>2024</v>
      </c>
      <c r="N3018" s="12">
        <v>322.5</v>
      </c>
      <c r="O3018" s="6">
        <f t="shared" si="747"/>
        <v>-322.5</v>
      </c>
      <c r="P3018" s="6">
        <f t="shared" si="733"/>
        <v>0</v>
      </c>
      <c r="Q3018" s="7">
        <f t="shared" si="746"/>
        <v>4919286.8499999996</v>
      </c>
      <c r="R3018" s="44" t="str">
        <f>VLOOKUP(F3018,'Set up'!$A$2:$E$70,5,FALSE)</f>
        <v>Chq</v>
      </c>
      <c r="S3018" s="1" t="s">
        <v>2987</v>
      </c>
    </row>
    <row r="3019" spans="1:21" ht="15" customHeight="1" x14ac:dyDescent="0.3">
      <c r="A3019" s="4">
        <v>45477</v>
      </c>
      <c r="B3019" s="5">
        <f t="shared" si="741"/>
        <v>7</v>
      </c>
      <c r="C3019" s="5">
        <f t="shared" si="742"/>
        <v>2024</v>
      </c>
      <c r="D3019" s="5" t="s">
        <v>2753</v>
      </c>
      <c r="E3019" s="5" t="str">
        <f>VLOOKUP(F3019,'Set up'!$A$2:$C$70,2,FALSE)</f>
        <v>C00000006</v>
      </c>
      <c r="F3019" s="1" t="s">
        <v>43</v>
      </c>
      <c r="G3019" s="99" t="s">
        <v>949</v>
      </c>
      <c r="H3019" s="5">
        <v>2</v>
      </c>
      <c r="I3019" s="5" t="str">
        <f>VLOOKUP(F3019,'Set up'!$A$2:$C$70,3,FALSE)</f>
        <v>Cash</v>
      </c>
      <c r="J3019" s="5">
        <f>VLOOKUP(F3019,'Set up'!$A$2:$D$70,4,FALSE)</f>
        <v>0</v>
      </c>
      <c r="K3019" s="4">
        <f t="shared" si="743"/>
        <v>45477</v>
      </c>
      <c r="L3019" s="5">
        <f t="shared" si="744"/>
        <v>7</v>
      </c>
      <c r="M3019" s="5">
        <f t="shared" si="745"/>
        <v>2024</v>
      </c>
      <c r="N3019" s="12">
        <v>120</v>
      </c>
      <c r="O3019" s="6">
        <f t="shared" si="747"/>
        <v>-120</v>
      </c>
      <c r="P3019" s="6">
        <f t="shared" si="733"/>
        <v>0</v>
      </c>
      <c r="Q3019" s="7">
        <f t="shared" si="746"/>
        <v>4919406.8499999996</v>
      </c>
      <c r="R3019" s="44" t="str">
        <f>VLOOKUP(F3019,'Set up'!$A$2:$E$70,5,FALSE)</f>
        <v>Chq</v>
      </c>
      <c r="S3019" s="1" t="s">
        <v>2987</v>
      </c>
    </row>
    <row r="3020" spans="1:21" ht="15" customHeight="1" x14ac:dyDescent="0.3">
      <c r="A3020" s="4">
        <v>45477</v>
      </c>
      <c r="B3020" s="5">
        <f t="shared" si="741"/>
        <v>7</v>
      </c>
      <c r="C3020" s="5">
        <f t="shared" si="742"/>
        <v>2024</v>
      </c>
      <c r="D3020" s="5" t="s">
        <v>2753</v>
      </c>
      <c r="E3020" s="5" t="str">
        <f>VLOOKUP(F3020,'Set up'!$A$2:$C$70,2,FALSE)</f>
        <v>C00000006</v>
      </c>
      <c r="F3020" s="1" t="s">
        <v>43</v>
      </c>
      <c r="G3020" s="99" t="s">
        <v>1793</v>
      </c>
      <c r="H3020" s="5">
        <v>1</v>
      </c>
      <c r="I3020" s="5" t="str">
        <f>VLOOKUP(F3020,'Set up'!$A$2:$C$70,3,FALSE)</f>
        <v>Cash</v>
      </c>
      <c r="J3020" s="5">
        <f>VLOOKUP(F3020,'Set up'!$A$2:$D$70,4,FALSE)</f>
        <v>0</v>
      </c>
      <c r="K3020" s="4">
        <f t="shared" si="743"/>
        <v>45477</v>
      </c>
      <c r="L3020" s="5">
        <f t="shared" si="744"/>
        <v>7</v>
      </c>
      <c r="M3020" s="5">
        <f t="shared" si="745"/>
        <v>2024</v>
      </c>
      <c r="N3020" s="12">
        <v>175</v>
      </c>
      <c r="O3020" s="6">
        <f t="shared" si="747"/>
        <v>-175</v>
      </c>
      <c r="P3020" s="6">
        <f t="shared" si="733"/>
        <v>0</v>
      </c>
      <c r="Q3020" s="7">
        <f t="shared" si="746"/>
        <v>4919581.8499999996</v>
      </c>
      <c r="R3020" s="44" t="str">
        <f>VLOOKUP(F3020,'Set up'!$A$2:$E$70,5,FALSE)</f>
        <v>Chq</v>
      </c>
      <c r="S3020" s="1" t="s">
        <v>2987</v>
      </c>
    </row>
    <row r="3021" spans="1:21" ht="15" customHeight="1" x14ac:dyDescent="0.3">
      <c r="A3021" s="4">
        <v>45477</v>
      </c>
      <c r="B3021" s="5">
        <f t="shared" si="741"/>
        <v>7</v>
      </c>
      <c r="C3021" s="5">
        <f t="shared" si="742"/>
        <v>2024</v>
      </c>
      <c r="D3021" s="5" t="s">
        <v>2753</v>
      </c>
      <c r="E3021" s="5" t="str">
        <f>VLOOKUP(F3021,'Set up'!$A$2:$C$70,2,FALSE)</f>
        <v>C00000006</v>
      </c>
      <c r="F3021" s="1" t="s">
        <v>43</v>
      </c>
      <c r="G3021" s="99" t="s">
        <v>46</v>
      </c>
      <c r="H3021" s="5">
        <v>2</v>
      </c>
      <c r="I3021" s="5" t="str">
        <f>VLOOKUP(F3021,'Set up'!$A$2:$C$70,3,FALSE)</f>
        <v>Cash</v>
      </c>
      <c r="J3021" s="5">
        <f>VLOOKUP(F3021,'Set up'!$A$2:$D$70,4,FALSE)</f>
        <v>0</v>
      </c>
      <c r="K3021" s="4">
        <f t="shared" si="743"/>
        <v>45477</v>
      </c>
      <c r="L3021" s="5">
        <f t="shared" si="744"/>
        <v>7</v>
      </c>
      <c r="M3021" s="5">
        <f t="shared" si="745"/>
        <v>2024</v>
      </c>
      <c r="N3021" s="12">
        <v>210</v>
      </c>
      <c r="O3021" s="6">
        <f t="shared" si="747"/>
        <v>-210</v>
      </c>
      <c r="P3021" s="6">
        <f t="shared" si="733"/>
        <v>0</v>
      </c>
      <c r="Q3021" s="7">
        <f t="shared" si="746"/>
        <v>4919791.8499999996</v>
      </c>
      <c r="R3021" s="44" t="str">
        <f>VLOOKUP(F3021,'Set up'!$A$2:$E$70,5,FALSE)</f>
        <v>Chq</v>
      </c>
      <c r="S3021" s="1" t="s">
        <v>2987</v>
      </c>
    </row>
    <row r="3022" spans="1:21" ht="15" customHeight="1" x14ac:dyDescent="0.3">
      <c r="A3022" s="4">
        <v>45477</v>
      </c>
      <c r="B3022" s="5">
        <f t="shared" si="741"/>
        <v>7</v>
      </c>
      <c r="C3022" s="5">
        <f t="shared" si="742"/>
        <v>2024</v>
      </c>
      <c r="D3022" s="5" t="s">
        <v>2754</v>
      </c>
      <c r="E3022" s="5" t="str">
        <f>VLOOKUP(F3022,'Set up'!$A$2:$C$70,2,FALSE)</f>
        <v>C00000019</v>
      </c>
      <c r="F3022" s="1" t="s">
        <v>400</v>
      </c>
      <c r="G3022" s="99" t="s">
        <v>95</v>
      </c>
      <c r="H3022" s="5">
        <v>1</v>
      </c>
      <c r="I3022" s="5" t="str">
        <f>VLOOKUP(F3022,'Set up'!$A$2:$C$70,3,FALSE)</f>
        <v>Cash</v>
      </c>
      <c r="J3022" s="5">
        <f>VLOOKUP(F3022,'Set up'!$A$2:$D$70,4,FALSE)</f>
        <v>0</v>
      </c>
      <c r="K3022" s="4">
        <f t="shared" si="743"/>
        <v>45477</v>
      </c>
      <c r="L3022" s="5">
        <f t="shared" si="744"/>
        <v>7</v>
      </c>
      <c r="M3022" s="5">
        <f t="shared" si="745"/>
        <v>2024</v>
      </c>
      <c r="N3022" s="12">
        <v>1760</v>
      </c>
      <c r="O3022" s="12"/>
      <c r="P3022" s="6">
        <f t="shared" si="733"/>
        <v>1760</v>
      </c>
      <c r="Q3022" s="7">
        <f t="shared" si="746"/>
        <v>4921551.8499999996</v>
      </c>
      <c r="R3022" s="44" t="str">
        <f>VLOOKUP(F3022,'Set up'!$A$2:$E$70,5,FALSE)</f>
        <v>Trsf</v>
      </c>
    </row>
    <row r="3023" spans="1:21" ht="15" customHeight="1" x14ac:dyDescent="0.3">
      <c r="A3023" s="4">
        <v>45477</v>
      </c>
      <c r="B3023" s="5">
        <f t="shared" si="741"/>
        <v>7</v>
      </c>
      <c r="C3023" s="5">
        <f t="shared" si="742"/>
        <v>2024</v>
      </c>
      <c r="D3023" s="5" t="s">
        <v>2754</v>
      </c>
      <c r="E3023" s="5" t="str">
        <f>VLOOKUP(F3023,'Set up'!$A$2:$C$70,2,FALSE)</f>
        <v>C00000019</v>
      </c>
      <c r="F3023" s="1" t="s">
        <v>400</v>
      </c>
      <c r="G3023" s="99" t="s">
        <v>1411</v>
      </c>
      <c r="H3023" s="5">
        <v>1</v>
      </c>
      <c r="I3023" s="5" t="str">
        <f>VLOOKUP(F3023,'Set up'!$A$2:$C$70,3,FALSE)</f>
        <v>Cash</v>
      </c>
      <c r="J3023" s="5">
        <f>VLOOKUP(F3023,'Set up'!$A$2:$D$70,4,FALSE)</f>
        <v>0</v>
      </c>
      <c r="K3023" s="4">
        <f t="shared" si="743"/>
        <v>45477</v>
      </c>
      <c r="L3023" s="5">
        <f t="shared" si="744"/>
        <v>7</v>
      </c>
      <c r="M3023" s="5">
        <f t="shared" si="745"/>
        <v>2024</v>
      </c>
      <c r="N3023" s="12">
        <v>405</v>
      </c>
      <c r="O3023" s="12"/>
      <c r="P3023" s="6">
        <f t="shared" si="733"/>
        <v>405</v>
      </c>
      <c r="Q3023" s="7">
        <f t="shared" si="746"/>
        <v>4921956.8499999996</v>
      </c>
      <c r="R3023" s="44" t="str">
        <f>VLOOKUP(F3023,'Set up'!$A$2:$E$70,5,FALSE)</f>
        <v>Trsf</v>
      </c>
    </row>
    <row r="3024" spans="1:21" ht="15" customHeight="1" x14ac:dyDescent="0.3">
      <c r="A3024" s="4">
        <v>45477</v>
      </c>
      <c r="B3024" s="5">
        <f t="shared" si="741"/>
        <v>7</v>
      </c>
      <c r="C3024" s="5">
        <f t="shared" si="742"/>
        <v>2024</v>
      </c>
      <c r="D3024" s="5" t="s">
        <v>2754</v>
      </c>
      <c r="E3024" s="5" t="str">
        <f>VLOOKUP(F3024,'Set up'!$A$2:$C$70,2,FALSE)</f>
        <v>C00000019</v>
      </c>
      <c r="F3024" s="1" t="s">
        <v>400</v>
      </c>
      <c r="G3024" s="99" t="s">
        <v>2635</v>
      </c>
      <c r="H3024" s="5">
        <v>2</v>
      </c>
      <c r="I3024" s="5" t="str">
        <f>VLOOKUP(F3024,'Set up'!$A$2:$C$70,3,FALSE)</f>
        <v>Cash</v>
      </c>
      <c r="J3024" s="5">
        <f>VLOOKUP(F3024,'Set up'!$A$2:$D$70,4,FALSE)</f>
        <v>0</v>
      </c>
      <c r="K3024" s="4">
        <f t="shared" si="743"/>
        <v>45477</v>
      </c>
      <c r="L3024" s="5">
        <f t="shared" si="744"/>
        <v>7</v>
      </c>
      <c r="M3024" s="5">
        <f t="shared" si="745"/>
        <v>2024</v>
      </c>
      <c r="N3024" s="12">
        <v>125</v>
      </c>
      <c r="O3024" s="12"/>
      <c r="P3024" s="6">
        <f t="shared" si="733"/>
        <v>125</v>
      </c>
      <c r="Q3024" s="7">
        <f t="shared" si="746"/>
        <v>4922081.8499999996</v>
      </c>
      <c r="R3024" s="44" t="str">
        <f>VLOOKUP(F3024,'Set up'!$A$2:$E$70,5,FALSE)</f>
        <v>Trsf</v>
      </c>
    </row>
    <row r="3025" spans="1:19" ht="15" customHeight="1" x14ac:dyDescent="0.3">
      <c r="A3025" s="4">
        <v>45477</v>
      </c>
      <c r="B3025" s="5">
        <f t="shared" si="741"/>
        <v>7</v>
      </c>
      <c r="C3025" s="5">
        <f t="shared" si="742"/>
        <v>2024</v>
      </c>
      <c r="D3025" s="5" t="s">
        <v>2754</v>
      </c>
      <c r="E3025" s="5" t="str">
        <f>VLOOKUP(F3025,'Set up'!$A$2:$C$70,2,FALSE)</f>
        <v>C00000019</v>
      </c>
      <c r="F3025" s="1" t="s">
        <v>400</v>
      </c>
      <c r="G3025" s="99" t="s">
        <v>2449</v>
      </c>
      <c r="H3025" s="5">
        <v>1</v>
      </c>
      <c r="I3025" s="5" t="str">
        <f>VLOOKUP(F3025,'Set up'!$A$2:$C$70,3,FALSE)</f>
        <v>Cash</v>
      </c>
      <c r="J3025" s="5">
        <f>VLOOKUP(F3025,'Set up'!$A$2:$D$70,4,FALSE)</f>
        <v>0</v>
      </c>
      <c r="K3025" s="4">
        <f t="shared" si="743"/>
        <v>45477</v>
      </c>
      <c r="L3025" s="5">
        <f t="shared" si="744"/>
        <v>7</v>
      </c>
      <c r="M3025" s="5">
        <f t="shared" si="745"/>
        <v>2024</v>
      </c>
      <c r="N3025" s="12">
        <v>420</v>
      </c>
      <c r="O3025" s="12"/>
      <c r="P3025" s="6">
        <f t="shared" si="733"/>
        <v>420</v>
      </c>
      <c r="Q3025" s="7">
        <f t="shared" si="746"/>
        <v>4922501.8499999996</v>
      </c>
      <c r="R3025" s="44" t="str">
        <f>VLOOKUP(F3025,'Set up'!$A$2:$E$70,5,FALSE)</f>
        <v>Trsf</v>
      </c>
    </row>
    <row r="3026" spans="1:19" ht="15" customHeight="1" x14ac:dyDescent="0.3">
      <c r="A3026" s="4">
        <v>45477</v>
      </c>
      <c r="B3026" s="5">
        <f t="shared" si="741"/>
        <v>7</v>
      </c>
      <c r="C3026" s="5">
        <f t="shared" si="742"/>
        <v>2024</v>
      </c>
      <c r="D3026" s="5" t="s">
        <v>2754</v>
      </c>
      <c r="E3026" s="5" t="str">
        <f>VLOOKUP(F3026,'Set up'!$A$2:$C$70,2,FALSE)</f>
        <v>C00000019</v>
      </c>
      <c r="F3026" s="1" t="s">
        <v>400</v>
      </c>
      <c r="G3026" s="99" t="s">
        <v>1469</v>
      </c>
      <c r="H3026" s="5">
        <v>1</v>
      </c>
      <c r="I3026" s="5" t="str">
        <f>VLOOKUP(F3026,'Set up'!$A$2:$C$70,3,FALSE)</f>
        <v>Cash</v>
      </c>
      <c r="J3026" s="5">
        <f>VLOOKUP(F3026,'Set up'!$A$2:$D$70,4,FALSE)</f>
        <v>0</v>
      </c>
      <c r="K3026" s="4">
        <f t="shared" si="743"/>
        <v>45477</v>
      </c>
      <c r="L3026" s="5">
        <f t="shared" si="744"/>
        <v>7</v>
      </c>
      <c r="M3026" s="5">
        <f t="shared" si="745"/>
        <v>2024</v>
      </c>
      <c r="N3026" s="12">
        <v>395</v>
      </c>
      <c r="O3026" s="12"/>
      <c r="P3026" s="6">
        <f t="shared" si="733"/>
        <v>395</v>
      </c>
      <c r="Q3026" s="7">
        <f t="shared" si="746"/>
        <v>4922896.8499999996</v>
      </c>
      <c r="R3026" s="44" t="str">
        <f>VLOOKUP(F3026,'Set up'!$A$2:$E$70,5,FALSE)</f>
        <v>Trsf</v>
      </c>
    </row>
    <row r="3027" spans="1:19" ht="15" customHeight="1" x14ac:dyDescent="0.3">
      <c r="A3027" s="4">
        <v>45479</v>
      </c>
      <c r="B3027" s="5">
        <f t="shared" si="741"/>
        <v>7</v>
      </c>
      <c r="C3027" s="5">
        <f t="shared" si="742"/>
        <v>2024</v>
      </c>
      <c r="D3027" s="5" t="s">
        <v>2755</v>
      </c>
      <c r="E3027" s="5" t="str">
        <f>VLOOKUP(F3027,'Set up'!$A$2:$C$70,2,FALSE)</f>
        <v>C00000044</v>
      </c>
      <c r="F3027" s="1" t="s">
        <v>2929</v>
      </c>
      <c r="G3027" s="99" t="s">
        <v>1178</v>
      </c>
      <c r="H3027" s="5">
        <v>1</v>
      </c>
      <c r="I3027" s="5" t="str">
        <f>VLOOKUP(F3027,'Set up'!$A$2:$C$70,3,FALSE)</f>
        <v>Cash</v>
      </c>
      <c r="J3027" s="5">
        <f>VLOOKUP(F3027,'Set up'!$A$2:$D$70,4,FALSE)</f>
        <v>0</v>
      </c>
      <c r="K3027" s="4">
        <f t="shared" si="743"/>
        <v>45479</v>
      </c>
      <c r="L3027" s="5">
        <f t="shared" si="744"/>
        <v>7</v>
      </c>
      <c r="M3027" s="5">
        <f t="shared" si="745"/>
        <v>2024</v>
      </c>
      <c r="N3027" s="12">
        <v>1694</v>
      </c>
      <c r="O3027" s="6">
        <f t="shared" ref="O3027:O3028" si="748">-N3027</f>
        <v>-1694</v>
      </c>
      <c r="P3027" s="6">
        <f t="shared" si="733"/>
        <v>0</v>
      </c>
      <c r="Q3027" s="7">
        <f t="shared" si="746"/>
        <v>4924590.8499999996</v>
      </c>
      <c r="R3027" s="44" t="str">
        <f>VLOOKUP(F3027,'Set up'!$A$2:$E$70,5,FALSE)</f>
        <v>Cash</v>
      </c>
      <c r="S3027" s="1" t="s">
        <v>2825</v>
      </c>
    </row>
    <row r="3028" spans="1:19" ht="15" customHeight="1" x14ac:dyDescent="0.3">
      <c r="A3028" s="4">
        <v>45479</v>
      </c>
      <c r="B3028" s="5">
        <f t="shared" si="741"/>
        <v>7</v>
      </c>
      <c r="C3028" s="5">
        <f t="shared" si="742"/>
        <v>2024</v>
      </c>
      <c r="D3028" s="5" t="s">
        <v>2755</v>
      </c>
      <c r="E3028" s="5" t="str">
        <f>VLOOKUP(F3028,'Set up'!$A$2:$C$70,2,FALSE)</f>
        <v>C00000044</v>
      </c>
      <c r="F3028" s="1" t="s">
        <v>2929</v>
      </c>
      <c r="G3028" s="99" t="s">
        <v>2570</v>
      </c>
      <c r="H3028" s="5">
        <v>2</v>
      </c>
      <c r="I3028" s="5" t="str">
        <f>VLOOKUP(F3028,'Set up'!$A$2:$C$70,3,FALSE)</f>
        <v>Cash</v>
      </c>
      <c r="J3028" s="5">
        <f>VLOOKUP(F3028,'Set up'!$A$2:$D$70,4,FALSE)</f>
        <v>0</v>
      </c>
      <c r="K3028" s="4">
        <f t="shared" si="743"/>
        <v>45479</v>
      </c>
      <c r="L3028" s="5">
        <f t="shared" si="744"/>
        <v>7</v>
      </c>
      <c r="M3028" s="5">
        <f t="shared" si="745"/>
        <v>2024</v>
      </c>
      <c r="N3028" s="12">
        <v>438</v>
      </c>
      <c r="O3028" s="6">
        <f t="shared" si="748"/>
        <v>-438</v>
      </c>
      <c r="P3028" s="6">
        <f t="shared" si="733"/>
        <v>0</v>
      </c>
      <c r="Q3028" s="7">
        <f t="shared" si="746"/>
        <v>4925028.8499999996</v>
      </c>
      <c r="R3028" s="44" t="str">
        <f>VLOOKUP(F3028,'Set up'!$A$2:$E$70,5,FALSE)</f>
        <v>Cash</v>
      </c>
      <c r="S3028" s="1" t="s">
        <v>2825</v>
      </c>
    </row>
    <row r="3029" spans="1:19" ht="15" customHeight="1" x14ac:dyDescent="0.3">
      <c r="A3029" s="4">
        <v>45479</v>
      </c>
      <c r="B3029" s="5">
        <f t="shared" si="741"/>
        <v>7</v>
      </c>
      <c r="C3029" s="5">
        <f t="shared" si="742"/>
        <v>2024</v>
      </c>
      <c r="D3029" s="5" t="s">
        <v>2756</v>
      </c>
      <c r="E3029" s="5" t="str">
        <f>VLOOKUP(F3029,'Set up'!$A$2:$C$70,2,FALSE)</f>
        <v>C00000049</v>
      </c>
      <c r="F3029" s="1" t="s">
        <v>2728</v>
      </c>
      <c r="G3029" s="99" t="s">
        <v>95</v>
      </c>
      <c r="H3029" s="5">
        <v>1</v>
      </c>
      <c r="I3029" s="5" t="str">
        <f>VLOOKUP(F3029,'Set up'!$A$2:$C$70,3,FALSE)</f>
        <v>Cash</v>
      </c>
      <c r="J3029" s="5">
        <f>VLOOKUP(F3029,'Set up'!$A$2:$D$70,4,FALSE)</f>
        <v>0</v>
      </c>
      <c r="K3029" s="4">
        <f t="shared" si="743"/>
        <v>45479</v>
      </c>
      <c r="L3029" s="5">
        <f t="shared" si="744"/>
        <v>7</v>
      </c>
      <c r="M3029" s="5">
        <f t="shared" si="745"/>
        <v>2024</v>
      </c>
      <c r="N3029" s="12">
        <v>1760</v>
      </c>
      <c r="O3029" s="12">
        <f>-1500-260</f>
        <v>-1760</v>
      </c>
      <c r="P3029" s="6">
        <f t="shared" ref="P3029:P3092" si="749">SUM(N3029+O3029)</f>
        <v>0</v>
      </c>
      <c r="Q3029" s="7">
        <f t="shared" si="746"/>
        <v>4926788.8499999996</v>
      </c>
      <c r="R3029" s="44" t="str">
        <f>VLOOKUP(F3029,'Set up'!$A$2:$E$70,5,FALSE)</f>
        <v>Cash</v>
      </c>
      <c r="S3029" s="1" t="s">
        <v>2785</v>
      </c>
    </row>
    <row r="3030" spans="1:19" ht="15" customHeight="1" x14ac:dyDescent="0.3">
      <c r="A3030" s="4">
        <v>45482</v>
      </c>
      <c r="B3030" s="5">
        <f t="shared" si="741"/>
        <v>7</v>
      </c>
      <c r="C3030" s="5">
        <f t="shared" si="742"/>
        <v>2024</v>
      </c>
      <c r="D3030" s="5" t="s">
        <v>2757</v>
      </c>
      <c r="E3030" s="5" t="str">
        <f>VLOOKUP(F3030,'Set up'!$A$2:$C$70,2,FALSE)</f>
        <v>C00000042</v>
      </c>
      <c r="F3030" s="1" t="s">
        <v>2012</v>
      </c>
      <c r="G3030" s="99" t="s">
        <v>2646</v>
      </c>
      <c r="H3030" s="5">
        <v>15</v>
      </c>
      <c r="I3030" s="5" t="str">
        <f>VLOOKUP(F3030,'Set up'!$A$2:$C$70,3,FALSE)</f>
        <v>Cash</v>
      </c>
      <c r="J3030" s="5">
        <f>VLOOKUP(F3030,'Set up'!$A$2:$D$70,4,FALSE)</f>
        <v>0</v>
      </c>
      <c r="K3030" s="4">
        <f t="shared" si="743"/>
        <v>45482</v>
      </c>
      <c r="L3030" s="5">
        <f t="shared" si="744"/>
        <v>7</v>
      </c>
      <c r="M3030" s="5">
        <f t="shared" si="745"/>
        <v>2024</v>
      </c>
      <c r="N3030" s="12">
        <v>937.5</v>
      </c>
      <c r="O3030" s="6">
        <f t="shared" ref="O3030" si="750">-N3030</f>
        <v>-937.5</v>
      </c>
      <c r="P3030" s="6">
        <f t="shared" si="749"/>
        <v>0</v>
      </c>
      <c r="Q3030" s="7">
        <f t="shared" si="746"/>
        <v>4927726.3499999996</v>
      </c>
      <c r="R3030" s="44" t="str">
        <f>VLOOKUP(F3030,'Set up'!$A$2:$E$70,5,FALSE)</f>
        <v>Trsf</v>
      </c>
      <c r="S3030" s="1" t="s">
        <v>3294</v>
      </c>
    </row>
    <row r="3031" spans="1:19" ht="15" customHeight="1" x14ac:dyDescent="0.3">
      <c r="A3031" s="4">
        <v>45482</v>
      </c>
      <c r="B3031" s="5">
        <f t="shared" si="741"/>
        <v>7</v>
      </c>
      <c r="C3031" s="5">
        <f t="shared" si="742"/>
        <v>2024</v>
      </c>
      <c r="D3031" s="5" t="s">
        <v>2758</v>
      </c>
      <c r="E3031" s="5" t="str">
        <f>VLOOKUP(F3031,'Set up'!$A$2:$C$70,2,FALSE)</f>
        <v>C00000042</v>
      </c>
      <c r="F3031" s="1" t="s">
        <v>2012</v>
      </c>
      <c r="G3031" s="99" t="s">
        <v>2552</v>
      </c>
      <c r="H3031" s="5">
        <v>15</v>
      </c>
      <c r="I3031" s="5" t="str">
        <f>VLOOKUP(F3031,'Set up'!$A$2:$C$70,3,FALSE)</f>
        <v>Cash</v>
      </c>
      <c r="J3031" s="5">
        <f>VLOOKUP(F3031,'Set up'!$A$2:$D$70,4,FALSE)</f>
        <v>0</v>
      </c>
      <c r="K3031" s="4">
        <f t="shared" si="743"/>
        <v>45482</v>
      </c>
      <c r="L3031" s="5">
        <f t="shared" si="744"/>
        <v>7</v>
      </c>
      <c r="M3031" s="5">
        <f t="shared" si="745"/>
        <v>2024</v>
      </c>
      <c r="N3031" s="12">
        <v>24420</v>
      </c>
      <c r="O3031" s="12">
        <f>-8495.6-15924.4</f>
        <v>-24420</v>
      </c>
      <c r="P3031" s="6">
        <f t="shared" si="749"/>
        <v>0</v>
      </c>
      <c r="Q3031" s="7">
        <f t="shared" si="746"/>
        <v>4952146.3499999996</v>
      </c>
      <c r="R3031" s="44" t="str">
        <f>VLOOKUP(F3031,'Set up'!$A$2:$E$70,5,FALSE)</f>
        <v>Trsf</v>
      </c>
      <c r="S3031" s="1" t="s">
        <v>3295</v>
      </c>
    </row>
    <row r="3032" spans="1:19" ht="15" customHeight="1" x14ac:dyDescent="0.3">
      <c r="A3032" s="4">
        <v>45482</v>
      </c>
      <c r="B3032" s="5">
        <f t="shared" si="741"/>
        <v>7</v>
      </c>
      <c r="C3032" s="5">
        <f t="shared" si="742"/>
        <v>2024</v>
      </c>
      <c r="D3032" s="5" t="s">
        <v>2758</v>
      </c>
      <c r="E3032" s="5" t="str">
        <f>VLOOKUP(F3032,'Set up'!$A$2:$C$70,2,FALSE)</f>
        <v>C00000042</v>
      </c>
      <c r="F3032" s="1" t="s">
        <v>2012</v>
      </c>
      <c r="G3032" s="99" t="s">
        <v>2370</v>
      </c>
      <c r="H3032" s="5">
        <v>40</v>
      </c>
      <c r="I3032" s="5" t="str">
        <f>VLOOKUP(F3032,'Set up'!$A$2:$C$70,3,FALSE)</f>
        <v>Cash</v>
      </c>
      <c r="J3032" s="5">
        <f>VLOOKUP(F3032,'Set up'!$A$2:$D$70,4,FALSE)</f>
        <v>0</v>
      </c>
      <c r="K3032" s="4">
        <f t="shared" si="743"/>
        <v>45482</v>
      </c>
      <c r="L3032" s="5">
        <f t="shared" si="744"/>
        <v>7</v>
      </c>
      <c r="M3032" s="5">
        <f t="shared" si="745"/>
        <v>2024</v>
      </c>
      <c r="N3032" s="12">
        <v>9028</v>
      </c>
      <c r="O3032" s="12">
        <f>-4075.6-4952.4</f>
        <v>-9028</v>
      </c>
      <c r="P3032" s="6">
        <f t="shared" si="749"/>
        <v>0</v>
      </c>
      <c r="Q3032" s="7">
        <f t="shared" si="746"/>
        <v>4961174.3499999996</v>
      </c>
      <c r="R3032" s="44" t="str">
        <f>VLOOKUP(F3032,'Set up'!$A$2:$E$70,5,FALSE)</f>
        <v>Trsf</v>
      </c>
      <c r="S3032" s="1" t="s">
        <v>3296</v>
      </c>
    </row>
    <row r="3033" spans="1:19" ht="15" customHeight="1" x14ac:dyDescent="0.3">
      <c r="A3033" s="4">
        <v>45482</v>
      </c>
      <c r="B3033" s="5">
        <f t="shared" si="741"/>
        <v>7</v>
      </c>
      <c r="C3033" s="5">
        <f t="shared" si="742"/>
        <v>2024</v>
      </c>
      <c r="D3033" s="5" t="s">
        <v>2758</v>
      </c>
      <c r="E3033" s="5" t="str">
        <f>VLOOKUP(F3033,'Set up'!$A$2:$C$70,2,FALSE)</f>
        <v>C00000042</v>
      </c>
      <c r="F3033" s="1" t="s">
        <v>2012</v>
      </c>
      <c r="G3033" s="99" t="s">
        <v>655</v>
      </c>
      <c r="H3033" s="5">
        <v>12</v>
      </c>
      <c r="I3033" s="5" t="str">
        <f>VLOOKUP(F3033,'Set up'!$A$2:$C$70,3,FALSE)</f>
        <v>Cash</v>
      </c>
      <c r="J3033" s="5">
        <f>VLOOKUP(F3033,'Set up'!$A$2:$D$70,4,FALSE)</f>
        <v>0</v>
      </c>
      <c r="K3033" s="4">
        <f t="shared" si="743"/>
        <v>45482</v>
      </c>
      <c r="L3033" s="5">
        <f t="shared" si="744"/>
        <v>7</v>
      </c>
      <c r="M3033" s="5">
        <f t="shared" si="745"/>
        <v>2024</v>
      </c>
      <c r="N3033" s="12">
        <v>2640</v>
      </c>
      <c r="O3033" s="6">
        <f t="shared" ref="O3033:O3038" si="751">-N3033</f>
        <v>-2640</v>
      </c>
      <c r="P3033" s="6">
        <f t="shared" si="749"/>
        <v>0</v>
      </c>
      <c r="Q3033" s="7">
        <f t="shared" si="746"/>
        <v>4963814.3499999996</v>
      </c>
      <c r="R3033" s="44" t="str">
        <f>VLOOKUP(F3033,'Set up'!$A$2:$E$70,5,FALSE)</f>
        <v>Trsf</v>
      </c>
      <c r="S3033" s="1" t="s">
        <v>3297</v>
      </c>
    </row>
    <row r="3034" spans="1:19" ht="15" customHeight="1" x14ac:dyDescent="0.3">
      <c r="A3034" s="4">
        <v>45482</v>
      </c>
      <c r="B3034" s="5">
        <f t="shared" si="741"/>
        <v>7</v>
      </c>
      <c r="C3034" s="5">
        <f t="shared" si="742"/>
        <v>2024</v>
      </c>
      <c r="D3034" s="5" t="s">
        <v>2758</v>
      </c>
      <c r="E3034" s="5" t="str">
        <f>VLOOKUP(F3034,'Set up'!$A$2:$C$70,2,FALSE)</f>
        <v>C00000042</v>
      </c>
      <c r="F3034" s="1" t="s">
        <v>2012</v>
      </c>
      <c r="G3034" s="99" t="s">
        <v>655</v>
      </c>
      <c r="H3034" s="5">
        <v>15</v>
      </c>
      <c r="I3034" s="5" t="str">
        <f>VLOOKUP(F3034,'Set up'!$A$2:$C$70,3,FALSE)</f>
        <v>Cash</v>
      </c>
      <c r="J3034" s="5">
        <f>VLOOKUP(F3034,'Set up'!$A$2:$D$70,4,FALSE)</f>
        <v>0</v>
      </c>
      <c r="K3034" s="4">
        <f t="shared" si="743"/>
        <v>45482</v>
      </c>
      <c r="L3034" s="5">
        <f t="shared" si="744"/>
        <v>7</v>
      </c>
      <c r="M3034" s="5">
        <f t="shared" si="745"/>
        <v>2024</v>
      </c>
      <c r="N3034" s="12">
        <v>3600</v>
      </c>
      <c r="O3034" s="6">
        <f t="shared" si="751"/>
        <v>-3600</v>
      </c>
      <c r="P3034" s="6">
        <f t="shared" si="749"/>
        <v>0</v>
      </c>
      <c r="Q3034" s="7">
        <f t="shared" si="746"/>
        <v>4967414.3499999996</v>
      </c>
      <c r="R3034" s="44" t="str">
        <f>VLOOKUP(F3034,'Set up'!$A$2:$E$70,5,FALSE)</f>
        <v>Trsf</v>
      </c>
      <c r="S3034" s="1" t="s">
        <v>3298</v>
      </c>
    </row>
    <row r="3035" spans="1:19" ht="15" customHeight="1" x14ac:dyDescent="0.3">
      <c r="A3035" s="4">
        <v>45482</v>
      </c>
      <c r="B3035" s="5">
        <f t="shared" si="741"/>
        <v>7</v>
      </c>
      <c r="C3035" s="5">
        <f t="shared" si="742"/>
        <v>2024</v>
      </c>
      <c r="D3035" s="5" t="s">
        <v>2758</v>
      </c>
      <c r="E3035" s="5" t="str">
        <f>VLOOKUP(F3035,'Set up'!$A$2:$C$70,2,FALSE)</f>
        <v>C00000042</v>
      </c>
      <c r="F3035" s="1" t="s">
        <v>2012</v>
      </c>
      <c r="G3035" s="99" t="s">
        <v>1061</v>
      </c>
      <c r="H3035" s="5">
        <v>4</v>
      </c>
      <c r="I3035" s="5" t="str">
        <f>VLOOKUP(F3035,'Set up'!$A$2:$C$70,3,FALSE)</f>
        <v>Cash</v>
      </c>
      <c r="J3035" s="5">
        <f>VLOOKUP(F3035,'Set up'!$A$2:$D$70,4,FALSE)</f>
        <v>0</v>
      </c>
      <c r="K3035" s="4">
        <f t="shared" si="743"/>
        <v>45482</v>
      </c>
      <c r="L3035" s="5">
        <f t="shared" si="744"/>
        <v>7</v>
      </c>
      <c r="M3035" s="5">
        <f t="shared" si="745"/>
        <v>2024</v>
      </c>
      <c r="N3035" s="12">
        <v>380</v>
      </c>
      <c r="O3035" s="6">
        <f t="shared" si="751"/>
        <v>-380</v>
      </c>
      <c r="P3035" s="6">
        <f t="shared" si="749"/>
        <v>0</v>
      </c>
      <c r="Q3035" s="7">
        <f t="shared" si="746"/>
        <v>4967794.3499999996</v>
      </c>
      <c r="R3035" s="44" t="str">
        <f>VLOOKUP(F3035,'Set up'!$A$2:$E$70,5,FALSE)</f>
        <v>Trsf</v>
      </c>
      <c r="S3035" s="1" t="s">
        <v>3299</v>
      </c>
    </row>
    <row r="3036" spans="1:19" ht="15" customHeight="1" x14ac:dyDescent="0.3">
      <c r="A3036" s="4">
        <v>45482</v>
      </c>
      <c r="B3036" s="5">
        <f t="shared" si="741"/>
        <v>7</v>
      </c>
      <c r="C3036" s="5">
        <f t="shared" si="742"/>
        <v>2024</v>
      </c>
      <c r="D3036" s="5" t="s">
        <v>2758</v>
      </c>
      <c r="E3036" s="5" t="str">
        <f>VLOOKUP(F3036,'Set up'!$A$2:$C$70,2,FALSE)</f>
        <v>C00000042</v>
      </c>
      <c r="F3036" s="1" t="s">
        <v>2012</v>
      </c>
      <c r="G3036" s="99" t="s">
        <v>1073</v>
      </c>
      <c r="H3036" s="5">
        <v>1</v>
      </c>
      <c r="I3036" s="5" t="str">
        <f>VLOOKUP(F3036,'Set up'!$A$2:$C$70,3,FALSE)</f>
        <v>Cash</v>
      </c>
      <c r="J3036" s="5">
        <f>VLOOKUP(F3036,'Set up'!$A$2:$D$70,4,FALSE)</f>
        <v>0</v>
      </c>
      <c r="K3036" s="4">
        <f t="shared" si="743"/>
        <v>45482</v>
      </c>
      <c r="L3036" s="5">
        <f t="shared" si="744"/>
        <v>7</v>
      </c>
      <c r="M3036" s="5">
        <f t="shared" si="745"/>
        <v>2024</v>
      </c>
      <c r="N3036" s="12">
        <v>1000</v>
      </c>
      <c r="O3036" s="6">
        <f t="shared" si="751"/>
        <v>-1000</v>
      </c>
      <c r="P3036" s="6">
        <f t="shared" si="749"/>
        <v>0</v>
      </c>
      <c r="Q3036" s="7">
        <f t="shared" si="746"/>
        <v>4968794.3499999996</v>
      </c>
      <c r="R3036" s="44" t="str">
        <f>VLOOKUP(F3036,'Set up'!$A$2:$E$70,5,FALSE)</f>
        <v>Trsf</v>
      </c>
      <c r="S3036" s="1" t="s">
        <v>3300</v>
      </c>
    </row>
    <row r="3037" spans="1:19" ht="15" customHeight="1" x14ac:dyDescent="0.3">
      <c r="A3037" s="4">
        <v>45485</v>
      </c>
      <c r="B3037" s="5">
        <f t="shared" si="741"/>
        <v>7</v>
      </c>
      <c r="C3037" s="5">
        <f t="shared" si="742"/>
        <v>2024</v>
      </c>
      <c r="D3037" s="5" t="s">
        <v>2759</v>
      </c>
      <c r="E3037" s="5" t="str">
        <f>VLOOKUP(F3037,'Set up'!$A$2:$C$70,2,FALSE)</f>
        <v>C00000009</v>
      </c>
      <c r="F3037" s="1" t="s">
        <v>58</v>
      </c>
      <c r="G3037" s="99" t="s">
        <v>1411</v>
      </c>
      <c r="H3037" s="5">
        <v>2</v>
      </c>
      <c r="I3037" s="5">
        <f>VLOOKUP(F3037,'Set up'!$A$2:$C$70,3,FALSE)</f>
        <v>60</v>
      </c>
      <c r="J3037" s="5">
        <f>VLOOKUP(F3037,'Set up'!$A$2:$D$70,4,FALSE)</f>
        <v>60</v>
      </c>
      <c r="K3037" s="4">
        <f t="shared" si="743"/>
        <v>45545</v>
      </c>
      <c r="L3037" s="5">
        <f t="shared" si="744"/>
        <v>9</v>
      </c>
      <c r="M3037" s="5">
        <f t="shared" si="745"/>
        <v>2024</v>
      </c>
      <c r="N3037" s="12">
        <v>658.8</v>
      </c>
      <c r="O3037" s="6">
        <f t="shared" si="751"/>
        <v>-658.8</v>
      </c>
      <c r="P3037" s="6">
        <f t="shared" si="749"/>
        <v>0</v>
      </c>
      <c r="Q3037" s="7">
        <f t="shared" si="746"/>
        <v>4969453.1499999994</v>
      </c>
      <c r="R3037" s="44" t="str">
        <f>VLOOKUP(F3037,'Set up'!$A$2:$E$70,5,FALSE)</f>
        <v>Chq</v>
      </c>
      <c r="S3037" s="1" t="s">
        <v>3432</v>
      </c>
    </row>
    <row r="3038" spans="1:19" ht="15" customHeight="1" x14ac:dyDescent="0.3">
      <c r="A3038" s="4">
        <v>45485</v>
      </c>
      <c r="B3038" s="5">
        <f t="shared" si="741"/>
        <v>7</v>
      </c>
      <c r="C3038" s="5">
        <f t="shared" si="742"/>
        <v>2024</v>
      </c>
      <c r="D3038" s="5" t="s">
        <v>2759</v>
      </c>
      <c r="E3038" s="5" t="str">
        <f>VLOOKUP(F3038,'Set up'!$A$2:$C$70,2,FALSE)</f>
        <v>C00000009</v>
      </c>
      <c r="F3038" s="1" t="s">
        <v>58</v>
      </c>
      <c r="G3038" s="99" t="s">
        <v>768</v>
      </c>
      <c r="H3038" s="5">
        <v>1</v>
      </c>
      <c r="I3038" s="5">
        <f>VLOOKUP(F3038,'Set up'!$A$2:$C$70,3,FALSE)</f>
        <v>60</v>
      </c>
      <c r="J3038" s="5">
        <f>VLOOKUP(F3038,'Set up'!$A$2:$D$70,4,FALSE)</f>
        <v>60</v>
      </c>
      <c r="K3038" s="4">
        <f t="shared" si="743"/>
        <v>45545</v>
      </c>
      <c r="L3038" s="5">
        <f t="shared" si="744"/>
        <v>9</v>
      </c>
      <c r="M3038" s="5">
        <f t="shared" si="745"/>
        <v>2024</v>
      </c>
      <c r="N3038" s="12">
        <v>160</v>
      </c>
      <c r="O3038" s="6">
        <f t="shared" si="751"/>
        <v>-160</v>
      </c>
      <c r="P3038" s="6">
        <f t="shared" si="749"/>
        <v>0</v>
      </c>
      <c r="Q3038" s="7">
        <f t="shared" si="746"/>
        <v>4969613.1499999994</v>
      </c>
      <c r="R3038" s="44" t="str">
        <f>VLOOKUP(F3038,'Set up'!$A$2:$E$70,5,FALSE)</f>
        <v>Chq</v>
      </c>
      <c r="S3038" s="1" t="s">
        <v>3432</v>
      </c>
    </row>
    <row r="3039" spans="1:19" ht="15" customHeight="1" x14ac:dyDescent="0.3">
      <c r="A3039" s="4">
        <v>45485</v>
      </c>
      <c r="B3039" s="5">
        <f t="shared" si="741"/>
        <v>7</v>
      </c>
      <c r="C3039" s="5">
        <f t="shared" si="742"/>
        <v>2024</v>
      </c>
      <c r="D3039" s="5" t="s">
        <v>2760</v>
      </c>
      <c r="E3039" s="5" t="str">
        <f>VLOOKUP(F3039,'Set up'!$A$2:$C$70,2,FALSE)</f>
        <v>C00000050</v>
      </c>
      <c r="F3039" s="1" t="s">
        <v>2656</v>
      </c>
      <c r="G3039" s="99" t="s">
        <v>1894</v>
      </c>
      <c r="H3039" s="5">
        <v>1</v>
      </c>
      <c r="I3039" s="5" t="str">
        <f>VLOOKUP(F3039,'Set up'!$A$2:$C$70,3,FALSE)</f>
        <v>Cash</v>
      </c>
      <c r="J3039" s="5">
        <f>VLOOKUP(F3039,'Set up'!$A$2:$D$70,4,FALSE)</f>
        <v>0</v>
      </c>
      <c r="K3039" s="4">
        <f t="shared" si="743"/>
        <v>45485</v>
      </c>
      <c r="L3039" s="5">
        <f t="shared" si="744"/>
        <v>7</v>
      </c>
      <c r="M3039" s="5">
        <f t="shared" si="745"/>
        <v>2024</v>
      </c>
      <c r="N3039" s="12">
        <v>1760</v>
      </c>
      <c r="O3039" s="6">
        <f t="shared" ref="O3039:O3042" si="752">-N3039</f>
        <v>-1760</v>
      </c>
      <c r="P3039" s="6">
        <f t="shared" si="749"/>
        <v>0</v>
      </c>
      <c r="Q3039" s="7">
        <f t="shared" si="746"/>
        <v>4971373.1499999994</v>
      </c>
      <c r="R3039" s="44" t="str">
        <f>VLOOKUP(F3039,'Set up'!$A$2:$E$70,5,FALSE)</f>
        <v>Cash</v>
      </c>
      <c r="S3039" s="1" t="s">
        <v>2834</v>
      </c>
    </row>
    <row r="3040" spans="1:19" ht="15" customHeight="1" x14ac:dyDescent="0.3">
      <c r="A3040" s="4">
        <v>45485</v>
      </c>
      <c r="B3040" s="5">
        <f t="shared" si="741"/>
        <v>7</v>
      </c>
      <c r="C3040" s="5">
        <f t="shared" si="742"/>
        <v>2024</v>
      </c>
      <c r="D3040" s="5" t="s">
        <v>2760</v>
      </c>
      <c r="E3040" s="5" t="str">
        <f>VLOOKUP(F3040,'Set up'!$A$2:$C$70,2,FALSE)</f>
        <v>C00000050</v>
      </c>
      <c r="F3040" s="1" t="s">
        <v>2656</v>
      </c>
      <c r="G3040" s="99" t="s">
        <v>2129</v>
      </c>
      <c r="H3040" s="5">
        <v>2</v>
      </c>
      <c r="I3040" s="5" t="str">
        <f>VLOOKUP(F3040,'Set up'!$A$2:$C$70,3,FALSE)</f>
        <v>Cash</v>
      </c>
      <c r="J3040" s="5">
        <f>VLOOKUP(F3040,'Set up'!$A$2:$D$70,4,FALSE)</f>
        <v>0</v>
      </c>
      <c r="K3040" s="4">
        <f t="shared" si="743"/>
        <v>45485</v>
      </c>
      <c r="L3040" s="5">
        <f t="shared" si="744"/>
        <v>7</v>
      </c>
      <c r="M3040" s="5">
        <f t="shared" si="745"/>
        <v>2024</v>
      </c>
      <c r="N3040" s="12">
        <v>555</v>
      </c>
      <c r="O3040" s="6">
        <f t="shared" si="752"/>
        <v>-555</v>
      </c>
      <c r="P3040" s="6">
        <f t="shared" si="749"/>
        <v>0</v>
      </c>
      <c r="Q3040" s="7">
        <f t="shared" si="746"/>
        <v>4971928.1499999994</v>
      </c>
      <c r="R3040" s="44" t="str">
        <f>VLOOKUP(F3040,'Set up'!$A$2:$E$70,5,FALSE)</f>
        <v>Cash</v>
      </c>
      <c r="S3040" s="1" t="s">
        <v>2834</v>
      </c>
    </row>
    <row r="3041" spans="1:19" ht="15" customHeight="1" x14ac:dyDescent="0.3">
      <c r="A3041" s="4">
        <v>45485</v>
      </c>
      <c r="B3041" s="5">
        <f t="shared" si="741"/>
        <v>7</v>
      </c>
      <c r="C3041" s="5">
        <f t="shared" si="742"/>
        <v>2024</v>
      </c>
      <c r="D3041" s="5" t="s">
        <v>2760</v>
      </c>
      <c r="E3041" s="5" t="str">
        <f>VLOOKUP(F3041,'Set up'!$A$2:$C$70,2,FALSE)</f>
        <v>C00000050</v>
      </c>
      <c r="F3041" s="1" t="s">
        <v>2656</v>
      </c>
      <c r="G3041" s="99" t="s">
        <v>1061</v>
      </c>
      <c r="H3041" s="5">
        <v>1</v>
      </c>
      <c r="I3041" s="5" t="str">
        <f>VLOOKUP(F3041,'Set up'!$A$2:$C$70,3,FALSE)</f>
        <v>Cash</v>
      </c>
      <c r="J3041" s="5">
        <f>VLOOKUP(F3041,'Set up'!$A$2:$D$70,4,FALSE)</f>
        <v>0</v>
      </c>
      <c r="K3041" s="4">
        <f t="shared" si="743"/>
        <v>45485</v>
      </c>
      <c r="L3041" s="5">
        <f t="shared" si="744"/>
        <v>7</v>
      </c>
      <c r="M3041" s="5">
        <f t="shared" si="745"/>
        <v>2024</v>
      </c>
      <c r="N3041" s="12">
        <v>95</v>
      </c>
      <c r="O3041" s="6">
        <f t="shared" si="752"/>
        <v>-95</v>
      </c>
      <c r="P3041" s="6">
        <f t="shared" si="749"/>
        <v>0</v>
      </c>
      <c r="Q3041" s="7">
        <f t="shared" si="746"/>
        <v>4972023.1499999994</v>
      </c>
      <c r="R3041" s="44" t="str">
        <f>VLOOKUP(F3041,'Set up'!$A$2:$E$70,5,FALSE)</f>
        <v>Cash</v>
      </c>
      <c r="S3041" s="1" t="s">
        <v>2834</v>
      </c>
    </row>
    <row r="3042" spans="1:19" ht="15" customHeight="1" x14ac:dyDescent="0.3">
      <c r="A3042" s="4">
        <v>45485</v>
      </c>
      <c r="B3042" s="5">
        <f t="shared" si="741"/>
        <v>7</v>
      </c>
      <c r="C3042" s="5">
        <f t="shared" si="742"/>
        <v>2024</v>
      </c>
      <c r="D3042" s="5" t="s">
        <v>2760</v>
      </c>
      <c r="E3042" s="5" t="str">
        <f>VLOOKUP(F3042,'Set up'!$A$2:$C$70,2,FALSE)</f>
        <v>C00000050</v>
      </c>
      <c r="F3042" s="1" t="s">
        <v>2656</v>
      </c>
      <c r="G3042" s="99" t="s">
        <v>2646</v>
      </c>
      <c r="H3042" s="5">
        <v>5</v>
      </c>
      <c r="I3042" s="5" t="str">
        <f>VLOOKUP(F3042,'Set up'!$A$2:$C$70,3,FALSE)</f>
        <v>Cash</v>
      </c>
      <c r="J3042" s="5">
        <f>VLOOKUP(F3042,'Set up'!$A$2:$D$70,4,FALSE)</f>
        <v>0</v>
      </c>
      <c r="K3042" s="4">
        <f t="shared" si="743"/>
        <v>45485</v>
      </c>
      <c r="L3042" s="5">
        <f t="shared" si="744"/>
        <v>7</v>
      </c>
      <c r="M3042" s="5">
        <f t="shared" si="745"/>
        <v>2024</v>
      </c>
      <c r="N3042" s="12">
        <v>312.5</v>
      </c>
      <c r="O3042" s="6">
        <f t="shared" si="752"/>
        <v>-312.5</v>
      </c>
      <c r="P3042" s="6">
        <f t="shared" si="749"/>
        <v>0</v>
      </c>
      <c r="Q3042" s="7">
        <f t="shared" si="746"/>
        <v>4972335.6499999994</v>
      </c>
      <c r="R3042" s="44" t="str">
        <f>VLOOKUP(F3042,'Set up'!$A$2:$E$70,5,FALSE)</f>
        <v>Cash</v>
      </c>
      <c r="S3042" s="1" t="s">
        <v>2834</v>
      </c>
    </row>
    <row r="3043" spans="1:19" ht="15" customHeight="1" x14ac:dyDescent="0.3">
      <c r="A3043" s="4">
        <v>45489</v>
      </c>
      <c r="B3043" s="5">
        <f t="shared" si="741"/>
        <v>7</v>
      </c>
      <c r="C3043" s="5">
        <f t="shared" si="742"/>
        <v>2024</v>
      </c>
      <c r="D3043" s="5" t="s">
        <v>2761</v>
      </c>
      <c r="E3043" s="5" t="str">
        <f>VLOOKUP(F3043,'Set up'!$A$2:$C$70,2,FALSE)</f>
        <v>C00000053</v>
      </c>
      <c r="F3043" s="1" t="s">
        <v>2740</v>
      </c>
      <c r="G3043" s="99" t="s">
        <v>2741</v>
      </c>
      <c r="H3043" s="5">
        <v>1</v>
      </c>
      <c r="I3043" s="5" t="str">
        <f>VLOOKUP(F3043,'Set up'!$A$2:$C$70,3,FALSE)</f>
        <v>Cash</v>
      </c>
      <c r="J3043" s="5">
        <f>VLOOKUP(F3043,'Set up'!$A$2:$D$70,4,FALSE)</f>
        <v>0</v>
      </c>
      <c r="K3043" s="4">
        <f t="shared" si="743"/>
        <v>45489</v>
      </c>
      <c r="L3043" s="5">
        <f t="shared" si="744"/>
        <v>7</v>
      </c>
      <c r="M3043" s="5">
        <f t="shared" si="745"/>
        <v>2024</v>
      </c>
      <c r="N3043" s="12">
        <v>625</v>
      </c>
      <c r="O3043" s="6">
        <f t="shared" ref="O3043" si="753">-N3043</f>
        <v>-625</v>
      </c>
      <c r="P3043" s="6">
        <f t="shared" si="749"/>
        <v>0</v>
      </c>
      <c r="Q3043" s="7">
        <f t="shared" si="746"/>
        <v>4972960.6499999994</v>
      </c>
      <c r="R3043" s="44" t="str">
        <f>VLOOKUP(F3043,'Set up'!$A$2:$E$70,5,FALSE)</f>
        <v>Cash</v>
      </c>
      <c r="S3043" s="1" t="s">
        <v>2828</v>
      </c>
    </row>
    <row r="3044" spans="1:19" ht="15" customHeight="1" x14ac:dyDescent="0.3">
      <c r="A3044" s="4">
        <v>45490</v>
      </c>
      <c r="B3044" s="5">
        <f t="shared" si="741"/>
        <v>7</v>
      </c>
      <c r="C3044" s="5">
        <f t="shared" si="742"/>
        <v>2024</v>
      </c>
      <c r="D3044" s="5" t="s">
        <v>2762</v>
      </c>
      <c r="E3044" s="5" t="str">
        <f>VLOOKUP(F3044,'Set up'!$A$2:$C$70,2,FALSE)</f>
        <v>C00000019</v>
      </c>
      <c r="F3044" s="1" t="s">
        <v>400</v>
      </c>
      <c r="G3044" s="99" t="s">
        <v>95</v>
      </c>
      <c r="H3044" s="5">
        <v>1</v>
      </c>
      <c r="I3044" s="5" t="str">
        <f>VLOOKUP(F3044,'Set up'!$A$2:$C$70,3,FALSE)</f>
        <v>Cash</v>
      </c>
      <c r="J3044" s="5">
        <f>VLOOKUP(F3044,'Set up'!$A$2:$D$70,4,FALSE)</f>
        <v>0</v>
      </c>
      <c r="K3044" s="4">
        <f t="shared" si="743"/>
        <v>45490</v>
      </c>
      <c r="L3044" s="5">
        <f t="shared" si="744"/>
        <v>7</v>
      </c>
      <c r="M3044" s="5">
        <f t="shared" si="745"/>
        <v>2024</v>
      </c>
      <c r="N3044" s="12">
        <v>1760</v>
      </c>
      <c r="O3044" s="12"/>
      <c r="P3044" s="6">
        <f t="shared" si="749"/>
        <v>1760</v>
      </c>
      <c r="Q3044" s="7">
        <f t="shared" si="746"/>
        <v>4974720.6499999994</v>
      </c>
      <c r="R3044" s="44" t="str">
        <f>VLOOKUP(F3044,'Set up'!$A$2:$E$70,5,FALSE)</f>
        <v>Trsf</v>
      </c>
    </row>
    <row r="3045" spans="1:19" ht="15" customHeight="1" x14ac:dyDescent="0.3">
      <c r="A3045" s="4">
        <v>45490</v>
      </c>
      <c r="B3045" s="5">
        <f t="shared" si="741"/>
        <v>7</v>
      </c>
      <c r="C3045" s="5">
        <f t="shared" si="742"/>
        <v>2024</v>
      </c>
      <c r="D3045" s="5" t="s">
        <v>2762</v>
      </c>
      <c r="E3045" s="5" t="str">
        <f>VLOOKUP(F3045,'Set up'!$A$2:$C$70,2,FALSE)</f>
        <v>C00000019</v>
      </c>
      <c r="F3045" s="1" t="s">
        <v>400</v>
      </c>
      <c r="G3045" s="99" t="s">
        <v>1411</v>
      </c>
      <c r="H3045" s="5">
        <v>1</v>
      </c>
      <c r="I3045" s="5" t="str">
        <f>VLOOKUP(F3045,'Set up'!$A$2:$C$70,3,FALSE)</f>
        <v>Cash</v>
      </c>
      <c r="J3045" s="5">
        <f>VLOOKUP(F3045,'Set up'!$A$2:$D$70,4,FALSE)</f>
        <v>0</v>
      </c>
      <c r="K3045" s="4">
        <f t="shared" si="743"/>
        <v>45490</v>
      </c>
      <c r="L3045" s="5">
        <f t="shared" si="744"/>
        <v>7</v>
      </c>
      <c r="M3045" s="5">
        <f t="shared" si="745"/>
        <v>2024</v>
      </c>
      <c r="N3045" s="12">
        <v>405</v>
      </c>
      <c r="O3045" s="12"/>
      <c r="P3045" s="6">
        <f t="shared" si="749"/>
        <v>405</v>
      </c>
      <c r="Q3045" s="7">
        <f t="shared" si="746"/>
        <v>4975125.6499999994</v>
      </c>
      <c r="R3045" s="44" t="str">
        <f>VLOOKUP(F3045,'Set up'!$A$2:$E$70,5,FALSE)</f>
        <v>Trsf</v>
      </c>
    </row>
    <row r="3046" spans="1:19" ht="15" customHeight="1" x14ac:dyDescent="0.3">
      <c r="A3046" s="4">
        <v>45491</v>
      </c>
      <c r="B3046" s="5">
        <f t="shared" si="741"/>
        <v>7</v>
      </c>
      <c r="C3046" s="5">
        <f t="shared" si="742"/>
        <v>2024</v>
      </c>
      <c r="D3046" s="5" t="s">
        <v>2763</v>
      </c>
      <c r="E3046" s="5" t="str">
        <f>VLOOKUP(F3046,'Set up'!$A$2:$C$70,2,FALSE)</f>
        <v>C00000010</v>
      </c>
      <c r="F3046" s="1" t="s">
        <v>62</v>
      </c>
      <c r="G3046" s="99" t="s">
        <v>1402</v>
      </c>
      <c r="H3046" s="5">
        <v>8</v>
      </c>
      <c r="I3046" s="5">
        <f>VLOOKUP(F3046,'Set up'!$A$2:$C$70,3,FALSE)</f>
        <v>120</v>
      </c>
      <c r="J3046" s="5">
        <f>VLOOKUP(F3046,'Set up'!$A$2:$D$70,4,FALSE)</f>
        <v>120</v>
      </c>
      <c r="K3046" s="4">
        <f t="shared" si="743"/>
        <v>45611</v>
      </c>
      <c r="L3046" s="5">
        <f t="shared" si="744"/>
        <v>11</v>
      </c>
      <c r="M3046" s="5">
        <f t="shared" si="745"/>
        <v>2024</v>
      </c>
      <c r="N3046" s="12">
        <v>13024</v>
      </c>
      <c r="O3046" s="6">
        <f t="shared" ref="O3046:O3053" si="754">-N3046</f>
        <v>-13024</v>
      </c>
      <c r="P3046" s="6">
        <f t="shared" si="749"/>
        <v>0</v>
      </c>
      <c r="Q3046" s="7">
        <f t="shared" si="746"/>
        <v>4988149.6499999994</v>
      </c>
      <c r="R3046" s="44" t="str">
        <f>VLOOKUP(F3046,'Set up'!$A$2:$E$70,5,FALSE)</f>
        <v>Trsf</v>
      </c>
      <c r="S3046" s="1" t="s">
        <v>3288</v>
      </c>
    </row>
    <row r="3047" spans="1:19" ht="15" customHeight="1" x14ac:dyDescent="0.3">
      <c r="A3047" s="4">
        <v>45491</v>
      </c>
      <c r="B3047" s="5">
        <f t="shared" si="741"/>
        <v>7</v>
      </c>
      <c r="C3047" s="5">
        <f t="shared" si="742"/>
        <v>2024</v>
      </c>
      <c r="D3047" s="5" t="s">
        <v>2763</v>
      </c>
      <c r="E3047" s="5" t="str">
        <f>VLOOKUP(F3047,'Set up'!$A$2:$C$70,2,FALSE)</f>
        <v>C00000010</v>
      </c>
      <c r="F3047" s="1" t="s">
        <v>62</v>
      </c>
      <c r="G3047" s="99" t="s">
        <v>1543</v>
      </c>
      <c r="H3047" s="5">
        <v>5</v>
      </c>
      <c r="I3047" s="5">
        <f>VLOOKUP(F3047,'Set up'!$A$2:$C$70,3,FALSE)</f>
        <v>120</v>
      </c>
      <c r="J3047" s="5">
        <f>VLOOKUP(F3047,'Set up'!$A$2:$D$70,4,FALSE)</f>
        <v>120</v>
      </c>
      <c r="K3047" s="4">
        <f t="shared" si="743"/>
        <v>45611</v>
      </c>
      <c r="L3047" s="5">
        <f t="shared" si="744"/>
        <v>11</v>
      </c>
      <c r="M3047" s="5">
        <f t="shared" si="745"/>
        <v>2024</v>
      </c>
      <c r="N3047" s="12">
        <v>900</v>
      </c>
      <c r="O3047" s="6">
        <f t="shared" si="754"/>
        <v>-900</v>
      </c>
      <c r="P3047" s="6">
        <f t="shared" si="749"/>
        <v>0</v>
      </c>
      <c r="Q3047" s="7">
        <f t="shared" si="746"/>
        <v>4989049.6499999994</v>
      </c>
      <c r="R3047" s="44" t="str">
        <f>VLOOKUP(F3047,'Set up'!$A$2:$E$70,5,FALSE)</f>
        <v>Trsf</v>
      </c>
      <c r="S3047" s="1" t="s">
        <v>3288</v>
      </c>
    </row>
    <row r="3048" spans="1:19" ht="15" customHeight="1" x14ac:dyDescent="0.3">
      <c r="A3048" s="4">
        <v>45491</v>
      </c>
      <c r="B3048" s="5">
        <f t="shared" si="741"/>
        <v>7</v>
      </c>
      <c r="C3048" s="5">
        <f t="shared" si="742"/>
        <v>2024</v>
      </c>
      <c r="D3048" s="5" t="s">
        <v>2763</v>
      </c>
      <c r="E3048" s="5" t="str">
        <f>VLOOKUP(F3048,'Set up'!$A$2:$C$70,2,FALSE)</f>
        <v>C00000010</v>
      </c>
      <c r="F3048" s="1" t="s">
        <v>62</v>
      </c>
      <c r="G3048" s="99" t="s">
        <v>2635</v>
      </c>
      <c r="H3048" s="5">
        <v>5</v>
      </c>
      <c r="I3048" s="5">
        <f>VLOOKUP(F3048,'Set up'!$A$2:$C$70,3,FALSE)</f>
        <v>120</v>
      </c>
      <c r="J3048" s="5">
        <f>VLOOKUP(F3048,'Set up'!$A$2:$D$70,4,FALSE)</f>
        <v>120</v>
      </c>
      <c r="K3048" s="4">
        <f t="shared" si="743"/>
        <v>45611</v>
      </c>
      <c r="L3048" s="5">
        <f t="shared" si="744"/>
        <v>11</v>
      </c>
      <c r="M3048" s="5">
        <f t="shared" si="745"/>
        <v>2024</v>
      </c>
      <c r="N3048" s="12">
        <v>287.5</v>
      </c>
      <c r="O3048" s="6">
        <f t="shared" si="754"/>
        <v>-287.5</v>
      </c>
      <c r="P3048" s="6">
        <f t="shared" si="749"/>
        <v>0</v>
      </c>
      <c r="Q3048" s="7">
        <f t="shared" si="746"/>
        <v>4989337.1499999994</v>
      </c>
      <c r="R3048" s="44" t="str">
        <f>VLOOKUP(F3048,'Set up'!$A$2:$E$70,5,FALSE)</f>
        <v>Trsf</v>
      </c>
      <c r="S3048" s="1" t="s">
        <v>3288</v>
      </c>
    </row>
    <row r="3049" spans="1:19" ht="15" customHeight="1" x14ac:dyDescent="0.3">
      <c r="A3049" s="4">
        <v>45491</v>
      </c>
      <c r="B3049" s="5">
        <f t="shared" si="741"/>
        <v>7</v>
      </c>
      <c r="C3049" s="5">
        <f t="shared" si="742"/>
        <v>2024</v>
      </c>
      <c r="D3049" s="5" t="s">
        <v>2763</v>
      </c>
      <c r="E3049" s="5" t="str">
        <f>VLOOKUP(F3049,'Set up'!$A$2:$C$70,2,FALSE)</f>
        <v>C00000010</v>
      </c>
      <c r="F3049" s="1" t="s">
        <v>62</v>
      </c>
      <c r="G3049" s="99" t="s">
        <v>46</v>
      </c>
      <c r="H3049" s="5">
        <v>4</v>
      </c>
      <c r="I3049" s="5">
        <f>VLOOKUP(F3049,'Set up'!$A$2:$C$70,3,FALSE)</f>
        <v>120</v>
      </c>
      <c r="J3049" s="5">
        <f>VLOOKUP(F3049,'Set up'!$A$2:$D$70,4,FALSE)</f>
        <v>120</v>
      </c>
      <c r="K3049" s="4">
        <f t="shared" si="743"/>
        <v>45611</v>
      </c>
      <c r="L3049" s="5">
        <f t="shared" si="744"/>
        <v>11</v>
      </c>
      <c r="M3049" s="5">
        <f t="shared" si="745"/>
        <v>2024</v>
      </c>
      <c r="N3049" s="12">
        <v>440</v>
      </c>
      <c r="O3049" s="6">
        <f t="shared" si="754"/>
        <v>-440</v>
      </c>
      <c r="P3049" s="6">
        <f t="shared" si="749"/>
        <v>0</v>
      </c>
      <c r="Q3049" s="7">
        <f t="shared" si="746"/>
        <v>4989777.1499999994</v>
      </c>
      <c r="R3049" s="44" t="str">
        <f>VLOOKUP(F3049,'Set up'!$A$2:$E$70,5,FALSE)</f>
        <v>Trsf</v>
      </c>
      <c r="S3049" s="1" t="s">
        <v>3288</v>
      </c>
    </row>
    <row r="3050" spans="1:19" ht="15" customHeight="1" x14ac:dyDescent="0.3">
      <c r="A3050" s="4">
        <v>45491</v>
      </c>
      <c r="B3050" s="5">
        <f t="shared" si="741"/>
        <v>7</v>
      </c>
      <c r="C3050" s="5">
        <f t="shared" si="742"/>
        <v>2024</v>
      </c>
      <c r="D3050" s="5" t="s">
        <v>2763</v>
      </c>
      <c r="E3050" s="5" t="str">
        <f>VLOOKUP(F3050,'Set up'!$A$2:$C$70,2,FALSE)</f>
        <v>C00000010</v>
      </c>
      <c r="F3050" s="1" t="s">
        <v>62</v>
      </c>
      <c r="G3050" s="99" t="s">
        <v>2742</v>
      </c>
      <c r="H3050" s="5">
        <v>1</v>
      </c>
      <c r="I3050" s="5">
        <f>VLOOKUP(F3050,'Set up'!$A$2:$C$70,3,FALSE)</f>
        <v>120</v>
      </c>
      <c r="J3050" s="5">
        <f>VLOOKUP(F3050,'Set up'!$A$2:$D$70,4,FALSE)</f>
        <v>120</v>
      </c>
      <c r="K3050" s="4">
        <f t="shared" si="743"/>
        <v>45611</v>
      </c>
      <c r="L3050" s="5">
        <f t="shared" si="744"/>
        <v>11</v>
      </c>
      <c r="M3050" s="5">
        <f t="shared" si="745"/>
        <v>2024</v>
      </c>
      <c r="N3050" s="12">
        <v>696</v>
      </c>
      <c r="O3050" s="6">
        <f t="shared" si="754"/>
        <v>-696</v>
      </c>
      <c r="P3050" s="6">
        <f t="shared" si="749"/>
        <v>0</v>
      </c>
      <c r="Q3050" s="7">
        <f t="shared" si="746"/>
        <v>4990473.1499999994</v>
      </c>
      <c r="R3050" s="44" t="str">
        <f>VLOOKUP(F3050,'Set up'!$A$2:$E$70,5,FALSE)</f>
        <v>Trsf</v>
      </c>
      <c r="S3050" s="1" t="s">
        <v>3288</v>
      </c>
    </row>
    <row r="3051" spans="1:19" ht="15" customHeight="1" x14ac:dyDescent="0.3">
      <c r="A3051" s="4">
        <v>45491</v>
      </c>
      <c r="B3051" s="5">
        <f t="shared" si="741"/>
        <v>7</v>
      </c>
      <c r="C3051" s="5">
        <f t="shared" si="742"/>
        <v>2024</v>
      </c>
      <c r="D3051" s="5" t="s">
        <v>2764</v>
      </c>
      <c r="E3051" s="5" t="str">
        <f>VLOOKUP(F3051,'Set up'!$A$2:$C$70,2,FALSE)</f>
        <v>C00000010</v>
      </c>
      <c r="F3051" s="1" t="s">
        <v>62</v>
      </c>
      <c r="G3051" s="99" t="s">
        <v>555</v>
      </c>
      <c r="H3051" s="5">
        <v>4</v>
      </c>
      <c r="I3051" s="5">
        <f>VLOOKUP(F3051,'Set up'!$A$2:$C$70,3,FALSE)</f>
        <v>120</v>
      </c>
      <c r="J3051" s="5">
        <f>VLOOKUP(F3051,'Set up'!$A$2:$D$70,4,FALSE)</f>
        <v>120</v>
      </c>
      <c r="K3051" s="4">
        <f t="shared" si="743"/>
        <v>45611</v>
      </c>
      <c r="L3051" s="5">
        <f t="shared" si="744"/>
        <v>11</v>
      </c>
      <c r="M3051" s="5">
        <f t="shared" si="745"/>
        <v>2024</v>
      </c>
      <c r="N3051" s="12">
        <v>1440</v>
      </c>
      <c r="O3051" s="6">
        <f t="shared" si="754"/>
        <v>-1440</v>
      </c>
      <c r="P3051" s="6">
        <f t="shared" si="749"/>
        <v>0</v>
      </c>
      <c r="Q3051" s="7">
        <f t="shared" si="746"/>
        <v>4991913.1499999994</v>
      </c>
      <c r="R3051" s="44" t="str">
        <f>VLOOKUP(F3051,'Set up'!$A$2:$E$70,5,FALSE)</f>
        <v>Trsf</v>
      </c>
      <c r="S3051" s="1" t="s">
        <v>3288</v>
      </c>
    </row>
    <row r="3052" spans="1:19" ht="15" customHeight="1" x14ac:dyDescent="0.3">
      <c r="A3052" s="4">
        <v>45491</v>
      </c>
      <c r="B3052" s="5">
        <f t="shared" si="741"/>
        <v>7</v>
      </c>
      <c r="C3052" s="5">
        <f t="shared" si="742"/>
        <v>2024</v>
      </c>
      <c r="D3052" s="5" t="s">
        <v>2764</v>
      </c>
      <c r="E3052" s="5" t="str">
        <f>VLOOKUP(F3052,'Set up'!$A$2:$C$70,2,FALSE)</f>
        <v>C00000010</v>
      </c>
      <c r="F3052" s="1" t="s">
        <v>62</v>
      </c>
      <c r="G3052" s="99" t="s">
        <v>2743</v>
      </c>
      <c r="H3052" s="5">
        <v>1</v>
      </c>
      <c r="I3052" s="5">
        <f>VLOOKUP(F3052,'Set up'!$A$2:$C$70,3,FALSE)</f>
        <v>120</v>
      </c>
      <c r="J3052" s="5">
        <f>VLOOKUP(F3052,'Set up'!$A$2:$D$70,4,FALSE)</f>
        <v>120</v>
      </c>
      <c r="K3052" s="4">
        <f t="shared" si="743"/>
        <v>45611</v>
      </c>
      <c r="L3052" s="5">
        <f t="shared" si="744"/>
        <v>11</v>
      </c>
      <c r="M3052" s="5">
        <f t="shared" si="745"/>
        <v>2024</v>
      </c>
      <c r="N3052" s="12">
        <v>364</v>
      </c>
      <c r="O3052" s="6">
        <f t="shared" si="754"/>
        <v>-364</v>
      </c>
      <c r="P3052" s="6">
        <f t="shared" si="749"/>
        <v>0</v>
      </c>
      <c r="Q3052" s="7">
        <f t="shared" si="746"/>
        <v>4992277.1499999994</v>
      </c>
      <c r="R3052" s="44" t="str">
        <f>VLOOKUP(F3052,'Set up'!$A$2:$E$70,5,FALSE)</f>
        <v>Trsf</v>
      </c>
      <c r="S3052" s="1" t="s">
        <v>3288</v>
      </c>
    </row>
    <row r="3053" spans="1:19" ht="15" customHeight="1" x14ac:dyDescent="0.3">
      <c r="A3053" s="4">
        <v>45491</v>
      </c>
      <c r="B3053" s="5">
        <f t="shared" si="741"/>
        <v>7</v>
      </c>
      <c r="C3053" s="5">
        <f t="shared" si="742"/>
        <v>2024</v>
      </c>
      <c r="D3053" s="5" t="s">
        <v>2764</v>
      </c>
      <c r="E3053" s="5" t="str">
        <f>VLOOKUP(F3053,'Set up'!$A$2:$C$70,2,FALSE)</f>
        <v>C00000010</v>
      </c>
      <c r="F3053" s="1" t="s">
        <v>62</v>
      </c>
      <c r="G3053" s="99" t="s">
        <v>2573</v>
      </c>
      <c r="H3053" s="5">
        <v>1</v>
      </c>
      <c r="I3053" s="5">
        <f>VLOOKUP(F3053,'Set up'!$A$2:$C$70,3,FALSE)</f>
        <v>120</v>
      </c>
      <c r="J3053" s="5">
        <f>VLOOKUP(F3053,'Set up'!$A$2:$D$70,4,FALSE)</f>
        <v>120</v>
      </c>
      <c r="K3053" s="4">
        <f t="shared" si="743"/>
        <v>45611</v>
      </c>
      <c r="L3053" s="5">
        <f t="shared" si="744"/>
        <v>11</v>
      </c>
      <c r="M3053" s="5">
        <f t="shared" si="745"/>
        <v>2024</v>
      </c>
      <c r="N3053" s="12">
        <v>250</v>
      </c>
      <c r="O3053" s="6">
        <f t="shared" si="754"/>
        <v>-250</v>
      </c>
      <c r="P3053" s="6">
        <f t="shared" si="749"/>
        <v>0</v>
      </c>
      <c r="Q3053" s="7">
        <f t="shared" si="746"/>
        <v>4992527.1499999994</v>
      </c>
      <c r="R3053" s="44" t="str">
        <f>VLOOKUP(F3053,'Set up'!$A$2:$E$70,5,FALSE)</f>
        <v>Trsf</v>
      </c>
      <c r="S3053" s="1" t="s">
        <v>3288</v>
      </c>
    </row>
    <row r="3054" spans="1:19" ht="15" customHeight="1" x14ac:dyDescent="0.3">
      <c r="A3054" s="4">
        <v>45493</v>
      </c>
      <c r="B3054" s="5">
        <f t="shared" si="741"/>
        <v>7</v>
      </c>
      <c r="C3054" s="5">
        <f t="shared" si="742"/>
        <v>2024</v>
      </c>
      <c r="D3054" s="5" t="s">
        <v>2765</v>
      </c>
      <c r="E3054" s="5" t="str">
        <f>VLOOKUP(F3054,'Set up'!$A$2:$C$70,2,FALSE)</f>
        <v>C00000050</v>
      </c>
      <c r="F3054" s="1" t="s">
        <v>2656</v>
      </c>
      <c r="G3054" s="99" t="s">
        <v>1894</v>
      </c>
      <c r="H3054" s="5">
        <v>1</v>
      </c>
      <c r="I3054" s="5" t="str">
        <f>VLOOKUP(F3054,'Set up'!$A$2:$C$70,3,FALSE)</f>
        <v>Cash</v>
      </c>
      <c r="J3054" s="5">
        <f>VLOOKUP(F3054,'Set up'!$A$2:$D$70,4,FALSE)</f>
        <v>0</v>
      </c>
      <c r="K3054" s="4">
        <f t="shared" si="743"/>
        <v>45493</v>
      </c>
      <c r="L3054" s="5">
        <f t="shared" si="744"/>
        <v>7</v>
      </c>
      <c r="M3054" s="5">
        <f t="shared" si="745"/>
        <v>2024</v>
      </c>
      <c r="N3054" s="12">
        <v>1760</v>
      </c>
      <c r="O3054" s="6">
        <f t="shared" ref="O3054:O3060" si="755">-N3054</f>
        <v>-1760</v>
      </c>
      <c r="P3054" s="6">
        <f t="shared" si="749"/>
        <v>0</v>
      </c>
      <c r="Q3054" s="7">
        <f t="shared" si="746"/>
        <v>4994287.1499999994</v>
      </c>
      <c r="R3054" s="44" t="str">
        <f>VLOOKUP(F3054,'Set up'!$A$2:$E$70,5,FALSE)</f>
        <v>Cash</v>
      </c>
      <c r="S3054" s="1" t="s">
        <v>2835</v>
      </c>
    </row>
    <row r="3055" spans="1:19" ht="15" customHeight="1" x14ac:dyDescent="0.3">
      <c r="A3055" s="4">
        <v>45493</v>
      </c>
      <c r="B3055" s="5">
        <f t="shared" si="741"/>
        <v>7</v>
      </c>
      <c r="C3055" s="5">
        <f t="shared" si="742"/>
        <v>2024</v>
      </c>
      <c r="D3055" s="5" t="s">
        <v>2765</v>
      </c>
      <c r="E3055" s="5" t="str">
        <f>VLOOKUP(F3055,'Set up'!$A$2:$C$70,2,FALSE)</f>
        <v>C00000050</v>
      </c>
      <c r="F3055" s="1" t="s">
        <v>2656</v>
      </c>
      <c r="G3055" s="99" t="s">
        <v>2129</v>
      </c>
      <c r="H3055" s="5">
        <v>1</v>
      </c>
      <c r="I3055" s="5" t="str">
        <f>VLOOKUP(F3055,'Set up'!$A$2:$C$70,3,FALSE)</f>
        <v>Cash</v>
      </c>
      <c r="J3055" s="5">
        <f>VLOOKUP(F3055,'Set up'!$A$2:$D$70,4,FALSE)</f>
        <v>0</v>
      </c>
      <c r="K3055" s="4">
        <f t="shared" si="743"/>
        <v>45493</v>
      </c>
      <c r="L3055" s="5">
        <f t="shared" si="744"/>
        <v>7</v>
      </c>
      <c r="M3055" s="5">
        <f t="shared" si="745"/>
        <v>2024</v>
      </c>
      <c r="N3055" s="12">
        <v>277.5</v>
      </c>
      <c r="O3055" s="6">
        <f t="shared" si="755"/>
        <v>-277.5</v>
      </c>
      <c r="P3055" s="6">
        <f t="shared" si="749"/>
        <v>0</v>
      </c>
      <c r="Q3055" s="7">
        <f t="shared" si="746"/>
        <v>4994564.6499999994</v>
      </c>
      <c r="R3055" s="44" t="str">
        <f>VLOOKUP(F3055,'Set up'!$A$2:$E$70,5,FALSE)</f>
        <v>Cash</v>
      </c>
      <c r="S3055" s="1" t="s">
        <v>2835</v>
      </c>
    </row>
    <row r="3056" spans="1:19" ht="15" customHeight="1" x14ac:dyDescent="0.3">
      <c r="A3056" s="4">
        <v>45493</v>
      </c>
      <c r="B3056" s="5">
        <f t="shared" si="741"/>
        <v>7</v>
      </c>
      <c r="C3056" s="5">
        <f t="shared" si="742"/>
        <v>2024</v>
      </c>
      <c r="D3056" s="5" t="s">
        <v>2765</v>
      </c>
      <c r="E3056" s="5" t="str">
        <f>VLOOKUP(F3056,'Set up'!$A$2:$C$70,2,FALSE)</f>
        <v>C00000050</v>
      </c>
      <c r="F3056" s="1" t="s">
        <v>2656</v>
      </c>
      <c r="G3056" s="99" t="s">
        <v>1061</v>
      </c>
      <c r="H3056" s="5">
        <v>1</v>
      </c>
      <c r="I3056" s="5" t="str">
        <f>VLOOKUP(F3056,'Set up'!$A$2:$C$70,3,FALSE)</f>
        <v>Cash</v>
      </c>
      <c r="J3056" s="5">
        <f>VLOOKUP(F3056,'Set up'!$A$2:$D$70,4,FALSE)</f>
        <v>0</v>
      </c>
      <c r="K3056" s="4">
        <f t="shared" si="743"/>
        <v>45493</v>
      </c>
      <c r="L3056" s="5">
        <f t="shared" si="744"/>
        <v>7</v>
      </c>
      <c r="M3056" s="5">
        <f t="shared" si="745"/>
        <v>2024</v>
      </c>
      <c r="N3056" s="12">
        <v>95</v>
      </c>
      <c r="O3056" s="6">
        <f t="shared" si="755"/>
        <v>-95</v>
      </c>
      <c r="P3056" s="6">
        <f t="shared" si="749"/>
        <v>0</v>
      </c>
      <c r="Q3056" s="7">
        <f t="shared" si="746"/>
        <v>4994659.6499999994</v>
      </c>
      <c r="R3056" s="44" t="str">
        <f>VLOOKUP(F3056,'Set up'!$A$2:$E$70,5,FALSE)</f>
        <v>Cash</v>
      </c>
      <c r="S3056" s="1" t="s">
        <v>2835</v>
      </c>
    </row>
    <row r="3057" spans="1:19" ht="15" customHeight="1" x14ac:dyDescent="0.3">
      <c r="A3057" s="4">
        <v>45493</v>
      </c>
      <c r="B3057" s="5">
        <f t="shared" si="741"/>
        <v>7</v>
      </c>
      <c r="C3057" s="5">
        <f t="shared" si="742"/>
        <v>2024</v>
      </c>
      <c r="D3057" s="5" t="s">
        <v>2765</v>
      </c>
      <c r="E3057" s="5" t="str">
        <f>VLOOKUP(F3057,'Set up'!$A$2:$C$70,2,FALSE)</f>
        <v>C00000050</v>
      </c>
      <c r="F3057" s="1" t="s">
        <v>2656</v>
      </c>
      <c r="G3057" s="99" t="s">
        <v>2646</v>
      </c>
      <c r="H3057" s="5">
        <v>5</v>
      </c>
      <c r="I3057" s="5" t="str">
        <f>VLOOKUP(F3057,'Set up'!$A$2:$C$70,3,FALSE)</f>
        <v>Cash</v>
      </c>
      <c r="J3057" s="5">
        <f>VLOOKUP(F3057,'Set up'!$A$2:$D$70,4,FALSE)</f>
        <v>0</v>
      </c>
      <c r="K3057" s="4">
        <f t="shared" si="743"/>
        <v>45493</v>
      </c>
      <c r="L3057" s="5">
        <f t="shared" si="744"/>
        <v>7</v>
      </c>
      <c r="M3057" s="5">
        <f t="shared" si="745"/>
        <v>2024</v>
      </c>
      <c r="N3057" s="12">
        <v>312.5</v>
      </c>
      <c r="O3057" s="6">
        <f t="shared" si="755"/>
        <v>-312.5</v>
      </c>
      <c r="P3057" s="6">
        <f t="shared" si="749"/>
        <v>0</v>
      </c>
      <c r="Q3057" s="7">
        <f t="shared" si="746"/>
        <v>4994972.1499999994</v>
      </c>
      <c r="R3057" s="44" t="str">
        <f>VLOOKUP(F3057,'Set up'!$A$2:$E$70,5,FALSE)</f>
        <v>Cash</v>
      </c>
      <c r="S3057" s="1" t="s">
        <v>2835</v>
      </c>
    </row>
    <row r="3058" spans="1:19" ht="15" customHeight="1" x14ac:dyDescent="0.3">
      <c r="A3058" s="4">
        <v>45493</v>
      </c>
      <c r="B3058" s="5">
        <f t="shared" si="741"/>
        <v>7</v>
      </c>
      <c r="C3058" s="5">
        <f t="shared" si="742"/>
        <v>2024</v>
      </c>
      <c r="D3058" s="5" t="s">
        <v>2765</v>
      </c>
      <c r="E3058" s="5" t="str">
        <f>VLOOKUP(F3058,'Set up'!$A$2:$C$70,2,FALSE)</f>
        <v>C00000050</v>
      </c>
      <c r="F3058" s="1" t="s">
        <v>2656</v>
      </c>
      <c r="G3058" s="99" t="s">
        <v>2519</v>
      </c>
      <c r="H3058" s="5">
        <v>12</v>
      </c>
      <c r="I3058" s="5" t="str">
        <f>VLOOKUP(F3058,'Set up'!$A$2:$C$70,3,FALSE)</f>
        <v>Cash</v>
      </c>
      <c r="J3058" s="5">
        <f>VLOOKUP(F3058,'Set up'!$A$2:$D$70,4,FALSE)</f>
        <v>0</v>
      </c>
      <c r="K3058" s="4">
        <f t="shared" si="743"/>
        <v>45493</v>
      </c>
      <c r="L3058" s="5">
        <f t="shared" si="744"/>
        <v>7</v>
      </c>
      <c r="M3058" s="5">
        <f t="shared" si="745"/>
        <v>2024</v>
      </c>
      <c r="N3058" s="12">
        <v>540</v>
      </c>
      <c r="O3058" s="6">
        <f t="shared" si="755"/>
        <v>-540</v>
      </c>
      <c r="P3058" s="6">
        <f t="shared" si="749"/>
        <v>0</v>
      </c>
      <c r="Q3058" s="7">
        <f t="shared" si="746"/>
        <v>4995512.1499999994</v>
      </c>
      <c r="R3058" s="44" t="str">
        <f>VLOOKUP(F3058,'Set up'!$A$2:$E$70,5,FALSE)</f>
        <v>Cash</v>
      </c>
      <c r="S3058" s="1" t="s">
        <v>2835</v>
      </c>
    </row>
    <row r="3059" spans="1:19" ht="15" customHeight="1" x14ac:dyDescent="0.3">
      <c r="A3059" s="4">
        <v>45496</v>
      </c>
      <c r="B3059" s="5">
        <f t="shared" si="741"/>
        <v>7</v>
      </c>
      <c r="C3059" s="5">
        <f t="shared" si="742"/>
        <v>2024</v>
      </c>
      <c r="D3059" s="5" t="s">
        <v>2766</v>
      </c>
      <c r="E3059" s="5" t="str">
        <f>VLOOKUP(F3059,'Set up'!$A$2:$C$70,2,FALSE)</f>
        <v>C00000009</v>
      </c>
      <c r="F3059" s="1" t="s">
        <v>58</v>
      </c>
      <c r="G3059" s="99" t="s">
        <v>1408</v>
      </c>
      <c r="H3059" s="5">
        <v>2</v>
      </c>
      <c r="I3059" s="5">
        <f>VLOOKUP(F3059,'Set up'!$A$2:$C$70,3,FALSE)</f>
        <v>60</v>
      </c>
      <c r="J3059" s="5">
        <f>VLOOKUP(F3059,'Set up'!$A$2:$D$70,4,FALSE)</f>
        <v>60</v>
      </c>
      <c r="K3059" s="4">
        <f t="shared" si="743"/>
        <v>45556</v>
      </c>
      <c r="L3059" s="5">
        <f t="shared" si="744"/>
        <v>9</v>
      </c>
      <c r="M3059" s="5">
        <f t="shared" si="745"/>
        <v>2024</v>
      </c>
      <c r="N3059" s="12">
        <v>3256</v>
      </c>
      <c r="O3059" s="6">
        <f t="shared" si="755"/>
        <v>-3256</v>
      </c>
      <c r="P3059" s="6">
        <f t="shared" si="749"/>
        <v>0</v>
      </c>
      <c r="Q3059" s="7">
        <f t="shared" si="746"/>
        <v>4998768.1499999994</v>
      </c>
      <c r="R3059" s="44" t="str">
        <f>VLOOKUP(F3059,'Set up'!$A$2:$E$70,5,FALSE)</f>
        <v>Chq</v>
      </c>
      <c r="S3059" s="1" t="s">
        <v>3432</v>
      </c>
    </row>
    <row r="3060" spans="1:19" ht="15" customHeight="1" x14ac:dyDescent="0.3">
      <c r="A3060" s="4">
        <v>45496</v>
      </c>
      <c r="B3060" s="5">
        <f t="shared" si="741"/>
        <v>7</v>
      </c>
      <c r="C3060" s="5">
        <f t="shared" si="742"/>
        <v>2024</v>
      </c>
      <c r="D3060" s="5" t="s">
        <v>2766</v>
      </c>
      <c r="E3060" s="5" t="str">
        <f>VLOOKUP(F3060,'Set up'!$A$2:$C$70,2,FALSE)</f>
        <v>C00000009</v>
      </c>
      <c r="F3060" s="1" t="s">
        <v>58</v>
      </c>
      <c r="G3060" s="99" t="s">
        <v>616</v>
      </c>
      <c r="H3060" s="5">
        <v>1</v>
      </c>
      <c r="I3060" s="5">
        <f>VLOOKUP(F3060,'Set up'!$A$2:$C$70,3,FALSE)</f>
        <v>60</v>
      </c>
      <c r="J3060" s="5">
        <f>VLOOKUP(F3060,'Set up'!$A$2:$D$70,4,FALSE)</f>
        <v>60</v>
      </c>
      <c r="K3060" s="4">
        <f t="shared" si="743"/>
        <v>45556</v>
      </c>
      <c r="L3060" s="5">
        <f t="shared" si="744"/>
        <v>9</v>
      </c>
      <c r="M3060" s="5">
        <f t="shared" si="745"/>
        <v>2024</v>
      </c>
      <c r="N3060" s="12">
        <v>1628</v>
      </c>
      <c r="O3060" s="6">
        <f t="shared" si="755"/>
        <v>-1628</v>
      </c>
      <c r="P3060" s="6">
        <f t="shared" si="749"/>
        <v>0</v>
      </c>
      <c r="Q3060" s="7">
        <f t="shared" si="746"/>
        <v>5000396.1499999994</v>
      </c>
      <c r="R3060" s="44" t="str">
        <f>VLOOKUP(F3060,'Set up'!$A$2:$E$70,5,FALSE)</f>
        <v>Chq</v>
      </c>
      <c r="S3060" s="1" t="s">
        <v>3432</v>
      </c>
    </row>
    <row r="3061" spans="1:19" ht="15" customHeight="1" x14ac:dyDescent="0.3">
      <c r="A3061" s="4">
        <v>45497</v>
      </c>
      <c r="B3061" s="5">
        <f t="shared" si="741"/>
        <v>7</v>
      </c>
      <c r="C3061" s="5">
        <f t="shared" si="742"/>
        <v>2024</v>
      </c>
      <c r="D3061" s="5" t="s">
        <v>2767</v>
      </c>
      <c r="E3061" s="5" t="str">
        <f>VLOOKUP(F3061,'Set up'!$A$2:$C$70,2,FALSE)</f>
        <v>C00000019</v>
      </c>
      <c r="F3061" s="1" t="s">
        <v>400</v>
      </c>
      <c r="G3061" s="99" t="s">
        <v>95</v>
      </c>
      <c r="H3061" s="5">
        <v>1</v>
      </c>
      <c r="I3061" s="5" t="str">
        <f>VLOOKUP(F3061,'Set up'!$A$2:$C$70,3,FALSE)</f>
        <v>Cash</v>
      </c>
      <c r="J3061" s="5">
        <f>VLOOKUP(F3061,'Set up'!$A$2:$D$70,4,FALSE)</f>
        <v>0</v>
      </c>
      <c r="K3061" s="4">
        <f t="shared" si="743"/>
        <v>45497</v>
      </c>
      <c r="L3061" s="5">
        <f t="shared" si="744"/>
        <v>7</v>
      </c>
      <c r="M3061" s="5">
        <f t="shared" si="745"/>
        <v>2024</v>
      </c>
      <c r="N3061" s="12">
        <v>1760</v>
      </c>
      <c r="O3061" s="12"/>
      <c r="P3061" s="6">
        <f t="shared" si="749"/>
        <v>1760</v>
      </c>
      <c r="Q3061" s="7">
        <f t="shared" si="746"/>
        <v>5002156.1499999994</v>
      </c>
      <c r="R3061" s="44" t="str">
        <f>VLOOKUP(F3061,'Set up'!$A$2:$E$70,5,FALSE)</f>
        <v>Trsf</v>
      </c>
    </row>
    <row r="3062" spans="1:19" ht="15" customHeight="1" x14ac:dyDescent="0.3">
      <c r="A3062" s="4">
        <v>45497</v>
      </c>
      <c r="B3062" s="5">
        <f t="shared" si="741"/>
        <v>7</v>
      </c>
      <c r="C3062" s="5">
        <f t="shared" si="742"/>
        <v>2024</v>
      </c>
      <c r="D3062" s="5" t="s">
        <v>2767</v>
      </c>
      <c r="E3062" s="5" t="str">
        <f>VLOOKUP(F3062,'Set up'!$A$2:$C$70,2,FALSE)</f>
        <v>C00000019</v>
      </c>
      <c r="F3062" s="1" t="s">
        <v>400</v>
      </c>
      <c r="G3062" s="99" t="s">
        <v>1411</v>
      </c>
      <c r="H3062" s="5">
        <v>1</v>
      </c>
      <c r="I3062" s="5" t="str">
        <f>VLOOKUP(F3062,'Set up'!$A$2:$C$70,3,FALSE)</f>
        <v>Cash</v>
      </c>
      <c r="J3062" s="5">
        <f>VLOOKUP(F3062,'Set up'!$A$2:$D$70,4,FALSE)</f>
        <v>0</v>
      </c>
      <c r="K3062" s="4">
        <f t="shared" si="743"/>
        <v>45497</v>
      </c>
      <c r="L3062" s="5">
        <f t="shared" si="744"/>
        <v>7</v>
      </c>
      <c r="M3062" s="5">
        <f t="shared" si="745"/>
        <v>2024</v>
      </c>
      <c r="N3062" s="12">
        <v>405</v>
      </c>
      <c r="O3062" s="12"/>
      <c r="P3062" s="6">
        <f t="shared" si="749"/>
        <v>405</v>
      </c>
      <c r="Q3062" s="7">
        <f t="shared" si="746"/>
        <v>5002561.1499999994</v>
      </c>
      <c r="R3062" s="44" t="str">
        <f>VLOOKUP(F3062,'Set up'!$A$2:$E$70,5,FALSE)</f>
        <v>Trsf</v>
      </c>
    </row>
    <row r="3063" spans="1:19" ht="15" customHeight="1" x14ac:dyDescent="0.3">
      <c r="A3063" s="4">
        <v>45497</v>
      </c>
      <c r="B3063" s="5">
        <f t="shared" si="741"/>
        <v>7</v>
      </c>
      <c r="C3063" s="5">
        <f t="shared" si="742"/>
        <v>2024</v>
      </c>
      <c r="D3063" s="5" t="s">
        <v>2767</v>
      </c>
      <c r="E3063" s="5" t="str">
        <f>VLOOKUP(F3063,'Set up'!$A$2:$C$70,2,FALSE)</f>
        <v>C00000019</v>
      </c>
      <c r="F3063" s="1" t="s">
        <v>400</v>
      </c>
      <c r="G3063" s="99" t="s">
        <v>2635</v>
      </c>
      <c r="H3063" s="5">
        <v>3</v>
      </c>
      <c r="I3063" s="5" t="str">
        <f>VLOOKUP(F3063,'Set up'!$A$2:$C$70,3,FALSE)</f>
        <v>Cash</v>
      </c>
      <c r="J3063" s="5">
        <f>VLOOKUP(F3063,'Set up'!$A$2:$D$70,4,FALSE)</f>
        <v>0</v>
      </c>
      <c r="K3063" s="4">
        <f t="shared" si="743"/>
        <v>45497</v>
      </c>
      <c r="L3063" s="5">
        <f t="shared" si="744"/>
        <v>7</v>
      </c>
      <c r="M3063" s="5">
        <f t="shared" si="745"/>
        <v>2024</v>
      </c>
      <c r="N3063" s="12">
        <v>187.5</v>
      </c>
      <c r="O3063" s="12"/>
      <c r="P3063" s="6">
        <f t="shared" si="749"/>
        <v>187.5</v>
      </c>
      <c r="Q3063" s="7">
        <f t="shared" si="746"/>
        <v>5002748.6499999994</v>
      </c>
      <c r="R3063" s="44" t="str">
        <f>VLOOKUP(F3063,'Set up'!$A$2:$E$70,5,FALSE)</f>
        <v>Trsf</v>
      </c>
    </row>
    <row r="3064" spans="1:19" ht="15" customHeight="1" x14ac:dyDescent="0.3">
      <c r="A3064" s="4">
        <v>45497</v>
      </c>
      <c r="B3064" s="5">
        <f t="shared" si="741"/>
        <v>7</v>
      </c>
      <c r="C3064" s="5">
        <f t="shared" si="742"/>
        <v>2024</v>
      </c>
      <c r="D3064" s="5" t="s">
        <v>2767</v>
      </c>
      <c r="E3064" s="5" t="str">
        <f>VLOOKUP(F3064,'Set up'!$A$2:$C$70,2,FALSE)</f>
        <v>C00000019</v>
      </c>
      <c r="F3064" s="1" t="s">
        <v>400</v>
      </c>
      <c r="G3064" s="99" t="s">
        <v>46</v>
      </c>
      <c r="H3064" s="5">
        <v>1</v>
      </c>
      <c r="I3064" s="5" t="str">
        <f>VLOOKUP(F3064,'Set up'!$A$2:$C$70,3,FALSE)</f>
        <v>Cash</v>
      </c>
      <c r="J3064" s="5">
        <f>VLOOKUP(F3064,'Set up'!$A$2:$D$70,4,FALSE)</f>
        <v>0</v>
      </c>
      <c r="K3064" s="4">
        <f t="shared" si="743"/>
        <v>45497</v>
      </c>
      <c r="L3064" s="5">
        <f t="shared" si="744"/>
        <v>7</v>
      </c>
      <c r="M3064" s="5">
        <f t="shared" si="745"/>
        <v>2024</v>
      </c>
      <c r="N3064" s="12">
        <v>110</v>
      </c>
      <c r="O3064" s="12"/>
      <c r="P3064" s="6">
        <f t="shared" si="749"/>
        <v>110</v>
      </c>
      <c r="Q3064" s="7">
        <f t="shared" si="746"/>
        <v>5002858.6499999994</v>
      </c>
      <c r="R3064" s="44" t="str">
        <f>VLOOKUP(F3064,'Set up'!$A$2:$E$70,5,FALSE)</f>
        <v>Trsf</v>
      </c>
    </row>
    <row r="3065" spans="1:19" ht="15" customHeight="1" x14ac:dyDescent="0.3">
      <c r="A3065" s="4">
        <v>45497</v>
      </c>
      <c r="B3065" s="5">
        <f t="shared" si="741"/>
        <v>7</v>
      </c>
      <c r="C3065" s="5">
        <f t="shared" si="742"/>
        <v>2024</v>
      </c>
      <c r="D3065" s="5" t="s">
        <v>2767</v>
      </c>
      <c r="E3065" s="5" t="str">
        <f>VLOOKUP(F3065,'Set up'!$A$2:$C$70,2,FALSE)</f>
        <v>C00000019</v>
      </c>
      <c r="F3065" s="1" t="s">
        <v>400</v>
      </c>
      <c r="G3065" s="99" t="s">
        <v>1469</v>
      </c>
      <c r="H3065" s="5">
        <v>1</v>
      </c>
      <c r="I3065" s="5" t="str">
        <f>VLOOKUP(F3065,'Set up'!$A$2:$C$70,3,FALSE)</f>
        <v>Cash</v>
      </c>
      <c r="J3065" s="5">
        <f>VLOOKUP(F3065,'Set up'!$A$2:$D$70,4,FALSE)</f>
        <v>0</v>
      </c>
      <c r="K3065" s="4">
        <f t="shared" si="743"/>
        <v>45497</v>
      </c>
      <c r="L3065" s="5">
        <f t="shared" si="744"/>
        <v>7</v>
      </c>
      <c r="M3065" s="5">
        <f t="shared" si="745"/>
        <v>2024</v>
      </c>
      <c r="N3065" s="12">
        <v>395</v>
      </c>
      <c r="O3065" s="12"/>
      <c r="P3065" s="6">
        <f t="shared" si="749"/>
        <v>395</v>
      </c>
      <c r="Q3065" s="7">
        <f t="shared" si="746"/>
        <v>5003253.6499999994</v>
      </c>
      <c r="R3065" s="44" t="str">
        <f>VLOOKUP(F3065,'Set up'!$A$2:$E$70,5,FALSE)</f>
        <v>Trsf</v>
      </c>
    </row>
    <row r="3066" spans="1:19" ht="15" customHeight="1" x14ac:dyDescent="0.3">
      <c r="A3066" s="4">
        <v>45497</v>
      </c>
      <c r="B3066" s="5">
        <f t="shared" si="741"/>
        <v>7</v>
      </c>
      <c r="C3066" s="5">
        <f t="shared" si="742"/>
        <v>2024</v>
      </c>
      <c r="D3066" s="5" t="s">
        <v>2767</v>
      </c>
      <c r="E3066" s="5" t="str">
        <f>VLOOKUP(F3066,'Set up'!$A$2:$C$70,2,FALSE)</f>
        <v>C00000019</v>
      </c>
      <c r="F3066" s="1" t="s">
        <v>400</v>
      </c>
      <c r="G3066" s="99" t="s">
        <v>1660</v>
      </c>
      <c r="H3066" s="5">
        <v>1</v>
      </c>
      <c r="I3066" s="5" t="str">
        <f>VLOOKUP(F3066,'Set up'!$A$2:$C$70,3,FALSE)</f>
        <v>Cash</v>
      </c>
      <c r="J3066" s="5">
        <f>VLOOKUP(F3066,'Set up'!$A$2:$D$70,4,FALSE)</f>
        <v>0</v>
      </c>
      <c r="K3066" s="4">
        <f t="shared" si="743"/>
        <v>45497</v>
      </c>
      <c r="L3066" s="5">
        <f t="shared" si="744"/>
        <v>7</v>
      </c>
      <c r="M3066" s="5">
        <f t="shared" si="745"/>
        <v>2024</v>
      </c>
      <c r="N3066" s="12">
        <v>160</v>
      </c>
      <c r="O3066" s="12"/>
      <c r="P3066" s="6">
        <f t="shared" si="749"/>
        <v>160</v>
      </c>
      <c r="Q3066" s="7">
        <f t="shared" si="746"/>
        <v>5003413.6499999994</v>
      </c>
      <c r="R3066" s="44" t="str">
        <f>VLOOKUP(F3066,'Set up'!$A$2:$E$70,5,FALSE)</f>
        <v>Trsf</v>
      </c>
    </row>
    <row r="3067" spans="1:19" ht="15" customHeight="1" x14ac:dyDescent="0.3">
      <c r="A3067" s="4">
        <v>45497</v>
      </c>
      <c r="B3067" s="5">
        <f t="shared" si="741"/>
        <v>7</v>
      </c>
      <c r="C3067" s="5">
        <f t="shared" si="742"/>
        <v>2024</v>
      </c>
      <c r="D3067" s="5" t="s">
        <v>2767</v>
      </c>
      <c r="E3067" s="5" t="str">
        <f>VLOOKUP(F3067,'Set up'!$A$2:$C$70,2,FALSE)</f>
        <v>C00000019</v>
      </c>
      <c r="F3067" s="1" t="s">
        <v>400</v>
      </c>
      <c r="G3067" s="99" t="s">
        <v>894</v>
      </c>
      <c r="H3067" s="5">
        <v>1</v>
      </c>
      <c r="I3067" s="5" t="str">
        <f>VLOOKUP(F3067,'Set up'!$A$2:$C$70,3,FALSE)</f>
        <v>Cash</v>
      </c>
      <c r="J3067" s="5">
        <f>VLOOKUP(F3067,'Set up'!$A$2:$D$70,4,FALSE)</f>
        <v>0</v>
      </c>
      <c r="K3067" s="4">
        <f t="shared" si="743"/>
        <v>45497</v>
      </c>
      <c r="L3067" s="5">
        <f t="shared" si="744"/>
        <v>7</v>
      </c>
      <c r="M3067" s="5">
        <f t="shared" si="745"/>
        <v>2024</v>
      </c>
      <c r="N3067" s="12">
        <v>150</v>
      </c>
      <c r="O3067" s="12"/>
      <c r="P3067" s="6">
        <f t="shared" si="749"/>
        <v>150</v>
      </c>
      <c r="Q3067" s="7">
        <f t="shared" si="746"/>
        <v>5003563.6499999994</v>
      </c>
      <c r="R3067" s="44" t="str">
        <f>VLOOKUP(F3067,'Set up'!$A$2:$E$70,5,FALSE)</f>
        <v>Trsf</v>
      </c>
    </row>
    <row r="3068" spans="1:19" ht="15" customHeight="1" x14ac:dyDescent="0.3">
      <c r="A3068" s="4">
        <v>45497</v>
      </c>
      <c r="B3068" s="5">
        <f t="shared" si="741"/>
        <v>7</v>
      </c>
      <c r="C3068" s="5">
        <f t="shared" si="742"/>
        <v>2024</v>
      </c>
      <c r="D3068" s="5" t="s">
        <v>2767</v>
      </c>
      <c r="E3068" s="5" t="str">
        <f>VLOOKUP(F3068,'Set up'!$A$2:$C$70,2,FALSE)</f>
        <v>C00000019</v>
      </c>
      <c r="F3068" s="1" t="s">
        <v>400</v>
      </c>
      <c r="G3068" s="99" t="s">
        <v>2098</v>
      </c>
      <c r="H3068" s="5">
        <v>1</v>
      </c>
      <c r="I3068" s="5" t="str">
        <f>VLOOKUP(F3068,'Set up'!$A$2:$C$70,3,FALSE)</f>
        <v>Cash</v>
      </c>
      <c r="J3068" s="5">
        <f>VLOOKUP(F3068,'Set up'!$A$2:$D$70,4,FALSE)</f>
        <v>0</v>
      </c>
      <c r="K3068" s="4">
        <f t="shared" si="743"/>
        <v>45497</v>
      </c>
      <c r="L3068" s="5">
        <f t="shared" si="744"/>
        <v>7</v>
      </c>
      <c r="M3068" s="5">
        <f t="shared" si="745"/>
        <v>2024</v>
      </c>
      <c r="N3068" s="12">
        <v>283.8</v>
      </c>
      <c r="O3068" s="12"/>
      <c r="P3068" s="6">
        <f t="shared" si="749"/>
        <v>283.8</v>
      </c>
      <c r="Q3068" s="7">
        <f t="shared" si="746"/>
        <v>5003847.4499999993</v>
      </c>
      <c r="R3068" s="44" t="str">
        <f>VLOOKUP(F3068,'Set up'!$A$2:$E$70,5,FALSE)</f>
        <v>Trsf</v>
      </c>
    </row>
    <row r="3069" spans="1:19" ht="15" customHeight="1" x14ac:dyDescent="0.3">
      <c r="A3069" s="4">
        <v>45498</v>
      </c>
      <c r="B3069" s="5">
        <f t="shared" si="741"/>
        <v>7</v>
      </c>
      <c r="C3069" s="5">
        <f t="shared" si="742"/>
        <v>2024</v>
      </c>
      <c r="D3069" s="5" t="s">
        <v>2768</v>
      </c>
      <c r="E3069" s="5" t="str">
        <f>VLOOKUP(F3069,'Set up'!$A$2:$C$70,2,FALSE)</f>
        <v>C00000042</v>
      </c>
      <c r="F3069" s="1" t="s">
        <v>2012</v>
      </c>
      <c r="G3069" s="99" t="s">
        <v>2646</v>
      </c>
      <c r="H3069" s="5">
        <v>15</v>
      </c>
      <c r="I3069" s="5" t="str">
        <f>VLOOKUP(F3069,'Set up'!$A$2:$C$70,3,FALSE)</f>
        <v>Cash</v>
      </c>
      <c r="J3069" s="5">
        <f>VLOOKUP(F3069,'Set up'!$A$2:$D$70,4,FALSE)</f>
        <v>0</v>
      </c>
      <c r="K3069" s="4">
        <f t="shared" si="743"/>
        <v>45498</v>
      </c>
      <c r="L3069" s="5">
        <f t="shared" si="744"/>
        <v>7</v>
      </c>
      <c r="M3069" s="5">
        <f t="shared" si="745"/>
        <v>2024</v>
      </c>
      <c r="N3069" s="12">
        <v>937.5</v>
      </c>
      <c r="O3069" s="6">
        <f t="shared" ref="O3069" si="756">-N3069</f>
        <v>-937.5</v>
      </c>
      <c r="P3069" s="6">
        <f t="shared" si="749"/>
        <v>0</v>
      </c>
      <c r="Q3069" s="7">
        <f t="shared" si="746"/>
        <v>5004784.9499999993</v>
      </c>
      <c r="R3069" s="44" t="str">
        <f>VLOOKUP(F3069,'Set up'!$A$2:$E$70,5,FALSE)</f>
        <v>Trsf</v>
      </c>
      <c r="S3069" s="1" t="s">
        <v>3301</v>
      </c>
    </row>
    <row r="3070" spans="1:19" ht="15" customHeight="1" x14ac:dyDescent="0.3">
      <c r="A3070" s="4">
        <v>45498</v>
      </c>
      <c r="B3070" s="5">
        <f t="shared" si="741"/>
        <v>7</v>
      </c>
      <c r="C3070" s="5">
        <f t="shared" si="742"/>
        <v>2024</v>
      </c>
      <c r="D3070" s="5" t="s">
        <v>2769</v>
      </c>
      <c r="E3070" s="5" t="str">
        <f>VLOOKUP(F3070,'Set up'!$A$2:$C$70,2,FALSE)</f>
        <v>C00000042</v>
      </c>
      <c r="F3070" s="1" t="s">
        <v>2012</v>
      </c>
      <c r="G3070" s="99" t="s">
        <v>2552</v>
      </c>
      <c r="H3070" s="5">
        <v>15</v>
      </c>
      <c r="I3070" s="5" t="str">
        <f>VLOOKUP(F3070,'Set up'!$A$2:$C$70,3,FALSE)</f>
        <v>Cash</v>
      </c>
      <c r="J3070" s="5">
        <f>VLOOKUP(F3070,'Set up'!$A$2:$D$70,4,FALSE)</f>
        <v>0</v>
      </c>
      <c r="K3070" s="4">
        <f t="shared" si="743"/>
        <v>45498</v>
      </c>
      <c r="L3070" s="5">
        <f t="shared" si="744"/>
        <v>7</v>
      </c>
      <c r="M3070" s="5">
        <f t="shared" si="745"/>
        <v>2024</v>
      </c>
      <c r="N3070" s="12">
        <v>24420</v>
      </c>
      <c r="O3070" s="12">
        <f>-16490.1-7929.9</f>
        <v>-24420</v>
      </c>
      <c r="P3070" s="6">
        <f t="shared" si="749"/>
        <v>0</v>
      </c>
      <c r="Q3070" s="7">
        <f t="shared" si="746"/>
        <v>5029204.9499999993</v>
      </c>
      <c r="R3070" s="44" t="str">
        <f>VLOOKUP(F3070,'Set up'!$A$2:$E$70,5,FALSE)</f>
        <v>Trsf</v>
      </c>
      <c r="S3070" s="1" t="s">
        <v>3302</v>
      </c>
    </row>
    <row r="3071" spans="1:19" ht="15" customHeight="1" x14ac:dyDescent="0.3">
      <c r="A3071" s="4">
        <v>45498</v>
      </c>
      <c r="B3071" s="5">
        <f t="shared" si="741"/>
        <v>7</v>
      </c>
      <c r="C3071" s="5">
        <f t="shared" si="742"/>
        <v>2024</v>
      </c>
      <c r="D3071" s="5" t="s">
        <v>2769</v>
      </c>
      <c r="E3071" s="5" t="str">
        <f>VLOOKUP(F3071,'Set up'!$A$2:$C$70,2,FALSE)</f>
        <v>C00000042</v>
      </c>
      <c r="F3071" s="1" t="s">
        <v>2012</v>
      </c>
      <c r="G3071" s="99" t="s">
        <v>1543</v>
      </c>
      <c r="H3071" s="5">
        <v>40</v>
      </c>
      <c r="I3071" s="5" t="str">
        <f>VLOOKUP(F3071,'Set up'!$A$2:$C$70,3,FALSE)</f>
        <v>Cash</v>
      </c>
      <c r="J3071" s="5">
        <f>VLOOKUP(F3071,'Set up'!$A$2:$D$70,4,FALSE)</f>
        <v>0</v>
      </c>
      <c r="K3071" s="4">
        <f t="shared" si="743"/>
        <v>45498</v>
      </c>
      <c r="L3071" s="5">
        <f t="shared" si="744"/>
        <v>7</v>
      </c>
      <c r="M3071" s="5">
        <f t="shared" si="745"/>
        <v>2024</v>
      </c>
      <c r="N3071" s="12">
        <v>7320</v>
      </c>
      <c r="O3071" s="6">
        <f t="shared" ref="O3071" si="757">-N3071</f>
        <v>-7320</v>
      </c>
      <c r="P3071" s="6">
        <f t="shared" si="749"/>
        <v>0</v>
      </c>
      <c r="Q3071" s="7">
        <f t="shared" si="746"/>
        <v>5036524.9499999993</v>
      </c>
      <c r="R3071" s="44" t="str">
        <f>VLOOKUP(F3071,'Set up'!$A$2:$E$70,5,FALSE)</f>
        <v>Trsf</v>
      </c>
      <c r="S3071" s="1" t="s">
        <v>3303</v>
      </c>
    </row>
    <row r="3072" spans="1:19" ht="15" customHeight="1" x14ac:dyDescent="0.3">
      <c r="A3072" s="4">
        <v>45498</v>
      </c>
      <c r="B3072" s="5">
        <f t="shared" si="741"/>
        <v>7</v>
      </c>
      <c r="C3072" s="5">
        <f t="shared" si="742"/>
        <v>2024</v>
      </c>
      <c r="D3072" s="5" t="s">
        <v>2769</v>
      </c>
      <c r="E3072" s="5" t="str">
        <f>VLOOKUP(F3072,'Set up'!$A$2:$C$70,2,FALSE)</f>
        <v>C00000042</v>
      </c>
      <c r="F3072" s="1" t="s">
        <v>2012</v>
      </c>
      <c r="G3072" s="99" t="s">
        <v>655</v>
      </c>
      <c r="H3072" s="5">
        <v>20</v>
      </c>
      <c r="I3072" s="5" t="str">
        <f>VLOOKUP(F3072,'Set up'!$A$2:$C$70,3,FALSE)</f>
        <v>Cash</v>
      </c>
      <c r="J3072" s="5">
        <f>VLOOKUP(F3072,'Set up'!$A$2:$D$70,4,FALSE)</f>
        <v>0</v>
      </c>
      <c r="K3072" s="4">
        <f t="shared" si="743"/>
        <v>45498</v>
      </c>
      <c r="L3072" s="5">
        <f t="shared" si="744"/>
        <v>7</v>
      </c>
      <c r="M3072" s="5">
        <f t="shared" si="745"/>
        <v>2024</v>
      </c>
      <c r="N3072" s="12">
        <v>4800</v>
      </c>
      <c r="O3072" s="12">
        <f>-2750.1-2049.9</f>
        <v>-4800</v>
      </c>
      <c r="P3072" s="6">
        <f t="shared" si="749"/>
        <v>0</v>
      </c>
      <c r="Q3072" s="7">
        <f t="shared" si="746"/>
        <v>5041324.9499999993</v>
      </c>
      <c r="R3072" s="44" t="str">
        <f>VLOOKUP(F3072,'Set up'!$A$2:$E$70,5,FALSE)</f>
        <v>Trsf</v>
      </c>
      <c r="S3072" s="1" t="s">
        <v>3372</v>
      </c>
    </row>
    <row r="3073" spans="1:19" ht="15" customHeight="1" x14ac:dyDescent="0.3">
      <c r="A3073" s="4">
        <v>45498</v>
      </c>
      <c r="B3073" s="5">
        <f t="shared" si="741"/>
        <v>7</v>
      </c>
      <c r="C3073" s="5">
        <f t="shared" si="742"/>
        <v>2024</v>
      </c>
      <c r="D3073" s="5" t="s">
        <v>2769</v>
      </c>
      <c r="E3073" s="5" t="str">
        <f>VLOOKUP(F3073,'Set up'!$A$2:$C$70,2,FALSE)</f>
        <v>C00000042</v>
      </c>
      <c r="F3073" s="1" t="s">
        <v>2012</v>
      </c>
      <c r="G3073" s="99" t="s">
        <v>1061</v>
      </c>
      <c r="H3073" s="5">
        <v>4</v>
      </c>
      <c r="I3073" s="5" t="str">
        <f>VLOOKUP(F3073,'Set up'!$A$2:$C$70,3,FALSE)</f>
        <v>Cash</v>
      </c>
      <c r="J3073" s="5">
        <f>VLOOKUP(F3073,'Set up'!$A$2:$D$70,4,FALSE)</f>
        <v>0</v>
      </c>
      <c r="K3073" s="4">
        <f t="shared" si="743"/>
        <v>45498</v>
      </c>
      <c r="L3073" s="5">
        <f t="shared" si="744"/>
        <v>7</v>
      </c>
      <c r="M3073" s="5">
        <f t="shared" si="745"/>
        <v>2024</v>
      </c>
      <c r="N3073" s="12">
        <v>380</v>
      </c>
      <c r="O3073" s="6">
        <f t="shared" ref="O3073:O3075" si="758">-N3073</f>
        <v>-380</v>
      </c>
      <c r="P3073" s="6">
        <f t="shared" si="749"/>
        <v>0</v>
      </c>
      <c r="Q3073" s="7">
        <f t="shared" si="746"/>
        <v>5041704.9499999993</v>
      </c>
      <c r="R3073" s="44" t="str">
        <f>VLOOKUP(F3073,'Set up'!$A$2:$E$70,5,FALSE)</f>
        <v>Trsf</v>
      </c>
      <c r="S3073" s="1" t="s">
        <v>3373</v>
      </c>
    </row>
    <row r="3074" spans="1:19" ht="15" customHeight="1" x14ac:dyDescent="0.3">
      <c r="A3074" s="4">
        <v>45498</v>
      </c>
      <c r="B3074" s="5">
        <f t="shared" si="741"/>
        <v>7</v>
      </c>
      <c r="C3074" s="5">
        <f t="shared" si="742"/>
        <v>2024</v>
      </c>
      <c r="D3074" s="5" t="s">
        <v>2769</v>
      </c>
      <c r="E3074" s="5" t="str">
        <f>VLOOKUP(F3074,'Set up'!$A$2:$C$70,2,FALSE)</f>
        <v>C00000042</v>
      </c>
      <c r="F3074" s="1" t="s">
        <v>2012</v>
      </c>
      <c r="G3074" s="99" t="s">
        <v>1073</v>
      </c>
      <c r="H3074" s="5">
        <v>1</v>
      </c>
      <c r="I3074" s="5" t="str">
        <f>VLOOKUP(F3074,'Set up'!$A$2:$C$70,3,FALSE)</f>
        <v>Cash</v>
      </c>
      <c r="J3074" s="5">
        <f>VLOOKUP(F3074,'Set up'!$A$2:$D$70,4,FALSE)</f>
        <v>0</v>
      </c>
      <c r="K3074" s="4">
        <f t="shared" si="743"/>
        <v>45498</v>
      </c>
      <c r="L3074" s="5">
        <f t="shared" si="744"/>
        <v>7</v>
      </c>
      <c r="M3074" s="5">
        <f t="shared" si="745"/>
        <v>2024</v>
      </c>
      <c r="N3074" s="12">
        <v>1000</v>
      </c>
      <c r="O3074" s="6">
        <f t="shared" si="758"/>
        <v>-1000</v>
      </c>
      <c r="P3074" s="6">
        <f t="shared" si="749"/>
        <v>0</v>
      </c>
      <c r="Q3074" s="7">
        <f t="shared" si="746"/>
        <v>5042704.9499999993</v>
      </c>
      <c r="R3074" s="44" t="str">
        <f>VLOOKUP(F3074,'Set up'!$A$2:$E$70,5,FALSE)</f>
        <v>Trsf</v>
      </c>
      <c r="S3074" s="1" t="s">
        <v>3374</v>
      </c>
    </row>
    <row r="3075" spans="1:19" ht="15" customHeight="1" x14ac:dyDescent="0.3">
      <c r="A3075" s="4">
        <v>45498</v>
      </c>
      <c r="B3075" s="5">
        <f t="shared" ref="B3075:B3138" si="759">MONTH(A3075)</f>
        <v>7</v>
      </c>
      <c r="C3075" s="5">
        <f t="shared" ref="C3075:C3138" si="760">YEAR(A3075)</f>
        <v>2024</v>
      </c>
      <c r="D3075" s="5" t="s">
        <v>2769</v>
      </c>
      <c r="E3075" s="5" t="str">
        <f>VLOOKUP(F3075,'Set up'!$A$2:$C$70,2,FALSE)</f>
        <v>C00000042</v>
      </c>
      <c r="F3075" s="1" t="s">
        <v>2012</v>
      </c>
      <c r="G3075" s="99" t="s">
        <v>2744</v>
      </c>
      <c r="H3075" s="5">
        <v>1</v>
      </c>
      <c r="I3075" s="5" t="str">
        <f>VLOOKUP(F3075,'Set up'!$A$2:$C$70,3,FALSE)</f>
        <v>Cash</v>
      </c>
      <c r="J3075" s="5">
        <f>VLOOKUP(F3075,'Set up'!$A$2:$D$70,4,FALSE)</f>
        <v>0</v>
      </c>
      <c r="K3075" s="4">
        <f t="shared" ref="K3075:K3138" si="761">A3075+J3075</f>
        <v>45498</v>
      </c>
      <c r="L3075" s="5">
        <f t="shared" ref="L3075:L3138" si="762">MONTH(K3075)</f>
        <v>7</v>
      </c>
      <c r="M3075" s="5">
        <f t="shared" ref="M3075:M3138" si="763">YEAR(K3075)</f>
        <v>2024</v>
      </c>
      <c r="N3075" s="12">
        <v>975</v>
      </c>
      <c r="O3075" s="6">
        <f t="shared" si="758"/>
        <v>-975</v>
      </c>
      <c r="P3075" s="6">
        <f t="shared" si="749"/>
        <v>0</v>
      </c>
      <c r="Q3075" s="7">
        <f t="shared" ref="Q3075:Q3138" si="764">SUM(Q3074+N3075)</f>
        <v>5043679.9499999993</v>
      </c>
      <c r="R3075" s="44" t="str">
        <f>VLOOKUP(F3075,'Set up'!$A$2:$E$70,5,FALSE)</f>
        <v>Trsf</v>
      </c>
      <c r="S3075" s="1" t="s">
        <v>3375</v>
      </c>
    </row>
    <row r="3076" spans="1:19" ht="15" customHeight="1" x14ac:dyDescent="0.3">
      <c r="A3076" s="4">
        <v>45500</v>
      </c>
      <c r="B3076" s="5">
        <f t="shared" si="759"/>
        <v>7</v>
      </c>
      <c r="C3076" s="5">
        <f t="shared" si="760"/>
        <v>2024</v>
      </c>
      <c r="D3076" s="5" t="s">
        <v>2770</v>
      </c>
      <c r="E3076" s="5" t="str">
        <f>VLOOKUP(F3076,'Set up'!$A$2:$C$70,2,FALSE)</f>
        <v>C00000049</v>
      </c>
      <c r="F3076" s="1" t="s">
        <v>2728</v>
      </c>
      <c r="G3076" s="99" t="s">
        <v>95</v>
      </c>
      <c r="H3076" s="5">
        <v>2</v>
      </c>
      <c r="I3076" s="5" t="str">
        <f>VLOOKUP(F3076,'Set up'!$A$2:$C$70,3,FALSE)</f>
        <v>Cash</v>
      </c>
      <c r="J3076" s="5">
        <f>VLOOKUP(F3076,'Set up'!$A$2:$D$70,4,FALSE)</f>
        <v>0</v>
      </c>
      <c r="K3076" s="4">
        <f t="shared" si="761"/>
        <v>45500</v>
      </c>
      <c r="L3076" s="5">
        <f t="shared" si="762"/>
        <v>7</v>
      </c>
      <c r="M3076" s="5">
        <f t="shared" si="763"/>
        <v>2024</v>
      </c>
      <c r="N3076" s="12">
        <v>3520</v>
      </c>
      <c r="O3076" s="12">
        <f>-1000-1200</f>
        <v>-2200</v>
      </c>
      <c r="P3076" s="6">
        <f t="shared" si="749"/>
        <v>1320</v>
      </c>
      <c r="Q3076" s="7">
        <f t="shared" si="764"/>
        <v>5047199.9499999993</v>
      </c>
      <c r="R3076" s="44" t="str">
        <f>VLOOKUP(F3076,'Set up'!$A$2:$E$70,5,FALSE)</f>
        <v>Cash</v>
      </c>
      <c r="S3076" s="1" t="s">
        <v>3612</v>
      </c>
    </row>
    <row r="3077" spans="1:19" ht="15" customHeight="1" x14ac:dyDescent="0.3">
      <c r="A3077" s="4">
        <v>45500</v>
      </c>
      <c r="B3077" s="5">
        <f t="shared" si="759"/>
        <v>7</v>
      </c>
      <c r="C3077" s="5">
        <f t="shared" si="760"/>
        <v>2024</v>
      </c>
      <c r="D3077" s="5" t="s">
        <v>2770</v>
      </c>
      <c r="E3077" s="5" t="str">
        <f>VLOOKUP(F3077,'Set up'!$A$2:$C$70,2,FALSE)</f>
        <v>C00000049</v>
      </c>
      <c r="F3077" s="1" t="s">
        <v>2728</v>
      </c>
      <c r="G3077" s="99" t="s">
        <v>2523</v>
      </c>
      <c r="H3077" s="5">
        <v>4</v>
      </c>
      <c r="I3077" s="5" t="str">
        <f>VLOOKUP(F3077,'Set up'!$A$2:$C$70,3,FALSE)</f>
        <v>Cash</v>
      </c>
      <c r="J3077" s="5">
        <f>VLOOKUP(F3077,'Set up'!$A$2:$D$70,4,FALSE)</f>
        <v>0</v>
      </c>
      <c r="K3077" s="4">
        <f t="shared" si="761"/>
        <v>45500</v>
      </c>
      <c r="L3077" s="5">
        <f t="shared" si="762"/>
        <v>7</v>
      </c>
      <c r="M3077" s="5">
        <f t="shared" si="763"/>
        <v>2024</v>
      </c>
      <c r="N3077" s="12">
        <v>900</v>
      </c>
      <c r="O3077" s="12"/>
      <c r="P3077" s="6">
        <f t="shared" si="749"/>
        <v>900</v>
      </c>
      <c r="Q3077" s="7">
        <f t="shared" si="764"/>
        <v>5048099.9499999993</v>
      </c>
      <c r="R3077" s="44" t="str">
        <f>VLOOKUP(F3077,'Set up'!$A$2:$E$70,5,FALSE)</f>
        <v>Cash</v>
      </c>
    </row>
    <row r="3078" spans="1:19" ht="15" customHeight="1" x14ac:dyDescent="0.3">
      <c r="A3078" s="4">
        <v>45500</v>
      </c>
      <c r="B3078" s="5">
        <f t="shared" si="759"/>
        <v>7</v>
      </c>
      <c r="C3078" s="5">
        <f t="shared" si="760"/>
        <v>2024</v>
      </c>
      <c r="D3078" s="5" t="s">
        <v>2770</v>
      </c>
      <c r="E3078" s="5" t="str">
        <f>VLOOKUP(F3078,'Set up'!$A$2:$C$70,2,FALSE)</f>
        <v>C00000049</v>
      </c>
      <c r="F3078" s="1" t="s">
        <v>2728</v>
      </c>
      <c r="G3078" s="99" t="s">
        <v>17</v>
      </c>
      <c r="H3078" s="5">
        <v>1</v>
      </c>
      <c r="I3078" s="5" t="str">
        <f>VLOOKUP(F3078,'Set up'!$A$2:$C$70,3,FALSE)</f>
        <v>Cash</v>
      </c>
      <c r="J3078" s="5">
        <f>VLOOKUP(F3078,'Set up'!$A$2:$D$70,4,FALSE)</f>
        <v>0</v>
      </c>
      <c r="K3078" s="4">
        <f t="shared" si="761"/>
        <v>45500</v>
      </c>
      <c r="L3078" s="5">
        <f t="shared" si="762"/>
        <v>7</v>
      </c>
      <c r="M3078" s="5">
        <f t="shared" si="763"/>
        <v>2024</v>
      </c>
      <c r="N3078" s="12">
        <v>110</v>
      </c>
      <c r="O3078" s="12"/>
      <c r="P3078" s="6">
        <f t="shared" si="749"/>
        <v>110</v>
      </c>
      <c r="Q3078" s="7">
        <f t="shared" si="764"/>
        <v>5048209.9499999993</v>
      </c>
      <c r="R3078" s="44" t="str">
        <f>VLOOKUP(F3078,'Set up'!$A$2:$E$70,5,FALSE)</f>
        <v>Cash</v>
      </c>
    </row>
    <row r="3079" spans="1:19" ht="15" customHeight="1" x14ac:dyDescent="0.3">
      <c r="A3079" s="4">
        <v>45500</v>
      </c>
      <c r="B3079" s="5">
        <f t="shared" si="759"/>
        <v>7</v>
      </c>
      <c r="C3079" s="5">
        <f t="shared" si="760"/>
        <v>2024</v>
      </c>
      <c r="D3079" s="5" t="s">
        <v>2770</v>
      </c>
      <c r="E3079" s="5" t="str">
        <f>VLOOKUP(F3079,'Set up'!$A$2:$C$70,2,FALSE)</f>
        <v>C00000049</v>
      </c>
      <c r="F3079" s="1" t="s">
        <v>2728</v>
      </c>
      <c r="G3079" s="99" t="s">
        <v>2745</v>
      </c>
      <c r="H3079" s="5">
        <v>1</v>
      </c>
      <c r="I3079" s="5" t="str">
        <f>VLOOKUP(F3079,'Set up'!$A$2:$C$70,3,FALSE)</f>
        <v>Cash</v>
      </c>
      <c r="J3079" s="5">
        <f>VLOOKUP(F3079,'Set up'!$A$2:$D$70,4,FALSE)</f>
        <v>0</v>
      </c>
      <c r="K3079" s="4">
        <f t="shared" si="761"/>
        <v>45500</v>
      </c>
      <c r="L3079" s="5">
        <f t="shared" si="762"/>
        <v>7</v>
      </c>
      <c r="M3079" s="5">
        <f t="shared" si="763"/>
        <v>2024</v>
      </c>
      <c r="N3079" s="12">
        <v>40</v>
      </c>
      <c r="O3079" s="12"/>
      <c r="P3079" s="6">
        <f t="shared" si="749"/>
        <v>40</v>
      </c>
      <c r="Q3079" s="7">
        <f t="shared" si="764"/>
        <v>5048249.9499999993</v>
      </c>
      <c r="R3079" s="44" t="str">
        <f>VLOOKUP(F3079,'Set up'!$A$2:$E$70,5,FALSE)</f>
        <v>Cash</v>
      </c>
    </row>
    <row r="3080" spans="1:19" ht="15" customHeight="1" x14ac:dyDescent="0.3">
      <c r="A3080" s="4">
        <v>45500</v>
      </c>
      <c r="B3080" s="5">
        <f t="shared" si="759"/>
        <v>7</v>
      </c>
      <c r="C3080" s="5">
        <f t="shared" si="760"/>
        <v>2024</v>
      </c>
      <c r="D3080" s="5" t="s">
        <v>2770</v>
      </c>
      <c r="E3080" s="5" t="str">
        <f>VLOOKUP(F3080,'Set up'!$A$2:$C$70,2,FALSE)</f>
        <v>C00000049</v>
      </c>
      <c r="F3080" s="1" t="s">
        <v>2728</v>
      </c>
      <c r="G3080" s="99" t="s">
        <v>894</v>
      </c>
      <c r="H3080" s="5">
        <v>1</v>
      </c>
      <c r="I3080" s="5" t="str">
        <f>VLOOKUP(F3080,'Set up'!$A$2:$C$70,3,FALSE)</f>
        <v>Cash</v>
      </c>
      <c r="J3080" s="5">
        <f>VLOOKUP(F3080,'Set up'!$A$2:$D$70,4,FALSE)</f>
        <v>0</v>
      </c>
      <c r="K3080" s="4">
        <f t="shared" si="761"/>
        <v>45500</v>
      </c>
      <c r="L3080" s="5">
        <f t="shared" si="762"/>
        <v>7</v>
      </c>
      <c r="M3080" s="5">
        <f t="shared" si="763"/>
        <v>2024</v>
      </c>
      <c r="N3080" s="12">
        <v>175</v>
      </c>
      <c r="O3080" s="12"/>
      <c r="P3080" s="6">
        <f t="shared" si="749"/>
        <v>175</v>
      </c>
      <c r="Q3080" s="7">
        <f t="shared" si="764"/>
        <v>5048424.9499999993</v>
      </c>
      <c r="R3080" s="44" t="str">
        <f>VLOOKUP(F3080,'Set up'!$A$2:$E$70,5,FALSE)</f>
        <v>Cash</v>
      </c>
    </row>
    <row r="3081" spans="1:19" ht="15" customHeight="1" x14ac:dyDescent="0.3">
      <c r="A3081" s="4">
        <v>45502</v>
      </c>
      <c r="B3081" s="5">
        <f t="shared" si="759"/>
        <v>7</v>
      </c>
      <c r="C3081" s="5">
        <f t="shared" si="760"/>
        <v>2024</v>
      </c>
      <c r="D3081" s="5" t="s">
        <v>2771</v>
      </c>
      <c r="E3081" s="5" t="str">
        <f>VLOOKUP(F3081,'Set up'!$A$2:$C$70,2,FALSE)</f>
        <v>C00000027</v>
      </c>
      <c r="F3081" s="1" t="s">
        <v>859</v>
      </c>
      <c r="G3081" s="99" t="s">
        <v>95</v>
      </c>
      <c r="H3081" s="5">
        <v>4</v>
      </c>
      <c r="I3081" s="5" t="str">
        <f>VLOOKUP(F3081,'Set up'!$A$2:$C$70,3,FALSE)</f>
        <v>Cash</v>
      </c>
      <c r="J3081" s="5">
        <f>VLOOKUP(F3081,'Set up'!$A$2:$D$70,4,FALSE)</f>
        <v>0</v>
      </c>
      <c r="K3081" s="4">
        <f t="shared" si="761"/>
        <v>45502</v>
      </c>
      <c r="L3081" s="5">
        <f t="shared" si="762"/>
        <v>7</v>
      </c>
      <c r="M3081" s="5">
        <f t="shared" si="763"/>
        <v>2024</v>
      </c>
      <c r="N3081" s="12">
        <v>7040</v>
      </c>
      <c r="O3081" s="12">
        <f>-4244.7</f>
        <v>-4244.7</v>
      </c>
      <c r="P3081" s="6">
        <f t="shared" si="749"/>
        <v>2795.3</v>
      </c>
      <c r="Q3081" s="7">
        <f t="shared" si="764"/>
        <v>5055464.9499999993</v>
      </c>
      <c r="R3081" s="44" t="str">
        <f>VLOOKUP(F3081,'Set up'!$A$2:$E$70,5,FALSE)</f>
        <v>Trsf</v>
      </c>
      <c r="S3081" s="1" t="s">
        <v>3371</v>
      </c>
    </row>
    <row r="3082" spans="1:19" ht="15" customHeight="1" x14ac:dyDescent="0.3">
      <c r="A3082" s="4">
        <v>45502</v>
      </c>
      <c r="B3082" s="5">
        <f t="shared" si="759"/>
        <v>7</v>
      </c>
      <c r="C3082" s="5">
        <f t="shared" si="760"/>
        <v>2024</v>
      </c>
      <c r="D3082" s="5" t="s">
        <v>2771</v>
      </c>
      <c r="E3082" s="5" t="str">
        <f>VLOOKUP(F3082,'Set up'!$A$2:$C$70,2,FALSE)</f>
        <v>C00000027</v>
      </c>
      <c r="F3082" s="1" t="s">
        <v>859</v>
      </c>
      <c r="G3082" s="99" t="s">
        <v>893</v>
      </c>
      <c r="H3082" s="5">
        <v>4</v>
      </c>
      <c r="I3082" s="5" t="str">
        <f>VLOOKUP(F3082,'Set up'!$A$2:$C$70,3,FALSE)</f>
        <v>Cash</v>
      </c>
      <c r="J3082" s="5">
        <f>VLOOKUP(F3082,'Set up'!$A$2:$D$70,4,FALSE)</f>
        <v>0</v>
      </c>
      <c r="K3082" s="4">
        <f t="shared" si="761"/>
        <v>45502</v>
      </c>
      <c r="L3082" s="5">
        <f t="shared" si="762"/>
        <v>7</v>
      </c>
      <c r="M3082" s="5">
        <f t="shared" si="763"/>
        <v>2024</v>
      </c>
      <c r="N3082" s="12">
        <v>1684.8</v>
      </c>
      <c r="O3082" s="12"/>
      <c r="P3082" s="6">
        <f t="shared" si="749"/>
        <v>1684.8</v>
      </c>
      <c r="Q3082" s="7">
        <f t="shared" si="764"/>
        <v>5057149.7499999991</v>
      </c>
      <c r="R3082" s="44" t="str">
        <f>VLOOKUP(F3082,'Set up'!$A$2:$E$70,5,FALSE)</f>
        <v>Trsf</v>
      </c>
    </row>
    <row r="3083" spans="1:19" ht="15" customHeight="1" x14ac:dyDescent="0.3">
      <c r="A3083" s="4">
        <v>45502</v>
      </c>
      <c r="B3083" s="5">
        <f t="shared" si="759"/>
        <v>7</v>
      </c>
      <c r="C3083" s="5">
        <f t="shared" si="760"/>
        <v>2024</v>
      </c>
      <c r="D3083" s="5" t="s">
        <v>2771</v>
      </c>
      <c r="E3083" s="5" t="str">
        <f>VLOOKUP(F3083,'Set up'!$A$2:$C$70,2,FALSE)</f>
        <v>C00000027</v>
      </c>
      <c r="F3083" s="1" t="s">
        <v>859</v>
      </c>
      <c r="G3083" s="99" t="s">
        <v>655</v>
      </c>
      <c r="H3083" s="5">
        <v>1</v>
      </c>
      <c r="I3083" s="5" t="str">
        <f>VLOOKUP(F3083,'Set up'!$A$2:$C$70,3,FALSE)</f>
        <v>Cash</v>
      </c>
      <c r="J3083" s="5">
        <f>VLOOKUP(F3083,'Set up'!$A$2:$D$70,4,FALSE)</f>
        <v>0</v>
      </c>
      <c r="K3083" s="4">
        <f t="shared" si="761"/>
        <v>45502</v>
      </c>
      <c r="L3083" s="5">
        <f t="shared" si="762"/>
        <v>7</v>
      </c>
      <c r="M3083" s="5">
        <f t="shared" si="763"/>
        <v>2024</v>
      </c>
      <c r="N3083" s="12">
        <v>280</v>
      </c>
      <c r="O3083" s="12"/>
      <c r="P3083" s="6">
        <f t="shared" si="749"/>
        <v>280</v>
      </c>
      <c r="Q3083" s="7">
        <f t="shared" si="764"/>
        <v>5057429.7499999991</v>
      </c>
      <c r="R3083" s="44" t="str">
        <f>VLOOKUP(F3083,'Set up'!$A$2:$E$70,5,FALSE)</f>
        <v>Trsf</v>
      </c>
    </row>
    <row r="3084" spans="1:19" ht="15" customHeight="1" x14ac:dyDescent="0.3">
      <c r="A3084" s="4">
        <v>45502</v>
      </c>
      <c r="B3084" s="5">
        <f t="shared" si="759"/>
        <v>7</v>
      </c>
      <c r="C3084" s="5">
        <f t="shared" si="760"/>
        <v>2024</v>
      </c>
      <c r="D3084" s="5" t="s">
        <v>2771</v>
      </c>
      <c r="E3084" s="5" t="str">
        <f>VLOOKUP(F3084,'Set up'!$A$2:$C$70,2,FALSE)</f>
        <v>C00000027</v>
      </c>
      <c r="F3084" s="1" t="s">
        <v>859</v>
      </c>
      <c r="G3084" s="99" t="s">
        <v>2144</v>
      </c>
      <c r="H3084" s="5">
        <v>2</v>
      </c>
      <c r="I3084" s="5" t="str">
        <f>VLOOKUP(F3084,'Set up'!$A$2:$C$70,3,FALSE)</f>
        <v>Cash</v>
      </c>
      <c r="J3084" s="5">
        <f>VLOOKUP(F3084,'Set up'!$A$2:$D$70,4,FALSE)</f>
        <v>0</v>
      </c>
      <c r="K3084" s="4">
        <f t="shared" si="761"/>
        <v>45502</v>
      </c>
      <c r="L3084" s="5">
        <f t="shared" si="762"/>
        <v>7</v>
      </c>
      <c r="M3084" s="5">
        <f t="shared" si="763"/>
        <v>2024</v>
      </c>
      <c r="N3084" s="12">
        <v>563.20000000000005</v>
      </c>
      <c r="O3084" s="12"/>
      <c r="P3084" s="6">
        <f t="shared" si="749"/>
        <v>563.20000000000005</v>
      </c>
      <c r="Q3084" s="7">
        <f t="shared" si="764"/>
        <v>5057992.9499999993</v>
      </c>
      <c r="R3084" s="44" t="str">
        <f>VLOOKUP(F3084,'Set up'!$A$2:$E$70,5,FALSE)</f>
        <v>Trsf</v>
      </c>
    </row>
    <row r="3085" spans="1:19" ht="15" customHeight="1" x14ac:dyDescent="0.3">
      <c r="A3085" s="4">
        <v>45502</v>
      </c>
      <c r="B3085" s="5">
        <f t="shared" si="759"/>
        <v>7</v>
      </c>
      <c r="C3085" s="5">
        <f t="shared" si="760"/>
        <v>2024</v>
      </c>
      <c r="D3085" s="5" t="s">
        <v>2771</v>
      </c>
      <c r="E3085" s="5" t="str">
        <f>VLOOKUP(F3085,'Set up'!$A$2:$C$70,2,FALSE)</f>
        <v>C00000027</v>
      </c>
      <c r="F3085" s="1" t="s">
        <v>859</v>
      </c>
      <c r="G3085" s="99" t="s">
        <v>1061</v>
      </c>
      <c r="H3085" s="5">
        <v>4</v>
      </c>
      <c r="I3085" s="5" t="str">
        <f>VLOOKUP(F3085,'Set up'!$A$2:$C$70,3,FALSE)</f>
        <v>Cash</v>
      </c>
      <c r="J3085" s="5">
        <f>VLOOKUP(F3085,'Set up'!$A$2:$D$70,4,FALSE)</f>
        <v>0</v>
      </c>
      <c r="K3085" s="4">
        <f t="shared" si="761"/>
        <v>45502</v>
      </c>
      <c r="L3085" s="5">
        <f t="shared" si="762"/>
        <v>7</v>
      </c>
      <c r="M3085" s="5">
        <f t="shared" si="763"/>
        <v>2024</v>
      </c>
      <c r="N3085" s="12">
        <v>380</v>
      </c>
      <c r="O3085" s="12"/>
      <c r="P3085" s="6">
        <f t="shared" si="749"/>
        <v>380</v>
      </c>
      <c r="Q3085" s="7">
        <f t="shared" si="764"/>
        <v>5058372.9499999993</v>
      </c>
      <c r="R3085" s="44" t="str">
        <f>VLOOKUP(F3085,'Set up'!$A$2:$E$70,5,FALSE)</f>
        <v>Trsf</v>
      </c>
    </row>
    <row r="3086" spans="1:19" ht="15" customHeight="1" x14ac:dyDescent="0.3">
      <c r="A3086" s="4">
        <v>45502</v>
      </c>
      <c r="B3086" s="5">
        <f t="shared" si="759"/>
        <v>7</v>
      </c>
      <c r="C3086" s="5">
        <f t="shared" si="760"/>
        <v>2024</v>
      </c>
      <c r="D3086" s="5" t="s">
        <v>2771</v>
      </c>
      <c r="E3086" s="5" t="str">
        <f>VLOOKUP(F3086,'Set up'!$A$2:$C$70,2,FALSE)</f>
        <v>C00000027</v>
      </c>
      <c r="F3086" s="1" t="s">
        <v>859</v>
      </c>
      <c r="G3086" s="99" t="s">
        <v>1886</v>
      </c>
      <c r="H3086" s="5">
        <v>2</v>
      </c>
      <c r="I3086" s="5" t="str">
        <f>VLOOKUP(F3086,'Set up'!$A$2:$C$70,3,FALSE)</f>
        <v>Cash</v>
      </c>
      <c r="J3086" s="5">
        <f>VLOOKUP(F3086,'Set up'!$A$2:$D$70,4,FALSE)</f>
        <v>0</v>
      </c>
      <c r="K3086" s="4">
        <f t="shared" si="761"/>
        <v>45502</v>
      </c>
      <c r="L3086" s="5">
        <f t="shared" si="762"/>
        <v>7</v>
      </c>
      <c r="M3086" s="5">
        <f t="shared" si="763"/>
        <v>2024</v>
      </c>
      <c r="N3086" s="12">
        <v>320</v>
      </c>
      <c r="O3086" s="12"/>
      <c r="P3086" s="6">
        <f t="shared" si="749"/>
        <v>320</v>
      </c>
      <c r="Q3086" s="7">
        <f t="shared" si="764"/>
        <v>5058692.9499999993</v>
      </c>
      <c r="R3086" s="44" t="str">
        <f>VLOOKUP(F3086,'Set up'!$A$2:$E$70,5,FALSE)</f>
        <v>Trsf</v>
      </c>
    </row>
    <row r="3087" spans="1:19" ht="15" customHeight="1" x14ac:dyDescent="0.3">
      <c r="A3087" s="4">
        <v>45500</v>
      </c>
      <c r="B3087" s="5">
        <f t="shared" si="759"/>
        <v>7</v>
      </c>
      <c r="C3087" s="5">
        <f t="shared" si="760"/>
        <v>2024</v>
      </c>
      <c r="D3087" s="5" t="s">
        <v>2772</v>
      </c>
      <c r="E3087" s="5" t="str">
        <f>VLOOKUP(F3087,'Set up'!$A$2:$C$70,2,FALSE)</f>
        <v>C00000042</v>
      </c>
      <c r="F3087" s="1" t="s">
        <v>2012</v>
      </c>
      <c r="G3087" s="99" t="s">
        <v>1073</v>
      </c>
      <c r="H3087" s="5">
        <v>1</v>
      </c>
      <c r="I3087" s="5" t="str">
        <f>VLOOKUP(F3087,'Set up'!$A$2:$C$70,3,FALSE)</f>
        <v>Cash</v>
      </c>
      <c r="J3087" s="5">
        <f>VLOOKUP(F3087,'Set up'!$A$2:$D$70,4,FALSE)</f>
        <v>0</v>
      </c>
      <c r="K3087" s="4">
        <f t="shared" si="761"/>
        <v>45500</v>
      </c>
      <c r="L3087" s="5">
        <f t="shared" si="762"/>
        <v>7</v>
      </c>
      <c r="M3087" s="5">
        <f t="shared" si="763"/>
        <v>2024</v>
      </c>
      <c r="N3087" s="12">
        <v>1000</v>
      </c>
      <c r="O3087" s="6">
        <f t="shared" ref="O3087" si="765">-N3087</f>
        <v>-1000</v>
      </c>
      <c r="P3087" s="6">
        <f t="shared" si="749"/>
        <v>0</v>
      </c>
      <c r="Q3087" s="7">
        <f t="shared" si="764"/>
        <v>5059692.9499999993</v>
      </c>
      <c r="R3087" s="44" t="str">
        <f>VLOOKUP(F3087,'Set up'!$A$2:$E$70,5,FALSE)</f>
        <v>Trsf</v>
      </c>
      <c r="S3087" s="1" t="s">
        <v>3374</v>
      </c>
    </row>
    <row r="3088" spans="1:19" ht="15" customHeight="1" x14ac:dyDescent="0.3">
      <c r="A3088" s="4">
        <v>45502</v>
      </c>
      <c r="B3088" s="5">
        <f t="shared" si="759"/>
        <v>7</v>
      </c>
      <c r="C3088" s="5">
        <f t="shared" si="760"/>
        <v>2024</v>
      </c>
      <c r="D3088" s="5" t="s">
        <v>2773</v>
      </c>
      <c r="E3088" s="5" t="str">
        <f>VLOOKUP(F3088,'Set up'!$A$2:$C$70,2,FALSE)</f>
        <v>C00000049</v>
      </c>
      <c r="F3088" s="1" t="s">
        <v>2728</v>
      </c>
      <c r="G3088" s="99" t="s">
        <v>2523</v>
      </c>
      <c r="H3088" s="5">
        <v>1</v>
      </c>
      <c r="I3088" s="5" t="str">
        <f>VLOOKUP(F3088,'Set up'!$A$2:$C$70,3,FALSE)</f>
        <v>Cash</v>
      </c>
      <c r="J3088" s="5">
        <f>VLOOKUP(F3088,'Set up'!$A$2:$D$70,4,FALSE)</f>
        <v>0</v>
      </c>
      <c r="K3088" s="4">
        <f t="shared" si="761"/>
        <v>45502</v>
      </c>
      <c r="L3088" s="5">
        <f t="shared" si="762"/>
        <v>7</v>
      </c>
      <c r="M3088" s="5">
        <f t="shared" si="763"/>
        <v>2024</v>
      </c>
      <c r="N3088" s="12">
        <v>225</v>
      </c>
      <c r="O3088" s="12"/>
      <c r="P3088" s="6">
        <f t="shared" si="749"/>
        <v>225</v>
      </c>
      <c r="Q3088" s="7">
        <f t="shared" si="764"/>
        <v>5059917.9499999993</v>
      </c>
      <c r="R3088" s="44" t="str">
        <f>VLOOKUP(F3088,'Set up'!$A$2:$E$70,5,FALSE)</f>
        <v>Cash</v>
      </c>
    </row>
    <row r="3089" spans="1:19" ht="15" customHeight="1" x14ac:dyDescent="0.3">
      <c r="A3089" s="4">
        <v>45503</v>
      </c>
      <c r="B3089" s="5">
        <f t="shared" si="759"/>
        <v>7</v>
      </c>
      <c r="C3089" s="5">
        <f t="shared" si="760"/>
        <v>2024</v>
      </c>
      <c r="D3089" s="5" t="s">
        <v>2774</v>
      </c>
      <c r="E3089" s="5" t="str">
        <f>VLOOKUP(F3089,'Set up'!$A$2:$C$70,2,FALSE)</f>
        <v>C00000050</v>
      </c>
      <c r="F3089" s="1" t="s">
        <v>2656</v>
      </c>
      <c r="G3089" s="99" t="s">
        <v>1894</v>
      </c>
      <c r="H3089" s="5">
        <v>1</v>
      </c>
      <c r="I3089" s="5" t="str">
        <f>VLOOKUP(F3089,'Set up'!$A$2:$C$70,3,FALSE)</f>
        <v>Cash</v>
      </c>
      <c r="J3089" s="5">
        <f>VLOOKUP(F3089,'Set up'!$A$2:$D$70,4,FALSE)</f>
        <v>0</v>
      </c>
      <c r="K3089" s="4">
        <f t="shared" si="761"/>
        <v>45503</v>
      </c>
      <c r="L3089" s="5">
        <f t="shared" si="762"/>
        <v>7</v>
      </c>
      <c r="M3089" s="5">
        <f t="shared" si="763"/>
        <v>2024</v>
      </c>
      <c r="N3089" s="12">
        <v>1760</v>
      </c>
      <c r="O3089" s="6">
        <f t="shared" ref="O3089:O3101" si="766">-N3089</f>
        <v>-1760</v>
      </c>
      <c r="P3089" s="6">
        <f t="shared" si="749"/>
        <v>0</v>
      </c>
      <c r="Q3089" s="7">
        <f t="shared" si="764"/>
        <v>5061677.9499999993</v>
      </c>
      <c r="R3089" s="44" t="str">
        <f>VLOOKUP(F3089,'Set up'!$A$2:$E$70,5,FALSE)</f>
        <v>Cash</v>
      </c>
      <c r="S3089" s="1" t="s">
        <v>2879</v>
      </c>
    </row>
    <row r="3090" spans="1:19" ht="15" customHeight="1" x14ac:dyDescent="0.3">
      <c r="A3090" s="4">
        <v>45503</v>
      </c>
      <c r="B3090" s="5">
        <f t="shared" si="759"/>
        <v>7</v>
      </c>
      <c r="C3090" s="5">
        <f t="shared" si="760"/>
        <v>2024</v>
      </c>
      <c r="D3090" s="5" t="s">
        <v>2774</v>
      </c>
      <c r="E3090" s="5" t="str">
        <f>VLOOKUP(F3090,'Set up'!$A$2:$C$70,2,FALSE)</f>
        <v>C00000050</v>
      </c>
      <c r="F3090" s="1" t="s">
        <v>2656</v>
      </c>
      <c r="G3090" s="99" t="s">
        <v>2129</v>
      </c>
      <c r="H3090" s="5">
        <v>2</v>
      </c>
      <c r="I3090" s="5" t="str">
        <f>VLOOKUP(F3090,'Set up'!$A$2:$C$70,3,FALSE)</f>
        <v>Cash</v>
      </c>
      <c r="J3090" s="5">
        <f>VLOOKUP(F3090,'Set up'!$A$2:$D$70,4,FALSE)</f>
        <v>0</v>
      </c>
      <c r="K3090" s="4">
        <f t="shared" si="761"/>
        <v>45503</v>
      </c>
      <c r="L3090" s="5">
        <f t="shared" si="762"/>
        <v>7</v>
      </c>
      <c r="M3090" s="5">
        <f t="shared" si="763"/>
        <v>2024</v>
      </c>
      <c r="N3090" s="12">
        <v>555</v>
      </c>
      <c r="O3090" s="6">
        <f t="shared" si="766"/>
        <v>-555</v>
      </c>
      <c r="P3090" s="6">
        <f t="shared" si="749"/>
        <v>0</v>
      </c>
      <c r="Q3090" s="7">
        <f t="shared" si="764"/>
        <v>5062232.9499999993</v>
      </c>
      <c r="R3090" s="44" t="str">
        <f>VLOOKUP(F3090,'Set up'!$A$2:$E$70,5,FALSE)</f>
        <v>Cash</v>
      </c>
      <c r="S3090" s="1" t="s">
        <v>2879</v>
      </c>
    </row>
    <row r="3091" spans="1:19" ht="15" customHeight="1" x14ac:dyDescent="0.3">
      <c r="A3091" s="4">
        <v>45503</v>
      </c>
      <c r="B3091" s="5">
        <f t="shared" si="759"/>
        <v>7</v>
      </c>
      <c r="C3091" s="5">
        <f t="shared" si="760"/>
        <v>2024</v>
      </c>
      <c r="D3091" s="5" t="s">
        <v>2774</v>
      </c>
      <c r="E3091" s="5" t="str">
        <f>VLOOKUP(F3091,'Set up'!$A$2:$C$70,2,FALSE)</f>
        <v>C00000050</v>
      </c>
      <c r="F3091" s="1" t="s">
        <v>2656</v>
      </c>
      <c r="G3091" s="99" t="s">
        <v>1061</v>
      </c>
      <c r="H3091" s="5">
        <v>1</v>
      </c>
      <c r="I3091" s="5" t="str">
        <f>VLOOKUP(F3091,'Set up'!$A$2:$C$70,3,FALSE)</f>
        <v>Cash</v>
      </c>
      <c r="J3091" s="5">
        <f>VLOOKUP(F3091,'Set up'!$A$2:$D$70,4,FALSE)</f>
        <v>0</v>
      </c>
      <c r="K3091" s="4">
        <f t="shared" si="761"/>
        <v>45503</v>
      </c>
      <c r="L3091" s="5">
        <f t="shared" si="762"/>
        <v>7</v>
      </c>
      <c r="M3091" s="5">
        <f t="shared" si="763"/>
        <v>2024</v>
      </c>
      <c r="N3091" s="12">
        <v>95</v>
      </c>
      <c r="O3091" s="6">
        <f t="shared" si="766"/>
        <v>-95</v>
      </c>
      <c r="P3091" s="6">
        <f t="shared" si="749"/>
        <v>0</v>
      </c>
      <c r="Q3091" s="7">
        <f t="shared" si="764"/>
        <v>5062327.9499999993</v>
      </c>
      <c r="R3091" s="44" t="str">
        <f>VLOOKUP(F3091,'Set up'!$A$2:$E$70,5,FALSE)</f>
        <v>Cash</v>
      </c>
      <c r="S3091" s="1" t="s">
        <v>2879</v>
      </c>
    </row>
    <row r="3092" spans="1:19" ht="15" customHeight="1" x14ac:dyDescent="0.3">
      <c r="A3092" s="4">
        <v>45503</v>
      </c>
      <c r="B3092" s="5">
        <f t="shared" si="759"/>
        <v>7</v>
      </c>
      <c r="C3092" s="5">
        <f t="shared" si="760"/>
        <v>2024</v>
      </c>
      <c r="D3092" s="5" t="s">
        <v>2774</v>
      </c>
      <c r="E3092" s="5" t="str">
        <f>VLOOKUP(F3092,'Set up'!$A$2:$C$70,2,FALSE)</f>
        <v>C00000050</v>
      </c>
      <c r="F3092" s="1" t="s">
        <v>2656</v>
      </c>
      <c r="G3092" s="99" t="s">
        <v>2646</v>
      </c>
      <c r="H3092" s="5">
        <v>5</v>
      </c>
      <c r="I3092" s="5" t="str">
        <f>VLOOKUP(F3092,'Set up'!$A$2:$C$70,3,FALSE)</f>
        <v>Cash</v>
      </c>
      <c r="J3092" s="5">
        <f>VLOOKUP(F3092,'Set up'!$A$2:$D$70,4,FALSE)</f>
        <v>0</v>
      </c>
      <c r="K3092" s="4">
        <f t="shared" si="761"/>
        <v>45503</v>
      </c>
      <c r="L3092" s="5">
        <f t="shared" si="762"/>
        <v>7</v>
      </c>
      <c r="M3092" s="5">
        <f t="shared" si="763"/>
        <v>2024</v>
      </c>
      <c r="N3092" s="12">
        <v>312.5</v>
      </c>
      <c r="O3092" s="6">
        <f t="shared" si="766"/>
        <v>-312.5</v>
      </c>
      <c r="P3092" s="6">
        <f t="shared" si="749"/>
        <v>0</v>
      </c>
      <c r="Q3092" s="7">
        <f t="shared" si="764"/>
        <v>5062640.4499999993</v>
      </c>
      <c r="R3092" s="44" t="str">
        <f>VLOOKUP(F3092,'Set up'!$A$2:$E$70,5,FALSE)</f>
        <v>Cash</v>
      </c>
      <c r="S3092" s="1" t="s">
        <v>2879</v>
      </c>
    </row>
    <row r="3093" spans="1:19" ht="15" customHeight="1" x14ac:dyDescent="0.3">
      <c r="A3093" s="4">
        <v>45506</v>
      </c>
      <c r="B3093" s="5">
        <f t="shared" si="759"/>
        <v>8</v>
      </c>
      <c r="C3093" s="5">
        <f t="shared" si="760"/>
        <v>2024</v>
      </c>
      <c r="D3093" s="5" t="s">
        <v>2840</v>
      </c>
      <c r="E3093" s="5" t="str">
        <f>VLOOKUP(F3093,'Set up'!$A$2:$C$70,2,FALSE)</f>
        <v>C00000037</v>
      </c>
      <c r="F3093" s="1" t="s">
        <v>1309</v>
      </c>
      <c r="G3093" s="99" t="s">
        <v>1894</v>
      </c>
      <c r="H3093" s="5">
        <v>3</v>
      </c>
      <c r="I3093" s="5">
        <f>VLOOKUP(F3093,'Set up'!$A$2:$C$70,3,FALSE)</f>
        <v>30</v>
      </c>
      <c r="J3093" s="5">
        <f>VLOOKUP(F3093,'Set up'!$A$2:$D$70,4,FALSE)</f>
        <v>30</v>
      </c>
      <c r="K3093" s="4">
        <f t="shared" si="761"/>
        <v>45536</v>
      </c>
      <c r="L3093" s="5">
        <f t="shared" si="762"/>
        <v>9</v>
      </c>
      <c r="M3093" s="5">
        <f t="shared" si="763"/>
        <v>2024</v>
      </c>
      <c r="N3093" s="12">
        <v>5280</v>
      </c>
      <c r="O3093" s="6">
        <f t="shared" si="766"/>
        <v>-5280</v>
      </c>
      <c r="P3093" s="6">
        <f t="shared" ref="P3093:P3156" si="767">SUM(N3093+O3093)</f>
        <v>0</v>
      </c>
      <c r="Q3093" s="7">
        <f t="shared" si="764"/>
        <v>5067920.4499999993</v>
      </c>
      <c r="R3093" s="44" t="str">
        <f>VLOOKUP(F3093,'Set up'!$A$2:$E$70,5,FALSE)</f>
        <v>Chq</v>
      </c>
      <c r="S3093" s="1" t="s">
        <v>3326</v>
      </c>
    </row>
    <row r="3094" spans="1:19" ht="15" customHeight="1" x14ac:dyDescent="0.3">
      <c r="A3094" s="4">
        <v>45506</v>
      </c>
      <c r="B3094" s="5">
        <f t="shared" si="759"/>
        <v>8</v>
      </c>
      <c r="C3094" s="5">
        <f t="shared" si="760"/>
        <v>2024</v>
      </c>
      <c r="D3094" s="5" t="s">
        <v>2840</v>
      </c>
      <c r="E3094" s="5" t="str">
        <f>VLOOKUP(F3094,'Set up'!$A$2:$C$70,2,FALSE)</f>
        <v>C00000037</v>
      </c>
      <c r="F3094" s="1" t="s">
        <v>1309</v>
      </c>
      <c r="G3094" s="99" t="s">
        <v>707</v>
      </c>
      <c r="H3094" s="5">
        <v>2</v>
      </c>
      <c r="I3094" s="5">
        <f>VLOOKUP(F3094,'Set up'!$A$2:$C$70,3,FALSE)</f>
        <v>30</v>
      </c>
      <c r="J3094" s="5">
        <f>VLOOKUP(F3094,'Set up'!$A$2:$D$70,4,FALSE)</f>
        <v>30</v>
      </c>
      <c r="K3094" s="4">
        <f t="shared" si="761"/>
        <v>45536</v>
      </c>
      <c r="L3094" s="5">
        <f t="shared" si="762"/>
        <v>9</v>
      </c>
      <c r="M3094" s="5">
        <f t="shared" si="763"/>
        <v>2024</v>
      </c>
      <c r="N3094" s="12">
        <v>842.4</v>
      </c>
      <c r="O3094" s="6">
        <f t="shared" si="766"/>
        <v>-842.4</v>
      </c>
      <c r="P3094" s="6">
        <f t="shared" si="767"/>
        <v>0</v>
      </c>
      <c r="Q3094" s="7">
        <f t="shared" si="764"/>
        <v>5068762.8499999996</v>
      </c>
      <c r="R3094" s="44" t="str">
        <f>VLOOKUP(F3094,'Set up'!$A$2:$E$70,5,FALSE)</f>
        <v>Chq</v>
      </c>
      <c r="S3094" s="1" t="s">
        <v>3326</v>
      </c>
    </row>
    <row r="3095" spans="1:19" ht="15" customHeight="1" x14ac:dyDescent="0.3">
      <c r="A3095" s="4">
        <v>45506</v>
      </c>
      <c r="B3095" s="5">
        <f t="shared" si="759"/>
        <v>8</v>
      </c>
      <c r="C3095" s="5">
        <f t="shared" si="760"/>
        <v>2024</v>
      </c>
      <c r="D3095" s="5" t="s">
        <v>2840</v>
      </c>
      <c r="E3095" s="5" t="str">
        <f>VLOOKUP(F3095,'Set up'!$A$2:$C$70,2,FALSE)</f>
        <v>C00000037</v>
      </c>
      <c r="F3095" s="1" t="s">
        <v>1309</v>
      </c>
      <c r="G3095" s="99" t="s">
        <v>2556</v>
      </c>
      <c r="H3095" s="5">
        <v>2</v>
      </c>
      <c r="I3095" s="5">
        <f>VLOOKUP(F3095,'Set up'!$A$2:$C$70,3,FALSE)</f>
        <v>30</v>
      </c>
      <c r="J3095" s="5">
        <f>VLOOKUP(F3095,'Set up'!$A$2:$D$70,4,FALSE)</f>
        <v>30</v>
      </c>
      <c r="K3095" s="4">
        <f t="shared" si="761"/>
        <v>45536</v>
      </c>
      <c r="L3095" s="5">
        <f t="shared" si="762"/>
        <v>9</v>
      </c>
      <c r="M3095" s="5">
        <f t="shared" si="763"/>
        <v>2024</v>
      </c>
      <c r="N3095" s="12">
        <v>842.4</v>
      </c>
      <c r="O3095" s="6">
        <f t="shared" si="766"/>
        <v>-842.4</v>
      </c>
      <c r="P3095" s="6">
        <f t="shared" si="767"/>
        <v>0</v>
      </c>
      <c r="Q3095" s="7">
        <f t="shared" si="764"/>
        <v>5069605.25</v>
      </c>
      <c r="R3095" s="44" t="str">
        <f>VLOOKUP(F3095,'Set up'!$A$2:$E$70,5,FALSE)</f>
        <v>Chq</v>
      </c>
      <c r="S3095" s="1" t="s">
        <v>3326</v>
      </c>
    </row>
    <row r="3096" spans="1:19" ht="15" customHeight="1" x14ac:dyDescent="0.3">
      <c r="A3096" s="4">
        <v>45506</v>
      </c>
      <c r="B3096" s="5">
        <f t="shared" si="759"/>
        <v>8</v>
      </c>
      <c r="C3096" s="5">
        <f t="shared" si="760"/>
        <v>2024</v>
      </c>
      <c r="D3096" s="5" t="s">
        <v>2840</v>
      </c>
      <c r="E3096" s="5" t="str">
        <f>VLOOKUP(F3096,'Set up'!$A$2:$C$70,2,FALSE)</f>
        <v>C00000037</v>
      </c>
      <c r="F3096" s="1" t="s">
        <v>1309</v>
      </c>
      <c r="G3096" s="99" t="s">
        <v>1405</v>
      </c>
      <c r="H3096" s="5">
        <v>5</v>
      </c>
      <c r="I3096" s="5">
        <f>VLOOKUP(F3096,'Set up'!$A$2:$C$70,3,FALSE)</f>
        <v>30</v>
      </c>
      <c r="J3096" s="5">
        <f>VLOOKUP(F3096,'Set up'!$A$2:$D$70,4,FALSE)</f>
        <v>30</v>
      </c>
      <c r="K3096" s="4">
        <f t="shared" si="761"/>
        <v>45536</v>
      </c>
      <c r="L3096" s="5">
        <f t="shared" si="762"/>
        <v>9</v>
      </c>
      <c r="M3096" s="5">
        <f t="shared" si="763"/>
        <v>2024</v>
      </c>
      <c r="N3096" s="12">
        <v>240</v>
      </c>
      <c r="O3096" s="6">
        <f t="shared" si="766"/>
        <v>-240</v>
      </c>
      <c r="P3096" s="6">
        <f t="shared" si="767"/>
        <v>0</v>
      </c>
      <c r="Q3096" s="7">
        <f t="shared" si="764"/>
        <v>5069845.25</v>
      </c>
      <c r="R3096" s="44" t="str">
        <f>VLOOKUP(F3096,'Set up'!$A$2:$E$70,5,FALSE)</f>
        <v>Chq</v>
      </c>
      <c r="S3096" s="1" t="s">
        <v>3326</v>
      </c>
    </row>
    <row r="3097" spans="1:19" ht="15" customHeight="1" x14ac:dyDescent="0.3">
      <c r="A3097" s="4">
        <v>45506</v>
      </c>
      <c r="B3097" s="5">
        <f t="shared" si="759"/>
        <v>8</v>
      </c>
      <c r="C3097" s="5">
        <f t="shared" si="760"/>
        <v>2024</v>
      </c>
      <c r="D3097" s="5" t="s">
        <v>2840</v>
      </c>
      <c r="E3097" s="5" t="str">
        <f>VLOOKUP(F3097,'Set up'!$A$2:$C$70,2,FALSE)</f>
        <v>C00000037</v>
      </c>
      <c r="F3097" s="1" t="s">
        <v>1309</v>
      </c>
      <c r="G3097" s="99" t="s">
        <v>1110</v>
      </c>
      <c r="H3097" s="5">
        <v>5</v>
      </c>
      <c r="I3097" s="5">
        <f>VLOOKUP(F3097,'Set up'!$A$2:$C$70,3,FALSE)</f>
        <v>30</v>
      </c>
      <c r="J3097" s="5">
        <f>VLOOKUP(F3097,'Set up'!$A$2:$D$70,4,FALSE)</f>
        <v>30</v>
      </c>
      <c r="K3097" s="4">
        <f t="shared" si="761"/>
        <v>45536</v>
      </c>
      <c r="L3097" s="5">
        <f t="shared" si="762"/>
        <v>9</v>
      </c>
      <c r="M3097" s="5">
        <f t="shared" si="763"/>
        <v>2024</v>
      </c>
      <c r="N3097" s="12">
        <v>312.5</v>
      </c>
      <c r="O3097" s="6">
        <f t="shared" si="766"/>
        <v>-312.5</v>
      </c>
      <c r="P3097" s="6">
        <f t="shared" si="767"/>
        <v>0</v>
      </c>
      <c r="Q3097" s="7">
        <f t="shared" si="764"/>
        <v>5070157.75</v>
      </c>
      <c r="R3097" s="44" t="str">
        <f>VLOOKUP(F3097,'Set up'!$A$2:$E$70,5,FALSE)</f>
        <v>Chq</v>
      </c>
      <c r="S3097" s="1" t="s">
        <v>3326</v>
      </c>
    </row>
    <row r="3098" spans="1:19" ht="15" customHeight="1" x14ac:dyDescent="0.3">
      <c r="A3098" s="4">
        <v>45506</v>
      </c>
      <c r="B3098" s="5">
        <f t="shared" si="759"/>
        <v>8</v>
      </c>
      <c r="C3098" s="5">
        <f t="shared" si="760"/>
        <v>2024</v>
      </c>
      <c r="D3098" s="5" t="s">
        <v>2840</v>
      </c>
      <c r="E3098" s="5" t="str">
        <f>VLOOKUP(F3098,'Set up'!$A$2:$C$70,2,FALSE)</f>
        <v>C00000037</v>
      </c>
      <c r="F3098" s="1" t="s">
        <v>1309</v>
      </c>
      <c r="G3098" s="99" t="s">
        <v>1546</v>
      </c>
      <c r="H3098" s="5">
        <v>1</v>
      </c>
      <c r="I3098" s="5">
        <f>VLOOKUP(F3098,'Set up'!$A$2:$C$70,3,FALSE)</f>
        <v>30</v>
      </c>
      <c r="J3098" s="5">
        <f>VLOOKUP(F3098,'Set up'!$A$2:$D$70,4,FALSE)</f>
        <v>30</v>
      </c>
      <c r="K3098" s="4">
        <f t="shared" si="761"/>
        <v>45536</v>
      </c>
      <c r="L3098" s="5">
        <f t="shared" si="762"/>
        <v>9</v>
      </c>
      <c r="M3098" s="5">
        <f t="shared" si="763"/>
        <v>2024</v>
      </c>
      <c r="N3098" s="12">
        <v>930</v>
      </c>
      <c r="O3098" s="6">
        <f t="shared" si="766"/>
        <v>-930</v>
      </c>
      <c r="P3098" s="6">
        <f t="shared" si="767"/>
        <v>0</v>
      </c>
      <c r="Q3098" s="7">
        <f t="shared" si="764"/>
        <v>5071087.75</v>
      </c>
      <c r="R3098" s="44" t="str">
        <f>VLOOKUP(F3098,'Set up'!$A$2:$E$70,5,FALSE)</f>
        <v>Chq</v>
      </c>
      <c r="S3098" s="1" t="s">
        <v>3326</v>
      </c>
    </row>
    <row r="3099" spans="1:19" ht="15" customHeight="1" x14ac:dyDescent="0.3">
      <c r="A3099" s="4">
        <v>45506</v>
      </c>
      <c r="B3099" s="5">
        <f t="shared" si="759"/>
        <v>8</v>
      </c>
      <c r="C3099" s="5">
        <f t="shared" si="760"/>
        <v>2024</v>
      </c>
      <c r="D3099" s="5" t="s">
        <v>2840</v>
      </c>
      <c r="E3099" s="5" t="str">
        <f>VLOOKUP(F3099,'Set up'!$A$2:$C$70,2,FALSE)</f>
        <v>C00000037</v>
      </c>
      <c r="F3099" s="1" t="s">
        <v>1309</v>
      </c>
      <c r="G3099" s="99" t="s">
        <v>1061</v>
      </c>
      <c r="H3099" s="5">
        <v>3</v>
      </c>
      <c r="I3099" s="5">
        <f>VLOOKUP(F3099,'Set up'!$A$2:$C$70,3,FALSE)</f>
        <v>30</v>
      </c>
      <c r="J3099" s="5">
        <f>VLOOKUP(F3099,'Set up'!$A$2:$D$70,4,FALSE)</f>
        <v>30</v>
      </c>
      <c r="K3099" s="4">
        <f t="shared" si="761"/>
        <v>45536</v>
      </c>
      <c r="L3099" s="5">
        <f t="shared" si="762"/>
        <v>9</v>
      </c>
      <c r="M3099" s="5">
        <f t="shared" si="763"/>
        <v>2024</v>
      </c>
      <c r="N3099" s="12">
        <v>285</v>
      </c>
      <c r="O3099" s="6">
        <f t="shared" si="766"/>
        <v>-285</v>
      </c>
      <c r="P3099" s="6">
        <f t="shared" si="767"/>
        <v>0</v>
      </c>
      <c r="Q3099" s="7">
        <f t="shared" si="764"/>
        <v>5071372.75</v>
      </c>
      <c r="R3099" s="44" t="str">
        <f>VLOOKUP(F3099,'Set up'!$A$2:$E$70,5,FALSE)</f>
        <v>Chq</v>
      </c>
      <c r="S3099" s="1" t="s">
        <v>3326</v>
      </c>
    </row>
    <row r="3100" spans="1:19" ht="15" customHeight="1" x14ac:dyDescent="0.3">
      <c r="A3100" s="4">
        <v>45509</v>
      </c>
      <c r="B3100" s="5">
        <f t="shared" si="759"/>
        <v>8</v>
      </c>
      <c r="C3100" s="5">
        <f t="shared" si="760"/>
        <v>2024</v>
      </c>
      <c r="D3100" s="5" t="s">
        <v>2841</v>
      </c>
      <c r="E3100" s="5" t="str">
        <f>VLOOKUP(F3100,'Set up'!$A$2:$C$70,2,FALSE)</f>
        <v>C00000042</v>
      </c>
      <c r="F3100" s="1" t="s">
        <v>2012</v>
      </c>
      <c r="G3100" s="99" t="s">
        <v>1061</v>
      </c>
      <c r="H3100" s="5">
        <v>2</v>
      </c>
      <c r="I3100" s="5" t="str">
        <f>VLOOKUP(F3100,'Set up'!$A$2:$C$70,3,FALSE)</f>
        <v>Cash</v>
      </c>
      <c r="J3100" s="5">
        <f>VLOOKUP(F3100,'Set up'!$A$2:$D$70,4,FALSE)</f>
        <v>0</v>
      </c>
      <c r="K3100" s="4">
        <f t="shared" si="761"/>
        <v>45509</v>
      </c>
      <c r="L3100" s="5">
        <f t="shared" si="762"/>
        <v>8</v>
      </c>
      <c r="M3100" s="5">
        <f t="shared" si="763"/>
        <v>2024</v>
      </c>
      <c r="N3100" s="12">
        <v>190</v>
      </c>
      <c r="O3100" s="6">
        <f t="shared" si="766"/>
        <v>-190</v>
      </c>
      <c r="P3100" s="6">
        <f t="shared" si="767"/>
        <v>0</v>
      </c>
      <c r="Q3100" s="7">
        <f t="shared" si="764"/>
        <v>5071562.75</v>
      </c>
      <c r="R3100" s="44" t="str">
        <f>VLOOKUP(F3100,'Set up'!$A$2:$E$70,5,FALSE)</f>
        <v>Trsf</v>
      </c>
      <c r="S3100" s="1" t="s">
        <v>3376</v>
      </c>
    </row>
    <row r="3101" spans="1:19" ht="15" customHeight="1" x14ac:dyDescent="0.3">
      <c r="A3101" s="4">
        <v>45509</v>
      </c>
      <c r="B3101" s="5">
        <f t="shared" si="759"/>
        <v>8</v>
      </c>
      <c r="C3101" s="5">
        <f t="shared" si="760"/>
        <v>2024</v>
      </c>
      <c r="D3101" s="5" t="s">
        <v>2841</v>
      </c>
      <c r="E3101" s="5" t="str">
        <f>VLOOKUP(F3101,'Set up'!$A$2:$C$70,2,FALSE)</f>
        <v>C00000042</v>
      </c>
      <c r="F3101" s="1" t="s">
        <v>2012</v>
      </c>
      <c r="G3101" s="99" t="s">
        <v>17</v>
      </c>
      <c r="H3101" s="5">
        <v>2</v>
      </c>
      <c r="I3101" s="5" t="str">
        <f>VLOOKUP(F3101,'Set up'!$A$2:$C$70,3,FALSE)</f>
        <v>Cash</v>
      </c>
      <c r="J3101" s="5">
        <f>VLOOKUP(F3101,'Set up'!$A$2:$D$70,4,FALSE)</f>
        <v>0</v>
      </c>
      <c r="K3101" s="4">
        <f t="shared" si="761"/>
        <v>45509</v>
      </c>
      <c r="L3101" s="5">
        <f t="shared" si="762"/>
        <v>8</v>
      </c>
      <c r="M3101" s="5">
        <f t="shared" si="763"/>
        <v>2024</v>
      </c>
      <c r="N3101" s="12">
        <v>220</v>
      </c>
      <c r="O3101" s="6">
        <f t="shared" si="766"/>
        <v>-220</v>
      </c>
      <c r="P3101" s="6">
        <f t="shared" si="767"/>
        <v>0</v>
      </c>
      <c r="Q3101" s="7">
        <f t="shared" si="764"/>
        <v>5071782.75</v>
      </c>
      <c r="R3101" s="44" t="str">
        <f>VLOOKUP(F3101,'Set up'!$A$2:$E$70,5,FALSE)</f>
        <v>Trsf</v>
      </c>
      <c r="S3101" s="1" t="s">
        <v>3377</v>
      </c>
    </row>
    <row r="3102" spans="1:19" ht="15" customHeight="1" x14ac:dyDescent="0.3">
      <c r="A3102" s="4">
        <v>45509</v>
      </c>
      <c r="B3102" s="5">
        <f t="shared" si="759"/>
        <v>8</v>
      </c>
      <c r="C3102" s="5">
        <f t="shared" si="760"/>
        <v>2024</v>
      </c>
      <c r="D3102" s="5" t="s">
        <v>2842</v>
      </c>
      <c r="E3102" s="5" t="str">
        <f>VLOOKUP(F3102,'Set up'!$A$2:$C$70,2,FALSE)</f>
        <v>C00000006</v>
      </c>
      <c r="F3102" s="1" t="s">
        <v>43</v>
      </c>
      <c r="G3102" s="99" t="s">
        <v>95</v>
      </c>
      <c r="H3102" s="5">
        <v>5</v>
      </c>
      <c r="I3102" s="5" t="str">
        <f>VLOOKUP(F3102,'Set up'!$A$2:$C$70,3,FALSE)</f>
        <v>Cash</v>
      </c>
      <c r="J3102" s="5">
        <f>VLOOKUP(F3102,'Set up'!$A$2:$D$70,4,FALSE)</f>
        <v>0</v>
      </c>
      <c r="K3102" s="4">
        <f t="shared" si="761"/>
        <v>45509</v>
      </c>
      <c r="L3102" s="5">
        <f t="shared" si="762"/>
        <v>8</v>
      </c>
      <c r="M3102" s="5">
        <f t="shared" si="763"/>
        <v>2024</v>
      </c>
      <c r="N3102" s="12">
        <v>8690</v>
      </c>
      <c r="O3102" s="6">
        <f t="shared" ref="O3102:O3105" si="768">-N3102</f>
        <v>-8690</v>
      </c>
      <c r="P3102" s="6">
        <f t="shared" si="767"/>
        <v>0</v>
      </c>
      <c r="Q3102" s="7">
        <f t="shared" si="764"/>
        <v>5080472.75</v>
      </c>
      <c r="R3102" s="44" t="str">
        <f>VLOOKUP(F3102,'Set up'!$A$2:$E$70,5,FALSE)</f>
        <v>Chq</v>
      </c>
      <c r="S3102" s="1" t="s">
        <v>3188</v>
      </c>
    </row>
    <row r="3103" spans="1:19" ht="15" customHeight="1" x14ac:dyDescent="0.3">
      <c r="A3103" s="4">
        <v>45509</v>
      </c>
      <c r="B3103" s="5">
        <f t="shared" si="759"/>
        <v>8</v>
      </c>
      <c r="C3103" s="5">
        <f t="shared" si="760"/>
        <v>2024</v>
      </c>
      <c r="D3103" s="5" t="s">
        <v>2842</v>
      </c>
      <c r="E3103" s="5" t="str">
        <f>VLOOKUP(F3103,'Set up'!$A$2:$C$70,2,FALSE)</f>
        <v>C00000006</v>
      </c>
      <c r="F3103" s="1" t="s">
        <v>43</v>
      </c>
      <c r="G3103" s="99" t="s">
        <v>1796</v>
      </c>
      <c r="H3103" s="5">
        <v>12</v>
      </c>
      <c r="I3103" s="5" t="str">
        <f>VLOOKUP(F3103,'Set up'!$A$2:$C$70,3,FALSE)</f>
        <v>Cash</v>
      </c>
      <c r="J3103" s="5">
        <f>VLOOKUP(F3103,'Set up'!$A$2:$D$70,4,FALSE)</f>
        <v>0</v>
      </c>
      <c r="K3103" s="4">
        <f t="shared" si="761"/>
        <v>45509</v>
      </c>
      <c r="L3103" s="5">
        <f t="shared" si="762"/>
        <v>8</v>
      </c>
      <c r="M3103" s="5">
        <f t="shared" si="763"/>
        <v>2024</v>
      </c>
      <c r="N3103" s="12">
        <v>2700</v>
      </c>
      <c r="O3103" s="6">
        <f t="shared" si="768"/>
        <v>-2700</v>
      </c>
      <c r="P3103" s="6">
        <f t="shared" si="767"/>
        <v>0</v>
      </c>
      <c r="Q3103" s="7">
        <f t="shared" si="764"/>
        <v>5083172.75</v>
      </c>
      <c r="R3103" s="44" t="str">
        <f>VLOOKUP(F3103,'Set up'!$A$2:$E$70,5,FALSE)</f>
        <v>Chq</v>
      </c>
      <c r="S3103" s="1" t="s">
        <v>3188</v>
      </c>
    </row>
    <row r="3104" spans="1:19" ht="15" customHeight="1" x14ac:dyDescent="0.3">
      <c r="A3104" s="4">
        <v>45509</v>
      </c>
      <c r="B3104" s="5">
        <f t="shared" si="759"/>
        <v>8</v>
      </c>
      <c r="C3104" s="5">
        <f t="shared" si="760"/>
        <v>2024</v>
      </c>
      <c r="D3104" s="5" t="s">
        <v>2842</v>
      </c>
      <c r="E3104" s="5" t="str">
        <f>VLOOKUP(F3104,'Set up'!$A$2:$C$70,2,FALSE)</f>
        <v>C00000006</v>
      </c>
      <c r="F3104" s="1" t="s">
        <v>43</v>
      </c>
      <c r="G3104" s="99" t="s">
        <v>17</v>
      </c>
      <c r="H3104" s="5">
        <v>2</v>
      </c>
      <c r="I3104" s="5" t="str">
        <f>VLOOKUP(F3104,'Set up'!$A$2:$C$70,3,FALSE)</f>
        <v>Cash</v>
      </c>
      <c r="J3104" s="5">
        <f>VLOOKUP(F3104,'Set up'!$A$2:$D$70,4,FALSE)</f>
        <v>0</v>
      </c>
      <c r="K3104" s="4">
        <f t="shared" si="761"/>
        <v>45509</v>
      </c>
      <c r="L3104" s="5">
        <f t="shared" si="762"/>
        <v>8</v>
      </c>
      <c r="M3104" s="5">
        <f t="shared" si="763"/>
        <v>2024</v>
      </c>
      <c r="N3104" s="12">
        <v>220</v>
      </c>
      <c r="O3104" s="6">
        <f t="shared" si="768"/>
        <v>-220</v>
      </c>
      <c r="P3104" s="6">
        <f t="shared" si="767"/>
        <v>0</v>
      </c>
      <c r="Q3104" s="7">
        <f t="shared" si="764"/>
        <v>5083392.75</v>
      </c>
      <c r="R3104" s="44" t="str">
        <f>VLOOKUP(F3104,'Set up'!$A$2:$E$70,5,FALSE)</f>
        <v>Chq</v>
      </c>
      <c r="S3104" s="1" t="s">
        <v>3188</v>
      </c>
    </row>
    <row r="3105" spans="1:19" ht="15" customHeight="1" x14ac:dyDescent="0.3">
      <c r="A3105" s="4">
        <v>45509</v>
      </c>
      <c r="B3105" s="5">
        <f t="shared" si="759"/>
        <v>8</v>
      </c>
      <c r="C3105" s="5">
        <f t="shared" si="760"/>
        <v>2024</v>
      </c>
      <c r="D3105" s="5" t="s">
        <v>2842</v>
      </c>
      <c r="E3105" s="5" t="str">
        <f>VLOOKUP(F3105,'Set up'!$A$2:$C$70,2,FALSE)</f>
        <v>C00000006</v>
      </c>
      <c r="F3105" s="1" t="s">
        <v>43</v>
      </c>
      <c r="G3105" s="99" t="s">
        <v>2843</v>
      </c>
      <c r="H3105" s="5">
        <v>4</v>
      </c>
      <c r="I3105" s="5" t="str">
        <f>VLOOKUP(F3105,'Set up'!$A$2:$C$70,3,FALSE)</f>
        <v>Cash</v>
      </c>
      <c r="J3105" s="5">
        <f>VLOOKUP(F3105,'Set up'!$A$2:$D$70,4,FALSE)</f>
        <v>0</v>
      </c>
      <c r="K3105" s="4">
        <f t="shared" si="761"/>
        <v>45509</v>
      </c>
      <c r="L3105" s="5">
        <f t="shared" si="762"/>
        <v>8</v>
      </c>
      <c r="M3105" s="5">
        <f t="shared" si="763"/>
        <v>2024</v>
      </c>
      <c r="N3105" s="12">
        <v>640</v>
      </c>
      <c r="O3105" s="6">
        <f t="shared" si="768"/>
        <v>-640</v>
      </c>
      <c r="P3105" s="6">
        <f t="shared" si="767"/>
        <v>0</v>
      </c>
      <c r="Q3105" s="7">
        <f t="shared" si="764"/>
        <v>5084032.75</v>
      </c>
      <c r="R3105" s="44" t="str">
        <f>VLOOKUP(F3105,'Set up'!$A$2:$E$70,5,FALSE)</f>
        <v>Chq</v>
      </c>
      <c r="S3105" s="1" t="s">
        <v>3188</v>
      </c>
    </row>
    <row r="3106" spans="1:19" ht="15" customHeight="1" x14ac:dyDescent="0.3">
      <c r="A3106" s="4">
        <v>45509</v>
      </c>
      <c r="B3106" s="5">
        <f t="shared" si="759"/>
        <v>8</v>
      </c>
      <c r="C3106" s="5">
        <f t="shared" si="760"/>
        <v>2024</v>
      </c>
      <c r="D3106" s="5" t="s">
        <v>2844</v>
      </c>
      <c r="E3106" s="5" t="str">
        <f>VLOOKUP(F3106,'Set up'!$A$2:$C$70,2,FALSE)</f>
        <v>C00000044</v>
      </c>
      <c r="F3106" s="1" t="s">
        <v>2929</v>
      </c>
      <c r="G3106" s="99" t="s">
        <v>1563</v>
      </c>
      <c r="H3106" s="5">
        <v>1</v>
      </c>
      <c r="I3106" s="5" t="str">
        <f>VLOOKUP(F3106,'Set up'!$A$2:$C$70,3,FALSE)</f>
        <v>Cash</v>
      </c>
      <c r="J3106" s="5">
        <f>VLOOKUP(F3106,'Set up'!$A$2:$D$70,4,FALSE)</f>
        <v>0</v>
      </c>
      <c r="K3106" s="4">
        <f t="shared" si="761"/>
        <v>45509</v>
      </c>
      <c r="L3106" s="5">
        <f t="shared" si="762"/>
        <v>8</v>
      </c>
      <c r="M3106" s="5">
        <f t="shared" si="763"/>
        <v>2024</v>
      </c>
      <c r="N3106" s="12">
        <v>1694</v>
      </c>
      <c r="O3106" s="6">
        <f t="shared" ref="O3106:O3110" si="769">-N3106</f>
        <v>-1694</v>
      </c>
      <c r="P3106" s="6">
        <f t="shared" si="767"/>
        <v>0</v>
      </c>
      <c r="Q3106" s="7">
        <f t="shared" si="764"/>
        <v>5085726.75</v>
      </c>
      <c r="R3106" s="44" t="str">
        <f>VLOOKUP(F3106,'Set up'!$A$2:$E$70,5,FALSE)</f>
        <v>Cash</v>
      </c>
      <c r="S3106" s="1" t="s">
        <v>2891</v>
      </c>
    </row>
    <row r="3107" spans="1:19" ht="15" customHeight="1" x14ac:dyDescent="0.3">
      <c r="A3107" s="4">
        <v>45509</v>
      </c>
      <c r="B3107" s="5">
        <f t="shared" si="759"/>
        <v>8</v>
      </c>
      <c r="C3107" s="5">
        <f t="shared" si="760"/>
        <v>2024</v>
      </c>
      <c r="D3107" s="5" t="s">
        <v>2844</v>
      </c>
      <c r="E3107" s="5" t="str">
        <f>VLOOKUP(F3107,'Set up'!$A$2:$C$70,2,FALSE)</f>
        <v>C00000044</v>
      </c>
      <c r="F3107" s="1" t="s">
        <v>2929</v>
      </c>
      <c r="G3107" s="99" t="s">
        <v>655</v>
      </c>
      <c r="H3107" s="5">
        <v>1</v>
      </c>
      <c r="I3107" s="5" t="str">
        <f>VLOOKUP(F3107,'Set up'!$A$2:$C$70,3,FALSE)</f>
        <v>Cash</v>
      </c>
      <c r="J3107" s="5">
        <f>VLOOKUP(F3107,'Set up'!$A$2:$D$70,4,FALSE)</f>
        <v>0</v>
      </c>
      <c r="K3107" s="4">
        <f t="shared" si="761"/>
        <v>45509</v>
      </c>
      <c r="L3107" s="5">
        <f t="shared" si="762"/>
        <v>8</v>
      </c>
      <c r="M3107" s="5">
        <f t="shared" si="763"/>
        <v>2024</v>
      </c>
      <c r="N3107" s="12">
        <v>280</v>
      </c>
      <c r="O3107" s="6">
        <f t="shared" si="769"/>
        <v>-280</v>
      </c>
      <c r="P3107" s="6">
        <f t="shared" si="767"/>
        <v>0</v>
      </c>
      <c r="Q3107" s="7">
        <f t="shared" si="764"/>
        <v>5086006.75</v>
      </c>
      <c r="R3107" s="44" t="str">
        <f>VLOOKUP(F3107,'Set up'!$A$2:$E$70,5,FALSE)</f>
        <v>Cash</v>
      </c>
      <c r="S3107" s="1" t="s">
        <v>2891</v>
      </c>
    </row>
    <row r="3108" spans="1:19" ht="15" customHeight="1" x14ac:dyDescent="0.3">
      <c r="A3108" s="4">
        <v>45509</v>
      </c>
      <c r="B3108" s="5">
        <f t="shared" si="759"/>
        <v>8</v>
      </c>
      <c r="C3108" s="5">
        <f t="shared" si="760"/>
        <v>2024</v>
      </c>
      <c r="D3108" s="5" t="s">
        <v>2844</v>
      </c>
      <c r="E3108" s="5" t="str">
        <f>VLOOKUP(F3108,'Set up'!$A$2:$C$70,2,FALSE)</f>
        <v>C00000044</v>
      </c>
      <c r="F3108" s="1" t="s">
        <v>2929</v>
      </c>
      <c r="G3108" s="99" t="s">
        <v>1468</v>
      </c>
      <c r="H3108" s="5">
        <v>1</v>
      </c>
      <c r="I3108" s="5" t="str">
        <f>VLOOKUP(F3108,'Set up'!$A$2:$C$70,3,FALSE)</f>
        <v>Cash</v>
      </c>
      <c r="J3108" s="5">
        <f>VLOOKUP(F3108,'Set up'!$A$2:$D$70,4,FALSE)</f>
        <v>0</v>
      </c>
      <c r="K3108" s="4">
        <f t="shared" si="761"/>
        <v>45509</v>
      </c>
      <c r="L3108" s="5">
        <f t="shared" si="762"/>
        <v>8</v>
      </c>
      <c r="M3108" s="5">
        <f t="shared" si="763"/>
        <v>2024</v>
      </c>
      <c r="N3108" s="12">
        <v>325</v>
      </c>
      <c r="O3108" s="6">
        <f t="shared" si="769"/>
        <v>-325</v>
      </c>
      <c r="P3108" s="6">
        <f t="shared" si="767"/>
        <v>0</v>
      </c>
      <c r="Q3108" s="7">
        <f t="shared" si="764"/>
        <v>5086331.75</v>
      </c>
      <c r="R3108" s="44" t="str">
        <f>VLOOKUP(F3108,'Set up'!$A$2:$E$70,5,FALSE)</f>
        <v>Cash</v>
      </c>
      <c r="S3108" s="1" t="s">
        <v>2891</v>
      </c>
    </row>
    <row r="3109" spans="1:19" ht="15" customHeight="1" x14ac:dyDescent="0.3">
      <c r="A3109" s="4">
        <v>45509</v>
      </c>
      <c r="B3109" s="5">
        <f t="shared" si="759"/>
        <v>8</v>
      </c>
      <c r="C3109" s="5">
        <f t="shared" si="760"/>
        <v>2024</v>
      </c>
      <c r="D3109" s="5" t="s">
        <v>2844</v>
      </c>
      <c r="E3109" s="5" t="str">
        <f>VLOOKUP(F3109,'Set up'!$A$2:$C$70,2,FALSE)</f>
        <v>C00000044</v>
      </c>
      <c r="F3109" s="1" t="s">
        <v>2929</v>
      </c>
      <c r="G3109" s="99" t="s">
        <v>1351</v>
      </c>
      <c r="H3109" s="5">
        <v>3</v>
      </c>
      <c r="I3109" s="5" t="str">
        <f>VLOOKUP(F3109,'Set up'!$A$2:$C$70,3,FALSE)</f>
        <v>Cash</v>
      </c>
      <c r="J3109" s="5">
        <f>VLOOKUP(F3109,'Set up'!$A$2:$D$70,4,FALSE)</f>
        <v>0</v>
      </c>
      <c r="K3109" s="4">
        <f t="shared" si="761"/>
        <v>45509</v>
      </c>
      <c r="L3109" s="5">
        <f t="shared" si="762"/>
        <v>8</v>
      </c>
      <c r="M3109" s="5">
        <f t="shared" si="763"/>
        <v>2024</v>
      </c>
      <c r="N3109" s="12">
        <v>414</v>
      </c>
      <c r="O3109" s="6">
        <f t="shared" si="769"/>
        <v>-414</v>
      </c>
      <c r="P3109" s="6">
        <f t="shared" si="767"/>
        <v>0</v>
      </c>
      <c r="Q3109" s="7">
        <f t="shared" si="764"/>
        <v>5086745.75</v>
      </c>
      <c r="R3109" s="44" t="str">
        <f>VLOOKUP(F3109,'Set up'!$A$2:$E$70,5,FALSE)</f>
        <v>Cash</v>
      </c>
      <c r="S3109" s="1" t="s">
        <v>2891</v>
      </c>
    </row>
    <row r="3110" spans="1:19" ht="15" customHeight="1" x14ac:dyDescent="0.3">
      <c r="A3110" s="4">
        <v>45509</v>
      </c>
      <c r="B3110" s="5">
        <f t="shared" si="759"/>
        <v>8</v>
      </c>
      <c r="C3110" s="5">
        <f t="shared" si="760"/>
        <v>2024</v>
      </c>
      <c r="D3110" s="5" t="s">
        <v>2844</v>
      </c>
      <c r="E3110" s="5" t="str">
        <f>VLOOKUP(F3110,'Set up'!$A$2:$C$70,2,FALSE)</f>
        <v>C00000044</v>
      </c>
      <c r="F3110" s="1" t="s">
        <v>2929</v>
      </c>
      <c r="G3110" s="99" t="s">
        <v>1715</v>
      </c>
      <c r="H3110" s="5">
        <v>1</v>
      </c>
      <c r="I3110" s="5" t="str">
        <f>VLOOKUP(F3110,'Set up'!$A$2:$C$70,3,FALSE)</f>
        <v>Cash</v>
      </c>
      <c r="J3110" s="5">
        <f>VLOOKUP(F3110,'Set up'!$A$2:$D$70,4,FALSE)</f>
        <v>0</v>
      </c>
      <c r="K3110" s="4">
        <f t="shared" si="761"/>
        <v>45509</v>
      </c>
      <c r="L3110" s="5">
        <f t="shared" si="762"/>
        <v>8</v>
      </c>
      <c r="M3110" s="5">
        <f t="shared" si="763"/>
        <v>2024</v>
      </c>
      <c r="N3110" s="12">
        <v>165</v>
      </c>
      <c r="O3110" s="6">
        <f t="shared" si="769"/>
        <v>-165</v>
      </c>
      <c r="P3110" s="6">
        <f t="shared" si="767"/>
        <v>0</v>
      </c>
      <c r="Q3110" s="7">
        <f t="shared" si="764"/>
        <v>5086910.75</v>
      </c>
      <c r="R3110" s="44" t="str">
        <f>VLOOKUP(F3110,'Set up'!$A$2:$E$70,5,FALSE)</f>
        <v>Cash</v>
      </c>
      <c r="S3110" s="1" t="s">
        <v>2891</v>
      </c>
    </row>
    <row r="3111" spans="1:19" ht="15" customHeight="1" x14ac:dyDescent="0.3">
      <c r="A3111" s="4">
        <v>45510</v>
      </c>
      <c r="B3111" s="5">
        <f t="shared" si="759"/>
        <v>8</v>
      </c>
      <c r="C3111" s="5">
        <f t="shared" si="760"/>
        <v>2024</v>
      </c>
      <c r="D3111" s="5" t="s">
        <v>2845</v>
      </c>
      <c r="E3111" s="5" t="str">
        <f>VLOOKUP(F3111,'Set up'!$A$2:$C$70,2,FALSE)</f>
        <v>C00000050</v>
      </c>
      <c r="F3111" s="1" t="s">
        <v>2656</v>
      </c>
      <c r="G3111" s="99" t="s">
        <v>2552</v>
      </c>
      <c r="H3111" s="5">
        <v>1</v>
      </c>
      <c r="I3111" s="5" t="str">
        <f>VLOOKUP(F3111,'Set up'!$A$2:$C$70,3,FALSE)</f>
        <v>Cash</v>
      </c>
      <c r="J3111" s="5">
        <f>VLOOKUP(F3111,'Set up'!$A$2:$D$70,4,FALSE)</f>
        <v>0</v>
      </c>
      <c r="K3111" s="4">
        <f t="shared" si="761"/>
        <v>45510</v>
      </c>
      <c r="L3111" s="5">
        <f t="shared" si="762"/>
        <v>8</v>
      </c>
      <c r="M3111" s="5">
        <f t="shared" si="763"/>
        <v>2024</v>
      </c>
      <c r="N3111" s="12">
        <v>1760</v>
      </c>
      <c r="O3111" s="6">
        <f t="shared" ref="O3111:O3120" si="770">-N3111</f>
        <v>-1760</v>
      </c>
      <c r="P3111" s="6">
        <f t="shared" si="767"/>
        <v>0</v>
      </c>
      <c r="Q3111" s="7">
        <f t="shared" si="764"/>
        <v>5088670.75</v>
      </c>
      <c r="R3111" s="44" t="str">
        <f>VLOOKUP(F3111,'Set up'!$A$2:$E$70,5,FALSE)</f>
        <v>Cash</v>
      </c>
      <c r="S3111" s="1" t="s">
        <v>2880</v>
      </c>
    </row>
    <row r="3112" spans="1:19" ht="15" customHeight="1" x14ac:dyDescent="0.3">
      <c r="A3112" s="4">
        <v>45510</v>
      </c>
      <c r="B3112" s="5">
        <f t="shared" si="759"/>
        <v>8</v>
      </c>
      <c r="C3112" s="5">
        <f t="shared" si="760"/>
        <v>2024</v>
      </c>
      <c r="D3112" s="5" t="s">
        <v>2845</v>
      </c>
      <c r="E3112" s="5" t="str">
        <f>VLOOKUP(F3112,'Set up'!$A$2:$C$70,2,FALSE)</f>
        <v>C00000050</v>
      </c>
      <c r="F3112" s="1" t="s">
        <v>2656</v>
      </c>
      <c r="G3112" s="99" t="s">
        <v>2129</v>
      </c>
      <c r="H3112" s="5">
        <v>3</v>
      </c>
      <c r="I3112" s="5" t="str">
        <f>VLOOKUP(F3112,'Set up'!$A$2:$C$70,3,FALSE)</f>
        <v>Cash</v>
      </c>
      <c r="J3112" s="5">
        <f>VLOOKUP(F3112,'Set up'!$A$2:$D$70,4,FALSE)</f>
        <v>0</v>
      </c>
      <c r="K3112" s="4">
        <f t="shared" si="761"/>
        <v>45510</v>
      </c>
      <c r="L3112" s="5">
        <f t="shared" si="762"/>
        <v>8</v>
      </c>
      <c r="M3112" s="5">
        <f t="shared" si="763"/>
        <v>2024</v>
      </c>
      <c r="N3112" s="12">
        <v>832.5</v>
      </c>
      <c r="O3112" s="6">
        <f t="shared" si="770"/>
        <v>-832.5</v>
      </c>
      <c r="P3112" s="6">
        <f t="shared" si="767"/>
        <v>0</v>
      </c>
      <c r="Q3112" s="7">
        <f t="shared" si="764"/>
        <v>5089503.25</v>
      </c>
      <c r="R3112" s="44" t="str">
        <f>VLOOKUP(F3112,'Set up'!$A$2:$E$70,5,FALSE)</f>
        <v>Cash</v>
      </c>
      <c r="S3112" s="1" t="s">
        <v>2880</v>
      </c>
    </row>
    <row r="3113" spans="1:19" ht="15" customHeight="1" x14ac:dyDescent="0.3">
      <c r="A3113" s="4">
        <v>45510</v>
      </c>
      <c r="B3113" s="5">
        <f t="shared" si="759"/>
        <v>8</v>
      </c>
      <c r="C3113" s="5">
        <f t="shared" si="760"/>
        <v>2024</v>
      </c>
      <c r="D3113" s="5" t="s">
        <v>2845</v>
      </c>
      <c r="E3113" s="5" t="str">
        <f>VLOOKUP(F3113,'Set up'!$A$2:$C$70,2,FALSE)</f>
        <v>C00000050</v>
      </c>
      <c r="F3113" s="1" t="s">
        <v>2656</v>
      </c>
      <c r="G3113" s="99" t="s">
        <v>1061</v>
      </c>
      <c r="H3113" s="5">
        <v>1</v>
      </c>
      <c r="I3113" s="5" t="str">
        <f>VLOOKUP(F3113,'Set up'!$A$2:$C$70,3,FALSE)</f>
        <v>Cash</v>
      </c>
      <c r="J3113" s="5">
        <f>VLOOKUP(F3113,'Set up'!$A$2:$D$70,4,FALSE)</f>
        <v>0</v>
      </c>
      <c r="K3113" s="4">
        <f t="shared" si="761"/>
        <v>45510</v>
      </c>
      <c r="L3113" s="5">
        <f t="shared" si="762"/>
        <v>8</v>
      </c>
      <c r="M3113" s="5">
        <f t="shared" si="763"/>
        <v>2024</v>
      </c>
      <c r="N3113" s="12">
        <v>95</v>
      </c>
      <c r="O3113" s="6">
        <f t="shared" si="770"/>
        <v>-95</v>
      </c>
      <c r="P3113" s="6">
        <f t="shared" si="767"/>
        <v>0</v>
      </c>
      <c r="Q3113" s="7">
        <f t="shared" si="764"/>
        <v>5089598.25</v>
      </c>
      <c r="R3113" s="44" t="str">
        <f>VLOOKUP(F3113,'Set up'!$A$2:$E$70,5,FALSE)</f>
        <v>Cash</v>
      </c>
      <c r="S3113" s="1" t="s">
        <v>2880</v>
      </c>
    </row>
    <row r="3114" spans="1:19" ht="15" customHeight="1" x14ac:dyDescent="0.3">
      <c r="A3114" s="4">
        <v>45510</v>
      </c>
      <c r="B3114" s="5">
        <f t="shared" si="759"/>
        <v>8</v>
      </c>
      <c r="C3114" s="5">
        <f t="shared" si="760"/>
        <v>2024</v>
      </c>
      <c r="D3114" s="5" t="s">
        <v>2846</v>
      </c>
      <c r="E3114" s="5" t="str">
        <f>VLOOKUP(F3114,'Set up'!$A$2:$C$70,2,FALSE)</f>
        <v>C00000010</v>
      </c>
      <c r="F3114" s="1" t="s">
        <v>62</v>
      </c>
      <c r="G3114" s="99" t="s">
        <v>1402</v>
      </c>
      <c r="H3114" s="5">
        <v>8</v>
      </c>
      <c r="I3114" s="5">
        <f>VLOOKUP(F3114,'Set up'!$A$2:$C$70,3,FALSE)</f>
        <v>120</v>
      </c>
      <c r="J3114" s="5">
        <f>VLOOKUP(F3114,'Set up'!$A$2:$D$70,4,FALSE)</f>
        <v>120</v>
      </c>
      <c r="K3114" s="4">
        <f t="shared" si="761"/>
        <v>45630</v>
      </c>
      <c r="L3114" s="5">
        <f t="shared" si="762"/>
        <v>12</v>
      </c>
      <c r="M3114" s="5">
        <f t="shared" si="763"/>
        <v>2024</v>
      </c>
      <c r="N3114" s="12">
        <v>13024</v>
      </c>
      <c r="O3114" s="6">
        <f t="shared" si="770"/>
        <v>-13024</v>
      </c>
      <c r="P3114" s="6">
        <f t="shared" si="767"/>
        <v>0</v>
      </c>
      <c r="Q3114" s="7">
        <f t="shared" si="764"/>
        <v>5102622.25</v>
      </c>
      <c r="R3114" s="44" t="str">
        <f>VLOOKUP(F3114,'Set up'!$A$2:$E$70,5,FALSE)</f>
        <v>Trsf</v>
      </c>
      <c r="S3114" s="1" t="s">
        <v>3421</v>
      </c>
    </row>
    <row r="3115" spans="1:19" ht="15" customHeight="1" x14ac:dyDescent="0.3">
      <c r="A3115" s="4">
        <v>45510</v>
      </c>
      <c r="B3115" s="5">
        <f t="shared" si="759"/>
        <v>8</v>
      </c>
      <c r="C3115" s="5">
        <f t="shared" si="760"/>
        <v>2024</v>
      </c>
      <c r="D3115" s="5" t="s">
        <v>2846</v>
      </c>
      <c r="E3115" s="5" t="str">
        <f>VLOOKUP(F3115,'Set up'!$A$2:$C$70,2,FALSE)</f>
        <v>C00000010</v>
      </c>
      <c r="F3115" s="1" t="s">
        <v>62</v>
      </c>
      <c r="G3115" s="99" t="s">
        <v>1543</v>
      </c>
      <c r="H3115" s="5">
        <v>10</v>
      </c>
      <c r="I3115" s="5">
        <f>VLOOKUP(F3115,'Set up'!$A$2:$C$70,3,FALSE)</f>
        <v>120</v>
      </c>
      <c r="J3115" s="5">
        <f>VLOOKUP(F3115,'Set up'!$A$2:$D$70,4,FALSE)</f>
        <v>120</v>
      </c>
      <c r="K3115" s="4">
        <f t="shared" si="761"/>
        <v>45630</v>
      </c>
      <c r="L3115" s="5">
        <f t="shared" si="762"/>
        <v>12</v>
      </c>
      <c r="M3115" s="5">
        <f t="shared" si="763"/>
        <v>2024</v>
      </c>
      <c r="N3115" s="12">
        <v>1800</v>
      </c>
      <c r="O3115" s="6">
        <f t="shared" si="770"/>
        <v>-1800</v>
      </c>
      <c r="P3115" s="6">
        <f t="shared" si="767"/>
        <v>0</v>
      </c>
      <c r="Q3115" s="7">
        <f t="shared" si="764"/>
        <v>5104422.25</v>
      </c>
      <c r="R3115" s="44" t="str">
        <f>VLOOKUP(F3115,'Set up'!$A$2:$E$70,5,FALSE)</f>
        <v>Trsf</v>
      </c>
      <c r="S3115" s="1" t="s">
        <v>3421</v>
      </c>
    </row>
    <row r="3116" spans="1:19" ht="15" customHeight="1" x14ac:dyDescent="0.3">
      <c r="A3116" s="4">
        <v>45510</v>
      </c>
      <c r="B3116" s="5">
        <f t="shared" si="759"/>
        <v>8</v>
      </c>
      <c r="C3116" s="5">
        <f t="shared" si="760"/>
        <v>2024</v>
      </c>
      <c r="D3116" s="5" t="s">
        <v>2846</v>
      </c>
      <c r="E3116" s="5" t="str">
        <f>VLOOKUP(F3116,'Set up'!$A$2:$C$70,2,FALSE)</f>
        <v>C00000010</v>
      </c>
      <c r="F3116" s="1" t="s">
        <v>62</v>
      </c>
      <c r="G3116" s="99" t="s">
        <v>2635</v>
      </c>
      <c r="H3116" s="5">
        <v>10</v>
      </c>
      <c r="I3116" s="5">
        <f>VLOOKUP(F3116,'Set up'!$A$2:$C$70,3,FALSE)</f>
        <v>120</v>
      </c>
      <c r="J3116" s="5">
        <f>VLOOKUP(F3116,'Set up'!$A$2:$D$70,4,FALSE)</f>
        <v>120</v>
      </c>
      <c r="K3116" s="4">
        <f t="shared" si="761"/>
        <v>45630</v>
      </c>
      <c r="L3116" s="5">
        <f t="shared" si="762"/>
        <v>12</v>
      </c>
      <c r="M3116" s="5">
        <f t="shared" si="763"/>
        <v>2024</v>
      </c>
      <c r="N3116" s="12">
        <v>575</v>
      </c>
      <c r="O3116" s="6">
        <f t="shared" si="770"/>
        <v>-575</v>
      </c>
      <c r="P3116" s="6">
        <f t="shared" si="767"/>
        <v>0</v>
      </c>
      <c r="Q3116" s="7">
        <f t="shared" si="764"/>
        <v>5104997.25</v>
      </c>
      <c r="R3116" s="44" t="str">
        <f>VLOOKUP(F3116,'Set up'!$A$2:$E$70,5,FALSE)</f>
        <v>Trsf</v>
      </c>
      <c r="S3116" s="1" t="s">
        <v>3421</v>
      </c>
    </row>
    <row r="3117" spans="1:19" ht="15" customHeight="1" x14ac:dyDescent="0.3">
      <c r="A3117" s="4">
        <v>45510</v>
      </c>
      <c r="B3117" s="5">
        <f t="shared" si="759"/>
        <v>8</v>
      </c>
      <c r="C3117" s="5">
        <f t="shared" si="760"/>
        <v>2024</v>
      </c>
      <c r="D3117" s="5" t="s">
        <v>2846</v>
      </c>
      <c r="E3117" s="5" t="str">
        <f>VLOOKUP(F3117,'Set up'!$A$2:$C$70,2,FALSE)</f>
        <v>C00000010</v>
      </c>
      <c r="F3117" s="1" t="s">
        <v>62</v>
      </c>
      <c r="G3117" s="99" t="s">
        <v>46</v>
      </c>
      <c r="H3117" s="5">
        <v>4</v>
      </c>
      <c r="I3117" s="5">
        <f>VLOOKUP(F3117,'Set up'!$A$2:$C$70,3,FALSE)</f>
        <v>120</v>
      </c>
      <c r="J3117" s="5">
        <f>VLOOKUP(F3117,'Set up'!$A$2:$D$70,4,FALSE)</f>
        <v>120</v>
      </c>
      <c r="K3117" s="4">
        <f t="shared" si="761"/>
        <v>45630</v>
      </c>
      <c r="L3117" s="5">
        <f t="shared" si="762"/>
        <v>12</v>
      </c>
      <c r="M3117" s="5">
        <f t="shared" si="763"/>
        <v>2024</v>
      </c>
      <c r="N3117" s="12">
        <v>440</v>
      </c>
      <c r="O3117" s="6">
        <f t="shared" si="770"/>
        <v>-440</v>
      </c>
      <c r="P3117" s="6">
        <f t="shared" si="767"/>
        <v>0</v>
      </c>
      <c r="Q3117" s="7">
        <f t="shared" si="764"/>
        <v>5105437.25</v>
      </c>
      <c r="R3117" s="44" t="str">
        <f>VLOOKUP(F3117,'Set up'!$A$2:$E$70,5,FALSE)</f>
        <v>Trsf</v>
      </c>
      <c r="S3117" s="1" t="s">
        <v>3421</v>
      </c>
    </row>
    <row r="3118" spans="1:19" ht="15" customHeight="1" x14ac:dyDescent="0.3">
      <c r="A3118" s="4">
        <v>45510</v>
      </c>
      <c r="B3118" s="5">
        <f t="shared" si="759"/>
        <v>8</v>
      </c>
      <c r="C3118" s="5">
        <f t="shared" si="760"/>
        <v>2024</v>
      </c>
      <c r="D3118" s="5" t="s">
        <v>2846</v>
      </c>
      <c r="E3118" s="5" t="str">
        <f>VLOOKUP(F3118,'Set up'!$A$2:$C$70,2,FALSE)</f>
        <v>C00000010</v>
      </c>
      <c r="F3118" s="1" t="s">
        <v>62</v>
      </c>
      <c r="G3118" s="99" t="s">
        <v>2144</v>
      </c>
      <c r="H3118" s="5">
        <v>2</v>
      </c>
      <c r="I3118" s="5">
        <f>VLOOKUP(F3118,'Set up'!$A$2:$C$70,3,FALSE)</f>
        <v>120</v>
      </c>
      <c r="J3118" s="5">
        <f>VLOOKUP(F3118,'Set up'!$A$2:$D$70,4,FALSE)</f>
        <v>120</v>
      </c>
      <c r="K3118" s="4">
        <f t="shared" si="761"/>
        <v>45630</v>
      </c>
      <c r="L3118" s="5">
        <f t="shared" si="762"/>
        <v>12</v>
      </c>
      <c r="M3118" s="5">
        <f t="shared" si="763"/>
        <v>2024</v>
      </c>
      <c r="N3118" s="12">
        <v>523.6</v>
      </c>
      <c r="O3118" s="6">
        <f t="shared" si="770"/>
        <v>-523.6</v>
      </c>
      <c r="P3118" s="6">
        <f t="shared" si="767"/>
        <v>0</v>
      </c>
      <c r="Q3118" s="7">
        <f t="shared" si="764"/>
        <v>5105960.8499999996</v>
      </c>
      <c r="R3118" s="44" t="str">
        <f>VLOOKUP(F3118,'Set up'!$A$2:$E$70,5,FALSE)</f>
        <v>Trsf</v>
      </c>
      <c r="S3118" s="1" t="s">
        <v>3421</v>
      </c>
    </row>
    <row r="3119" spans="1:19" ht="15" customHeight="1" x14ac:dyDescent="0.3">
      <c r="A3119" s="4">
        <v>45510</v>
      </c>
      <c r="B3119" s="5">
        <f t="shared" si="759"/>
        <v>8</v>
      </c>
      <c r="C3119" s="5">
        <f t="shared" si="760"/>
        <v>2024</v>
      </c>
      <c r="D3119" s="5" t="s">
        <v>2846</v>
      </c>
      <c r="E3119" s="5" t="str">
        <f>VLOOKUP(F3119,'Set up'!$A$2:$C$70,2,FALSE)</f>
        <v>C00000010</v>
      </c>
      <c r="F3119" s="1" t="s">
        <v>62</v>
      </c>
      <c r="G3119" s="99" t="s">
        <v>2449</v>
      </c>
      <c r="H3119" s="5">
        <v>1</v>
      </c>
      <c r="I3119" s="5">
        <f>VLOOKUP(F3119,'Set up'!$A$2:$C$70,3,FALSE)</f>
        <v>120</v>
      </c>
      <c r="J3119" s="5">
        <f>VLOOKUP(F3119,'Set up'!$A$2:$D$70,4,FALSE)</f>
        <v>120</v>
      </c>
      <c r="K3119" s="4">
        <f t="shared" si="761"/>
        <v>45630</v>
      </c>
      <c r="L3119" s="5">
        <f t="shared" si="762"/>
        <v>12</v>
      </c>
      <c r="M3119" s="5">
        <f t="shared" si="763"/>
        <v>2024</v>
      </c>
      <c r="N3119" s="12">
        <v>420</v>
      </c>
      <c r="O3119" s="6">
        <f t="shared" si="770"/>
        <v>-420</v>
      </c>
      <c r="P3119" s="6">
        <f t="shared" si="767"/>
        <v>0</v>
      </c>
      <c r="Q3119" s="7">
        <f t="shared" si="764"/>
        <v>5106380.8499999996</v>
      </c>
      <c r="R3119" s="44" t="str">
        <f>VLOOKUP(F3119,'Set up'!$A$2:$E$70,5,FALSE)</f>
        <v>Trsf</v>
      </c>
      <c r="S3119" s="1" t="s">
        <v>3421</v>
      </c>
    </row>
    <row r="3120" spans="1:19" ht="15" customHeight="1" x14ac:dyDescent="0.3">
      <c r="A3120" s="4">
        <v>45510</v>
      </c>
      <c r="B3120" s="5">
        <f t="shared" si="759"/>
        <v>8</v>
      </c>
      <c r="C3120" s="5">
        <f t="shared" si="760"/>
        <v>2024</v>
      </c>
      <c r="D3120" s="5" t="s">
        <v>2846</v>
      </c>
      <c r="E3120" s="5" t="str">
        <f>VLOOKUP(F3120,'Set up'!$A$2:$C$70,2,FALSE)</f>
        <v>C00000010</v>
      </c>
      <c r="F3120" s="1" t="s">
        <v>62</v>
      </c>
      <c r="G3120" s="99" t="s">
        <v>614</v>
      </c>
      <c r="H3120" s="5">
        <v>1</v>
      </c>
      <c r="I3120" s="5">
        <f>VLOOKUP(F3120,'Set up'!$A$2:$C$70,3,FALSE)</f>
        <v>120</v>
      </c>
      <c r="J3120" s="5">
        <f>VLOOKUP(F3120,'Set up'!$A$2:$D$70,4,FALSE)</f>
        <v>120</v>
      </c>
      <c r="K3120" s="4">
        <f t="shared" si="761"/>
        <v>45630</v>
      </c>
      <c r="L3120" s="5">
        <f t="shared" si="762"/>
        <v>12</v>
      </c>
      <c r="M3120" s="5">
        <f t="shared" si="763"/>
        <v>2024</v>
      </c>
      <c r="N3120" s="12">
        <v>395</v>
      </c>
      <c r="O3120" s="6">
        <f t="shared" si="770"/>
        <v>-395</v>
      </c>
      <c r="P3120" s="6">
        <f t="shared" si="767"/>
        <v>0</v>
      </c>
      <c r="Q3120" s="7">
        <f t="shared" si="764"/>
        <v>5106775.8499999996</v>
      </c>
      <c r="R3120" s="44" t="str">
        <f>VLOOKUP(F3120,'Set up'!$A$2:$E$70,5,FALSE)</f>
        <v>Trsf</v>
      </c>
      <c r="S3120" s="1" t="s">
        <v>3421</v>
      </c>
    </row>
    <row r="3121" spans="1:19" ht="15" customHeight="1" x14ac:dyDescent="0.3">
      <c r="A3121" s="4">
        <v>45510</v>
      </c>
      <c r="B3121" s="5">
        <f t="shared" si="759"/>
        <v>8</v>
      </c>
      <c r="C3121" s="5">
        <f t="shared" si="760"/>
        <v>2024</v>
      </c>
      <c r="D3121" s="5" t="s">
        <v>2847</v>
      </c>
      <c r="E3121" s="5" t="str">
        <f>VLOOKUP(F3121,'Set up'!$A$2:$C$70,2,FALSE)</f>
        <v>C00000019</v>
      </c>
      <c r="F3121" s="1" t="s">
        <v>400</v>
      </c>
      <c r="G3121" s="99" t="s">
        <v>95</v>
      </c>
      <c r="H3121" s="5">
        <v>1</v>
      </c>
      <c r="I3121" s="5" t="str">
        <f>VLOOKUP(F3121,'Set up'!$A$2:$C$70,3,FALSE)</f>
        <v>Cash</v>
      </c>
      <c r="J3121" s="5">
        <f>VLOOKUP(F3121,'Set up'!$A$2:$D$70,4,FALSE)</f>
        <v>0</v>
      </c>
      <c r="K3121" s="4">
        <f t="shared" si="761"/>
        <v>45510</v>
      </c>
      <c r="L3121" s="5">
        <f t="shared" si="762"/>
        <v>8</v>
      </c>
      <c r="M3121" s="5">
        <f t="shared" si="763"/>
        <v>2024</v>
      </c>
      <c r="N3121" s="12">
        <v>1760</v>
      </c>
      <c r="O3121" s="12"/>
      <c r="P3121" s="6">
        <f t="shared" si="767"/>
        <v>1760</v>
      </c>
      <c r="Q3121" s="7">
        <f t="shared" si="764"/>
        <v>5108535.8499999996</v>
      </c>
      <c r="R3121" s="44" t="str">
        <f>VLOOKUP(F3121,'Set up'!$A$2:$E$70,5,FALSE)</f>
        <v>Trsf</v>
      </c>
    </row>
    <row r="3122" spans="1:19" ht="15" customHeight="1" x14ac:dyDescent="0.3">
      <c r="A3122" s="4">
        <v>45510</v>
      </c>
      <c r="B3122" s="5">
        <f t="shared" si="759"/>
        <v>8</v>
      </c>
      <c r="C3122" s="5">
        <f t="shared" si="760"/>
        <v>2024</v>
      </c>
      <c r="D3122" s="5" t="s">
        <v>2847</v>
      </c>
      <c r="E3122" s="5" t="str">
        <f>VLOOKUP(F3122,'Set up'!$A$2:$C$70,2,FALSE)</f>
        <v>C00000019</v>
      </c>
      <c r="F3122" s="1" t="s">
        <v>400</v>
      </c>
      <c r="G3122" s="99" t="s">
        <v>2138</v>
      </c>
      <c r="H3122" s="5">
        <v>1</v>
      </c>
      <c r="I3122" s="5" t="str">
        <f>VLOOKUP(F3122,'Set up'!$A$2:$C$70,3,FALSE)</f>
        <v>Cash</v>
      </c>
      <c r="J3122" s="5">
        <f>VLOOKUP(F3122,'Set up'!$A$2:$D$70,4,FALSE)</f>
        <v>0</v>
      </c>
      <c r="K3122" s="4">
        <f t="shared" si="761"/>
        <v>45510</v>
      </c>
      <c r="L3122" s="5">
        <f t="shared" si="762"/>
        <v>8</v>
      </c>
      <c r="M3122" s="5">
        <f t="shared" si="763"/>
        <v>2024</v>
      </c>
      <c r="N3122" s="12">
        <v>600</v>
      </c>
      <c r="O3122" s="12"/>
      <c r="P3122" s="6">
        <f t="shared" si="767"/>
        <v>600</v>
      </c>
      <c r="Q3122" s="7">
        <f t="shared" si="764"/>
        <v>5109135.8499999996</v>
      </c>
      <c r="R3122" s="44" t="str">
        <f>VLOOKUP(F3122,'Set up'!$A$2:$E$70,5,FALSE)</f>
        <v>Trsf</v>
      </c>
    </row>
    <row r="3123" spans="1:19" ht="15" customHeight="1" x14ac:dyDescent="0.3">
      <c r="A3123" s="4">
        <v>45510</v>
      </c>
      <c r="B3123" s="5">
        <f t="shared" si="759"/>
        <v>8</v>
      </c>
      <c r="C3123" s="5">
        <f t="shared" si="760"/>
        <v>2024</v>
      </c>
      <c r="D3123" s="5" t="s">
        <v>2847</v>
      </c>
      <c r="E3123" s="5" t="str">
        <f>VLOOKUP(F3123,'Set up'!$A$2:$C$70,2,FALSE)</f>
        <v>C00000019</v>
      </c>
      <c r="F3123" s="1" t="s">
        <v>400</v>
      </c>
      <c r="G3123" s="99" t="s">
        <v>2635</v>
      </c>
      <c r="H3123" s="5">
        <v>3</v>
      </c>
      <c r="I3123" s="5" t="str">
        <f>VLOOKUP(F3123,'Set up'!$A$2:$C$70,3,FALSE)</f>
        <v>Cash</v>
      </c>
      <c r="J3123" s="5">
        <f>VLOOKUP(F3123,'Set up'!$A$2:$D$70,4,FALSE)</f>
        <v>0</v>
      </c>
      <c r="K3123" s="4">
        <f t="shared" si="761"/>
        <v>45510</v>
      </c>
      <c r="L3123" s="5">
        <f t="shared" si="762"/>
        <v>8</v>
      </c>
      <c r="M3123" s="5">
        <f t="shared" si="763"/>
        <v>2024</v>
      </c>
      <c r="N3123" s="12">
        <v>187.5</v>
      </c>
      <c r="O3123" s="12"/>
      <c r="P3123" s="6">
        <f t="shared" si="767"/>
        <v>187.5</v>
      </c>
      <c r="Q3123" s="7">
        <f t="shared" si="764"/>
        <v>5109323.3499999996</v>
      </c>
      <c r="R3123" s="44" t="str">
        <f>VLOOKUP(F3123,'Set up'!$A$2:$E$70,5,FALSE)</f>
        <v>Trsf</v>
      </c>
    </row>
    <row r="3124" spans="1:19" ht="15" customHeight="1" x14ac:dyDescent="0.3">
      <c r="A3124" s="4">
        <v>45510</v>
      </c>
      <c r="B3124" s="5">
        <f t="shared" si="759"/>
        <v>8</v>
      </c>
      <c r="C3124" s="5">
        <f t="shared" si="760"/>
        <v>2024</v>
      </c>
      <c r="D3124" s="5" t="s">
        <v>2847</v>
      </c>
      <c r="E3124" s="5" t="str">
        <f>VLOOKUP(F3124,'Set up'!$A$2:$C$70,2,FALSE)</f>
        <v>C00000019</v>
      </c>
      <c r="F3124" s="1" t="s">
        <v>400</v>
      </c>
      <c r="G3124" s="99" t="s">
        <v>292</v>
      </c>
      <c r="H3124" s="5">
        <v>1</v>
      </c>
      <c r="I3124" s="5" t="str">
        <f>VLOOKUP(F3124,'Set up'!$A$2:$C$70,3,FALSE)</f>
        <v>Cash</v>
      </c>
      <c r="J3124" s="5">
        <f>VLOOKUP(F3124,'Set up'!$A$2:$D$70,4,FALSE)</f>
        <v>0</v>
      </c>
      <c r="K3124" s="4">
        <f t="shared" si="761"/>
        <v>45510</v>
      </c>
      <c r="L3124" s="5">
        <f t="shared" si="762"/>
        <v>8</v>
      </c>
      <c r="M3124" s="5">
        <f t="shared" si="763"/>
        <v>2024</v>
      </c>
      <c r="N3124" s="12">
        <v>450</v>
      </c>
      <c r="O3124" s="12"/>
      <c r="P3124" s="6">
        <f t="shared" si="767"/>
        <v>450</v>
      </c>
      <c r="Q3124" s="7">
        <f t="shared" si="764"/>
        <v>5109773.3499999996</v>
      </c>
      <c r="R3124" s="44" t="str">
        <f>VLOOKUP(F3124,'Set up'!$A$2:$E$70,5,FALSE)</f>
        <v>Trsf</v>
      </c>
    </row>
    <row r="3125" spans="1:19" ht="15" customHeight="1" x14ac:dyDescent="0.3">
      <c r="A3125" s="4">
        <v>45510</v>
      </c>
      <c r="B3125" s="5">
        <f t="shared" si="759"/>
        <v>8</v>
      </c>
      <c r="C3125" s="5">
        <f t="shared" si="760"/>
        <v>2024</v>
      </c>
      <c r="D3125" s="5" t="s">
        <v>2848</v>
      </c>
      <c r="E3125" s="5" t="str">
        <f>VLOOKUP(F3125,'Set up'!$A$2:$C$70,2,FALSE)</f>
        <v>C00000012</v>
      </c>
      <c r="F3125" s="1" t="s">
        <v>2928</v>
      </c>
      <c r="G3125" s="99" t="s">
        <v>2849</v>
      </c>
      <c r="H3125" s="5">
        <v>2</v>
      </c>
      <c r="I3125" s="5" t="str">
        <f>VLOOKUP(F3125,'Set up'!$A$2:$C$70,3,FALSE)</f>
        <v>Cash</v>
      </c>
      <c r="J3125" s="5">
        <f>VLOOKUP(F3125,'Set up'!$A$2:$D$70,4,FALSE)</f>
        <v>0</v>
      </c>
      <c r="K3125" s="4">
        <f t="shared" si="761"/>
        <v>45510</v>
      </c>
      <c r="L3125" s="5">
        <f t="shared" si="762"/>
        <v>8</v>
      </c>
      <c r="M3125" s="5">
        <f t="shared" si="763"/>
        <v>2024</v>
      </c>
      <c r="N3125" s="12">
        <v>675</v>
      </c>
      <c r="O3125" s="6">
        <f t="shared" ref="O3125:O3126" si="771">-N3125</f>
        <v>-675</v>
      </c>
      <c r="P3125" s="6">
        <f t="shared" si="767"/>
        <v>0</v>
      </c>
      <c r="Q3125" s="7">
        <f t="shared" si="764"/>
        <v>5110448.3499999996</v>
      </c>
      <c r="R3125" s="44" t="str">
        <f>VLOOKUP(F3125,'Set up'!$A$2:$E$70,5,FALSE)</f>
        <v>Cash</v>
      </c>
      <c r="S3125" s="1" t="s">
        <v>2881</v>
      </c>
    </row>
    <row r="3126" spans="1:19" ht="15" customHeight="1" x14ac:dyDescent="0.3">
      <c r="A3126" s="4">
        <v>45510</v>
      </c>
      <c r="B3126" s="5">
        <f t="shared" si="759"/>
        <v>8</v>
      </c>
      <c r="C3126" s="5">
        <f t="shared" si="760"/>
        <v>2024</v>
      </c>
      <c r="D3126" s="5" t="s">
        <v>2848</v>
      </c>
      <c r="E3126" s="5" t="str">
        <f>VLOOKUP(F3126,'Set up'!$A$2:$C$70,2,FALSE)</f>
        <v>C00000012</v>
      </c>
      <c r="F3126" s="1" t="s">
        <v>2928</v>
      </c>
      <c r="G3126" s="99" t="s">
        <v>1198</v>
      </c>
      <c r="H3126" s="5">
        <v>2</v>
      </c>
      <c r="I3126" s="5" t="str">
        <f>VLOOKUP(F3126,'Set up'!$A$2:$C$70,3,FALSE)</f>
        <v>Cash</v>
      </c>
      <c r="J3126" s="5">
        <f>VLOOKUP(F3126,'Set up'!$A$2:$D$70,4,FALSE)</f>
        <v>0</v>
      </c>
      <c r="K3126" s="4">
        <f t="shared" si="761"/>
        <v>45510</v>
      </c>
      <c r="L3126" s="5">
        <f t="shared" si="762"/>
        <v>8</v>
      </c>
      <c r="M3126" s="5">
        <f t="shared" si="763"/>
        <v>2024</v>
      </c>
      <c r="N3126" s="12">
        <v>510</v>
      </c>
      <c r="O3126" s="6">
        <f t="shared" si="771"/>
        <v>-510</v>
      </c>
      <c r="P3126" s="6">
        <f t="shared" si="767"/>
        <v>0</v>
      </c>
      <c r="Q3126" s="7">
        <f t="shared" si="764"/>
        <v>5110958.3499999996</v>
      </c>
      <c r="R3126" s="44" t="str">
        <f>VLOOKUP(F3126,'Set up'!$A$2:$E$70,5,FALSE)</f>
        <v>Cash</v>
      </c>
      <c r="S3126" s="1" t="s">
        <v>2881</v>
      </c>
    </row>
    <row r="3127" spans="1:19" ht="15" customHeight="1" x14ac:dyDescent="0.3">
      <c r="A3127" s="4">
        <v>45511</v>
      </c>
      <c r="B3127" s="5">
        <f t="shared" si="759"/>
        <v>8</v>
      </c>
      <c r="C3127" s="5">
        <f t="shared" si="760"/>
        <v>2024</v>
      </c>
      <c r="D3127" s="5" t="s">
        <v>2850</v>
      </c>
      <c r="E3127" s="5" t="str">
        <f>VLOOKUP(F3127,'Set up'!$A$2:$C$70,2,FALSE)</f>
        <v>C00000049</v>
      </c>
      <c r="F3127" s="1" t="s">
        <v>2728</v>
      </c>
      <c r="G3127" s="99" t="s">
        <v>95</v>
      </c>
      <c r="H3127" s="5">
        <v>1</v>
      </c>
      <c r="I3127" s="5" t="str">
        <f>VLOOKUP(F3127,'Set up'!$A$2:$C$70,3,FALSE)</f>
        <v>Cash</v>
      </c>
      <c r="J3127" s="5">
        <f>VLOOKUP(F3127,'Set up'!$A$2:$D$70,4,FALSE)</f>
        <v>0</v>
      </c>
      <c r="K3127" s="4">
        <f t="shared" si="761"/>
        <v>45511</v>
      </c>
      <c r="L3127" s="5">
        <f t="shared" si="762"/>
        <v>8</v>
      </c>
      <c r="M3127" s="5">
        <f t="shared" si="763"/>
        <v>2024</v>
      </c>
      <c r="N3127" s="12">
        <v>1760</v>
      </c>
      <c r="O3127" s="12"/>
      <c r="P3127" s="6">
        <f t="shared" si="767"/>
        <v>1760</v>
      </c>
      <c r="Q3127" s="7">
        <f t="shared" si="764"/>
        <v>5112718.3499999996</v>
      </c>
      <c r="R3127" s="44" t="str">
        <f>VLOOKUP(F3127,'Set up'!$A$2:$E$70,5,FALSE)</f>
        <v>Cash</v>
      </c>
    </row>
    <row r="3128" spans="1:19" ht="15" customHeight="1" x14ac:dyDescent="0.3">
      <c r="A3128" s="4">
        <v>45511</v>
      </c>
      <c r="B3128" s="5">
        <f t="shared" si="759"/>
        <v>8</v>
      </c>
      <c r="C3128" s="5">
        <f t="shared" si="760"/>
        <v>2024</v>
      </c>
      <c r="D3128" s="5" t="s">
        <v>2850</v>
      </c>
      <c r="E3128" s="5" t="str">
        <f>VLOOKUP(F3128,'Set up'!$A$2:$C$70,2,FALSE)</f>
        <v>C00000049</v>
      </c>
      <c r="F3128" s="1" t="s">
        <v>2728</v>
      </c>
      <c r="G3128" s="99" t="s">
        <v>1997</v>
      </c>
      <c r="H3128" s="5">
        <v>1</v>
      </c>
      <c r="I3128" s="5" t="str">
        <f>VLOOKUP(F3128,'Set up'!$A$2:$C$70,3,FALSE)</f>
        <v>Cash</v>
      </c>
      <c r="J3128" s="5">
        <f>VLOOKUP(F3128,'Set up'!$A$2:$D$70,4,FALSE)</f>
        <v>0</v>
      </c>
      <c r="K3128" s="4">
        <f t="shared" si="761"/>
        <v>45511</v>
      </c>
      <c r="L3128" s="5">
        <f t="shared" si="762"/>
        <v>8</v>
      </c>
      <c r="M3128" s="5">
        <f t="shared" si="763"/>
        <v>2024</v>
      </c>
      <c r="N3128" s="12">
        <v>3600</v>
      </c>
      <c r="O3128" s="12"/>
      <c r="P3128" s="6">
        <f t="shared" si="767"/>
        <v>3600</v>
      </c>
      <c r="Q3128" s="7">
        <f t="shared" si="764"/>
        <v>5116318.3499999996</v>
      </c>
      <c r="R3128" s="44" t="str">
        <f>VLOOKUP(F3128,'Set up'!$A$2:$E$70,5,FALSE)</f>
        <v>Cash</v>
      </c>
    </row>
    <row r="3129" spans="1:19" ht="15" customHeight="1" x14ac:dyDescent="0.3">
      <c r="A3129" s="4">
        <v>45511</v>
      </c>
      <c r="B3129" s="5">
        <f t="shared" si="759"/>
        <v>8</v>
      </c>
      <c r="C3129" s="5">
        <f t="shared" si="760"/>
        <v>2024</v>
      </c>
      <c r="D3129" s="5" t="s">
        <v>2850</v>
      </c>
      <c r="E3129" s="5" t="str">
        <f>VLOOKUP(F3129,'Set up'!$A$2:$C$70,2,FALSE)</f>
        <v>C00000049</v>
      </c>
      <c r="F3129" s="1" t="s">
        <v>2728</v>
      </c>
      <c r="G3129" s="99" t="s">
        <v>2523</v>
      </c>
      <c r="H3129" s="5">
        <v>3</v>
      </c>
      <c r="I3129" s="5" t="str">
        <f>VLOOKUP(F3129,'Set up'!$A$2:$C$70,3,FALSE)</f>
        <v>Cash</v>
      </c>
      <c r="J3129" s="5">
        <f>VLOOKUP(F3129,'Set up'!$A$2:$D$70,4,FALSE)</f>
        <v>0</v>
      </c>
      <c r="K3129" s="4">
        <f t="shared" si="761"/>
        <v>45511</v>
      </c>
      <c r="L3129" s="5">
        <f t="shared" si="762"/>
        <v>8</v>
      </c>
      <c r="M3129" s="5">
        <f t="shared" si="763"/>
        <v>2024</v>
      </c>
      <c r="N3129" s="12">
        <v>675</v>
      </c>
      <c r="O3129" s="12"/>
      <c r="P3129" s="6">
        <f t="shared" si="767"/>
        <v>675</v>
      </c>
      <c r="Q3129" s="7">
        <f t="shared" si="764"/>
        <v>5116993.3499999996</v>
      </c>
      <c r="R3129" s="44" t="str">
        <f>VLOOKUP(F3129,'Set up'!$A$2:$E$70,5,FALSE)</f>
        <v>Cash</v>
      </c>
    </row>
    <row r="3130" spans="1:19" ht="15" customHeight="1" x14ac:dyDescent="0.3">
      <c r="A3130" s="4">
        <v>45511</v>
      </c>
      <c r="B3130" s="5">
        <f t="shared" si="759"/>
        <v>8</v>
      </c>
      <c r="C3130" s="5">
        <f t="shared" si="760"/>
        <v>2024</v>
      </c>
      <c r="D3130" s="5" t="s">
        <v>2850</v>
      </c>
      <c r="E3130" s="5" t="str">
        <f>VLOOKUP(F3130,'Set up'!$A$2:$C$70,2,FALSE)</f>
        <v>C00000049</v>
      </c>
      <c r="F3130" s="1" t="s">
        <v>2728</v>
      </c>
      <c r="G3130" s="99" t="s">
        <v>894</v>
      </c>
      <c r="H3130" s="5">
        <v>1</v>
      </c>
      <c r="I3130" s="5" t="str">
        <f>VLOOKUP(F3130,'Set up'!$A$2:$C$70,3,FALSE)</f>
        <v>Cash</v>
      </c>
      <c r="J3130" s="5">
        <f>VLOOKUP(F3130,'Set up'!$A$2:$D$70,4,FALSE)</f>
        <v>0</v>
      </c>
      <c r="K3130" s="4">
        <f t="shared" si="761"/>
        <v>45511</v>
      </c>
      <c r="L3130" s="5">
        <f t="shared" si="762"/>
        <v>8</v>
      </c>
      <c r="M3130" s="5">
        <f t="shared" si="763"/>
        <v>2024</v>
      </c>
      <c r="N3130" s="12">
        <v>175</v>
      </c>
      <c r="O3130" s="12"/>
      <c r="P3130" s="6">
        <f t="shared" si="767"/>
        <v>175</v>
      </c>
      <c r="Q3130" s="7">
        <f t="shared" si="764"/>
        <v>5117168.3499999996</v>
      </c>
      <c r="R3130" s="44" t="str">
        <f>VLOOKUP(F3130,'Set up'!$A$2:$E$70,5,FALSE)</f>
        <v>Cash</v>
      </c>
    </row>
    <row r="3131" spans="1:19" ht="15" customHeight="1" x14ac:dyDescent="0.3">
      <c r="A3131" s="4">
        <v>45511</v>
      </c>
      <c r="B3131" s="5">
        <f t="shared" si="759"/>
        <v>8</v>
      </c>
      <c r="C3131" s="5">
        <f t="shared" si="760"/>
        <v>2024</v>
      </c>
      <c r="D3131" s="5" t="s">
        <v>2851</v>
      </c>
      <c r="E3131" s="5" t="str">
        <f>VLOOKUP(F3131,'Set up'!$A$2:$C$70,2,FALSE)</f>
        <v>C00000042</v>
      </c>
      <c r="F3131" s="1" t="s">
        <v>2012</v>
      </c>
      <c r="G3131" s="99" t="s">
        <v>2646</v>
      </c>
      <c r="H3131" s="5">
        <v>10</v>
      </c>
      <c r="I3131" s="5" t="str">
        <f>VLOOKUP(F3131,'Set up'!$A$2:$C$70,3,FALSE)</f>
        <v>Cash</v>
      </c>
      <c r="J3131" s="5">
        <f>VLOOKUP(F3131,'Set up'!$A$2:$D$70,4,FALSE)</f>
        <v>0</v>
      </c>
      <c r="K3131" s="4">
        <f t="shared" si="761"/>
        <v>45511</v>
      </c>
      <c r="L3131" s="5">
        <f t="shared" si="762"/>
        <v>8</v>
      </c>
      <c r="M3131" s="5">
        <f t="shared" si="763"/>
        <v>2024</v>
      </c>
      <c r="N3131" s="12">
        <v>625</v>
      </c>
      <c r="O3131" s="6">
        <f t="shared" ref="O3131:O3136" si="772">-N3131</f>
        <v>-625</v>
      </c>
      <c r="P3131" s="6">
        <f t="shared" si="767"/>
        <v>0</v>
      </c>
      <c r="Q3131" s="7">
        <f t="shared" si="764"/>
        <v>5117793.3499999996</v>
      </c>
      <c r="R3131" s="44" t="str">
        <f>VLOOKUP(F3131,'Set up'!$A$2:$E$70,5,FALSE)</f>
        <v>Trsf</v>
      </c>
      <c r="S3131" s="1" t="s">
        <v>3378</v>
      </c>
    </row>
    <row r="3132" spans="1:19" ht="15" customHeight="1" x14ac:dyDescent="0.3">
      <c r="A3132" s="4">
        <v>45511</v>
      </c>
      <c r="B3132" s="5">
        <f t="shared" si="759"/>
        <v>8</v>
      </c>
      <c r="C3132" s="5">
        <f t="shared" si="760"/>
        <v>2024</v>
      </c>
      <c r="D3132" s="5" t="s">
        <v>2852</v>
      </c>
      <c r="E3132" s="5" t="str">
        <f>VLOOKUP(F3132,'Set up'!$A$2:$C$70,2,FALSE)</f>
        <v>C00000042</v>
      </c>
      <c r="F3132" s="1" t="s">
        <v>2012</v>
      </c>
      <c r="G3132" s="99" t="s">
        <v>2552</v>
      </c>
      <c r="H3132" s="5">
        <v>10</v>
      </c>
      <c r="I3132" s="5" t="str">
        <f>VLOOKUP(F3132,'Set up'!$A$2:$C$70,3,FALSE)</f>
        <v>Cash</v>
      </c>
      <c r="J3132" s="5">
        <f>VLOOKUP(F3132,'Set up'!$A$2:$D$70,4,FALSE)</f>
        <v>0</v>
      </c>
      <c r="K3132" s="4">
        <f t="shared" si="761"/>
        <v>45511</v>
      </c>
      <c r="L3132" s="5">
        <f t="shared" si="762"/>
        <v>8</v>
      </c>
      <c r="M3132" s="5">
        <f t="shared" si="763"/>
        <v>2024</v>
      </c>
      <c r="N3132" s="12">
        <v>16280</v>
      </c>
      <c r="O3132" s="12">
        <f>-13560.1-2719.9</f>
        <v>-16280</v>
      </c>
      <c r="P3132" s="6">
        <f t="shared" si="767"/>
        <v>0</v>
      </c>
      <c r="Q3132" s="7">
        <f t="shared" si="764"/>
        <v>5134073.3499999996</v>
      </c>
      <c r="R3132" s="44" t="str">
        <f>VLOOKUP(F3132,'Set up'!$A$2:$E$70,5,FALSE)</f>
        <v>Trsf</v>
      </c>
      <c r="S3132" s="1" t="s">
        <v>3379</v>
      </c>
    </row>
    <row r="3133" spans="1:19" ht="15" customHeight="1" x14ac:dyDescent="0.3">
      <c r="A3133" s="4">
        <v>45511</v>
      </c>
      <c r="B3133" s="5">
        <f t="shared" si="759"/>
        <v>8</v>
      </c>
      <c r="C3133" s="5">
        <f t="shared" si="760"/>
        <v>2024</v>
      </c>
      <c r="D3133" s="5" t="s">
        <v>2852</v>
      </c>
      <c r="E3133" s="5" t="str">
        <f>VLOOKUP(F3133,'Set up'!$A$2:$C$70,2,FALSE)</f>
        <v>C00000042</v>
      </c>
      <c r="F3133" s="1" t="s">
        <v>2012</v>
      </c>
      <c r="G3133" s="99" t="s">
        <v>1543</v>
      </c>
      <c r="H3133" s="5">
        <v>30</v>
      </c>
      <c r="I3133" s="5" t="str">
        <f>VLOOKUP(F3133,'Set up'!$A$2:$C$70,3,FALSE)</f>
        <v>Cash</v>
      </c>
      <c r="J3133" s="5">
        <f>VLOOKUP(F3133,'Set up'!$A$2:$D$70,4,FALSE)</f>
        <v>0</v>
      </c>
      <c r="K3133" s="4">
        <f t="shared" si="761"/>
        <v>45511</v>
      </c>
      <c r="L3133" s="5">
        <f t="shared" si="762"/>
        <v>8</v>
      </c>
      <c r="M3133" s="5">
        <f t="shared" si="763"/>
        <v>2024</v>
      </c>
      <c r="N3133" s="12">
        <v>5490</v>
      </c>
      <c r="O3133" s="6">
        <f t="shared" si="772"/>
        <v>-5490</v>
      </c>
      <c r="P3133" s="6">
        <f t="shared" si="767"/>
        <v>0</v>
      </c>
      <c r="Q3133" s="7">
        <f t="shared" si="764"/>
        <v>5139563.3499999996</v>
      </c>
      <c r="R3133" s="44" t="str">
        <f>VLOOKUP(F3133,'Set up'!$A$2:$E$70,5,FALSE)</f>
        <v>Trsf</v>
      </c>
      <c r="S3133" s="1" t="s">
        <v>3380</v>
      </c>
    </row>
    <row r="3134" spans="1:19" ht="15" customHeight="1" x14ac:dyDescent="0.3">
      <c r="A3134" s="4">
        <v>45511</v>
      </c>
      <c r="B3134" s="5">
        <f t="shared" si="759"/>
        <v>8</v>
      </c>
      <c r="C3134" s="5">
        <f t="shared" si="760"/>
        <v>2024</v>
      </c>
      <c r="D3134" s="5" t="s">
        <v>2852</v>
      </c>
      <c r="E3134" s="5" t="str">
        <f>VLOOKUP(F3134,'Set up'!$A$2:$C$70,2,FALSE)</f>
        <v>C00000042</v>
      </c>
      <c r="F3134" s="1" t="s">
        <v>2012</v>
      </c>
      <c r="G3134" s="99" t="s">
        <v>655</v>
      </c>
      <c r="H3134" s="5">
        <v>15</v>
      </c>
      <c r="I3134" s="5" t="str">
        <f>VLOOKUP(F3134,'Set up'!$A$2:$C$70,3,FALSE)</f>
        <v>Cash</v>
      </c>
      <c r="J3134" s="5">
        <f>VLOOKUP(F3134,'Set up'!$A$2:$D$70,4,FALSE)</f>
        <v>0</v>
      </c>
      <c r="K3134" s="4">
        <f t="shared" si="761"/>
        <v>45511</v>
      </c>
      <c r="L3134" s="5">
        <f t="shared" si="762"/>
        <v>8</v>
      </c>
      <c r="M3134" s="5">
        <f t="shared" si="763"/>
        <v>2024</v>
      </c>
      <c r="N3134" s="12">
        <v>3600</v>
      </c>
      <c r="O3134" s="6">
        <f t="shared" si="772"/>
        <v>-3600</v>
      </c>
      <c r="P3134" s="6">
        <f t="shared" si="767"/>
        <v>0</v>
      </c>
      <c r="Q3134" s="7">
        <f t="shared" si="764"/>
        <v>5143163.3499999996</v>
      </c>
      <c r="R3134" s="44" t="str">
        <f>VLOOKUP(F3134,'Set up'!$A$2:$E$70,5,FALSE)</f>
        <v>Trsf</v>
      </c>
      <c r="S3134" s="1" t="s">
        <v>3381</v>
      </c>
    </row>
    <row r="3135" spans="1:19" ht="15" customHeight="1" x14ac:dyDescent="0.3">
      <c r="A3135" s="4">
        <v>45511</v>
      </c>
      <c r="B3135" s="5">
        <f t="shared" si="759"/>
        <v>8</v>
      </c>
      <c r="C3135" s="5">
        <f t="shared" si="760"/>
        <v>2024</v>
      </c>
      <c r="D3135" s="5" t="s">
        <v>2852</v>
      </c>
      <c r="E3135" s="5" t="str">
        <f>VLOOKUP(F3135,'Set up'!$A$2:$C$70,2,FALSE)</f>
        <v>C00000042</v>
      </c>
      <c r="F3135" s="1" t="s">
        <v>2012</v>
      </c>
      <c r="G3135" s="99" t="s">
        <v>1061</v>
      </c>
      <c r="H3135" s="5">
        <v>4</v>
      </c>
      <c r="I3135" s="5" t="str">
        <f>VLOOKUP(F3135,'Set up'!$A$2:$C$70,3,FALSE)</f>
        <v>Cash</v>
      </c>
      <c r="J3135" s="5">
        <f>VLOOKUP(F3135,'Set up'!$A$2:$D$70,4,FALSE)</f>
        <v>0</v>
      </c>
      <c r="K3135" s="4">
        <f t="shared" si="761"/>
        <v>45511</v>
      </c>
      <c r="L3135" s="5">
        <f t="shared" si="762"/>
        <v>8</v>
      </c>
      <c r="M3135" s="5">
        <f t="shared" si="763"/>
        <v>2024</v>
      </c>
      <c r="N3135" s="12">
        <v>380</v>
      </c>
      <c r="O3135" s="6">
        <f t="shared" si="772"/>
        <v>-380</v>
      </c>
      <c r="P3135" s="6">
        <f t="shared" si="767"/>
        <v>0</v>
      </c>
      <c r="Q3135" s="7">
        <f t="shared" si="764"/>
        <v>5143543.3499999996</v>
      </c>
      <c r="R3135" s="44" t="str">
        <f>VLOOKUP(F3135,'Set up'!$A$2:$E$70,5,FALSE)</f>
        <v>Trsf</v>
      </c>
      <c r="S3135" s="1" t="s">
        <v>3382</v>
      </c>
    </row>
    <row r="3136" spans="1:19" ht="15" customHeight="1" x14ac:dyDescent="0.3">
      <c r="A3136" s="4">
        <v>45511</v>
      </c>
      <c r="B3136" s="5">
        <f t="shared" si="759"/>
        <v>8</v>
      </c>
      <c r="C3136" s="5">
        <f t="shared" si="760"/>
        <v>2024</v>
      </c>
      <c r="D3136" s="5" t="s">
        <v>2852</v>
      </c>
      <c r="E3136" s="5" t="str">
        <f>VLOOKUP(F3136,'Set up'!$A$2:$C$70,2,FALSE)</f>
        <v>C00000042</v>
      </c>
      <c r="F3136" s="1" t="s">
        <v>2012</v>
      </c>
      <c r="G3136" s="99" t="s">
        <v>2744</v>
      </c>
      <c r="H3136" s="5">
        <v>1</v>
      </c>
      <c r="I3136" s="5" t="str">
        <f>VLOOKUP(F3136,'Set up'!$A$2:$C$70,3,FALSE)</f>
        <v>Cash</v>
      </c>
      <c r="J3136" s="5">
        <f>VLOOKUP(F3136,'Set up'!$A$2:$D$70,4,FALSE)</f>
        <v>0</v>
      </c>
      <c r="K3136" s="4">
        <f t="shared" si="761"/>
        <v>45511</v>
      </c>
      <c r="L3136" s="5">
        <f t="shared" si="762"/>
        <v>8</v>
      </c>
      <c r="M3136" s="5">
        <f t="shared" si="763"/>
        <v>2024</v>
      </c>
      <c r="N3136" s="12">
        <v>975</v>
      </c>
      <c r="O3136" s="6">
        <f t="shared" si="772"/>
        <v>-975</v>
      </c>
      <c r="P3136" s="6">
        <f t="shared" si="767"/>
        <v>0</v>
      </c>
      <c r="Q3136" s="7">
        <f t="shared" si="764"/>
        <v>5144518.3499999996</v>
      </c>
      <c r="R3136" s="44" t="str">
        <f>VLOOKUP(F3136,'Set up'!$A$2:$E$70,5,FALSE)</f>
        <v>Trsf</v>
      </c>
      <c r="S3136" s="1" t="s">
        <v>3383</v>
      </c>
    </row>
    <row r="3137" spans="1:21" ht="15" customHeight="1" x14ac:dyDescent="0.3">
      <c r="A3137" s="4">
        <v>45511</v>
      </c>
      <c r="B3137" s="5">
        <f t="shared" si="759"/>
        <v>8</v>
      </c>
      <c r="C3137" s="5">
        <f t="shared" si="760"/>
        <v>2024</v>
      </c>
      <c r="D3137" s="5" t="s">
        <v>2853</v>
      </c>
      <c r="E3137" s="5" t="str">
        <f>VLOOKUP(F3137,'Set up'!$A$2:$C$70,2,FALSE)</f>
        <v>C00000026</v>
      </c>
      <c r="F3137" s="1" t="s">
        <v>784</v>
      </c>
      <c r="G3137" s="99" t="s">
        <v>2552</v>
      </c>
      <c r="H3137" s="5">
        <v>1</v>
      </c>
      <c r="I3137" s="5" t="str">
        <f>VLOOKUP(F3137,'Set up'!$A$2:$C$70,3,FALSE)</f>
        <v>Cash</v>
      </c>
      <c r="J3137" s="5">
        <f>VLOOKUP(F3137,'Set up'!$A$2:$D$70,4,FALSE)</f>
        <v>0</v>
      </c>
      <c r="K3137" s="4">
        <f t="shared" si="761"/>
        <v>45511</v>
      </c>
      <c r="L3137" s="5">
        <f t="shared" si="762"/>
        <v>8</v>
      </c>
      <c r="M3137" s="5">
        <f t="shared" si="763"/>
        <v>2024</v>
      </c>
      <c r="N3137" s="12">
        <v>1738</v>
      </c>
      <c r="O3137" s="6">
        <f t="shared" ref="O3137:O3138" si="773">-N3137</f>
        <v>-1738</v>
      </c>
      <c r="P3137" s="6">
        <f t="shared" si="767"/>
        <v>0</v>
      </c>
      <c r="Q3137" s="7">
        <f t="shared" si="764"/>
        <v>5146256.3499999996</v>
      </c>
      <c r="R3137" s="44" t="str">
        <f>VLOOKUP(F3137,'Set up'!$A$2:$E$70,5,FALSE)</f>
        <v>Trsf</v>
      </c>
      <c r="S3137" s="1" t="s">
        <v>2895</v>
      </c>
    </row>
    <row r="3138" spans="1:21" ht="15" customHeight="1" x14ac:dyDescent="0.3">
      <c r="A3138" s="4">
        <v>45511</v>
      </c>
      <c r="B3138" s="5">
        <f t="shared" si="759"/>
        <v>8</v>
      </c>
      <c r="C3138" s="5">
        <f t="shared" si="760"/>
        <v>2024</v>
      </c>
      <c r="D3138" s="5" t="s">
        <v>2853</v>
      </c>
      <c r="E3138" s="5" t="str">
        <f>VLOOKUP(F3138,'Set up'!$A$2:$C$70,2,FALSE)</f>
        <v>C00000026</v>
      </c>
      <c r="F3138" s="1" t="s">
        <v>784</v>
      </c>
      <c r="G3138" s="99" t="s">
        <v>1411</v>
      </c>
      <c r="H3138" s="5">
        <v>1</v>
      </c>
      <c r="I3138" s="5" t="str">
        <f>VLOOKUP(F3138,'Set up'!$A$2:$C$70,3,FALSE)</f>
        <v>Cash</v>
      </c>
      <c r="J3138" s="5">
        <f>VLOOKUP(F3138,'Set up'!$A$2:$D$70,4,FALSE)</f>
        <v>0</v>
      </c>
      <c r="K3138" s="4">
        <f t="shared" si="761"/>
        <v>45511</v>
      </c>
      <c r="L3138" s="5">
        <f t="shared" si="762"/>
        <v>8</v>
      </c>
      <c r="M3138" s="5">
        <f t="shared" si="763"/>
        <v>2024</v>
      </c>
      <c r="N3138" s="12">
        <v>405</v>
      </c>
      <c r="O3138" s="6">
        <f t="shared" si="773"/>
        <v>-405</v>
      </c>
      <c r="P3138" s="6">
        <f t="shared" si="767"/>
        <v>0</v>
      </c>
      <c r="Q3138" s="7">
        <f t="shared" si="764"/>
        <v>5146661.3499999996</v>
      </c>
      <c r="R3138" s="44" t="str">
        <f>VLOOKUP(F3138,'Set up'!$A$2:$E$70,5,FALSE)</f>
        <v>Trsf</v>
      </c>
      <c r="S3138" s="1" t="s">
        <v>2895</v>
      </c>
    </row>
    <row r="3139" spans="1:21" ht="15" customHeight="1" x14ac:dyDescent="0.3">
      <c r="A3139" s="4">
        <v>45512</v>
      </c>
      <c r="B3139" s="5">
        <f t="shared" ref="B3139:B3202" si="774">MONTH(A3139)</f>
        <v>8</v>
      </c>
      <c r="C3139" s="5">
        <f t="shared" ref="C3139:C3202" si="775">YEAR(A3139)</f>
        <v>2024</v>
      </c>
      <c r="D3139" s="5" t="s">
        <v>2854</v>
      </c>
      <c r="E3139" s="5" t="str">
        <f>VLOOKUP(F3139,'Set up'!$A$2:$C$70,2,FALSE)</f>
        <v>C00000003</v>
      </c>
      <c r="F3139" s="1" t="s">
        <v>20</v>
      </c>
      <c r="G3139" s="99" t="s">
        <v>716</v>
      </c>
      <c r="H3139" s="5">
        <v>1</v>
      </c>
      <c r="I3139" s="5">
        <f>VLOOKUP(F3139,'Set up'!$A$2:$C$70,3,FALSE)</f>
        <v>45</v>
      </c>
      <c r="J3139" s="5">
        <f>VLOOKUP(F3139,'Set up'!$A$2:$D$70,4,FALSE)</f>
        <v>45</v>
      </c>
      <c r="K3139" s="4">
        <f t="shared" ref="K3139:K3202" si="776">A3139+J3139</f>
        <v>45557</v>
      </c>
      <c r="L3139" s="5">
        <f t="shared" ref="L3139:L3202" si="777">MONTH(K3139)</f>
        <v>9</v>
      </c>
      <c r="M3139" s="5">
        <f t="shared" ref="M3139:M3202" si="778">YEAR(K3139)</f>
        <v>2024</v>
      </c>
      <c r="N3139" s="12">
        <v>1738</v>
      </c>
      <c r="O3139" s="6">
        <f>-N3139</f>
        <v>-1738</v>
      </c>
      <c r="P3139" s="6">
        <f t="shared" si="767"/>
        <v>0</v>
      </c>
      <c r="Q3139" s="7">
        <f t="shared" ref="Q3139:Q3202" si="779">SUM(Q3138+N3139)</f>
        <v>5148399.3499999996</v>
      </c>
      <c r="R3139" s="44" t="str">
        <f>VLOOKUP(F3139,'Set up'!$A$2:$E$70,5,FALSE)</f>
        <v>PD Chq</v>
      </c>
      <c r="S3139" s="1" t="s">
        <v>2979</v>
      </c>
      <c r="U3139" s="1" t="s">
        <v>3603</v>
      </c>
    </row>
    <row r="3140" spans="1:21" ht="15" customHeight="1" x14ac:dyDescent="0.3">
      <c r="A3140" s="4">
        <v>45512</v>
      </c>
      <c r="B3140" s="5">
        <f t="shared" si="774"/>
        <v>8</v>
      </c>
      <c r="C3140" s="5">
        <f t="shared" si="775"/>
        <v>2024</v>
      </c>
      <c r="D3140" s="5" t="s">
        <v>2854</v>
      </c>
      <c r="E3140" s="5" t="str">
        <f>VLOOKUP(F3140,'Set up'!$A$2:$C$70,2,FALSE)</f>
        <v>C00000003</v>
      </c>
      <c r="F3140" s="1" t="s">
        <v>20</v>
      </c>
      <c r="G3140" s="99" t="s">
        <v>1198</v>
      </c>
      <c r="H3140" s="5">
        <v>1</v>
      </c>
      <c r="I3140" s="5">
        <f>VLOOKUP(F3140,'Set up'!$A$2:$C$70,3,FALSE)</f>
        <v>45</v>
      </c>
      <c r="J3140" s="5">
        <f>VLOOKUP(F3140,'Set up'!$A$2:$D$70,4,FALSE)</f>
        <v>45</v>
      </c>
      <c r="K3140" s="4">
        <f t="shared" si="776"/>
        <v>45557</v>
      </c>
      <c r="L3140" s="5">
        <f t="shared" si="777"/>
        <v>9</v>
      </c>
      <c r="M3140" s="5">
        <f t="shared" si="778"/>
        <v>2024</v>
      </c>
      <c r="N3140" s="12">
        <v>234</v>
      </c>
      <c r="O3140" s="6">
        <f>-N3140</f>
        <v>-234</v>
      </c>
      <c r="P3140" s="6">
        <f t="shared" si="767"/>
        <v>0</v>
      </c>
      <c r="Q3140" s="7">
        <f t="shared" si="779"/>
        <v>5148633.3499999996</v>
      </c>
      <c r="R3140" s="44" t="str">
        <f>VLOOKUP(F3140,'Set up'!$A$2:$E$70,5,FALSE)</f>
        <v>PD Chq</v>
      </c>
      <c r="S3140" s="1" t="s">
        <v>2979</v>
      </c>
      <c r="U3140" s="1" t="s">
        <v>3603</v>
      </c>
    </row>
    <row r="3141" spans="1:21" ht="15" customHeight="1" x14ac:dyDescent="0.3">
      <c r="A3141" s="4">
        <v>45512</v>
      </c>
      <c r="B3141" s="5">
        <f t="shared" si="774"/>
        <v>8</v>
      </c>
      <c r="C3141" s="5">
        <f t="shared" si="775"/>
        <v>2024</v>
      </c>
      <c r="D3141" s="5" t="s">
        <v>2854</v>
      </c>
      <c r="E3141" s="5" t="str">
        <f>VLOOKUP(F3141,'Set up'!$A$2:$C$70,2,FALSE)</f>
        <v>C00000003</v>
      </c>
      <c r="F3141" s="1" t="s">
        <v>20</v>
      </c>
      <c r="G3141" s="99" t="s">
        <v>17</v>
      </c>
      <c r="H3141" s="5">
        <v>2</v>
      </c>
      <c r="I3141" s="5">
        <f>VLOOKUP(F3141,'Set up'!$A$2:$C$70,3,FALSE)</f>
        <v>45</v>
      </c>
      <c r="J3141" s="5">
        <f>VLOOKUP(F3141,'Set up'!$A$2:$D$70,4,FALSE)</f>
        <v>45</v>
      </c>
      <c r="K3141" s="4">
        <f t="shared" si="776"/>
        <v>45557</v>
      </c>
      <c r="L3141" s="5">
        <f t="shared" si="777"/>
        <v>9</v>
      </c>
      <c r="M3141" s="5">
        <f t="shared" si="778"/>
        <v>2024</v>
      </c>
      <c r="N3141" s="12">
        <v>220</v>
      </c>
      <c r="O3141" s="6">
        <f>-N3141</f>
        <v>-220</v>
      </c>
      <c r="P3141" s="6">
        <f t="shared" si="767"/>
        <v>0</v>
      </c>
      <c r="Q3141" s="7">
        <f t="shared" si="779"/>
        <v>5148853.3499999996</v>
      </c>
      <c r="R3141" s="44" t="str">
        <f>VLOOKUP(F3141,'Set up'!$A$2:$E$70,5,FALSE)</f>
        <v>PD Chq</v>
      </c>
      <c r="S3141" s="1" t="s">
        <v>2979</v>
      </c>
      <c r="U3141" s="1" t="s">
        <v>3603</v>
      </c>
    </row>
    <row r="3142" spans="1:21" ht="15" customHeight="1" x14ac:dyDescent="0.3">
      <c r="A3142" s="4">
        <v>45516</v>
      </c>
      <c r="B3142" s="5">
        <f t="shared" si="774"/>
        <v>8</v>
      </c>
      <c r="C3142" s="5">
        <f t="shared" si="775"/>
        <v>2024</v>
      </c>
      <c r="D3142" s="5" t="s">
        <v>2854</v>
      </c>
      <c r="E3142" s="5" t="str">
        <f>VLOOKUP(F3142,'Set up'!$A$2:$C$70,2,FALSE)</f>
        <v>C00000003</v>
      </c>
      <c r="F3142" s="1" t="s">
        <v>20</v>
      </c>
      <c r="G3142" s="99" t="s">
        <v>2635</v>
      </c>
      <c r="H3142" s="5">
        <v>2</v>
      </c>
      <c r="I3142" s="5">
        <f>VLOOKUP(F3142,'Set up'!$A$2:$C$70,3,FALSE)</f>
        <v>45</v>
      </c>
      <c r="J3142" s="5">
        <f>VLOOKUP(F3142,'Set up'!$A$2:$D$70,4,FALSE)</f>
        <v>45</v>
      </c>
      <c r="K3142" s="4">
        <f t="shared" si="776"/>
        <v>45561</v>
      </c>
      <c r="L3142" s="5">
        <f t="shared" si="777"/>
        <v>9</v>
      </c>
      <c r="M3142" s="5">
        <f t="shared" si="778"/>
        <v>2024</v>
      </c>
      <c r="N3142" s="12">
        <v>130</v>
      </c>
      <c r="O3142" s="6">
        <f>-N3142</f>
        <v>-130</v>
      </c>
      <c r="P3142" s="6">
        <f t="shared" si="767"/>
        <v>0</v>
      </c>
      <c r="Q3142" s="7">
        <f t="shared" si="779"/>
        <v>5148983.3499999996</v>
      </c>
      <c r="R3142" s="44" t="str">
        <f>VLOOKUP(F3142,'Set up'!$A$2:$E$70,5,FALSE)</f>
        <v>PD Chq</v>
      </c>
      <c r="S3142" s="1" t="s">
        <v>2979</v>
      </c>
      <c r="U3142" s="1" t="s">
        <v>3603</v>
      </c>
    </row>
    <row r="3143" spans="1:21" ht="15" customHeight="1" x14ac:dyDescent="0.3">
      <c r="A3143" s="4">
        <v>45516</v>
      </c>
      <c r="B3143" s="5">
        <f t="shared" si="774"/>
        <v>8</v>
      </c>
      <c r="C3143" s="5">
        <f t="shared" si="775"/>
        <v>2024</v>
      </c>
      <c r="D3143" s="5" t="s">
        <v>2855</v>
      </c>
      <c r="E3143" s="5" t="str">
        <f>VLOOKUP(F3143,'Set up'!$A$2:$C$70,2,FALSE)</f>
        <v>C00000049</v>
      </c>
      <c r="F3143" s="1" t="s">
        <v>2728</v>
      </c>
      <c r="G3143" s="99" t="s">
        <v>95</v>
      </c>
      <c r="H3143" s="5">
        <v>2</v>
      </c>
      <c r="I3143" s="5" t="str">
        <f>VLOOKUP(F3143,'Set up'!$A$2:$C$70,3,FALSE)</f>
        <v>Cash</v>
      </c>
      <c r="J3143" s="5">
        <f>VLOOKUP(F3143,'Set up'!$A$2:$D$70,4,FALSE)</f>
        <v>0</v>
      </c>
      <c r="K3143" s="4">
        <f t="shared" si="776"/>
        <v>45516</v>
      </c>
      <c r="L3143" s="5">
        <f t="shared" si="777"/>
        <v>8</v>
      </c>
      <c r="M3143" s="5">
        <f t="shared" si="778"/>
        <v>2024</v>
      </c>
      <c r="N3143" s="12">
        <v>3520</v>
      </c>
      <c r="O3143" s="12"/>
      <c r="P3143" s="6">
        <f t="shared" si="767"/>
        <v>3520</v>
      </c>
      <c r="Q3143" s="7">
        <f t="shared" si="779"/>
        <v>5152503.3499999996</v>
      </c>
      <c r="R3143" s="44" t="str">
        <f>VLOOKUP(F3143,'Set up'!$A$2:$E$70,5,FALSE)</f>
        <v>Cash</v>
      </c>
    </row>
    <row r="3144" spans="1:21" ht="15" customHeight="1" x14ac:dyDescent="0.3">
      <c r="A3144" s="4">
        <v>45516</v>
      </c>
      <c r="B3144" s="5">
        <f t="shared" si="774"/>
        <v>8</v>
      </c>
      <c r="C3144" s="5">
        <f t="shared" si="775"/>
        <v>2024</v>
      </c>
      <c r="D3144" s="5" t="s">
        <v>2855</v>
      </c>
      <c r="E3144" s="5" t="str">
        <f>VLOOKUP(F3144,'Set up'!$A$2:$C$70,2,FALSE)</f>
        <v>C00000049</v>
      </c>
      <c r="F3144" s="1" t="s">
        <v>2728</v>
      </c>
      <c r="G3144" s="99" t="s">
        <v>2523</v>
      </c>
      <c r="H3144" s="5">
        <v>3</v>
      </c>
      <c r="I3144" s="5" t="str">
        <f>VLOOKUP(F3144,'Set up'!$A$2:$C$70,3,FALSE)</f>
        <v>Cash</v>
      </c>
      <c r="J3144" s="5">
        <f>VLOOKUP(F3144,'Set up'!$A$2:$D$70,4,FALSE)</f>
        <v>0</v>
      </c>
      <c r="K3144" s="4">
        <f t="shared" si="776"/>
        <v>45516</v>
      </c>
      <c r="L3144" s="5">
        <f t="shared" si="777"/>
        <v>8</v>
      </c>
      <c r="M3144" s="5">
        <f t="shared" si="778"/>
        <v>2024</v>
      </c>
      <c r="N3144" s="12">
        <v>675</v>
      </c>
      <c r="O3144" s="12"/>
      <c r="P3144" s="6">
        <f t="shared" si="767"/>
        <v>675</v>
      </c>
      <c r="Q3144" s="7">
        <f t="shared" si="779"/>
        <v>5153178.3499999996</v>
      </c>
      <c r="R3144" s="44" t="str">
        <f>VLOOKUP(F3144,'Set up'!$A$2:$E$70,5,FALSE)</f>
        <v>Cash</v>
      </c>
    </row>
    <row r="3145" spans="1:21" ht="15" customHeight="1" x14ac:dyDescent="0.3">
      <c r="A3145" s="4">
        <v>45517</v>
      </c>
      <c r="B3145" s="5">
        <f t="shared" si="774"/>
        <v>8</v>
      </c>
      <c r="C3145" s="5">
        <f t="shared" si="775"/>
        <v>2024</v>
      </c>
      <c r="D3145" s="5" t="s">
        <v>2856</v>
      </c>
      <c r="E3145" s="5" t="str">
        <f>VLOOKUP(F3145,'Set up'!$A$2:$C$70,2,FALSE)</f>
        <v>C00000049</v>
      </c>
      <c r="F3145" s="1" t="s">
        <v>2728</v>
      </c>
      <c r="G3145" s="99" t="s">
        <v>17</v>
      </c>
      <c r="H3145" s="5">
        <v>1</v>
      </c>
      <c r="I3145" s="5" t="str">
        <f>VLOOKUP(F3145,'Set up'!$A$2:$C$70,3,FALSE)</f>
        <v>Cash</v>
      </c>
      <c r="J3145" s="5">
        <f>VLOOKUP(F3145,'Set up'!$A$2:$D$70,4,FALSE)</f>
        <v>0</v>
      </c>
      <c r="K3145" s="4">
        <f t="shared" si="776"/>
        <v>45517</v>
      </c>
      <c r="L3145" s="5">
        <f t="shared" si="777"/>
        <v>8</v>
      </c>
      <c r="M3145" s="5">
        <f t="shared" si="778"/>
        <v>2024</v>
      </c>
      <c r="N3145" s="12">
        <v>110</v>
      </c>
      <c r="O3145" s="12"/>
      <c r="P3145" s="6">
        <f t="shared" si="767"/>
        <v>110</v>
      </c>
      <c r="Q3145" s="7">
        <f t="shared" si="779"/>
        <v>5153288.3499999996</v>
      </c>
      <c r="R3145" s="44" t="str">
        <f>VLOOKUP(F3145,'Set up'!$A$2:$E$70,5,FALSE)</f>
        <v>Cash</v>
      </c>
    </row>
    <row r="3146" spans="1:21" ht="15" customHeight="1" x14ac:dyDescent="0.3">
      <c r="A3146" s="4">
        <v>45516</v>
      </c>
      <c r="B3146" s="5">
        <f t="shared" si="774"/>
        <v>8</v>
      </c>
      <c r="C3146" s="5">
        <f t="shared" si="775"/>
        <v>2024</v>
      </c>
      <c r="D3146" s="5" t="s">
        <v>2857</v>
      </c>
      <c r="E3146" s="5" t="str">
        <f>VLOOKUP(F3146,'Set up'!$A$2:$C$70,2,FALSE)</f>
        <v>C00000042</v>
      </c>
      <c r="F3146" s="1" t="s">
        <v>2012</v>
      </c>
      <c r="G3146" s="99" t="s">
        <v>1073</v>
      </c>
      <c r="H3146" s="5">
        <v>1</v>
      </c>
      <c r="I3146" s="5" t="str">
        <f>VLOOKUP(F3146,'Set up'!$A$2:$C$70,3,FALSE)</f>
        <v>Cash</v>
      </c>
      <c r="J3146" s="5">
        <f>VLOOKUP(F3146,'Set up'!$A$2:$D$70,4,FALSE)</f>
        <v>0</v>
      </c>
      <c r="K3146" s="4">
        <f t="shared" si="776"/>
        <v>45516</v>
      </c>
      <c r="L3146" s="5">
        <f t="shared" si="777"/>
        <v>8</v>
      </c>
      <c r="M3146" s="5">
        <f t="shared" si="778"/>
        <v>2024</v>
      </c>
      <c r="N3146" s="12">
        <v>1000</v>
      </c>
      <c r="O3146" s="6">
        <f t="shared" ref="O3146" si="780">-N3146</f>
        <v>-1000</v>
      </c>
      <c r="P3146" s="6">
        <f t="shared" si="767"/>
        <v>0</v>
      </c>
      <c r="Q3146" s="7">
        <f t="shared" si="779"/>
        <v>5154288.3499999996</v>
      </c>
      <c r="R3146" s="44" t="str">
        <f>VLOOKUP(F3146,'Set up'!$A$2:$E$70,5,FALSE)</f>
        <v>Trsf</v>
      </c>
      <c r="S3146" s="1" t="s">
        <v>3384</v>
      </c>
    </row>
    <row r="3147" spans="1:21" ht="15" customHeight="1" x14ac:dyDescent="0.3">
      <c r="A3147" s="4">
        <v>45519</v>
      </c>
      <c r="B3147" s="5">
        <f t="shared" si="774"/>
        <v>8</v>
      </c>
      <c r="C3147" s="5">
        <f t="shared" si="775"/>
        <v>2024</v>
      </c>
      <c r="D3147" s="5" t="s">
        <v>2858</v>
      </c>
      <c r="E3147" s="5" t="str">
        <f>VLOOKUP(F3147,'Set up'!$A$2:$C$70,2,FALSE)</f>
        <v>C00000049</v>
      </c>
      <c r="F3147" s="1" t="s">
        <v>2728</v>
      </c>
      <c r="G3147" s="99" t="s">
        <v>2859</v>
      </c>
      <c r="H3147" s="5">
        <v>1</v>
      </c>
      <c r="I3147" s="5" t="str">
        <f>VLOOKUP(F3147,'Set up'!$A$2:$C$70,3,FALSE)</f>
        <v>Cash</v>
      </c>
      <c r="J3147" s="5">
        <f>VLOOKUP(F3147,'Set up'!$A$2:$D$70,4,FALSE)</f>
        <v>0</v>
      </c>
      <c r="K3147" s="4">
        <f t="shared" si="776"/>
        <v>45519</v>
      </c>
      <c r="L3147" s="5">
        <f t="shared" si="777"/>
        <v>8</v>
      </c>
      <c r="M3147" s="5">
        <f t="shared" si="778"/>
        <v>2024</v>
      </c>
      <c r="N3147" s="12">
        <v>250</v>
      </c>
      <c r="O3147" s="12"/>
      <c r="P3147" s="6">
        <f t="shared" si="767"/>
        <v>250</v>
      </c>
      <c r="Q3147" s="7">
        <f t="shared" si="779"/>
        <v>5154538.3499999996</v>
      </c>
      <c r="R3147" s="44" t="str">
        <f>VLOOKUP(F3147,'Set up'!$A$2:$E$70,5,FALSE)</f>
        <v>Cash</v>
      </c>
    </row>
    <row r="3148" spans="1:21" ht="15" customHeight="1" x14ac:dyDescent="0.3">
      <c r="A3148" s="4">
        <v>45520</v>
      </c>
      <c r="B3148" s="5">
        <f t="shared" si="774"/>
        <v>8</v>
      </c>
      <c r="C3148" s="5">
        <f t="shared" si="775"/>
        <v>2024</v>
      </c>
      <c r="D3148" s="5" t="s">
        <v>2860</v>
      </c>
      <c r="E3148" s="5" t="str">
        <f>VLOOKUP(F3148,'Set up'!$A$2:$C$70,2,FALSE)</f>
        <v>C00000019</v>
      </c>
      <c r="F3148" s="1" t="s">
        <v>400</v>
      </c>
      <c r="G3148" s="99" t="s">
        <v>95</v>
      </c>
      <c r="H3148" s="5">
        <v>1</v>
      </c>
      <c r="I3148" s="5" t="str">
        <f>VLOOKUP(F3148,'Set up'!$A$2:$C$70,3,FALSE)</f>
        <v>Cash</v>
      </c>
      <c r="J3148" s="5">
        <f>VLOOKUP(F3148,'Set up'!$A$2:$D$70,4,FALSE)</f>
        <v>0</v>
      </c>
      <c r="K3148" s="4">
        <f t="shared" si="776"/>
        <v>45520</v>
      </c>
      <c r="L3148" s="5">
        <f t="shared" si="777"/>
        <v>8</v>
      </c>
      <c r="M3148" s="5">
        <f t="shared" si="778"/>
        <v>2024</v>
      </c>
      <c r="N3148" s="12">
        <v>1760</v>
      </c>
      <c r="O3148" s="12"/>
      <c r="P3148" s="6">
        <f t="shared" si="767"/>
        <v>1760</v>
      </c>
      <c r="Q3148" s="7">
        <f t="shared" si="779"/>
        <v>5156298.3499999996</v>
      </c>
      <c r="R3148" s="44" t="str">
        <f>VLOOKUP(F3148,'Set up'!$A$2:$E$70,5,FALSE)</f>
        <v>Trsf</v>
      </c>
    </row>
    <row r="3149" spans="1:21" ht="15" customHeight="1" x14ac:dyDescent="0.3">
      <c r="A3149" s="4">
        <v>45520</v>
      </c>
      <c r="B3149" s="5">
        <f t="shared" si="774"/>
        <v>8</v>
      </c>
      <c r="C3149" s="5">
        <f t="shared" si="775"/>
        <v>2024</v>
      </c>
      <c r="D3149" s="5" t="s">
        <v>2860</v>
      </c>
      <c r="E3149" s="5" t="str">
        <f>VLOOKUP(F3149,'Set up'!$A$2:$C$70,2,FALSE)</f>
        <v>C00000019</v>
      </c>
      <c r="F3149" s="1" t="s">
        <v>400</v>
      </c>
      <c r="G3149" s="99" t="s">
        <v>949</v>
      </c>
      <c r="H3149" s="5">
        <v>2</v>
      </c>
      <c r="I3149" s="5" t="str">
        <f>VLOOKUP(F3149,'Set up'!$A$2:$C$70,3,FALSE)</f>
        <v>Cash</v>
      </c>
      <c r="J3149" s="5">
        <f>VLOOKUP(F3149,'Set up'!$A$2:$D$70,4,FALSE)</f>
        <v>0</v>
      </c>
      <c r="K3149" s="4">
        <f t="shared" si="776"/>
        <v>45520</v>
      </c>
      <c r="L3149" s="5">
        <f t="shared" si="777"/>
        <v>8</v>
      </c>
      <c r="M3149" s="5">
        <f t="shared" si="778"/>
        <v>2024</v>
      </c>
      <c r="N3149" s="12">
        <v>120</v>
      </c>
      <c r="O3149" s="12"/>
      <c r="P3149" s="6">
        <f t="shared" si="767"/>
        <v>120</v>
      </c>
      <c r="Q3149" s="7">
        <f t="shared" si="779"/>
        <v>5156418.3499999996</v>
      </c>
      <c r="R3149" s="44" t="str">
        <f>VLOOKUP(F3149,'Set up'!$A$2:$E$70,5,FALSE)</f>
        <v>Trsf</v>
      </c>
    </row>
    <row r="3150" spans="1:21" ht="15" customHeight="1" x14ac:dyDescent="0.3">
      <c r="A3150" s="4">
        <v>45520</v>
      </c>
      <c r="B3150" s="5">
        <f t="shared" si="774"/>
        <v>8</v>
      </c>
      <c r="C3150" s="5">
        <f t="shared" si="775"/>
        <v>2024</v>
      </c>
      <c r="D3150" s="5" t="s">
        <v>2861</v>
      </c>
      <c r="E3150" s="5" t="str">
        <f>VLOOKUP(F3150,'Set up'!$A$2:$C$70,2,FALSE)</f>
        <v>C00000049</v>
      </c>
      <c r="F3150" s="1" t="s">
        <v>2728</v>
      </c>
      <c r="G3150" s="99" t="s">
        <v>1715</v>
      </c>
      <c r="H3150" s="5">
        <v>1</v>
      </c>
      <c r="I3150" s="5" t="str">
        <f>VLOOKUP(F3150,'Set up'!$A$2:$C$70,3,FALSE)</f>
        <v>Cash</v>
      </c>
      <c r="J3150" s="5">
        <f>VLOOKUP(F3150,'Set up'!$A$2:$D$70,4,FALSE)</f>
        <v>0</v>
      </c>
      <c r="K3150" s="4">
        <f t="shared" si="776"/>
        <v>45520</v>
      </c>
      <c r="L3150" s="5">
        <f t="shared" si="777"/>
        <v>8</v>
      </c>
      <c r="M3150" s="5">
        <f t="shared" si="778"/>
        <v>2024</v>
      </c>
      <c r="N3150" s="12">
        <v>180</v>
      </c>
      <c r="O3150" s="12"/>
      <c r="P3150" s="6">
        <f t="shared" si="767"/>
        <v>180</v>
      </c>
      <c r="Q3150" s="7">
        <f t="shared" si="779"/>
        <v>5156598.3499999996</v>
      </c>
      <c r="R3150" s="44" t="str">
        <f>VLOOKUP(F3150,'Set up'!$A$2:$E$70,5,FALSE)</f>
        <v>Cash</v>
      </c>
    </row>
    <row r="3151" spans="1:21" ht="15" customHeight="1" x14ac:dyDescent="0.3">
      <c r="A3151" s="4">
        <v>45521</v>
      </c>
      <c r="B3151" s="5">
        <f t="shared" si="774"/>
        <v>8</v>
      </c>
      <c r="C3151" s="5">
        <f t="shared" si="775"/>
        <v>2024</v>
      </c>
      <c r="D3151" s="5" t="s">
        <v>2862</v>
      </c>
      <c r="E3151" s="5" t="str">
        <f>VLOOKUP(F3151,'Set up'!$A$2:$C$70,2,FALSE)</f>
        <v>C00000042</v>
      </c>
      <c r="F3151" s="1" t="s">
        <v>2012</v>
      </c>
      <c r="G3151" s="99" t="s">
        <v>2646</v>
      </c>
      <c r="H3151" s="5">
        <v>2</v>
      </c>
      <c r="I3151" s="5" t="str">
        <f>VLOOKUP(F3151,'Set up'!$A$2:$C$70,3,FALSE)</f>
        <v>Cash</v>
      </c>
      <c r="J3151" s="5">
        <f>VLOOKUP(F3151,'Set up'!$A$2:$D$70,4,FALSE)</f>
        <v>0</v>
      </c>
      <c r="K3151" s="4">
        <f t="shared" si="776"/>
        <v>45521</v>
      </c>
      <c r="L3151" s="5">
        <f t="shared" si="777"/>
        <v>8</v>
      </c>
      <c r="M3151" s="5">
        <f t="shared" si="778"/>
        <v>2024</v>
      </c>
      <c r="N3151" s="12">
        <v>125</v>
      </c>
      <c r="O3151" s="6">
        <f t="shared" ref="O3151:O3154" si="781">-N3151</f>
        <v>-125</v>
      </c>
      <c r="P3151" s="6">
        <f t="shared" si="767"/>
        <v>0</v>
      </c>
      <c r="Q3151" s="7">
        <f t="shared" si="779"/>
        <v>5156723.3499999996</v>
      </c>
      <c r="R3151" s="44" t="str">
        <f>VLOOKUP(F3151,'Set up'!$A$2:$E$70,5,FALSE)</f>
        <v>Trsf</v>
      </c>
      <c r="S3151" s="1" t="s">
        <v>3385</v>
      </c>
    </row>
    <row r="3152" spans="1:21" ht="15" customHeight="1" x14ac:dyDescent="0.3">
      <c r="A3152" s="4">
        <v>45521</v>
      </c>
      <c r="B3152" s="5">
        <f t="shared" si="774"/>
        <v>8</v>
      </c>
      <c r="C3152" s="5">
        <f t="shared" si="775"/>
        <v>2024</v>
      </c>
      <c r="D3152" s="5" t="s">
        <v>2863</v>
      </c>
      <c r="E3152" s="5" t="str">
        <f>VLOOKUP(F3152,'Set up'!$A$2:$C$70,2,FALSE)</f>
        <v>C00000042</v>
      </c>
      <c r="F3152" s="1" t="s">
        <v>2012</v>
      </c>
      <c r="G3152" s="99" t="s">
        <v>2552</v>
      </c>
      <c r="H3152" s="5">
        <v>2</v>
      </c>
      <c r="I3152" s="5" t="str">
        <f>VLOOKUP(F3152,'Set up'!$A$2:$C$70,3,FALSE)</f>
        <v>Cash</v>
      </c>
      <c r="J3152" s="5">
        <f>VLOOKUP(F3152,'Set up'!$A$2:$D$70,4,FALSE)</f>
        <v>0</v>
      </c>
      <c r="K3152" s="4">
        <f t="shared" si="776"/>
        <v>45521</v>
      </c>
      <c r="L3152" s="5">
        <f t="shared" si="777"/>
        <v>8</v>
      </c>
      <c r="M3152" s="5">
        <f t="shared" si="778"/>
        <v>2024</v>
      </c>
      <c r="N3152" s="12">
        <v>3256</v>
      </c>
      <c r="O3152" s="6">
        <f t="shared" si="781"/>
        <v>-3256</v>
      </c>
      <c r="P3152" s="6">
        <f t="shared" si="767"/>
        <v>0</v>
      </c>
      <c r="Q3152" s="7">
        <f t="shared" si="779"/>
        <v>5159979.3499999996</v>
      </c>
      <c r="R3152" s="44" t="str">
        <f>VLOOKUP(F3152,'Set up'!$A$2:$E$70,5,FALSE)</f>
        <v>Trsf</v>
      </c>
      <c r="S3152" s="1" t="s">
        <v>3386</v>
      </c>
    </row>
    <row r="3153" spans="1:19" ht="15" customHeight="1" x14ac:dyDescent="0.3">
      <c r="A3153" s="4">
        <v>45521</v>
      </c>
      <c r="B3153" s="5">
        <f t="shared" si="774"/>
        <v>8</v>
      </c>
      <c r="C3153" s="5">
        <f t="shared" si="775"/>
        <v>2024</v>
      </c>
      <c r="D3153" s="5" t="s">
        <v>2863</v>
      </c>
      <c r="E3153" s="5" t="str">
        <f>VLOOKUP(F3153,'Set up'!$A$2:$C$70,2,FALSE)</f>
        <v>C00000042</v>
      </c>
      <c r="F3153" s="1" t="s">
        <v>2012</v>
      </c>
      <c r="G3153" s="99" t="s">
        <v>1543</v>
      </c>
      <c r="H3153" s="5">
        <v>6</v>
      </c>
      <c r="I3153" s="5" t="str">
        <f>VLOOKUP(F3153,'Set up'!$A$2:$C$70,3,FALSE)</f>
        <v>Cash</v>
      </c>
      <c r="J3153" s="5">
        <f>VLOOKUP(F3153,'Set up'!$A$2:$D$70,4,FALSE)</f>
        <v>0</v>
      </c>
      <c r="K3153" s="4">
        <f t="shared" si="776"/>
        <v>45521</v>
      </c>
      <c r="L3153" s="5">
        <f t="shared" si="777"/>
        <v>8</v>
      </c>
      <c r="M3153" s="5">
        <f t="shared" si="778"/>
        <v>2024</v>
      </c>
      <c r="N3153" s="12">
        <v>1098</v>
      </c>
      <c r="O3153" s="6">
        <f t="shared" si="781"/>
        <v>-1098</v>
      </c>
      <c r="P3153" s="6">
        <f t="shared" si="767"/>
        <v>0</v>
      </c>
      <c r="Q3153" s="7">
        <f t="shared" si="779"/>
        <v>5161077.3499999996</v>
      </c>
      <c r="R3153" s="44" t="str">
        <f>VLOOKUP(F3153,'Set up'!$A$2:$E$70,5,FALSE)</f>
        <v>Trsf</v>
      </c>
      <c r="S3153" s="1" t="s">
        <v>3387</v>
      </c>
    </row>
    <row r="3154" spans="1:19" ht="15" customHeight="1" x14ac:dyDescent="0.3">
      <c r="A3154" s="4">
        <v>45521</v>
      </c>
      <c r="B3154" s="5">
        <f t="shared" si="774"/>
        <v>8</v>
      </c>
      <c r="C3154" s="5">
        <f t="shared" si="775"/>
        <v>2024</v>
      </c>
      <c r="D3154" s="5" t="s">
        <v>2863</v>
      </c>
      <c r="E3154" s="5" t="str">
        <f>VLOOKUP(F3154,'Set up'!$A$2:$C$70,2,FALSE)</f>
        <v>C00000042</v>
      </c>
      <c r="F3154" s="1" t="s">
        <v>2012</v>
      </c>
      <c r="G3154" s="99" t="s">
        <v>1061</v>
      </c>
      <c r="H3154" s="5">
        <v>4</v>
      </c>
      <c r="I3154" s="5" t="str">
        <f>VLOOKUP(F3154,'Set up'!$A$2:$C$70,3,FALSE)</f>
        <v>Cash</v>
      </c>
      <c r="J3154" s="5">
        <f>VLOOKUP(F3154,'Set up'!$A$2:$D$70,4,FALSE)</f>
        <v>0</v>
      </c>
      <c r="K3154" s="4">
        <f t="shared" si="776"/>
        <v>45521</v>
      </c>
      <c r="L3154" s="5">
        <f t="shared" si="777"/>
        <v>8</v>
      </c>
      <c r="M3154" s="5">
        <f t="shared" si="778"/>
        <v>2024</v>
      </c>
      <c r="N3154" s="12">
        <v>380</v>
      </c>
      <c r="O3154" s="6">
        <f t="shared" si="781"/>
        <v>-380</v>
      </c>
      <c r="P3154" s="6">
        <f t="shared" si="767"/>
        <v>0</v>
      </c>
      <c r="Q3154" s="7">
        <f t="shared" si="779"/>
        <v>5161457.3499999996</v>
      </c>
      <c r="R3154" s="44" t="str">
        <f>VLOOKUP(F3154,'Set up'!$A$2:$E$70,5,FALSE)</f>
        <v>Trsf</v>
      </c>
      <c r="S3154" s="1" t="s">
        <v>3382</v>
      </c>
    </row>
    <row r="3155" spans="1:19" ht="15" customHeight="1" x14ac:dyDescent="0.3">
      <c r="A3155" s="4">
        <v>45521</v>
      </c>
      <c r="B3155" s="5">
        <f t="shared" si="774"/>
        <v>8</v>
      </c>
      <c r="C3155" s="5">
        <f t="shared" si="775"/>
        <v>2024</v>
      </c>
      <c r="D3155" s="5" t="s">
        <v>2864</v>
      </c>
      <c r="E3155" s="5" t="str">
        <f>VLOOKUP(F3155,'Set up'!$A$2:$C$70,2,FALSE)</f>
        <v>C00000049</v>
      </c>
      <c r="F3155" s="1" t="s">
        <v>2728</v>
      </c>
      <c r="G3155" s="99" t="s">
        <v>1793</v>
      </c>
      <c r="H3155" s="5">
        <v>1</v>
      </c>
      <c r="I3155" s="5" t="str">
        <f>VLOOKUP(F3155,'Set up'!$A$2:$C$70,3,FALSE)</f>
        <v>Cash</v>
      </c>
      <c r="J3155" s="5">
        <f>VLOOKUP(F3155,'Set up'!$A$2:$D$70,4,FALSE)</f>
        <v>0</v>
      </c>
      <c r="K3155" s="4">
        <f t="shared" si="776"/>
        <v>45521</v>
      </c>
      <c r="L3155" s="5">
        <f t="shared" si="777"/>
        <v>8</v>
      </c>
      <c r="M3155" s="5">
        <f t="shared" si="778"/>
        <v>2024</v>
      </c>
      <c r="N3155" s="12">
        <v>175</v>
      </c>
      <c r="O3155" s="12"/>
      <c r="P3155" s="6">
        <f t="shared" si="767"/>
        <v>175</v>
      </c>
      <c r="Q3155" s="7">
        <f t="shared" si="779"/>
        <v>5161632.3499999996</v>
      </c>
      <c r="R3155" s="44" t="str">
        <f>VLOOKUP(F3155,'Set up'!$A$2:$E$70,5,FALSE)</f>
        <v>Cash</v>
      </c>
    </row>
    <row r="3156" spans="1:19" ht="15" customHeight="1" x14ac:dyDescent="0.3">
      <c r="A3156" s="4">
        <v>45525</v>
      </c>
      <c r="B3156" s="5">
        <f t="shared" si="774"/>
        <v>8</v>
      </c>
      <c r="C3156" s="5">
        <f t="shared" si="775"/>
        <v>2024</v>
      </c>
      <c r="D3156" s="5" t="s">
        <v>2865</v>
      </c>
      <c r="E3156" s="5" t="str">
        <f>VLOOKUP(F3156,'Set up'!$A$2:$C$70,2,FALSE)</f>
        <v>C00000042</v>
      </c>
      <c r="F3156" s="1" t="s">
        <v>2012</v>
      </c>
      <c r="G3156" s="99" t="s">
        <v>2646</v>
      </c>
      <c r="H3156" s="5">
        <v>3</v>
      </c>
      <c r="I3156" s="5" t="str">
        <f>VLOOKUP(F3156,'Set up'!$A$2:$C$70,3,FALSE)</f>
        <v>Cash</v>
      </c>
      <c r="J3156" s="5">
        <f>VLOOKUP(F3156,'Set up'!$A$2:$D$70,4,FALSE)</f>
        <v>0</v>
      </c>
      <c r="K3156" s="4">
        <f t="shared" si="776"/>
        <v>45525</v>
      </c>
      <c r="L3156" s="5">
        <f t="shared" si="777"/>
        <v>8</v>
      </c>
      <c r="M3156" s="5">
        <f t="shared" si="778"/>
        <v>2024</v>
      </c>
      <c r="N3156" s="12">
        <v>187.5</v>
      </c>
      <c r="O3156" s="6">
        <f t="shared" ref="O3156" si="782">-N3156</f>
        <v>-187.5</v>
      </c>
      <c r="P3156" s="6">
        <f t="shared" si="767"/>
        <v>0</v>
      </c>
      <c r="Q3156" s="7">
        <f t="shared" si="779"/>
        <v>5161819.8499999996</v>
      </c>
      <c r="R3156" s="44" t="str">
        <f>VLOOKUP(F3156,'Set up'!$A$2:$E$70,5,FALSE)</f>
        <v>Trsf</v>
      </c>
      <c r="S3156" s="1" t="s">
        <v>3388</v>
      </c>
    </row>
    <row r="3157" spans="1:19" ht="15" customHeight="1" x14ac:dyDescent="0.3">
      <c r="A3157" s="4">
        <v>45525</v>
      </c>
      <c r="B3157" s="5">
        <f t="shared" si="774"/>
        <v>8</v>
      </c>
      <c r="C3157" s="5">
        <f t="shared" si="775"/>
        <v>2024</v>
      </c>
      <c r="D3157" s="5" t="s">
        <v>2866</v>
      </c>
      <c r="E3157" s="5" t="str">
        <f>VLOOKUP(F3157,'Set up'!$A$2:$C$70,2,FALSE)</f>
        <v>C00000042</v>
      </c>
      <c r="F3157" s="1" t="s">
        <v>2012</v>
      </c>
      <c r="G3157" s="99" t="s">
        <v>2552</v>
      </c>
      <c r="H3157" s="5">
        <v>3</v>
      </c>
      <c r="I3157" s="5" t="str">
        <f>VLOOKUP(F3157,'Set up'!$A$2:$C$70,3,FALSE)</f>
        <v>Cash</v>
      </c>
      <c r="J3157" s="5">
        <f>VLOOKUP(F3157,'Set up'!$A$2:$D$70,4,FALSE)</f>
        <v>0</v>
      </c>
      <c r="K3157" s="4">
        <f t="shared" si="776"/>
        <v>45525</v>
      </c>
      <c r="L3157" s="5">
        <f t="shared" si="777"/>
        <v>8</v>
      </c>
      <c r="M3157" s="5">
        <f t="shared" si="778"/>
        <v>2024</v>
      </c>
      <c r="N3157" s="12">
        <v>4884</v>
      </c>
      <c r="O3157" s="12">
        <f>-2788.6-2095.4</f>
        <v>-4884</v>
      </c>
      <c r="P3157" s="6">
        <f t="shared" ref="P3157:P3220" si="783">SUM(N3157+O3157)</f>
        <v>0</v>
      </c>
      <c r="Q3157" s="7">
        <f t="shared" si="779"/>
        <v>5166703.8499999996</v>
      </c>
      <c r="R3157" s="44" t="str">
        <f>VLOOKUP(F3157,'Set up'!$A$2:$E$70,5,FALSE)</f>
        <v>Trsf</v>
      </c>
      <c r="S3157" s="1" t="s">
        <v>3389</v>
      </c>
    </row>
    <row r="3158" spans="1:19" ht="15" customHeight="1" x14ac:dyDescent="0.3">
      <c r="A3158" s="4">
        <v>45525</v>
      </c>
      <c r="B3158" s="5">
        <f t="shared" si="774"/>
        <v>8</v>
      </c>
      <c r="C3158" s="5">
        <f t="shared" si="775"/>
        <v>2024</v>
      </c>
      <c r="D3158" s="5" t="s">
        <v>2866</v>
      </c>
      <c r="E3158" s="5" t="str">
        <f>VLOOKUP(F3158,'Set up'!$A$2:$C$70,2,FALSE)</f>
        <v>C00000042</v>
      </c>
      <c r="F3158" s="1" t="s">
        <v>2012</v>
      </c>
      <c r="G3158" s="99" t="s">
        <v>1543</v>
      </c>
      <c r="H3158" s="5">
        <v>10</v>
      </c>
      <c r="I3158" s="5" t="str">
        <f>VLOOKUP(F3158,'Set up'!$A$2:$C$70,3,FALSE)</f>
        <v>Cash</v>
      </c>
      <c r="J3158" s="5">
        <f>VLOOKUP(F3158,'Set up'!$A$2:$D$70,4,FALSE)</f>
        <v>0</v>
      </c>
      <c r="K3158" s="4">
        <f t="shared" si="776"/>
        <v>45525</v>
      </c>
      <c r="L3158" s="5">
        <f t="shared" si="777"/>
        <v>8</v>
      </c>
      <c r="M3158" s="5">
        <f t="shared" si="778"/>
        <v>2024</v>
      </c>
      <c r="N3158" s="12">
        <v>1830</v>
      </c>
      <c r="O3158" s="6">
        <f t="shared" ref="O3158:O3161" si="784">-N3158</f>
        <v>-1830</v>
      </c>
      <c r="P3158" s="6">
        <f t="shared" si="783"/>
        <v>0</v>
      </c>
      <c r="Q3158" s="7">
        <f t="shared" si="779"/>
        <v>5168533.8499999996</v>
      </c>
      <c r="R3158" s="44" t="str">
        <f>VLOOKUP(F3158,'Set up'!$A$2:$E$70,5,FALSE)</f>
        <v>Trsf</v>
      </c>
      <c r="S3158" s="1" t="s">
        <v>3390</v>
      </c>
    </row>
    <row r="3159" spans="1:19" ht="15" customHeight="1" x14ac:dyDescent="0.3">
      <c r="A3159" s="4">
        <v>45525</v>
      </c>
      <c r="B3159" s="5">
        <f t="shared" si="774"/>
        <v>8</v>
      </c>
      <c r="C3159" s="5">
        <f t="shared" si="775"/>
        <v>2024</v>
      </c>
      <c r="D3159" s="5" t="s">
        <v>2866</v>
      </c>
      <c r="E3159" s="5" t="str">
        <f>VLOOKUP(F3159,'Set up'!$A$2:$C$70,2,FALSE)</f>
        <v>C00000042</v>
      </c>
      <c r="F3159" s="1" t="s">
        <v>2012</v>
      </c>
      <c r="G3159" s="99" t="s">
        <v>655</v>
      </c>
      <c r="H3159" s="5">
        <v>5</v>
      </c>
      <c r="I3159" s="5" t="str">
        <f>VLOOKUP(F3159,'Set up'!$A$2:$C$70,3,FALSE)</f>
        <v>Cash</v>
      </c>
      <c r="J3159" s="5">
        <f>VLOOKUP(F3159,'Set up'!$A$2:$D$70,4,FALSE)</f>
        <v>0</v>
      </c>
      <c r="K3159" s="4">
        <f t="shared" si="776"/>
        <v>45525</v>
      </c>
      <c r="L3159" s="5">
        <f t="shared" si="777"/>
        <v>8</v>
      </c>
      <c r="M3159" s="5">
        <f t="shared" si="778"/>
        <v>2024</v>
      </c>
      <c r="N3159" s="12">
        <v>1200</v>
      </c>
      <c r="O3159" s="6">
        <f t="shared" si="784"/>
        <v>-1200</v>
      </c>
      <c r="P3159" s="6">
        <f t="shared" si="783"/>
        <v>0</v>
      </c>
      <c r="Q3159" s="7">
        <f t="shared" si="779"/>
        <v>5169733.8499999996</v>
      </c>
      <c r="R3159" s="44" t="str">
        <f>VLOOKUP(F3159,'Set up'!$A$2:$E$70,5,FALSE)</f>
        <v>Trsf</v>
      </c>
      <c r="S3159" s="1" t="s">
        <v>3391</v>
      </c>
    </row>
    <row r="3160" spans="1:19" ht="15" customHeight="1" x14ac:dyDescent="0.3">
      <c r="A3160" s="4">
        <v>45525</v>
      </c>
      <c r="B3160" s="5">
        <f t="shared" si="774"/>
        <v>8</v>
      </c>
      <c r="C3160" s="5">
        <f t="shared" si="775"/>
        <v>2024</v>
      </c>
      <c r="D3160" s="5" t="s">
        <v>2866</v>
      </c>
      <c r="E3160" s="5" t="str">
        <f>VLOOKUP(F3160,'Set up'!$A$2:$C$70,2,FALSE)</f>
        <v>C00000042</v>
      </c>
      <c r="F3160" s="1" t="s">
        <v>2012</v>
      </c>
      <c r="G3160" s="99" t="s">
        <v>1061</v>
      </c>
      <c r="H3160" s="5">
        <v>4</v>
      </c>
      <c r="I3160" s="5" t="str">
        <f>VLOOKUP(F3160,'Set up'!$A$2:$C$70,3,FALSE)</f>
        <v>Cash</v>
      </c>
      <c r="J3160" s="5">
        <f>VLOOKUP(F3160,'Set up'!$A$2:$D$70,4,FALSE)</f>
        <v>0</v>
      </c>
      <c r="K3160" s="4">
        <f t="shared" si="776"/>
        <v>45525</v>
      </c>
      <c r="L3160" s="5">
        <f t="shared" si="777"/>
        <v>8</v>
      </c>
      <c r="M3160" s="5">
        <f t="shared" si="778"/>
        <v>2024</v>
      </c>
      <c r="N3160" s="12">
        <v>380</v>
      </c>
      <c r="O3160" s="6">
        <f t="shared" si="784"/>
        <v>-380</v>
      </c>
      <c r="P3160" s="6">
        <f t="shared" si="783"/>
        <v>0</v>
      </c>
      <c r="Q3160" s="7">
        <f t="shared" si="779"/>
        <v>5170113.8499999996</v>
      </c>
      <c r="R3160" s="44" t="str">
        <f>VLOOKUP(F3160,'Set up'!$A$2:$E$70,5,FALSE)</f>
        <v>Trsf</v>
      </c>
      <c r="S3160" s="1" t="s">
        <v>3392</v>
      </c>
    </row>
    <row r="3161" spans="1:19" ht="15" customHeight="1" x14ac:dyDescent="0.3">
      <c r="A3161" s="4">
        <v>45525</v>
      </c>
      <c r="B3161" s="5">
        <f t="shared" si="774"/>
        <v>8</v>
      </c>
      <c r="C3161" s="5">
        <f t="shared" si="775"/>
        <v>2024</v>
      </c>
      <c r="D3161" s="5" t="s">
        <v>2866</v>
      </c>
      <c r="E3161" s="5" t="str">
        <f>VLOOKUP(F3161,'Set up'!$A$2:$C$70,2,FALSE)</f>
        <v>C00000042</v>
      </c>
      <c r="F3161" s="1" t="s">
        <v>2012</v>
      </c>
      <c r="G3161" s="99" t="s">
        <v>2744</v>
      </c>
      <c r="H3161" s="5">
        <v>1</v>
      </c>
      <c r="I3161" s="5" t="str">
        <f>VLOOKUP(F3161,'Set up'!$A$2:$C$70,3,FALSE)</f>
        <v>Cash</v>
      </c>
      <c r="J3161" s="5">
        <f>VLOOKUP(F3161,'Set up'!$A$2:$D$70,4,FALSE)</f>
        <v>0</v>
      </c>
      <c r="K3161" s="4">
        <f t="shared" si="776"/>
        <v>45525</v>
      </c>
      <c r="L3161" s="5">
        <f t="shared" si="777"/>
        <v>8</v>
      </c>
      <c r="M3161" s="5">
        <f t="shared" si="778"/>
        <v>2024</v>
      </c>
      <c r="N3161" s="12">
        <v>975</v>
      </c>
      <c r="O3161" s="6">
        <f t="shared" si="784"/>
        <v>-975</v>
      </c>
      <c r="P3161" s="6">
        <f t="shared" si="783"/>
        <v>0</v>
      </c>
      <c r="Q3161" s="7">
        <f t="shared" si="779"/>
        <v>5171088.8499999996</v>
      </c>
      <c r="R3161" s="44" t="str">
        <f>VLOOKUP(F3161,'Set up'!$A$2:$E$70,5,FALSE)</f>
        <v>Trsf</v>
      </c>
      <c r="S3161" s="1" t="s">
        <v>3393</v>
      </c>
    </row>
    <row r="3162" spans="1:19" ht="15" customHeight="1" x14ac:dyDescent="0.3">
      <c r="A3162" s="4">
        <v>45525</v>
      </c>
      <c r="B3162" s="5">
        <f t="shared" si="774"/>
        <v>8</v>
      </c>
      <c r="C3162" s="5">
        <f t="shared" si="775"/>
        <v>2024</v>
      </c>
      <c r="D3162" s="5" t="s">
        <v>2867</v>
      </c>
      <c r="E3162" s="5" t="str">
        <f>VLOOKUP(F3162,'Set up'!$A$2:$C$70,2,FALSE)</f>
        <v>C00000027</v>
      </c>
      <c r="F3162" s="1" t="s">
        <v>859</v>
      </c>
      <c r="G3162" s="99" t="s">
        <v>95</v>
      </c>
      <c r="H3162" s="5">
        <v>2</v>
      </c>
      <c r="I3162" s="5" t="str">
        <f>VLOOKUP(F3162,'Set up'!$A$2:$C$70,3,FALSE)</f>
        <v>Cash</v>
      </c>
      <c r="J3162" s="5">
        <f>VLOOKUP(F3162,'Set up'!$A$2:$D$70,4,FALSE)</f>
        <v>0</v>
      </c>
      <c r="K3162" s="4">
        <f t="shared" si="776"/>
        <v>45525</v>
      </c>
      <c r="L3162" s="5">
        <f t="shared" si="777"/>
        <v>8</v>
      </c>
      <c r="M3162" s="5">
        <f t="shared" si="778"/>
        <v>2024</v>
      </c>
      <c r="N3162" s="12">
        <v>3520</v>
      </c>
      <c r="O3162" s="12"/>
      <c r="P3162" s="6">
        <f t="shared" si="783"/>
        <v>3520</v>
      </c>
      <c r="Q3162" s="7">
        <f t="shared" si="779"/>
        <v>5174608.8499999996</v>
      </c>
      <c r="R3162" s="44" t="str">
        <f>VLOOKUP(F3162,'Set up'!$A$2:$E$70,5,FALSE)</f>
        <v>Trsf</v>
      </c>
    </row>
    <row r="3163" spans="1:19" ht="15" customHeight="1" x14ac:dyDescent="0.3">
      <c r="A3163" s="4">
        <v>45525</v>
      </c>
      <c r="B3163" s="5">
        <f t="shared" si="774"/>
        <v>8</v>
      </c>
      <c r="C3163" s="5">
        <f t="shared" si="775"/>
        <v>2024</v>
      </c>
      <c r="D3163" s="5" t="s">
        <v>2867</v>
      </c>
      <c r="E3163" s="5" t="str">
        <f>VLOOKUP(F3163,'Set up'!$A$2:$C$70,2,FALSE)</f>
        <v>C00000027</v>
      </c>
      <c r="F3163" s="1" t="s">
        <v>859</v>
      </c>
      <c r="G3163" s="99" t="s">
        <v>1744</v>
      </c>
      <c r="H3163" s="5">
        <v>1</v>
      </c>
      <c r="I3163" s="5" t="str">
        <f>VLOOKUP(F3163,'Set up'!$A$2:$C$70,3,FALSE)</f>
        <v>Cash</v>
      </c>
      <c r="J3163" s="5">
        <f>VLOOKUP(F3163,'Set up'!$A$2:$D$70,4,FALSE)</f>
        <v>0</v>
      </c>
      <c r="K3163" s="4">
        <f t="shared" si="776"/>
        <v>45525</v>
      </c>
      <c r="L3163" s="5">
        <f t="shared" si="777"/>
        <v>8</v>
      </c>
      <c r="M3163" s="5">
        <f t="shared" si="778"/>
        <v>2024</v>
      </c>
      <c r="N3163" s="12">
        <v>1108.4000000000001</v>
      </c>
      <c r="O3163" s="12"/>
      <c r="P3163" s="6">
        <f t="shared" si="783"/>
        <v>1108.4000000000001</v>
      </c>
      <c r="Q3163" s="7">
        <f t="shared" si="779"/>
        <v>5175717.25</v>
      </c>
      <c r="R3163" s="44" t="str">
        <f>VLOOKUP(F3163,'Set up'!$A$2:$E$70,5,FALSE)</f>
        <v>Trsf</v>
      </c>
    </row>
    <row r="3164" spans="1:19" ht="15" customHeight="1" x14ac:dyDescent="0.3">
      <c r="A3164" s="4">
        <v>45525</v>
      </c>
      <c r="B3164" s="5">
        <f t="shared" si="774"/>
        <v>8</v>
      </c>
      <c r="C3164" s="5">
        <f t="shared" si="775"/>
        <v>2024</v>
      </c>
      <c r="D3164" s="5" t="s">
        <v>2867</v>
      </c>
      <c r="E3164" s="5" t="str">
        <f>VLOOKUP(F3164,'Set up'!$A$2:$C$70,2,FALSE)</f>
        <v>C00000027</v>
      </c>
      <c r="F3164" s="1" t="s">
        <v>859</v>
      </c>
      <c r="G3164" s="99" t="s">
        <v>893</v>
      </c>
      <c r="H3164" s="5">
        <v>4</v>
      </c>
      <c r="I3164" s="5" t="str">
        <f>VLOOKUP(F3164,'Set up'!$A$2:$C$70,3,FALSE)</f>
        <v>Cash</v>
      </c>
      <c r="J3164" s="5">
        <f>VLOOKUP(F3164,'Set up'!$A$2:$D$70,4,FALSE)</f>
        <v>0</v>
      </c>
      <c r="K3164" s="4">
        <f t="shared" si="776"/>
        <v>45525</v>
      </c>
      <c r="L3164" s="5">
        <f t="shared" si="777"/>
        <v>8</v>
      </c>
      <c r="M3164" s="5">
        <f t="shared" si="778"/>
        <v>2024</v>
      </c>
      <c r="N3164" s="12">
        <v>1684.8</v>
      </c>
      <c r="O3164" s="12"/>
      <c r="P3164" s="6">
        <f t="shared" si="783"/>
        <v>1684.8</v>
      </c>
      <c r="Q3164" s="7">
        <f t="shared" si="779"/>
        <v>5177402.05</v>
      </c>
      <c r="R3164" s="44" t="str">
        <f>VLOOKUP(F3164,'Set up'!$A$2:$E$70,5,FALSE)</f>
        <v>Trsf</v>
      </c>
    </row>
    <row r="3165" spans="1:19" ht="15" customHeight="1" x14ac:dyDescent="0.3">
      <c r="A3165" s="4">
        <v>45525</v>
      </c>
      <c r="B3165" s="5">
        <f t="shared" si="774"/>
        <v>8</v>
      </c>
      <c r="C3165" s="5">
        <f t="shared" si="775"/>
        <v>2024</v>
      </c>
      <c r="D3165" s="5" t="s">
        <v>2867</v>
      </c>
      <c r="E3165" s="5" t="str">
        <f>VLOOKUP(F3165,'Set up'!$A$2:$C$70,2,FALSE)</f>
        <v>C00000027</v>
      </c>
      <c r="F3165" s="1" t="s">
        <v>859</v>
      </c>
      <c r="G3165" s="99" t="s">
        <v>655</v>
      </c>
      <c r="H3165" s="5">
        <v>1</v>
      </c>
      <c r="I3165" s="5" t="str">
        <f>VLOOKUP(F3165,'Set up'!$A$2:$C$70,3,FALSE)</f>
        <v>Cash</v>
      </c>
      <c r="J3165" s="5">
        <f>VLOOKUP(F3165,'Set up'!$A$2:$D$70,4,FALSE)</f>
        <v>0</v>
      </c>
      <c r="K3165" s="4">
        <f t="shared" si="776"/>
        <v>45525</v>
      </c>
      <c r="L3165" s="5">
        <f t="shared" si="777"/>
        <v>8</v>
      </c>
      <c r="M3165" s="5">
        <f t="shared" si="778"/>
        <v>2024</v>
      </c>
      <c r="N3165" s="12">
        <v>280</v>
      </c>
      <c r="O3165" s="12"/>
      <c r="P3165" s="6">
        <f t="shared" si="783"/>
        <v>280</v>
      </c>
      <c r="Q3165" s="7">
        <f t="shared" si="779"/>
        <v>5177682.05</v>
      </c>
      <c r="R3165" s="44" t="str">
        <f>VLOOKUP(F3165,'Set up'!$A$2:$E$70,5,FALSE)</f>
        <v>Trsf</v>
      </c>
    </row>
    <row r="3166" spans="1:19" ht="15" customHeight="1" x14ac:dyDescent="0.3">
      <c r="A3166" s="4">
        <v>45525</v>
      </c>
      <c r="B3166" s="5">
        <f t="shared" si="774"/>
        <v>8</v>
      </c>
      <c r="C3166" s="5">
        <f t="shared" si="775"/>
        <v>2024</v>
      </c>
      <c r="D3166" s="5" t="s">
        <v>2867</v>
      </c>
      <c r="E3166" s="5" t="str">
        <f>VLOOKUP(F3166,'Set up'!$A$2:$C$70,2,FALSE)</f>
        <v>C00000027</v>
      </c>
      <c r="F3166" s="1" t="s">
        <v>859</v>
      </c>
      <c r="G3166" s="99" t="s">
        <v>2144</v>
      </c>
      <c r="H3166" s="5">
        <v>2</v>
      </c>
      <c r="I3166" s="5" t="str">
        <f>VLOOKUP(F3166,'Set up'!$A$2:$C$70,3,FALSE)</f>
        <v>Cash</v>
      </c>
      <c r="J3166" s="5">
        <f>VLOOKUP(F3166,'Set up'!$A$2:$D$70,4,FALSE)</f>
        <v>0</v>
      </c>
      <c r="K3166" s="4">
        <f t="shared" si="776"/>
        <v>45525</v>
      </c>
      <c r="L3166" s="5">
        <f t="shared" si="777"/>
        <v>8</v>
      </c>
      <c r="M3166" s="5">
        <f t="shared" si="778"/>
        <v>2024</v>
      </c>
      <c r="N3166" s="12">
        <v>563.20000000000005</v>
      </c>
      <c r="O3166" s="12"/>
      <c r="P3166" s="6">
        <f t="shared" si="783"/>
        <v>563.20000000000005</v>
      </c>
      <c r="Q3166" s="7">
        <f t="shared" si="779"/>
        <v>5178245.25</v>
      </c>
      <c r="R3166" s="44" t="str">
        <f>VLOOKUP(F3166,'Set up'!$A$2:$E$70,5,FALSE)</f>
        <v>Trsf</v>
      </c>
    </row>
    <row r="3167" spans="1:19" ht="15" customHeight="1" x14ac:dyDescent="0.3">
      <c r="A3167" s="4">
        <v>45525</v>
      </c>
      <c r="B3167" s="5">
        <f t="shared" si="774"/>
        <v>8</v>
      </c>
      <c r="C3167" s="5">
        <f t="shared" si="775"/>
        <v>2024</v>
      </c>
      <c r="D3167" s="5" t="s">
        <v>2867</v>
      </c>
      <c r="E3167" s="5" t="str">
        <f>VLOOKUP(F3167,'Set up'!$A$2:$C$70,2,FALSE)</f>
        <v>C00000027</v>
      </c>
      <c r="F3167" s="1" t="s">
        <v>859</v>
      </c>
      <c r="G3167" s="99" t="s">
        <v>1061</v>
      </c>
      <c r="H3167" s="5">
        <v>2</v>
      </c>
      <c r="I3167" s="5" t="str">
        <f>VLOOKUP(F3167,'Set up'!$A$2:$C$70,3,FALSE)</f>
        <v>Cash</v>
      </c>
      <c r="J3167" s="5">
        <f>VLOOKUP(F3167,'Set up'!$A$2:$D$70,4,FALSE)</f>
        <v>0</v>
      </c>
      <c r="K3167" s="4">
        <f t="shared" si="776"/>
        <v>45525</v>
      </c>
      <c r="L3167" s="5">
        <f t="shared" si="777"/>
        <v>8</v>
      </c>
      <c r="M3167" s="5">
        <f t="shared" si="778"/>
        <v>2024</v>
      </c>
      <c r="N3167" s="12">
        <v>190</v>
      </c>
      <c r="O3167" s="12"/>
      <c r="P3167" s="6">
        <f t="shared" si="783"/>
        <v>190</v>
      </c>
      <c r="Q3167" s="7">
        <f t="shared" si="779"/>
        <v>5178435.25</v>
      </c>
      <c r="R3167" s="44" t="str">
        <f>VLOOKUP(F3167,'Set up'!$A$2:$E$70,5,FALSE)</f>
        <v>Trsf</v>
      </c>
    </row>
    <row r="3168" spans="1:19" ht="15" customHeight="1" x14ac:dyDescent="0.3">
      <c r="A3168" s="4">
        <v>45525</v>
      </c>
      <c r="B3168" s="5">
        <f t="shared" si="774"/>
        <v>8</v>
      </c>
      <c r="C3168" s="5">
        <f t="shared" si="775"/>
        <v>2024</v>
      </c>
      <c r="D3168" s="5" t="s">
        <v>2867</v>
      </c>
      <c r="E3168" s="5" t="str">
        <f>VLOOKUP(F3168,'Set up'!$A$2:$C$70,2,FALSE)</f>
        <v>C00000027</v>
      </c>
      <c r="F3168" s="1" t="s">
        <v>859</v>
      </c>
      <c r="G3168" s="99" t="s">
        <v>1399</v>
      </c>
      <c r="H3168" s="5">
        <v>2</v>
      </c>
      <c r="I3168" s="5" t="str">
        <f>VLOOKUP(F3168,'Set up'!$A$2:$C$70,3,FALSE)</f>
        <v>Cash</v>
      </c>
      <c r="J3168" s="5">
        <f>VLOOKUP(F3168,'Set up'!$A$2:$D$70,4,FALSE)</f>
        <v>0</v>
      </c>
      <c r="K3168" s="4">
        <f t="shared" si="776"/>
        <v>45525</v>
      </c>
      <c r="L3168" s="5">
        <f t="shared" si="777"/>
        <v>8</v>
      </c>
      <c r="M3168" s="5">
        <f t="shared" si="778"/>
        <v>2024</v>
      </c>
      <c r="N3168" s="12">
        <v>320</v>
      </c>
      <c r="O3168" s="12"/>
      <c r="P3168" s="6">
        <f t="shared" si="783"/>
        <v>320</v>
      </c>
      <c r="Q3168" s="7">
        <f t="shared" si="779"/>
        <v>5178755.25</v>
      </c>
      <c r="R3168" s="44" t="str">
        <f>VLOOKUP(F3168,'Set up'!$A$2:$E$70,5,FALSE)</f>
        <v>Trsf</v>
      </c>
    </row>
    <row r="3169" spans="1:19" ht="15" customHeight="1" x14ac:dyDescent="0.3">
      <c r="A3169" s="4">
        <v>45525</v>
      </c>
      <c r="B3169" s="5">
        <f t="shared" si="774"/>
        <v>8</v>
      </c>
      <c r="C3169" s="5">
        <f t="shared" si="775"/>
        <v>2024</v>
      </c>
      <c r="D3169" s="5" t="s">
        <v>2867</v>
      </c>
      <c r="E3169" s="5" t="str">
        <f>VLOOKUP(F3169,'Set up'!$A$2:$C$70,2,FALSE)</f>
        <v>C00000027</v>
      </c>
      <c r="F3169" s="1" t="s">
        <v>859</v>
      </c>
      <c r="G3169" s="99" t="s">
        <v>949</v>
      </c>
      <c r="H3169" s="5">
        <v>6</v>
      </c>
      <c r="I3169" s="5" t="str">
        <f>VLOOKUP(F3169,'Set up'!$A$2:$C$70,3,FALSE)</f>
        <v>Cash</v>
      </c>
      <c r="J3169" s="5">
        <f>VLOOKUP(F3169,'Set up'!$A$2:$D$70,4,FALSE)</f>
        <v>0</v>
      </c>
      <c r="K3169" s="4">
        <f t="shared" si="776"/>
        <v>45525</v>
      </c>
      <c r="L3169" s="5">
        <f t="shared" si="777"/>
        <v>8</v>
      </c>
      <c r="M3169" s="5">
        <f t="shared" si="778"/>
        <v>2024</v>
      </c>
      <c r="N3169" s="12">
        <v>360</v>
      </c>
      <c r="O3169" s="12"/>
      <c r="P3169" s="6">
        <f t="shared" si="783"/>
        <v>360</v>
      </c>
      <c r="Q3169" s="7">
        <f t="shared" si="779"/>
        <v>5179115.25</v>
      </c>
      <c r="R3169" s="44" t="str">
        <f>VLOOKUP(F3169,'Set up'!$A$2:$E$70,5,FALSE)</f>
        <v>Trsf</v>
      </c>
    </row>
    <row r="3170" spans="1:19" ht="15" customHeight="1" x14ac:dyDescent="0.3">
      <c r="A3170" s="4">
        <v>45523</v>
      </c>
      <c r="B3170" s="5">
        <f t="shared" si="774"/>
        <v>8</v>
      </c>
      <c r="C3170" s="5">
        <f t="shared" si="775"/>
        <v>2024</v>
      </c>
      <c r="D3170" s="5" t="s">
        <v>2868</v>
      </c>
      <c r="E3170" s="5" t="str">
        <f>VLOOKUP(F3170,'Set up'!$A$2:$C$70,2,FALSE)</f>
        <v>C00000010</v>
      </c>
      <c r="F3170" s="1" t="s">
        <v>62</v>
      </c>
      <c r="G3170" s="99" t="s">
        <v>1654</v>
      </c>
      <c r="H3170" s="5">
        <v>2</v>
      </c>
      <c r="I3170" s="5">
        <f>VLOOKUP(F3170,'Set up'!$A$2:$C$70,3,FALSE)</f>
        <v>120</v>
      </c>
      <c r="J3170" s="5">
        <f>VLOOKUP(F3170,'Set up'!$A$2:$D$70,4,FALSE)</f>
        <v>120</v>
      </c>
      <c r="K3170" s="4">
        <f t="shared" si="776"/>
        <v>45643</v>
      </c>
      <c r="L3170" s="5">
        <f t="shared" si="777"/>
        <v>12</v>
      </c>
      <c r="M3170" s="5">
        <f t="shared" si="778"/>
        <v>2024</v>
      </c>
      <c r="N3170" s="12">
        <v>476</v>
      </c>
      <c r="O3170" s="6">
        <f t="shared" ref="O3170:O3172" si="785">-N3170</f>
        <v>-476</v>
      </c>
      <c r="P3170" s="6">
        <f t="shared" si="783"/>
        <v>0</v>
      </c>
      <c r="Q3170" s="7">
        <f t="shared" si="779"/>
        <v>5179591.25</v>
      </c>
      <c r="R3170" s="44" t="str">
        <f>VLOOKUP(F3170,'Set up'!$A$2:$E$70,5,FALSE)</f>
        <v>Trsf</v>
      </c>
      <c r="S3170" s="1" t="s">
        <v>3421</v>
      </c>
    </row>
    <row r="3171" spans="1:19" ht="15" customHeight="1" x14ac:dyDescent="0.3">
      <c r="A3171" s="4">
        <v>45523</v>
      </c>
      <c r="B3171" s="5">
        <f t="shared" si="774"/>
        <v>8</v>
      </c>
      <c r="C3171" s="5">
        <f t="shared" si="775"/>
        <v>2024</v>
      </c>
      <c r="D3171" s="5" t="s">
        <v>2868</v>
      </c>
      <c r="E3171" s="5" t="str">
        <f>VLOOKUP(F3171,'Set up'!$A$2:$C$70,2,FALSE)</f>
        <v>C00000010</v>
      </c>
      <c r="F3171" s="1" t="s">
        <v>62</v>
      </c>
      <c r="G3171" s="99" t="s">
        <v>2869</v>
      </c>
      <c r="H3171" s="5">
        <v>1</v>
      </c>
      <c r="I3171" s="5">
        <f>VLOOKUP(F3171,'Set up'!$A$2:$C$70,3,FALSE)</f>
        <v>120</v>
      </c>
      <c r="J3171" s="5">
        <f>VLOOKUP(F3171,'Set up'!$A$2:$D$70,4,FALSE)</f>
        <v>120</v>
      </c>
      <c r="K3171" s="4">
        <f t="shared" si="776"/>
        <v>45643</v>
      </c>
      <c r="L3171" s="5">
        <f t="shared" si="777"/>
        <v>12</v>
      </c>
      <c r="M3171" s="5">
        <f t="shared" si="778"/>
        <v>2024</v>
      </c>
      <c r="N3171" s="12">
        <v>240</v>
      </c>
      <c r="O3171" s="6">
        <f t="shared" si="785"/>
        <v>-240</v>
      </c>
      <c r="P3171" s="6">
        <f t="shared" si="783"/>
        <v>0</v>
      </c>
      <c r="Q3171" s="7">
        <f t="shared" si="779"/>
        <v>5179831.25</v>
      </c>
      <c r="R3171" s="44" t="str">
        <f>VLOOKUP(F3171,'Set up'!$A$2:$E$70,5,FALSE)</f>
        <v>Trsf</v>
      </c>
      <c r="S3171" s="1" t="s">
        <v>3421</v>
      </c>
    </row>
    <row r="3172" spans="1:19" ht="15" customHeight="1" x14ac:dyDescent="0.3">
      <c r="A3172" s="4">
        <v>45523</v>
      </c>
      <c r="B3172" s="5">
        <f t="shared" si="774"/>
        <v>8</v>
      </c>
      <c r="C3172" s="5">
        <f t="shared" si="775"/>
        <v>2024</v>
      </c>
      <c r="D3172" s="5" t="s">
        <v>2868</v>
      </c>
      <c r="E3172" s="5" t="str">
        <f>VLOOKUP(F3172,'Set up'!$A$2:$C$70,2,FALSE)</f>
        <v>C00000010</v>
      </c>
      <c r="F3172" s="1" t="s">
        <v>62</v>
      </c>
      <c r="G3172" s="99" t="s">
        <v>1661</v>
      </c>
      <c r="H3172" s="5">
        <v>1</v>
      </c>
      <c r="I3172" s="5">
        <f>VLOOKUP(F3172,'Set up'!$A$2:$C$70,3,FALSE)</f>
        <v>120</v>
      </c>
      <c r="J3172" s="5">
        <f>VLOOKUP(F3172,'Set up'!$A$2:$D$70,4,FALSE)</f>
        <v>120</v>
      </c>
      <c r="K3172" s="4">
        <f t="shared" si="776"/>
        <v>45643</v>
      </c>
      <c r="L3172" s="5">
        <f t="shared" si="777"/>
        <v>12</v>
      </c>
      <c r="M3172" s="5">
        <f t="shared" si="778"/>
        <v>2024</v>
      </c>
      <c r="N3172" s="12">
        <v>165</v>
      </c>
      <c r="O3172" s="6">
        <f t="shared" si="785"/>
        <v>-165</v>
      </c>
      <c r="P3172" s="6">
        <f t="shared" si="783"/>
        <v>0</v>
      </c>
      <c r="Q3172" s="7">
        <f t="shared" si="779"/>
        <v>5179996.25</v>
      </c>
      <c r="R3172" s="44" t="str">
        <f>VLOOKUP(F3172,'Set up'!$A$2:$E$70,5,FALSE)</f>
        <v>Trsf</v>
      </c>
      <c r="S3172" s="1" t="s">
        <v>3421</v>
      </c>
    </row>
    <row r="3173" spans="1:19" ht="15" customHeight="1" x14ac:dyDescent="0.3">
      <c r="A3173" s="4">
        <v>45526</v>
      </c>
      <c r="B3173" s="5">
        <f t="shared" si="774"/>
        <v>8</v>
      </c>
      <c r="C3173" s="5">
        <f t="shared" si="775"/>
        <v>2024</v>
      </c>
      <c r="D3173" s="5" t="s">
        <v>2870</v>
      </c>
      <c r="E3173" s="5" t="str">
        <f>VLOOKUP(F3173,'Set up'!$A$2:$C$70,2,FALSE)</f>
        <v>C00000014</v>
      </c>
      <c r="F3173" s="1" t="s">
        <v>262</v>
      </c>
      <c r="G3173" s="99" t="s">
        <v>1543</v>
      </c>
      <c r="H3173" s="5">
        <v>1</v>
      </c>
      <c r="I3173" s="5" t="str">
        <f>VLOOKUP(F3173,'Set up'!$A$2:$C$70,3,FALSE)</f>
        <v>Cash</v>
      </c>
      <c r="J3173" s="5">
        <f>VLOOKUP(F3173,'Set up'!$A$2:$D$70,4,FALSE)</f>
        <v>0</v>
      </c>
      <c r="K3173" s="4">
        <f t="shared" si="776"/>
        <v>45526</v>
      </c>
      <c r="L3173" s="5">
        <f t="shared" si="777"/>
        <v>8</v>
      </c>
      <c r="M3173" s="5">
        <f t="shared" si="778"/>
        <v>2024</v>
      </c>
      <c r="N3173" s="12">
        <v>207</v>
      </c>
      <c r="O3173" s="6">
        <f t="shared" ref="O3173" si="786">-N3173</f>
        <v>-207</v>
      </c>
      <c r="P3173" s="6">
        <f t="shared" si="783"/>
        <v>0</v>
      </c>
      <c r="Q3173" s="7">
        <f t="shared" si="779"/>
        <v>5180203.25</v>
      </c>
      <c r="R3173" s="44" t="str">
        <f>VLOOKUP(F3173,'Set up'!$A$2:$E$70,5,FALSE)</f>
        <v>Cash</v>
      </c>
      <c r="S3173" s="1" t="s">
        <v>2926</v>
      </c>
    </row>
    <row r="3174" spans="1:19" ht="15" customHeight="1" x14ac:dyDescent="0.3">
      <c r="A3174" s="4">
        <v>45526</v>
      </c>
      <c r="B3174" s="5">
        <f t="shared" si="774"/>
        <v>8</v>
      </c>
      <c r="C3174" s="5">
        <f t="shared" si="775"/>
        <v>2024</v>
      </c>
      <c r="D3174" s="5" t="s">
        <v>2870</v>
      </c>
      <c r="E3174" s="5" t="str">
        <f>VLOOKUP(F3174,'Set up'!$A$2:$C$70,2,FALSE)</f>
        <v>C00000014</v>
      </c>
      <c r="F3174" s="1" t="s">
        <v>262</v>
      </c>
      <c r="G3174" s="99" t="s">
        <v>2871</v>
      </c>
      <c r="H3174" s="5">
        <v>1</v>
      </c>
      <c r="I3174" s="5" t="str">
        <f>VLOOKUP(F3174,'Set up'!$A$2:$C$70,3,FALSE)</f>
        <v>Cash</v>
      </c>
      <c r="J3174" s="5">
        <f>VLOOKUP(F3174,'Set up'!$A$2:$D$70,4,FALSE)</f>
        <v>0</v>
      </c>
      <c r="K3174" s="4">
        <f t="shared" si="776"/>
        <v>45526</v>
      </c>
      <c r="L3174" s="5">
        <f t="shared" si="777"/>
        <v>8</v>
      </c>
      <c r="M3174" s="5">
        <f t="shared" si="778"/>
        <v>2024</v>
      </c>
      <c r="N3174" s="12">
        <v>0</v>
      </c>
      <c r="O3174" s="12">
        <v>0</v>
      </c>
      <c r="P3174" s="6">
        <f t="shared" si="783"/>
        <v>0</v>
      </c>
      <c r="Q3174" s="7">
        <f t="shared" si="779"/>
        <v>5180203.25</v>
      </c>
      <c r="R3174" s="44" t="str">
        <f>VLOOKUP(F3174,'Set up'!$A$2:$E$70,5,FALSE)</f>
        <v>Cash</v>
      </c>
      <c r="S3174" s="1" t="s">
        <v>2926</v>
      </c>
    </row>
    <row r="3175" spans="1:19" ht="15" customHeight="1" x14ac:dyDescent="0.3">
      <c r="A3175" s="4">
        <v>45531</v>
      </c>
      <c r="B3175" s="5">
        <f t="shared" si="774"/>
        <v>8</v>
      </c>
      <c r="C3175" s="5">
        <f t="shared" si="775"/>
        <v>2024</v>
      </c>
      <c r="D3175" s="5" t="s">
        <v>2872</v>
      </c>
      <c r="E3175" s="5" t="str">
        <f>VLOOKUP(F3175,'Set up'!$A$2:$C$70,2,FALSE)</f>
        <v>C00000019</v>
      </c>
      <c r="F3175" s="1" t="s">
        <v>400</v>
      </c>
      <c r="G3175" s="99" t="s">
        <v>95</v>
      </c>
      <c r="H3175" s="5">
        <v>1</v>
      </c>
      <c r="I3175" s="5" t="str">
        <f>VLOOKUP(F3175,'Set up'!$A$2:$C$70,3,FALSE)</f>
        <v>Cash</v>
      </c>
      <c r="J3175" s="5">
        <f>VLOOKUP(F3175,'Set up'!$A$2:$D$70,4,FALSE)</f>
        <v>0</v>
      </c>
      <c r="K3175" s="4">
        <f t="shared" si="776"/>
        <v>45531</v>
      </c>
      <c r="L3175" s="5">
        <f t="shared" si="777"/>
        <v>8</v>
      </c>
      <c r="M3175" s="5">
        <f t="shared" si="778"/>
        <v>2024</v>
      </c>
      <c r="N3175" s="12">
        <v>1760</v>
      </c>
      <c r="O3175" s="12"/>
      <c r="P3175" s="6">
        <f t="shared" si="783"/>
        <v>1760</v>
      </c>
      <c r="Q3175" s="7">
        <f t="shared" si="779"/>
        <v>5181963.25</v>
      </c>
      <c r="R3175" s="44" t="str">
        <f>VLOOKUP(F3175,'Set up'!$A$2:$E$70,5,FALSE)</f>
        <v>Trsf</v>
      </c>
    </row>
    <row r="3176" spans="1:19" ht="15" customHeight="1" x14ac:dyDescent="0.3">
      <c r="A3176" s="4">
        <v>45531</v>
      </c>
      <c r="B3176" s="5">
        <f t="shared" si="774"/>
        <v>8</v>
      </c>
      <c r="C3176" s="5">
        <f t="shared" si="775"/>
        <v>2024</v>
      </c>
      <c r="D3176" s="5" t="s">
        <v>2872</v>
      </c>
      <c r="E3176" s="5" t="str">
        <f>VLOOKUP(F3176,'Set up'!$A$2:$C$70,2,FALSE)</f>
        <v>C00000019</v>
      </c>
      <c r="F3176" s="1" t="s">
        <v>400</v>
      </c>
      <c r="G3176" s="99" t="s">
        <v>1411</v>
      </c>
      <c r="H3176" s="5">
        <v>1</v>
      </c>
      <c r="I3176" s="5" t="str">
        <f>VLOOKUP(F3176,'Set up'!$A$2:$C$70,3,FALSE)</f>
        <v>Cash</v>
      </c>
      <c r="J3176" s="5">
        <f>VLOOKUP(F3176,'Set up'!$A$2:$D$70,4,FALSE)</f>
        <v>0</v>
      </c>
      <c r="K3176" s="4">
        <f t="shared" si="776"/>
        <v>45531</v>
      </c>
      <c r="L3176" s="5">
        <f t="shared" si="777"/>
        <v>8</v>
      </c>
      <c r="M3176" s="5">
        <f t="shared" si="778"/>
        <v>2024</v>
      </c>
      <c r="N3176" s="12">
        <v>405</v>
      </c>
      <c r="O3176" s="12"/>
      <c r="P3176" s="6">
        <f t="shared" si="783"/>
        <v>405</v>
      </c>
      <c r="Q3176" s="7">
        <f t="shared" si="779"/>
        <v>5182368.25</v>
      </c>
      <c r="R3176" s="44" t="str">
        <f>VLOOKUP(F3176,'Set up'!$A$2:$E$70,5,FALSE)</f>
        <v>Trsf</v>
      </c>
    </row>
    <row r="3177" spans="1:19" ht="15" customHeight="1" x14ac:dyDescent="0.3">
      <c r="A3177" s="4">
        <v>45531</v>
      </c>
      <c r="B3177" s="5">
        <f t="shared" si="774"/>
        <v>8</v>
      </c>
      <c r="C3177" s="5">
        <f t="shared" si="775"/>
        <v>2024</v>
      </c>
      <c r="D3177" s="5" t="s">
        <v>2872</v>
      </c>
      <c r="E3177" s="5" t="str">
        <f>VLOOKUP(F3177,'Set up'!$A$2:$C$70,2,FALSE)</f>
        <v>C00000019</v>
      </c>
      <c r="F3177" s="1" t="s">
        <v>400</v>
      </c>
      <c r="G3177" s="99" t="s">
        <v>2635</v>
      </c>
      <c r="H3177" s="5">
        <v>3</v>
      </c>
      <c r="I3177" s="5" t="str">
        <f>VLOOKUP(F3177,'Set up'!$A$2:$C$70,3,FALSE)</f>
        <v>Cash</v>
      </c>
      <c r="J3177" s="5">
        <f>VLOOKUP(F3177,'Set up'!$A$2:$D$70,4,FALSE)</f>
        <v>0</v>
      </c>
      <c r="K3177" s="4">
        <f t="shared" si="776"/>
        <v>45531</v>
      </c>
      <c r="L3177" s="5">
        <f t="shared" si="777"/>
        <v>8</v>
      </c>
      <c r="M3177" s="5">
        <f t="shared" si="778"/>
        <v>2024</v>
      </c>
      <c r="N3177" s="12">
        <v>187.5</v>
      </c>
      <c r="O3177" s="12"/>
      <c r="P3177" s="6">
        <f t="shared" si="783"/>
        <v>187.5</v>
      </c>
      <c r="Q3177" s="7">
        <f t="shared" si="779"/>
        <v>5182555.75</v>
      </c>
      <c r="R3177" s="44" t="str">
        <f>VLOOKUP(F3177,'Set up'!$A$2:$E$70,5,FALSE)</f>
        <v>Trsf</v>
      </c>
    </row>
    <row r="3178" spans="1:19" ht="15" customHeight="1" x14ac:dyDescent="0.3">
      <c r="A3178" s="4">
        <v>45531</v>
      </c>
      <c r="B3178" s="5">
        <f t="shared" si="774"/>
        <v>8</v>
      </c>
      <c r="C3178" s="5">
        <f t="shared" si="775"/>
        <v>2024</v>
      </c>
      <c r="D3178" s="5" t="s">
        <v>2872</v>
      </c>
      <c r="E3178" s="5" t="str">
        <f>VLOOKUP(F3178,'Set up'!$A$2:$C$70,2,FALSE)</f>
        <v>C00000019</v>
      </c>
      <c r="F3178" s="1" t="s">
        <v>400</v>
      </c>
      <c r="G3178" s="99" t="s">
        <v>2449</v>
      </c>
      <c r="H3178" s="5">
        <v>1</v>
      </c>
      <c r="I3178" s="5" t="str">
        <f>VLOOKUP(F3178,'Set up'!$A$2:$C$70,3,FALSE)</f>
        <v>Cash</v>
      </c>
      <c r="J3178" s="5">
        <f>VLOOKUP(F3178,'Set up'!$A$2:$D$70,4,FALSE)</f>
        <v>0</v>
      </c>
      <c r="K3178" s="4">
        <f t="shared" si="776"/>
        <v>45531</v>
      </c>
      <c r="L3178" s="5">
        <f t="shared" si="777"/>
        <v>8</v>
      </c>
      <c r="M3178" s="5">
        <f t="shared" si="778"/>
        <v>2024</v>
      </c>
      <c r="N3178" s="12">
        <v>420</v>
      </c>
      <c r="O3178" s="12"/>
      <c r="P3178" s="6">
        <f t="shared" si="783"/>
        <v>420</v>
      </c>
      <c r="Q3178" s="7">
        <f t="shared" si="779"/>
        <v>5182975.75</v>
      </c>
      <c r="R3178" s="44" t="str">
        <f>VLOOKUP(F3178,'Set up'!$A$2:$E$70,5,FALSE)</f>
        <v>Trsf</v>
      </c>
    </row>
    <row r="3179" spans="1:19" ht="15" customHeight="1" x14ac:dyDescent="0.3">
      <c r="A3179" s="4">
        <v>45532</v>
      </c>
      <c r="B3179" s="5">
        <f t="shared" si="774"/>
        <v>8</v>
      </c>
      <c r="C3179" s="5">
        <f t="shared" si="775"/>
        <v>2024</v>
      </c>
      <c r="D3179" s="5" t="s">
        <v>2873</v>
      </c>
      <c r="E3179" s="5" t="str">
        <f>VLOOKUP(F3179,'Set up'!$A$2:$C$70,2,FALSE)</f>
        <v>C00000042</v>
      </c>
      <c r="F3179" s="1" t="s">
        <v>2012</v>
      </c>
      <c r="G3179" s="99" t="s">
        <v>2646</v>
      </c>
      <c r="H3179" s="5">
        <v>4</v>
      </c>
      <c r="I3179" s="5" t="str">
        <f>VLOOKUP(F3179,'Set up'!$A$2:$C$70,3,FALSE)</f>
        <v>Cash</v>
      </c>
      <c r="J3179" s="5">
        <f>VLOOKUP(F3179,'Set up'!$A$2:$D$70,4,FALSE)</f>
        <v>0</v>
      </c>
      <c r="K3179" s="4">
        <f t="shared" si="776"/>
        <v>45532</v>
      </c>
      <c r="L3179" s="5">
        <f t="shared" si="777"/>
        <v>8</v>
      </c>
      <c r="M3179" s="5">
        <f t="shared" si="778"/>
        <v>2024</v>
      </c>
      <c r="N3179" s="12">
        <v>250</v>
      </c>
      <c r="O3179" s="6">
        <f t="shared" ref="O3179" si="787">-N3179</f>
        <v>-250</v>
      </c>
      <c r="P3179" s="6">
        <f t="shared" si="783"/>
        <v>0</v>
      </c>
      <c r="Q3179" s="7">
        <f t="shared" si="779"/>
        <v>5183225.75</v>
      </c>
      <c r="R3179" s="44" t="str">
        <f>VLOOKUP(F3179,'Set up'!$A$2:$E$70,5,FALSE)</f>
        <v>Trsf</v>
      </c>
      <c r="S3179" s="1" t="s">
        <v>3394</v>
      </c>
    </row>
    <row r="3180" spans="1:19" ht="15" customHeight="1" x14ac:dyDescent="0.3">
      <c r="A3180" s="4">
        <v>45532</v>
      </c>
      <c r="B3180" s="5">
        <f t="shared" si="774"/>
        <v>8</v>
      </c>
      <c r="C3180" s="5">
        <f t="shared" si="775"/>
        <v>2024</v>
      </c>
      <c r="D3180" s="5" t="s">
        <v>2874</v>
      </c>
      <c r="E3180" s="5" t="str">
        <f>VLOOKUP(F3180,'Set up'!$A$2:$C$70,2,FALSE)</f>
        <v>C00000042</v>
      </c>
      <c r="F3180" s="1" t="s">
        <v>2012</v>
      </c>
      <c r="G3180" s="99" t="s">
        <v>2552</v>
      </c>
      <c r="H3180" s="5">
        <v>4</v>
      </c>
      <c r="I3180" s="5" t="str">
        <f>VLOOKUP(F3180,'Set up'!$A$2:$C$70,3,FALSE)</f>
        <v>Cash</v>
      </c>
      <c r="J3180" s="5">
        <f>VLOOKUP(F3180,'Set up'!$A$2:$D$70,4,FALSE)</f>
        <v>0</v>
      </c>
      <c r="K3180" s="4">
        <f t="shared" si="776"/>
        <v>45532</v>
      </c>
      <c r="L3180" s="5">
        <f t="shared" si="777"/>
        <v>8</v>
      </c>
      <c r="M3180" s="5">
        <f t="shared" si="778"/>
        <v>2024</v>
      </c>
      <c r="N3180" s="12">
        <v>6512</v>
      </c>
      <c r="O3180" s="12">
        <f>-5269.6-1242.4</f>
        <v>-6512</v>
      </c>
      <c r="P3180" s="6">
        <f t="shared" si="783"/>
        <v>0</v>
      </c>
      <c r="Q3180" s="7">
        <f t="shared" si="779"/>
        <v>5189737.75</v>
      </c>
      <c r="R3180" s="44" t="str">
        <f>VLOOKUP(F3180,'Set up'!$A$2:$E$70,5,FALSE)</f>
        <v>Trsf</v>
      </c>
      <c r="S3180" s="1" t="s">
        <v>3395</v>
      </c>
    </row>
    <row r="3181" spans="1:19" ht="15" customHeight="1" x14ac:dyDescent="0.3">
      <c r="A3181" s="4">
        <v>45532</v>
      </c>
      <c r="B3181" s="5">
        <f t="shared" si="774"/>
        <v>8</v>
      </c>
      <c r="C3181" s="5">
        <f t="shared" si="775"/>
        <v>2024</v>
      </c>
      <c r="D3181" s="5" t="s">
        <v>2874</v>
      </c>
      <c r="E3181" s="5" t="str">
        <f>VLOOKUP(F3181,'Set up'!$A$2:$C$70,2,FALSE)</f>
        <v>C00000042</v>
      </c>
      <c r="F3181" s="1" t="s">
        <v>2012</v>
      </c>
      <c r="G3181" s="99" t="s">
        <v>1543</v>
      </c>
      <c r="H3181" s="5">
        <v>12</v>
      </c>
      <c r="I3181" s="5" t="str">
        <f>VLOOKUP(F3181,'Set up'!$A$2:$C$70,3,FALSE)</f>
        <v>Cash</v>
      </c>
      <c r="J3181" s="5">
        <f>VLOOKUP(F3181,'Set up'!$A$2:$D$70,4,FALSE)</f>
        <v>0</v>
      </c>
      <c r="K3181" s="4">
        <f t="shared" si="776"/>
        <v>45532</v>
      </c>
      <c r="L3181" s="5">
        <f t="shared" si="777"/>
        <v>8</v>
      </c>
      <c r="M3181" s="5">
        <f t="shared" si="778"/>
        <v>2024</v>
      </c>
      <c r="N3181" s="12">
        <v>2196</v>
      </c>
      <c r="O3181" s="6">
        <f t="shared" ref="O3181:O3185" si="788">-N3181</f>
        <v>-2196</v>
      </c>
      <c r="P3181" s="6">
        <f t="shared" si="783"/>
        <v>0</v>
      </c>
      <c r="Q3181" s="7">
        <f t="shared" si="779"/>
        <v>5191933.75</v>
      </c>
      <c r="R3181" s="44" t="str">
        <f>VLOOKUP(F3181,'Set up'!$A$2:$E$70,5,FALSE)</f>
        <v>Trsf</v>
      </c>
      <c r="S3181" s="1" t="s">
        <v>3396</v>
      </c>
    </row>
    <row r="3182" spans="1:19" ht="15" customHeight="1" x14ac:dyDescent="0.3">
      <c r="A3182" s="4">
        <v>45532</v>
      </c>
      <c r="B3182" s="5">
        <f t="shared" si="774"/>
        <v>8</v>
      </c>
      <c r="C3182" s="5">
        <f t="shared" si="775"/>
        <v>2024</v>
      </c>
      <c r="D3182" s="5" t="s">
        <v>2874</v>
      </c>
      <c r="E3182" s="5" t="str">
        <f>VLOOKUP(F3182,'Set up'!$A$2:$C$70,2,FALSE)</f>
        <v>C00000042</v>
      </c>
      <c r="F3182" s="1" t="s">
        <v>2012</v>
      </c>
      <c r="G3182" s="99" t="s">
        <v>655</v>
      </c>
      <c r="H3182" s="5">
        <v>5</v>
      </c>
      <c r="I3182" s="5" t="str">
        <f>VLOOKUP(F3182,'Set up'!$A$2:$C$70,3,FALSE)</f>
        <v>Cash</v>
      </c>
      <c r="J3182" s="5">
        <f>VLOOKUP(F3182,'Set up'!$A$2:$D$70,4,FALSE)</f>
        <v>0</v>
      </c>
      <c r="K3182" s="4">
        <f t="shared" si="776"/>
        <v>45532</v>
      </c>
      <c r="L3182" s="5">
        <f t="shared" si="777"/>
        <v>8</v>
      </c>
      <c r="M3182" s="5">
        <f t="shared" si="778"/>
        <v>2024</v>
      </c>
      <c r="N3182" s="12">
        <v>1200</v>
      </c>
      <c r="O3182" s="6">
        <f t="shared" si="788"/>
        <v>-1200</v>
      </c>
      <c r="P3182" s="6">
        <f t="shared" si="783"/>
        <v>0</v>
      </c>
      <c r="Q3182" s="7">
        <f t="shared" si="779"/>
        <v>5193133.75</v>
      </c>
      <c r="R3182" s="44" t="str">
        <f>VLOOKUP(F3182,'Set up'!$A$2:$E$70,5,FALSE)</f>
        <v>Trsf</v>
      </c>
      <c r="S3182" s="1" t="s">
        <v>3397</v>
      </c>
    </row>
    <row r="3183" spans="1:19" ht="15" customHeight="1" x14ac:dyDescent="0.3">
      <c r="A3183" s="4">
        <v>45534</v>
      </c>
      <c r="B3183" s="5">
        <f t="shared" si="774"/>
        <v>8</v>
      </c>
      <c r="C3183" s="5">
        <f t="shared" si="775"/>
        <v>2024</v>
      </c>
      <c r="D3183" s="5" t="s">
        <v>2875</v>
      </c>
      <c r="E3183" s="5" t="str">
        <f>VLOOKUP(F3183,'Set up'!$A$2:$C$70,2,FALSE)</f>
        <v>C00000010</v>
      </c>
      <c r="F3183" s="1" t="s">
        <v>62</v>
      </c>
      <c r="G3183" s="99" t="s">
        <v>1654</v>
      </c>
      <c r="H3183" s="5">
        <v>5</v>
      </c>
      <c r="I3183" s="5">
        <f>VLOOKUP(F3183,'Set up'!$A$2:$C$70,3,FALSE)</f>
        <v>120</v>
      </c>
      <c r="J3183" s="5">
        <f>VLOOKUP(F3183,'Set up'!$A$2:$D$70,4,FALSE)</f>
        <v>120</v>
      </c>
      <c r="K3183" s="4">
        <f t="shared" si="776"/>
        <v>45654</v>
      </c>
      <c r="L3183" s="5">
        <f t="shared" si="777"/>
        <v>12</v>
      </c>
      <c r="M3183" s="5">
        <f t="shared" si="778"/>
        <v>2024</v>
      </c>
      <c r="N3183" s="12">
        <v>1190</v>
      </c>
      <c r="O3183" s="6">
        <f t="shared" si="788"/>
        <v>-1190</v>
      </c>
      <c r="P3183" s="6">
        <f t="shared" si="783"/>
        <v>0</v>
      </c>
      <c r="Q3183" s="7">
        <f t="shared" si="779"/>
        <v>5194323.75</v>
      </c>
      <c r="R3183" s="44" t="str">
        <f>VLOOKUP(F3183,'Set up'!$A$2:$E$70,5,FALSE)</f>
        <v>Trsf</v>
      </c>
      <c r="S3183" s="1" t="s">
        <v>3421</v>
      </c>
    </row>
    <row r="3184" spans="1:19" ht="15" customHeight="1" x14ac:dyDescent="0.3">
      <c r="A3184" s="4">
        <v>45534</v>
      </c>
      <c r="B3184" s="5">
        <f t="shared" si="774"/>
        <v>8</v>
      </c>
      <c r="C3184" s="5">
        <f t="shared" si="775"/>
        <v>2024</v>
      </c>
      <c r="D3184" s="5" t="s">
        <v>2875</v>
      </c>
      <c r="E3184" s="5" t="str">
        <f>VLOOKUP(F3184,'Set up'!$A$2:$C$70,2,FALSE)</f>
        <v>C00000010</v>
      </c>
      <c r="F3184" s="1" t="s">
        <v>62</v>
      </c>
      <c r="G3184" s="99" t="s">
        <v>2876</v>
      </c>
      <c r="H3184" s="5">
        <v>1</v>
      </c>
      <c r="I3184" s="5">
        <f>VLOOKUP(F3184,'Set up'!$A$2:$C$70,3,FALSE)</f>
        <v>120</v>
      </c>
      <c r="J3184" s="5">
        <f>VLOOKUP(F3184,'Set up'!$A$2:$D$70,4,FALSE)</f>
        <v>120</v>
      </c>
      <c r="K3184" s="4">
        <f t="shared" si="776"/>
        <v>45654</v>
      </c>
      <c r="L3184" s="5">
        <f t="shared" si="777"/>
        <v>12</v>
      </c>
      <c r="M3184" s="5">
        <f t="shared" si="778"/>
        <v>2024</v>
      </c>
      <c r="N3184" s="12">
        <v>900</v>
      </c>
      <c r="O3184" s="6">
        <f t="shared" si="788"/>
        <v>-900</v>
      </c>
      <c r="P3184" s="6">
        <f t="shared" si="783"/>
        <v>0</v>
      </c>
      <c r="Q3184" s="7">
        <f t="shared" si="779"/>
        <v>5195223.75</v>
      </c>
      <c r="R3184" s="44" t="str">
        <f>VLOOKUP(F3184,'Set up'!$A$2:$E$70,5,FALSE)</f>
        <v>Trsf</v>
      </c>
      <c r="S3184" s="1" t="s">
        <v>3421</v>
      </c>
    </row>
    <row r="3185" spans="1:21" ht="15" customHeight="1" x14ac:dyDescent="0.3">
      <c r="A3185" s="4">
        <v>45534</v>
      </c>
      <c r="B3185" s="5">
        <f t="shared" si="774"/>
        <v>8</v>
      </c>
      <c r="C3185" s="5">
        <f t="shared" si="775"/>
        <v>2024</v>
      </c>
      <c r="D3185" s="5" t="s">
        <v>2875</v>
      </c>
      <c r="E3185" s="5" t="str">
        <f>VLOOKUP(F3185,'Set up'!$A$2:$C$70,2,FALSE)</f>
        <v>C00000010</v>
      </c>
      <c r="F3185" s="1" t="s">
        <v>62</v>
      </c>
      <c r="G3185" s="99" t="s">
        <v>2523</v>
      </c>
      <c r="H3185" s="5">
        <v>2</v>
      </c>
      <c r="I3185" s="5">
        <f>VLOOKUP(F3185,'Set up'!$A$2:$C$70,3,FALSE)</f>
        <v>120</v>
      </c>
      <c r="J3185" s="5">
        <f>VLOOKUP(F3185,'Set up'!$A$2:$D$70,4,FALSE)</f>
        <v>120</v>
      </c>
      <c r="K3185" s="4">
        <f t="shared" si="776"/>
        <v>45654</v>
      </c>
      <c r="L3185" s="5">
        <f t="shared" si="777"/>
        <v>12</v>
      </c>
      <c r="M3185" s="5">
        <f t="shared" si="778"/>
        <v>2024</v>
      </c>
      <c r="N3185" s="12">
        <v>360</v>
      </c>
      <c r="O3185" s="6">
        <f t="shared" si="788"/>
        <v>-360</v>
      </c>
      <c r="P3185" s="6">
        <f t="shared" si="783"/>
        <v>0</v>
      </c>
      <c r="Q3185" s="7">
        <f t="shared" si="779"/>
        <v>5195583.75</v>
      </c>
      <c r="R3185" s="44" t="str">
        <f>VLOOKUP(F3185,'Set up'!$A$2:$E$70,5,FALSE)</f>
        <v>Trsf</v>
      </c>
      <c r="S3185" s="1" t="s">
        <v>3421</v>
      </c>
    </row>
    <row r="3186" spans="1:21" ht="15" customHeight="1" x14ac:dyDescent="0.3">
      <c r="A3186" s="4">
        <v>45537</v>
      </c>
      <c r="B3186" s="5">
        <f t="shared" si="774"/>
        <v>9</v>
      </c>
      <c r="C3186" s="5">
        <f t="shared" si="775"/>
        <v>2024</v>
      </c>
      <c r="D3186" s="5" t="s">
        <v>2935</v>
      </c>
      <c r="E3186" s="5" t="str">
        <f>VLOOKUP(F3186,'Set up'!$A$2:$C$70,2,FALSE)</f>
        <v>C00000042</v>
      </c>
      <c r="F3186" s="1" t="s">
        <v>2012</v>
      </c>
      <c r="G3186" s="103" t="s">
        <v>2646</v>
      </c>
      <c r="H3186" s="5">
        <v>4</v>
      </c>
      <c r="I3186" s="5" t="str">
        <f>VLOOKUP(F3186,'Set up'!$A$2:$C$70,3,FALSE)</f>
        <v>Cash</v>
      </c>
      <c r="J3186" s="5">
        <f>VLOOKUP(F3186,'Set up'!$A$2:$D$70,4,FALSE)</f>
        <v>0</v>
      </c>
      <c r="K3186" s="4">
        <f t="shared" si="776"/>
        <v>45537</v>
      </c>
      <c r="L3186" s="5">
        <f t="shared" si="777"/>
        <v>9</v>
      </c>
      <c r="M3186" s="5">
        <f t="shared" si="778"/>
        <v>2024</v>
      </c>
      <c r="N3186" s="12">
        <v>250</v>
      </c>
      <c r="O3186" s="6">
        <f t="shared" ref="O3186:O3189" si="789">-N3186</f>
        <v>-250</v>
      </c>
      <c r="P3186" s="12">
        <f t="shared" si="783"/>
        <v>0</v>
      </c>
      <c r="Q3186" s="7">
        <f t="shared" si="779"/>
        <v>5195833.75</v>
      </c>
      <c r="R3186" s="44" t="str">
        <f>VLOOKUP(F3186,'Set up'!$A$2:$E$70,5,FALSE)</f>
        <v>Trsf</v>
      </c>
      <c r="S3186" s="1" t="s">
        <v>3398</v>
      </c>
    </row>
    <row r="3187" spans="1:21" ht="15" customHeight="1" x14ac:dyDescent="0.3">
      <c r="A3187" s="4">
        <v>45537</v>
      </c>
      <c r="B3187" s="5">
        <f t="shared" si="774"/>
        <v>9</v>
      </c>
      <c r="C3187" s="5">
        <f t="shared" si="775"/>
        <v>2024</v>
      </c>
      <c r="D3187" s="5" t="s">
        <v>2936</v>
      </c>
      <c r="E3187" s="5" t="str">
        <f>VLOOKUP(F3187,'Set up'!$A$2:$C$70,2,FALSE)</f>
        <v>C00000042</v>
      </c>
      <c r="F3187" s="1" t="s">
        <v>2012</v>
      </c>
      <c r="G3187" s="128" t="s">
        <v>2552</v>
      </c>
      <c r="H3187" s="5">
        <v>4</v>
      </c>
      <c r="I3187" s="5" t="str">
        <f>VLOOKUP(F3187,'Set up'!$A$2:$C$70,3,FALSE)</f>
        <v>Cash</v>
      </c>
      <c r="J3187" s="5">
        <f>VLOOKUP(F3187,'Set up'!$A$2:$D$70,4,FALSE)</f>
        <v>0</v>
      </c>
      <c r="K3187" s="4">
        <f t="shared" si="776"/>
        <v>45537</v>
      </c>
      <c r="L3187" s="5">
        <f t="shared" si="777"/>
        <v>9</v>
      </c>
      <c r="M3187" s="5">
        <f t="shared" si="778"/>
        <v>2024</v>
      </c>
      <c r="N3187" s="12">
        <v>6512</v>
      </c>
      <c r="O3187" s="6">
        <f t="shared" si="789"/>
        <v>-6512</v>
      </c>
      <c r="P3187" s="12">
        <f t="shared" si="783"/>
        <v>0</v>
      </c>
      <c r="Q3187" s="7">
        <f t="shared" si="779"/>
        <v>5202345.75</v>
      </c>
      <c r="R3187" s="44" t="str">
        <f>VLOOKUP(F3187,'Set up'!$A$2:$E$70,5,FALSE)</f>
        <v>Trsf</v>
      </c>
      <c r="S3187" s="1" t="s">
        <v>3399</v>
      </c>
    </row>
    <row r="3188" spans="1:21" ht="15" customHeight="1" x14ac:dyDescent="0.3">
      <c r="A3188" s="4">
        <v>45537</v>
      </c>
      <c r="B3188" s="5">
        <f t="shared" si="774"/>
        <v>9</v>
      </c>
      <c r="C3188" s="5">
        <f t="shared" si="775"/>
        <v>2024</v>
      </c>
      <c r="D3188" s="5" t="s">
        <v>2936</v>
      </c>
      <c r="E3188" s="5" t="str">
        <f>VLOOKUP(F3188,'Set up'!$A$2:$C$70,2,FALSE)</f>
        <v>C00000042</v>
      </c>
      <c r="F3188" s="1" t="s">
        <v>2012</v>
      </c>
      <c r="G3188" s="90" t="s">
        <v>1543</v>
      </c>
      <c r="H3188" s="5">
        <v>12</v>
      </c>
      <c r="I3188" s="5" t="str">
        <f>VLOOKUP(F3188,'Set up'!$A$2:$C$70,3,FALSE)</f>
        <v>Cash</v>
      </c>
      <c r="J3188" s="5">
        <f>VLOOKUP(F3188,'Set up'!$A$2:$D$70,4,FALSE)</f>
        <v>0</v>
      </c>
      <c r="K3188" s="4">
        <f t="shared" si="776"/>
        <v>45537</v>
      </c>
      <c r="L3188" s="5">
        <f t="shared" si="777"/>
        <v>9</v>
      </c>
      <c r="M3188" s="5">
        <f t="shared" si="778"/>
        <v>2024</v>
      </c>
      <c r="N3188" s="12">
        <v>2124</v>
      </c>
      <c r="O3188" s="6">
        <f t="shared" si="789"/>
        <v>-2124</v>
      </c>
      <c r="P3188" s="12">
        <f t="shared" si="783"/>
        <v>0</v>
      </c>
      <c r="Q3188" s="7">
        <f t="shared" si="779"/>
        <v>5204469.75</v>
      </c>
      <c r="R3188" s="44" t="str">
        <f>VLOOKUP(F3188,'Set up'!$A$2:$E$70,5,FALSE)</f>
        <v>Trsf</v>
      </c>
      <c r="S3188" s="1" t="s">
        <v>3400</v>
      </c>
    </row>
    <row r="3189" spans="1:21" ht="15" customHeight="1" x14ac:dyDescent="0.3">
      <c r="A3189" s="4">
        <v>45537</v>
      </c>
      <c r="B3189" s="5">
        <f t="shared" si="774"/>
        <v>9</v>
      </c>
      <c r="C3189" s="5">
        <f t="shared" si="775"/>
        <v>2024</v>
      </c>
      <c r="D3189" s="5" t="s">
        <v>2936</v>
      </c>
      <c r="E3189" s="5" t="str">
        <f>VLOOKUP(F3189,'Set up'!$A$2:$C$70,2,FALSE)</f>
        <v>C00000042</v>
      </c>
      <c r="F3189" s="1" t="s">
        <v>2012</v>
      </c>
      <c r="G3189" s="90" t="s">
        <v>1922</v>
      </c>
      <c r="H3189" s="5">
        <v>5</v>
      </c>
      <c r="I3189" s="5" t="str">
        <f>VLOOKUP(F3189,'Set up'!$A$2:$C$70,3,FALSE)</f>
        <v>Cash</v>
      </c>
      <c r="J3189" s="5">
        <f>VLOOKUP(F3189,'Set up'!$A$2:$D$70,4,FALSE)</f>
        <v>0</v>
      </c>
      <c r="K3189" s="4">
        <f t="shared" si="776"/>
        <v>45537</v>
      </c>
      <c r="L3189" s="5">
        <f t="shared" si="777"/>
        <v>9</v>
      </c>
      <c r="M3189" s="5">
        <f t="shared" si="778"/>
        <v>2024</v>
      </c>
      <c r="N3189" s="12">
        <v>1192.5</v>
      </c>
      <c r="O3189" s="6">
        <f t="shared" si="789"/>
        <v>-1192.5</v>
      </c>
      <c r="P3189" s="12">
        <f t="shared" si="783"/>
        <v>0</v>
      </c>
      <c r="Q3189" s="7">
        <f t="shared" si="779"/>
        <v>5205662.25</v>
      </c>
      <c r="R3189" s="44" t="str">
        <f>VLOOKUP(F3189,'Set up'!$A$2:$E$70,5,FALSE)</f>
        <v>Trsf</v>
      </c>
      <c r="S3189" s="1" t="s">
        <v>3401</v>
      </c>
    </row>
    <row r="3190" spans="1:21" ht="15" customHeight="1" x14ac:dyDescent="0.3">
      <c r="A3190" s="4">
        <v>45537</v>
      </c>
      <c r="B3190" s="5">
        <f t="shared" si="774"/>
        <v>9</v>
      </c>
      <c r="C3190" s="5">
        <f t="shared" si="775"/>
        <v>2024</v>
      </c>
      <c r="D3190" s="5" t="s">
        <v>2936</v>
      </c>
      <c r="E3190" s="5" t="str">
        <f>VLOOKUP(F3190,'Set up'!$A$2:$C$70,2,FALSE)</f>
        <v>C00000042</v>
      </c>
      <c r="F3190" s="1" t="s">
        <v>2012</v>
      </c>
      <c r="G3190" s="90" t="s">
        <v>1073</v>
      </c>
      <c r="H3190" s="5">
        <v>1</v>
      </c>
      <c r="I3190" s="5" t="str">
        <f>VLOOKUP(F3190,'Set up'!$A$2:$C$70,3,FALSE)</f>
        <v>Cash</v>
      </c>
      <c r="J3190" s="5">
        <f>VLOOKUP(F3190,'Set up'!$A$2:$D$70,4,FALSE)</f>
        <v>0</v>
      </c>
      <c r="K3190" s="4">
        <f t="shared" si="776"/>
        <v>45537</v>
      </c>
      <c r="L3190" s="5">
        <f t="shared" si="777"/>
        <v>9</v>
      </c>
      <c r="M3190" s="5">
        <f t="shared" si="778"/>
        <v>2024</v>
      </c>
      <c r="N3190" s="12">
        <v>1000</v>
      </c>
      <c r="O3190" s="12">
        <f>-283.1-716.9</f>
        <v>-1000</v>
      </c>
      <c r="P3190" s="12">
        <f t="shared" si="783"/>
        <v>0</v>
      </c>
      <c r="Q3190" s="7">
        <f t="shared" si="779"/>
        <v>5206662.25</v>
      </c>
      <c r="R3190" s="44" t="str">
        <f>VLOOKUP(F3190,'Set up'!$A$2:$E$70,5,FALSE)</f>
        <v>Trsf</v>
      </c>
      <c r="S3190" s="1" t="s">
        <v>3402</v>
      </c>
    </row>
    <row r="3191" spans="1:21" ht="15" customHeight="1" x14ac:dyDescent="0.3">
      <c r="A3191" s="4">
        <v>45537</v>
      </c>
      <c r="B3191" s="5">
        <f t="shared" si="774"/>
        <v>9</v>
      </c>
      <c r="C3191" s="5">
        <f t="shared" si="775"/>
        <v>2024</v>
      </c>
      <c r="D3191" s="5" t="s">
        <v>2937</v>
      </c>
      <c r="E3191" s="5" t="str">
        <f>VLOOKUP(F3191,'Set up'!$A$2:$C$70,2,FALSE)</f>
        <v>C00000003</v>
      </c>
      <c r="F3191" s="1" t="s">
        <v>20</v>
      </c>
      <c r="G3191" s="107" t="s">
        <v>716</v>
      </c>
      <c r="H3191" s="5">
        <v>1</v>
      </c>
      <c r="I3191" s="5">
        <f>VLOOKUP(F3191,'Set up'!$A$2:$C$70,3,FALSE)</f>
        <v>45</v>
      </c>
      <c r="J3191" s="5">
        <f>VLOOKUP(F3191,'Set up'!$A$2:$D$70,4,FALSE)</f>
        <v>45</v>
      </c>
      <c r="K3191" s="4">
        <f t="shared" si="776"/>
        <v>45582</v>
      </c>
      <c r="L3191" s="5">
        <f t="shared" si="777"/>
        <v>10</v>
      </c>
      <c r="M3191" s="5">
        <f t="shared" si="778"/>
        <v>2024</v>
      </c>
      <c r="N3191" s="12">
        <v>1738</v>
      </c>
      <c r="O3191" s="6">
        <f>-N3191</f>
        <v>-1738</v>
      </c>
      <c r="P3191" s="12">
        <f t="shared" si="783"/>
        <v>0</v>
      </c>
      <c r="Q3191" s="7">
        <f t="shared" si="779"/>
        <v>5208400.25</v>
      </c>
      <c r="R3191" s="44" t="str">
        <f>VLOOKUP(F3191,'Set up'!$A$2:$E$70,5,FALSE)</f>
        <v>PD Chq</v>
      </c>
      <c r="S3191" s="1" t="s">
        <v>3037</v>
      </c>
      <c r="U3191" s="1" t="s">
        <v>3603</v>
      </c>
    </row>
    <row r="3192" spans="1:21" ht="15" customHeight="1" x14ac:dyDescent="0.3">
      <c r="A3192" s="4">
        <v>45537</v>
      </c>
      <c r="B3192" s="5">
        <f t="shared" si="774"/>
        <v>9</v>
      </c>
      <c r="C3192" s="5">
        <f t="shared" si="775"/>
        <v>2024</v>
      </c>
      <c r="D3192" s="5" t="s">
        <v>2937</v>
      </c>
      <c r="E3192" s="5" t="str">
        <f>VLOOKUP(F3192,'Set up'!$A$2:$C$70,2,FALSE)</f>
        <v>C00000003</v>
      </c>
      <c r="F3192" s="1" t="s">
        <v>20</v>
      </c>
      <c r="G3192" s="99" t="s">
        <v>17</v>
      </c>
      <c r="H3192" s="5">
        <v>2</v>
      </c>
      <c r="I3192" s="5">
        <f>VLOOKUP(F3192,'Set up'!$A$2:$C$70,3,FALSE)</f>
        <v>45</v>
      </c>
      <c r="J3192" s="5">
        <f>VLOOKUP(F3192,'Set up'!$A$2:$D$70,4,FALSE)</f>
        <v>45</v>
      </c>
      <c r="K3192" s="4">
        <f t="shared" si="776"/>
        <v>45582</v>
      </c>
      <c r="L3192" s="5">
        <f t="shared" si="777"/>
        <v>10</v>
      </c>
      <c r="M3192" s="5">
        <f t="shared" si="778"/>
        <v>2024</v>
      </c>
      <c r="N3192" s="12">
        <v>220</v>
      </c>
      <c r="O3192" s="6">
        <f>-N3192</f>
        <v>-220</v>
      </c>
      <c r="P3192" s="12">
        <f t="shared" si="783"/>
        <v>0</v>
      </c>
      <c r="Q3192" s="7">
        <f t="shared" si="779"/>
        <v>5208620.25</v>
      </c>
      <c r="R3192" s="44" t="str">
        <f>VLOOKUP(F3192,'Set up'!$A$2:$E$70,5,FALSE)</f>
        <v>PD Chq</v>
      </c>
      <c r="S3192" s="1" t="s">
        <v>3038</v>
      </c>
      <c r="U3192" s="1" t="s">
        <v>3603</v>
      </c>
    </row>
    <row r="3193" spans="1:21" ht="15" customHeight="1" x14ac:dyDescent="0.3">
      <c r="A3193" s="4">
        <v>45537</v>
      </c>
      <c r="B3193" s="5">
        <f t="shared" si="774"/>
        <v>9</v>
      </c>
      <c r="C3193" s="5">
        <f t="shared" si="775"/>
        <v>2024</v>
      </c>
      <c r="D3193" s="5" t="s">
        <v>2938</v>
      </c>
      <c r="E3193" s="5" t="str">
        <f>VLOOKUP(F3193,'Set up'!$A$2:$C$70,2,FALSE)</f>
        <v>C00000054</v>
      </c>
      <c r="F3193" s="1" t="s">
        <v>2939</v>
      </c>
      <c r="G3193" s="119" t="s">
        <v>1630</v>
      </c>
      <c r="H3193" s="5">
        <v>1</v>
      </c>
      <c r="I3193" s="5" t="str">
        <f>VLOOKUP(F3193,'Set up'!$A$2:$C$70,3,FALSE)</f>
        <v>Cash</v>
      </c>
      <c r="J3193" s="5">
        <f>VLOOKUP(F3193,'Set up'!$A$2:$D$70,4,FALSE)</f>
        <v>0</v>
      </c>
      <c r="K3193" s="4">
        <f t="shared" si="776"/>
        <v>45537</v>
      </c>
      <c r="L3193" s="5">
        <f t="shared" si="777"/>
        <v>9</v>
      </c>
      <c r="M3193" s="5">
        <f t="shared" si="778"/>
        <v>2024</v>
      </c>
      <c r="N3193" s="12">
        <v>300</v>
      </c>
      <c r="O3193" s="6">
        <f t="shared" ref="O3193" si="790">-N3193</f>
        <v>-300</v>
      </c>
      <c r="P3193" s="12">
        <f t="shared" si="783"/>
        <v>0</v>
      </c>
      <c r="Q3193" s="7">
        <f t="shared" si="779"/>
        <v>5208920.25</v>
      </c>
      <c r="R3193" s="44" t="str">
        <f>VLOOKUP(F3193,'Set up'!$A$2:$E$70,5,FALSE)</f>
        <v>Cash</v>
      </c>
      <c r="S3193" s="1" t="s">
        <v>2961</v>
      </c>
    </row>
    <row r="3194" spans="1:21" ht="15" customHeight="1" x14ac:dyDescent="0.3">
      <c r="A3194" s="4">
        <v>45537</v>
      </c>
      <c r="B3194" s="5">
        <f t="shared" si="774"/>
        <v>9</v>
      </c>
      <c r="C3194" s="5">
        <f t="shared" si="775"/>
        <v>2024</v>
      </c>
      <c r="D3194" s="5" t="s">
        <v>2938</v>
      </c>
      <c r="E3194" s="5" t="str">
        <f>VLOOKUP(F3194,'Set up'!$A$2:$C$70,2,FALSE)</f>
        <v>C00000054</v>
      </c>
      <c r="F3194" s="1" t="s">
        <v>2939</v>
      </c>
      <c r="G3194" s="120" t="s">
        <v>2570</v>
      </c>
      <c r="H3194" s="5">
        <v>1</v>
      </c>
      <c r="I3194" s="5" t="str">
        <f>VLOOKUP(F3194,'Set up'!$A$2:$C$70,3,FALSE)</f>
        <v>Cash</v>
      </c>
      <c r="J3194" s="5">
        <f>VLOOKUP(F3194,'Set up'!$A$2:$D$70,4,FALSE)</f>
        <v>0</v>
      </c>
      <c r="K3194" s="4">
        <f t="shared" si="776"/>
        <v>45537</v>
      </c>
      <c r="L3194" s="5">
        <f t="shared" si="777"/>
        <v>9</v>
      </c>
      <c r="M3194" s="5">
        <f t="shared" si="778"/>
        <v>2024</v>
      </c>
      <c r="N3194" s="12">
        <v>225</v>
      </c>
      <c r="O3194" s="6">
        <f>-N3194-5</f>
        <v>-230</v>
      </c>
      <c r="P3194" s="129">
        <f>SUM(N3194+O3194)</f>
        <v>-5</v>
      </c>
      <c r="Q3194" s="7">
        <f t="shared" si="779"/>
        <v>5209145.25</v>
      </c>
      <c r="R3194" s="44" t="str">
        <f>VLOOKUP(F3194,'Set up'!$A$2:$E$70,5,FALSE)</f>
        <v>Cash</v>
      </c>
      <c r="S3194" s="130" t="s">
        <v>2962</v>
      </c>
    </row>
    <row r="3195" spans="1:21" ht="15" customHeight="1" x14ac:dyDescent="0.3">
      <c r="A3195" s="4">
        <v>45538</v>
      </c>
      <c r="B3195" s="5">
        <f t="shared" si="774"/>
        <v>9</v>
      </c>
      <c r="C3195" s="5">
        <f t="shared" si="775"/>
        <v>2024</v>
      </c>
      <c r="D3195" s="5" t="s">
        <v>2940</v>
      </c>
      <c r="E3195" s="5" t="str">
        <f>VLOOKUP(F3195,'Set up'!$A$2:$C$70,2,FALSE)</f>
        <v>C00000050</v>
      </c>
      <c r="F3195" s="1" t="s">
        <v>2656</v>
      </c>
      <c r="G3195" s="107" t="s">
        <v>2555</v>
      </c>
      <c r="H3195" s="5">
        <v>1</v>
      </c>
      <c r="I3195" s="5" t="str">
        <f>VLOOKUP(F3195,'Set up'!$A$2:$C$70,3,FALSE)</f>
        <v>Cash</v>
      </c>
      <c r="J3195" s="5">
        <f>VLOOKUP(F3195,'Set up'!$A$2:$D$70,4,FALSE)</f>
        <v>0</v>
      </c>
      <c r="K3195" s="4">
        <f t="shared" si="776"/>
        <v>45538</v>
      </c>
      <c r="L3195" s="5">
        <f t="shared" si="777"/>
        <v>9</v>
      </c>
      <c r="M3195" s="5">
        <f t="shared" si="778"/>
        <v>2024</v>
      </c>
      <c r="N3195" s="12">
        <v>1760</v>
      </c>
      <c r="O3195" s="6">
        <f t="shared" ref="O3195:O3203" si="791">-N3195</f>
        <v>-1760</v>
      </c>
      <c r="P3195" s="12">
        <f t="shared" si="783"/>
        <v>0</v>
      </c>
      <c r="Q3195" s="7">
        <f t="shared" si="779"/>
        <v>5210905.25</v>
      </c>
      <c r="R3195" s="44" t="str">
        <f>VLOOKUP(F3195,'Set up'!$A$2:$E$70,5,FALSE)</f>
        <v>Cash</v>
      </c>
      <c r="S3195" s="1" t="s">
        <v>2989</v>
      </c>
    </row>
    <row r="3196" spans="1:21" ht="15" customHeight="1" x14ac:dyDescent="0.3">
      <c r="A3196" s="4">
        <v>45538</v>
      </c>
      <c r="B3196" s="5">
        <f t="shared" si="774"/>
        <v>9</v>
      </c>
      <c r="C3196" s="5">
        <f t="shared" si="775"/>
        <v>2024</v>
      </c>
      <c r="D3196" s="5" t="s">
        <v>2940</v>
      </c>
      <c r="E3196" s="5" t="str">
        <f>VLOOKUP(F3196,'Set up'!$A$2:$C$70,2,FALSE)</f>
        <v>C00000050</v>
      </c>
      <c r="F3196" s="1" t="s">
        <v>2656</v>
      </c>
      <c r="G3196" s="99" t="s">
        <v>2129</v>
      </c>
      <c r="H3196" s="5">
        <v>2</v>
      </c>
      <c r="I3196" s="5" t="str">
        <f>VLOOKUP(F3196,'Set up'!$A$2:$C$70,3,FALSE)</f>
        <v>Cash</v>
      </c>
      <c r="J3196" s="5">
        <f>VLOOKUP(F3196,'Set up'!$A$2:$D$70,4,FALSE)</f>
        <v>0</v>
      </c>
      <c r="K3196" s="4">
        <f t="shared" si="776"/>
        <v>45538</v>
      </c>
      <c r="L3196" s="5">
        <f t="shared" si="777"/>
        <v>9</v>
      </c>
      <c r="M3196" s="5">
        <f t="shared" si="778"/>
        <v>2024</v>
      </c>
      <c r="N3196" s="12">
        <v>555</v>
      </c>
      <c r="O3196" s="6">
        <f t="shared" si="791"/>
        <v>-555</v>
      </c>
      <c r="P3196" s="12">
        <f t="shared" si="783"/>
        <v>0</v>
      </c>
      <c r="Q3196" s="7">
        <f t="shared" si="779"/>
        <v>5211460.25</v>
      </c>
      <c r="R3196" s="44" t="str">
        <f>VLOOKUP(F3196,'Set up'!$A$2:$E$70,5,FALSE)</f>
        <v>Cash</v>
      </c>
      <c r="S3196" s="1" t="s">
        <v>2989</v>
      </c>
    </row>
    <row r="3197" spans="1:21" ht="15" customHeight="1" x14ac:dyDescent="0.3">
      <c r="A3197" s="4">
        <v>45538</v>
      </c>
      <c r="B3197" s="5">
        <f t="shared" si="774"/>
        <v>9</v>
      </c>
      <c r="C3197" s="5">
        <f t="shared" si="775"/>
        <v>2024</v>
      </c>
      <c r="D3197" s="5" t="s">
        <v>2940</v>
      </c>
      <c r="E3197" s="5" t="str">
        <f>VLOOKUP(F3197,'Set up'!$A$2:$C$70,2,FALSE)</f>
        <v>C00000050</v>
      </c>
      <c r="F3197" s="1" t="s">
        <v>2656</v>
      </c>
      <c r="G3197" s="99" t="s">
        <v>1061</v>
      </c>
      <c r="H3197" s="5">
        <v>1</v>
      </c>
      <c r="I3197" s="5" t="str">
        <f>VLOOKUP(F3197,'Set up'!$A$2:$C$70,3,FALSE)</f>
        <v>Cash</v>
      </c>
      <c r="J3197" s="5">
        <f>VLOOKUP(F3197,'Set up'!$A$2:$D$70,4,FALSE)</f>
        <v>0</v>
      </c>
      <c r="K3197" s="4">
        <f t="shared" si="776"/>
        <v>45538</v>
      </c>
      <c r="L3197" s="5">
        <f t="shared" si="777"/>
        <v>9</v>
      </c>
      <c r="M3197" s="5">
        <f t="shared" si="778"/>
        <v>2024</v>
      </c>
      <c r="N3197" s="12">
        <v>95</v>
      </c>
      <c r="O3197" s="6">
        <f t="shared" si="791"/>
        <v>-95</v>
      </c>
      <c r="P3197" s="12">
        <f t="shared" si="783"/>
        <v>0</v>
      </c>
      <c r="Q3197" s="7">
        <f t="shared" si="779"/>
        <v>5211555.25</v>
      </c>
      <c r="R3197" s="44" t="str">
        <f>VLOOKUP(F3197,'Set up'!$A$2:$E$70,5,FALSE)</f>
        <v>Cash</v>
      </c>
      <c r="S3197" s="1" t="s">
        <v>2989</v>
      </c>
    </row>
    <row r="3198" spans="1:21" ht="15" customHeight="1" x14ac:dyDescent="0.3">
      <c r="A3198" s="4">
        <v>45541</v>
      </c>
      <c r="B3198" s="5">
        <f t="shared" si="774"/>
        <v>9</v>
      </c>
      <c r="C3198" s="5">
        <f t="shared" si="775"/>
        <v>2024</v>
      </c>
      <c r="D3198" s="5" t="s">
        <v>2941</v>
      </c>
      <c r="E3198" s="5" t="str">
        <f>VLOOKUP(F3198,'Set up'!$A$2:$C$70,2,FALSE)</f>
        <v>C00000042</v>
      </c>
      <c r="F3198" s="1" t="s">
        <v>2012</v>
      </c>
      <c r="G3198" s="103" t="s">
        <v>2646</v>
      </c>
      <c r="H3198" s="5">
        <v>10</v>
      </c>
      <c r="I3198" s="5" t="str">
        <f>VLOOKUP(F3198,'Set up'!$A$2:$C$70,3,FALSE)</f>
        <v>Cash</v>
      </c>
      <c r="J3198" s="5">
        <f>VLOOKUP(F3198,'Set up'!$A$2:$D$70,4,FALSE)</f>
        <v>0</v>
      </c>
      <c r="K3198" s="4">
        <f t="shared" si="776"/>
        <v>45541</v>
      </c>
      <c r="L3198" s="5">
        <f t="shared" si="777"/>
        <v>9</v>
      </c>
      <c r="M3198" s="5">
        <f t="shared" si="778"/>
        <v>2024</v>
      </c>
      <c r="N3198" s="12">
        <v>625</v>
      </c>
      <c r="O3198" s="6">
        <f t="shared" si="791"/>
        <v>-625</v>
      </c>
      <c r="P3198" s="12">
        <f t="shared" si="783"/>
        <v>0</v>
      </c>
      <c r="Q3198" s="7">
        <f t="shared" si="779"/>
        <v>5212180.25</v>
      </c>
      <c r="R3198" s="44" t="str">
        <f>VLOOKUP(F3198,'Set up'!$A$2:$E$70,5,FALSE)</f>
        <v>Trsf</v>
      </c>
      <c r="S3198" s="1" t="s">
        <v>3403</v>
      </c>
    </row>
    <row r="3199" spans="1:21" ht="15" customHeight="1" x14ac:dyDescent="0.3">
      <c r="A3199" s="4">
        <v>45541</v>
      </c>
      <c r="B3199" s="5">
        <f t="shared" si="774"/>
        <v>9</v>
      </c>
      <c r="C3199" s="5">
        <f t="shared" si="775"/>
        <v>2024</v>
      </c>
      <c r="D3199" s="5" t="s">
        <v>2942</v>
      </c>
      <c r="E3199" s="5" t="str">
        <f>VLOOKUP(F3199,'Set up'!$A$2:$C$70,2,FALSE)</f>
        <v>C00000042</v>
      </c>
      <c r="F3199" s="1" t="s">
        <v>2012</v>
      </c>
      <c r="G3199" s="128" t="s">
        <v>2552</v>
      </c>
      <c r="H3199" s="5">
        <v>10</v>
      </c>
      <c r="I3199" s="5" t="str">
        <f>VLOOKUP(F3199,'Set up'!$A$2:$C$70,3,FALSE)</f>
        <v>Cash</v>
      </c>
      <c r="J3199" s="5">
        <f>VLOOKUP(F3199,'Set up'!$A$2:$D$70,4,FALSE)</f>
        <v>0</v>
      </c>
      <c r="K3199" s="4">
        <f t="shared" si="776"/>
        <v>45541</v>
      </c>
      <c r="L3199" s="5">
        <f t="shared" si="777"/>
        <v>9</v>
      </c>
      <c r="M3199" s="5">
        <f t="shared" si="778"/>
        <v>2024</v>
      </c>
      <c r="N3199" s="12">
        <v>16280</v>
      </c>
      <c r="O3199" s="6">
        <f t="shared" si="791"/>
        <v>-16280</v>
      </c>
      <c r="P3199" s="12">
        <f t="shared" si="783"/>
        <v>0</v>
      </c>
      <c r="Q3199" s="7">
        <f t="shared" si="779"/>
        <v>5228460.25</v>
      </c>
      <c r="R3199" s="44" t="str">
        <f>VLOOKUP(F3199,'Set up'!$A$2:$E$70,5,FALSE)</f>
        <v>Trsf</v>
      </c>
      <c r="S3199" s="1" t="s">
        <v>3404</v>
      </c>
    </row>
    <row r="3200" spans="1:21" ht="15" customHeight="1" x14ac:dyDescent="0.3">
      <c r="A3200" s="4">
        <v>45541</v>
      </c>
      <c r="B3200" s="5">
        <f t="shared" si="774"/>
        <v>9</v>
      </c>
      <c r="C3200" s="5">
        <f t="shared" si="775"/>
        <v>2024</v>
      </c>
      <c r="D3200" s="5" t="s">
        <v>2942</v>
      </c>
      <c r="E3200" s="5" t="str">
        <f>VLOOKUP(F3200,'Set up'!$A$2:$C$70,2,FALSE)</f>
        <v>C00000042</v>
      </c>
      <c r="F3200" s="1" t="s">
        <v>2012</v>
      </c>
      <c r="G3200" s="90" t="s">
        <v>1543</v>
      </c>
      <c r="H3200" s="5">
        <v>36</v>
      </c>
      <c r="I3200" s="5" t="str">
        <f>VLOOKUP(F3200,'Set up'!$A$2:$C$70,3,FALSE)</f>
        <v>Cash</v>
      </c>
      <c r="J3200" s="5">
        <f>VLOOKUP(F3200,'Set up'!$A$2:$D$70,4,FALSE)</f>
        <v>0</v>
      </c>
      <c r="K3200" s="4">
        <f t="shared" si="776"/>
        <v>45541</v>
      </c>
      <c r="L3200" s="5">
        <f t="shared" si="777"/>
        <v>9</v>
      </c>
      <c r="M3200" s="5">
        <f t="shared" si="778"/>
        <v>2024</v>
      </c>
      <c r="N3200" s="12">
        <v>6372</v>
      </c>
      <c r="O3200" s="6">
        <f t="shared" si="791"/>
        <v>-6372</v>
      </c>
      <c r="P3200" s="12">
        <f t="shared" si="783"/>
        <v>0</v>
      </c>
      <c r="Q3200" s="7">
        <f t="shared" si="779"/>
        <v>5234832.25</v>
      </c>
      <c r="R3200" s="44" t="str">
        <f>VLOOKUP(F3200,'Set up'!$A$2:$E$70,5,FALSE)</f>
        <v>Trsf</v>
      </c>
      <c r="S3200" s="1" t="s">
        <v>3405</v>
      </c>
    </row>
    <row r="3201" spans="1:19" ht="15" customHeight="1" x14ac:dyDescent="0.3">
      <c r="A3201" s="4">
        <v>45541</v>
      </c>
      <c r="B3201" s="5">
        <f t="shared" si="774"/>
        <v>9</v>
      </c>
      <c r="C3201" s="5">
        <f t="shared" si="775"/>
        <v>2024</v>
      </c>
      <c r="D3201" s="5" t="s">
        <v>2942</v>
      </c>
      <c r="E3201" s="5" t="str">
        <f>VLOOKUP(F3201,'Set up'!$A$2:$C$70,2,FALSE)</f>
        <v>C00000042</v>
      </c>
      <c r="F3201" s="1" t="s">
        <v>2012</v>
      </c>
      <c r="G3201" s="90" t="s">
        <v>1922</v>
      </c>
      <c r="H3201" s="5">
        <v>17</v>
      </c>
      <c r="I3201" s="5" t="str">
        <f>VLOOKUP(F3201,'Set up'!$A$2:$C$70,3,FALSE)</f>
        <v>Cash</v>
      </c>
      <c r="J3201" s="5">
        <f>VLOOKUP(F3201,'Set up'!$A$2:$D$70,4,FALSE)</f>
        <v>0</v>
      </c>
      <c r="K3201" s="4">
        <f t="shared" si="776"/>
        <v>45541</v>
      </c>
      <c r="L3201" s="5">
        <f t="shared" si="777"/>
        <v>9</v>
      </c>
      <c r="M3201" s="5">
        <f t="shared" si="778"/>
        <v>2024</v>
      </c>
      <c r="N3201" s="12">
        <v>4054.5</v>
      </c>
      <c r="O3201" s="6">
        <f t="shared" si="791"/>
        <v>-4054.5</v>
      </c>
      <c r="P3201" s="12">
        <f t="shared" si="783"/>
        <v>0</v>
      </c>
      <c r="Q3201" s="7">
        <f t="shared" si="779"/>
        <v>5238886.75</v>
      </c>
      <c r="R3201" s="44" t="str">
        <f>VLOOKUP(F3201,'Set up'!$A$2:$E$70,5,FALSE)</f>
        <v>Trsf</v>
      </c>
      <c r="S3201" s="1" t="s">
        <v>3406</v>
      </c>
    </row>
    <row r="3202" spans="1:19" ht="15" customHeight="1" x14ac:dyDescent="0.3">
      <c r="A3202" s="4">
        <v>45541</v>
      </c>
      <c r="B3202" s="5">
        <f t="shared" si="774"/>
        <v>9</v>
      </c>
      <c r="C3202" s="5">
        <f t="shared" si="775"/>
        <v>2024</v>
      </c>
      <c r="D3202" s="5" t="s">
        <v>2942</v>
      </c>
      <c r="E3202" s="5" t="str">
        <f>VLOOKUP(F3202,'Set up'!$A$2:$C$70,2,FALSE)</f>
        <v>C00000042</v>
      </c>
      <c r="F3202" s="1" t="s">
        <v>2012</v>
      </c>
      <c r="G3202" s="90" t="s">
        <v>1073</v>
      </c>
      <c r="H3202" s="5">
        <v>1</v>
      </c>
      <c r="I3202" s="5" t="str">
        <f>VLOOKUP(F3202,'Set up'!$A$2:$C$70,3,FALSE)</f>
        <v>Cash</v>
      </c>
      <c r="J3202" s="5">
        <f>VLOOKUP(F3202,'Set up'!$A$2:$D$70,4,FALSE)</f>
        <v>0</v>
      </c>
      <c r="K3202" s="4">
        <f t="shared" si="776"/>
        <v>45541</v>
      </c>
      <c r="L3202" s="5">
        <f t="shared" si="777"/>
        <v>9</v>
      </c>
      <c r="M3202" s="5">
        <f t="shared" si="778"/>
        <v>2024</v>
      </c>
      <c r="N3202" s="12">
        <v>1000</v>
      </c>
      <c r="O3202" s="6">
        <f t="shared" si="791"/>
        <v>-1000</v>
      </c>
      <c r="P3202" s="12">
        <f t="shared" si="783"/>
        <v>0</v>
      </c>
      <c r="Q3202" s="7">
        <f t="shared" si="779"/>
        <v>5239886.75</v>
      </c>
      <c r="R3202" s="44" t="str">
        <f>VLOOKUP(F3202,'Set up'!$A$2:$E$70,5,FALSE)</f>
        <v>Trsf</v>
      </c>
      <c r="S3202" s="1" t="s">
        <v>3407</v>
      </c>
    </row>
    <row r="3203" spans="1:19" ht="15" customHeight="1" x14ac:dyDescent="0.3">
      <c r="A3203" s="4">
        <v>45541</v>
      </c>
      <c r="B3203" s="5">
        <f t="shared" ref="B3203:B3266" si="792">MONTH(A3203)</f>
        <v>9</v>
      </c>
      <c r="C3203" s="5">
        <f t="shared" ref="C3203:C3266" si="793">YEAR(A3203)</f>
        <v>2024</v>
      </c>
      <c r="D3203" s="5" t="s">
        <v>2942</v>
      </c>
      <c r="E3203" s="5" t="str">
        <f>VLOOKUP(F3203,'Set up'!$A$2:$C$70,2,FALSE)</f>
        <v>C00000042</v>
      </c>
      <c r="F3203" s="1" t="s">
        <v>2012</v>
      </c>
      <c r="G3203" s="90" t="s">
        <v>1061</v>
      </c>
      <c r="H3203" s="5">
        <v>4</v>
      </c>
      <c r="I3203" s="5" t="str">
        <f>VLOOKUP(F3203,'Set up'!$A$2:$C$70,3,FALSE)</f>
        <v>Cash</v>
      </c>
      <c r="J3203" s="5">
        <f>VLOOKUP(F3203,'Set up'!$A$2:$D$70,4,FALSE)</f>
        <v>0</v>
      </c>
      <c r="K3203" s="4">
        <f t="shared" ref="K3203:K3266" si="794">A3203+J3203</f>
        <v>45541</v>
      </c>
      <c r="L3203" s="5">
        <f t="shared" ref="L3203:L3266" si="795">MONTH(K3203)</f>
        <v>9</v>
      </c>
      <c r="M3203" s="5">
        <f t="shared" ref="M3203:M3266" si="796">YEAR(K3203)</f>
        <v>2024</v>
      </c>
      <c r="N3203" s="12">
        <v>380</v>
      </c>
      <c r="O3203" s="6">
        <f t="shared" si="791"/>
        <v>-380</v>
      </c>
      <c r="P3203" s="12">
        <f t="shared" si="783"/>
        <v>0</v>
      </c>
      <c r="Q3203" s="7">
        <f t="shared" ref="Q3203:Q3266" si="797">SUM(Q3202+N3203)</f>
        <v>5240266.75</v>
      </c>
      <c r="R3203" s="44" t="str">
        <f>VLOOKUP(F3203,'Set up'!$A$2:$E$70,5,FALSE)</f>
        <v>Trsf</v>
      </c>
      <c r="S3203" s="1" t="s">
        <v>3408</v>
      </c>
    </row>
    <row r="3204" spans="1:19" ht="15" customHeight="1" x14ac:dyDescent="0.3">
      <c r="A3204" s="4">
        <v>45542</v>
      </c>
      <c r="B3204" s="5">
        <f t="shared" si="792"/>
        <v>9</v>
      </c>
      <c r="C3204" s="5">
        <f t="shared" si="793"/>
        <v>2024</v>
      </c>
      <c r="D3204" s="5" t="s">
        <v>2943</v>
      </c>
      <c r="E3204" s="5" t="str">
        <f>VLOOKUP(F3204,'Set up'!$A$2:$C$70,2,FALSE)</f>
        <v>C00000044</v>
      </c>
      <c r="F3204" s="1" t="s">
        <v>2929</v>
      </c>
      <c r="G3204" s="123" t="s">
        <v>1178</v>
      </c>
      <c r="H3204" s="5">
        <v>1</v>
      </c>
      <c r="I3204" s="5" t="str">
        <f>VLOOKUP(F3204,'Set up'!$A$2:$C$70,3,FALSE)</f>
        <v>Cash</v>
      </c>
      <c r="J3204" s="5">
        <f>VLOOKUP(F3204,'Set up'!$A$2:$D$70,4,FALSE)</f>
        <v>0</v>
      </c>
      <c r="K3204" s="4">
        <f t="shared" si="794"/>
        <v>45542</v>
      </c>
      <c r="L3204" s="5">
        <f t="shared" si="795"/>
        <v>9</v>
      </c>
      <c r="M3204" s="5">
        <f t="shared" si="796"/>
        <v>2024</v>
      </c>
      <c r="N3204" s="12">
        <v>1672</v>
      </c>
      <c r="O3204" s="12">
        <f>-200-1472</f>
        <v>-1672</v>
      </c>
      <c r="P3204" s="12">
        <f t="shared" si="783"/>
        <v>0</v>
      </c>
      <c r="Q3204" s="7">
        <f t="shared" si="797"/>
        <v>5241938.75</v>
      </c>
      <c r="R3204" s="44" t="str">
        <f>VLOOKUP(F3204,'Set up'!$A$2:$E$70,5,FALSE)</f>
        <v>Cash</v>
      </c>
      <c r="S3204" s="1" t="s">
        <v>2965</v>
      </c>
    </row>
    <row r="3205" spans="1:19" ht="15" customHeight="1" x14ac:dyDescent="0.3">
      <c r="A3205" s="4">
        <v>45542</v>
      </c>
      <c r="B3205" s="5">
        <f t="shared" si="792"/>
        <v>9</v>
      </c>
      <c r="C3205" s="5">
        <f t="shared" si="793"/>
        <v>2024</v>
      </c>
      <c r="D3205" s="5" t="s">
        <v>2943</v>
      </c>
      <c r="E3205" s="5" t="str">
        <f>VLOOKUP(F3205,'Set up'!$A$2:$C$70,2,FALSE)</f>
        <v>C00000044</v>
      </c>
      <c r="F3205" s="1" t="s">
        <v>2929</v>
      </c>
      <c r="G3205" s="120" t="s">
        <v>2570</v>
      </c>
      <c r="H3205" s="5">
        <v>2</v>
      </c>
      <c r="I3205" s="5" t="str">
        <f>VLOOKUP(F3205,'Set up'!$A$2:$C$70,3,FALSE)</f>
        <v>Cash</v>
      </c>
      <c r="J3205" s="5">
        <f>VLOOKUP(F3205,'Set up'!$A$2:$D$70,4,FALSE)</f>
        <v>0</v>
      </c>
      <c r="K3205" s="4">
        <f t="shared" si="794"/>
        <v>45542</v>
      </c>
      <c r="L3205" s="5">
        <f t="shared" si="795"/>
        <v>9</v>
      </c>
      <c r="M3205" s="5">
        <f t="shared" si="796"/>
        <v>2024</v>
      </c>
      <c r="N3205" s="12">
        <v>420</v>
      </c>
      <c r="O3205" s="6">
        <f t="shared" ref="O3205:O3207" si="798">-N3205</f>
        <v>-420</v>
      </c>
      <c r="P3205" s="12">
        <f t="shared" si="783"/>
        <v>0</v>
      </c>
      <c r="Q3205" s="7">
        <f t="shared" si="797"/>
        <v>5242358.75</v>
      </c>
      <c r="R3205" s="44" t="str">
        <f>VLOOKUP(F3205,'Set up'!$A$2:$E$70,5,FALSE)</f>
        <v>Cash</v>
      </c>
      <c r="S3205" s="1" t="s">
        <v>2964</v>
      </c>
    </row>
    <row r="3206" spans="1:19" ht="15" customHeight="1" x14ac:dyDescent="0.3">
      <c r="A3206" s="4">
        <v>45542</v>
      </c>
      <c r="B3206" s="5">
        <f t="shared" si="792"/>
        <v>9</v>
      </c>
      <c r="C3206" s="5">
        <f t="shared" si="793"/>
        <v>2024</v>
      </c>
      <c r="D3206" s="5" t="s">
        <v>2943</v>
      </c>
      <c r="E3206" s="5" t="str">
        <f>VLOOKUP(F3206,'Set up'!$A$2:$C$70,2,FALSE)</f>
        <v>C00000044</v>
      </c>
      <c r="F3206" s="1" t="s">
        <v>2929</v>
      </c>
      <c r="G3206" s="120" t="s">
        <v>46</v>
      </c>
      <c r="H3206" s="5">
        <v>1</v>
      </c>
      <c r="I3206" s="5" t="str">
        <f>VLOOKUP(F3206,'Set up'!$A$2:$C$70,3,FALSE)</f>
        <v>Cash</v>
      </c>
      <c r="J3206" s="5">
        <f>VLOOKUP(F3206,'Set up'!$A$2:$D$70,4,FALSE)</f>
        <v>0</v>
      </c>
      <c r="K3206" s="4">
        <f t="shared" si="794"/>
        <v>45542</v>
      </c>
      <c r="L3206" s="5">
        <f t="shared" si="795"/>
        <v>9</v>
      </c>
      <c r="M3206" s="5">
        <f t="shared" si="796"/>
        <v>2024</v>
      </c>
      <c r="N3206" s="12">
        <v>110</v>
      </c>
      <c r="O3206" s="6">
        <f t="shared" si="798"/>
        <v>-110</v>
      </c>
      <c r="P3206" s="12">
        <f t="shared" si="783"/>
        <v>0</v>
      </c>
      <c r="Q3206" s="7">
        <f t="shared" si="797"/>
        <v>5242468.75</v>
      </c>
      <c r="R3206" s="44" t="str">
        <f>VLOOKUP(F3206,'Set up'!$A$2:$E$70,5,FALSE)</f>
        <v>Cash</v>
      </c>
      <c r="S3206" s="1" t="s">
        <v>2964</v>
      </c>
    </row>
    <row r="3207" spans="1:19" ht="15" customHeight="1" x14ac:dyDescent="0.3">
      <c r="A3207" s="4">
        <v>45542</v>
      </c>
      <c r="B3207" s="5">
        <f t="shared" si="792"/>
        <v>9</v>
      </c>
      <c r="C3207" s="5">
        <f t="shared" si="793"/>
        <v>2024</v>
      </c>
      <c r="D3207" s="5" t="s">
        <v>2943</v>
      </c>
      <c r="E3207" s="5" t="str">
        <f>VLOOKUP(F3207,'Set up'!$A$2:$C$70,2,FALSE)</f>
        <v>C00000044</v>
      </c>
      <c r="F3207" s="1" t="s">
        <v>2929</v>
      </c>
      <c r="G3207" s="120" t="s">
        <v>2646</v>
      </c>
      <c r="H3207" s="5">
        <v>1</v>
      </c>
      <c r="I3207" s="5" t="str">
        <f>VLOOKUP(F3207,'Set up'!$A$2:$C$70,3,FALSE)</f>
        <v>Cash</v>
      </c>
      <c r="J3207" s="5">
        <f>VLOOKUP(F3207,'Set up'!$A$2:$D$70,4,FALSE)</f>
        <v>0</v>
      </c>
      <c r="K3207" s="4">
        <f t="shared" si="794"/>
        <v>45542</v>
      </c>
      <c r="L3207" s="5">
        <f t="shared" si="795"/>
        <v>9</v>
      </c>
      <c r="M3207" s="5">
        <f t="shared" si="796"/>
        <v>2024</v>
      </c>
      <c r="N3207" s="12">
        <v>62.5</v>
      </c>
      <c r="O3207" s="6">
        <f t="shared" si="798"/>
        <v>-62.5</v>
      </c>
      <c r="P3207" s="12">
        <f t="shared" si="783"/>
        <v>0</v>
      </c>
      <c r="Q3207" s="7">
        <f t="shared" si="797"/>
        <v>5242531.25</v>
      </c>
      <c r="R3207" s="44" t="str">
        <f>VLOOKUP(F3207,'Set up'!$A$2:$E$70,5,FALSE)</f>
        <v>Cash</v>
      </c>
      <c r="S3207" s="1" t="s">
        <v>2964</v>
      </c>
    </row>
    <row r="3208" spans="1:19" ht="15" customHeight="1" x14ac:dyDescent="0.3">
      <c r="A3208" s="4">
        <v>45543</v>
      </c>
      <c r="B3208" s="5">
        <f t="shared" si="792"/>
        <v>9</v>
      </c>
      <c r="C3208" s="5">
        <f t="shared" si="793"/>
        <v>2024</v>
      </c>
      <c r="D3208" s="5" t="s">
        <v>2944</v>
      </c>
      <c r="E3208" s="5" t="str">
        <f>VLOOKUP(F3208,'Set up'!$A$2:$C$70,2,FALSE)</f>
        <v>C00000019</v>
      </c>
      <c r="F3208" s="1" t="s">
        <v>400</v>
      </c>
      <c r="G3208" s="90" t="s">
        <v>1411</v>
      </c>
      <c r="H3208" s="5">
        <v>1</v>
      </c>
      <c r="I3208" s="5" t="str">
        <f>VLOOKUP(F3208,'Set up'!$A$2:$C$70,3,FALSE)</f>
        <v>Cash</v>
      </c>
      <c r="J3208" s="5">
        <f>VLOOKUP(F3208,'Set up'!$A$2:$D$70,4,FALSE)</f>
        <v>0</v>
      </c>
      <c r="K3208" s="4">
        <f t="shared" si="794"/>
        <v>45543</v>
      </c>
      <c r="L3208" s="5">
        <f t="shared" si="795"/>
        <v>9</v>
      </c>
      <c r="M3208" s="5">
        <f t="shared" si="796"/>
        <v>2024</v>
      </c>
      <c r="N3208" s="12">
        <v>405</v>
      </c>
      <c r="O3208" s="12"/>
      <c r="P3208" s="12">
        <f t="shared" si="783"/>
        <v>405</v>
      </c>
      <c r="Q3208" s="7">
        <f t="shared" si="797"/>
        <v>5242936.25</v>
      </c>
      <c r="R3208" s="44" t="str">
        <f>VLOOKUP(F3208,'Set up'!$A$2:$E$70,5,FALSE)</f>
        <v>Trsf</v>
      </c>
    </row>
    <row r="3209" spans="1:19" ht="15" customHeight="1" x14ac:dyDescent="0.3">
      <c r="A3209" s="4">
        <v>45543</v>
      </c>
      <c r="B3209" s="5">
        <f t="shared" si="792"/>
        <v>9</v>
      </c>
      <c r="C3209" s="5">
        <f t="shared" si="793"/>
        <v>2024</v>
      </c>
      <c r="D3209" s="5" t="s">
        <v>2944</v>
      </c>
      <c r="E3209" s="5" t="str">
        <f>VLOOKUP(F3209,'Set up'!$A$2:$C$70,2,FALSE)</f>
        <v>C00000019</v>
      </c>
      <c r="F3209" s="1" t="s">
        <v>400</v>
      </c>
      <c r="G3209" s="90" t="s">
        <v>46</v>
      </c>
      <c r="H3209" s="5">
        <v>1</v>
      </c>
      <c r="I3209" s="5" t="str">
        <f>VLOOKUP(F3209,'Set up'!$A$2:$C$70,3,FALSE)</f>
        <v>Cash</v>
      </c>
      <c r="J3209" s="5">
        <f>VLOOKUP(F3209,'Set up'!$A$2:$D$70,4,FALSE)</f>
        <v>0</v>
      </c>
      <c r="K3209" s="4">
        <f t="shared" si="794"/>
        <v>45543</v>
      </c>
      <c r="L3209" s="5">
        <f t="shared" si="795"/>
        <v>9</v>
      </c>
      <c r="M3209" s="5">
        <f t="shared" si="796"/>
        <v>2024</v>
      </c>
      <c r="N3209" s="12">
        <v>110</v>
      </c>
      <c r="O3209" s="12"/>
      <c r="P3209" s="12">
        <f t="shared" si="783"/>
        <v>110</v>
      </c>
      <c r="Q3209" s="7">
        <f t="shared" si="797"/>
        <v>5243046.25</v>
      </c>
      <c r="R3209" s="44" t="str">
        <f>VLOOKUP(F3209,'Set up'!$A$2:$E$70,5,FALSE)</f>
        <v>Trsf</v>
      </c>
    </row>
    <row r="3210" spans="1:19" ht="15" customHeight="1" x14ac:dyDescent="0.3">
      <c r="A3210" s="4">
        <v>45545</v>
      </c>
      <c r="B3210" s="5">
        <f t="shared" si="792"/>
        <v>9</v>
      </c>
      <c r="C3210" s="5">
        <f t="shared" si="793"/>
        <v>2024</v>
      </c>
      <c r="D3210" s="5" t="s">
        <v>2945</v>
      </c>
      <c r="E3210" s="5" t="str">
        <f>VLOOKUP(F3210,'Set up'!$A$2:$C$70,2,FALSE)</f>
        <v>C00000010</v>
      </c>
      <c r="F3210" s="1" t="s">
        <v>62</v>
      </c>
      <c r="G3210" s="95" t="s">
        <v>1178</v>
      </c>
      <c r="H3210" s="5">
        <v>10</v>
      </c>
      <c r="I3210" s="5">
        <f>VLOOKUP(F3210,'Set up'!$A$2:$C$70,3,FALSE)</f>
        <v>120</v>
      </c>
      <c r="J3210" s="5">
        <f>VLOOKUP(F3210,'Set up'!$A$2:$D$70,4,FALSE)</f>
        <v>120</v>
      </c>
      <c r="K3210" s="4">
        <f t="shared" si="794"/>
        <v>45665</v>
      </c>
      <c r="L3210" s="5">
        <f t="shared" si="795"/>
        <v>1</v>
      </c>
      <c r="M3210" s="5">
        <f t="shared" si="796"/>
        <v>2025</v>
      </c>
      <c r="N3210" s="12">
        <v>16060</v>
      </c>
      <c r="O3210" s="6">
        <f t="shared" ref="O3210:O3217" si="799">-N3210</f>
        <v>-16060</v>
      </c>
      <c r="P3210" s="12">
        <f t="shared" si="783"/>
        <v>0</v>
      </c>
      <c r="Q3210" s="7">
        <f t="shared" si="797"/>
        <v>5259106.25</v>
      </c>
      <c r="R3210" s="44" t="str">
        <f>VLOOKUP(F3210,'Set up'!$A$2:$E$70,5,FALSE)</f>
        <v>Trsf</v>
      </c>
      <c r="S3210" s="1" t="s">
        <v>3607</v>
      </c>
    </row>
    <row r="3211" spans="1:19" ht="15" customHeight="1" x14ac:dyDescent="0.3">
      <c r="A3211" s="4">
        <v>45545</v>
      </c>
      <c r="B3211" s="5">
        <f t="shared" si="792"/>
        <v>9</v>
      </c>
      <c r="C3211" s="5">
        <f t="shared" si="793"/>
        <v>2024</v>
      </c>
      <c r="D3211" s="5" t="s">
        <v>2945</v>
      </c>
      <c r="E3211" s="5" t="str">
        <f>VLOOKUP(F3211,'Set up'!$A$2:$C$70,2,FALSE)</f>
        <v>C00000010</v>
      </c>
      <c r="F3211" s="1" t="s">
        <v>62</v>
      </c>
      <c r="G3211" s="90" t="s">
        <v>1543</v>
      </c>
      <c r="H3211" s="5">
        <v>10</v>
      </c>
      <c r="I3211" s="5">
        <f>VLOOKUP(F3211,'Set up'!$A$2:$C$70,3,FALSE)</f>
        <v>120</v>
      </c>
      <c r="J3211" s="5">
        <f>VLOOKUP(F3211,'Set up'!$A$2:$D$70,4,FALSE)</f>
        <v>120</v>
      </c>
      <c r="K3211" s="4">
        <f t="shared" si="794"/>
        <v>45665</v>
      </c>
      <c r="L3211" s="5">
        <f t="shared" si="795"/>
        <v>1</v>
      </c>
      <c r="M3211" s="5">
        <f t="shared" si="796"/>
        <v>2025</v>
      </c>
      <c r="N3211" s="12">
        <v>1740</v>
      </c>
      <c r="O3211" s="6">
        <f t="shared" si="799"/>
        <v>-1740</v>
      </c>
      <c r="P3211" s="12">
        <f t="shared" si="783"/>
        <v>0</v>
      </c>
      <c r="Q3211" s="7">
        <f t="shared" si="797"/>
        <v>5260846.25</v>
      </c>
      <c r="R3211" s="44" t="str">
        <f>VLOOKUP(F3211,'Set up'!$A$2:$E$70,5,FALSE)</f>
        <v>Trsf</v>
      </c>
      <c r="S3211" s="1" t="s">
        <v>3607</v>
      </c>
    </row>
    <row r="3212" spans="1:19" ht="15" customHeight="1" x14ac:dyDescent="0.3">
      <c r="A3212" s="4">
        <v>45545</v>
      </c>
      <c r="B3212" s="5">
        <f t="shared" si="792"/>
        <v>9</v>
      </c>
      <c r="C3212" s="5">
        <f t="shared" si="793"/>
        <v>2024</v>
      </c>
      <c r="D3212" s="5" t="s">
        <v>2945</v>
      </c>
      <c r="E3212" s="5" t="str">
        <f>VLOOKUP(F3212,'Set up'!$A$2:$C$70,2,FALSE)</f>
        <v>C00000010</v>
      </c>
      <c r="F3212" s="1" t="s">
        <v>62</v>
      </c>
      <c r="G3212" s="90" t="s">
        <v>2635</v>
      </c>
      <c r="H3212" s="5">
        <v>10</v>
      </c>
      <c r="I3212" s="5">
        <f>VLOOKUP(F3212,'Set up'!$A$2:$C$70,3,FALSE)</f>
        <v>120</v>
      </c>
      <c r="J3212" s="5">
        <f>VLOOKUP(F3212,'Set up'!$A$2:$D$70,4,FALSE)</f>
        <v>120</v>
      </c>
      <c r="K3212" s="4">
        <f t="shared" si="794"/>
        <v>45665</v>
      </c>
      <c r="L3212" s="5">
        <f t="shared" si="795"/>
        <v>1</v>
      </c>
      <c r="M3212" s="5">
        <f t="shared" si="796"/>
        <v>2025</v>
      </c>
      <c r="N3212" s="12">
        <v>575</v>
      </c>
      <c r="O3212" s="6">
        <f t="shared" si="799"/>
        <v>-575</v>
      </c>
      <c r="P3212" s="12">
        <f t="shared" si="783"/>
        <v>0</v>
      </c>
      <c r="Q3212" s="7">
        <f t="shared" si="797"/>
        <v>5261421.25</v>
      </c>
      <c r="R3212" s="44" t="str">
        <f>VLOOKUP(F3212,'Set up'!$A$2:$E$70,5,FALSE)</f>
        <v>Trsf</v>
      </c>
      <c r="S3212" s="1" t="s">
        <v>3607</v>
      </c>
    </row>
    <row r="3213" spans="1:19" ht="15" customHeight="1" x14ac:dyDescent="0.3">
      <c r="A3213" s="4">
        <v>45545</v>
      </c>
      <c r="B3213" s="5">
        <f t="shared" si="792"/>
        <v>9</v>
      </c>
      <c r="C3213" s="5">
        <f t="shared" si="793"/>
        <v>2024</v>
      </c>
      <c r="D3213" s="5" t="s">
        <v>2945</v>
      </c>
      <c r="E3213" s="5" t="str">
        <f>VLOOKUP(F3213,'Set up'!$A$2:$C$70,2,FALSE)</f>
        <v>C00000010</v>
      </c>
      <c r="F3213" s="1" t="s">
        <v>62</v>
      </c>
      <c r="G3213" s="11" t="s">
        <v>46</v>
      </c>
      <c r="H3213" s="5">
        <v>4</v>
      </c>
      <c r="I3213" s="5">
        <f>VLOOKUP(F3213,'Set up'!$A$2:$C$70,3,FALSE)</f>
        <v>120</v>
      </c>
      <c r="J3213" s="5">
        <f>VLOOKUP(F3213,'Set up'!$A$2:$D$70,4,FALSE)</f>
        <v>120</v>
      </c>
      <c r="K3213" s="4">
        <f t="shared" si="794"/>
        <v>45665</v>
      </c>
      <c r="L3213" s="5">
        <f t="shared" si="795"/>
        <v>1</v>
      </c>
      <c r="M3213" s="5">
        <f t="shared" si="796"/>
        <v>2025</v>
      </c>
      <c r="N3213" s="12">
        <v>440</v>
      </c>
      <c r="O3213" s="6">
        <f t="shared" si="799"/>
        <v>-440</v>
      </c>
      <c r="P3213" s="12">
        <f t="shared" si="783"/>
        <v>0</v>
      </c>
      <c r="Q3213" s="7">
        <f t="shared" si="797"/>
        <v>5261861.25</v>
      </c>
      <c r="R3213" s="44" t="str">
        <f>VLOOKUP(F3213,'Set up'!$A$2:$E$70,5,FALSE)</f>
        <v>Trsf</v>
      </c>
      <c r="S3213" s="1" t="s">
        <v>3607</v>
      </c>
    </row>
    <row r="3214" spans="1:19" ht="15" customHeight="1" x14ac:dyDescent="0.3">
      <c r="A3214" s="4">
        <v>45545</v>
      </c>
      <c r="B3214" s="5">
        <f t="shared" si="792"/>
        <v>9</v>
      </c>
      <c r="C3214" s="5">
        <f t="shared" si="793"/>
        <v>2024</v>
      </c>
      <c r="D3214" s="5" t="s">
        <v>2945</v>
      </c>
      <c r="E3214" s="5" t="str">
        <f>VLOOKUP(F3214,'Set up'!$A$2:$C$70,2,FALSE)</f>
        <v>C00000010</v>
      </c>
      <c r="F3214" s="1" t="s">
        <v>62</v>
      </c>
      <c r="G3214" s="95" t="s">
        <v>946</v>
      </c>
      <c r="H3214" s="5">
        <v>8</v>
      </c>
      <c r="I3214" s="5">
        <f>VLOOKUP(F3214,'Set up'!$A$2:$C$70,3,FALSE)</f>
        <v>120</v>
      </c>
      <c r="J3214" s="5">
        <f>VLOOKUP(F3214,'Set up'!$A$2:$D$70,4,FALSE)</f>
        <v>120</v>
      </c>
      <c r="K3214" s="4">
        <f t="shared" si="794"/>
        <v>45665</v>
      </c>
      <c r="L3214" s="5">
        <f t="shared" si="795"/>
        <v>1</v>
      </c>
      <c r="M3214" s="5">
        <f t="shared" si="796"/>
        <v>2025</v>
      </c>
      <c r="N3214" s="12">
        <v>460.8</v>
      </c>
      <c r="O3214" s="6">
        <f t="shared" si="799"/>
        <v>-460.8</v>
      </c>
      <c r="P3214" s="12">
        <f t="shared" si="783"/>
        <v>0</v>
      </c>
      <c r="Q3214" s="7">
        <f t="shared" si="797"/>
        <v>5262322.05</v>
      </c>
      <c r="R3214" s="44" t="str">
        <f>VLOOKUP(F3214,'Set up'!$A$2:$E$70,5,FALSE)</f>
        <v>Trsf</v>
      </c>
      <c r="S3214" s="1" t="s">
        <v>3607</v>
      </c>
    </row>
    <row r="3215" spans="1:19" ht="15" customHeight="1" x14ac:dyDescent="0.3">
      <c r="A3215" s="4">
        <v>45545</v>
      </c>
      <c r="B3215" s="5">
        <f t="shared" si="792"/>
        <v>9</v>
      </c>
      <c r="C3215" s="5">
        <f t="shared" si="793"/>
        <v>2024</v>
      </c>
      <c r="D3215" s="5" t="s">
        <v>2945</v>
      </c>
      <c r="E3215" s="5" t="str">
        <f>VLOOKUP(F3215,'Set up'!$A$2:$C$70,2,FALSE)</f>
        <v>C00000010</v>
      </c>
      <c r="F3215" s="1" t="s">
        <v>62</v>
      </c>
      <c r="G3215" s="99" t="s">
        <v>614</v>
      </c>
      <c r="H3215" s="5">
        <v>1</v>
      </c>
      <c r="I3215" s="5">
        <f>VLOOKUP(F3215,'Set up'!$A$2:$C$70,3,FALSE)</f>
        <v>120</v>
      </c>
      <c r="J3215" s="5">
        <f>VLOOKUP(F3215,'Set up'!$A$2:$D$70,4,FALSE)</f>
        <v>120</v>
      </c>
      <c r="K3215" s="4">
        <f t="shared" si="794"/>
        <v>45665</v>
      </c>
      <c r="L3215" s="5">
        <f t="shared" si="795"/>
        <v>1</v>
      </c>
      <c r="M3215" s="5">
        <f t="shared" si="796"/>
        <v>2025</v>
      </c>
      <c r="N3215" s="12">
        <v>395</v>
      </c>
      <c r="O3215" s="6">
        <f t="shared" si="799"/>
        <v>-395</v>
      </c>
      <c r="P3215" s="12">
        <f t="shared" si="783"/>
        <v>0</v>
      </c>
      <c r="Q3215" s="7">
        <f t="shared" si="797"/>
        <v>5262717.05</v>
      </c>
      <c r="R3215" s="44" t="str">
        <f>VLOOKUP(F3215,'Set up'!$A$2:$E$70,5,FALSE)</f>
        <v>Trsf</v>
      </c>
      <c r="S3215" s="1" t="s">
        <v>3607</v>
      </c>
    </row>
    <row r="3216" spans="1:19" ht="15" customHeight="1" x14ac:dyDescent="0.3">
      <c r="A3216" s="4">
        <v>45545</v>
      </c>
      <c r="B3216" s="5">
        <f t="shared" si="792"/>
        <v>9</v>
      </c>
      <c r="C3216" s="5">
        <f t="shared" si="793"/>
        <v>2024</v>
      </c>
      <c r="D3216" s="5" t="s">
        <v>2945</v>
      </c>
      <c r="E3216" s="5" t="str">
        <f>VLOOKUP(F3216,'Set up'!$A$2:$C$70,2,FALSE)</f>
        <v>C00000010</v>
      </c>
      <c r="F3216" s="1" t="s">
        <v>62</v>
      </c>
      <c r="G3216" s="90" t="s">
        <v>1661</v>
      </c>
      <c r="H3216" s="5">
        <v>1</v>
      </c>
      <c r="I3216" s="5">
        <f>VLOOKUP(F3216,'Set up'!$A$2:$C$70,3,FALSE)</f>
        <v>120</v>
      </c>
      <c r="J3216" s="5">
        <f>VLOOKUP(F3216,'Set up'!$A$2:$D$70,4,FALSE)</f>
        <v>120</v>
      </c>
      <c r="K3216" s="4">
        <f t="shared" si="794"/>
        <v>45665</v>
      </c>
      <c r="L3216" s="5">
        <f t="shared" si="795"/>
        <v>1</v>
      </c>
      <c r="M3216" s="5">
        <f t="shared" si="796"/>
        <v>2025</v>
      </c>
      <c r="N3216" s="12">
        <v>165</v>
      </c>
      <c r="O3216" s="6">
        <f t="shared" si="799"/>
        <v>-165</v>
      </c>
      <c r="P3216" s="12">
        <f t="shared" si="783"/>
        <v>0</v>
      </c>
      <c r="Q3216" s="7">
        <f t="shared" si="797"/>
        <v>5262882.05</v>
      </c>
      <c r="R3216" s="44" t="str">
        <f>VLOOKUP(F3216,'Set up'!$A$2:$E$70,5,FALSE)</f>
        <v>Trsf</v>
      </c>
      <c r="S3216" s="1" t="s">
        <v>3607</v>
      </c>
    </row>
    <row r="3217" spans="1:19" ht="15" customHeight="1" x14ac:dyDescent="0.3">
      <c r="A3217" s="4">
        <v>45545</v>
      </c>
      <c r="B3217" s="5">
        <f t="shared" si="792"/>
        <v>9</v>
      </c>
      <c r="C3217" s="5">
        <f t="shared" si="793"/>
        <v>2024</v>
      </c>
      <c r="D3217" s="5" t="s">
        <v>2945</v>
      </c>
      <c r="E3217" s="5" t="str">
        <f>VLOOKUP(F3217,'Set up'!$A$2:$C$70,2,FALSE)</f>
        <v>C00000010</v>
      </c>
      <c r="F3217" s="1" t="s">
        <v>62</v>
      </c>
      <c r="G3217" s="90" t="s">
        <v>1654</v>
      </c>
      <c r="H3217" s="5">
        <v>5</v>
      </c>
      <c r="I3217" s="5">
        <f>VLOOKUP(F3217,'Set up'!$A$2:$C$70,3,FALSE)</f>
        <v>120</v>
      </c>
      <c r="J3217" s="5">
        <f>VLOOKUP(F3217,'Set up'!$A$2:$D$70,4,FALSE)</f>
        <v>120</v>
      </c>
      <c r="K3217" s="4">
        <f t="shared" si="794"/>
        <v>45665</v>
      </c>
      <c r="L3217" s="5">
        <f t="shared" si="795"/>
        <v>1</v>
      </c>
      <c r="M3217" s="5">
        <f t="shared" si="796"/>
        <v>2025</v>
      </c>
      <c r="N3217" s="12">
        <v>1190</v>
      </c>
      <c r="O3217" s="6">
        <f t="shared" si="799"/>
        <v>-1190</v>
      </c>
      <c r="P3217" s="12">
        <f t="shared" si="783"/>
        <v>0</v>
      </c>
      <c r="Q3217" s="7">
        <f t="shared" si="797"/>
        <v>5264072.05</v>
      </c>
      <c r="R3217" s="44" t="str">
        <f>VLOOKUP(F3217,'Set up'!$A$2:$E$70,5,FALSE)</f>
        <v>Trsf</v>
      </c>
      <c r="S3217" s="1" t="s">
        <v>3607</v>
      </c>
    </row>
    <row r="3218" spans="1:19" ht="15" customHeight="1" x14ac:dyDescent="0.3">
      <c r="A3218" s="4">
        <v>45546</v>
      </c>
      <c r="B3218" s="5">
        <f t="shared" si="792"/>
        <v>9</v>
      </c>
      <c r="C3218" s="5">
        <f t="shared" si="793"/>
        <v>2024</v>
      </c>
      <c r="D3218" s="5" t="s">
        <v>2946</v>
      </c>
      <c r="E3218" s="5" t="str">
        <f>VLOOKUP(F3218,'Set up'!$A$2:$C$70,2,FALSE)</f>
        <v>C00000019</v>
      </c>
      <c r="F3218" s="1" t="s">
        <v>400</v>
      </c>
      <c r="G3218" s="90" t="s">
        <v>95</v>
      </c>
      <c r="H3218" s="5">
        <v>1</v>
      </c>
      <c r="I3218" s="5" t="str">
        <f>VLOOKUP(F3218,'Set up'!$A$2:$C$70,3,FALSE)</f>
        <v>Cash</v>
      </c>
      <c r="J3218" s="5">
        <f>VLOOKUP(F3218,'Set up'!$A$2:$D$70,4,FALSE)</f>
        <v>0</v>
      </c>
      <c r="K3218" s="4">
        <f t="shared" si="794"/>
        <v>45546</v>
      </c>
      <c r="L3218" s="5">
        <f t="shared" si="795"/>
        <v>9</v>
      </c>
      <c r="M3218" s="5">
        <f t="shared" si="796"/>
        <v>2024</v>
      </c>
      <c r="N3218" s="12">
        <v>1760</v>
      </c>
      <c r="O3218" s="12"/>
      <c r="P3218" s="12">
        <f t="shared" si="783"/>
        <v>1760</v>
      </c>
      <c r="Q3218" s="7">
        <f t="shared" si="797"/>
        <v>5265832.05</v>
      </c>
      <c r="R3218" s="44" t="str">
        <f>VLOOKUP(F3218,'Set up'!$A$2:$E$70,5,FALSE)</f>
        <v>Trsf</v>
      </c>
    </row>
    <row r="3219" spans="1:19" ht="15" customHeight="1" x14ac:dyDescent="0.3">
      <c r="A3219" s="4">
        <v>45546</v>
      </c>
      <c r="B3219" s="5">
        <f t="shared" si="792"/>
        <v>9</v>
      </c>
      <c r="C3219" s="5">
        <f t="shared" si="793"/>
        <v>2024</v>
      </c>
      <c r="D3219" s="5" t="s">
        <v>2946</v>
      </c>
      <c r="E3219" s="5" t="str">
        <f>VLOOKUP(F3219,'Set up'!$A$2:$C$70,2,FALSE)</f>
        <v>C00000019</v>
      </c>
      <c r="F3219" s="1" t="s">
        <v>400</v>
      </c>
      <c r="G3219" s="90" t="s">
        <v>2635</v>
      </c>
      <c r="H3219" s="5">
        <v>3</v>
      </c>
      <c r="I3219" s="5" t="str">
        <f>VLOOKUP(F3219,'Set up'!$A$2:$C$70,3,FALSE)</f>
        <v>Cash</v>
      </c>
      <c r="J3219" s="5">
        <f>VLOOKUP(F3219,'Set up'!$A$2:$D$70,4,FALSE)</f>
        <v>0</v>
      </c>
      <c r="K3219" s="4">
        <f t="shared" si="794"/>
        <v>45546</v>
      </c>
      <c r="L3219" s="5">
        <f t="shared" si="795"/>
        <v>9</v>
      </c>
      <c r="M3219" s="5">
        <f t="shared" si="796"/>
        <v>2024</v>
      </c>
      <c r="N3219" s="12">
        <v>187.5</v>
      </c>
      <c r="O3219" s="12"/>
      <c r="P3219" s="12">
        <f t="shared" si="783"/>
        <v>187.5</v>
      </c>
      <c r="Q3219" s="7">
        <f t="shared" si="797"/>
        <v>5266019.55</v>
      </c>
      <c r="R3219" s="44" t="str">
        <f>VLOOKUP(F3219,'Set up'!$A$2:$E$70,5,FALSE)</f>
        <v>Trsf</v>
      </c>
    </row>
    <row r="3220" spans="1:19" ht="15" customHeight="1" x14ac:dyDescent="0.3">
      <c r="A3220" s="4">
        <v>45546</v>
      </c>
      <c r="B3220" s="5">
        <f t="shared" si="792"/>
        <v>9</v>
      </c>
      <c r="C3220" s="5">
        <f t="shared" si="793"/>
        <v>2024</v>
      </c>
      <c r="D3220" s="5" t="s">
        <v>2946</v>
      </c>
      <c r="E3220" s="5" t="str">
        <f>VLOOKUP(F3220,'Set up'!$A$2:$C$70,2,FALSE)</f>
        <v>C00000019</v>
      </c>
      <c r="F3220" s="1" t="s">
        <v>400</v>
      </c>
      <c r="G3220" s="90" t="s">
        <v>292</v>
      </c>
      <c r="H3220" s="5">
        <v>1</v>
      </c>
      <c r="I3220" s="5" t="str">
        <f>VLOOKUP(F3220,'Set up'!$A$2:$C$70,3,FALSE)</f>
        <v>Cash</v>
      </c>
      <c r="J3220" s="5">
        <f>VLOOKUP(F3220,'Set up'!$A$2:$D$70,4,FALSE)</f>
        <v>0</v>
      </c>
      <c r="K3220" s="4">
        <f t="shared" si="794"/>
        <v>45546</v>
      </c>
      <c r="L3220" s="5">
        <f t="shared" si="795"/>
        <v>9</v>
      </c>
      <c r="M3220" s="5">
        <f t="shared" si="796"/>
        <v>2024</v>
      </c>
      <c r="N3220" s="12">
        <v>450</v>
      </c>
      <c r="O3220" s="12"/>
      <c r="P3220" s="12">
        <f t="shared" si="783"/>
        <v>450</v>
      </c>
      <c r="Q3220" s="7">
        <f t="shared" si="797"/>
        <v>5266469.55</v>
      </c>
      <c r="R3220" s="44" t="str">
        <f>VLOOKUP(F3220,'Set up'!$A$2:$E$70,5,FALSE)</f>
        <v>Trsf</v>
      </c>
    </row>
    <row r="3221" spans="1:19" ht="15" customHeight="1" x14ac:dyDescent="0.3">
      <c r="A3221" s="4">
        <v>45549</v>
      </c>
      <c r="B3221" s="5">
        <f t="shared" si="792"/>
        <v>9</v>
      </c>
      <c r="C3221" s="5">
        <f t="shared" si="793"/>
        <v>2024</v>
      </c>
      <c r="D3221" s="5" t="s">
        <v>2947</v>
      </c>
      <c r="E3221" s="5" t="str">
        <f>VLOOKUP(F3221,'Set up'!$A$2:$C$70,2,FALSE)</f>
        <v>C00000042</v>
      </c>
      <c r="F3221" s="1" t="s">
        <v>2012</v>
      </c>
      <c r="G3221" s="103" t="s">
        <v>2646</v>
      </c>
      <c r="H3221" s="5">
        <v>5</v>
      </c>
      <c r="I3221" s="5" t="str">
        <f>VLOOKUP(F3221,'Set up'!$A$2:$C$70,3,FALSE)</f>
        <v>Cash</v>
      </c>
      <c r="J3221" s="5">
        <f>VLOOKUP(F3221,'Set up'!$A$2:$D$70,4,FALSE)</f>
        <v>0</v>
      </c>
      <c r="K3221" s="4">
        <f t="shared" si="794"/>
        <v>45549</v>
      </c>
      <c r="L3221" s="5">
        <f t="shared" si="795"/>
        <v>9</v>
      </c>
      <c r="M3221" s="5">
        <f t="shared" si="796"/>
        <v>2024</v>
      </c>
      <c r="N3221" s="12">
        <v>312.5</v>
      </c>
      <c r="O3221" s="6">
        <f t="shared" ref="O3221:O3235" si="800">-N3221</f>
        <v>-312.5</v>
      </c>
      <c r="P3221" s="12">
        <f t="shared" ref="P3221:P3284" si="801">SUM(N3221+O3221)</f>
        <v>0</v>
      </c>
      <c r="Q3221" s="7">
        <f t="shared" si="797"/>
        <v>5266782.05</v>
      </c>
      <c r="R3221" s="44" t="str">
        <f>VLOOKUP(F3221,'Set up'!$A$2:$E$70,5,FALSE)</f>
        <v>Trsf</v>
      </c>
      <c r="S3221" s="1" t="s">
        <v>3409</v>
      </c>
    </row>
    <row r="3222" spans="1:19" ht="15" customHeight="1" x14ac:dyDescent="0.3">
      <c r="A3222" s="4">
        <v>45549</v>
      </c>
      <c r="B3222" s="5">
        <f t="shared" si="792"/>
        <v>9</v>
      </c>
      <c r="C3222" s="5">
        <f t="shared" si="793"/>
        <v>2024</v>
      </c>
      <c r="D3222" s="5" t="s">
        <v>2948</v>
      </c>
      <c r="E3222" s="5" t="str">
        <f>VLOOKUP(F3222,'Set up'!$A$2:$C$70,2,FALSE)</f>
        <v>C00000042</v>
      </c>
      <c r="F3222" s="1" t="s">
        <v>2012</v>
      </c>
      <c r="G3222" s="128" t="s">
        <v>2552</v>
      </c>
      <c r="H3222" s="5">
        <v>5</v>
      </c>
      <c r="I3222" s="5" t="str">
        <f>VLOOKUP(F3222,'Set up'!$A$2:$C$70,3,FALSE)</f>
        <v>Cash</v>
      </c>
      <c r="J3222" s="5">
        <f>VLOOKUP(F3222,'Set up'!$A$2:$D$70,4,FALSE)</f>
        <v>0</v>
      </c>
      <c r="K3222" s="4">
        <f t="shared" si="794"/>
        <v>45549</v>
      </c>
      <c r="L3222" s="5">
        <f t="shared" si="795"/>
        <v>9</v>
      </c>
      <c r="M3222" s="5">
        <f t="shared" si="796"/>
        <v>2024</v>
      </c>
      <c r="N3222" s="12">
        <v>8140</v>
      </c>
      <c r="O3222" s="6">
        <f t="shared" si="800"/>
        <v>-8140</v>
      </c>
      <c r="P3222" s="12">
        <f t="shared" si="801"/>
        <v>0</v>
      </c>
      <c r="Q3222" s="7">
        <f t="shared" si="797"/>
        <v>5274922.05</v>
      </c>
      <c r="R3222" s="44" t="str">
        <f>VLOOKUP(F3222,'Set up'!$A$2:$E$70,5,FALSE)</f>
        <v>Trsf</v>
      </c>
      <c r="S3222" s="1" t="s">
        <v>3410</v>
      </c>
    </row>
    <row r="3223" spans="1:19" ht="15" customHeight="1" x14ac:dyDescent="0.3">
      <c r="A3223" s="4">
        <v>45549</v>
      </c>
      <c r="B3223" s="5">
        <f t="shared" si="792"/>
        <v>9</v>
      </c>
      <c r="C3223" s="5">
        <f t="shared" si="793"/>
        <v>2024</v>
      </c>
      <c r="D3223" s="5" t="s">
        <v>2948</v>
      </c>
      <c r="E3223" s="5" t="str">
        <f>VLOOKUP(F3223,'Set up'!$A$2:$C$70,2,FALSE)</f>
        <v>C00000042</v>
      </c>
      <c r="F3223" s="1" t="s">
        <v>2012</v>
      </c>
      <c r="G3223" s="90" t="s">
        <v>1543</v>
      </c>
      <c r="H3223" s="5">
        <v>12</v>
      </c>
      <c r="I3223" s="5" t="str">
        <f>VLOOKUP(F3223,'Set up'!$A$2:$C$70,3,FALSE)</f>
        <v>Cash</v>
      </c>
      <c r="J3223" s="5">
        <f>VLOOKUP(F3223,'Set up'!$A$2:$D$70,4,FALSE)</f>
        <v>0</v>
      </c>
      <c r="K3223" s="4">
        <f t="shared" si="794"/>
        <v>45549</v>
      </c>
      <c r="L3223" s="5">
        <f t="shared" si="795"/>
        <v>9</v>
      </c>
      <c r="M3223" s="5">
        <f t="shared" si="796"/>
        <v>2024</v>
      </c>
      <c r="N3223" s="12">
        <v>2124</v>
      </c>
      <c r="O3223" s="6">
        <f t="shared" si="800"/>
        <v>-2124</v>
      </c>
      <c r="P3223" s="12">
        <f t="shared" si="801"/>
        <v>0</v>
      </c>
      <c r="Q3223" s="7">
        <f t="shared" si="797"/>
        <v>5277046.05</v>
      </c>
      <c r="R3223" s="44" t="str">
        <f>VLOOKUP(F3223,'Set up'!$A$2:$E$70,5,FALSE)</f>
        <v>Trsf</v>
      </c>
      <c r="S3223" s="1" t="s">
        <v>3411</v>
      </c>
    </row>
    <row r="3224" spans="1:19" ht="15" customHeight="1" x14ac:dyDescent="0.3">
      <c r="A3224" s="4">
        <v>45549</v>
      </c>
      <c r="B3224" s="5">
        <f t="shared" si="792"/>
        <v>9</v>
      </c>
      <c r="C3224" s="5">
        <f t="shared" si="793"/>
        <v>2024</v>
      </c>
      <c r="D3224" s="5" t="s">
        <v>2948</v>
      </c>
      <c r="E3224" s="5" t="str">
        <f>VLOOKUP(F3224,'Set up'!$A$2:$C$70,2,FALSE)</f>
        <v>C00000042</v>
      </c>
      <c r="F3224" s="1" t="s">
        <v>2012</v>
      </c>
      <c r="G3224" s="90" t="s">
        <v>1922</v>
      </c>
      <c r="H3224" s="5">
        <v>4</v>
      </c>
      <c r="I3224" s="5" t="str">
        <f>VLOOKUP(F3224,'Set up'!$A$2:$C$70,3,FALSE)</f>
        <v>Cash</v>
      </c>
      <c r="J3224" s="5">
        <f>VLOOKUP(F3224,'Set up'!$A$2:$D$70,4,FALSE)</f>
        <v>0</v>
      </c>
      <c r="K3224" s="4">
        <f t="shared" si="794"/>
        <v>45549</v>
      </c>
      <c r="L3224" s="5">
        <f t="shared" si="795"/>
        <v>9</v>
      </c>
      <c r="M3224" s="5">
        <f t="shared" si="796"/>
        <v>2024</v>
      </c>
      <c r="N3224" s="12">
        <v>954</v>
      </c>
      <c r="O3224" s="6">
        <f t="shared" si="800"/>
        <v>-954</v>
      </c>
      <c r="P3224" s="12">
        <f t="shared" si="801"/>
        <v>0</v>
      </c>
      <c r="Q3224" s="7">
        <f t="shared" si="797"/>
        <v>5278000.05</v>
      </c>
      <c r="R3224" s="44" t="str">
        <f>VLOOKUP(F3224,'Set up'!$A$2:$E$70,5,FALSE)</f>
        <v>Trsf</v>
      </c>
      <c r="S3224" s="1" t="s">
        <v>3412</v>
      </c>
    </row>
    <row r="3225" spans="1:19" ht="15" customHeight="1" x14ac:dyDescent="0.3">
      <c r="A3225" s="4">
        <v>45549</v>
      </c>
      <c r="B3225" s="5">
        <f t="shared" si="792"/>
        <v>9</v>
      </c>
      <c r="C3225" s="5">
        <f t="shared" si="793"/>
        <v>2024</v>
      </c>
      <c r="D3225" s="5" t="s">
        <v>2948</v>
      </c>
      <c r="E3225" s="5" t="str">
        <f>VLOOKUP(F3225,'Set up'!$A$2:$C$70,2,FALSE)</f>
        <v>C00000042</v>
      </c>
      <c r="F3225" s="1" t="s">
        <v>2012</v>
      </c>
      <c r="G3225" s="90" t="s">
        <v>1073</v>
      </c>
      <c r="H3225" s="5">
        <v>1</v>
      </c>
      <c r="I3225" s="5" t="str">
        <f>VLOOKUP(F3225,'Set up'!$A$2:$C$70,3,FALSE)</f>
        <v>Cash</v>
      </c>
      <c r="J3225" s="5">
        <f>VLOOKUP(F3225,'Set up'!$A$2:$D$70,4,FALSE)</f>
        <v>0</v>
      </c>
      <c r="K3225" s="4">
        <f t="shared" si="794"/>
        <v>45549</v>
      </c>
      <c r="L3225" s="5">
        <f t="shared" si="795"/>
        <v>9</v>
      </c>
      <c r="M3225" s="5">
        <f t="shared" si="796"/>
        <v>2024</v>
      </c>
      <c r="N3225" s="12">
        <v>1000</v>
      </c>
      <c r="O3225" s="6">
        <f t="shared" si="800"/>
        <v>-1000</v>
      </c>
      <c r="P3225" s="12">
        <f t="shared" si="801"/>
        <v>0</v>
      </c>
      <c r="Q3225" s="7">
        <f t="shared" si="797"/>
        <v>5279000.05</v>
      </c>
      <c r="R3225" s="44" t="str">
        <f>VLOOKUP(F3225,'Set up'!$A$2:$E$70,5,FALSE)</f>
        <v>Trsf</v>
      </c>
      <c r="S3225" s="1" t="s">
        <v>3407</v>
      </c>
    </row>
    <row r="3226" spans="1:19" ht="15" customHeight="1" x14ac:dyDescent="0.3">
      <c r="A3226" s="4">
        <v>45556</v>
      </c>
      <c r="B3226" s="5">
        <f t="shared" si="792"/>
        <v>9</v>
      </c>
      <c r="C3226" s="5">
        <f t="shared" si="793"/>
        <v>2024</v>
      </c>
      <c r="D3226" s="5" t="s">
        <v>2949</v>
      </c>
      <c r="E3226" s="5" t="str">
        <f>VLOOKUP(F3226,'Set up'!$A$2:$C$70,2,FALSE)</f>
        <v>C00000042</v>
      </c>
      <c r="F3226" s="1" t="s">
        <v>2012</v>
      </c>
      <c r="G3226" s="103" t="s">
        <v>2646</v>
      </c>
      <c r="H3226" s="5">
        <v>3</v>
      </c>
      <c r="I3226" s="5" t="str">
        <f>VLOOKUP(F3226,'Set up'!$A$2:$C$70,3,FALSE)</f>
        <v>Cash</v>
      </c>
      <c r="J3226" s="5">
        <f>VLOOKUP(F3226,'Set up'!$A$2:$D$70,4,FALSE)</f>
        <v>0</v>
      </c>
      <c r="K3226" s="4">
        <f t="shared" si="794"/>
        <v>45556</v>
      </c>
      <c r="L3226" s="5">
        <f t="shared" si="795"/>
        <v>9</v>
      </c>
      <c r="M3226" s="5">
        <f t="shared" si="796"/>
        <v>2024</v>
      </c>
      <c r="N3226" s="12">
        <v>187.5</v>
      </c>
      <c r="O3226" s="6">
        <f t="shared" si="800"/>
        <v>-187.5</v>
      </c>
      <c r="P3226" s="12">
        <f t="shared" si="801"/>
        <v>0</v>
      </c>
      <c r="Q3226" s="7">
        <f t="shared" si="797"/>
        <v>5279187.55</v>
      </c>
      <c r="R3226" s="44" t="str">
        <f>VLOOKUP(F3226,'Set up'!$A$2:$E$70,5,FALSE)</f>
        <v>Trsf</v>
      </c>
      <c r="S3226" s="1" t="s">
        <v>3413</v>
      </c>
    </row>
    <row r="3227" spans="1:19" ht="15" customHeight="1" x14ac:dyDescent="0.3">
      <c r="A3227" s="4">
        <v>45556</v>
      </c>
      <c r="B3227" s="5">
        <f t="shared" si="792"/>
        <v>9</v>
      </c>
      <c r="C3227" s="5">
        <f t="shared" si="793"/>
        <v>2024</v>
      </c>
      <c r="D3227" s="5" t="s">
        <v>2950</v>
      </c>
      <c r="E3227" s="5" t="str">
        <f>VLOOKUP(F3227,'Set up'!$A$2:$C$70,2,FALSE)</f>
        <v>C00000042</v>
      </c>
      <c r="F3227" s="1" t="s">
        <v>2012</v>
      </c>
      <c r="G3227" s="128" t="s">
        <v>2951</v>
      </c>
      <c r="H3227" s="5">
        <v>1</v>
      </c>
      <c r="I3227" s="5" t="str">
        <f>VLOOKUP(F3227,'Set up'!$A$2:$C$70,3,FALSE)</f>
        <v>Cash</v>
      </c>
      <c r="J3227" s="5">
        <f>VLOOKUP(F3227,'Set up'!$A$2:$D$70,4,FALSE)</f>
        <v>0</v>
      </c>
      <c r="K3227" s="4">
        <f t="shared" si="794"/>
        <v>45556</v>
      </c>
      <c r="L3227" s="5">
        <f t="shared" si="795"/>
        <v>9</v>
      </c>
      <c r="M3227" s="5">
        <f t="shared" si="796"/>
        <v>2024</v>
      </c>
      <c r="N3227" s="12">
        <v>1642.5</v>
      </c>
      <c r="O3227" s="6">
        <f t="shared" si="800"/>
        <v>-1642.5</v>
      </c>
      <c r="P3227" s="12">
        <f t="shared" si="801"/>
        <v>0</v>
      </c>
      <c r="Q3227" s="7">
        <f t="shared" si="797"/>
        <v>5280830.05</v>
      </c>
      <c r="R3227" s="44" t="str">
        <f>VLOOKUP(F3227,'Set up'!$A$2:$E$70,5,FALSE)</f>
        <v>Trsf</v>
      </c>
      <c r="S3227" s="1" t="s">
        <v>3414</v>
      </c>
    </row>
    <row r="3228" spans="1:19" ht="15" customHeight="1" x14ac:dyDescent="0.3">
      <c r="A3228" s="4">
        <v>45556</v>
      </c>
      <c r="B3228" s="5">
        <f t="shared" si="792"/>
        <v>9</v>
      </c>
      <c r="C3228" s="5">
        <f t="shared" si="793"/>
        <v>2024</v>
      </c>
      <c r="D3228" s="5" t="s">
        <v>2950</v>
      </c>
      <c r="E3228" s="5" t="str">
        <f>VLOOKUP(F3228,'Set up'!$A$2:$C$70,2,FALSE)</f>
        <v>C00000042</v>
      </c>
      <c r="F3228" s="1" t="s">
        <v>2012</v>
      </c>
      <c r="G3228" s="90" t="s">
        <v>2552</v>
      </c>
      <c r="H3228" s="5">
        <v>2</v>
      </c>
      <c r="I3228" s="5" t="str">
        <f>VLOOKUP(F3228,'Set up'!$A$2:$C$70,3,FALSE)</f>
        <v>Cash</v>
      </c>
      <c r="J3228" s="5">
        <f>VLOOKUP(F3228,'Set up'!$A$2:$D$70,4,FALSE)</f>
        <v>0</v>
      </c>
      <c r="K3228" s="4">
        <f t="shared" si="794"/>
        <v>45556</v>
      </c>
      <c r="L3228" s="5">
        <f t="shared" si="795"/>
        <v>9</v>
      </c>
      <c r="M3228" s="5">
        <f t="shared" si="796"/>
        <v>2024</v>
      </c>
      <c r="N3228" s="12">
        <v>3256</v>
      </c>
      <c r="O3228" s="6">
        <f t="shared" si="800"/>
        <v>-3256</v>
      </c>
      <c r="P3228" s="12">
        <f t="shared" si="801"/>
        <v>0</v>
      </c>
      <c r="Q3228" s="7">
        <f t="shared" si="797"/>
        <v>5284086.05</v>
      </c>
      <c r="R3228" s="44" t="str">
        <f>VLOOKUP(F3228,'Set up'!$A$2:$E$70,5,FALSE)</f>
        <v>Trsf</v>
      </c>
      <c r="S3228" s="1" t="s">
        <v>3415</v>
      </c>
    </row>
    <row r="3229" spans="1:19" ht="15" customHeight="1" x14ac:dyDescent="0.3">
      <c r="A3229" s="4">
        <v>45556</v>
      </c>
      <c r="B3229" s="5">
        <f t="shared" si="792"/>
        <v>9</v>
      </c>
      <c r="C3229" s="5">
        <f t="shared" si="793"/>
        <v>2024</v>
      </c>
      <c r="D3229" s="5" t="s">
        <v>2950</v>
      </c>
      <c r="E3229" s="5" t="str">
        <f>VLOOKUP(F3229,'Set up'!$A$2:$C$70,2,FALSE)</f>
        <v>C00000042</v>
      </c>
      <c r="F3229" s="1" t="s">
        <v>2012</v>
      </c>
      <c r="G3229" s="90" t="s">
        <v>1543</v>
      </c>
      <c r="H3229" s="5">
        <v>6</v>
      </c>
      <c r="I3229" s="5" t="str">
        <f>VLOOKUP(F3229,'Set up'!$A$2:$C$70,3,FALSE)</f>
        <v>Cash</v>
      </c>
      <c r="J3229" s="5">
        <f>VLOOKUP(F3229,'Set up'!$A$2:$D$70,4,FALSE)</f>
        <v>0</v>
      </c>
      <c r="K3229" s="4">
        <f t="shared" si="794"/>
        <v>45556</v>
      </c>
      <c r="L3229" s="5">
        <f t="shared" si="795"/>
        <v>9</v>
      </c>
      <c r="M3229" s="5">
        <f t="shared" si="796"/>
        <v>2024</v>
      </c>
      <c r="N3229" s="12">
        <v>1062</v>
      </c>
      <c r="O3229" s="6">
        <f t="shared" si="800"/>
        <v>-1062</v>
      </c>
      <c r="P3229" s="12">
        <f t="shared" si="801"/>
        <v>0</v>
      </c>
      <c r="Q3229" s="7">
        <f t="shared" si="797"/>
        <v>5285148.05</v>
      </c>
      <c r="R3229" s="44" t="str">
        <f>VLOOKUP(F3229,'Set up'!$A$2:$E$70,5,FALSE)</f>
        <v>Trsf</v>
      </c>
      <c r="S3229" s="1" t="s">
        <v>3416</v>
      </c>
    </row>
    <row r="3230" spans="1:19" ht="15" customHeight="1" x14ac:dyDescent="0.3">
      <c r="A3230" s="4">
        <v>45556</v>
      </c>
      <c r="B3230" s="5">
        <f t="shared" si="792"/>
        <v>9</v>
      </c>
      <c r="C3230" s="5">
        <f t="shared" si="793"/>
        <v>2024</v>
      </c>
      <c r="D3230" s="5" t="s">
        <v>2950</v>
      </c>
      <c r="E3230" s="5" t="str">
        <f>VLOOKUP(F3230,'Set up'!$A$2:$C$70,2,FALSE)</f>
        <v>C00000042</v>
      </c>
      <c r="F3230" s="1" t="s">
        <v>2012</v>
      </c>
      <c r="G3230" s="90" t="s">
        <v>1922</v>
      </c>
      <c r="H3230" s="5">
        <v>1</v>
      </c>
      <c r="I3230" s="5" t="str">
        <f>VLOOKUP(F3230,'Set up'!$A$2:$C$70,3,FALSE)</f>
        <v>Cash</v>
      </c>
      <c r="J3230" s="5">
        <f>VLOOKUP(F3230,'Set up'!$A$2:$D$70,4,FALSE)</f>
        <v>0</v>
      </c>
      <c r="K3230" s="4">
        <f t="shared" si="794"/>
        <v>45556</v>
      </c>
      <c r="L3230" s="5">
        <f t="shared" si="795"/>
        <v>9</v>
      </c>
      <c r="M3230" s="5">
        <f t="shared" si="796"/>
        <v>2024</v>
      </c>
      <c r="N3230" s="12">
        <v>238.5</v>
      </c>
      <c r="O3230" s="6">
        <f t="shared" si="800"/>
        <v>-238.5</v>
      </c>
      <c r="P3230" s="12">
        <f t="shared" si="801"/>
        <v>0</v>
      </c>
      <c r="Q3230" s="7">
        <f t="shared" si="797"/>
        <v>5285386.55</v>
      </c>
      <c r="R3230" s="44" t="str">
        <f>VLOOKUP(F3230,'Set up'!$A$2:$E$70,5,FALSE)</f>
        <v>Trsf</v>
      </c>
      <c r="S3230" s="1" t="s">
        <v>3417</v>
      </c>
    </row>
    <row r="3231" spans="1:19" ht="15" customHeight="1" x14ac:dyDescent="0.3">
      <c r="A3231" s="4">
        <v>45556</v>
      </c>
      <c r="B3231" s="5">
        <f t="shared" si="792"/>
        <v>9</v>
      </c>
      <c r="C3231" s="5">
        <f t="shared" si="793"/>
        <v>2024</v>
      </c>
      <c r="D3231" s="5" t="s">
        <v>2950</v>
      </c>
      <c r="E3231" s="5" t="str">
        <f>VLOOKUP(F3231,'Set up'!$A$2:$C$70,2,FALSE)</f>
        <v>C00000042</v>
      </c>
      <c r="F3231" s="1" t="s">
        <v>2012</v>
      </c>
      <c r="G3231" s="90" t="s">
        <v>1061</v>
      </c>
      <c r="H3231" s="5">
        <v>4</v>
      </c>
      <c r="I3231" s="5" t="str">
        <f>VLOOKUP(F3231,'Set up'!$A$2:$C$70,3,FALSE)</f>
        <v>Cash</v>
      </c>
      <c r="J3231" s="5">
        <f>VLOOKUP(F3231,'Set up'!$A$2:$D$70,4,FALSE)</f>
        <v>0</v>
      </c>
      <c r="K3231" s="4">
        <f t="shared" si="794"/>
        <v>45556</v>
      </c>
      <c r="L3231" s="5">
        <f t="shared" si="795"/>
        <v>9</v>
      </c>
      <c r="M3231" s="5">
        <f t="shared" si="796"/>
        <v>2024</v>
      </c>
      <c r="N3231" s="12">
        <v>380</v>
      </c>
      <c r="O3231" s="6">
        <f t="shared" si="800"/>
        <v>-380</v>
      </c>
      <c r="P3231" s="12">
        <f t="shared" si="801"/>
        <v>0</v>
      </c>
      <c r="Q3231" s="7">
        <f t="shared" si="797"/>
        <v>5285766.55</v>
      </c>
      <c r="R3231" s="44" t="str">
        <f>VLOOKUP(F3231,'Set up'!$A$2:$E$70,5,FALSE)</f>
        <v>Trsf</v>
      </c>
      <c r="S3231" s="1" t="s">
        <v>3408</v>
      </c>
    </row>
    <row r="3232" spans="1:19" ht="15" customHeight="1" x14ac:dyDescent="0.3">
      <c r="A3232" s="4">
        <v>45558</v>
      </c>
      <c r="B3232" s="5">
        <f t="shared" si="792"/>
        <v>9</v>
      </c>
      <c r="C3232" s="5">
        <f t="shared" si="793"/>
        <v>2024</v>
      </c>
      <c r="D3232" s="5" t="s">
        <v>2952</v>
      </c>
      <c r="E3232" s="5" t="str">
        <f>VLOOKUP(F3232,'Set up'!$A$2:$C$70,2,FALSE)</f>
        <v>C00000042</v>
      </c>
      <c r="F3232" s="1" t="s">
        <v>2012</v>
      </c>
      <c r="G3232" s="103" t="s">
        <v>2646</v>
      </c>
      <c r="H3232" s="5">
        <v>4</v>
      </c>
      <c r="I3232" s="5" t="str">
        <f>VLOOKUP(F3232,'Set up'!$A$2:$C$70,3,FALSE)</f>
        <v>Cash</v>
      </c>
      <c r="J3232" s="5">
        <f>VLOOKUP(F3232,'Set up'!$A$2:$D$70,4,FALSE)</f>
        <v>0</v>
      </c>
      <c r="K3232" s="4">
        <f t="shared" si="794"/>
        <v>45558</v>
      </c>
      <c r="L3232" s="5">
        <f t="shared" si="795"/>
        <v>9</v>
      </c>
      <c r="M3232" s="5">
        <f t="shared" si="796"/>
        <v>2024</v>
      </c>
      <c r="N3232" s="12">
        <v>250</v>
      </c>
      <c r="O3232" s="6">
        <f t="shared" si="800"/>
        <v>-250</v>
      </c>
      <c r="P3232" s="12">
        <f t="shared" si="801"/>
        <v>0</v>
      </c>
      <c r="Q3232" s="7">
        <f t="shared" si="797"/>
        <v>5286016.55</v>
      </c>
      <c r="R3232" s="44" t="str">
        <f>VLOOKUP(F3232,'Set up'!$A$2:$E$70,5,FALSE)</f>
        <v>Trsf</v>
      </c>
      <c r="S3232" s="1" t="s">
        <v>3418</v>
      </c>
    </row>
    <row r="3233" spans="1:21" ht="15" customHeight="1" x14ac:dyDescent="0.3">
      <c r="A3233" s="4">
        <v>45558</v>
      </c>
      <c r="B3233" s="5">
        <f t="shared" si="792"/>
        <v>9</v>
      </c>
      <c r="C3233" s="5">
        <f t="shared" si="793"/>
        <v>2024</v>
      </c>
      <c r="D3233" s="5" t="s">
        <v>2953</v>
      </c>
      <c r="E3233" s="5" t="str">
        <f>VLOOKUP(F3233,'Set up'!$A$2:$C$70,2,FALSE)</f>
        <v>C00000042</v>
      </c>
      <c r="F3233" s="1" t="s">
        <v>2012</v>
      </c>
      <c r="G3233" s="128" t="s">
        <v>2552</v>
      </c>
      <c r="H3233" s="5">
        <v>4</v>
      </c>
      <c r="I3233" s="5" t="str">
        <f>VLOOKUP(F3233,'Set up'!$A$2:$C$70,3,FALSE)</f>
        <v>Cash</v>
      </c>
      <c r="J3233" s="5">
        <f>VLOOKUP(F3233,'Set up'!$A$2:$D$70,4,FALSE)</f>
        <v>0</v>
      </c>
      <c r="K3233" s="4">
        <f t="shared" si="794"/>
        <v>45558</v>
      </c>
      <c r="L3233" s="5">
        <f t="shared" si="795"/>
        <v>9</v>
      </c>
      <c r="M3233" s="5">
        <f t="shared" si="796"/>
        <v>2024</v>
      </c>
      <c r="N3233" s="12">
        <v>6512</v>
      </c>
      <c r="O3233" s="6">
        <f t="shared" si="800"/>
        <v>-6512</v>
      </c>
      <c r="P3233" s="12">
        <f t="shared" si="801"/>
        <v>0</v>
      </c>
      <c r="Q3233" s="7">
        <f t="shared" si="797"/>
        <v>5292528.55</v>
      </c>
      <c r="R3233" s="44" t="str">
        <f>VLOOKUP(F3233,'Set up'!$A$2:$E$70,5,FALSE)</f>
        <v>Trsf</v>
      </c>
      <c r="S3233" s="1" t="s">
        <v>3419</v>
      </c>
    </row>
    <row r="3234" spans="1:21" ht="15" customHeight="1" x14ac:dyDescent="0.3">
      <c r="A3234" s="4">
        <v>45558</v>
      </c>
      <c r="B3234" s="5">
        <f t="shared" si="792"/>
        <v>9</v>
      </c>
      <c r="C3234" s="5">
        <f t="shared" si="793"/>
        <v>2024</v>
      </c>
      <c r="D3234" s="5" t="s">
        <v>2953</v>
      </c>
      <c r="E3234" s="5" t="str">
        <f>VLOOKUP(F3234,'Set up'!$A$2:$C$70,2,FALSE)</f>
        <v>C00000042</v>
      </c>
      <c r="F3234" s="1" t="s">
        <v>2012</v>
      </c>
      <c r="G3234" s="90" t="s">
        <v>1543</v>
      </c>
      <c r="H3234" s="5">
        <v>12</v>
      </c>
      <c r="I3234" s="5" t="str">
        <f>VLOOKUP(F3234,'Set up'!$A$2:$C$70,3,FALSE)</f>
        <v>Cash</v>
      </c>
      <c r="J3234" s="5">
        <f>VLOOKUP(F3234,'Set up'!$A$2:$D$70,4,FALSE)</f>
        <v>0</v>
      </c>
      <c r="K3234" s="4">
        <f t="shared" si="794"/>
        <v>45558</v>
      </c>
      <c r="L3234" s="5">
        <f t="shared" si="795"/>
        <v>9</v>
      </c>
      <c r="M3234" s="5">
        <f t="shared" si="796"/>
        <v>2024</v>
      </c>
      <c r="N3234" s="12">
        <v>2124</v>
      </c>
      <c r="O3234" s="6">
        <f t="shared" si="800"/>
        <v>-2124</v>
      </c>
      <c r="P3234" s="12">
        <f t="shared" si="801"/>
        <v>0</v>
      </c>
      <c r="Q3234" s="7">
        <f t="shared" si="797"/>
        <v>5294652.55</v>
      </c>
      <c r="R3234" s="44" t="str">
        <f>VLOOKUP(F3234,'Set up'!$A$2:$E$70,5,FALSE)</f>
        <v>Trsf</v>
      </c>
      <c r="S3234" s="1" t="s">
        <v>3411</v>
      </c>
    </row>
    <row r="3235" spans="1:21" ht="15" customHeight="1" x14ac:dyDescent="0.3">
      <c r="A3235" s="4">
        <v>45558</v>
      </c>
      <c r="B3235" s="5">
        <f t="shared" si="792"/>
        <v>9</v>
      </c>
      <c r="C3235" s="5">
        <f t="shared" si="793"/>
        <v>2024</v>
      </c>
      <c r="D3235" s="5" t="s">
        <v>2953</v>
      </c>
      <c r="E3235" s="5" t="str">
        <f>VLOOKUP(F3235,'Set up'!$A$2:$C$70,2,FALSE)</f>
        <v>C00000042</v>
      </c>
      <c r="F3235" s="1" t="s">
        <v>2012</v>
      </c>
      <c r="G3235" s="90" t="s">
        <v>1922</v>
      </c>
      <c r="H3235" s="5">
        <v>6</v>
      </c>
      <c r="I3235" s="5" t="str">
        <f>VLOOKUP(F3235,'Set up'!$A$2:$C$70,3,FALSE)</f>
        <v>Cash</v>
      </c>
      <c r="J3235" s="5">
        <f>VLOOKUP(F3235,'Set up'!$A$2:$D$70,4,FALSE)</f>
        <v>0</v>
      </c>
      <c r="K3235" s="4">
        <f t="shared" si="794"/>
        <v>45558</v>
      </c>
      <c r="L3235" s="5">
        <f t="shared" si="795"/>
        <v>9</v>
      </c>
      <c r="M3235" s="5">
        <f t="shared" si="796"/>
        <v>2024</v>
      </c>
      <c r="N3235" s="12">
        <v>1431</v>
      </c>
      <c r="O3235" s="6">
        <f t="shared" si="800"/>
        <v>-1431</v>
      </c>
      <c r="P3235" s="12">
        <f t="shared" si="801"/>
        <v>0</v>
      </c>
      <c r="Q3235" s="7">
        <f t="shared" si="797"/>
        <v>5296083.55</v>
      </c>
      <c r="R3235" s="44" t="str">
        <f>VLOOKUP(F3235,'Set up'!$A$2:$E$70,5,FALSE)</f>
        <v>Trsf</v>
      </c>
      <c r="S3235" s="1" t="s">
        <v>3420</v>
      </c>
    </row>
    <row r="3236" spans="1:21" ht="15" customHeight="1" x14ac:dyDescent="0.3">
      <c r="A3236" s="4">
        <v>45558</v>
      </c>
      <c r="B3236" s="5">
        <f t="shared" si="792"/>
        <v>9</v>
      </c>
      <c r="C3236" s="5">
        <f t="shared" si="793"/>
        <v>2024</v>
      </c>
      <c r="D3236" s="5" t="s">
        <v>2953</v>
      </c>
      <c r="E3236" s="5" t="str">
        <f>VLOOKUP(F3236,'Set up'!$A$2:$C$70,2,FALSE)</f>
        <v>C00000042</v>
      </c>
      <c r="F3236" s="1" t="s">
        <v>2012</v>
      </c>
      <c r="G3236" s="90" t="s">
        <v>2744</v>
      </c>
      <c r="H3236" s="5">
        <v>1</v>
      </c>
      <c r="I3236" s="5" t="str">
        <f>VLOOKUP(F3236,'Set up'!$A$2:$C$70,3,FALSE)</f>
        <v>Cash</v>
      </c>
      <c r="J3236" s="5">
        <f>VLOOKUP(F3236,'Set up'!$A$2:$D$70,4,FALSE)</f>
        <v>0</v>
      </c>
      <c r="K3236" s="4">
        <f t="shared" si="794"/>
        <v>45558</v>
      </c>
      <c r="L3236" s="5">
        <f t="shared" si="795"/>
        <v>9</v>
      </c>
      <c r="M3236" s="5">
        <f t="shared" si="796"/>
        <v>2024</v>
      </c>
      <c r="N3236" s="12">
        <v>975</v>
      </c>
      <c r="O3236" s="12">
        <f>-957.6-17.4</f>
        <v>-975</v>
      </c>
      <c r="P3236" s="12">
        <f t="shared" si="801"/>
        <v>0</v>
      </c>
      <c r="Q3236" s="7">
        <f t="shared" si="797"/>
        <v>5297058.55</v>
      </c>
      <c r="R3236" s="44" t="str">
        <f>VLOOKUP(F3236,'Set up'!$A$2:$E$70,5,FALSE)</f>
        <v>Trsf</v>
      </c>
      <c r="S3236" s="1" t="s">
        <v>3481</v>
      </c>
    </row>
    <row r="3237" spans="1:21" ht="15" customHeight="1" x14ac:dyDescent="0.3">
      <c r="A3237" s="4">
        <v>45560</v>
      </c>
      <c r="B3237" s="5">
        <f t="shared" si="792"/>
        <v>9</v>
      </c>
      <c r="C3237" s="5">
        <f t="shared" si="793"/>
        <v>2024</v>
      </c>
      <c r="D3237" s="5" t="s">
        <v>2954</v>
      </c>
      <c r="E3237" s="5" t="str">
        <f>VLOOKUP(F3237,'Set up'!$A$2:$C$70,2,FALSE)</f>
        <v>C00000044</v>
      </c>
      <c r="F3237" s="1" t="s">
        <v>2929</v>
      </c>
      <c r="G3237" s="119" t="s">
        <v>2570</v>
      </c>
      <c r="H3237" s="5">
        <v>2</v>
      </c>
      <c r="I3237" s="5" t="str">
        <f>VLOOKUP(F3237,'Set up'!$A$2:$C$70,3,FALSE)</f>
        <v>Cash</v>
      </c>
      <c r="J3237" s="5">
        <f>VLOOKUP(F3237,'Set up'!$A$2:$D$70,4,FALSE)</f>
        <v>0</v>
      </c>
      <c r="K3237" s="4">
        <f t="shared" si="794"/>
        <v>45560</v>
      </c>
      <c r="L3237" s="5">
        <f t="shared" si="795"/>
        <v>9</v>
      </c>
      <c r="M3237" s="5">
        <f t="shared" si="796"/>
        <v>2024</v>
      </c>
      <c r="N3237" s="12">
        <v>420</v>
      </c>
      <c r="O3237" s="6">
        <f t="shared" ref="O3237" si="802">-N3237</f>
        <v>-420</v>
      </c>
      <c r="P3237" s="12">
        <f t="shared" si="801"/>
        <v>0</v>
      </c>
      <c r="Q3237" s="7">
        <f t="shared" si="797"/>
        <v>5297478.55</v>
      </c>
      <c r="R3237" s="44" t="str">
        <f>VLOOKUP(F3237,'Set up'!$A$2:$E$70,5,FALSE)</f>
        <v>Cash</v>
      </c>
      <c r="S3237" s="1" t="s">
        <v>2966</v>
      </c>
    </row>
    <row r="3238" spans="1:21" ht="15" customHeight="1" x14ac:dyDescent="0.3">
      <c r="A3238" s="4">
        <v>45561</v>
      </c>
      <c r="B3238" s="5">
        <f t="shared" si="792"/>
        <v>9</v>
      </c>
      <c r="C3238" s="5">
        <f t="shared" si="793"/>
        <v>2024</v>
      </c>
      <c r="D3238" s="5" t="s">
        <v>2955</v>
      </c>
      <c r="E3238" s="5" t="str">
        <f>VLOOKUP(F3238,'Set up'!$A$2:$C$70,2,FALSE)</f>
        <v>C00000019</v>
      </c>
      <c r="F3238" s="1" t="s">
        <v>400</v>
      </c>
      <c r="G3238" s="90" t="s">
        <v>95</v>
      </c>
      <c r="H3238" s="5">
        <v>1</v>
      </c>
      <c r="I3238" s="5" t="str">
        <f>VLOOKUP(F3238,'Set up'!$A$2:$C$70,3,FALSE)</f>
        <v>Cash</v>
      </c>
      <c r="J3238" s="5">
        <f>VLOOKUP(F3238,'Set up'!$A$2:$D$70,4,FALSE)</f>
        <v>0</v>
      </c>
      <c r="K3238" s="4">
        <f t="shared" si="794"/>
        <v>45561</v>
      </c>
      <c r="L3238" s="5">
        <f t="shared" si="795"/>
        <v>9</v>
      </c>
      <c r="M3238" s="5">
        <f t="shared" si="796"/>
        <v>2024</v>
      </c>
      <c r="N3238" s="98">
        <v>1760</v>
      </c>
      <c r="O3238" s="12"/>
      <c r="P3238" s="12">
        <f t="shared" si="801"/>
        <v>1760</v>
      </c>
      <c r="Q3238" s="7">
        <f t="shared" si="797"/>
        <v>5299238.55</v>
      </c>
      <c r="R3238" s="44" t="str">
        <f>VLOOKUP(F3238,'Set up'!$A$2:$E$70,5,FALSE)</f>
        <v>Trsf</v>
      </c>
    </row>
    <row r="3239" spans="1:21" ht="15" customHeight="1" x14ac:dyDescent="0.3">
      <c r="A3239" s="4">
        <v>45561</v>
      </c>
      <c r="B3239" s="5">
        <f t="shared" si="792"/>
        <v>9</v>
      </c>
      <c r="C3239" s="5">
        <f t="shared" si="793"/>
        <v>2024</v>
      </c>
      <c r="D3239" s="5" t="s">
        <v>2955</v>
      </c>
      <c r="E3239" s="5" t="str">
        <f>VLOOKUP(F3239,'Set up'!$A$2:$C$70,2,FALSE)</f>
        <v>C00000019</v>
      </c>
      <c r="F3239" s="1" t="s">
        <v>400</v>
      </c>
      <c r="G3239" s="90" t="s">
        <v>1411</v>
      </c>
      <c r="H3239" s="5">
        <v>1</v>
      </c>
      <c r="I3239" s="5" t="str">
        <f>VLOOKUP(F3239,'Set up'!$A$2:$C$70,3,FALSE)</f>
        <v>Cash</v>
      </c>
      <c r="J3239" s="5">
        <f>VLOOKUP(F3239,'Set up'!$A$2:$D$70,4,FALSE)</f>
        <v>0</v>
      </c>
      <c r="K3239" s="4">
        <f t="shared" si="794"/>
        <v>45561</v>
      </c>
      <c r="L3239" s="5">
        <f t="shared" si="795"/>
        <v>9</v>
      </c>
      <c r="M3239" s="5">
        <f t="shared" si="796"/>
        <v>2024</v>
      </c>
      <c r="N3239" s="98">
        <v>405</v>
      </c>
      <c r="O3239" s="12"/>
      <c r="P3239" s="12">
        <f t="shared" si="801"/>
        <v>405</v>
      </c>
      <c r="Q3239" s="7">
        <f t="shared" si="797"/>
        <v>5299643.55</v>
      </c>
      <c r="R3239" s="44" t="str">
        <f>VLOOKUP(F3239,'Set up'!$A$2:$E$70,5,FALSE)</f>
        <v>Trsf</v>
      </c>
    </row>
    <row r="3240" spans="1:21" ht="15" customHeight="1" x14ac:dyDescent="0.3">
      <c r="A3240" s="4">
        <v>45561</v>
      </c>
      <c r="B3240" s="5">
        <f t="shared" si="792"/>
        <v>9</v>
      </c>
      <c r="C3240" s="5">
        <f t="shared" si="793"/>
        <v>2024</v>
      </c>
      <c r="D3240" s="5" t="s">
        <v>2955</v>
      </c>
      <c r="E3240" s="5" t="str">
        <f>VLOOKUP(F3240,'Set up'!$A$2:$C$70,2,FALSE)</f>
        <v>C00000019</v>
      </c>
      <c r="F3240" s="1" t="s">
        <v>400</v>
      </c>
      <c r="G3240" s="90" t="s">
        <v>46</v>
      </c>
      <c r="H3240" s="5">
        <v>1</v>
      </c>
      <c r="I3240" s="5" t="str">
        <f>VLOOKUP(F3240,'Set up'!$A$2:$C$70,3,FALSE)</f>
        <v>Cash</v>
      </c>
      <c r="J3240" s="5">
        <f>VLOOKUP(F3240,'Set up'!$A$2:$D$70,4,FALSE)</f>
        <v>0</v>
      </c>
      <c r="K3240" s="4">
        <f t="shared" si="794"/>
        <v>45561</v>
      </c>
      <c r="L3240" s="5">
        <f t="shared" si="795"/>
        <v>9</v>
      </c>
      <c r="M3240" s="5">
        <f t="shared" si="796"/>
        <v>2024</v>
      </c>
      <c r="N3240" s="98">
        <v>110</v>
      </c>
      <c r="O3240" s="12"/>
      <c r="P3240" s="12">
        <f t="shared" si="801"/>
        <v>110</v>
      </c>
      <c r="Q3240" s="7">
        <f t="shared" si="797"/>
        <v>5299753.55</v>
      </c>
      <c r="R3240" s="44" t="str">
        <f>VLOOKUP(F3240,'Set up'!$A$2:$E$70,5,FALSE)</f>
        <v>Trsf</v>
      </c>
    </row>
    <row r="3241" spans="1:21" ht="15" customHeight="1" x14ac:dyDescent="0.3">
      <c r="A3241" s="4">
        <v>45561</v>
      </c>
      <c r="B3241" s="5">
        <f t="shared" si="792"/>
        <v>9</v>
      </c>
      <c r="C3241" s="5">
        <f t="shared" si="793"/>
        <v>2024</v>
      </c>
      <c r="D3241" s="5" t="s">
        <v>2955</v>
      </c>
      <c r="E3241" s="5" t="str">
        <f>VLOOKUP(F3241,'Set up'!$A$2:$C$70,2,FALSE)</f>
        <v>C00000019</v>
      </c>
      <c r="F3241" s="1" t="s">
        <v>400</v>
      </c>
      <c r="G3241" s="90" t="s">
        <v>1469</v>
      </c>
      <c r="H3241" s="5">
        <v>1</v>
      </c>
      <c r="I3241" s="5" t="str">
        <f>VLOOKUP(F3241,'Set up'!$A$2:$C$70,3,FALSE)</f>
        <v>Cash</v>
      </c>
      <c r="J3241" s="5">
        <f>VLOOKUP(F3241,'Set up'!$A$2:$D$70,4,FALSE)</f>
        <v>0</v>
      </c>
      <c r="K3241" s="4">
        <f t="shared" si="794"/>
        <v>45561</v>
      </c>
      <c r="L3241" s="5">
        <f t="shared" si="795"/>
        <v>9</v>
      </c>
      <c r="M3241" s="5">
        <f t="shared" si="796"/>
        <v>2024</v>
      </c>
      <c r="N3241" s="98">
        <v>390</v>
      </c>
      <c r="O3241" s="12"/>
      <c r="P3241" s="12">
        <f t="shared" si="801"/>
        <v>390</v>
      </c>
      <c r="Q3241" s="7">
        <f t="shared" si="797"/>
        <v>5300143.55</v>
      </c>
      <c r="R3241" s="44" t="str">
        <f>VLOOKUP(F3241,'Set up'!$A$2:$E$70,5,FALSE)</f>
        <v>Trsf</v>
      </c>
    </row>
    <row r="3242" spans="1:21" ht="15" customHeight="1" x14ac:dyDescent="0.3">
      <c r="A3242" s="4">
        <v>45561</v>
      </c>
      <c r="B3242" s="5">
        <f t="shared" si="792"/>
        <v>9</v>
      </c>
      <c r="C3242" s="5">
        <f t="shared" si="793"/>
        <v>2024</v>
      </c>
      <c r="D3242" s="5" t="s">
        <v>2955</v>
      </c>
      <c r="E3242" s="5" t="str">
        <f>VLOOKUP(F3242,'Set up'!$A$2:$C$70,2,FALSE)</f>
        <v>C00000019</v>
      </c>
      <c r="F3242" s="1" t="s">
        <v>400</v>
      </c>
      <c r="G3242" s="90" t="s">
        <v>2098</v>
      </c>
      <c r="H3242" s="5">
        <v>1</v>
      </c>
      <c r="I3242" s="5" t="str">
        <f>VLOOKUP(F3242,'Set up'!$A$2:$C$70,3,FALSE)</f>
        <v>Cash</v>
      </c>
      <c r="J3242" s="5">
        <f>VLOOKUP(F3242,'Set up'!$A$2:$D$70,4,FALSE)</f>
        <v>0</v>
      </c>
      <c r="K3242" s="4">
        <f t="shared" si="794"/>
        <v>45561</v>
      </c>
      <c r="L3242" s="5">
        <f t="shared" si="795"/>
        <v>9</v>
      </c>
      <c r="M3242" s="5">
        <f t="shared" si="796"/>
        <v>2024</v>
      </c>
      <c r="N3242" s="98">
        <v>283.8</v>
      </c>
      <c r="O3242" s="12"/>
      <c r="P3242" s="12">
        <f t="shared" si="801"/>
        <v>283.8</v>
      </c>
      <c r="Q3242" s="7">
        <f t="shared" si="797"/>
        <v>5300427.3499999996</v>
      </c>
      <c r="R3242" s="44" t="str">
        <f>VLOOKUP(F3242,'Set up'!$A$2:$E$70,5,FALSE)</f>
        <v>Trsf</v>
      </c>
    </row>
    <row r="3243" spans="1:21" ht="15" customHeight="1" x14ac:dyDescent="0.3">
      <c r="A3243" s="4">
        <v>45561</v>
      </c>
      <c r="B3243" s="5">
        <f t="shared" si="792"/>
        <v>9</v>
      </c>
      <c r="C3243" s="5">
        <f t="shared" si="793"/>
        <v>2024</v>
      </c>
      <c r="D3243" s="5" t="s">
        <v>2955</v>
      </c>
      <c r="E3243" s="5" t="str">
        <f>VLOOKUP(F3243,'Set up'!$A$2:$C$70,2,FALSE)</f>
        <v>C00000019</v>
      </c>
      <c r="F3243" s="1" t="s">
        <v>400</v>
      </c>
      <c r="G3243" s="89" t="s">
        <v>894</v>
      </c>
      <c r="H3243" s="5">
        <v>1</v>
      </c>
      <c r="I3243" s="5" t="str">
        <f>VLOOKUP(F3243,'Set up'!$A$2:$C$70,3,FALSE)</f>
        <v>Cash</v>
      </c>
      <c r="J3243" s="5">
        <f>VLOOKUP(F3243,'Set up'!$A$2:$D$70,4,FALSE)</f>
        <v>0</v>
      </c>
      <c r="K3243" s="4">
        <f t="shared" si="794"/>
        <v>45561</v>
      </c>
      <c r="L3243" s="5">
        <f t="shared" si="795"/>
        <v>9</v>
      </c>
      <c r="M3243" s="5">
        <f t="shared" si="796"/>
        <v>2024</v>
      </c>
      <c r="N3243" s="98">
        <v>150</v>
      </c>
      <c r="O3243" s="12"/>
      <c r="P3243" s="12">
        <f t="shared" si="801"/>
        <v>150</v>
      </c>
      <c r="Q3243" s="7">
        <f t="shared" si="797"/>
        <v>5300577.3499999996</v>
      </c>
      <c r="R3243" s="44" t="str">
        <f>VLOOKUP(F3243,'Set up'!$A$2:$E$70,5,FALSE)</f>
        <v>Trsf</v>
      </c>
    </row>
    <row r="3244" spans="1:21" ht="15" customHeight="1" x14ac:dyDescent="0.3">
      <c r="A3244" s="4">
        <v>45561</v>
      </c>
      <c r="B3244" s="5">
        <f t="shared" si="792"/>
        <v>9</v>
      </c>
      <c r="C3244" s="5">
        <f t="shared" si="793"/>
        <v>2024</v>
      </c>
      <c r="D3244" s="5" t="s">
        <v>2955</v>
      </c>
      <c r="E3244" s="5" t="str">
        <f>VLOOKUP(F3244,'Set up'!$A$2:$C$70,2,FALSE)</f>
        <v>C00000019</v>
      </c>
      <c r="F3244" s="1" t="s">
        <v>400</v>
      </c>
      <c r="G3244" s="90" t="s">
        <v>2869</v>
      </c>
      <c r="H3244" s="5">
        <v>1</v>
      </c>
      <c r="I3244" s="5" t="str">
        <f>VLOOKUP(F3244,'Set up'!$A$2:$C$70,3,FALSE)</f>
        <v>Cash</v>
      </c>
      <c r="J3244" s="5">
        <f>VLOOKUP(F3244,'Set up'!$A$2:$D$70,4,FALSE)</f>
        <v>0</v>
      </c>
      <c r="K3244" s="4">
        <f t="shared" si="794"/>
        <v>45561</v>
      </c>
      <c r="L3244" s="5">
        <f t="shared" si="795"/>
        <v>9</v>
      </c>
      <c r="M3244" s="5">
        <f t="shared" si="796"/>
        <v>2024</v>
      </c>
      <c r="N3244" s="98">
        <v>260</v>
      </c>
      <c r="O3244" s="12"/>
      <c r="P3244" s="12">
        <f t="shared" si="801"/>
        <v>260</v>
      </c>
      <c r="Q3244" s="7">
        <f t="shared" si="797"/>
        <v>5300837.3499999996</v>
      </c>
      <c r="R3244" s="44" t="str">
        <f>VLOOKUP(F3244,'Set up'!$A$2:$E$70,5,FALSE)</f>
        <v>Trsf</v>
      </c>
    </row>
    <row r="3245" spans="1:21" ht="15" customHeight="1" x14ac:dyDescent="0.3">
      <c r="A3245" s="4">
        <v>45561</v>
      </c>
      <c r="B3245" s="5">
        <f t="shared" si="792"/>
        <v>9</v>
      </c>
      <c r="C3245" s="5">
        <f t="shared" si="793"/>
        <v>2024</v>
      </c>
      <c r="D3245" s="5" t="s">
        <v>2956</v>
      </c>
      <c r="E3245" s="5" t="str">
        <f>VLOOKUP(F3245,'Set up'!$A$2:$C$70,2,FALSE)</f>
        <v>C00000003</v>
      </c>
      <c r="F3245" s="1" t="s">
        <v>20</v>
      </c>
      <c r="G3245" s="107" t="s">
        <v>716</v>
      </c>
      <c r="H3245" s="5">
        <v>1</v>
      </c>
      <c r="I3245" s="5">
        <f>VLOOKUP(F3245,'Set up'!$A$2:$C$70,3,FALSE)</f>
        <v>45</v>
      </c>
      <c r="J3245" s="5">
        <f>VLOOKUP(F3245,'Set up'!$A$2:$D$70,4,FALSE)</f>
        <v>45</v>
      </c>
      <c r="K3245" s="4">
        <f t="shared" si="794"/>
        <v>45606</v>
      </c>
      <c r="L3245" s="5">
        <f t="shared" si="795"/>
        <v>11</v>
      </c>
      <c r="M3245" s="5">
        <f t="shared" si="796"/>
        <v>2024</v>
      </c>
      <c r="N3245" s="12">
        <v>1738</v>
      </c>
      <c r="O3245" s="12">
        <f>-1000-738</f>
        <v>-1738</v>
      </c>
      <c r="P3245" s="12">
        <f t="shared" si="801"/>
        <v>0</v>
      </c>
      <c r="Q3245" s="7">
        <f t="shared" si="797"/>
        <v>5302575.3499999996</v>
      </c>
      <c r="R3245" s="44" t="str">
        <f>VLOOKUP(F3245,'Set up'!$A$2:$E$70,5,FALSE)</f>
        <v>PD Chq</v>
      </c>
      <c r="S3245" s="1" t="s">
        <v>3207</v>
      </c>
      <c r="U3245" s="1" t="s">
        <v>3603</v>
      </c>
    </row>
    <row r="3246" spans="1:21" ht="15" customHeight="1" x14ac:dyDescent="0.3">
      <c r="A3246" s="4">
        <v>45561</v>
      </c>
      <c r="B3246" s="5">
        <f t="shared" si="792"/>
        <v>9</v>
      </c>
      <c r="C3246" s="5">
        <f t="shared" si="793"/>
        <v>2024</v>
      </c>
      <c r="D3246" s="5" t="s">
        <v>2956</v>
      </c>
      <c r="E3246" s="5" t="str">
        <f>VLOOKUP(F3246,'Set up'!$A$2:$C$70,2,FALSE)</f>
        <v>C00000003</v>
      </c>
      <c r="F3246" s="1" t="s">
        <v>20</v>
      </c>
      <c r="G3246" s="99" t="s">
        <v>17</v>
      </c>
      <c r="H3246" s="5">
        <v>2</v>
      </c>
      <c r="I3246" s="5">
        <f>VLOOKUP(F3246,'Set up'!$A$2:$C$70,3,FALSE)</f>
        <v>45</v>
      </c>
      <c r="J3246" s="5">
        <f>VLOOKUP(F3246,'Set up'!$A$2:$D$70,4,FALSE)</f>
        <v>45</v>
      </c>
      <c r="K3246" s="4">
        <f t="shared" si="794"/>
        <v>45606</v>
      </c>
      <c r="L3246" s="5">
        <f t="shared" si="795"/>
        <v>11</v>
      </c>
      <c r="M3246" s="5">
        <f t="shared" si="796"/>
        <v>2024</v>
      </c>
      <c r="N3246" s="12">
        <v>220</v>
      </c>
      <c r="O3246" s="6">
        <f>-N3246</f>
        <v>-220</v>
      </c>
      <c r="P3246" s="12">
        <f t="shared" si="801"/>
        <v>0</v>
      </c>
      <c r="Q3246" s="7">
        <f t="shared" si="797"/>
        <v>5302795.3499999996</v>
      </c>
      <c r="R3246" s="44" t="str">
        <f>VLOOKUP(F3246,'Set up'!$A$2:$E$70,5,FALSE)</f>
        <v>PD Chq</v>
      </c>
      <c r="S3246" s="1" t="s">
        <v>3208</v>
      </c>
      <c r="U3246" s="1" t="s">
        <v>3603</v>
      </c>
    </row>
    <row r="3247" spans="1:21" ht="15" customHeight="1" x14ac:dyDescent="0.3">
      <c r="A3247" s="4">
        <v>45561</v>
      </c>
      <c r="B3247" s="5">
        <f t="shared" si="792"/>
        <v>9</v>
      </c>
      <c r="C3247" s="5">
        <f t="shared" si="793"/>
        <v>2024</v>
      </c>
      <c r="D3247" s="5" t="s">
        <v>2956</v>
      </c>
      <c r="E3247" s="5" t="str">
        <f>VLOOKUP(F3247,'Set up'!$A$2:$C$70,2,FALSE)</f>
        <v>C00000003</v>
      </c>
      <c r="F3247" s="1" t="s">
        <v>20</v>
      </c>
      <c r="G3247" s="99" t="s">
        <v>2635</v>
      </c>
      <c r="H3247" s="5">
        <v>3</v>
      </c>
      <c r="I3247" s="5">
        <f>VLOOKUP(F3247,'Set up'!$A$2:$C$70,3,FALSE)</f>
        <v>45</v>
      </c>
      <c r="J3247" s="5">
        <f>VLOOKUP(F3247,'Set up'!$A$2:$D$70,4,FALSE)</f>
        <v>45</v>
      </c>
      <c r="K3247" s="4">
        <f t="shared" si="794"/>
        <v>45606</v>
      </c>
      <c r="L3247" s="5">
        <f t="shared" si="795"/>
        <v>11</v>
      </c>
      <c r="M3247" s="5">
        <f t="shared" si="796"/>
        <v>2024</v>
      </c>
      <c r="N3247" s="12">
        <v>195</v>
      </c>
      <c r="O3247" s="6">
        <f>-N3247</f>
        <v>-195</v>
      </c>
      <c r="P3247" s="12">
        <f t="shared" si="801"/>
        <v>0</v>
      </c>
      <c r="Q3247" s="7">
        <f t="shared" si="797"/>
        <v>5302990.3499999996</v>
      </c>
      <c r="R3247" s="44" t="str">
        <f>VLOOKUP(F3247,'Set up'!$A$2:$E$70,5,FALSE)</f>
        <v>PD Chq</v>
      </c>
      <c r="S3247" s="1" t="s">
        <v>3209</v>
      </c>
      <c r="U3247" s="1" t="s">
        <v>3603</v>
      </c>
    </row>
    <row r="3248" spans="1:21" ht="15" customHeight="1" x14ac:dyDescent="0.3">
      <c r="A3248" s="4">
        <v>45563</v>
      </c>
      <c r="B3248" s="5">
        <f t="shared" si="792"/>
        <v>9</v>
      </c>
      <c r="C3248" s="5">
        <f t="shared" si="793"/>
        <v>2024</v>
      </c>
      <c r="D3248" s="5" t="s">
        <v>2957</v>
      </c>
      <c r="E3248" s="5" t="str">
        <f>VLOOKUP(F3248,'Set up'!$A$2:$C$70,2,FALSE)</f>
        <v>C00000042</v>
      </c>
      <c r="F3248" s="1" t="s">
        <v>2012</v>
      </c>
      <c r="G3248" s="103" t="s">
        <v>2646</v>
      </c>
      <c r="H3248" s="5">
        <v>13</v>
      </c>
      <c r="I3248" s="5" t="str">
        <f>VLOOKUP(F3248,'Set up'!$A$2:$C$70,3,FALSE)</f>
        <v>Cash</v>
      </c>
      <c r="J3248" s="5">
        <f>VLOOKUP(F3248,'Set up'!$A$2:$D$70,4,FALSE)</f>
        <v>0</v>
      </c>
      <c r="K3248" s="4">
        <f t="shared" si="794"/>
        <v>45563</v>
      </c>
      <c r="L3248" s="5">
        <f t="shared" si="795"/>
        <v>9</v>
      </c>
      <c r="M3248" s="5">
        <f t="shared" si="796"/>
        <v>2024</v>
      </c>
      <c r="N3248" s="12">
        <v>812.5</v>
      </c>
      <c r="O3248" s="6">
        <f t="shared" ref="O3248" si="803">-N3248</f>
        <v>-812.5</v>
      </c>
      <c r="P3248" s="12">
        <f t="shared" si="801"/>
        <v>0</v>
      </c>
      <c r="Q3248" s="7">
        <f t="shared" si="797"/>
        <v>5303802.8499999996</v>
      </c>
      <c r="R3248" s="44" t="str">
        <f>VLOOKUP(F3248,'Set up'!$A$2:$E$70,5,FALSE)</f>
        <v>Trsf</v>
      </c>
      <c r="S3248" s="1" t="s">
        <v>3482</v>
      </c>
    </row>
    <row r="3249" spans="1:19" ht="15" customHeight="1" x14ac:dyDescent="0.3">
      <c r="A3249" s="4">
        <v>45563</v>
      </c>
      <c r="B3249" s="5">
        <f t="shared" si="792"/>
        <v>9</v>
      </c>
      <c r="C3249" s="5">
        <f t="shared" si="793"/>
        <v>2024</v>
      </c>
      <c r="D3249" s="5" t="s">
        <v>2958</v>
      </c>
      <c r="E3249" s="5" t="str">
        <f>VLOOKUP(F3249,'Set up'!$A$2:$C$70,2,FALSE)</f>
        <v>C00000042</v>
      </c>
      <c r="F3249" s="1" t="s">
        <v>2012</v>
      </c>
      <c r="G3249" s="128" t="s">
        <v>2552</v>
      </c>
      <c r="H3249" s="5">
        <v>13</v>
      </c>
      <c r="I3249" s="5" t="str">
        <f>VLOOKUP(F3249,'Set up'!$A$2:$C$70,3,FALSE)</f>
        <v>Cash</v>
      </c>
      <c r="J3249" s="5">
        <f>VLOOKUP(F3249,'Set up'!$A$2:$D$70,4,FALSE)</f>
        <v>0</v>
      </c>
      <c r="K3249" s="4">
        <f t="shared" si="794"/>
        <v>45563</v>
      </c>
      <c r="L3249" s="5">
        <f t="shared" si="795"/>
        <v>9</v>
      </c>
      <c r="M3249" s="5">
        <f t="shared" si="796"/>
        <v>2024</v>
      </c>
      <c r="N3249" s="12">
        <v>20878</v>
      </c>
      <c r="O3249" s="12">
        <f>-15170.1-5707.9</f>
        <v>-20878</v>
      </c>
      <c r="P3249" s="12">
        <f t="shared" si="801"/>
        <v>0</v>
      </c>
      <c r="Q3249" s="7">
        <f t="shared" si="797"/>
        <v>5324680.8499999996</v>
      </c>
      <c r="R3249" s="44" t="str">
        <f>VLOOKUP(F3249,'Set up'!$A$2:$E$70,5,FALSE)</f>
        <v>Trsf</v>
      </c>
      <c r="S3249" s="1" t="s">
        <v>3483</v>
      </c>
    </row>
    <row r="3250" spans="1:19" ht="15" customHeight="1" x14ac:dyDescent="0.3">
      <c r="A3250" s="4">
        <v>45563</v>
      </c>
      <c r="B3250" s="5">
        <f t="shared" si="792"/>
        <v>9</v>
      </c>
      <c r="C3250" s="5">
        <f t="shared" si="793"/>
        <v>2024</v>
      </c>
      <c r="D3250" s="5" t="s">
        <v>2958</v>
      </c>
      <c r="E3250" s="5" t="str">
        <f>VLOOKUP(F3250,'Set up'!$A$2:$C$70,2,FALSE)</f>
        <v>C00000042</v>
      </c>
      <c r="F3250" s="1" t="s">
        <v>2012</v>
      </c>
      <c r="G3250" s="90" t="s">
        <v>1543</v>
      </c>
      <c r="H3250" s="5">
        <v>38</v>
      </c>
      <c r="I3250" s="5" t="str">
        <f>VLOOKUP(F3250,'Set up'!$A$2:$C$70,3,FALSE)</f>
        <v>Cash</v>
      </c>
      <c r="J3250" s="5">
        <f>VLOOKUP(F3250,'Set up'!$A$2:$D$70,4,FALSE)</f>
        <v>0</v>
      </c>
      <c r="K3250" s="4">
        <f t="shared" si="794"/>
        <v>45563</v>
      </c>
      <c r="L3250" s="5">
        <f t="shared" si="795"/>
        <v>9</v>
      </c>
      <c r="M3250" s="5">
        <f t="shared" si="796"/>
        <v>2024</v>
      </c>
      <c r="N3250" s="12">
        <v>6726</v>
      </c>
      <c r="O3250" s="6">
        <f t="shared" ref="O3250:O3253" si="804">-N3250</f>
        <v>-6726</v>
      </c>
      <c r="P3250" s="12">
        <f t="shared" si="801"/>
        <v>0</v>
      </c>
      <c r="Q3250" s="7">
        <f t="shared" si="797"/>
        <v>5331406.8499999996</v>
      </c>
      <c r="R3250" s="44" t="str">
        <f>VLOOKUP(F3250,'Set up'!$A$2:$E$70,5,FALSE)</f>
        <v>Trsf</v>
      </c>
      <c r="S3250" s="1" t="s">
        <v>3484</v>
      </c>
    </row>
    <row r="3251" spans="1:19" ht="15" customHeight="1" x14ac:dyDescent="0.3">
      <c r="A3251" s="4">
        <v>45563</v>
      </c>
      <c r="B3251" s="5">
        <f t="shared" si="792"/>
        <v>9</v>
      </c>
      <c r="C3251" s="5">
        <f t="shared" si="793"/>
        <v>2024</v>
      </c>
      <c r="D3251" s="5" t="s">
        <v>2958</v>
      </c>
      <c r="E3251" s="5" t="str">
        <f>VLOOKUP(F3251,'Set up'!$A$2:$C$70,2,FALSE)</f>
        <v>C00000042</v>
      </c>
      <c r="F3251" s="1" t="s">
        <v>2012</v>
      </c>
      <c r="G3251" s="90" t="s">
        <v>1922</v>
      </c>
      <c r="H3251" s="5">
        <v>20</v>
      </c>
      <c r="I3251" s="5" t="str">
        <f>VLOOKUP(F3251,'Set up'!$A$2:$C$70,3,FALSE)</f>
        <v>Cash</v>
      </c>
      <c r="J3251" s="5">
        <f>VLOOKUP(F3251,'Set up'!$A$2:$D$70,4,FALSE)</f>
        <v>0</v>
      </c>
      <c r="K3251" s="4">
        <f t="shared" si="794"/>
        <v>45563</v>
      </c>
      <c r="L3251" s="5">
        <f t="shared" si="795"/>
        <v>9</v>
      </c>
      <c r="M3251" s="5">
        <f t="shared" si="796"/>
        <v>2024</v>
      </c>
      <c r="N3251" s="12">
        <v>4770</v>
      </c>
      <c r="O3251" s="6">
        <f t="shared" si="804"/>
        <v>-4770</v>
      </c>
      <c r="P3251" s="12">
        <f t="shared" si="801"/>
        <v>0</v>
      </c>
      <c r="Q3251" s="7">
        <f t="shared" si="797"/>
        <v>5336176.8499999996</v>
      </c>
      <c r="R3251" s="44" t="str">
        <f>VLOOKUP(F3251,'Set up'!$A$2:$E$70,5,FALSE)</f>
        <v>Trsf</v>
      </c>
      <c r="S3251" s="1" t="s">
        <v>3485</v>
      </c>
    </row>
    <row r="3252" spans="1:19" ht="15" customHeight="1" x14ac:dyDescent="0.3">
      <c r="A3252" s="4">
        <v>45563</v>
      </c>
      <c r="B3252" s="5">
        <f t="shared" si="792"/>
        <v>9</v>
      </c>
      <c r="C3252" s="5">
        <f t="shared" si="793"/>
        <v>2024</v>
      </c>
      <c r="D3252" s="5" t="s">
        <v>2958</v>
      </c>
      <c r="E3252" s="5" t="str">
        <f>VLOOKUP(F3252,'Set up'!$A$2:$C$70,2,FALSE)</f>
        <v>C00000042</v>
      </c>
      <c r="F3252" s="1" t="s">
        <v>2012</v>
      </c>
      <c r="G3252" s="90" t="s">
        <v>1061</v>
      </c>
      <c r="H3252" s="5">
        <v>4</v>
      </c>
      <c r="I3252" s="5" t="str">
        <f>VLOOKUP(F3252,'Set up'!$A$2:$C$70,3,FALSE)</f>
        <v>Cash</v>
      </c>
      <c r="J3252" s="5">
        <f>VLOOKUP(F3252,'Set up'!$A$2:$D$70,4,FALSE)</f>
        <v>0</v>
      </c>
      <c r="K3252" s="4">
        <f t="shared" si="794"/>
        <v>45563</v>
      </c>
      <c r="L3252" s="5">
        <f t="shared" si="795"/>
        <v>9</v>
      </c>
      <c r="M3252" s="5">
        <f t="shared" si="796"/>
        <v>2024</v>
      </c>
      <c r="N3252" s="12">
        <v>380</v>
      </c>
      <c r="O3252" s="6">
        <f t="shared" si="804"/>
        <v>-380</v>
      </c>
      <c r="P3252" s="12">
        <f t="shared" si="801"/>
        <v>0</v>
      </c>
      <c r="Q3252" s="7">
        <f t="shared" si="797"/>
        <v>5336556.8499999996</v>
      </c>
      <c r="R3252" s="44" t="str">
        <f>VLOOKUP(F3252,'Set up'!$A$2:$E$70,5,FALSE)</f>
        <v>Trsf</v>
      </c>
      <c r="S3252" s="1" t="s">
        <v>3486</v>
      </c>
    </row>
    <row r="3253" spans="1:19" ht="15" customHeight="1" x14ac:dyDescent="0.3">
      <c r="A3253" s="4">
        <v>45563</v>
      </c>
      <c r="B3253" s="5">
        <f t="shared" si="792"/>
        <v>9</v>
      </c>
      <c r="C3253" s="5">
        <f t="shared" si="793"/>
        <v>2024</v>
      </c>
      <c r="D3253" s="5" t="s">
        <v>2958</v>
      </c>
      <c r="E3253" s="5" t="str">
        <f>VLOOKUP(F3253,'Set up'!$A$2:$C$70,2,FALSE)</f>
        <v>C00000042</v>
      </c>
      <c r="F3253" s="1" t="s">
        <v>2012</v>
      </c>
      <c r="G3253" s="90" t="s">
        <v>1073</v>
      </c>
      <c r="H3253" s="5">
        <v>2</v>
      </c>
      <c r="I3253" s="5" t="str">
        <f>VLOOKUP(F3253,'Set up'!$A$2:$C$70,3,FALSE)</f>
        <v>Cash</v>
      </c>
      <c r="J3253" s="5">
        <f>VLOOKUP(F3253,'Set up'!$A$2:$D$70,4,FALSE)</f>
        <v>0</v>
      </c>
      <c r="K3253" s="4">
        <f t="shared" si="794"/>
        <v>45563</v>
      </c>
      <c r="L3253" s="5">
        <f t="shared" si="795"/>
        <v>9</v>
      </c>
      <c r="M3253" s="5">
        <f t="shared" si="796"/>
        <v>2024</v>
      </c>
      <c r="N3253" s="12">
        <v>2000</v>
      </c>
      <c r="O3253" s="6">
        <f t="shared" si="804"/>
        <v>-2000</v>
      </c>
      <c r="P3253" s="12">
        <f t="shared" si="801"/>
        <v>0</v>
      </c>
      <c r="Q3253" s="7">
        <f t="shared" si="797"/>
        <v>5338556.8499999996</v>
      </c>
      <c r="R3253" s="44" t="str">
        <f>VLOOKUP(F3253,'Set up'!$A$2:$E$70,5,FALSE)</f>
        <v>Trsf</v>
      </c>
      <c r="S3253" s="1" t="s">
        <v>3487</v>
      </c>
    </row>
    <row r="3254" spans="1:19" ht="15" customHeight="1" x14ac:dyDescent="0.3">
      <c r="A3254" s="4">
        <v>45565</v>
      </c>
      <c r="B3254" s="5">
        <f t="shared" si="792"/>
        <v>9</v>
      </c>
      <c r="C3254" s="5">
        <f t="shared" si="793"/>
        <v>2024</v>
      </c>
      <c r="D3254" s="5" t="s">
        <v>2959</v>
      </c>
      <c r="E3254" s="5" t="str">
        <f>VLOOKUP(F3254,'Set up'!$A$2:$C$70,2,FALSE)</f>
        <v>C00000044</v>
      </c>
      <c r="F3254" s="1" t="s">
        <v>2929</v>
      </c>
      <c r="G3254" s="123" t="s">
        <v>1178</v>
      </c>
      <c r="H3254" s="5">
        <v>1</v>
      </c>
      <c r="I3254" s="5" t="str">
        <f>VLOOKUP(F3254,'Set up'!$A$2:$C$70,3,FALSE)</f>
        <v>Cash</v>
      </c>
      <c r="J3254" s="5">
        <f>VLOOKUP(F3254,'Set up'!$A$2:$D$70,4,FALSE)</f>
        <v>0</v>
      </c>
      <c r="K3254" s="4">
        <f t="shared" si="794"/>
        <v>45565</v>
      </c>
      <c r="L3254" s="5">
        <f t="shared" si="795"/>
        <v>9</v>
      </c>
      <c r="M3254" s="5">
        <f t="shared" si="796"/>
        <v>2024</v>
      </c>
      <c r="N3254" s="12">
        <v>1672</v>
      </c>
      <c r="O3254" s="6">
        <f t="shared" ref="O3254" si="805">-N3254</f>
        <v>-1672</v>
      </c>
      <c r="P3254" s="12">
        <f t="shared" si="801"/>
        <v>0</v>
      </c>
      <c r="Q3254" s="7">
        <f t="shared" si="797"/>
        <v>5340228.8499999996</v>
      </c>
      <c r="R3254" s="44" t="str">
        <f>VLOOKUP(F3254,'Set up'!$A$2:$E$70,5,FALSE)</f>
        <v>Cash</v>
      </c>
      <c r="S3254" s="1" t="s">
        <v>3053</v>
      </c>
    </row>
    <row r="3255" spans="1:19" ht="15" customHeight="1" x14ac:dyDescent="0.3">
      <c r="A3255" s="4">
        <v>45565</v>
      </c>
      <c r="B3255" s="5">
        <f t="shared" si="792"/>
        <v>9</v>
      </c>
      <c r="C3255" s="5">
        <f t="shared" si="793"/>
        <v>2024</v>
      </c>
      <c r="D3255" s="5" t="s">
        <v>2959</v>
      </c>
      <c r="E3255" s="5" t="str">
        <f>VLOOKUP(F3255,'Set up'!$A$2:$C$70,2,FALSE)</f>
        <v>C00000044</v>
      </c>
      <c r="F3255" s="1" t="s">
        <v>2929</v>
      </c>
      <c r="G3255" s="120" t="s">
        <v>2570</v>
      </c>
      <c r="H3255" s="5">
        <v>2</v>
      </c>
      <c r="I3255" s="5" t="str">
        <f>VLOOKUP(F3255,'Set up'!$A$2:$C$70,3,FALSE)</f>
        <v>Cash</v>
      </c>
      <c r="J3255" s="5">
        <f>VLOOKUP(F3255,'Set up'!$A$2:$D$70,4,FALSE)</f>
        <v>0</v>
      </c>
      <c r="K3255" s="4">
        <f t="shared" si="794"/>
        <v>45565</v>
      </c>
      <c r="L3255" s="5">
        <f t="shared" si="795"/>
        <v>9</v>
      </c>
      <c r="M3255" s="5">
        <f t="shared" si="796"/>
        <v>2024</v>
      </c>
      <c r="N3255" s="12">
        <v>420</v>
      </c>
      <c r="O3255" s="12">
        <f>-328-92</f>
        <v>-420</v>
      </c>
      <c r="P3255" s="12">
        <f t="shared" si="801"/>
        <v>0</v>
      </c>
      <c r="Q3255" s="7">
        <f t="shared" si="797"/>
        <v>5340648.8499999996</v>
      </c>
      <c r="R3255" s="44" t="str">
        <f>VLOOKUP(F3255,'Set up'!$A$2:$E$70,5,FALSE)</f>
        <v>Cash</v>
      </c>
      <c r="S3255" s="1" t="s">
        <v>3055</v>
      </c>
    </row>
    <row r="3256" spans="1:19" ht="15" customHeight="1" x14ac:dyDescent="0.3">
      <c r="A3256" s="4">
        <v>45569</v>
      </c>
      <c r="B3256" s="5">
        <f t="shared" si="792"/>
        <v>10</v>
      </c>
      <c r="C3256" s="5">
        <f t="shared" si="793"/>
        <v>2024</v>
      </c>
      <c r="D3256" s="5" t="s">
        <v>3007</v>
      </c>
      <c r="E3256" s="5" t="str">
        <f>VLOOKUP(F3256,'Set up'!$A$2:$C$70,2,FALSE)</f>
        <v>C00000042</v>
      </c>
      <c r="F3256" s="1" t="s">
        <v>2012</v>
      </c>
      <c r="G3256" s="90" t="s">
        <v>1073</v>
      </c>
      <c r="H3256" s="5">
        <v>1</v>
      </c>
      <c r="I3256" s="5" t="str">
        <f>VLOOKUP(F3256,'Set up'!$A$2:$C$70,3,FALSE)</f>
        <v>Cash</v>
      </c>
      <c r="J3256" s="5">
        <f>VLOOKUP(F3256,'Set up'!$A$2:$D$70,4,FALSE)</f>
        <v>0</v>
      </c>
      <c r="K3256" s="4">
        <f t="shared" si="794"/>
        <v>45569</v>
      </c>
      <c r="L3256" s="5">
        <f t="shared" si="795"/>
        <v>10</v>
      </c>
      <c r="M3256" s="5">
        <f t="shared" si="796"/>
        <v>2024</v>
      </c>
      <c r="N3256" s="12">
        <v>1000</v>
      </c>
      <c r="O3256" s="6">
        <f t="shared" ref="O3256" si="806">-N3256</f>
        <v>-1000</v>
      </c>
      <c r="P3256" s="12">
        <f t="shared" si="801"/>
        <v>0</v>
      </c>
      <c r="Q3256" s="7">
        <f t="shared" si="797"/>
        <v>5341648.8499999996</v>
      </c>
      <c r="R3256" s="44" t="str">
        <f>VLOOKUP(F3256,'Set up'!$A$2:$E$70,5,FALSE)</f>
        <v>Trsf</v>
      </c>
      <c r="S3256" s="1" t="s">
        <v>3488</v>
      </c>
    </row>
    <row r="3257" spans="1:19" ht="15" customHeight="1" x14ac:dyDescent="0.3">
      <c r="A3257" s="4">
        <v>45573</v>
      </c>
      <c r="B3257" s="5">
        <f t="shared" si="792"/>
        <v>10</v>
      </c>
      <c r="C3257" s="5">
        <f t="shared" si="793"/>
        <v>2024</v>
      </c>
      <c r="D3257" s="5" t="s">
        <v>3008</v>
      </c>
      <c r="E3257" s="5" t="str">
        <f>VLOOKUP(F3257,'Set up'!$A$2:$C$70,2,FALSE)</f>
        <v>C00000050</v>
      </c>
      <c r="F3257" s="1" t="s">
        <v>2656</v>
      </c>
      <c r="G3257" s="107" t="s">
        <v>2555</v>
      </c>
      <c r="H3257" s="5">
        <v>1</v>
      </c>
      <c r="I3257" s="5" t="str">
        <f>VLOOKUP(F3257,'Set up'!$A$2:$C$70,3,FALSE)</f>
        <v>Cash</v>
      </c>
      <c r="J3257" s="5">
        <f>VLOOKUP(F3257,'Set up'!$A$2:$D$70,4,FALSE)</f>
        <v>0</v>
      </c>
      <c r="K3257" s="4">
        <f t="shared" si="794"/>
        <v>45573</v>
      </c>
      <c r="L3257" s="5">
        <f t="shared" si="795"/>
        <v>10</v>
      </c>
      <c r="M3257" s="5">
        <f t="shared" si="796"/>
        <v>2024</v>
      </c>
      <c r="N3257" s="12">
        <v>1738</v>
      </c>
      <c r="O3257" s="6">
        <f t="shared" ref="O3257:O3263" si="807">-N3257</f>
        <v>-1738</v>
      </c>
      <c r="P3257" s="12">
        <f t="shared" si="801"/>
        <v>0</v>
      </c>
      <c r="Q3257" s="7">
        <f t="shared" si="797"/>
        <v>5343386.8499999996</v>
      </c>
      <c r="R3257" s="44" t="str">
        <f>VLOOKUP(F3257,'Set up'!$A$2:$E$70,5,FALSE)</f>
        <v>Cash</v>
      </c>
      <c r="S3257" s="1" t="s">
        <v>3050</v>
      </c>
    </row>
    <row r="3258" spans="1:19" ht="15" customHeight="1" x14ac:dyDescent="0.3">
      <c r="A3258" s="4">
        <v>45573</v>
      </c>
      <c r="B3258" s="5">
        <f t="shared" si="792"/>
        <v>10</v>
      </c>
      <c r="C3258" s="5">
        <f t="shared" si="793"/>
        <v>2024</v>
      </c>
      <c r="D3258" s="5" t="s">
        <v>3008</v>
      </c>
      <c r="E3258" s="5" t="str">
        <f>VLOOKUP(F3258,'Set up'!$A$2:$C$70,2,FALSE)</f>
        <v>C00000050</v>
      </c>
      <c r="F3258" s="1" t="s">
        <v>2656</v>
      </c>
      <c r="G3258" s="99" t="s">
        <v>2129</v>
      </c>
      <c r="H3258" s="5">
        <v>2</v>
      </c>
      <c r="I3258" s="5" t="str">
        <f>VLOOKUP(F3258,'Set up'!$A$2:$C$70,3,FALSE)</f>
        <v>Cash</v>
      </c>
      <c r="J3258" s="5">
        <f>VLOOKUP(F3258,'Set up'!$A$2:$D$70,4,FALSE)</f>
        <v>0</v>
      </c>
      <c r="K3258" s="4">
        <f t="shared" si="794"/>
        <v>45573</v>
      </c>
      <c r="L3258" s="5">
        <f t="shared" si="795"/>
        <v>10</v>
      </c>
      <c r="M3258" s="5">
        <f t="shared" si="796"/>
        <v>2024</v>
      </c>
      <c r="N3258" s="12">
        <v>555</v>
      </c>
      <c r="O3258" s="6">
        <f t="shared" si="807"/>
        <v>-555</v>
      </c>
      <c r="P3258" s="12">
        <f t="shared" si="801"/>
        <v>0</v>
      </c>
      <c r="Q3258" s="7">
        <f t="shared" si="797"/>
        <v>5343941.8499999996</v>
      </c>
      <c r="R3258" s="44" t="str">
        <f>VLOOKUP(F3258,'Set up'!$A$2:$E$70,5,FALSE)</f>
        <v>Cash</v>
      </c>
      <c r="S3258" s="1" t="s">
        <v>3050</v>
      </c>
    </row>
    <row r="3259" spans="1:19" ht="15" customHeight="1" x14ac:dyDescent="0.3">
      <c r="A3259" s="4">
        <v>45573</v>
      </c>
      <c r="B3259" s="5">
        <f t="shared" si="792"/>
        <v>10</v>
      </c>
      <c r="C3259" s="5">
        <f t="shared" si="793"/>
        <v>2024</v>
      </c>
      <c r="D3259" s="5" t="s">
        <v>3008</v>
      </c>
      <c r="E3259" s="5" t="str">
        <f>VLOOKUP(F3259,'Set up'!$A$2:$C$70,2,FALSE)</f>
        <v>C00000050</v>
      </c>
      <c r="F3259" s="1" t="s">
        <v>2656</v>
      </c>
      <c r="G3259" s="99" t="s">
        <v>1061</v>
      </c>
      <c r="H3259" s="5">
        <v>1</v>
      </c>
      <c r="I3259" s="5" t="str">
        <f>VLOOKUP(F3259,'Set up'!$A$2:$C$70,3,FALSE)</f>
        <v>Cash</v>
      </c>
      <c r="J3259" s="5">
        <f>VLOOKUP(F3259,'Set up'!$A$2:$D$70,4,FALSE)</f>
        <v>0</v>
      </c>
      <c r="K3259" s="4">
        <f t="shared" si="794"/>
        <v>45573</v>
      </c>
      <c r="L3259" s="5">
        <f t="shared" si="795"/>
        <v>10</v>
      </c>
      <c r="M3259" s="5">
        <f t="shared" si="796"/>
        <v>2024</v>
      </c>
      <c r="N3259" s="12">
        <v>95</v>
      </c>
      <c r="O3259" s="6">
        <f t="shared" si="807"/>
        <v>-95</v>
      </c>
      <c r="P3259" s="12">
        <f t="shared" si="801"/>
        <v>0</v>
      </c>
      <c r="Q3259" s="7">
        <f t="shared" si="797"/>
        <v>5344036.8499999996</v>
      </c>
      <c r="R3259" s="44" t="str">
        <f>VLOOKUP(F3259,'Set up'!$A$2:$E$70,5,FALSE)</f>
        <v>Cash</v>
      </c>
      <c r="S3259" s="1" t="s">
        <v>3050</v>
      </c>
    </row>
    <row r="3260" spans="1:19" ht="15" customHeight="1" x14ac:dyDescent="0.3">
      <c r="A3260" s="4">
        <v>45574</v>
      </c>
      <c r="B3260" s="5">
        <f t="shared" si="792"/>
        <v>10</v>
      </c>
      <c r="C3260" s="5">
        <f t="shared" si="793"/>
        <v>2024</v>
      </c>
      <c r="D3260" s="5" t="s">
        <v>3009</v>
      </c>
      <c r="E3260" s="5" t="str">
        <f>VLOOKUP(F3260,'Set up'!$A$2:$C$70,2,FALSE)</f>
        <v>C00000042</v>
      </c>
      <c r="F3260" s="1" t="s">
        <v>2012</v>
      </c>
      <c r="G3260" s="103" t="s">
        <v>2646</v>
      </c>
      <c r="H3260" s="5">
        <v>1</v>
      </c>
      <c r="I3260" s="5" t="str">
        <f>VLOOKUP(F3260,'Set up'!$A$2:$C$70,3,FALSE)</f>
        <v>Cash</v>
      </c>
      <c r="J3260" s="5">
        <f>VLOOKUP(F3260,'Set up'!$A$2:$D$70,4,FALSE)</f>
        <v>0</v>
      </c>
      <c r="K3260" s="4">
        <f t="shared" si="794"/>
        <v>45574</v>
      </c>
      <c r="L3260" s="5">
        <f t="shared" si="795"/>
        <v>10</v>
      </c>
      <c r="M3260" s="5">
        <f t="shared" si="796"/>
        <v>2024</v>
      </c>
      <c r="N3260" s="12">
        <v>62.5</v>
      </c>
      <c r="O3260" s="6">
        <f t="shared" si="807"/>
        <v>-62.5</v>
      </c>
      <c r="P3260" s="12">
        <f t="shared" si="801"/>
        <v>0</v>
      </c>
      <c r="Q3260" s="7">
        <f t="shared" si="797"/>
        <v>5344099.3499999996</v>
      </c>
      <c r="R3260" s="44" t="str">
        <f>VLOOKUP(F3260,'Set up'!$A$2:$E$70,5,FALSE)</f>
        <v>Trsf</v>
      </c>
      <c r="S3260" s="1" t="s">
        <v>3489</v>
      </c>
    </row>
    <row r="3261" spans="1:19" ht="15" customHeight="1" x14ac:dyDescent="0.3">
      <c r="A3261" s="4">
        <v>45574</v>
      </c>
      <c r="B3261" s="5">
        <f t="shared" si="792"/>
        <v>10</v>
      </c>
      <c r="C3261" s="5">
        <f t="shared" si="793"/>
        <v>2024</v>
      </c>
      <c r="D3261" s="5" t="s">
        <v>3010</v>
      </c>
      <c r="E3261" s="5" t="str">
        <f>VLOOKUP(F3261,'Set up'!$A$2:$C$70,2,FALSE)</f>
        <v>C00000042</v>
      </c>
      <c r="F3261" s="1" t="s">
        <v>2012</v>
      </c>
      <c r="G3261" s="128" t="s">
        <v>2552</v>
      </c>
      <c r="H3261" s="5">
        <v>5</v>
      </c>
      <c r="I3261" s="5" t="str">
        <f>VLOOKUP(F3261,'Set up'!$A$2:$C$70,3,FALSE)</f>
        <v>Cash</v>
      </c>
      <c r="J3261" s="5">
        <f>VLOOKUP(F3261,'Set up'!$A$2:$D$70,4,FALSE)</f>
        <v>0</v>
      </c>
      <c r="K3261" s="4">
        <f t="shared" si="794"/>
        <v>45574</v>
      </c>
      <c r="L3261" s="5">
        <f t="shared" si="795"/>
        <v>10</v>
      </c>
      <c r="M3261" s="5">
        <f t="shared" si="796"/>
        <v>2024</v>
      </c>
      <c r="N3261" s="12">
        <v>8030</v>
      </c>
      <c r="O3261" s="12">
        <f>-3353.6-4676.4</f>
        <v>-8030</v>
      </c>
      <c r="P3261" s="12">
        <f t="shared" si="801"/>
        <v>0</v>
      </c>
      <c r="Q3261" s="7">
        <f t="shared" si="797"/>
        <v>5352129.3499999996</v>
      </c>
      <c r="R3261" s="44" t="str">
        <f>VLOOKUP(F3261,'Set up'!$A$2:$E$70,5,FALSE)</f>
        <v>Trsf</v>
      </c>
      <c r="S3261" s="1" t="s">
        <v>3490</v>
      </c>
    </row>
    <row r="3262" spans="1:19" ht="15" customHeight="1" x14ac:dyDescent="0.3">
      <c r="A3262" s="4">
        <v>45574</v>
      </c>
      <c r="B3262" s="5">
        <f t="shared" si="792"/>
        <v>10</v>
      </c>
      <c r="C3262" s="5">
        <f t="shared" si="793"/>
        <v>2024</v>
      </c>
      <c r="D3262" s="5" t="s">
        <v>3010</v>
      </c>
      <c r="E3262" s="5" t="str">
        <f>VLOOKUP(F3262,'Set up'!$A$2:$C$70,2,FALSE)</f>
        <v>C00000042</v>
      </c>
      <c r="F3262" s="1" t="s">
        <v>2012</v>
      </c>
      <c r="G3262" s="90" t="s">
        <v>2129</v>
      </c>
      <c r="H3262" s="5">
        <v>15</v>
      </c>
      <c r="I3262" s="5" t="str">
        <f>VLOOKUP(F3262,'Set up'!$A$2:$C$70,3,FALSE)</f>
        <v>Cash</v>
      </c>
      <c r="J3262" s="5">
        <f>VLOOKUP(F3262,'Set up'!$A$2:$D$70,4,FALSE)</f>
        <v>0</v>
      </c>
      <c r="K3262" s="4">
        <f t="shared" si="794"/>
        <v>45574</v>
      </c>
      <c r="L3262" s="5">
        <f t="shared" si="795"/>
        <v>10</v>
      </c>
      <c r="M3262" s="5">
        <f t="shared" si="796"/>
        <v>2024</v>
      </c>
      <c r="N3262" s="12">
        <v>3219</v>
      </c>
      <c r="O3262" s="6">
        <f t="shared" si="807"/>
        <v>-3219</v>
      </c>
      <c r="P3262" s="12">
        <f t="shared" si="801"/>
        <v>0</v>
      </c>
      <c r="Q3262" s="7">
        <f t="shared" si="797"/>
        <v>5355348.3499999996</v>
      </c>
      <c r="R3262" s="44" t="str">
        <f>VLOOKUP(F3262,'Set up'!$A$2:$E$70,5,FALSE)</f>
        <v>Trsf</v>
      </c>
      <c r="S3262" s="1" t="s">
        <v>3491</v>
      </c>
    </row>
    <row r="3263" spans="1:19" ht="15" customHeight="1" x14ac:dyDescent="0.3">
      <c r="A3263" s="4">
        <v>45574</v>
      </c>
      <c r="B3263" s="5">
        <f t="shared" si="792"/>
        <v>10</v>
      </c>
      <c r="C3263" s="5">
        <f t="shared" si="793"/>
        <v>2024</v>
      </c>
      <c r="D3263" s="5" t="s">
        <v>3010</v>
      </c>
      <c r="E3263" s="5" t="str">
        <f>VLOOKUP(F3263,'Set up'!$A$2:$C$70,2,FALSE)</f>
        <v>C00000042</v>
      </c>
      <c r="F3263" s="1" t="s">
        <v>2012</v>
      </c>
      <c r="G3263" s="90" t="s">
        <v>1073</v>
      </c>
      <c r="H3263" s="5">
        <v>1</v>
      </c>
      <c r="I3263" s="5" t="str">
        <f>VLOOKUP(F3263,'Set up'!$A$2:$C$70,3,FALSE)</f>
        <v>Cash</v>
      </c>
      <c r="J3263" s="5">
        <f>VLOOKUP(F3263,'Set up'!$A$2:$D$70,4,FALSE)</f>
        <v>0</v>
      </c>
      <c r="K3263" s="4">
        <f t="shared" si="794"/>
        <v>45574</v>
      </c>
      <c r="L3263" s="5">
        <f t="shared" si="795"/>
        <v>10</v>
      </c>
      <c r="M3263" s="5">
        <f t="shared" si="796"/>
        <v>2024</v>
      </c>
      <c r="N3263" s="12">
        <v>1000</v>
      </c>
      <c r="O3263" s="6">
        <f t="shared" si="807"/>
        <v>-1000</v>
      </c>
      <c r="P3263" s="12">
        <f t="shared" si="801"/>
        <v>0</v>
      </c>
      <c r="Q3263" s="7">
        <f t="shared" si="797"/>
        <v>5356348.3499999996</v>
      </c>
      <c r="R3263" s="44" t="str">
        <f>VLOOKUP(F3263,'Set up'!$A$2:$E$70,5,FALSE)</f>
        <v>Trsf</v>
      </c>
      <c r="S3263" s="1" t="s">
        <v>3492</v>
      </c>
    </row>
    <row r="3264" spans="1:19" ht="15" customHeight="1" x14ac:dyDescent="0.3">
      <c r="A3264" s="4">
        <v>45574</v>
      </c>
      <c r="B3264" s="5">
        <f t="shared" si="792"/>
        <v>10</v>
      </c>
      <c r="C3264" s="5">
        <f t="shared" si="793"/>
        <v>2024</v>
      </c>
      <c r="D3264" s="5" t="s">
        <v>3011</v>
      </c>
      <c r="E3264" s="5" t="str">
        <f>VLOOKUP(F3264,'Set up'!$A$2:$C$70,2,FALSE)</f>
        <v>C00000019</v>
      </c>
      <c r="F3264" s="1" t="s">
        <v>400</v>
      </c>
      <c r="G3264" s="90" t="s">
        <v>95</v>
      </c>
      <c r="H3264" s="5">
        <v>1</v>
      </c>
      <c r="I3264" s="5" t="str">
        <f>VLOOKUP(F3264,'Set up'!$A$2:$C$70,3,FALSE)</f>
        <v>Cash</v>
      </c>
      <c r="J3264" s="5">
        <f>VLOOKUP(F3264,'Set up'!$A$2:$D$70,4,FALSE)</f>
        <v>0</v>
      </c>
      <c r="K3264" s="4">
        <f t="shared" si="794"/>
        <v>45574</v>
      </c>
      <c r="L3264" s="5">
        <f t="shared" si="795"/>
        <v>10</v>
      </c>
      <c r="M3264" s="5">
        <f t="shared" si="796"/>
        <v>2024</v>
      </c>
      <c r="N3264" s="98">
        <v>1738</v>
      </c>
      <c r="O3264" s="12"/>
      <c r="P3264" s="12">
        <f t="shared" si="801"/>
        <v>1738</v>
      </c>
      <c r="Q3264" s="7">
        <f t="shared" si="797"/>
        <v>5358086.3499999996</v>
      </c>
      <c r="R3264" s="44" t="str">
        <f>VLOOKUP(F3264,'Set up'!$A$2:$E$70,5,FALSE)</f>
        <v>Trsf</v>
      </c>
    </row>
    <row r="3265" spans="1:19" ht="15" customHeight="1" x14ac:dyDescent="0.3">
      <c r="A3265" s="4">
        <v>45574</v>
      </c>
      <c r="B3265" s="5">
        <f t="shared" si="792"/>
        <v>10</v>
      </c>
      <c r="C3265" s="5">
        <f t="shared" si="793"/>
        <v>2024</v>
      </c>
      <c r="D3265" s="5" t="s">
        <v>3011</v>
      </c>
      <c r="E3265" s="5" t="str">
        <f>VLOOKUP(F3265,'Set up'!$A$2:$C$70,2,FALSE)</f>
        <v>C00000019</v>
      </c>
      <c r="F3265" s="1" t="s">
        <v>400</v>
      </c>
      <c r="G3265" s="90" t="s">
        <v>1411</v>
      </c>
      <c r="H3265" s="5">
        <v>1</v>
      </c>
      <c r="I3265" s="5" t="str">
        <f>VLOOKUP(F3265,'Set up'!$A$2:$C$70,3,FALSE)</f>
        <v>Cash</v>
      </c>
      <c r="J3265" s="5">
        <f>VLOOKUP(F3265,'Set up'!$A$2:$D$70,4,FALSE)</f>
        <v>0</v>
      </c>
      <c r="K3265" s="4">
        <f t="shared" si="794"/>
        <v>45574</v>
      </c>
      <c r="L3265" s="5">
        <f t="shared" si="795"/>
        <v>10</v>
      </c>
      <c r="M3265" s="5">
        <f t="shared" si="796"/>
        <v>2024</v>
      </c>
      <c r="N3265" s="98">
        <v>405</v>
      </c>
      <c r="O3265" s="12"/>
      <c r="P3265" s="12">
        <f t="shared" si="801"/>
        <v>405</v>
      </c>
      <c r="Q3265" s="7">
        <f t="shared" si="797"/>
        <v>5358491.3499999996</v>
      </c>
      <c r="R3265" s="44" t="str">
        <f>VLOOKUP(F3265,'Set up'!$A$2:$E$70,5,FALSE)</f>
        <v>Trsf</v>
      </c>
    </row>
    <row r="3266" spans="1:19" ht="15" customHeight="1" x14ac:dyDescent="0.3">
      <c r="A3266" s="4">
        <v>45574</v>
      </c>
      <c r="B3266" s="5">
        <f t="shared" si="792"/>
        <v>10</v>
      </c>
      <c r="C3266" s="5">
        <f t="shared" si="793"/>
        <v>2024</v>
      </c>
      <c r="D3266" s="5" t="s">
        <v>3011</v>
      </c>
      <c r="E3266" s="5" t="str">
        <f>VLOOKUP(F3266,'Set up'!$A$2:$C$70,2,FALSE)</f>
        <v>C00000019</v>
      </c>
      <c r="F3266" s="1" t="s">
        <v>400</v>
      </c>
      <c r="G3266" s="90" t="s">
        <v>2635</v>
      </c>
      <c r="H3266" s="5">
        <v>3</v>
      </c>
      <c r="I3266" s="5" t="str">
        <f>VLOOKUP(F3266,'Set up'!$A$2:$C$70,3,FALSE)</f>
        <v>Cash</v>
      </c>
      <c r="J3266" s="5">
        <f>VLOOKUP(F3266,'Set up'!$A$2:$D$70,4,FALSE)</f>
        <v>0</v>
      </c>
      <c r="K3266" s="4">
        <f t="shared" si="794"/>
        <v>45574</v>
      </c>
      <c r="L3266" s="5">
        <f t="shared" si="795"/>
        <v>10</v>
      </c>
      <c r="M3266" s="5">
        <f t="shared" si="796"/>
        <v>2024</v>
      </c>
      <c r="N3266" s="12">
        <v>187.5</v>
      </c>
      <c r="O3266" s="12"/>
      <c r="P3266" s="12">
        <f t="shared" si="801"/>
        <v>187.5</v>
      </c>
      <c r="Q3266" s="7">
        <f t="shared" si="797"/>
        <v>5358678.8499999996</v>
      </c>
      <c r="R3266" s="44" t="str">
        <f>VLOOKUP(F3266,'Set up'!$A$2:$E$70,5,FALSE)</f>
        <v>Trsf</v>
      </c>
    </row>
    <row r="3267" spans="1:19" ht="15" customHeight="1" x14ac:dyDescent="0.3">
      <c r="A3267" s="4">
        <v>45577</v>
      </c>
      <c r="B3267" s="5">
        <f t="shared" ref="B3267:B3330" si="808">MONTH(A3267)</f>
        <v>10</v>
      </c>
      <c r="C3267" s="5">
        <f t="shared" ref="C3267:C3330" si="809">YEAR(A3267)</f>
        <v>2024</v>
      </c>
      <c r="D3267" s="5" t="s">
        <v>3012</v>
      </c>
      <c r="E3267" s="5" t="str">
        <f>VLOOKUP(F3267,'Set up'!$A$2:$C$70,2,FALSE)</f>
        <v>C00000042</v>
      </c>
      <c r="F3267" s="1" t="s">
        <v>2012</v>
      </c>
      <c r="G3267" s="103" t="s">
        <v>2646</v>
      </c>
      <c r="H3267" s="5">
        <v>2</v>
      </c>
      <c r="I3267" s="5" t="str">
        <f>VLOOKUP(F3267,'Set up'!$A$2:$C$70,3,FALSE)</f>
        <v>Cash</v>
      </c>
      <c r="J3267" s="5">
        <f>VLOOKUP(F3267,'Set up'!$A$2:$D$70,4,FALSE)</f>
        <v>0</v>
      </c>
      <c r="K3267" s="4">
        <f t="shared" ref="K3267:K3330" si="810">A3267+J3267</f>
        <v>45577</v>
      </c>
      <c r="L3267" s="5">
        <f t="shared" ref="L3267:L3330" si="811">MONTH(K3267)</f>
        <v>10</v>
      </c>
      <c r="M3267" s="5">
        <f t="shared" ref="M3267:M3330" si="812">YEAR(K3267)</f>
        <v>2024</v>
      </c>
      <c r="N3267" s="12">
        <v>125</v>
      </c>
      <c r="O3267" s="6">
        <f t="shared" ref="O3267" si="813">-N3267</f>
        <v>-125</v>
      </c>
      <c r="P3267" s="12">
        <f t="shared" si="801"/>
        <v>0</v>
      </c>
      <c r="Q3267" s="7">
        <f t="shared" ref="Q3267:Q3330" si="814">SUM(Q3266+N3267)</f>
        <v>5358803.8499999996</v>
      </c>
      <c r="R3267" s="44" t="str">
        <f>VLOOKUP(F3267,'Set up'!$A$2:$E$70,5,FALSE)</f>
        <v>Trsf</v>
      </c>
      <c r="S3267" s="1" t="s">
        <v>3493</v>
      </c>
    </row>
    <row r="3268" spans="1:19" ht="15" customHeight="1" x14ac:dyDescent="0.3">
      <c r="A3268" s="4">
        <v>45577</v>
      </c>
      <c r="B3268" s="5">
        <f t="shared" si="808"/>
        <v>10</v>
      </c>
      <c r="C3268" s="5">
        <f t="shared" si="809"/>
        <v>2024</v>
      </c>
      <c r="D3268" s="5" t="s">
        <v>3013</v>
      </c>
      <c r="E3268" s="5" t="str">
        <f>VLOOKUP(F3268,'Set up'!$A$2:$C$70,2,FALSE)</f>
        <v>C00000042</v>
      </c>
      <c r="F3268" s="1" t="s">
        <v>2012</v>
      </c>
      <c r="G3268" s="128" t="s">
        <v>2552</v>
      </c>
      <c r="H3268" s="5">
        <v>2</v>
      </c>
      <c r="I3268" s="5" t="str">
        <f>VLOOKUP(F3268,'Set up'!$A$2:$C$70,3,FALSE)</f>
        <v>Cash</v>
      </c>
      <c r="J3268" s="5">
        <f>VLOOKUP(F3268,'Set up'!$A$2:$D$70,4,FALSE)</f>
        <v>0</v>
      </c>
      <c r="K3268" s="4">
        <f t="shared" si="810"/>
        <v>45577</v>
      </c>
      <c r="L3268" s="5">
        <f t="shared" si="811"/>
        <v>10</v>
      </c>
      <c r="M3268" s="5">
        <f t="shared" si="812"/>
        <v>2024</v>
      </c>
      <c r="N3268" s="12">
        <v>3212</v>
      </c>
      <c r="O3268" s="6">
        <f t="shared" ref="O3268:O3278" si="815">-N3268</f>
        <v>-3212</v>
      </c>
      <c r="P3268" s="12">
        <f t="shared" si="801"/>
        <v>0</v>
      </c>
      <c r="Q3268" s="7">
        <f t="shared" si="814"/>
        <v>5362015.8499999996</v>
      </c>
      <c r="R3268" s="44" t="str">
        <f>VLOOKUP(F3268,'Set up'!$A$2:$E$70,5,FALSE)</f>
        <v>Trsf</v>
      </c>
      <c r="S3268" s="1" t="s">
        <v>3495</v>
      </c>
    </row>
    <row r="3269" spans="1:19" ht="15" customHeight="1" x14ac:dyDescent="0.3">
      <c r="A3269" s="4">
        <v>45577</v>
      </c>
      <c r="B3269" s="5">
        <f t="shared" si="808"/>
        <v>10</v>
      </c>
      <c r="C3269" s="5">
        <f t="shared" si="809"/>
        <v>2024</v>
      </c>
      <c r="D3269" s="5" t="s">
        <v>3013</v>
      </c>
      <c r="E3269" s="5" t="str">
        <f>VLOOKUP(F3269,'Set up'!$A$2:$C$70,2,FALSE)</f>
        <v>C00000042</v>
      </c>
      <c r="F3269" s="1" t="s">
        <v>2012</v>
      </c>
      <c r="G3269" s="90" t="s">
        <v>2129</v>
      </c>
      <c r="H3269" s="5">
        <v>2</v>
      </c>
      <c r="I3269" s="5" t="str">
        <f>VLOOKUP(F3269,'Set up'!$A$2:$C$70,3,FALSE)</f>
        <v>Cash</v>
      </c>
      <c r="J3269" s="5">
        <f>VLOOKUP(F3269,'Set up'!$A$2:$D$70,4,FALSE)</f>
        <v>0</v>
      </c>
      <c r="K3269" s="4">
        <f t="shared" si="810"/>
        <v>45577</v>
      </c>
      <c r="L3269" s="5">
        <f t="shared" si="811"/>
        <v>10</v>
      </c>
      <c r="M3269" s="5">
        <f t="shared" si="812"/>
        <v>2024</v>
      </c>
      <c r="N3269" s="12">
        <v>429.2</v>
      </c>
      <c r="O3269" s="6">
        <f t="shared" si="815"/>
        <v>-429.2</v>
      </c>
      <c r="P3269" s="12">
        <f t="shared" si="801"/>
        <v>0</v>
      </c>
      <c r="Q3269" s="7">
        <f t="shared" si="814"/>
        <v>5362445.05</v>
      </c>
      <c r="R3269" s="44" t="str">
        <f>VLOOKUP(F3269,'Set up'!$A$2:$E$70,5,FALSE)</f>
        <v>Trsf</v>
      </c>
      <c r="S3269" s="1" t="s">
        <v>3498</v>
      </c>
    </row>
    <row r="3270" spans="1:19" ht="15" customHeight="1" x14ac:dyDescent="0.3">
      <c r="A3270" s="4">
        <v>45577</v>
      </c>
      <c r="B3270" s="5">
        <f t="shared" si="808"/>
        <v>10</v>
      </c>
      <c r="C3270" s="5">
        <f t="shared" si="809"/>
        <v>2024</v>
      </c>
      <c r="D3270" s="5" t="s">
        <v>3013</v>
      </c>
      <c r="E3270" s="5" t="str">
        <f>VLOOKUP(F3270,'Set up'!$A$2:$C$70,2,FALSE)</f>
        <v>C00000042</v>
      </c>
      <c r="F3270" s="1" t="s">
        <v>2012</v>
      </c>
      <c r="G3270" s="90" t="s">
        <v>1061</v>
      </c>
      <c r="H3270" s="5">
        <v>4</v>
      </c>
      <c r="I3270" s="5" t="str">
        <f>VLOOKUP(F3270,'Set up'!$A$2:$C$70,3,FALSE)</f>
        <v>Cash</v>
      </c>
      <c r="J3270" s="5">
        <f>VLOOKUP(F3270,'Set up'!$A$2:$D$70,4,FALSE)</f>
        <v>0</v>
      </c>
      <c r="K3270" s="4">
        <f t="shared" si="810"/>
        <v>45577</v>
      </c>
      <c r="L3270" s="5">
        <f t="shared" si="811"/>
        <v>10</v>
      </c>
      <c r="M3270" s="5">
        <f t="shared" si="812"/>
        <v>2024</v>
      </c>
      <c r="N3270" s="12">
        <v>380</v>
      </c>
      <c r="O3270" s="6">
        <f t="shared" si="815"/>
        <v>-380</v>
      </c>
      <c r="P3270" s="12">
        <f t="shared" si="801"/>
        <v>0</v>
      </c>
      <c r="Q3270" s="7">
        <f t="shared" si="814"/>
        <v>5362825.05</v>
      </c>
      <c r="R3270" s="44" t="str">
        <f>VLOOKUP(F3270,'Set up'!$A$2:$E$70,5,FALSE)</f>
        <v>Trsf</v>
      </c>
      <c r="S3270" s="1" t="s">
        <v>3494</v>
      </c>
    </row>
    <row r="3271" spans="1:19" ht="15" customHeight="1" x14ac:dyDescent="0.3">
      <c r="A3271" s="4">
        <v>45579</v>
      </c>
      <c r="B3271" s="5">
        <f t="shared" si="808"/>
        <v>10</v>
      </c>
      <c r="C3271" s="5">
        <f t="shared" si="809"/>
        <v>2024</v>
      </c>
      <c r="D3271" s="5" t="s">
        <v>3014</v>
      </c>
      <c r="E3271" s="5" t="str">
        <f>VLOOKUP(F3271,'Set up'!$A$2:$C$70,2,FALSE)</f>
        <v>C00000010</v>
      </c>
      <c r="F3271" s="1" t="s">
        <v>62</v>
      </c>
      <c r="G3271" s="95" t="s">
        <v>1178</v>
      </c>
      <c r="H3271" s="5">
        <v>10</v>
      </c>
      <c r="I3271" s="5">
        <f>VLOOKUP(F3271,'Set up'!$A$2:$C$70,3,FALSE)</f>
        <v>120</v>
      </c>
      <c r="J3271" s="5">
        <f>VLOOKUP(F3271,'Set up'!$A$2:$D$70,4,FALSE)</f>
        <v>120</v>
      </c>
      <c r="K3271" s="4">
        <f t="shared" si="810"/>
        <v>45699</v>
      </c>
      <c r="L3271" s="5">
        <f t="shared" si="811"/>
        <v>2</v>
      </c>
      <c r="M3271" s="5">
        <f t="shared" si="812"/>
        <v>2025</v>
      </c>
      <c r="N3271" s="12">
        <v>16060</v>
      </c>
      <c r="O3271" s="6">
        <f t="shared" si="815"/>
        <v>-16060</v>
      </c>
      <c r="P3271" s="12">
        <f t="shared" si="801"/>
        <v>0</v>
      </c>
      <c r="Q3271" s="7">
        <f t="shared" si="814"/>
        <v>5378885.0499999998</v>
      </c>
      <c r="R3271" s="44" t="str">
        <f>VLOOKUP(F3271,'Set up'!$A$2:$E$70,5,FALSE)</f>
        <v>Trsf</v>
      </c>
      <c r="S3271" s="1" t="s">
        <v>3608</v>
      </c>
    </row>
    <row r="3272" spans="1:19" ht="15" customHeight="1" x14ac:dyDescent="0.3">
      <c r="A3272" s="4">
        <v>45579</v>
      </c>
      <c r="B3272" s="5">
        <f t="shared" si="808"/>
        <v>10</v>
      </c>
      <c r="C3272" s="5">
        <f t="shared" si="809"/>
        <v>2024</v>
      </c>
      <c r="D3272" s="5" t="s">
        <v>3014</v>
      </c>
      <c r="E3272" s="5" t="str">
        <f>VLOOKUP(F3272,'Set up'!$A$2:$C$70,2,FALSE)</f>
        <v>C00000010</v>
      </c>
      <c r="F3272" s="1" t="s">
        <v>62</v>
      </c>
      <c r="G3272" s="90" t="s">
        <v>1543</v>
      </c>
      <c r="H3272" s="5">
        <v>10</v>
      </c>
      <c r="I3272" s="5">
        <f>VLOOKUP(F3272,'Set up'!$A$2:$C$70,3,FALSE)</f>
        <v>120</v>
      </c>
      <c r="J3272" s="5">
        <f>VLOOKUP(F3272,'Set up'!$A$2:$D$70,4,FALSE)</f>
        <v>120</v>
      </c>
      <c r="K3272" s="4">
        <f t="shared" si="810"/>
        <v>45699</v>
      </c>
      <c r="L3272" s="5">
        <f t="shared" si="811"/>
        <v>2</v>
      </c>
      <c r="M3272" s="5">
        <f t="shared" si="812"/>
        <v>2025</v>
      </c>
      <c r="N3272" s="12">
        <v>1740</v>
      </c>
      <c r="O3272" s="6">
        <f t="shared" si="815"/>
        <v>-1740</v>
      </c>
      <c r="P3272" s="12">
        <f t="shared" si="801"/>
        <v>0</v>
      </c>
      <c r="Q3272" s="7">
        <f t="shared" si="814"/>
        <v>5380625.0499999998</v>
      </c>
      <c r="R3272" s="44" t="str">
        <f>VLOOKUP(F3272,'Set up'!$A$2:$E$70,5,FALSE)</f>
        <v>Trsf</v>
      </c>
      <c r="S3272" s="1" t="s">
        <v>3608</v>
      </c>
    </row>
    <row r="3273" spans="1:19" ht="15" customHeight="1" x14ac:dyDescent="0.3">
      <c r="A3273" s="4">
        <v>45579</v>
      </c>
      <c r="B3273" s="5">
        <f t="shared" si="808"/>
        <v>10</v>
      </c>
      <c r="C3273" s="5">
        <f t="shared" si="809"/>
        <v>2024</v>
      </c>
      <c r="D3273" s="5" t="s">
        <v>3014</v>
      </c>
      <c r="E3273" s="5" t="str">
        <f>VLOOKUP(F3273,'Set up'!$A$2:$C$70,2,FALSE)</f>
        <v>C00000010</v>
      </c>
      <c r="F3273" s="1" t="s">
        <v>62</v>
      </c>
      <c r="G3273" s="90" t="s">
        <v>2635</v>
      </c>
      <c r="H3273" s="5">
        <v>15</v>
      </c>
      <c r="I3273" s="5">
        <f>VLOOKUP(F3273,'Set up'!$A$2:$C$70,3,FALSE)</f>
        <v>120</v>
      </c>
      <c r="J3273" s="5">
        <f>VLOOKUP(F3273,'Set up'!$A$2:$D$70,4,FALSE)</f>
        <v>120</v>
      </c>
      <c r="K3273" s="4">
        <f t="shared" si="810"/>
        <v>45699</v>
      </c>
      <c r="L3273" s="5">
        <f t="shared" si="811"/>
        <v>2</v>
      </c>
      <c r="M3273" s="5">
        <f t="shared" si="812"/>
        <v>2025</v>
      </c>
      <c r="N3273" s="12">
        <v>862.5</v>
      </c>
      <c r="O3273" s="6">
        <f t="shared" si="815"/>
        <v>-862.5</v>
      </c>
      <c r="P3273" s="12">
        <f t="shared" si="801"/>
        <v>0</v>
      </c>
      <c r="Q3273" s="7">
        <f t="shared" si="814"/>
        <v>5381487.5499999998</v>
      </c>
      <c r="R3273" s="44" t="str">
        <f>VLOOKUP(F3273,'Set up'!$A$2:$E$70,5,FALSE)</f>
        <v>Trsf</v>
      </c>
      <c r="S3273" s="1" t="s">
        <v>3608</v>
      </c>
    </row>
    <row r="3274" spans="1:19" ht="15" customHeight="1" x14ac:dyDescent="0.3">
      <c r="A3274" s="4">
        <v>45579</v>
      </c>
      <c r="B3274" s="5">
        <f t="shared" si="808"/>
        <v>10</v>
      </c>
      <c r="C3274" s="5">
        <f t="shared" si="809"/>
        <v>2024</v>
      </c>
      <c r="D3274" s="5" t="s">
        <v>3014</v>
      </c>
      <c r="E3274" s="5" t="str">
        <f>VLOOKUP(F3274,'Set up'!$A$2:$C$70,2,FALSE)</f>
        <v>C00000010</v>
      </c>
      <c r="F3274" s="1" t="s">
        <v>62</v>
      </c>
      <c r="G3274" s="11" t="s">
        <v>46</v>
      </c>
      <c r="H3274" s="5">
        <v>12</v>
      </c>
      <c r="I3274" s="5">
        <f>VLOOKUP(F3274,'Set up'!$A$2:$C$70,3,FALSE)</f>
        <v>120</v>
      </c>
      <c r="J3274" s="5">
        <f>VLOOKUP(F3274,'Set up'!$A$2:$D$70,4,FALSE)</f>
        <v>120</v>
      </c>
      <c r="K3274" s="4">
        <f t="shared" si="810"/>
        <v>45699</v>
      </c>
      <c r="L3274" s="5">
        <f t="shared" si="811"/>
        <v>2</v>
      </c>
      <c r="M3274" s="5">
        <f t="shared" si="812"/>
        <v>2025</v>
      </c>
      <c r="N3274" s="12">
        <v>1320</v>
      </c>
      <c r="O3274" s="6">
        <f t="shared" si="815"/>
        <v>-1320</v>
      </c>
      <c r="P3274" s="12">
        <f t="shared" si="801"/>
        <v>0</v>
      </c>
      <c r="Q3274" s="7">
        <f t="shared" si="814"/>
        <v>5382807.5499999998</v>
      </c>
      <c r="R3274" s="44" t="str">
        <f>VLOOKUP(F3274,'Set up'!$A$2:$E$70,5,FALSE)</f>
        <v>Trsf</v>
      </c>
      <c r="S3274" s="1" t="s">
        <v>3608</v>
      </c>
    </row>
    <row r="3275" spans="1:19" ht="15" customHeight="1" x14ac:dyDescent="0.3">
      <c r="A3275" s="4">
        <v>45579</v>
      </c>
      <c r="B3275" s="5">
        <f t="shared" si="808"/>
        <v>10</v>
      </c>
      <c r="C3275" s="5">
        <f t="shared" si="809"/>
        <v>2024</v>
      </c>
      <c r="D3275" s="5" t="s">
        <v>3014</v>
      </c>
      <c r="E3275" s="5" t="str">
        <f>VLOOKUP(F3275,'Set up'!$A$2:$C$70,2,FALSE)</f>
        <v>C00000010</v>
      </c>
      <c r="F3275" s="1" t="s">
        <v>62</v>
      </c>
      <c r="G3275" s="95" t="s">
        <v>946</v>
      </c>
      <c r="H3275" s="5">
        <v>4</v>
      </c>
      <c r="I3275" s="5">
        <f>VLOOKUP(F3275,'Set up'!$A$2:$C$70,3,FALSE)</f>
        <v>120</v>
      </c>
      <c r="J3275" s="5">
        <f>VLOOKUP(F3275,'Set up'!$A$2:$D$70,4,FALSE)</f>
        <v>120</v>
      </c>
      <c r="K3275" s="4">
        <f t="shared" si="810"/>
        <v>45699</v>
      </c>
      <c r="L3275" s="5">
        <f t="shared" si="811"/>
        <v>2</v>
      </c>
      <c r="M3275" s="5">
        <f t="shared" si="812"/>
        <v>2025</v>
      </c>
      <c r="N3275" s="12">
        <v>230.4</v>
      </c>
      <c r="O3275" s="6">
        <f t="shared" si="815"/>
        <v>-230.4</v>
      </c>
      <c r="P3275" s="12">
        <f t="shared" si="801"/>
        <v>0</v>
      </c>
      <c r="Q3275" s="7">
        <f t="shared" si="814"/>
        <v>5383037.9500000002</v>
      </c>
      <c r="R3275" s="44" t="str">
        <f>VLOOKUP(F3275,'Set up'!$A$2:$E$70,5,FALSE)</f>
        <v>Trsf</v>
      </c>
      <c r="S3275" s="1" t="s">
        <v>3608</v>
      </c>
    </row>
    <row r="3276" spans="1:19" ht="15" customHeight="1" x14ac:dyDescent="0.3">
      <c r="A3276" s="4">
        <v>45579</v>
      </c>
      <c r="B3276" s="5">
        <f t="shared" si="808"/>
        <v>10</v>
      </c>
      <c r="C3276" s="5">
        <f t="shared" si="809"/>
        <v>2024</v>
      </c>
      <c r="D3276" s="5" t="s">
        <v>3014</v>
      </c>
      <c r="E3276" s="5" t="str">
        <f>VLOOKUP(F3276,'Set up'!$A$2:$C$70,2,FALSE)</f>
        <v>C00000010</v>
      </c>
      <c r="F3276" s="1" t="s">
        <v>62</v>
      </c>
      <c r="G3276" s="99" t="s">
        <v>614</v>
      </c>
      <c r="H3276" s="5">
        <v>1</v>
      </c>
      <c r="I3276" s="5">
        <f>VLOOKUP(F3276,'Set up'!$A$2:$C$70,3,FALSE)</f>
        <v>120</v>
      </c>
      <c r="J3276" s="5">
        <f>VLOOKUP(F3276,'Set up'!$A$2:$D$70,4,FALSE)</f>
        <v>120</v>
      </c>
      <c r="K3276" s="4">
        <f t="shared" si="810"/>
        <v>45699</v>
      </c>
      <c r="L3276" s="5">
        <f t="shared" si="811"/>
        <v>2</v>
      </c>
      <c r="M3276" s="5">
        <f t="shared" si="812"/>
        <v>2025</v>
      </c>
      <c r="N3276" s="12">
        <v>395</v>
      </c>
      <c r="O3276" s="6">
        <f t="shared" si="815"/>
        <v>-395</v>
      </c>
      <c r="P3276" s="12">
        <f t="shared" si="801"/>
        <v>0</v>
      </c>
      <c r="Q3276" s="7">
        <f t="shared" si="814"/>
        <v>5383432.9500000002</v>
      </c>
      <c r="R3276" s="44" t="str">
        <f>VLOOKUP(F3276,'Set up'!$A$2:$E$70,5,FALSE)</f>
        <v>Trsf</v>
      </c>
      <c r="S3276" s="1" t="s">
        <v>3608</v>
      </c>
    </row>
    <row r="3277" spans="1:19" ht="15" customHeight="1" x14ac:dyDescent="0.3">
      <c r="A3277" s="4">
        <v>45579</v>
      </c>
      <c r="B3277" s="5">
        <f t="shared" si="808"/>
        <v>10</v>
      </c>
      <c r="C3277" s="5">
        <f t="shared" si="809"/>
        <v>2024</v>
      </c>
      <c r="D3277" s="5" t="s">
        <v>3014</v>
      </c>
      <c r="E3277" s="5" t="str">
        <f>VLOOKUP(F3277,'Set up'!$A$2:$C$70,2,FALSE)</f>
        <v>C00000010</v>
      </c>
      <c r="F3277" s="1" t="s">
        <v>62</v>
      </c>
      <c r="G3277" s="90" t="s">
        <v>2449</v>
      </c>
      <c r="H3277" s="5">
        <v>1</v>
      </c>
      <c r="I3277" s="5">
        <f>VLOOKUP(F3277,'Set up'!$A$2:$C$70,3,FALSE)</f>
        <v>120</v>
      </c>
      <c r="J3277" s="5">
        <f>VLOOKUP(F3277,'Set up'!$A$2:$D$70,4,FALSE)</f>
        <v>120</v>
      </c>
      <c r="K3277" s="4">
        <f t="shared" si="810"/>
        <v>45699</v>
      </c>
      <c r="L3277" s="5">
        <f t="shared" si="811"/>
        <v>2</v>
      </c>
      <c r="M3277" s="5">
        <f t="shared" si="812"/>
        <v>2025</v>
      </c>
      <c r="N3277" s="12">
        <v>420</v>
      </c>
      <c r="O3277" s="6">
        <f t="shared" si="815"/>
        <v>-420</v>
      </c>
      <c r="P3277" s="12">
        <f t="shared" si="801"/>
        <v>0</v>
      </c>
      <c r="Q3277" s="7">
        <f t="shared" si="814"/>
        <v>5383852.9500000002</v>
      </c>
      <c r="R3277" s="44" t="str">
        <f>VLOOKUP(F3277,'Set up'!$A$2:$E$70,5,FALSE)</f>
        <v>Trsf</v>
      </c>
      <c r="S3277" s="1" t="s">
        <v>3608</v>
      </c>
    </row>
    <row r="3278" spans="1:19" ht="15" customHeight="1" x14ac:dyDescent="0.3">
      <c r="A3278" s="4">
        <v>45579</v>
      </c>
      <c r="B3278" s="5">
        <f t="shared" si="808"/>
        <v>10</v>
      </c>
      <c r="C3278" s="5">
        <f t="shared" si="809"/>
        <v>2024</v>
      </c>
      <c r="D3278" s="5" t="s">
        <v>3014</v>
      </c>
      <c r="E3278" s="5" t="str">
        <f>VLOOKUP(F3278,'Set up'!$A$2:$C$70,2,FALSE)</f>
        <v>C00000010</v>
      </c>
      <c r="F3278" s="1" t="s">
        <v>62</v>
      </c>
      <c r="G3278" s="90" t="s">
        <v>1654</v>
      </c>
      <c r="H3278" s="5">
        <v>5</v>
      </c>
      <c r="I3278" s="5">
        <f>VLOOKUP(F3278,'Set up'!$A$2:$C$70,3,FALSE)</f>
        <v>120</v>
      </c>
      <c r="J3278" s="5">
        <f>VLOOKUP(F3278,'Set up'!$A$2:$D$70,4,FALSE)</f>
        <v>120</v>
      </c>
      <c r="K3278" s="4">
        <f t="shared" si="810"/>
        <v>45699</v>
      </c>
      <c r="L3278" s="5">
        <f t="shared" si="811"/>
        <v>2</v>
      </c>
      <c r="M3278" s="5">
        <f t="shared" si="812"/>
        <v>2025</v>
      </c>
      <c r="N3278" s="12">
        <v>1190</v>
      </c>
      <c r="O3278" s="6">
        <f t="shared" si="815"/>
        <v>-1190</v>
      </c>
      <c r="P3278" s="12">
        <f t="shared" si="801"/>
        <v>0</v>
      </c>
      <c r="Q3278" s="7">
        <f t="shared" si="814"/>
        <v>5385042.9500000002</v>
      </c>
      <c r="R3278" s="44" t="str">
        <f>VLOOKUP(F3278,'Set up'!$A$2:$E$70,5,FALSE)</f>
        <v>Trsf</v>
      </c>
      <c r="S3278" s="1" t="s">
        <v>3608</v>
      </c>
    </row>
    <row r="3279" spans="1:19" ht="15" customHeight="1" x14ac:dyDescent="0.3">
      <c r="A3279" s="4">
        <v>45580</v>
      </c>
      <c r="B3279" s="5">
        <f t="shared" si="808"/>
        <v>10</v>
      </c>
      <c r="C3279" s="5">
        <f t="shared" si="809"/>
        <v>2024</v>
      </c>
      <c r="D3279" s="5" t="s">
        <v>3015</v>
      </c>
      <c r="E3279" s="5" t="str">
        <f>VLOOKUP(F3279,'Set up'!$A$2:$C$70,2,FALSE)</f>
        <v>C00000041</v>
      </c>
      <c r="F3279" s="1" t="s">
        <v>1704</v>
      </c>
      <c r="G3279" s="119" t="s">
        <v>2523</v>
      </c>
      <c r="H3279" s="5">
        <v>1</v>
      </c>
      <c r="I3279" s="5" t="str">
        <f>VLOOKUP(F3279,'Set up'!$A$2:$C$70,3,FALSE)</f>
        <v>Cash</v>
      </c>
      <c r="J3279" s="5">
        <f>VLOOKUP(F3279,'Set up'!$A$2:$D$70,4,FALSE)</f>
        <v>0</v>
      </c>
      <c r="K3279" s="4">
        <f t="shared" si="810"/>
        <v>45580</v>
      </c>
      <c r="L3279" s="5">
        <f t="shared" si="811"/>
        <v>10</v>
      </c>
      <c r="M3279" s="5">
        <f t="shared" si="812"/>
        <v>2024</v>
      </c>
      <c r="N3279" s="12">
        <v>225</v>
      </c>
      <c r="O3279" s="6">
        <f t="shared" ref="O3279:O3293" si="816">-N3279</f>
        <v>-225</v>
      </c>
      <c r="P3279" s="12">
        <f t="shared" si="801"/>
        <v>0</v>
      </c>
      <c r="Q3279" s="7">
        <f t="shared" si="814"/>
        <v>5385267.9500000002</v>
      </c>
      <c r="R3279" s="44" t="str">
        <f>VLOOKUP(F3279,'Set up'!$A$2:$E$70,5,FALSE)</f>
        <v>Trsf</v>
      </c>
      <c r="S3279" s="1" t="s">
        <v>3048</v>
      </c>
    </row>
    <row r="3280" spans="1:19" ht="15" customHeight="1" x14ac:dyDescent="0.3">
      <c r="A3280" s="4">
        <v>45580</v>
      </c>
      <c r="B3280" s="5">
        <f t="shared" si="808"/>
        <v>10</v>
      </c>
      <c r="C3280" s="5">
        <f t="shared" si="809"/>
        <v>2024</v>
      </c>
      <c r="D3280" s="5" t="s">
        <v>3016</v>
      </c>
      <c r="E3280" s="5" t="str">
        <f>VLOOKUP(F3280,'Set up'!$A$2:$C$70,2,FALSE)</f>
        <v>C00000042</v>
      </c>
      <c r="F3280" s="1" t="s">
        <v>2012</v>
      </c>
      <c r="G3280" s="103" t="s">
        <v>2646</v>
      </c>
      <c r="H3280" s="5">
        <v>10</v>
      </c>
      <c r="I3280" s="5" t="str">
        <f>VLOOKUP(F3280,'Set up'!$A$2:$C$70,3,FALSE)</f>
        <v>Cash</v>
      </c>
      <c r="J3280" s="5">
        <f>VLOOKUP(F3280,'Set up'!$A$2:$D$70,4,FALSE)</f>
        <v>0</v>
      </c>
      <c r="K3280" s="4">
        <f t="shared" si="810"/>
        <v>45580</v>
      </c>
      <c r="L3280" s="5">
        <f t="shared" si="811"/>
        <v>10</v>
      </c>
      <c r="M3280" s="5">
        <f t="shared" si="812"/>
        <v>2024</v>
      </c>
      <c r="N3280" s="12">
        <v>625</v>
      </c>
      <c r="O3280" s="6">
        <f t="shared" si="816"/>
        <v>-625</v>
      </c>
      <c r="P3280" s="12">
        <f t="shared" si="801"/>
        <v>0</v>
      </c>
      <c r="Q3280" s="7">
        <f t="shared" si="814"/>
        <v>5385892.9500000002</v>
      </c>
      <c r="R3280" s="44" t="str">
        <f>VLOOKUP(F3280,'Set up'!$A$2:$E$70,5,FALSE)</f>
        <v>Trsf</v>
      </c>
      <c r="S3280" s="1" t="s">
        <v>3496</v>
      </c>
    </row>
    <row r="3281" spans="1:19" ht="15" customHeight="1" x14ac:dyDescent="0.3">
      <c r="A3281" s="4">
        <v>45580</v>
      </c>
      <c r="B3281" s="5">
        <f t="shared" si="808"/>
        <v>10</v>
      </c>
      <c r="C3281" s="5">
        <f t="shared" si="809"/>
        <v>2024</v>
      </c>
      <c r="D3281" s="5" t="s">
        <v>3017</v>
      </c>
      <c r="E3281" s="5" t="str">
        <f>VLOOKUP(F3281,'Set up'!$A$2:$C$70,2,FALSE)</f>
        <v>C00000042</v>
      </c>
      <c r="F3281" s="1" t="s">
        <v>2012</v>
      </c>
      <c r="G3281" s="128" t="s">
        <v>2552</v>
      </c>
      <c r="H3281" s="5">
        <v>10</v>
      </c>
      <c r="I3281" s="5" t="str">
        <f>VLOOKUP(F3281,'Set up'!$A$2:$C$70,3,FALSE)</f>
        <v>Cash</v>
      </c>
      <c r="J3281" s="5">
        <f>VLOOKUP(F3281,'Set up'!$A$2:$D$70,4,FALSE)</f>
        <v>0</v>
      </c>
      <c r="K3281" s="4">
        <f t="shared" si="810"/>
        <v>45580</v>
      </c>
      <c r="L3281" s="5">
        <f t="shared" si="811"/>
        <v>10</v>
      </c>
      <c r="M3281" s="5">
        <f t="shared" si="812"/>
        <v>2024</v>
      </c>
      <c r="N3281" s="12">
        <v>16060</v>
      </c>
      <c r="O3281" s="6">
        <f t="shared" si="816"/>
        <v>-16060</v>
      </c>
      <c r="P3281" s="12">
        <f t="shared" si="801"/>
        <v>0</v>
      </c>
      <c r="Q3281" s="7">
        <f t="shared" si="814"/>
        <v>5401952.9500000002</v>
      </c>
      <c r="R3281" s="44" t="str">
        <f>VLOOKUP(F3281,'Set up'!$A$2:$E$70,5,FALSE)</f>
        <v>Trsf</v>
      </c>
      <c r="S3281" s="1" t="s">
        <v>3497</v>
      </c>
    </row>
    <row r="3282" spans="1:19" ht="15" customHeight="1" x14ac:dyDescent="0.3">
      <c r="A3282" s="4">
        <v>45580</v>
      </c>
      <c r="B3282" s="5">
        <f t="shared" si="808"/>
        <v>10</v>
      </c>
      <c r="C3282" s="5">
        <f t="shared" si="809"/>
        <v>2024</v>
      </c>
      <c r="D3282" s="5" t="s">
        <v>3017</v>
      </c>
      <c r="E3282" s="5" t="str">
        <f>VLOOKUP(F3282,'Set up'!$A$2:$C$70,2,FALSE)</f>
        <v>C00000042</v>
      </c>
      <c r="F3282" s="1" t="s">
        <v>2012</v>
      </c>
      <c r="G3282" s="90" t="s">
        <v>2129</v>
      </c>
      <c r="H3282" s="5">
        <v>30</v>
      </c>
      <c r="I3282" s="5" t="str">
        <f>VLOOKUP(F3282,'Set up'!$A$2:$C$70,3,FALSE)</f>
        <v>Cash</v>
      </c>
      <c r="J3282" s="5">
        <f>VLOOKUP(F3282,'Set up'!$A$2:$D$70,4,FALSE)</f>
        <v>0</v>
      </c>
      <c r="K3282" s="4">
        <f t="shared" si="810"/>
        <v>45580</v>
      </c>
      <c r="L3282" s="5">
        <f t="shared" si="811"/>
        <v>10</v>
      </c>
      <c r="M3282" s="5">
        <f t="shared" si="812"/>
        <v>2024</v>
      </c>
      <c r="N3282" s="12">
        <v>6438</v>
      </c>
      <c r="O3282" s="6">
        <f>-273.4-6164.6</f>
        <v>-6438</v>
      </c>
      <c r="P3282" s="12">
        <f t="shared" si="801"/>
        <v>0</v>
      </c>
      <c r="Q3282" s="7">
        <f t="shared" si="814"/>
        <v>5408390.9500000002</v>
      </c>
      <c r="R3282" s="44" t="str">
        <f>VLOOKUP(F3282,'Set up'!$A$2:$E$70,5,FALSE)</f>
        <v>Trsf</v>
      </c>
      <c r="S3282" s="1" t="s">
        <v>3554</v>
      </c>
    </row>
    <row r="3283" spans="1:19" ht="15" customHeight="1" x14ac:dyDescent="0.3">
      <c r="A3283" s="4">
        <v>45580</v>
      </c>
      <c r="B3283" s="5">
        <f t="shared" si="808"/>
        <v>10</v>
      </c>
      <c r="C3283" s="5">
        <f t="shared" si="809"/>
        <v>2024</v>
      </c>
      <c r="D3283" s="5" t="s">
        <v>3017</v>
      </c>
      <c r="E3283" s="5" t="str">
        <f>VLOOKUP(F3283,'Set up'!$A$2:$C$70,2,FALSE)</f>
        <v>C00000042</v>
      </c>
      <c r="F3283" s="1" t="s">
        <v>2012</v>
      </c>
      <c r="G3283" s="90" t="s">
        <v>1922</v>
      </c>
      <c r="H3283" s="5">
        <v>15</v>
      </c>
      <c r="I3283" s="5" t="str">
        <f>VLOOKUP(F3283,'Set up'!$A$2:$C$70,3,FALSE)</f>
        <v>Cash</v>
      </c>
      <c r="J3283" s="5">
        <f>VLOOKUP(F3283,'Set up'!$A$2:$D$70,4,FALSE)</f>
        <v>0</v>
      </c>
      <c r="K3283" s="4">
        <f t="shared" si="810"/>
        <v>45580</v>
      </c>
      <c r="L3283" s="5">
        <f t="shared" si="811"/>
        <v>10</v>
      </c>
      <c r="M3283" s="5">
        <f t="shared" si="812"/>
        <v>2024</v>
      </c>
      <c r="N3283" s="12">
        <v>3577.5</v>
      </c>
      <c r="O3283" s="6">
        <f t="shared" si="816"/>
        <v>-3577.5</v>
      </c>
      <c r="P3283" s="12">
        <f t="shared" si="801"/>
        <v>0</v>
      </c>
      <c r="Q3283" s="7">
        <f t="shared" si="814"/>
        <v>5411968.4500000002</v>
      </c>
      <c r="R3283" s="44" t="str">
        <f>VLOOKUP(F3283,'Set up'!$A$2:$E$70,5,FALSE)</f>
        <v>Trsf</v>
      </c>
      <c r="S3283" s="1" t="s">
        <v>3555</v>
      </c>
    </row>
    <row r="3284" spans="1:19" ht="15" customHeight="1" x14ac:dyDescent="0.3">
      <c r="A3284" s="4">
        <v>45580</v>
      </c>
      <c r="B3284" s="5">
        <f t="shared" si="808"/>
        <v>10</v>
      </c>
      <c r="C3284" s="5">
        <f t="shared" si="809"/>
        <v>2024</v>
      </c>
      <c r="D3284" s="5" t="s">
        <v>3017</v>
      </c>
      <c r="E3284" s="5" t="str">
        <f>VLOOKUP(F3284,'Set up'!$A$2:$C$70,2,FALSE)</f>
        <v>C00000042</v>
      </c>
      <c r="F3284" s="1" t="s">
        <v>2012</v>
      </c>
      <c r="G3284" s="90" t="s">
        <v>1061</v>
      </c>
      <c r="H3284" s="5">
        <v>4</v>
      </c>
      <c r="I3284" s="5" t="str">
        <f>VLOOKUP(F3284,'Set up'!$A$2:$C$70,3,FALSE)</f>
        <v>Cash</v>
      </c>
      <c r="J3284" s="5">
        <f>VLOOKUP(F3284,'Set up'!$A$2:$D$70,4,FALSE)</f>
        <v>0</v>
      </c>
      <c r="K3284" s="4">
        <f t="shared" si="810"/>
        <v>45580</v>
      </c>
      <c r="L3284" s="5">
        <f t="shared" si="811"/>
        <v>10</v>
      </c>
      <c r="M3284" s="5">
        <f t="shared" si="812"/>
        <v>2024</v>
      </c>
      <c r="N3284" s="12">
        <v>380</v>
      </c>
      <c r="O3284" s="6">
        <f t="shared" si="816"/>
        <v>-380</v>
      </c>
      <c r="P3284" s="12">
        <f t="shared" si="801"/>
        <v>0</v>
      </c>
      <c r="Q3284" s="7">
        <f t="shared" si="814"/>
        <v>5412348.4500000002</v>
      </c>
      <c r="R3284" s="44" t="str">
        <f>VLOOKUP(F3284,'Set up'!$A$2:$E$70,5,FALSE)</f>
        <v>Trsf</v>
      </c>
      <c r="S3284" s="1" t="s">
        <v>3556</v>
      </c>
    </row>
    <row r="3285" spans="1:19" ht="15" customHeight="1" x14ac:dyDescent="0.3">
      <c r="A3285" s="4">
        <v>45580</v>
      </c>
      <c r="B3285" s="5">
        <f t="shared" si="808"/>
        <v>10</v>
      </c>
      <c r="C3285" s="5">
        <f t="shared" si="809"/>
        <v>2024</v>
      </c>
      <c r="D3285" s="5" t="s">
        <v>3017</v>
      </c>
      <c r="E3285" s="5" t="str">
        <f>VLOOKUP(F3285,'Set up'!$A$2:$C$70,2,FALSE)</f>
        <v>C00000042</v>
      </c>
      <c r="F3285" s="1" t="s">
        <v>2012</v>
      </c>
      <c r="G3285" s="90" t="s">
        <v>1073</v>
      </c>
      <c r="H3285" s="5">
        <v>1</v>
      </c>
      <c r="I3285" s="5" t="str">
        <f>VLOOKUP(F3285,'Set up'!$A$2:$C$70,3,FALSE)</f>
        <v>Cash</v>
      </c>
      <c r="J3285" s="5">
        <f>VLOOKUP(F3285,'Set up'!$A$2:$D$70,4,FALSE)</f>
        <v>0</v>
      </c>
      <c r="K3285" s="4">
        <f t="shared" si="810"/>
        <v>45580</v>
      </c>
      <c r="L3285" s="5">
        <f t="shared" si="811"/>
        <v>10</v>
      </c>
      <c r="M3285" s="5">
        <f t="shared" si="812"/>
        <v>2024</v>
      </c>
      <c r="N3285" s="12">
        <v>1000</v>
      </c>
      <c r="O3285" s="6">
        <f t="shared" si="816"/>
        <v>-1000</v>
      </c>
      <c r="P3285" s="12">
        <f t="shared" ref="P3285:P3348" si="817">SUM(N3285+O3285)</f>
        <v>0</v>
      </c>
      <c r="Q3285" s="7">
        <f t="shared" si="814"/>
        <v>5413348.4500000002</v>
      </c>
      <c r="R3285" s="44" t="str">
        <f>VLOOKUP(F3285,'Set up'!$A$2:$E$70,5,FALSE)</f>
        <v>Trsf</v>
      </c>
      <c r="S3285" s="1" t="s">
        <v>3557</v>
      </c>
    </row>
    <row r="3286" spans="1:19" ht="15" customHeight="1" x14ac:dyDescent="0.3">
      <c r="A3286" s="4">
        <v>45582</v>
      </c>
      <c r="B3286" s="5">
        <f t="shared" si="808"/>
        <v>10</v>
      </c>
      <c r="C3286" s="5">
        <f t="shared" si="809"/>
        <v>2024</v>
      </c>
      <c r="D3286" s="5" t="s">
        <v>3018</v>
      </c>
      <c r="E3286" s="5" t="str">
        <f>VLOOKUP(F3286,'Set up'!$A$2:$C$70,2,FALSE)</f>
        <v>C00000037</v>
      </c>
      <c r="F3286" s="1" t="s">
        <v>1309</v>
      </c>
      <c r="G3286" s="11" t="s">
        <v>1894</v>
      </c>
      <c r="H3286" s="5">
        <v>3</v>
      </c>
      <c r="I3286" s="5">
        <f>VLOOKUP(F3286,'Set up'!$A$2:$C$70,3,FALSE)</f>
        <v>30</v>
      </c>
      <c r="J3286" s="5">
        <f>VLOOKUP(F3286,'Set up'!$A$2:$D$70,4,FALSE)</f>
        <v>30</v>
      </c>
      <c r="K3286" s="4">
        <f t="shared" si="810"/>
        <v>45612</v>
      </c>
      <c r="L3286" s="5">
        <f t="shared" si="811"/>
        <v>11</v>
      </c>
      <c r="M3286" s="5">
        <f t="shared" si="812"/>
        <v>2024</v>
      </c>
      <c r="N3286" s="12">
        <v>5214</v>
      </c>
      <c r="O3286" s="6">
        <f t="shared" si="816"/>
        <v>-5214</v>
      </c>
      <c r="P3286" s="12">
        <f t="shared" si="817"/>
        <v>0</v>
      </c>
      <c r="Q3286" s="7">
        <f t="shared" si="814"/>
        <v>5418562.4500000002</v>
      </c>
      <c r="R3286" s="44" t="str">
        <f>VLOOKUP(F3286,'Set up'!$A$2:$E$70,5,FALSE)</f>
        <v>Chq</v>
      </c>
      <c r="S3286" s="1" t="s">
        <v>3597</v>
      </c>
    </row>
    <row r="3287" spans="1:19" ht="15" customHeight="1" x14ac:dyDescent="0.3">
      <c r="A3287" s="4">
        <v>45582</v>
      </c>
      <c r="B3287" s="5">
        <f t="shared" si="808"/>
        <v>10</v>
      </c>
      <c r="C3287" s="5">
        <f t="shared" si="809"/>
        <v>2024</v>
      </c>
      <c r="D3287" s="5" t="s">
        <v>3018</v>
      </c>
      <c r="E3287" s="5" t="str">
        <f>VLOOKUP(F3287,'Set up'!$A$2:$C$70,2,FALSE)</f>
        <v>C00000037</v>
      </c>
      <c r="F3287" s="1" t="s">
        <v>1309</v>
      </c>
      <c r="G3287" s="11" t="s">
        <v>707</v>
      </c>
      <c r="H3287" s="5">
        <v>2</v>
      </c>
      <c r="I3287" s="5">
        <f>VLOOKUP(F3287,'Set up'!$A$2:$C$70,3,FALSE)</f>
        <v>30</v>
      </c>
      <c r="J3287" s="5">
        <f>VLOOKUP(F3287,'Set up'!$A$2:$D$70,4,FALSE)</f>
        <v>30</v>
      </c>
      <c r="K3287" s="4">
        <f t="shared" si="810"/>
        <v>45612</v>
      </c>
      <c r="L3287" s="5">
        <f t="shared" si="811"/>
        <v>11</v>
      </c>
      <c r="M3287" s="5">
        <f t="shared" si="812"/>
        <v>2024</v>
      </c>
      <c r="N3287" s="12">
        <v>842.4</v>
      </c>
      <c r="O3287" s="6">
        <f t="shared" si="816"/>
        <v>-842.4</v>
      </c>
      <c r="P3287" s="12">
        <f t="shared" si="817"/>
        <v>0</v>
      </c>
      <c r="Q3287" s="7">
        <f t="shared" si="814"/>
        <v>5419404.8500000006</v>
      </c>
      <c r="R3287" s="44" t="str">
        <f>VLOOKUP(F3287,'Set up'!$A$2:$E$70,5,FALSE)</f>
        <v>Chq</v>
      </c>
      <c r="S3287" s="1" t="s">
        <v>3597</v>
      </c>
    </row>
    <row r="3288" spans="1:19" ht="15" customHeight="1" x14ac:dyDescent="0.3">
      <c r="A3288" s="4">
        <v>45582</v>
      </c>
      <c r="B3288" s="5">
        <f t="shared" si="808"/>
        <v>10</v>
      </c>
      <c r="C3288" s="5">
        <f t="shared" si="809"/>
        <v>2024</v>
      </c>
      <c r="D3288" s="5" t="s">
        <v>3018</v>
      </c>
      <c r="E3288" s="5" t="str">
        <f>VLOOKUP(F3288,'Set up'!$A$2:$C$70,2,FALSE)</f>
        <v>C00000037</v>
      </c>
      <c r="F3288" s="1" t="s">
        <v>1309</v>
      </c>
      <c r="G3288" s="11" t="s">
        <v>2556</v>
      </c>
      <c r="H3288" s="5">
        <v>3</v>
      </c>
      <c r="I3288" s="5">
        <f>VLOOKUP(F3288,'Set up'!$A$2:$C$70,3,FALSE)</f>
        <v>30</v>
      </c>
      <c r="J3288" s="5">
        <f>VLOOKUP(F3288,'Set up'!$A$2:$D$70,4,FALSE)</f>
        <v>30</v>
      </c>
      <c r="K3288" s="4">
        <f t="shared" si="810"/>
        <v>45612</v>
      </c>
      <c r="L3288" s="5">
        <f t="shared" si="811"/>
        <v>11</v>
      </c>
      <c r="M3288" s="5">
        <f t="shared" si="812"/>
        <v>2024</v>
      </c>
      <c r="N3288" s="12">
        <v>1263.5999999999999</v>
      </c>
      <c r="O3288" s="6">
        <f t="shared" si="816"/>
        <v>-1263.5999999999999</v>
      </c>
      <c r="P3288" s="12">
        <f t="shared" si="817"/>
        <v>0</v>
      </c>
      <c r="Q3288" s="7">
        <f t="shared" si="814"/>
        <v>5420668.4500000002</v>
      </c>
      <c r="R3288" s="44" t="str">
        <f>VLOOKUP(F3288,'Set up'!$A$2:$E$70,5,FALSE)</f>
        <v>Chq</v>
      </c>
      <c r="S3288" s="1" t="s">
        <v>3597</v>
      </c>
    </row>
    <row r="3289" spans="1:19" ht="15" customHeight="1" x14ac:dyDescent="0.3">
      <c r="A3289" s="4">
        <v>45582</v>
      </c>
      <c r="B3289" s="5">
        <f t="shared" si="808"/>
        <v>10</v>
      </c>
      <c r="C3289" s="5">
        <f t="shared" si="809"/>
        <v>2024</v>
      </c>
      <c r="D3289" s="5" t="s">
        <v>3018</v>
      </c>
      <c r="E3289" s="5" t="str">
        <f>VLOOKUP(F3289,'Set up'!$A$2:$C$70,2,FALSE)</f>
        <v>C00000037</v>
      </c>
      <c r="F3289" s="1" t="s">
        <v>1309</v>
      </c>
      <c r="G3289" s="99" t="s">
        <v>1405</v>
      </c>
      <c r="H3289" s="5">
        <v>5</v>
      </c>
      <c r="I3289" s="5">
        <f>VLOOKUP(F3289,'Set up'!$A$2:$C$70,3,FALSE)</f>
        <v>30</v>
      </c>
      <c r="J3289" s="5">
        <f>VLOOKUP(F3289,'Set up'!$A$2:$D$70,4,FALSE)</f>
        <v>30</v>
      </c>
      <c r="K3289" s="4">
        <f t="shared" si="810"/>
        <v>45612</v>
      </c>
      <c r="L3289" s="5">
        <f t="shared" si="811"/>
        <v>11</v>
      </c>
      <c r="M3289" s="5">
        <f t="shared" si="812"/>
        <v>2024</v>
      </c>
      <c r="N3289" s="12">
        <v>240</v>
      </c>
      <c r="O3289" s="6">
        <f t="shared" si="816"/>
        <v>-240</v>
      </c>
      <c r="P3289" s="12">
        <f t="shared" si="817"/>
        <v>0</v>
      </c>
      <c r="Q3289" s="7">
        <f t="shared" si="814"/>
        <v>5420908.4500000002</v>
      </c>
      <c r="R3289" s="44" t="str">
        <f>VLOOKUP(F3289,'Set up'!$A$2:$E$70,5,FALSE)</f>
        <v>Chq</v>
      </c>
      <c r="S3289" s="1" t="s">
        <v>3597</v>
      </c>
    </row>
    <row r="3290" spans="1:19" ht="15" customHeight="1" x14ac:dyDescent="0.3">
      <c r="A3290" s="4">
        <v>45582</v>
      </c>
      <c r="B3290" s="5">
        <f t="shared" si="808"/>
        <v>10</v>
      </c>
      <c r="C3290" s="5">
        <f t="shared" si="809"/>
        <v>2024</v>
      </c>
      <c r="D3290" s="5" t="s">
        <v>3018</v>
      </c>
      <c r="E3290" s="5" t="str">
        <f>VLOOKUP(F3290,'Set up'!$A$2:$C$70,2,FALSE)</f>
        <v>C00000037</v>
      </c>
      <c r="F3290" s="1" t="s">
        <v>1309</v>
      </c>
      <c r="G3290" s="90" t="s">
        <v>2646</v>
      </c>
      <c r="H3290" s="5">
        <v>2</v>
      </c>
      <c r="I3290" s="5">
        <f>VLOOKUP(F3290,'Set up'!$A$2:$C$70,3,FALSE)</f>
        <v>30</v>
      </c>
      <c r="J3290" s="5">
        <f>VLOOKUP(F3290,'Set up'!$A$2:$D$70,4,FALSE)</f>
        <v>30</v>
      </c>
      <c r="K3290" s="4">
        <f t="shared" si="810"/>
        <v>45612</v>
      </c>
      <c r="L3290" s="5">
        <f t="shared" si="811"/>
        <v>11</v>
      </c>
      <c r="M3290" s="5">
        <f t="shared" si="812"/>
        <v>2024</v>
      </c>
      <c r="N3290" s="12">
        <v>125</v>
      </c>
      <c r="O3290" s="6">
        <f t="shared" si="816"/>
        <v>-125</v>
      </c>
      <c r="P3290" s="12">
        <f t="shared" si="817"/>
        <v>0</v>
      </c>
      <c r="Q3290" s="7">
        <f t="shared" si="814"/>
        <v>5421033.4500000002</v>
      </c>
      <c r="R3290" s="44" t="str">
        <f>VLOOKUP(F3290,'Set up'!$A$2:$E$70,5,FALSE)</f>
        <v>Chq</v>
      </c>
      <c r="S3290" s="1" t="s">
        <v>3597</v>
      </c>
    </row>
    <row r="3291" spans="1:19" ht="15" customHeight="1" x14ac:dyDescent="0.3">
      <c r="A3291" s="4">
        <v>45582</v>
      </c>
      <c r="B3291" s="5">
        <f t="shared" si="808"/>
        <v>10</v>
      </c>
      <c r="C3291" s="5">
        <f t="shared" si="809"/>
        <v>2024</v>
      </c>
      <c r="D3291" s="5" t="s">
        <v>3018</v>
      </c>
      <c r="E3291" s="5" t="str">
        <f>VLOOKUP(F3291,'Set up'!$A$2:$C$70,2,FALSE)</f>
        <v>C00000037</v>
      </c>
      <c r="F3291" s="1" t="s">
        <v>1309</v>
      </c>
      <c r="G3291" s="99" t="s">
        <v>1061</v>
      </c>
      <c r="H3291" s="5">
        <v>1</v>
      </c>
      <c r="I3291" s="5">
        <f>VLOOKUP(F3291,'Set up'!$A$2:$C$70,3,FALSE)</f>
        <v>30</v>
      </c>
      <c r="J3291" s="5">
        <f>VLOOKUP(F3291,'Set up'!$A$2:$D$70,4,FALSE)</f>
        <v>30</v>
      </c>
      <c r="K3291" s="4">
        <f t="shared" si="810"/>
        <v>45612</v>
      </c>
      <c r="L3291" s="5">
        <f t="shared" si="811"/>
        <v>11</v>
      </c>
      <c r="M3291" s="5">
        <f t="shared" si="812"/>
        <v>2024</v>
      </c>
      <c r="N3291" s="12">
        <v>95</v>
      </c>
      <c r="O3291" s="6">
        <f t="shared" si="816"/>
        <v>-95</v>
      </c>
      <c r="P3291" s="12">
        <f t="shared" si="817"/>
        <v>0</v>
      </c>
      <c r="Q3291" s="7">
        <f t="shared" si="814"/>
        <v>5421128.4500000002</v>
      </c>
      <c r="R3291" s="44" t="str">
        <f>VLOOKUP(F3291,'Set up'!$A$2:$E$70,5,FALSE)</f>
        <v>Chq</v>
      </c>
      <c r="S3291" s="1" t="s">
        <v>3597</v>
      </c>
    </row>
    <row r="3292" spans="1:19" ht="15" customHeight="1" x14ac:dyDescent="0.3">
      <c r="A3292" s="4">
        <v>45582</v>
      </c>
      <c r="B3292" s="5">
        <f t="shared" si="808"/>
        <v>10</v>
      </c>
      <c r="C3292" s="5">
        <f t="shared" si="809"/>
        <v>2024</v>
      </c>
      <c r="D3292" s="5" t="s">
        <v>3018</v>
      </c>
      <c r="E3292" s="5" t="str">
        <f>VLOOKUP(F3292,'Set up'!$A$2:$C$70,2,FALSE)</f>
        <v>C00000037</v>
      </c>
      <c r="F3292" s="1" t="s">
        <v>1309</v>
      </c>
      <c r="G3292" s="99" t="s">
        <v>2144</v>
      </c>
      <c r="H3292" s="5">
        <v>2</v>
      </c>
      <c r="I3292" s="5">
        <f>VLOOKUP(F3292,'Set up'!$A$2:$C$70,3,FALSE)</f>
        <v>30</v>
      </c>
      <c r="J3292" s="5">
        <f>VLOOKUP(F3292,'Set up'!$A$2:$D$70,4,FALSE)</f>
        <v>30</v>
      </c>
      <c r="K3292" s="4">
        <f t="shared" si="810"/>
        <v>45612</v>
      </c>
      <c r="L3292" s="5">
        <f t="shared" si="811"/>
        <v>11</v>
      </c>
      <c r="M3292" s="5">
        <f t="shared" si="812"/>
        <v>2024</v>
      </c>
      <c r="N3292" s="12">
        <v>572</v>
      </c>
      <c r="O3292" s="6">
        <f t="shared" si="816"/>
        <v>-572</v>
      </c>
      <c r="P3292" s="12">
        <f t="shared" si="817"/>
        <v>0</v>
      </c>
      <c r="Q3292" s="7">
        <f t="shared" si="814"/>
        <v>5421700.4500000002</v>
      </c>
      <c r="R3292" s="44" t="str">
        <f>VLOOKUP(F3292,'Set up'!$A$2:$E$70,5,FALSE)</f>
        <v>Chq</v>
      </c>
      <c r="S3292" s="1" t="s">
        <v>3597</v>
      </c>
    </row>
    <row r="3293" spans="1:19" ht="15" customHeight="1" x14ac:dyDescent="0.3">
      <c r="A3293" s="4">
        <v>45582</v>
      </c>
      <c r="B3293" s="5">
        <f t="shared" si="808"/>
        <v>10</v>
      </c>
      <c r="C3293" s="5">
        <f t="shared" si="809"/>
        <v>2024</v>
      </c>
      <c r="D3293" s="5" t="s">
        <v>3018</v>
      </c>
      <c r="E3293" s="5" t="str">
        <f>VLOOKUP(F3293,'Set up'!$A$2:$C$70,2,FALSE)</f>
        <v>C00000037</v>
      </c>
      <c r="F3293" s="1" t="s">
        <v>1309</v>
      </c>
      <c r="G3293" s="99" t="s">
        <v>1469</v>
      </c>
      <c r="H3293" s="5">
        <v>1</v>
      </c>
      <c r="I3293" s="5">
        <f>VLOOKUP(F3293,'Set up'!$A$2:$C$70,3,FALSE)</f>
        <v>30</v>
      </c>
      <c r="J3293" s="5">
        <f>VLOOKUP(F3293,'Set up'!$A$2:$D$70,4,FALSE)</f>
        <v>30</v>
      </c>
      <c r="K3293" s="4">
        <f t="shared" si="810"/>
        <v>45612</v>
      </c>
      <c r="L3293" s="5">
        <f t="shared" si="811"/>
        <v>11</v>
      </c>
      <c r="M3293" s="5">
        <f t="shared" si="812"/>
        <v>2024</v>
      </c>
      <c r="N3293" s="12">
        <v>390</v>
      </c>
      <c r="O3293" s="6">
        <f t="shared" si="816"/>
        <v>-390</v>
      </c>
      <c r="P3293" s="12">
        <f t="shared" si="817"/>
        <v>0</v>
      </c>
      <c r="Q3293" s="7">
        <f t="shared" si="814"/>
        <v>5422090.4500000002</v>
      </c>
      <c r="R3293" s="44" t="str">
        <f>VLOOKUP(F3293,'Set up'!$A$2:$E$70,5,FALSE)</f>
        <v>Chq</v>
      </c>
      <c r="S3293" s="1" t="s">
        <v>3597</v>
      </c>
    </row>
    <row r="3294" spans="1:19" ht="15" customHeight="1" x14ac:dyDescent="0.3">
      <c r="A3294" s="4">
        <v>45582</v>
      </c>
      <c r="B3294" s="5">
        <f t="shared" si="808"/>
        <v>10</v>
      </c>
      <c r="C3294" s="5">
        <f t="shared" si="809"/>
        <v>2024</v>
      </c>
      <c r="D3294" s="5" t="s">
        <v>3019</v>
      </c>
      <c r="E3294" s="5" t="str">
        <f>VLOOKUP(F3294,'Set up'!$A$2:$C$70,2,FALSE)</f>
        <v>C00000005</v>
      </c>
      <c r="F3294" s="1" t="s">
        <v>35</v>
      </c>
      <c r="G3294" s="11" t="s">
        <v>2552</v>
      </c>
      <c r="H3294" s="5">
        <v>1</v>
      </c>
      <c r="I3294" s="5" t="str">
        <f>VLOOKUP(F3294,'Set up'!$A$2:$C$70,3,FALSE)</f>
        <v>Cash</v>
      </c>
      <c r="J3294" s="5">
        <f>VLOOKUP(F3294,'Set up'!$A$2:$D$70,4,FALSE)</f>
        <v>0</v>
      </c>
      <c r="K3294" s="4">
        <f t="shared" si="810"/>
        <v>45582</v>
      </c>
      <c r="L3294" s="5">
        <f t="shared" si="811"/>
        <v>10</v>
      </c>
      <c r="M3294" s="5">
        <f t="shared" si="812"/>
        <v>2024</v>
      </c>
      <c r="N3294" s="96">
        <v>1694</v>
      </c>
      <c r="O3294" s="6">
        <f t="shared" ref="O3294:O3295" si="818">-N3294</f>
        <v>-1694</v>
      </c>
      <c r="P3294" s="12">
        <f t="shared" si="817"/>
        <v>0</v>
      </c>
      <c r="Q3294" s="7">
        <f t="shared" si="814"/>
        <v>5423784.4500000002</v>
      </c>
      <c r="R3294" s="44" t="str">
        <f>VLOOKUP(F3294,'Set up'!$A$2:$E$70,5,FALSE)</f>
        <v>Chq</v>
      </c>
      <c r="S3294" s="1" t="s">
        <v>3052</v>
      </c>
    </row>
    <row r="3295" spans="1:19" ht="15" customHeight="1" x14ac:dyDescent="0.3">
      <c r="A3295" s="4">
        <v>45582</v>
      </c>
      <c r="B3295" s="5">
        <f t="shared" si="808"/>
        <v>10</v>
      </c>
      <c r="C3295" s="5">
        <f t="shared" si="809"/>
        <v>2024</v>
      </c>
      <c r="D3295" s="5" t="s">
        <v>3019</v>
      </c>
      <c r="E3295" s="5" t="str">
        <f>VLOOKUP(F3295,'Set up'!$A$2:$C$70,2,FALSE)</f>
        <v>C00000005</v>
      </c>
      <c r="F3295" s="1" t="s">
        <v>35</v>
      </c>
      <c r="G3295" s="11" t="s">
        <v>2144</v>
      </c>
      <c r="H3295" s="5">
        <v>1</v>
      </c>
      <c r="I3295" s="5" t="str">
        <f>VLOOKUP(F3295,'Set up'!$A$2:$C$70,3,FALSE)</f>
        <v>Cash</v>
      </c>
      <c r="J3295" s="5">
        <f>VLOOKUP(F3295,'Set up'!$A$2:$D$70,4,FALSE)</f>
        <v>0</v>
      </c>
      <c r="K3295" s="4">
        <f t="shared" si="810"/>
        <v>45582</v>
      </c>
      <c r="L3295" s="5">
        <f t="shared" si="811"/>
        <v>10</v>
      </c>
      <c r="M3295" s="5">
        <f t="shared" si="812"/>
        <v>2024</v>
      </c>
      <c r="N3295" s="96">
        <v>270.60000000000002</v>
      </c>
      <c r="O3295" s="6">
        <f t="shared" si="818"/>
        <v>-270.60000000000002</v>
      </c>
      <c r="P3295" s="12">
        <f t="shared" si="817"/>
        <v>0</v>
      </c>
      <c r="Q3295" s="7">
        <f t="shared" si="814"/>
        <v>5424055.0499999998</v>
      </c>
      <c r="R3295" s="44" t="str">
        <f>VLOOKUP(F3295,'Set up'!$A$2:$E$70,5,FALSE)</f>
        <v>Chq</v>
      </c>
      <c r="S3295" s="1" t="s">
        <v>3052</v>
      </c>
    </row>
    <row r="3296" spans="1:19" ht="15" customHeight="1" x14ac:dyDescent="0.3">
      <c r="A3296" s="4">
        <v>45582</v>
      </c>
      <c r="B3296" s="5">
        <f t="shared" si="808"/>
        <v>10</v>
      </c>
      <c r="C3296" s="5">
        <f t="shared" si="809"/>
        <v>2024</v>
      </c>
      <c r="D3296" s="5" t="s">
        <v>3020</v>
      </c>
      <c r="E3296" s="5" t="str">
        <f>VLOOKUP(F3296,'Set up'!$A$2:$C$70,2,FALSE)</f>
        <v>C00000050</v>
      </c>
      <c r="F3296" s="1" t="s">
        <v>2656</v>
      </c>
      <c r="G3296" s="107" t="s">
        <v>2555</v>
      </c>
      <c r="H3296" s="5">
        <v>1</v>
      </c>
      <c r="I3296" s="5" t="str">
        <f>VLOOKUP(F3296,'Set up'!$A$2:$C$70,3,FALSE)</f>
        <v>Cash</v>
      </c>
      <c r="J3296" s="5">
        <f>VLOOKUP(F3296,'Set up'!$A$2:$D$70,4,FALSE)</f>
        <v>0</v>
      </c>
      <c r="K3296" s="4">
        <f t="shared" si="810"/>
        <v>45582</v>
      </c>
      <c r="L3296" s="5">
        <f t="shared" si="811"/>
        <v>10</v>
      </c>
      <c r="M3296" s="5">
        <f t="shared" si="812"/>
        <v>2024</v>
      </c>
      <c r="N3296" s="96">
        <v>1738</v>
      </c>
      <c r="O3296" s="6">
        <f t="shared" ref="O3296:O3299" si="819">-N3296</f>
        <v>-1738</v>
      </c>
      <c r="P3296" s="12">
        <f t="shared" si="817"/>
        <v>0</v>
      </c>
      <c r="Q3296" s="7">
        <f t="shared" si="814"/>
        <v>5425793.0499999998</v>
      </c>
      <c r="R3296" s="44" t="str">
        <f>VLOOKUP(F3296,'Set up'!$A$2:$E$70,5,FALSE)</f>
        <v>Cash</v>
      </c>
      <c r="S3296" s="1" t="s">
        <v>3051</v>
      </c>
    </row>
    <row r="3297" spans="1:19" ht="15" customHeight="1" x14ac:dyDescent="0.3">
      <c r="A3297" s="4">
        <v>45582</v>
      </c>
      <c r="B3297" s="5">
        <f t="shared" si="808"/>
        <v>10</v>
      </c>
      <c r="C3297" s="5">
        <f t="shared" si="809"/>
        <v>2024</v>
      </c>
      <c r="D3297" s="5" t="s">
        <v>3020</v>
      </c>
      <c r="E3297" s="5" t="str">
        <f>VLOOKUP(F3297,'Set up'!$A$2:$C$70,2,FALSE)</f>
        <v>C00000050</v>
      </c>
      <c r="F3297" s="1" t="s">
        <v>2656</v>
      </c>
      <c r="G3297" s="99" t="s">
        <v>2129</v>
      </c>
      <c r="H3297" s="5">
        <v>2</v>
      </c>
      <c r="I3297" s="5" t="str">
        <f>VLOOKUP(F3297,'Set up'!$A$2:$C$70,3,FALSE)</f>
        <v>Cash</v>
      </c>
      <c r="J3297" s="5">
        <f>VLOOKUP(F3297,'Set up'!$A$2:$D$70,4,FALSE)</f>
        <v>0</v>
      </c>
      <c r="K3297" s="4">
        <f t="shared" si="810"/>
        <v>45582</v>
      </c>
      <c r="L3297" s="5">
        <f t="shared" si="811"/>
        <v>10</v>
      </c>
      <c r="M3297" s="5">
        <f t="shared" si="812"/>
        <v>2024</v>
      </c>
      <c r="N3297" s="96">
        <v>555</v>
      </c>
      <c r="O3297" s="6">
        <f t="shared" si="819"/>
        <v>-555</v>
      </c>
      <c r="P3297" s="12">
        <f t="shared" si="817"/>
        <v>0</v>
      </c>
      <c r="Q3297" s="7">
        <f t="shared" si="814"/>
        <v>5426348.0499999998</v>
      </c>
      <c r="R3297" s="44" t="str">
        <f>VLOOKUP(F3297,'Set up'!$A$2:$E$70,5,FALSE)</f>
        <v>Cash</v>
      </c>
      <c r="S3297" s="1" t="s">
        <v>3051</v>
      </c>
    </row>
    <row r="3298" spans="1:19" ht="15" customHeight="1" x14ac:dyDescent="0.3">
      <c r="A3298" s="4">
        <v>45582</v>
      </c>
      <c r="B3298" s="5">
        <f t="shared" si="808"/>
        <v>10</v>
      </c>
      <c r="C3298" s="5">
        <f t="shared" si="809"/>
        <v>2024</v>
      </c>
      <c r="D3298" s="5" t="s">
        <v>3020</v>
      </c>
      <c r="E3298" s="5" t="str">
        <f>VLOOKUP(F3298,'Set up'!$A$2:$C$70,2,FALSE)</f>
        <v>C00000050</v>
      </c>
      <c r="F3298" s="1" t="s">
        <v>2656</v>
      </c>
      <c r="G3298" s="99" t="s">
        <v>1061</v>
      </c>
      <c r="H3298" s="5">
        <v>1</v>
      </c>
      <c r="I3298" s="5" t="str">
        <f>VLOOKUP(F3298,'Set up'!$A$2:$C$70,3,FALSE)</f>
        <v>Cash</v>
      </c>
      <c r="J3298" s="5">
        <f>VLOOKUP(F3298,'Set up'!$A$2:$D$70,4,FALSE)</f>
        <v>0</v>
      </c>
      <c r="K3298" s="4">
        <f t="shared" si="810"/>
        <v>45582</v>
      </c>
      <c r="L3298" s="5">
        <f t="shared" si="811"/>
        <v>10</v>
      </c>
      <c r="M3298" s="5">
        <f t="shared" si="812"/>
        <v>2024</v>
      </c>
      <c r="N3298" s="96">
        <v>95</v>
      </c>
      <c r="O3298" s="6">
        <f t="shared" si="819"/>
        <v>-95</v>
      </c>
      <c r="P3298" s="12">
        <f t="shared" si="817"/>
        <v>0</v>
      </c>
      <c r="Q3298" s="7">
        <f t="shared" si="814"/>
        <v>5426443.0499999998</v>
      </c>
      <c r="R3298" s="44" t="str">
        <f>VLOOKUP(F3298,'Set up'!$A$2:$E$70,5,FALSE)</f>
        <v>Cash</v>
      </c>
      <c r="S3298" s="1" t="s">
        <v>3051</v>
      </c>
    </row>
    <row r="3299" spans="1:19" ht="15" customHeight="1" x14ac:dyDescent="0.3">
      <c r="A3299" s="4">
        <v>45583</v>
      </c>
      <c r="B3299" s="5">
        <f t="shared" si="808"/>
        <v>10</v>
      </c>
      <c r="C3299" s="5">
        <f t="shared" si="809"/>
        <v>2024</v>
      </c>
      <c r="D3299" s="5" t="s">
        <v>3021</v>
      </c>
      <c r="E3299" s="5" t="str">
        <f>VLOOKUP(F3299,'Set up'!$A$2:$C$70,2,FALSE)</f>
        <v>C00000054</v>
      </c>
      <c r="F3299" s="1" t="s">
        <v>2939</v>
      </c>
      <c r="G3299" s="119" t="s">
        <v>1630</v>
      </c>
      <c r="H3299" s="5">
        <v>1</v>
      </c>
      <c r="I3299" s="5" t="str">
        <f>VLOOKUP(F3299,'Set up'!$A$2:$C$70,3,FALSE)</f>
        <v>Cash</v>
      </c>
      <c r="J3299" s="5">
        <f>VLOOKUP(F3299,'Set up'!$A$2:$D$70,4,FALSE)</f>
        <v>0</v>
      </c>
      <c r="K3299" s="4">
        <f t="shared" si="810"/>
        <v>45583</v>
      </c>
      <c r="L3299" s="5">
        <f t="shared" si="811"/>
        <v>10</v>
      </c>
      <c r="M3299" s="5">
        <f t="shared" si="812"/>
        <v>2024</v>
      </c>
      <c r="N3299" s="96">
        <v>300</v>
      </c>
      <c r="O3299" s="6">
        <f t="shared" si="819"/>
        <v>-300</v>
      </c>
      <c r="P3299" s="12">
        <f t="shared" si="817"/>
        <v>0</v>
      </c>
      <c r="Q3299" s="7">
        <f t="shared" si="814"/>
        <v>5426743.0499999998</v>
      </c>
      <c r="R3299" s="44" t="str">
        <f>VLOOKUP(F3299,'Set up'!$A$2:$E$70,5,FALSE)</f>
        <v>Cash</v>
      </c>
      <c r="S3299" s="1" t="s">
        <v>3198</v>
      </c>
    </row>
    <row r="3300" spans="1:19" ht="15" customHeight="1" x14ac:dyDescent="0.3">
      <c r="A3300" s="4">
        <v>45583</v>
      </c>
      <c r="B3300" s="5">
        <f t="shared" si="808"/>
        <v>10</v>
      </c>
      <c r="C3300" s="5">
        <f t="shared" si="809"/>
        <v>2024</v>
      </c>
      <c r="D3300" s="5" t="s">
        <v>3021</v>
      </c>
      <c r="E3300" s="5" t="str">
        <f>VLOOKUP(F3300,'Set up'!$A$2:$C$70,2,FALSE)</f>
        <v>C00000054</v>
      </c>
      <c r="F3300" s="1" t="s">
        <v>2939</v>
      </c>
      <c r="G3300" s="120" t="s">
        <v>2570</v>
      </c>
      <c r="H3300" s="5">
        <v>1</v>
      </c>
      <c r="I3300" s="5" t="str">
        <f>VLOOKUP(F3300,'Set up'!$A$2:$C$70,3,FALSE)</f>
        <v>Cash</v>
      </c>
      <c r="J3300" s="5">
        <f>VLOOKUP(F3300,'Set up'!$A$2:$D$70,4,FALSE)</f>
        <v>0</v>
      </c>
      <c r="K3300" s="4">
        <f t="shared" si="810"/>
        <v>45583</v>
      </c>
      <c r="L3300" s="5">
        <f t="shared" si="811"/>
        <v>10</v>
      </c>
      <c r="M3300" s="5">
        <f t="shared" si="812"/>
        <v>2024</v>
      </c>
      <c r="N3300" s="96">
        <v>225</v>
      </c>
      <c r="O3300" s="6">
        <f>-N3300-5</f>
        <v>-230</v>
      </c>
      <c r="P3300" s="129">
        <f>SUM(N3300+O3300)</f>
        <v>-5</v>
      </c>
      <c r="Q3300" s="7">
        <f t="shared" si="814"/>
        <v>5426968.0499999998</v>
      </c>
      <c r="R3300" s="44" t="str">
        <f>VLOOKUP(F3300,'Set up'!$A$2:$E$70,5,FALSE)</f>
        <v>Cash</v>
      </c>
      <c r="S3300" s="130" t="s">
        <v>3199</v>
      </c>
    </row>
    <row r="3301" spans="1:19" ht="15" customHeight="1" x14ac:dyDescent="0.3">
      <c r="A3301" s="4">
        <v>45583</v>
      </c>
      <c r="B3301" s="5">
        <f t="shared" si="808"/>
        <v>10</v>
      </c>
      <c r="C3301" s="5">
        <f t="shared" si="809"/>
        <v>2024</v>
      </c>
      <c r="D3301" s="5" t="s">
        <v>3022</v>
      </c>
      <c r="E3301" s="5" t="str">
        <f>VLOOKUP(F3301,'Set up'!$A$2:$C$70,2,FALSE)</f>
        <v>C00000019</v>
      </c>
      <c r="F3301" s="1" t="s">
        <v>400</v>
      </c>
      <c r="G3301" s="90" t="s">
        <v>46</v>
      </c>
      <c r="H3301" s="5">
        <v>1</v>
      </c>
      <c r="I3301" s="5" t="str">
        <f>VLOOKUP(F3301,'Set up'!$A$2:$C$70,3,FALSE)</f>
        <v>Cash</v>
      </c>
      <c r="J3301" s="5">
        <f>VLOOKUP(F3301,'Set up'!$A$2:$D$70,4,FALSE)</f>
        <v>0</v>
      </c>
      <c r="K3301" s="4">
        <f t="shared" si="810"/>
        <v>45583</v>
      </c>
      <c r="L3301" s="5">
        <f t="shared" si="811"/>
        <v>10</v>
      </c>
      <c r="M3301" s="5">
        <f t="shared" si="812"/>
        <v>2024</v>
      </c>
      <c r="N3301" s="98">
        <v>110</v>
      </c>
      <c r="O3301" s="12"/>
      <c r="P3301" s="12">
        <f t="shared" si="817"/>
        <v>110</v>
      </c>
      <c r="Q3301" s="7">
        <f t="shared" si="814"/>
        <v>5427078.0499999998</v>
      </c>
      <c r="R3301" s="44" t="str">
        <f>VLOOKUP(F3301,'Set up'!$A$2:$E$70,5,FALSE)</f>
        <v>Trsf</v>
      </c>
    </row>
    <row r="3302" spans="1:19" ht="15" customHeight="1" x14ac:dyDescent="0.3">
      <c r="A3302" s="4">
        <v>45583</v>
      </c>
      <c r="B3302" s="5">
        <f t="shared" si="808"/>
        <v>10</v>
      </c>
      <c r="C3302" s="5">
        <f t="shared" si="809"/>
        <v>2024</v>
      </c>
      <c r="D3302" s="5" t="s">
        <v>3022</v>
      </c>
      <c r="E3302" s="5" t="str">
        <f>VLOOKUP(F3302,'Set up'!$A$2:$C$70,2,FALSE)</f>
        <v>C00000019</v>
      </c>
      <c r="F3302" s="1" t="s">
        <v>400</v>
      </c>
      <c r="G3302" s="90" t="s">
        <v>1469</v>
      </c>
      <c r="H3302" s="5">
        <v>1</v>
      </c>
      <c r="I3302" s="5" t="str">
        <f>VLOOKUP(F3302,'Set up'!$A$2:$C$70,3,FALSE)</f>
        <v>Cash</v>
      </c>
      <c r="J3302" s="5">
        <f>VLOOKUP(F3302,'Set up'!$A$2:$D$70,4,FALSE)</f>
        <v>0</v>
      </c>
      <c r="K3302" s="4">
        <f t="shared" si="810"/>
        <v>45583</v>
      </c>
      <c r="L3302" s="5">
        <f t="shared" si="811"/>
        <v>10</v>
      </c>
      <c r="M3302" s="5">
        <f t="shared" si="812"/>
        <v>2024</v>
      </c>
      <c r="N3302" s="98">
        <v>390</v>
      </c>
      <c r="O3302" s="12"/>
      <c r="P3302" s="12">
        <f t="shared" si="817"/>
        <v>390</v>
      </c>
      <c r="Q3302" s="7">
        <f t="shared" si="814"/>
        <v>5427468.0499999998</v>
      </c>
      <c r="R3302" s="44" t="str">
        <f>VLOOKUP(F3302,'Set up'!$A$2:$E$70,5,FALSE)</f>
        <v>Trsf</v>
      </c>
    </row>
    <row r="3303" spans="1:19" ht="15" customHeight="1" x14ac:dyDescent="0.3">
      <c r="A3303" s="4">
        <v>45586</v>
      </c>
      <c r="B3303" s="5">
        <f t="shared" si="808"/>
        <v>10</v>
      </c>
      <c r="C3303" s="5">
        <f t="shared" si="809"/>
        <v>2024</v>
      </c>
      <c r="D3303" s="5" t="s">
        <v>3023</v>
      </c>
      <c r="E3303" s="5" t="str">
        <f>VLOOKUP(F3303,'Set up'!$A$2:$C$70,2,FALSE)</f>
        <v>C00000044</v>
      </c>
      <c r="F3303" s="1" t="s">
        <v>2929</v>
      </c>
      <c r="G3303" s="119" t="s">
        <v>1563</v>
      </c>
      <c r="H3303" s="5">
        <v>1</v>
      </c>
      <c r="I3303" s="5" t="str">
        <f>VLOOKUP(F3303,'Set up'!$A$2:$C$70,3,FALSE)</f>
        <v>Cash</v>
      </c>
      <c r="J3303" s="5">
        <f>VLOOKUP(F3303,'Set up'!$A$2:$D$70,4,FALSE)</f>
        <v>0</v>
      </c>
      <c r="K3303" s="4">
        <f t="shared" si="810"/>
        <v>45586</v>
      </c>
      <c r="L3303" s="5">
        <f t="shared" si="811"/>
        <v>10</v>
      </c>
      <c r="M3303" s="5">
        <f t="shared" si="812"/>
        <v>2024</v>
      </c>
      <c r="N3303" s="96">
        <v>1694</v>
      </c>
      <c r="O3303" s="6">
        <f t="shared" ref="O3303" si="820">-N3303</f>
        <v>-1694</v>
      </c>
      <c r="P3303" s="12">
        <f t="shared" si="817"/>
        <v>0</v>
      </c>
      <c r="Q3303" s="7">
        <f t="shared" si="814"/>
        <v>5429162.0499999998</v>
      </c>
      <c r="R3303" s="44" t="str">
        <f>VLOOKUP(F3303,'Set up'!$A$2:$E$70,5,FALSE)</f>
        <v>Cash</v>
      </c>
      <c r="S3303" s="1" t="s">
        <v>3054</v>
      </c>
    </row>
    <row r="3304" spans="1:19" ht="15" customHeight="1" x14ac:dyDescent="0.3">
      <c r="A3304" s="4">
        <v>45586</v>
      </c>
      <c r="B3304" s="5">
        <f t="shared" si="808"/>
        <v>10</v>
      </c>
      <c r="C3304" s="5">
        <f t="shared" si="809"/>
        <v>2024</v>
      </c>
      <c r="D3304" s="5" t="s">
        <v>3023</v>
      </c>
      <c r="E3304" s="5" t="str">
        <f>VLOOKUP(F3304,'Set up'!$A$2:$C$70,2,FALSE)</f>
        <v>C00000044</v>
      </c>
      <c r="F3304" s="1" t="s">
        <v>2929</v>
      </c>
      <c r="G3304" s="120" t="s">
        <v>2570</v>
      </c>
      <c r="H3304" s="5">
        <v>2</v>
      </c>
      <c r="I3304" s="5" t="str">
        <f>VLOOKUP(F3304,'Set up'!$A$2:$C$70,3,FALSE)</f>
        <v>Cash</v>
      </c>
      <c r="J3304" s="5">
        <f>VLOOKUP(F3304,'Set up'!$A$2:$D$70,4,FALSE)</f>
        <v>0</v>
      </c>
      <c r="K3304" s="4">
        <f t="shared" si="810"/>
        <v>45586</v>
      </c>
      <c r="L3304" s="5">
        <f t="shared" si="811"/>
        <v>10</v>
      </c>
      <c r="M3304" s="5">
        <f t="shared" si="812"/>
        <v>2024</v>
      </c>
      <c r="N3304" s="96">
        <v>432</v>
      </c>
      <c r="O3304" s="12">
        <f>-306-126</f>
        <v>-432</v>
      </c>
      <c r="P3304" s="12">
        <f t="shared" si="817"/>
        <v>0</v>
      </c>
      <c r="Q3304" s="7">
        <f t="shared" si="814"/>
        <v>5429594.0499999998</v>
      </c>
      <c r="R3304" s="44" t="str">
        <f>VLOOKUP(F3304,'Set up'!$A$2:$E$70,5,FALSE)</f>
        <v>Cash</v>
      </c>
      <c r="S3304" s="1" t="s">
        <v>3058</v>
      </c>
    </row>
    <row r="3305" spans="1:19" ht="15" customHeight="1" x14ac:dyDescent="0.3">
      <c r="A3305" s="4">
        <v>45586</v>
      </c>
      <c r="B3305" s="5">
        <f t="shared" si="808"/>
        <v>10</v>
      </c>
      <c r="C3305" s="5">
        <f t="shared" si="809"/>
        <v>2024</v>
      </c>
      <c r="D3305" s="5" t="s">
        <v>3023</v>
      </c>
      <c r="E3305" s="5" t="str">
        <f>VLOOKUP(F3305,'Set up'!$A$2:$C$70,2,FALSE)</f>
        <v>C00000044</v>
      </c>
      <c r="F3305" s="1" t="s">
        <v>2929</v>
      </c>
      <c r="G3305" s="120" t="s">
        <v>655</v>
      </c>
      <c r="H3305" s="5">
        <v>1</v>
      </c>
      <c r="I3305" s="5" t="str">
        <f>VLOOKUP(F3305,'Set up'!$A$2:$C$70,3,FALSE)</f>
        <v>Cash</v>
      </c>
      <c r="J3305" s="5">
        <f>VLOOKUP(F3305,'Set up'!$A$2:$D$70,4,FALSE)</f>
        <v>0</v>
      </c>
      <c r="K3305" s="4">
        <f t="shared" si="810"/>
        <v>45586</v>
      </c>
      <c r="L3305" s="5">
        <f t="shared" si="811"/>
        <v>10</v>
      </c>
      <c r="M3305" s="5">
        <f t="shared" si="812"/>
        <v>2024</v>
      </c>
      <c r="N3305" s="96">
        <v>280</v>
      </c>
      <c r="O3305" s="6">
        <f t="shared" ref="O3305:O3307" si="821">-N3305</f>
        <v>-280</v>
      </c>
      <c r="P3305" s="12">
        <f t="shared" si="817"/>
        <v>0</v>
      </c>
      <c r="Q3305" s="7">
        <f t="shared" si="814"/>
        <v>5429874.0499999998</v>
      </c>
      <c r="R3305" s="44" t="str">
        <f>VLOOKUP(F3305,'Set up'!$A$2:$E$70,5,FALSE)</f>
        <v>Cash</v>
      </c>
      <c r="S3305" s="1" t="s">
        <v>3057</v>
      </c>
    </row>
    <row r="3306" spans="1:19" ht="15" customHeight="1" x14ac:dyDescent="0.3">
      <c r="A3306" s="4">
        <v>45587</v>
      </c>
      <c r="B3306" s="5">
        <f t="shared" si="808"/>
        <v>10</v>
      </c>
      <c r="C3306" s="5">
        <f t="shared" si="809"/>
        <v>2024</v>
      </c>
      <c r="D3306" s="5" t="s">
        <v>3024</v>
      </c>
      <c r="E3306" s="5" t="str">
        <f>VLOOKUP(F3306,'Set up'!$A$2:$C$70,2,FALSE)</f>
        <v>C00000042</v>
      </c>
      <c r="F3306" s="1" t="s">
        <v>2012</v>
      </c>
      <c r="G3306" s="103" t="s">
        <v>2646</v>
      </c>
      <c r="H3306" s="5">
        <v>2</v>
      </c>
      <c r="I3306" s="5" t="str">
        <f>VLOOKUP(F3306,'Set up'!$A$2:$C$70,3,FALSE)</f>
        <v>Cash</v>
      </c>
      <c r="J3306" s="5">
        <f>VLOOKUP(F3306,'Set up'!$A$2:$D$70,4,FALSE)</f>
        <v>0</v>
      </c>
      <c r="K3306" s="4">
        <f t="shared" si="810"/>
        <v>45587</v>
      </c>
      <c r="L3306" s="5">
        <f t="shared" si="811"/>
        <v>10</v>
      </c>
      <c r="M3306" s="5">
        <f t="shared" si="812"/>
        <v>2024</v>
      </c>
      <c r="N3306" s="12">
        <v>125</v>
      </c>
      <c r="O3306" s="6">
        <f t="shared" si="821"/>
        <v>-125</v>
      </c>
      <c r="P3306" s="12">
        <f t="shared" si="817"/>
        <v>0</v>
      </c>
      <c r="Q3306" s="7">
        <f t="shared" si="814"/>
        <v>5429999.0499999998</v>
      </c>
      <c r="R3306" s="44" t="str">
        <f>VLOOKUP(F3306,'Set up'!$A$2:$E$70,5,FALSE)</f>
        <v>Trsf</v>
      </c>
      <c r="S3306" s="1" t="s">
        <v>3558</v>
      </c>
    </row>
    <row r="3307" spans="1:19" ht="15" customHeight="1" x14ac:dyDescent="0.3">
      <c r="A3307" s="4">
        <v>45587</v>
      </c>
      <c r="B3307" s="5">
        <f t="shared" si="808"/>
        <v>10</v>
      </c>
      <c r="C3307" s="5">
        <f t="shared" si="809"/>
        <v>2024</v>
      </c>
      <c r="D3307" s="5" t="s">
        <v>3025</v>
      </c>
      <c r="E3307" s="5" t="str">
        <f>VLOOKUP(F3307,'Set up'!$A$2:$C$70,2,FALSE)</f>
        <v>C00000042</v>
      </c>
      <c r="F3307" s="1" t="s">
        <v>2012</v>
      </c>
      <c r="G3307" s="128" t="s">
        <v>2552</v>
      </c>
      <c r="H3307" s="5">
        <v>2</v>
      </c>
      <c r="I3307" s="5" t="str">
        <f>VLOOKUP(F3307,'Set up'!$A$2:$C$70,3,FALSE)</f>
        <v>Cash</v>
      </c>
      <c r="J3307" s="5">
        <f>VLOOKUP(F3307,'Set up'!$A$2:$D$70,4,FALSE)</f>
        <v>0</v>
      </c>
      <c r="K3307" s="4">
        <f t="shared" si="810"/>
        <v>45587</v>
      </c>
      <c r="L3307" s="5">
        <f t="shared" si="811"/>
        <v>10</v>
      </c>
      <c r="M3307" s="5">
        <f t="shared" si="812"/>
        <v>2024</v>
      </c>
      <c r="N3307" s="12">
        <v>3212</v>
      </c>
      <c r="O3307" s="6">
        <f t="shared" si="821"/>
        <v>-3212</v>
      </c>
      <c r="P3307" s="12">
        <f t="shared" si="817"/>
        <v>0</v>
      </c>
      <c r="Q3307" s="7">
        <f t="shared" si="814"/>
        <v>5433211.0499999998</v>
      </c>
      <c r="R3307" s="44" t="str">
        <f>VLOOKUP(F3307,'Set up'!$A$2:$E$70,5,FALSE)</f>
        <v>Trsf</v>
      </c>
      <c r="S3307" s="1" t="s">
        <v>3559</v>
      </c>
    </row>
    <row r="3308" spans="1:19" ht="15" customHeight="1" x14ac:dyDescent="0.3">
      <c r="A3308" s="4">
        <v>45587</v>
      </c>
      <c r="B3308" s="5">
        <f t="shared" si="808"/>
        <v>10</v>
      </c>
      <c r="C3308" s="5">
        <f t="shared" si="809"/>
        <v>2024</v>
      </c>
      <c r="D3308" s="5" t="s">
        <v>3025</v>
      </c>
      <c r="E3308" s="5" t="str">
        <f>VLOOKUP(F3308,'Set up'!$A$2:$C$70,2,FALSE)</f>
        <v>C00000042</v>
      </c>
      <c r="F3308" s="1" t="s">
        <v>2012</v>
      </c>
      <c r="G3308" s="90" t="s">
        <v>1543</v>
      </c>
      <c r="H3308" s="5">
        <v>4</v>
      </c>
      <c r="I3308" s="5" t="str">
        <f>VLOOKUP(F3308,'Set up'!$A$2:$C$70,3,FALSE)</f>
        <v>Cash</v>
      </c>
      <c r="J3308" s="5">
        <f>VLOOKUP(F3308,'Set up'!$A$2:$D$70,4,FALSE)</f>
        <v>0</v>
      </c>
      <c r="K3308" s="4">
        <f t="shared" si="810"/>
        <v>45587</v>
      </c>
      <c r="L3308" s="5">
        <f t="shared" si="811"/>
        <v>10</v>
      </c>
      <c r="M3308" s="5">
        <f t="shared" si="812"/>
        <v>2024</v>
      </c>
      <c r="N3308" s="12">
        <v>870</v>
      </c>
      <c r="O3308" s="12">
        <f>-540.9-329.1</f>
        <v>-870</v>
      </c>
      <c r="P3308" s="12">
        <f t="shared" si="817"/>
        <v>0</v>
      </c>
      <c r="Q3308" s="7">
        <f t="shared" si="814"/>
        <v>5434081.0499999998</v>
      </c>
      <c r="R3308" s="44" t="str">
        <f>VLOOKUP(F3308,'Set up'!$A$2:$E$70,5,FALSE)</f>
        <v>Trsf</v>
      </c>
      <c r="S3308" s="1" t="s">
        <v>3560</v>
      </c>
    </row>
    <row r="3309" spans="1:19" ht="15" customHeight="1" x14ac:dyDescent="0.3">
      <c r="A3309" s="4">
        <v>45587</v>
      </c>
      <c r="B3309" s="5">
        <f t="shared" si="808"/>
        <v>10</v>
      </c>
      <c r="C3309" s="5">
        <f t="shared" si="809"/>
        <v>2024</v>
      </c>
      <c r="D3309" s="5" t="s">
        <v>3025</v>
      </c>
      <c r="E3309" s="5" t="str">
        <f>VLOOKUP(F3309,'Set up'!$A$2:$C$70,2,FALSE)</f>
        <v>C00000042</v>
      </c>
      <c r="F3309" s="1" t="s">
        <v>2012</v>
      </c>
      <c r="G3309" s="90" t="s">
        <v>1922</v>
      </c>
      <c r="H3309" s="5">
        <v>3</v>
      </c>
      <c r="I3309" s="5" t="str">
        <f>VLOOKUP(F3309,'Set up'!$A$2:$C$70,3,FALSE)</f>
        <v>Cash</v>
      </c>
      <c r="J3309" s="5">
        <f>VLOOKUP(F3309,'Set up'!$A$2:$D$70,4,FALSE)</f>
        <v>0</v>
      </c>
      <c r="K3309" s="4">
        <f t="shared" si="810"/>
        <v>45587</v>
      </c>
      <c r="L3309" s="5">
        <f t="shared" si="811"/>
        <v>10</v>
      </c>
      <c r="M3309" s="5">
        <f t="shared" si="812"/>
        <v>2024</v>
      </c>
      <c r="N3309" s="12">
        <v>715.5</v>
      </c>
      <c r="O3309" s="6">
        <f t="shared" ref="O3309:O3311" si="822">-N3309</f>
        <v>-715.5</v>
      </c>
      <c r="P3309" s="12">
        <f t="shared" si="817"/>
        <v>0</v>
      </c>
      <c r="Q3309" s="7">
        <f t="shared" si="814"/>
        <v>5434796.5499999998</v>
      </c>
      <c r="R3309" s="44" t="str">
        <f>VLOOKUP(F3309,'Set up'!$A$2:$E$70,5,FALSE)</f>
        <v>Trsf</v>
      </c>
      <c r="S3309" s="1" t="s">
        <v>3561</v>
      </c>
    </row>
    <row r="3310" spans="1:19" ht="15" customHeight="1" x14ac:dyDescent="0.3">
      <c r="A3310" s="4">
        <v>45587</v>
      </c>
      <c r="B3310" s="5">
        <f t="shared" si="808"/>
        <v>10</v>
      </c>
      <c r="C3310" s="5">
        <f t="shared" si="809"/>
        <v>2024</v>
      </c>
      <c r="D3310" s="5" t="s">
        <v>3025</v>
      </c>
      <c r="E3310" s="5" t="str">
        <f>VLOOKUP(F3310,'Set up'!$A$2:$C$70,2,FALSE)</f>
        <v>C00000042</v>
      </c>
      <c r="F3310" s="1" t="s">
        <v>2012</v>
      </c>
      <c r="G3310" s="90" t="s">
        <v>1061</v>
      </c>
      <c r="H3310" s="5">
        <v>4</v>
      </c>
      <c r="I3310" s="5" t="str">
        <f>VLOOKUP(F3310,'Set up'!$A$2:$C$70,3,FALSE)</f>
        <v>Cash</v>
      </c>
      <c r="J3310" s="5">
        <f>VLOOKUP(F3310,'Set up'!$A$2:$D$70,4,FALSE)</f>
        <v>0</v>
      </c>
      <c r="K3310" s="4">
        <f t="shared" si="810"/>
        <v>45587</v>
      </c>
      <c r="L3310" s="5">
        <f t="shared" si="811"/>
        <v>10</v>
      </c>
      <c r="M3310" s="5">
        <f t="shared" si="812"/>
        <v>2024</v>
      </c>
      <c r="N3310" s="12">
        <v>380</v>
      </c>
      <c r="O3310" s="6">
        <f t="shared" si="822"/>
        <v>-380</v>
      </c>
      <c r="P3310" s="12">
        <f t="shared" si="817"/>
        <v>0</v>
      </c>
      <c r="Q3310" s="7">
        <f t="shared" si="814"/>
        <v>5435176.5499999998</v>
      </c>
      <c r="R3310" s="44" t="str">
        <f>VLOOKUP(F3310,'Set up'!$A$2:$E$70,5,FALSE)</f>
        <v>Trsf</v>
      </c>
      <c r="S3310" s="1" t="s">
        <v>3562</v>
      </c>
    </row>
    <row r="3311" spans="1:19" ht="15" customHeight="1" x14ac:dyDescent="0.3">
      <c r="A3311" s="4">
        <v>45587</v>
      </c>
      <c r="B3311" s="5">
        <f t="shared" si="808"/>
        <v>10</v>
      </c>
      <c r="C3311" s="5">
        <f t="shared" si="809"/>
        <v>2024</v>
      </c>
      <c r="D3311" s="5" t="s">
        <v>3025</v>
      </c>
      <c r="E3311" s="5" t="str">
        <f>VLOOKUP(F3311,'Set up'!$A$2:$C$70,2,FALSE)</f>
        <v>C00000042</v>
      </c>
      <c r="F3311" s="1" t="s">
        <v>2012</v>
      </c>
      <c r="G3311" s="90" t="s">
        <v>1073</v>
      </c>
      <c r="H3311" s="5">
        <v>1</v>
      </c>
      <c r="I3311" s="5" t="str">
        <f>VLOOKUP(F3311,'Set up'!$A$2:$C$70,3,FALSE)</f>
        <v>Cash</v>
      </c>
      <c r="J3311" s="5">
        <f>VLOOKUP(F3311,'Set up'!$A$2:$D$70,4,FALSE)</f>
        <v>0</v>
      </c>
      <c r="K3311" s="4">
        <f t="shared" si="810"/>
        <v>45587</v>
      </c>
      <c r="L3311" s="5">
        <f t="shared" si="811"/>
        <v>10</v>
      </c>
      <c r="M3311" s="5">
        <f t="shared" si="812"/>
        <v>2024</v>
      </c>
      <c r="N3311" s="12">
        <v>1000</v>
      </c>
      <c r="O3311" s="6">
        <f t="shared" si="822"/>
        <v>-1000</v>
      </c>
      <c r="P3311" s="12">
        <f t="shared" si="817"/>
        <v>0</v>
      </c>
      <c r="Q3311" s="7">
        <f t="shared" si="814"/>
        <v>5436176.5499999998</v>
      </c>
      <c r="R3311" s="44" t="str">
        <f>VLOOKUP(F3311,'Set up'!$A$2:$E$70,5,FALSE)</f>
        <v>Trsf</v>
      </c>
      <c r="S3311" s="1" t="s">
        <v>3563</v>
      </c>
    </row>
    <row r="3312" spans="1:19" ht="15" customHeight="1" x14ac:dyDescent="0.3">
      <c r="A3312" s="4">
        <v>45587</v>
      </c>
      <c r="B3312" s="5">
        <f t="shared" si="808"/>
        <v>10</v>
      </c>
      <c r="C3312" s="5">
        <f t="shared" si="809"/>
        <v>2024</v>
      </c>
      <c r="D3312" s="5" t="s">
        <v>3026</v>
      </c>
      <c r="E3312" s="5" t="str">
        <f>VLOOKUP(F3312,'Set up'!$A$2:$C$70,2,FALSE)</f>
        <v>C00000055</v>
      </c>
      <c r="F3312" t="s">
        <v>3063</v>
      </c>
      <c r="G3312" s="119" t="s">
        <v>2570</v>
      </c>
      <c r="H3312" s="5">
        <v>1</v>
      </c>
      <c r="I3312" s="5" t="str">
        <f>VLOOKUP(F3312,'Set up'!$A$2:$C$70,3,FALSE)</f>
        <v>Cash</v>
      </c>
      <c r="J3312" s="5">
        <f>VLOOKUP(F3312,'Set up'!$A$2:$D$70,4,FALSE)</f>
        <v>0</v>
      </c>
      <c r="K3312" s="4">
        <f t="shared" si="810"/>
        <v>45587</v>
      </c>
      <c r="L3312" s="5">
        <f t="shared" si="811"/>
        <v>10</v>
      </c>
      <c r="M3312" s="5">
        <f t="shared" si="812"/>
        <v>2024</v>
      </c>
      <c r="N3312" s="96">
        <v>231</v>
      </c>
      <c r="O3312" s="6">
        <f t="shared" ref="O3312" si="823">-N3312</f>
        <v>-231</v>
      </c>
      <c r="P3312" s="12">
        <f t="shared" si="817"/>
        <v>0</v>
      </c>
      <c r="Q3312" s="7">
        <f t="shared" si="814"/>
        <v>5436407.5499999998</v>
      </c>
      <c r="R3312" s="44" t="str">
        <f>VLOOKUP(F3312,'Set up'!$A$2:$E$70,5,FALSE)</f>
        <v>Cash</v>
      </c>
      <c r="S3312" s="1" t="s">
        <v>3064</v>
      </c>
    </row>
    <row r="3313" spans="1:19" ht="15" customHeight="1" x14ac:dyDescent="0.3">
      <c r="A3313" s="4">
        <v>45587</v>
      </c>
      <c r="B3313" s="5">
        <f t="shared" si="808"/>
        <v>10</v>
      </c>
      <c r="C3313" s="5">
        <f t="shared" si="809"/>
        <v>2024</v>
      </c>
      <c r="D3313" s="5" t="s">
        <v>3027</v>
      </c>
      <c r="E3313" s="5" t="str">
        <f>VLOOKUP(F3313,'Set up'!$A$2:$C$70,2,FALSE)</f>
        <v>C00000019</v>
      </c>
      <c r="F3313" s="1" t="s">
        <v>400</v>
      </c>
      <c r="G3313" s="90" t="s">
        <v>95</v>
      </c>
      <c r="H3313" s="5">
        <v>1</v>
      </c>
      <c r="I3313" s="5" t="str">
        <f>VLOOKUP(F3313,'Set up'!$A$2:$C$70,3,FALSE)</f>
        <v>Cash</v>
      </c>
      <c r="J3313" s="5">
        <f>VLOOKUP(F3313,'Set up'!$A$2:$D$70,4,FALSE)</f>
        <v>0</v>
      </c>
      <c r="K3313" s="4">
        <f t="shared" si="810"/>
        <v>45587</v>
      </c>
      <c r="L3313" s="5">
        <f t="shared" si="811"/>
        <v>10</v>
      </c>
      <c r="M3313" s="5">
        <f t="shared" si="812"/>
        <v>2024</v>
      </c>
      <c r="N3313" s="98">
        <v>1738</v>
      </c>
      <c r="O3313" s="12"/>
      <c r="P3313" s="12">
        <f t="shared" si="817"/>
        <v>1738</v>
      </c>
      <c r="Q3313" s="7">
        <f t="shared" si="814"/>
        <v>5438145.5499999998</v>
      </c>
      <c r="R3313" s="44" t="str">
        <f>VLOOKUP(F3313,'Set up'!$A$2:$E$70,5,FALSE)</f>
        <v>Trsf</v>
      </c>
    </row>
    <row r="3314" spans="1:19" ht="15" customHeight="1" x14ac:dyDescent="0.3">
      <c r="A3314" s="4">
        <v>45588</v>
      </c>
      <c r="B3314" s="5">
        <f t="shared" si="808"/>
        <v>10</v>
      </c>
      <c r="C3314" s="5">
        <f t="shared" si="809"/>
        <v>2024</v>
      </c>
      <c r="D3314" s="5" t="s">
        <v>3028</v>
      </c>
      <c r="E3314" s="5" t="str">
        <f>VLOOKUP(F3314,'Set up'!$A$2:$C$70,2,FALSE)</f>
        <v>C00000010</v>
      </c>
      <c r="F3314" s="1" t="s">
        <v>62</v>
      </c>
      <c r="G3314" s="95" t="s">
        <v>1178</v>
      </c>
      <c r="H3314" s="5">
        <v>10</v>
      </c>
      <c r="I3314" s="5">
        <f>VLOOKUP(F3314,'Set up'!$A$2:$C$70,3,FALSE)</f>
        <v>120</v>
      </c>
      <c r="J3314" s="5">
        <f>VLOOKUP(F3314,'Set up'!$A$2:$D$70,4,FALSE)</f>
        <v>120</v>
      </c>
      <c r="K3314" s="4">
        <f t="shared" si="810"/>
        <v>45708</v>
      </c>
      <c r="L3314" s="5">
        <f t="shared" si="811"/>
        <v>2</v>
      </c>
      <c r="M3314" s="5">
        <f t="shared" si="812"/>
        <v>2025</v>
      </c>
      <c r="N3314" s="12">
        <v>16060</v>
      </c>
      <c r="O3314" s="6">
        <f t="shared" ref="O3314:O3322" si="824">-N3314</f>
        <v>-16060</v>
      </c>
      <c r="P3314" s="12">
        <f t="shared" si="817"/>
        <v>0</v>
      </c>
      <c r="Q3314" s="7">
        <f t="shared" si="814"/>
        <v>5454205.5499999998</v>
      </c>
      <c r="R3314" s="44" t="str">
        <f>VLOOKUP(F3314,'Set up'!$A$2:$E$70,5,FALSE)</f>
        <v>Trsf</v>
      </c>
      <c r="S3314" s="1" t="s">
        <v>3608</v>
      </c>
    </row>
    <row r="3315" spans="1:19" ht="15" customHeight="1" x14ac:dyDescent="0.3">
      <c r="A3315" s="4">
        <v>45588</v>
      </c>
      <c r="B3315" s="5">
        <f t="shared" si="808"/>
        <v>10</v>
      </c>
      <c r="C3315" s="5">
        <f t="shared" si="809"/>
        <v>2024</v>
      </c>
      <c r="D3315" s="5" t="s">
        <v>3028</v>
      </c>
      <c r="E3315" s="5" t="str">
        <f>VLOOKUP(F3315,'Set up'!$A$2:$C$70,2,FALSE)</f>
        <v>C00000010</v>
      </c>
      <c r="F3315" s="1" t="s">
        <v>62</v>
      </c>
      <c r="G3315" s="90" t="s">
        <v>1543</v>
      </c>
      <c r="H3315" s="5">
        <v>10</v>
      </c>
      <c r="I3315" s="5">
        <f>VLOOKUP(F3315,'Set up'!$A$2:$C$70,3,FALSE)</f>
        <v>120</v>
      </c>
      <c r="J3315" s="5">
        <f>VLOOKUP(F3315,'Set up'!$A$2:$D$70,4,FALSE)</f>
        <v>120</v>
      </c>
      <c r="K3315" s="4">
        <f t="shared" si="810"/>
        <v>45708</v>
      </c>
      <c r="L3315" s="5">
        <f t="shared" si="811"/>
        <v>2</v>
      </c>
      <c r="M3315" s="5">
        <f t="shared" si="812"/>
        <v>2025</v>
      </c>
      <c r="N3315" s="12">
        <v>1740</v>
      </c>
      <c r="O3315" s="6">
        <f t="shared" si="824"/>
        <v>-1740</v>
      </c>
      <c r="P3315" s="12">
        <f t="shared" si="817"/>
        <v>0</v>
      </c>
      <c r="Q3315" s="7">
        <f t="shared" si="814"/>
        <v>5455945.5499999998</v>
      </c>
      <c r="R3315" s="44" t="str">
        <f>VLOOKUP(F3315,'Set up'!$A$2:$E$70,5,FALSE)</f>
        <v>Trsf</v>
      </c>
      <c r="S3315" s="1" t="s">
        <v>3608</v>
      </c>
    </row>
    <row r="3316" spans="1:19" ht="15" customHeight="1" x14ac:dyDescent="0.3">
      <c r="A3316" s="4">
        <v>45588</v>
      </c>
      <c r="B3316" s="5">
        <f t="shared" si="808"/>
        <v>10</v>
      </c>
      <c r="C3316" s="5">
        <f t="shared" si="809"/>
        <v>2024</v>
      </c>
      <c r="D3316" s="5" t="s">
        <v>3028</v>
      </c>
      <c r="E3316" s="5" t="str">
        <f>VLOOKUP(F3316,'Set up'!$A$2:$C$70,2,FALSE)</f>
        <v>C00000010</v>
      </c>
      <c r="F3316" s="1" t="s">
        <v>62</v>
      </c>
      <c r="G3316" s="90" t="s">
        <v>2523</v>
      </c>
      <c r="H3316" s="5">
        <v>2</v>
      </c>
      <c r="I3316" s="5">
        <f>VLOOKUP(F3316,'Set up'!$A$2:$C$70,3,FALSE)</f>
        <v>120</v>
      </c>
      <c r="J3316" s="5">
        <f>VLOOKUP(F3316,'Set up'!$A$2:$D$70,4,FALSE)</f>
        <v>120</v>
      </c>
      <c r="K3316" s="4">
        <f t="shared" si="810"/>
        <v>45708</v>
      </c>
      <c r="L3316" s="5">
        <f t="shared" si="811"/>
        <v>2</v>
      </c>
      <c r="M3316" s="5">
        <f t="shared" si="812"/>
        <v>2025</v>
      </c>
      <c r="N3316" s="12">
        <v>348</v>
      </c>
      <c r="O3316" s="6">
        <f t="shared" si="824"/>
        <v>-348</v>
      </c>
      <c r="P3316" s="12">
        <f t="shared" si="817"/>
        <v>0</v>
      </c>
      <c r="Q3316" s="7">
        <f t="shared" si="814"/>
        <v>5456293.5499999998</v>
      </c>
      <c r="R3316" s="44" t="str">
        <f>VLOOKUP(F3316,'Set up'!$A$2:$E$70,5,FALSE)</f>
        <v>Trsf</v>
      </c>
      <c r="S3316" s="1" t="s">
        <v>3608</v>
      </c>
    </row>
    <row r="3317" spans="1:19" ht="15" customHeight="1" x14ac:dyDescent="0.3">
      <c r="A3317" s="4">
        <v>45588</v>
      </c>
      <c r="B3317" s="5">
        <f t="shared" si="808"/>
        <v>10</v>
      </c>
      <c r="C3317" s="5">
        <f t="shared" si="809"/>
        <v>2024</v>
      </c>
      <c r="D3317" s="5" t="s">
        <v>3028</v>
      </c>
      <c r="E3317" s="5" t="str">
        <f>VLOOKUP(F3317,'Set up'!$A$2:$C$70,2,FALSE)</f>
        <v>C00000010</v>
      </c>
      <c r="F3317" s="1" t="s">
        <v>62</v>
      </c>
      <c r="G3317" s="11" t="s">
        <v>2635</v>
      </c>
      <c r="H3317" s="5">
        <v>15</v>
      </c>
      <c r="I3317" s="5">
        <f>VLOOKUP(F3317,'Set up'!$A$2:$C$70,3,FALSE)</f>
        <v>120</v>
      </c>
      <c r="J3317" s="5">
        <f>VLOOKUP(F3317,'Set up'!$A$2:$D$70,4,FALSE)</f>
        <v>120</v>
      </c>
      <c r="K3317" s="4">
        <f t="shared" si="810"/>
        <v>45708</v>
      </c>
      <c r="L3317" s="5">
        <f t="shared" si="811"/>
        <v>2</v>
      </c>
      <c r="M3317" s="5">
        <f t="shared" si="812"/>
        <v>2025</v>
      </c>
      <c r="N3317" s="12">
        <v>862.5</v>
      </c>
      <c r="O3317" s="6">
        <f t="shared" si="824"/>
        <v>-862.5</v>
      </c>
      <c r="P3317" s="12">
        <f t="shared" si="817"/>
        <v>0</v>
      </c>
      <c r="Q3317" s="7">
        <f t="shared" si="814"/>
        <v>5457156.0499999998</v>
      </c>
      <c r="R3317" s="44" t="str">
        <f>VLOOKUP(F3317,'Set up'!$A$2:$E$70,5,FALSE)</f>
        <v>Trsf</v>
      </c>
      <c r="S3317" s="1" t="s">
        <v>3608</v>
      </c>
    </row>
    <row r="3318" spans="1:19" ht="15" customHeight="1" x14ac:dyDescent="0.3">
      <c r="A3318" s="4">
        <v>45588</v>
      </c>
      <c r="B3318" s="5">
        <f t="shared" si="808"/>
        <v>10</v>
      </c>
      <c r="C3318" s="5">
        <f t="shared" si="809"/>
        <v>2024</v>
      </c>
      <c r="D3318" s="5" t="s">
        <v>3028</v>
      </c>
      <c r="E3318" s="5" t="str">
        <f>VLOOKUP(F3318,'Set up'!$A$2:$C$70,2,FALSE)</f>
        <v>C00000010</v>
      </c>
      <c r="F3318" s="1" t="s">
        <v>62</v>
      </c>
      <c r="G3318" s="95" t="s">
        <v>46</v>
      </c>
      <c r="H3318" s="5">
        <v>4</v>
      </c>
      <c r="I3318" s="5">
        <f>VLOOKUP(F3318,'Set up'!$A$2:$C$70,3,FALSE)</f>
        <v>120</v>
      </c>
      <c r="J3318" s="5">
        <f>VLOOKUP(F3318,'Set up'!$A$2:$D$70,4,FALSE)</f>
        <v>120</v>
      </c>
      <c r="K3318" s="4">
        <f t="shared" si="810"/>
        <v>45708</v>
      </c>
      <c r="L3318" s="5">
        <f t="shared" si="811"/>
        <v>2</v>
      </c>
      <c r="M3318" s="5">
        <f t="shared" si="812"/>
        <v>2025</v>
      </c>
      <c r="N3318" s="12">
        <v>440</v>
      </c>
      <c r="O3318" s="6">
        <f t="shared" si="824"/>
        <v>-440</v>
      </c>
      <c r="P3318" s="12">
        <f t="shared" si="817"/>
        <v>0</v>
      </c>
      <c r="Q3318" s="7">
        <f t="shared" si="814"/>
        <v>5457596.0499999998</v>
      </c>
      <c r="R3318" s="44" t="str">
        <f>VLOOKUP(F3318,'Set up'!$A$2:$E$70,5,FALSE)</f>
        <v>Trsf</v>
      </c>
      <c r="S3318" s="1" t="s">
        <v>3608</v>
      </c>
    </row>
    <row r="3319" spans="1:19" ht="15" customHeight="1" x14ac:dyDescent="0.3">
      <c r="A3319" s="4">
        <v>45588</v>
      </c>
      <c r="B3319" s="5">
        <f t="shared" si="808"/>
        <v>10</v>
      </c>
      <c r="C3319" s="5">
        <f t="shared" si="809"/>
        <v>2024</v>
      </c>
      <c r="D3319" s="5" t="s">
        <v>3028</v>
      </c>
      <c r="E3319" s="5" t="str">
        <f>VLOOKUP(F3319,'Set up'!$A$2:$C$70,2,FALSE)</f>
        <v>C00000010</v>
      </c>
      <c r="F3319" s="1" t="s">
        <v>62</v>
      </c>
      <c r="G3319" s="99" t="s">
        <v>614</v>
      </c>
      <c r="H3319" s="5">
        <v>1</v>
      </c>
      <c r="I3319" s="5">
        <f>VLOOKUP(F3319,'Set up'!$A$2:$C$70,3,FALSE)</f>
        <v>120</v>
      </c>
      <c r="J3319" s="5">
        <f>VLOOKUP(F3319,'Set up'!$A$2:$D$70,4,FALSE)</f>
        <v>120</v>
      </c>
      <c r="K3319" s="4">
        <f t="shared" si="810"/>
        <v>45708</v>
      </c>
      <c r="L3319" s="5">
        <f t="shared" si="811"/>
        <v>2</v>
      </c>
      <c r="M3319" s="5">
        <f t="shared" si="812"/>
        <v>2025</v>
      </c>
      <c r="N3319" s="12">
        <v>395</v>
      </c>
      <c r="O3319" s="6">
        <f t="shared" si="824"/>
        <v>-395</v>
      </c>
      <c r="P3319" s="12">
        <f t="shared" si="817"/>
        <v>0</v>
      </c>
      <c r="Q3319" s="7">
        <f t="shared" si="814"/>
        <v>5457991.0499999998</v>
      </c>
      <c r="R3319" s="44" t="str">
        <f>VLOOKUP(F3319,'Set up'!$A$2:$E$70,5,FALSE)</f>
        <v>Trsf</v>
      </c>
      <c r="S3319" s="1" t="s">
        <v>3608</v>
      </c>
    </row>
    <row r="3320" spans="1:19" ht="15" customHeight="1" x14ac:dyDescent="0.3">
      <c r="A3320" s="4">
        <v>45588</v>
      </c>
      <c r="B3320" s="5">
        <f t="shared" si="808"/>
        <v>10</v>
      </c>
      <c r="C3320" s="5">
        <f t="shared" si="809"/>
        <v>2024</v>
      </c>
      <c r="D3320" s="5" t="s">
        <v>3028</v>
      </c>
      <c r="E3320" s="5" t="str">
        <f>VLOOKUP(F3320,'Set up'!$A$2:$C$70,2,FALSE)</f>
        <v>C00000010</v>
      </c>
      <c r="F3320" s="1" t="s">
        <v>62</v>
      </c>
      <c r="G3320" s="90" t="s">
        <v>2449</v>
      </c>
      <c r="H3320" s="5">
        <v>1</v>
      </c>
      <c r="I3320" s="5">
        <f>VLOOKUP(F3320,'Set up'!$A$2:$C$70,3,FALSE)</f>
        <v>120</v>
      </c>
      <c r="J3320" s="5">
        <f>VLOOKUP(F3320,'Set up'!$A$2:$D$70,4,FALSE)</f>
        <v>120</v>
      </c>
      <c r="K3320" s="4">
        <f t="shared" si="810"/>
        <v>45708</v>
      </c>
      <c r="L3320" s="5">
        <f t="shared" si="811"/>
        <v>2</v>
      </c>
      <c r="M3320" s="5">
        <f t="shared" si="812"/>
        <v>2025</v>
      </c>
      <c r="N3320" s="12">
        <v>420</v>
      </c>
      <c r="O3320" s="6">
        <f t="shared" si="824"/>
        <v>-420</v>
      </c>
      <c r="P3320" s="12">
        <f t="shared" si="817"/>
        <v>0</v>
      </c>
      <c r="Q3320" s="7">
        <f t="shared" si="814"/>
        <v>5458411.0499999998</v>
      </c>
      <c r="R3320" s="44" t="str">
        <f>VLOOKUP(F3320,'Set up'!$A$2:$E$70,5,FALSE)</f>
        <v>Trsf</v>
      </c>
      <c r="S3320" s="1" t="s">
        <v>3608</v>
      </c>
    </row>
    <row r="3321" spans="1:19" ht="15" customHeight="1" x14ac:dyDescent="0.3">
      <c r="A3321" s="4">
        <v>45588</v>
      </c>
      <c r="B3321" s="5">
        <f t="shared" si="808"/>
        <v>10</v>
      </c>
      <c r="C3321" s="5">
        <f t="shared" si="809"/>
        <v>2024</v>
      </c>
      <c r="D3321" s="5" t="s">
        <v>3028</v>
      </c>
      <c r="E3321" s="5" t="str">
        <f>VLOOKUP(F3321,'Set up'!$A$2:$C$70,2,FALSE)</f>
        <v>C00000010</v>
      </c>
      <c r="F3321" s="1" t="s">
        <v>62</v>
      </c>
      <c r="G3321" s="90" t="s">
        <v>946</v>
      </c>
      <c r="H3321" s="5">
        <v>4</v>
      </c>
      <c r="I3321" s="5">
        <f>VLOOKUP(F3321,'Set up'!$A$2:$C$70,3,FALSE)</f>
        <v>120</v>
      </c>
      <c r="J3321" s="5">
        <f>VLOOKUP(F3321,'Set up'!$A$2:$D$70,4,FALSE)</f>
        <v>120</v>
      </c>
      <c r="K3321" s="4">
        <f t="shared" si="810"/>
        <v>45708</v>
      </c>
      <c r="L3321" s="5">
        <f t="shared" si="811"/>
        <v>2</v>
      </c>
      <c r="M3321" s="5">
        <f t="shared" si="812"/>
        <v>2025</v>
      </c>
      <c r="N3321" s="12">
        <v>230.4</v>
      </c>
      <c r="O3321" s="6">
        <f t="shared" si="824"/>
        <v>-230.4</v>
      </c>
      <c r="P3321" s="12">
        <f t="shared" si="817"/>
        <v>0</v>
      </c>
      <c r="Q3321" s="7">
        <f t="shared" si="814"/>
        <v>5458641.4500000002</v>
      </c>
      <c r="R3321" s="44" t="str">
        <f>VLOOKUP(F3321,'Set up'!$A$2:$E$70,5,FALSE)</f>
        <v>Trsf</v>
      </c>
      <c r="S3321" s="1" t="s">
        <v>3608</v>
      </c>
    </row>
    <row r="3322" spans="1:19" ht="15" customHeight="1" x14ac:dyDescent="0.3">
      <c r="A3322" s="4">
        <v>45588</v>
      </c>
      <c r="B3322" s="5">
        <f t="shared" si="808"/>
        <v>10</v>
      </c>
      <c r="C3322" s="5">
        <f t="shared" si="809"/>
        <v>2024</v>
      </c>
      <c r="D3322" s="5" t="s">
        <v>3028</v>
      </c>
      <c r="E3322" s="5" t="str">
        <f>VLOOKUP(F3322,'Set up'!$A$2:$C$70,2,FALSE)</f>
        <v>C00000010</v>
      </c>
      <c r="F3322" s="1" t="s">
        <v>62</v>
      </c>
      <c r="G3322" s="90" t="s">
        <v>1002</v>
      </c>
      <c r="H3322" s="5">
        <v>4</v>
      </c>
      <c r="I3322" s="5">
        <f>VLOOKUP(F3322,'Set up'!$A$2:$C$70,3,FALSE)</f>
        <v>120</v>
      </c>
      <c r="J3322" s="5">
        <f>VLOOKUP(F3322,'Set up'!$A$2:$D$70,4,FALSE)</f>
        <v>120</v>
      </c>
      <c r="K3322" s="4">
        <f t="shared" si="810"/>
        <v>45708</v>
      </c>
      <c r="L3322" s="5">
        <f t="shared" si="811"/>
        <v>2</v>
      </c>
      <c r="M3322" s="5">
        <f t="shared" si="812"/>
        <v>2025</v>
      </c>
      <c r="N3322" s="12">
        <v>220.8</v>
      </c>
      <c r="O3322" s="6">
        <f t="shared" si="824"/>
        <v>-220.8</v>
      </c>
      <c r="P3322" s="12">
        <f t="shared" si="817"/>
        <v>0</v>
      </c>
      <c r="Q3322" s="7">
        <f t="shared" si="814"/>
        <v>5458862.25</v>
      </c>
      <c r="R3322" s="44" t="str">
        <f>VLOOKUP(F3322,'Set up'!$A$2:$E$70,5,FALSE)</f>
        <v>Trsf</v>
      </c>
      <c r="S3322" s="1" t="s">
        <v>3608</v>
      </c>
    </row>
    <row r="3323" spans="1:19" ht="15" customHeight="1" x14ac:dyDescent="0.3">
      <c r="A3323" s="4">
        <v>45591</v>
      </c>
      <c r="B3323" s="5">
        <f t="shared" si="808"/>
        <v>10</v>
      </c>
      <c r="C3323" s="5">
        <f t="shared" si="809"/>
        <v>2024</v>
      </c>
      <c r="D3323" s="5" t="s">
        <v>3029</v>
      </c>
      <c r="E3323" s="5" t="str">
        <f>VLOOKUP(F3323,'Set up'!$A$2:$C$70,2,FALSE)</f>
        <v>C00000042</v>
      </c>
      <c r="F3323" s="1" t="s">
        <v>2012</v>
      </c>
      <c r="G3323" s="103" t="s">
        <v>2646</v>
      </c>
      <c r="H3323" s="5">
        <v>10</v>
      </c>
      <c r="I3323" s="5" t="str">
        <f>VLOOKUP(F3323,'Set up'!$A$2:$C$70,3,FALSE)</f>
        <v>Cash</v>
      </c>
      <c r="J3323" s="5">
        <f>VLOOKUP(F3323,'Set up'!$A$2:$D$70,4,FALSE)</f>
        <v>0</v>
      </c>
      <c r="K3323" s="4">
        <f t="shared" si="810"/>
        <v>45591</v>
      </c>
      <c r="L3323" s="5">
        <f t="shared" si="811"/>
        <v>10</v>
      </c>
      <c r="M3323" s="5">
        <f t="shared" si="812"/>
        <v>2024</v>
      </c>
      <c r="N3323" s="12">
        <v>625</v>
      </c>
      <c r="O3323" s="6">
        <f t="shared" ref="O3323" si="825">-N3323</f>
        <v>-625</v>
      </c>
      <c r="P3323" s="12">
        <f t="shared" si="817"/>
        <v>0</v>
      </c>
      <c r="Q3323" s="7">
        <f t="shared" si="814"/>
        <v>5459487.25</v>
      </c>
      <c r="R3323" s="44" t="str">
        <f>VLOOKUP(F3323,'Set up'!$A$2:$E$70,5,FALSE)</f>
        <v>Trsf</v>
      </c>
      <c r="S3323" s="1" t="s">
        <v>3564</v>
      </c>
    </row>
    <row r="3324" spans="1:19" ht="15" customHeight="1" x14ac:dyDescent="0.3">
      <c r="A3324" s="4">
        <v>45591</v>
      </c>
      <c r="B3324" s="5">
        <f t="shared" si="808"/>
        <v>10</v>
      </c>
      <c r="C3324" s="5">
        <f t="shared" si="809"/>
        <v>2024</v>
      </c>
      <c r="D3324" s="5" t="s">
        <v>3030</v>
      </c>
      <c r="E3324" s="5" t="str">
        <f>VLOOKUP(F3324,'Set up'!$A$2:$C$70,2,FALSE)</f>
        <v>C00000042</v>
      </c>
      <c r="F3324" s="1" t="s">
        <v>2012</v>
      </c>
      <c r="G3324" s="128" t="s">
        <v>2552</v>
      </c>
      <c r="H3324" s="5">
        <v>10</v>
      </c>
      <c r="I3324" s="5" t="str">
        <f>VLOOKUP(F3324,'Set up'!$A$2:$C$70,3,FALSE)</f>
        <v>Cash</v>
      </c>
      <c r="J3324" s="5">
        <f>VLOOKUP(F3324,'Set up'!$A$2:$D$70,4,FALSE)</f>
        <v>0</v>
      </c>
      <c r="K3324" s="4">
        <f t="shared" si="810"/>
        <v>45591</v>
      </c>
      <c r="L3324" s="5">
        <f t="shared" si="811"/>
        <v>10</v>
      </c>
      <c r="M3324" s="5">
        <f t="shared" si="812"/>
        <v>2024</v>
      </c>
      <c r="N3324" s="12">
        <v>16060</v>
      </c>
      <c r="O3324" s="12">
        <f>-11950.4-4109.6</f>
        <v>-16060</v>
      </c>
      <c r="P3324" s="12">
        <f t="shared" si="817"/>
        <v>0</v>
      </c>
      <c r="Q3324" s="7">
        <f t="shared" si="814"/>
        <v>5475547.25</v>
      </c>
      <c r="R3324" s="44" t="str">
        <f>VLOOKUP(F3324,'Set up'!$A$2:$E$70,5,FALSE)</f>
        <v>Trsf</v>
      </c>
      <c r="S3324" s="1" t="s">
        <v>3565</v>
      </c>
    </row>
    <row r="3325" spans="1:19" ht="15" customHeight="1" x14ac:dyDescent="0.3">
      <c r="A3325" s="4">
        <v>45591</v>
      </c>
      <c r="B3325" s="5">
        <f t="shared" si="808"/>
        <v>10</v>
      </c>
      <c r="C3325" s="5">
        <f t="shared" si="809"/>
        <v>2024</v>
      </c>
      <c r="D3325" s="5" t="s">
        <v>3030</v>
      </c>
      <c r="E3325" s="5" t="str">
        <f>VLOOKUP(F3325,'Set up'!$A$2:$C$70,2,FALSE)</f>
        <v>C00000042</v>
      </c>
      <c r="F3325" s="1" t="s">
        <v>2012</v>
      </c>
      <c r="G3325" s="90" t="s">
        <v>2434</v>
      </c>
      <c r="H3325" s="5">
        <v>30</v>
      </c>
      <c r="I3325" s="5" t="str">
        <f>VLOOKUP(F3325,'Set up'!$A$2:$C$70,3,FALSE)</f>
        <v>Cash</v>
      </c>
      <c r="J3325" s="5">
        <f>VLOOKUP(F3325,'Set up'!$A$2:$D$70,4,FALSE)</f>
        <v>0</v>
      </c>
      <c r="K3325" s="4">
        <f t="shared" si="810"/>
        <v>45591</v>
      </c>
      <c r="L3325" s="5">
        <f t="shared" si="811"/>
        <v>10</v>
      </c>
      <c r="M3325" s="5">
        <f t="shared" si="812"/>
        <v>2024</v>
      </c>
      <c r="N3325" s="12">
        <v>6438</v>
      </c>
      <c r="O3325" s="12">
        <f>-890.4-5547.6</f>
        <v>-6438</v>
      </c>
      <c r="P3325" s="12">
        <f t="shared" si="817"/>
        <v>0</v>
      </c>
      <c r="Q3325" s="7">
        <f t="shared" si="814"/>
        <v>5481985.25</v>
      </c>
      <c r="R3325" s="44" t="str">
        <f>VLOOKUP(F3325,'Set up'!$A$2:$E$70,5,FALSE)</f>
        <v>Trsf</v>
      </c>
      <c r="S3325" s="1" t="s">
        <v>3566</v>
      </c>
    </row>
    <row r="3326" spans="1:19" ht="15" customHeight="1" x14ac:dyDescent="0.3">
      <c r="A3326" s="4">
        <v>45591</v>
      </c>
      <c r="B3326" s="5">
        <f t="shared" si="808"/>
        <v>10</v>
      </c>
      <c r="C3326" s="5">
        <f t="shared" si="809"/>
        <v>2024</v>
      </c>
      <c r="D3326" s="5" t="s">
        <v>3030</v>
      </c>
      <c r="E3326" s="5" t="str">
        <f>VLOOKUP(F3326,'Set up'!$A$2:$C$70,2,FALSE)</f>
        <v>C00000042</v>
      </c>
      <c r="F3326" s="1" t="s">
        <v>2012</v>
      </c>
      <c r="G3326" s="90" t="s">
        <v>1922</v>
      </c>
      <c r="H3326" s="5">
        <v>15</v>
      </c>
      <c r="I3326" s="5" t="str">
        <f>VLOOKUP(F3326,'Set up'!$A$2:$C$70,3,FALSE)</f>
        <v>Cash</v>
      </c>
      <c r="J3326" s="5">
        <f>VLOOKUP(F3326,'Set up'!$A$2:$D$70,4,FALSE)</f>
        <v>0</v>
      </c>
      <c r="K3326" s="4">
        <f t="shared" si="810"/>
        <v>45591</v>
      </c>
      <c r="L3326" s="5">
        <f t="shared" si="811"/>
        <v>10</v>
      </c>
      <c r="M3326" s="5">
        <f t="shared" si="812"/>
        <v>2024</v>
      </c>
      <c r="N3326" s="12">
        <v>3577.5</v>
      </c>
      <c r="O3326" s="6">
        <f t="shared" ref="O3326:O3327" si="826">-N3326</f>
        <v>-3577.5</v>
      </c>
      <c r="P3326" s="12">
        <f t="shared" si="817"/>
        <v>0</v>
      </c>
      <c r="Q3326" s="7">
        <f t="shared" si="814"/>
        <v>5485562.75</v>
      </c>
      <c r="R3326" s="44" t="str">
        <f>VLOOKUP(F3326,'Set up'!$A$2:$E$70,5,FALSE)</f>
        <v>Trsf</v>
      </c>
      <c r="S3326" s="1" t="s">
        <v>3567</v>
      </c>
    </row>
    <row r="3327" spans="1:19" ht="15" customHeight="1" x14ac:dyDescent="0.3">
      <c r="A3327" s="4">
        <v>45591</v>
      </c>
      <c r="B3327" s="5">
        <f t="shared" si="808"/>
        <v>10</v>
      </c>
      <c r="C3327" s="5">
        <f t="shared" si="809"/>
        <v>2024</v>
      </c>
      <c r="D3327" s="5" t="s">
        <v>3030</v>
      </c>
      <c r="E3327" s="5" t="str">
        <f>VLOOKUP(F3327,'Set up'!$A$2:$C$70,2,FALSE)</f>
        <v>C00000042</v>
      </c>
      <c r="F3327" s="1" t="s">
        <v>2012</v>
      </c>
      <c r="G3327" s="90" t="s">
        <v>1061</v>
      </c>
      <c r="H3327" s="5">
        <v>4</v>
      </c>
      <c r="I3327" s="5" t="str">
        <f>VLOOKUP(F3327,'Set up'!$A$2:$C$70,3,FALSE)</f>
        <v>Cash</v>
      </c>
      <c r="J3327" s="5">
        <f>VLOOKUP(F3327,'Set up'!$A$2:$D$70,4,FALSE)</f>
        <v>0</v>
      </c>
      <c r="K3327" s="4">
        <f t="shared" si="810"/>
        <v>45591</v>
      </c>
      <c r="L3327" s="5">
        <f t="shared" si="811"/>
        <v>10</v>
      </c>
      <c r="M3327" s="5">
        <f t="shared" si="812"/>
        <v>2024</v>
      </c>
      <c r="N3327" s="12">
        <v>380</v>
      </c>
      <c r="O3327" s="6">
        <f t="shared" si="826"/>
        <v>-380</v>
      </c>
      <c r="P3327" s="12">
        <f t="shared" si="817"/>
        <v>0</v>
      </c>
      <c r="Q3327" s="7">
        <f t="shared" si="814"/>
        <v>5485942.75</v>
      </c>
      <c r="R3327" s="44" t="str">
        <f>VLOOKUP(F3327,'Set up'!$A$2:$E$70,5,FALSE)</f>
        <v>Trsf</v>
      </c>
      <c r="S3327" s="1" t="s">
        <v>3568</v>
      </c>
    </row>
    <row r="3328" spans="1:19" ht="15" customHeight="1" x14ac:dyDescent="0.3">
      <c r="A3328" s="4">
        <v>45591</v>
      </c>
      <c r="B3328" s="5">
        <f t="shared" si="808"/>
        <v>10</v>
      </c>
      <c r="C3328" s="5">
        <f t="shared" si="809"/>
        <v>2024</v>
      </c>
      <c r="D3328" s="5" t="s">
        <v>3030</v>
      </c>
      <c r="E3328" s="5" t="str">
        <f>VLOOKUP(F3328,'Set up'!$A$2:$C$70,2,FALSE)</f>
        <v>C00000042</v>
      </c>
      <c r="F3328" s="1" t="s">
        <v>2012</v>
      </c>
      <c r="G3328" s="90" t="s">
        <v>1073</v>
      </c>
      <c r="H3328" s="5">
        <v>1</v>
      </c>
      <c r="I3328" s="5" t="str">
        <f>VLOOKUP(F3328,'Set up'!$A$2:$C$70,3,FALSE)</f>
        <v>Cash</v>
      </c>
      <c r="J3328" s="5">
        <f>VLOOKUP(F3328,'Set up'!$A$2:$D$70,4,FALSE)</f>
        <v>0</v>
      </c>
      <c r="K3328" s="4">
        <f t="shared" si="810"/>
        <v>45591</v>
      </c>
      <c r="L3328" s="5">
        <f t="shared" si="811"/>
        <v>10</v>
      </c>
      <c r="M3328" s="5">
        <f t="shared" si="812"/>
        <v>2024</v>
      </c>
      <c r="N3328" s="12">
        <v>1000</v>
      </c>
      <c r="O3328" s="12">
        <f>-494.9-505.1</f>
        <v>-1000</v>
      </c>
      <c r="P3328" s="12">
        <f t="shared" si="817"/>
        <v>0</v>
      </c>
      <c r="Q3328" s="7">
        <f t="shared" si="814"/>
        <v>5486942.75</v>
      </c>
      <c r="R3328" s="44" t="str">
        <f>VLOOKUP(F3328,'Set up'!$A$2:$E$70,5,FALSE)</f>
        <v>Trsf</v>
      </c>
      <c r="S3328" s="1" t="s">
        <v>3569</v>
      </c>
    </row>
    <row r="3329" spans="1:19" ht="15" customHeight="1" x14ac:dyDescent="0.3">
      <c r="A3329" s="4">
        <v>45594</v>
      </c>
      <c r="B3329" s="5">
        <f t="shared" si="808"/>
        <v>10</v>
      </c>
      <c r="C3329" s="5">
        <f t="shared" si="809"/>
        <v>2024</v>
      </c>
      <c r="D3329" s="5" t="s">
        <v>3031</v>
      </c>
      <c r="E3329" s="5" t="str">
        <f>VLOOKUP(F3329,'Set up'!$A$2:$C$70,2,FALSE)</f>
        <v>C00000044</v>
      </c>
      <c r="F3329" s="1" t="s">
        <v>2929</v>
      </c>
      <c r="G3329" s="119" t="s">
        <v>1402</v>
      </c>
      <c r="H3329" s="5">
        <v>1</v>
      </c>
      <c r="I3329" s="5" t="str">
        <f>VLOOKUP(F3329,'Set up'!$A$2:$C$70,3,FALSE)</f>
        <v>Cash</v>
      </c>
      <c r="J3329" s="5">
        <f>VLOOKUP(F3329,'Set up'!$A$2:$D$70,4,FALSE)</f>
        <v>0</v>
      </c>
      <c r="K3329" s="4">
        <f t="shared" si="810"/>
        <v>45594</v>
      </c>
      <c r="L3329" s="5">
        <f t="shared" si="811"/>
        <v>10</v>
      </c>
      <c r="M3329" s="5">
        <f t="shared" si="812"/>
        <v>2024</v>
      </c>
      <c r="N3329" s="12">
        <v>1694</v>
      </c>
      <c r="O3329" s="6">
        <f t="shared" ref="O3329:O3332" si="827">-N3329</f>
        <v>-1694</v>
      </c>
      <c r="P3329" s="12">
        <f t="shared" si="817"/>
        <v>0</v>
      </c>
      <c r="Q3329" s="7">
        <f t="shared" si="814"/>
        <v>5488636.75</v>
      </c>
      <c r="R3329" s="44" t="str">
        <f>VLOOKUP(F3329,'Set up'!$A$2:$E$70,5,FALSE)</f>
        <v>Cash</v>
      </c>
      <c r="S3329" s="1" t="s">
        <v>3060</v>
      </c>
    </row>
    <row r="3330" spans="1:19" ht="15" customHeight="1" x14ac:dyDescent="0.3">
      <c r="A3330" s="4">
        <v>45594</v>
      </c>
      <c r="B3330" s="5">
        <f t="shared" si="808"/>
        <v>10</v>
      </c>
      <c r="C3330" s="5">
        <f t="shared" si="809"/>
        <v>2024</v>
      </c>
      <c r="D3330" s="5" t="s">
        <v>3031</v>
      </c>
      <c r="E3330" s="5" t="str">
        <f>VLOOKUP(F3330,'Set up'!$A$2:$C$70,2,FALSE)</f>
        <v>C00000044</v>
      </c>
      <c r="F3330" s="1" t="s">
        <v>2929</v>
      </c>
      <c r="G3330" s="120" t="s">
        <v>2570</v>
      </c>
      <c r="H3330" s="5">
        <v>2</v>
      </c>
      <c r="I3330" s="5" t="str">
        <f>VLOOKUP(F3330,'Set up'!$A$2:$C$70,3,FALSE)</f>
        <v>Cash</v>
      </c>
      <c r="J3330" s="5">
        <f>VLOOKUP(F3330,'Set up'!$A$2:$D$70,4,FALSE)</f>
        <v>0</v>
      </c>
      <c r="K3330" s="4">
        <f t="shared" si="810"/>
        <v>45594</v>
      </c>
      <c r="L3330" s="5">
        <f t="shared" si="811"/>
        <v>10</v>
      </c>
      <c r="M3330" s="5">
        <f t="shared" si="812"/>
        <v>2024</v>
      </c>
      <c r="N3330" s="12">
        <v>432</v>
      </c>
      <c r="O3330" s="6">
        <f t="shared" si="827"/>
        <v>-432</v>
      </c>
      <c r="P3330" s="12">
        <f t="shared" si="817"/>
        <v>0</v>
      </c>
      <c r="Q3330" s="7">
        <f t="shared" si="814"/>
        <v>5489068.75</v>
      </c>
      <c r="R3330" s="44" t="str">
        <f>VLOOKUP(F3330,'Set up'!$A$2:$E$70,5,FALSE)</f>
        <v>Cash</v>
      </c>
      <c r="S3330" s="1" t="s">
        <v>3060</v>
      </c>
    </row>
    <row r="3331" spans="1:19" ht="15" customHeight="1" x14ac:dyDescent="0.3">
      <c r="A3331" s="4">
        <v>45594</v>
      </c>
      <c r="B3331" s="5">
        <f t="shared" ref="B3331:B3394" si="828">MONTH(A3331)</f>
        <v>10</v>
      </c>
      <c r="C3331" s="5">
        <f t="shared" ref="C3331:C3394" si="829">YEAR(A3331)</f>
        <v>2024</v>
      </c>
      <c r="D3331" s="5" t="s">
        <v>3031</v>
      </c>
      <c r="E3331" s="5" t="str">
        <f>VLOOKUP(F3331,'Set up'!$A$2:$C$70,2,FALSE)</f>
        <v>C00000044</v>
      </c>
      <c r="F3331" s="1" t="s">
        <v>2929</v>
      </c>
      <c r="G3331" s="120" t="s">
        <v>2738</v>
      </c>
      <c r="H3331" s="5">
        <v>3</v>
      </c>
      <c r="I3331" s="5" t="str">
        <f>VLOOKUP(F3331,'Set up'!$A$2:$C$70,3,FALSE)</f>
        <v>Cash</v>
      </c>
      <c r="J3331" s="5">
        <f>VLOOKUP(F3331,'Set up'!$A$2:$D$70,4,FALSE)</f>
        <v>0</v>
      </c>
      <c r="K3331" s="4">
        <f t="shared" ref="K3331:K3394" si="830">A3331+J3331</f>
        <v>45594</v>
      </c>
      <c r="L3331" s="5">
        <f t="shared" ref="L3331:L3394" si="831">MONTH(K3331)</f>
        <v>10</v>
      </c>
      <c r="M3331" s="5">
        <f t="shared" ref="M3331:M3394" si="832">YEAR(K3331)</f>
        <v>2024</v>
      </c>
      <c r="N3331" s="12">
        <v>534</v>
      </c>
      <c r="O3331" s="6">
        <f t="shared" si="827"/>
        <v>-534</v>
      </c>
      <c r="P3331" s="12">
        <f t="shared" si="817"/>
        <v>0</v>
      </c>
      <c r="Q3331" s="7">
        <f t="shared" ref="Q3331:Q3394" si="833">SUM(Q3330+N3331)</f>
        <v>5489602.75</v>
      </c>
      <c r="R3331" s="44" t="str">
        <f>VLOOKUP(F3331,'Set up'!$A$2:$E$70,5,FALSE)</f>
        <v>Cash</v>
      </c>
      <c r="S3331" s="1" t="s">
        <v>3060</v>
      </c>
    </row>
    <row r="3332" spans="1:19" ht="15" customHeight="1" x14ac:dyDescent="0.3">
      <c r="A3332" s="4">
        <v>45594</v>
      </c>
      <c r="B3332" s="5">
        <f t="shared" si="828"/>
        <v>10</v>
      </c>
      <c r="C3332" s="5">
        <f t="shared" si="829"/>
        <v>2024</v>
      </c>
      <c r="D3332" s="5" t="s">
        <v>3031</v>
      </c>
      <c r="E3332" s="5" t="str">
        <f>VLOOKUP(F3332,'Set up'!$A$2:$C$70,2,FALSE)</f>
        <v>C00000044</v>
      </c>
      <c r="F3332" s="1" t="s">
        <v>2929</v>
      </c>
      <c r="G3332" s="120" t="s">
        <v>46</v>
      </c>
      <c r="H3332" s="5">
        <v>1</v>
      </c>
      <c r="I3332" s="5" t="str">
        <f>VLOOKUP(F3332,'Set up'!$A$2:$C$70,3,FALSE)</f>
        <v>Cash</v>
      </c>
      <c r="J3332" s="5">
        <f>VLOOKUP(F3332,'Set up'!$A$2:$D$70,4,FALSE)</f>
        <v>0</v>
      </c>
      <c r="K3332" s="4">
        <f t="shared" si="830"/>
        <v>45594</v>
      </c>
      <c r="L3332" s="5">
        <f t="shared" si="831"/>
        <v>10</v>
      </c>
      <c r="M3332" s="5">
        <f t="shared" si="832"/>
        <v>2024</v>
      </c>
      <c r="N3332" s="12">
        <v>110</v>
      </c>
      <c r="O3332" s="6">
        <f t="shared" si="827"/>
        <v>-110</v>
      </c>
      <c r="P3332" s="12">
        <f t="shared" si="817"/>
        <v>0</v>
      </c>
      <c r="Q3332" s="7">
        <f t="shared" si="833"/>
        <v>5489712.75</v>
      </c>
      <c r="R3332" s="44" t="str">
        <f>VLOOKUP(F3332,'Set up'!$A$2:$E$70,5,FALSE)</f>
        <v>Cash</v>
      </c>
      <c r="S3332" s="1" t="s">
        <v>3060</v>
      </c>
    </row>
    <row r="3333" spans="1:19" ht="15" customHeight="1" x14ac:dyDescent="0.3">
      <c r="A3333" s="4">
        <v>45594</v>
      </c>
      <c r="B3333" s="5">
        <f t="shared" si="828"/>
        <v>10</v>
      </c>
      <c r="C3333" s="5">
        <f t="shared" si="829"/>
        <v>2024</v>
      </c>
      <c r="D3333" s="5" t="s">
        <v>3032</v>
      </c>
      <c r="E3333" s="5" t="str">
        <f>VLOOKUP(F3333,'Set up'!$A$2:$C$70,2,FALSE)</f>
        <v>C00000019</v>
      </c>
      <c r="F3333" s="1" t="s">
        <v>400</v>
      </c>
      <c r="G3333" s="90" t="s">
        <v>1411</v>
      </c>
      <c r="H3333" s="5">
        <v>1</v>
      </c>
      <c r="I3333" s="5" t="str">
        <f>VLOOKUP(F3333,'Set up'!$A$2:$C$70,3,FALSE)</f>
        <v>Cash</v>
      </c>
      <c r="J3333" s="5">
        <f>VLOOKUP(F3333,'Set up'!$A$2:$D$70,4,FALSE)</f>
        <v>0</v>
      </c>
      <c r="K3333" s="4">
        <f t="shared" si="830"/>
        <v>45594</v>
      </c>
      <c r="L3333" s="5">
        <f t="shared" si="831"/>
        <v>10</v>
      </c>
      <c r="M3333" s="5">
        <f t="shared" si="832"/>
        <v>2024</v>
      </c>
      <c r="N3333" s="12">
        <v>405</v>
      </c>
      <c r="O3333" s="12"/>
      <c r="P3333" s="12">
        <f t="shared" si="817"/>
        <v>405</v>
      </c>
      <c r="Q3333" s="7">
        <f t="shared" si="833"/>
        <v>5490117.75</v>
      </c>
      <c r="R3333" s="44" t="str">
        <f>VLOOKUP(F3333,'Set up'!$A$2:$E$70,5,FALSE)</f>
        <v>Trsf</v>
      </c>
    </row>
    <row r="3334" spans="1:19" ht="15" customHeight="1" x14ac:dyDescent="0.3">
      <c r="A3334" s="4">
        <v>45594</v>
      </c>
      <c r="B3334" s="5">
        <f t="shared" si="828"/>
        <v>10</v>
      </c>
      <c r="C3334" s="5">
        <f t="shared" si="829"/>
        <v>2024</v>
      </c>
      <c r="D3334" s="5" t="s">
        <v>3033</v>
      </c>
      <c r="E3334" s="5" t="str">
        <f>VLOOKUP(F3334,'Set up'!$A$2:$C$70,2,FALSE)</f>
        <v>C00000044</v>
      </c>
      <c r="F3334" s="1" t="s">
        <v>2929</v>
      </c>
      <c r="G3334" s="120" t="s">
        <v>2738</v>
      </c>
      <c r="H3334" s="5">
        <v>2</v>
      </c>
      <c r="I3334" s="5" t="str">
        <f>VLOOKUP(F3334,'Set up'!$A$2:$C$70,3,FALSE)</f>
        <v>Cash</v>
      </c>
      <c r="J3334" s="5">
        <f>VLOOKUP(F3334,'Set up'!$A$2:$D$70,4,FALSE)</f>
        <v>0</v>
      </c>
      <c r="K3334" s="4">
        <f t="shared" si="830"/>
        <v>45594</v>
      </c>
      <c r="L3334" s="5">
        <f t="shared" si="831"/>
        <v>10</v>
      </c>
      <c r="M3334" s="5">
        <f t="shared" si="832"/>
        <v>2024</v>
      </c>
      <c r="N3334" s="12">
        <v>356</v>
      </c>
      <c r="O3334" s="6">
        <f t="shared" ref="O3334:O3335" si="834">-N3334</f>
        <v>-356</v>
      </c>
      <c r="P3334" s="12">
        <f t="shared" si="817"/>
        <v>0</v>
      </c>
      <c r="Q3334" s="7">
        <f t="shared" si="833"/>
        <v>5490473.75</v>
      </c>
      <c r="R3334" s="44" t="str">
        <f>VLOOKUP(F3334,'Set up'!$A$2:$E$70,5,FALSE)</f>
        <v>Cash</v>
      </c>
      <c r="S3334" s="1" t="s">
        <v>3059</v>
      </c>
    </row>
    <row r="3335" spans="1:19" ht="15" customHeight="1" x14ac:dyDescent="0.3">
      <c r="A3335" s="4">
        <v>45594</v>
      </c>
      <c r="B3335" s="5">
        <f t="shared" si="828"/>
        <v>10</v>
      </c>
      <c r="C3335" s="5">
        <f t="shared" si="829"/>
        <v>2024</v>
      </c>
      <c r="D3335" s="5" t="s">
        <v>3034</v>
      </c>
      <c r="E3335" s="5" t="str">
        <f>VLOOKUP(F3335,'Set up'!$A$2:$C$70,2,FALSE)</f>
        <v>C00000044</v>
      </c>
      <c r="F3335" s="1" t="s">
        <v>2929</v>
      </c>
      <c r="G3335" s="99" t="s">
        <v>949</v>
      </c>
      <c r="H3335" s="5">
        <v>1</v>
      </c>
      <c r="I3335" s="5" t="str">
        <f>VLOOKUP(F3335,'Set up'!$A$2:$C$70,3,FALSE)</f>
        <v>Cash</v>
      </c>
      <c r="J3335" s="5">
        <f>VLOOKUP(F3335,'Set up'!$A$2:$D$70,4,FALSE)</f>
        <v>0</v>
      </c>
      <c r="K3335" s="4">
        <f t="shared" si="830"/>
        <v>45594</v>
      </c>
      <c r="L3335" s="5">
        <f t="shared" si="831"/>
        <v>10</v>
      </c>
      <c r="M3335" s="5">
        <f t="shared" si="832"/>
        <v>2024</v>
      </c>
      <c r="N3335" s="12">
        <v>60</v>
      </c>
      <c r="O3335" s="6">
        <f t="shared" si="834"/>
        <v>-60</v>
      </c>
      <c r="P3335" s="12">
        <f t="shared" si="817"/>
        <v>0</v>
      </c>
      <c r="Q3335" s="7">
        <f t="shared" si="833"/>
        <v>5490533.75</v>
      </c>
      <c r="R3335" s="44" t="str">
        <f>VLOOKUP(F3335,'Set up'!$A$2:$E$70,5,FALSE)</f>
        <v>Cash</v>
      </c>
      <c r="S3335" s="1" t="s">
        <v>3056</v>
      </c>
    </row>
    <row r="3336" spans="1:19" ht="15" customHeight="1" x14ac:dyDescent="0.3">
      <c r="A3336" s="4">
        <v>45597</v>
      </c>
      <c r="B3336" s="5">
        <f t="shared" si="828"/>
        <v>11</v>
      </c>
      <c r="C3336" s="5">
        <f t="shared" si="829"/>
        <v>2024</v>
      </c>
      <c r="D3336" s="5" t="s">
        <v>3099</v>
      </c>
      <c r="E3336" s="5" t="e">
        <f>VLOOKUP(F3336,'Set up'!$A$2:$C$70,2,FALSE)</f>
        <v>#N/A</v>
      </c>
      <c r="F3336" s="1" t="s">
        <v>3100</v>
      </c>
      <c r="G3336" s="123"/>
      <c r="H3336" s="5">
        <v>1</v>
      </c>
      <c r="I3336" s="5" t="e">
        <f>VLOOKUP(F3336,'Set up'!$A$2:$C$70,3,FALSE)</f>
        <v>#N/A</v>
      </c>
      <c r="J3336" s="5" t="e">
        <f>VLOOKUP(F3336,'Set up'!$A$2:$D$70,4,FALSE)</f>
        <v>#N/A</v>
      </c>
      <c r="K3336" s="4" t="e">
        <f t="shared" si="830"/>
        <v>#N/A</v>
      </c>
      <c r="L3336" s="5" t="e">
        <f t="shared" si="831"/>
        <v>#N/A</v>
      </c>
      <c r="M3336" s="5" t="e">
        <f t="shared" si="832"/>
        <v>#N/A</v>
      </c>
      <c r="N3336" s="12">
        <v>0</v>
      </c>
      <c r="O3336" s="12"/>
      <c r="P3336" s="12">
        <f t="shared" si="817"/>
        <v>0</v>
      </c>
      <c r="Q3336" s="7">
        <f t="shared" si="833"/>
        <v>5490533.75</v>
      </c>
      <c r="R3336" s="44" t="e">
        <f>VLOOKUP(F3336,'Set up'!$A$2:$E$70,5,FALSE)</f>
        <v>#N/A</v>
      </c>
    </row>
    <row r="3337" spans="1:19" ht="15" customHeight="1" x14ac:dyDescent="0.3">
      <c r="A3337" s="4">
        <v>45597</v>
      </c>
      <c r="B3337" s="5">
        <f t="shared" si="828"/>
        <v>11</v>
      </c>
      <c r="C3337" s="5">
        <f t="shared" si="829"/>
        <v>2024</v>
      </c>
      <c r="D3337" s="5" t="s">
        <v>3099</v>
      </c>
      <c r="E3337" s="5" t="e">
        <f>VLOOKUP(F3337,'Set up'!$A$2:$C$70,2,FALSE)</f>
        <v>#N/A</v>
      </c>
      <c r="F3337" s="1" t="s">
        <v>3100</v>
      </c>
      <c r="G3337" s="120"/>
      <c r="H3337" s="5">
        <v>1</v>
      </c>
      <c r="I3337" s="5" t="e">
        <f>VLOOKUP(F3337,'Set up'!$A$2:$C$70,3,FALSE)</f>
        <v>#N/A</v>
      </c>
      <c r="J3337" s="5" t="e">
        <f>VLOOKUP(F3337,'Set up'!$A$2:$D$70,4,FALSE)</f>
        <v>#N/A</v>
      </c>
      <c r="K3337" s="4" t="e">
        <f t="shared" si="830"/>
        <v>#N/A</v>
      </c>
      <c r="L3337" s="5" t="e">
        <f t="shared" si="831"/>
        <v>#N/A</v>
      </c>
      <c r="M3337" s="5" t="e">
        <f t="shared" si="832"/>
        <v>#N/A</v>
      </c>
      <c r="N3337" s="12">
        <v>0</v>
      </c>
      <c r="O3337" s="12"/>
      <c r="P3337" s="12">
        <f t="shared" si="817"/>
        <v>0</v>
      </c>
      <c r="Q3337" s="7">
        <f t="shared" si="833"/>
        <v>5490533.75</v>
      </c>
      <c r="R3337" s="44" t="e">
        <f>VLOOKUP(F3337,'Set up'!$A$2:$E$70,5,FALSE)</f>
        <v>#N/A</v>
      </c>
    </row>
    <row r="3338" spans="1:19" ht="15" customHeight="1" x14ac:dyDescent="0.3">
      <c r="A3338" s="4">
        <v>45597</v>
      </c>
      <c r="B3338" s="5">
        <f t="shared" si="828"/>
        <v>11</v>
      </c>
      <c r="C3338" s="5">
        <f t="shared" si="829"/>
        <v>2024</v>
      </c>
      <c r="D3338" s="5" t="s">
        <v>3101</v>
      </c>
      <c r="E3338" s="5" t="str">
        <f>VLOOKUP(F3338,'Set up'!$A$2:$C$70,2,FALSE)</f>
        <v>C00000019</v>
      </c>
      <c r="F3338" s="1" t="s">
        <v>400</v>
      </c>
      <c r="G3338" s="90" t="s">
        <v>95</v>
      </c>
      <c r="H3338" s="5">
        <v>1</v>
      </c>
      <c r="I3338" s="5" t="str">
        <f>VLOOKUP(F3338,'Set up'!$A$2:$C$70,3,FALSE)</f>
        <v>Cash</v>
      </c>
      <c r="J3338" s="5">
        <f>VLOOKUP(F3338,'Set up'!$A$2:$D$70,4,FALSE)</f>
        <v>0</v>
      </c>
      <c r="K3338" s="4">
        <f t="shared" si="830"/>
        <v>45597</v>
      </c>
      <c r="L3338" s="5">
        <f t="shared" si="831"/>
        <v>11</v>
      </c>
      <c r="M3338" s="5">
        <f t="shared" si="832"/>
        <v>2024</v>
      </c>
      <c r="N3338" s="98">
        <v>1738</v>
      </c>
      <c r="O3338" s="12"/>
      <c r="P3338" s="12">
        <f t="shared" si="817"/>
        <v>1738</v>
      </c>
      <c r="Q3338" s="7">
        <f t="shared" si="833"/>
        <v>5492271.75</v>
      </c>
      <c r="R3338" s="44" t="str">
        <f>VLOOKUP(F3338,'Set up'!$A$2:$E$70,5,FALSE)</f>
        <v>Trsf</v>
      </c>
    </row>
    <row r="3339" spans="1:19" ht="15" customHeight="1" x14ac:dyDescent="0.3">
      <c r="A3339" s="4">
        <v>45597</v>
      </c>
      <c r="B3339" s="5">
        <f t="shared" si="828"/>
        <v>11</v>
      </c>
      <c r="C3339" s="5">
        <f t="shared" si="829"/>
        <v>2024</v>
      </c>
      <c r="D3339" s="5" t="s">
        <v>3101</v>
      </c>
      <c r="E3339" s="5" t="str">
        <f>VLOOKUP(F3339,'Set up'!$A$2:$C$70,2,FALSE)</f>
        <v>C00000019</v>
      </c>
      <c r="F3339" s="1" t="s">
        <v>400</v>
      </c>
      <c r="G3339" s="90" t="s">
        <v>2449</v>
      </c>
      <c r="H3339" s="5">
        <v>1</v>
      </c>
      <c r="I3339" s="5" t="str">
        <f>VLOOKUP(F3339,'Set up'!$A$2:$C$70,3,FALSE)</f>
        <v>Cash</v>
      </c>
      <c r="J3339" s="5">
        <f>VLOOKUP(F3339,'Set up'!$A$2:$D$70,4,FALSE)</f>
        <v>0</v>
      </c>
      <c r="K3339" s="4">
        <f t="shared" si="830"/>
        <v>45597</v>
      </c>
      <c r="L3339" s="5">
        <f t="shared" si="831"/>
        <v>11</v>
      </c>
      <c r="M3339" s="5">
        <f t="shared" si="832"/>
        <v>2024</v>
      </c>
      <c r="N3339" s="98">
        <v>420</v>
      </c>
      <c r="O3339" s="12"/>
      <c r="P3339" s="12">
        <f t="shared" si="817"/>
        <v>420</v>
      </c>
      <c r="Q3339" s="7">
        <f t="shared" si="833"/>
        <v>5492691.75</v>
      </c>
      <c r="R3339" s="44" t="str">
        <f>VLOOKUP(F3339,'Set up'!$A$2:$E$70,5,FALSE)</f>
        <v>Trsf</v>
      </c>
    </row>
    <row r="3340" spans="1:19" ht="15" customHeight="1" x14ac:dyDescent="0.3">
      <c r="A3340" s="4">
        <v>45597</v>
      </c>
      <c r="B3340" s="5">
        <f t="shared" si="828"/>
        <v>11</v>
      </c>
      <c r="C3340" s="5">
        <f t="shared" si="829"/>
        <v>2024</v>
      </c>
      <c r="D3340" s="5" t="s">
        <v>3102</v>
      </c>
      <c r="E3340" s="5" t="str">
        <f>VLOOKUP(F3340,'Set up'!$A$2:$C$70,2,FALSE)</f>
        <v>C00000050</v>
      </c>
      <c r="F3340" s="1" t="s">
        <v>2656</v>
      </c>
      <c r="G3340" s="100" t="s">
        <v>2555</v>
      </c>
      <c r="H3340" s="5">
        <v>1</v>
      </c>
      <c r="I3340" s="5" t="str">
        <f>VLOOKUP(F3340,'Set up'!$A$2:$C$70,3,FALSE)</f>
        <v>Cash</v>
      </c>
      <c r="J3340" s="5">
        <f>VLOOKUP(F3340,'Set up'!$A$2:$D$70,4,FALSE)</f>
        <v>0</v>
      </c>
      <c r="K3340" s="4">
        <f t="shared" si="830"/>
        <v>45597</v>
      </c>
      <c r="L3340" s="5">
        <f t="shared" si="831"/>
        <v>11</v>
      </c>
      <c r="M3340" s="5">
        <f t="shared" si="832"/>
        <v>2024</v>
      </c>
      <c r="N3340" s="98">
        <v>1738</v>
      </c>
      <c r="O3340" s="6">
        <f t="shared" ref="O3340:O3343" si="835">-N3340</f>
        <v>-1738</v>
      </c>
      <c r="P3340" s="12">
        <f t="shared" si="817"/>
        <v>0</v>
      </c>
      <c r="Q3340" s="7">
        <f t="shared" si="833"/>
        <v>5494429.75</v>
      </c>
      <c r="R3340" s="44" t="str">
        <f>VLOOKUP(F3340,'Set up'!$A$2:$E$70,5,FALSE)</f>
        <v>Cash</v>
      </c>
      <c r="S3340" s="1" t="s">
        <v>3192</v>
      </c>
    </row>
    <row r="3341" spans="1:19" ht="15" customHeight="1" x14ac:dyDescent="0.3">
      <c r="A3341" s="4">
        <v>45597</v>
      </c>
      <c r="B3341" s="5">
        <f t="shared" si="828"/>
        <v>11</v>
      </c>
      <c r="C3341" s="5">
        <f t="shared" si="829"/>
        <v>2024</v>
      </c>
      <c r="D3341" s="5" t="s">
        <v>3102</v>
      </c>
      <c r="E3341" s="5" t="str">
        <f>VLOOKUP(F3341,'Set up'!$A$2:$C$70,2,FALSE)</f>
        <v>C00000050</v>
      </c>
      <c r="F3341" s="1" t="s">
        <v>2656</v>
      </c>
      <c r="G3341" s="99" t="s">
        <v>2129</v>
      </c>
      <c r="H3341" s="5">
        <v>2</v>
      </c>
      <c r="I3341" s="5" t="str">
        <f>VLOOKUP(F3341,'Set up'!$A$2:$C$70,3,FALSE)</f>
        <v>Cash</v>
      </c>
      <c r="J3341" s="5">
        <f>VLOOKUP(F3341,'Set up'!$A$2:$D$70,4,FALSE)</f>
        <v>0</v>
      </c>
      <c r="K3341" s="4">
        <f t="shared" si="830"/>
        <v>45597</v>
      </c>
      <c r="L3341" s="5">
        <f t="shared" si="831"/>
        <v>11</v>
      </c>
      <c r="M3341" s="5">
        <f t="shared" si="832"/>
        <v>2024</v>
      </c>
      <c r="N3341" s="12">
        <v>555</v>
      </c>
      <c r="O3341" s="6">
        <f t="shared" si="835"/>
        <v>-555</v>
      </c>
      <c r="P3341" s="12">
        <f t="shared" si="817"/>
        <v>0</v>
      </c>
      <c r="Q3341" s="7">
        <f t="shared" si="833"/>
        <v>5494984.75</v>
      </c>
      <c r="R3341" s="44" t="str">
        <f>VLOOKUP(F3341,'Set up'!$A$2:$E$70,5,FALSE)</f>
        <v>Cash</v>
      </c>
      <c r="S3341" s="1" t="s">
        <v>3192</v>
      </c>
    </row>
    <row r="3342" spans="1:19" ht="15" customHeight="1" x14ac:dyDescent="0.3">
      <c r="A3342" s="4">
        <v>45597</v>
      </c>
      <c r="B3342" s="5">
        <f t="shared" si="828"/>
        <v>11</v>
      </c>
      <c r="C3342" s="5">
        <f t="shared" si="829"/>
        <v>2024</v>
      </c>
      <c r="D3342" s="5" t="s">
        <v>3102</v>
      </c>
      <c r="E3342" s="5" t="str">
        <f>VLOOKUP(F3342,'Set up'!$A$2:$C$70,2,FALSE)</f>
        <v>C00000050</v>
      </c>
      <c r="F3342" s="1" t="s">
        <v>2656</v>
      </c>
      <c r="G3342" s="99" t="s">
        <v>1061</v>
      </c>
      <c r="H3342" s="5">
        <v>1</v>
      </c>
      <c r="I3342" s="5" t="str">
        <f>VLOOKUP(F3342,'Set up'!$A$2:$C$70,3,FALSE)</f>
        <v>Cash</v>
      </c>
      <c r="J3342" s="5">
        <f>VLOOKUP(F3342,'Set up'!$A$2:$D$70,4,FALSE)</f>
        <v>0</v>
      </c>
      <c r="K3342" s="4">
        <f t="shared" si="830"/>
        <v>45597</v>
      </c>
      <c r="L3342" s="5">
        <f t="shared" si="831"/>
        <v>11</v>
      </c>
      <c r="M3342" s="5">
        <f t="shared" si="832"/>
        <v>2024</v>
      </c>
      <c r="N3342" s="12">
        <v>95</v>
      </c>
      <c r="O3342" s="6">
        <f t="shared" si="835"/>
        <v>-95</v>
      </c>
      <c r="P3342" s="12">
        <f t="shared" si="817"/>
        <v>0</v>
      </c>
      <c r="Q3342" s="7">
        <f t="shared" si="833"/>
        <v>5495079.75</v>
      </c>
      <c r="R3342" s="44" t="str">
        <f>VLOOKUP(F3342,'Set up'!$A$2:$E$70,5,FALSE)</f>
        <v>Cash</v>
      </c>
      <c r="S3342" s="1" t="s">
        <v>3192</v>
      </c>
    </row>
    <row r="3343" spans="1:19" ht="15" customHeight="1" x14ac:dyDescent="0.3">
      <c r="A3343" s="4">
        <v>45598</v>
      </c>
      <c r="B3343" s="5">
        <f t="shared" si="828"/>
        <v>11</v>
      </c>
      <c r="C3343" s="5">
        <f t="shared" si="829"/>
        <v>2024</v>
      </c>
      <c r="D3343" s="5" t="s">
        <v>3103</v>
      </c>
      <c r="E3343" s="5" t="str">
        <f>VLOOKUP(F3343,'Set up'!$A$2:$C$70,2,FALSE)</f>
        <v>C00000042</v>
      </c>
      <c r="F3343" s="1" t="s">
        <v>2012</v>
      </c>
      <c r="G3343" s="103" t="s">
        <v>2646</v>
      </c>
      <c r="H3343" s="5">
        <v>11</v>
      </c>
      <c r="I3343" s="5" t="str">
        <f>VLOOKUP(F3343,'Set up'!$A$2:$C$70,3,FALSE)</f>
        <v>Cash</v>
      </c>
      <c r="J3343" s="5">
        <f>VLOOKUP(F3343,'Set up'!$A$2:$D$70,4,FALSE)</f>
        <v>0</v>
      </c>
      <c r="K3343" s="4">
        <f t="shared" si="830"/>
        <v>45598</v>
      </c>
      <c r="L3343" s="5">
        <f t="shared" si="831"/>
        <v>11</v>
      </c>
      <c r="M3343" s="5">
        <f t="shared" si="832"/>
        <v>2024</v>
      </c>
      <c r="N3343" s="12">
        <v>687.5</v>
      </c>
      <c r="O3343" s="6">
        <f t="shared" si="835"/>
        <v>-687.5</v>
      </c>
      <c r="P3343" s="12">
        <f t="shared" si="817"/>
        <v>0</v>
      </c>
      <c r="Q3343" s="7">
        <f t="shared" si="833"/>
        <v>5495767.25</v>
      </c>
      <c r="R3343" s="44" t="str">
        <f>VLOOKUP(F3343,'Set up'!$A$2:$E$70,5,FALSE)</f>
        <v>Trsf</v>
      </c>
      <c r="S3343" s="1" t="s">
        <v>3570</v>
      </c>
    </row>
    <row r="3344" spans="1:19" ht="15" customHeight="1" x14ac:dyDescent="0.3">
      <c r="A3344" s="4">
        <v>45597</v>
      </c>
      <c r="B3344" s="5">
        <f t="shared" si="828"/>
        <v>11</v>
      </c>
      <c r="C3344" s="5">
        <f t="shared" si="829"/>
        <v>2024</v>
      </c>
      <c r="D3344" s="5" t="s">
        <v>3104</v>
      </c>
      <c r="E3344" s="5" t="str">
        <f>VLOOKUP(F3344,'Set up'!$A$2:$C$70,2,FALSE)</f>
        <v>C00000042</v>
      </c>
      <c r="F3344" s="1" t="s">
        <v>2012</v>
      </c>
      <c r="G3344" s="128" t="s">
        <v>2552</v>
      </c>
      <c r="H3344" s="5">
        <v>11</v>
      </c>
      <c r="I3344" s="5" t="str">
        <f>VLOOKUP(F3344,'Set up'!$A$2:$C$70,3,FALSE)</f>
        <v>Cash</v>
      </c>
      <c r="J3344" s="5">
        <f>VLOOKUP(F3344,'Set up'!$A$2:$D$70,4,FALSE)</f>
        <v>0</v>
      </c>
      <c r="K3344" s="4">
        <f t="shared" si="830"/>
        <v>45597</v>
      </c>
      <c r="L3344" s="5">
        <f t="shared" si="831"/>
        <v>11</v>
      </c>
      <c r="M3344" s="5">
        <f t="shared" si="832"/>
        <v>2024</v>
      </c>
      <c r="N3344" s="12">
        <v>17666</v>
      </c>
      <c r="O3344" s="12">
        <f>-3807.4-13858.6</f>
        <v>-17666</v>
      </c>
      <c r="P3344" s="12">
        <f t="shared" si="817"/>
        <v>0</v>
      </c>
      <c r="Q3344" s="7">
        <f t="shared" si="833"/>
        <v>5513433.25</v>
      </c>
      <c r="R3344" s="44" t="str">
        <f>VLOOKUP(F3344,'Set up'!$A$2:$E$70,5,FALSE)</f>
        <v>Trsf</v>
      </c>
      <c r="S3344" s="1" t="s">
        <v>3571</v>
      </c>
    </row>
    <row r="3345" spans="1:19" ht="15" customHeight="1" x14ac:dyDescent="0.3">
      <c r="A3345" s="4">
        <v>45597</v>
      </c>
      <c r="B3345" s="5">
        <f t="shared" si="828"/>
        <v>11</v>
      </c>
      <c r="C3345" s="5">
        <f t="shared" si="829"/>
        <v>2024</v>
      </c>
      <c r="D3345" s="5" t="s">
        <v>3104</v>
      </c>
      <c r="E3345" s="5" t="str">
        <f>VLOOKUP(F3345,'Set up'!$A$2:$C$70,2,FALSE)</f>
        <v>C00000042</v>
      </c>
      <c r="F3345" s="1" t="s">
        <v>2012</v>
      </c>
      <c r="G3345" s="90" t="s">
        <v>2434</v>
      </c>
      <c r="H3345" s="5">
        <v>23</v>
      </c>
      <c r="I3345" s="5" t="str">
        <f>VLOOKUP(F3345,'Set up'!$A$2:$C$70,3,FALSE)</f>
        <v>Cash</v>
      </c>
      <c r="J3345" s="5">
        <f>VLOOKUP(F3345,'Set up'!$A$2:$D$70,4,FALSE)</f>
        <v>0</v>
      </c>
      <c r="K3345" s="4">
        <f t="shared" si="830"/>
        <v>45597</v>
      </c>
      <c r="L3345" s="5">
        <f t="shared" si="831"/>
        <v>11</v>
      </c>
      <c r="M3345" s="5">
        <f t="shared" si="832"/>
        <v>2024</v>
      </c>
      <c r="N3345" s="12">
        <v>4935.8</v>
      </c>
      <c r="O3345" s="6">
        <f t="shared" ref="O3345:O3348" si="836">-N3345</f>
        <v>-4935.8</v>
      </c>
      <c r="P3345" s="12">
        <f t="shared" si="817"/>
        <v>0</v>
      </c>
      <c r="Q3345" s="7">
        <f t="shared" si="833"/>
        <v>5518369.0499999998</v>
      </c>
      <c r="R3345" s="44" t="str">
        <f>VLOOKUP(F3345,'Set up'!$A$2:$E$70,5,FALSE)</f>
        <v>Trsf</v>
      </c>
      <c r="S3345" s="1" t="s">
        <v>3572</v>
      </c>
    </row>
    <row r="3346" spans="1:19" ht="15" customHeight="1" x14ac:dyDescent="0.3">
      <c r="A3346" s="4">
        <v>45597</v>
      </c>
      <c r="B3346" s="5">
        <f t="shared" si="828"/>
        <v>11</v>
      </c>
      <c r="C3346" s="5">
        <f t="shared" si="829"/>
        <v>2024</v>
      </c>
      <c r="D3346" s="5" t="s">
        <v>3104</v>
      </c>
      <c r="E3346" s="5" t="str">
        <f>VLOOKUP(F3346,'Set up'!$A$2:$C$70,2,FALSE)</f>
        <v>C00000042</v>
      </c>
      <c r="F3346" s="1" t="s">
        <v>2012</v>
      </c>
      <c r="G3346" s="90" t="s">
        <v>1922</v>
      </c>
      <c r="H3346" s="5">
        <v>8</v>
      </c>
      <c r="I3346" s="5" t="str">
        <f>VLOOKUP(F3346,'Set up'!$A$2:$C$70,3,FALSE)</f>
        <v>Cash</v>
      </c>
      <c r="J3346" s="5">
        <f>VLOOKUP(F3346,'Set up'!$A$2:$D$70,4,FALSE)</f>
        <v>0</v>
      </c>
      <c r="K3346" s="4">
        <f t="shared" si="830"/>
        <v>45597</v>
      </c>
      <c r="L3346" s="5">
        <f t="shared" si="831"/>
        <v>11</v>
      </c>
      <c r="M3346" s="5">
        <f t="shared" si="832"/>
        <v>2024</v>
      </c>
      <c r="N3346" s="12">
        <v>1908</v>
      </c>
      <c r="O3346" s="6">
        <f t="shared" si="836"/>
        <v>-1908</v>
      </c>
      <c r="P3346" s="12">
        <f t="shared" si="817"/>
        <v>0</v>
      </c>
      <c r="Q3346" s="7">
        <f t="shared" si="833"/>
        <v>5520277.0499999998</v>
      </c>
      <c r="R3346" s="44" t="str">
        <f>VLOOKUP(F3346,'Set up'!$A$2:$E$70,5,FALSE)</f>
        <v>Trsf</v>
      </c>
      <c r="S3346" s="1" t="s">
        <v>3573</v>
      </c>
    </row>
    <row r="3347" spans="1:19" ht="15" customHeight="1" x14ac:dyDescent="0.3">
      <c r="A3347" s="4">
        <v>45597</v>
      </c>
      <c r="B3347" s="5">
        <f t="shared" si="828"/>
        <v>11</v>
      </c>
      <c r="C3347" s="5">
        <f t="shared" si="829"/>
        <v>2024</v>
      </c>
      <c r="D3347" s="5" t="s">
        <v>3104</v>
      </c>
      <c r="E3347" s="5" t="str">
        <f>VLOOKUP(F3347,'Set up'!$A$2:$C$70,2,FALSE)</f>
        <v>C00000042</v>
      </c>
      <c r="F3347" s="1" t="s">
        <v>2012</v>
      </c>
      <c r="G3347" s="90" t="s">
        <v>1061</v>
      </c>
      <c r="H3347" s="5">
        <v>4</v>
      </c>
      <c r="I3347" s="5" t="str">
        <f>VLOOKUP(F3347,'Set up'!$A$2:$C$70,3,FALSE)</f>
        <v>Cash</v>
      </c>
      <c r="J3347" s="5">
        <f>VLOOKUP(F3347,'Set up'!$A$2:$D$70,4,FALSE)</f>
        <v>0</v>
      </c>
      <c r="K3347" s="4">
        <f t="shared" si="830"/>
        <v>45597</v>
      </c>
      <c r="L3347" s="5">
        <f t="shared" si="831"/>
        <v>11</v>
      </c>
      <c r="M3347" s="5">
        <f t="shared" si="832"/>
        <v>2024</v>
      </c>
      <c r="N3347" s="12">
        <v>380</v>
      </c>
      <c r="O3347" s="6">
        <f t="shared" si="836"/>
        <v>-380</v>
      </c>
      <c r="P3347" s="12">
        <f t="shared" si="817"/>
        <v>0</v>
      </c>
      <c r="Q3347" s="7">
        <f t="shared" si="833"/>
        <v>5520657.0499999998</v>
      </c>
      <c r="R3347" s="44" t="str">
        <f>VLOOKUP(F3347,'Set up'!$A$2:$E$70,5,FALSE)</f>
        <v>Trsf</v>
      </c>
      <c r="S3347" s="1" t="s">
        <v>3574</v>
      </c>
    </row>
    <row r="3348" spans="1:19" ht="15" customHeight="1" x14ac:dyDescent="0.3">
      <c r="A3348" s="4">
        <v>45597</v>
      </c>
      <c r="B3348" s="5">
        <f t="shared" si="828"/>
        <v>11</v>
      </c>
      <c r="C3348" s="5">
        <f t="shared" si="829"/>
        <v>2024</v>
      </c>
      <c r="D3348" s="5" t="s">
        <v>3104</v>
      </c>
      <c r="E3348" s="5" t="str">
        <f>VLOOKUP(F3348,'Set up'!$A$2:$C$70,2,FALSE)</f>
        <v>C00000042</v>
      </c>
      <c r="F3348" s="1" t="s">
        <v>2012</v>
      </c>
      <c r="G3348" s="90" t="s">
        <v>1073</v>
      </c>
      <c r="H3348" s="5">
        <v>1</v>
      </c>
      <c r="I3348" s="5" t="str">
        <f>VLOOKUP(F3348,'Set up'!$A$2:$C$70,3,FALSE)</f>
        <v>Cash</v>
      </c>
      <c r="J3348" s="5">
        <f>VLOOKUP(F3348,'Set up'!$A$2:$D$70,4,FALSE)</f>
        <v>0</v>
      </c>
      <c r="K3348" s="4">
        <f t="shared" si="830"/>
        <v>45597</v>
      </c>
      <c r="L3348" s="5">
        <f t="shared" si="831"/>
        <v>11</v>
      </c>
      <c r="M3348" s="5">
        <f t="shared" si="832"/>
        <v>2024</v>
      </c>
      <c r="N3348" s="12">
        <v>1000</v>
      </c>
      <c r="O3348" s="6">
        <f t="shared" si="836"/>
        <v>-1000</v>
      </c>
      <c r="P3348" s="12">
        <f t="shared" si="817"/>
        <v>0</v>
      </c>
      <c r="Q3348" s="7">
        <f t="shared" si="833"/>
        <v>5521657.0499999998</v>
      </c>
      <c r="R3348" s="44" t="str">
        <f>VLOOKUP(F3348,'Set up'!$A$2:$E$70,5,FALSE)</f>
        <v>Trsf</v>
      </c>
      <c r="S3348" s="1" t="s">
        <v>3575</v>
      </c>
    </row>
    <row r="3349" spans="1:19" ht="15" customHeight="1" x14ac:dyDescent="0.3">
      <c r="A3349" s="4">
        <v>45600</v>
      </c>
      <c r="B3349" s="5">
        <f t="shared" si="828"/>
        <v>11</v>
      </c>
      <c r="C3349" s="5">
        <f t="shared" si="829"/>
        <v>2024</v>
      </c>
      <c r="D3349" s="5" t="s">
        <v>3105</v>
      </c>
      <c r="E3349" s="5" t="str">
        <f>VLOOKUP(F3349,'Set up'!$A$2:$C$70,2,FALSE)</f>
        <v>C00000005</v>
      </c>
      <c r="F3349" s="1" t="s">
        <v>35</v>
      </c>
      <c r="G3349" s="11" t="s">
        <v>3106</v>
      </c>
      <c r="H3349" s="5">
        <v>1</v>
      </c>
      <c r="I3349" s="5" t="str">
        <f>VLOOKUP(F3349,'Set up'!$A$2:$C$70,3,FALSE)</f>
        <v>Cash</v>
      </c>
      <c r="J3349" s="5">
        <f>VLOOKUP(F3349,'Set up'!$A$2:$D$70,4,FALSE)</f>
        <v>0</v>
      </c>
      <c r="K3349" s="4">
        <f t="shared" si="830"/>
        <v>45600</v>
      </c>
      <c r="L3349" s="5">
        <f t="shared" si="831"/>
        <v>11</v>
      </c>
      <c r="M3349" s="5">
        <f t="shared" si="832"/>
        <v>2024</v>
      </c>
      <c r="N3349" s="12">
        <v>475</v>
      </c>
      <c r="O3349" s="6">
        <f t="shared" ref="O3349:O3358" si="837">-N3349</f>
        <v>-475</v>
      </c>
      <c r="P3349" s="12">
        <f t="shared" ref="P3349:P3412" si="838">SUM(N3349+O3349)</f>
        <v>0</v>
      </c>
      <c r="Q3349" s="7">
        <f t="shared" si="833"/>
        <v>5522132.0499999998</v>
      </c>
      <c r="R3349" s="44" t="str">
        <f>VLOOKUP(F3349,'Set up'!$A$2:$E$70,5,FALSE)</f>
        <v>Chq</v>
      </c>
      <c r="S3349" s="1" t="s">
        <v>3187</v>
      </c>
    </row>
    <row r="3350" spans="1:19" ht="15" customHeight="1" x14ac:dyDescent="0.3">
      <c r="A3350" s="4">
        <v>45601</v>
      </c>
      <c r="B3350" s="5">
        <f t="shared" si="828"/>
        <v>11</v>
      </c>
      <c r="C3350" s="5">
        <f t="shared" si="829"/>
        <v>2024</v>
      </c>
      <c r="D3350" s="5" t="s">
        <v>3107</v>
      </c>
      <c r="E3350" s="5" t="str">
        <f>VLOOKUP(F3350,'Set up'!$A$2:$C$70,2,FALSE)</f>
        <v>C00000041</v>
      </c>
      <c r="F3350" s="1" t="s">
        <v>1704</v>
      </c>
      <c r="G3350" s="123" t="s">
        <v>46</v>
      </c>
      <c r="H3350" s="5">
        <v>1</v>
      </c>
      <c r="I3350" s="5" t="str">
        <f>VLOOKUP(F3350,'Set up'!$A$2:$C$70,3,FALSE)</f>
        <v>Cash</v>
      </c>
      <c r="J3350" s="5">
        <f>VLOOKUP(F3350,'Set up'!$A$2:$D$70,4,FALSE)</f>
        <v>0</v>
      </c>
      <c r="K3350" s="4">
        <f t="shared" si="830"/>
        <v>45601</v>
      </c>
      <c r="L3350" s="5">
        <f t="shared" si="831"/>
        <v>11</v>
      </c>
      <c r="M3350" s="5">
        <f t="shared" si="832"/>
        <v>2024</v>
      </c>
      <c r="N3350" s="12">
        <v>115</v>
      </c>
      <c r="O3350" s="6">
        <f t="shared" si="837"/>
        <v>-115</v>
      </c>
      <c r="P3350" s="12">
        <f t="shared" si="838"/>
        <v>0</v>
      </c>
      <c r="Q3350" s="7">
        <f t="shared" si="833"/>
        <v>5522247.0499999998</v>
      </c>
      <c r="R3350" s="44" t="str">
        <f>VLOOKUP(F3350,'Set up'!$A$2:$E$70,5,FALSE)</f>
        <v>Trsf</v>
      </c>
      <c r="S3350" s="1" t="s">
        <v>3189</v>
      </c>
    </row>
    <row r="3351" spans="1:19" ht="15" customHeight="1" x14ac:dyDescent="0.3">
      <c r="A3351" s="4">
        <v>45602</v>
      </c>
      <c r="B3351" s="5">
        <f t="shared" si="828"/>
        <v>11</v>
      </c>
      <c r="C3351" s="5">
        <f t="shared" si="829"/>
        <v>2024</v>
      </c>
      <c r="D3351" s="5" t="s">
        <v>3108</v>
      </c>
      <c r="E3351" s="5" t="str">
        <f>VLOOKUP(F3351,'Set up'!$A$2:$C$70,2,FALSE)</f>
        <v>C00000044</v>
      </c>
      <c r="F3351" s="1" t="s">
        <v>2929</v>
      </c>
      <c r="G3351" s="123" t="s">
        <v>1402</v>
      </c>
      <c r="H3351" s="5">
        <v>1</v>
      </c>
      <c r="I3351" s="5" t="str">
        <f>VLOOKUP(F3351,'Set up'!$A$2:$C$70,3,FALSE)</f>
        <v>Cash</v>
      </c>
      <c r="J3351" s="5">
        <f>VLOOKUP(F3351,'Set up'!$A$2:$D$70,4,FALSE)</f>
        <v>0</v>
      </c>
      <c r="K3351" s="4">
        <f t="shared" si="830"/>
        <v>45602</v>
      </c>
      <c r="L3351" s="5">
        <f t="shared" si="831"/>
        <v>11</v>
      </c>
      <c r="M3351" s="5">
        <f t="shared" si="832"/>
        <v>2024</v>
      </c>
      <c r="N3351" s="12">
        <v>1694</v>
      </c>
      <c r="O3351" s="6">
        <f t="shared" si="837"/>
        <v>-1694</v>
      </c>
      <c r="P3351" s="12">
        <f t="shared" si="838"/>
        <v>0</v>
      </c>
      <c r="Q3351" s="7">
        <f t="shared" si="833"/>
        <v>5523941.0499999998</v>
      </c>
      <c r="R3351" s="44" t="str">
        <f>VLOOKUP(F3351,'Set up'!$A$2:$E$70,5,FALSE)</f>
        <v>Cash</v>
      </c>
      <c r="S3351" s="1" t="s">
        <v>3190</v>
      </c>
    </row>
    <row r="3352" spans="1:19" ht="15" customHeight="1" x14ac:dyDescent="0.3">
      <c r="A3352" s="4">
        <v>45602</v>
      </c>
      <c r="B3352" s="5">
        <f t="shared" si="828"/>
        <v>11</v>
      </c>
      <c r="C3352" s="5">
        <f t="shared" si="829"/>
        <v>2024</v>
      </c>
      <c r="D3352" s="5" t="s">
        <v>3108</v>
      </c>
      <c r="E3352" s="5" t="str">
        <f>VLOOKUP(F3352,'Set up'!$A$2:$C$70,2,FALSE)</f>
        <v>C00000044</v>
      </c>
      <c r="F3352" s="1" t="s">
        <v>2929</v>
      </c>
      <c r="G3352" s="120" t="s">
        <v>2570</v>
      </c>
      <c r="H3352" s="5">
        <v>3</v>
      </c>
      <c r="I3352" s="5" t="str">
        <f>VLOOKUP(F3352,'Set up'!$A$2:$C$70,3,FALSE)</f>
        <v>Cash</v>
      </c>
      <c r="J3352" s="5">
        <f>VLOOKUP(F3352,'Set up'!$A$2:$D$70,4,FALSE)</f>
        <v>0</v>
      </c>
      <c r="K3352" s="4">
        <f t="shared" si="830"/>
        <v>45602</v>
      </c>
      <c r="L3352" s="5">
        <f t="shared" si="831"/>
        <v>11</v>
      </c>
      <c r="M3352" s="5">
        <f t="shared" si="832"/>
        <v>2024</v>
      </c>
      <c r="N3352" s="12">
        <v>648</v>
      </c>
      <c r="O3352" s="6">
        <f t="shared" si="837"/>
        <v>-648</v>
      </c>
      <c r="P3352" s="12">
        <f t="shared" si="838"/>
        <v>0</v>
      </c>
      <c r="Q3352" s="7">
        <f t="shared" si="833"/>
        <v>5524589.0499999998</v>
      </c>
      <c r="R3352" s="44" t="str">
        <f>VLOOKUP(F3352,'Set up'!$A$2:$E$70,5,FALSE)</f>
        <v>Cash</v>
      </c>
      <c r="S3352" s="1" t="s">
        <v>3190</v>
      </c>
    </row>
    <row r="3353" spans="1:19" ht="15" customHeight="1" x14ac:dyDescent="0.3">
      <c r="A3353" s="4">
        <v>45602</v>
      </c>
      <c r="B3353" s="5">
        <f t="shared" si="828"/>
        <v>11</v>
      </c>
      <c r="C3353" s="5">
        <f t="shared" si="829"/>
        <v>2024</v>
      </c>
      <c r="D3353" s="5" t="s">
        <v>3108</v>
      </c>
      <c r="E3353" s="5" t="str">
        <f>VLOOKUP(F3353,'Set up'!$A$2:$C$70,2,FALSE)</f>
        <v>C00000044</v>
      </c>
      <c r="F3353" s="1" t="s">
        <v>2929</v>
      </c>
      <c r="G3353" s="99" t="s">
        <v>1468</v>
      </c>
      <c r="H3353" s="5">
        <v>1</v>
      </c>
      <c r="I3353" s="5" t="str">
        <f>VLOOKUP(F3353,'Set up'!$A$2:$C$70,3,FALSE)</f>
        <v>Cash</v>
      </c>
      <c r="J3353" s="5">
        <f>VLOOKUP(F3353,'Set up'!$A$2:$D$70,4,FALSE)</f>
        <v>0</v>
      </c>
      <c r="K3353" s="4">
        <f t="shared" si="830"/>
        <v>45602</v>
      </c>
      <c r="L3353" s="5">
        <f t="shared" si="831"/>
        <v>11</v>
      </c>
      <c r="M3353" s="5">
        <f t="shared" si="832"/>
        <v>2024</v>
      </c>
      <c r="N3353" s="12">
        <v>325</v>
      </c>
      <c r="O3353" s="6">
        <f t="shared" si="837"/>
        <v>-325</v>
      </c>
      <c r="P3353" s="12">
        <f t="shared" si="838"/>
        <v>0</v>
      </c>
      <c r="Q3353" s="7">
        <f t="shared" si="833"/>
        <v>5524914.0499999998</v>
      </c>
      <c r="R3353" s="44" t="str">
        <f>VLOOKUP(F3353,'Set up'!$A$2:$E$70,5,FALSE)</f>
        <v>Cash</v>
      </c>
      <c r="S3353" s="1" t="s">
        <v>3190</v>
      </c>
    </row>
    <row r="3354" spans="1:19" ht="15" customHeight="1" x14ac:dyDescent="0.3">
      <c r="A3354" s="4">
        <v>45602</v>
      </c>
      <c r="B3354" s="5">
        <f t="shared" si="828"/>
        <v>11</v>
      </c>
      <c r="C3354" s="5">
        <f t="shared" si="829"/>
        <v>2024</v>
      </c>
      <c r="D3354" s="5" t="s">
        <v>3108</v>
      </c>
      <c r="E3354" s="5" t="str">
        <f>VLOOKUP(F3354,'Set up'!$A$2:$C$70,2,FALSE)</f>
        <v>C00000044</v>
      </c>
      <c r="F3354" s="1" t="s">
        <v>2929</v>
      </c>
      <c r="G3354" s="99" t="s">
        <v>949</v>
      </c>
      <c r="H3354" s="5">
        <v>1</v>
      </c>
      <c r="I3354" s="5" t="str">
        <f>VLOOKUP(F3354,'Set up'!$A$2:$C$70,3,FALSE)</f>
        <v>Cash</v>
      </c>
      <c r="J3354" s="5">
        <f>VLOOKUP(F3354,'Set up'!$A$2:$D$70,4,FALSE)</f>
        <v>0</v>
      </c>
      <c r="K3354" s="4">
        <f t="shared" si="830"/>
        <v>45602</v>
      </c>
      <c r="L3354" s="5">
        <f t="shared" si="831"/>
        <v>11</v>
      </c>
      <c r="M3354" s="5">
        <f t="shared" si="832"/>
        <v>2024</v>
      </c>
      <c r="N3354" s="12">
        <v>60</v>
      </c>
      <c r="O3354" s="6">
        <f t="shared" si="837"/>
        <v>-60</v>
      </c>
      <c r="P3354" s="12">
        <f t="shared" si="838"/>
        <v>0</v>
      </c>
      <c r="Q3354" s="7">
        <f t="shared" si="833"/>
        <v>5524974.0499999998</v>
      </c>
      <c r="R3354" s="44" t="str">
        <f>VLOOKUP(F3354,'Set up'!$A$2:$E$70,5,FALSE)</f>
        <v>Cash</v>
      </c>
      <c r="S3354" s="1" t="s">
        <v>3190</v>
      </c>
    </row>
    <row r="3355" spans="1:19" ht="15" customHeight="1" x14ac:dyDescent="0.3">
      <c r="A3355" s="4">
        <v>45602</v>
      </c>
      <c r="B3355" s="5">
        <f t="shared" si="828"/>
        <v>11</v>
      </c>
      <c r="C3355" s="5">
        <f t="shared" si="829"/>
        <v>2024</v>
      </c>
      <c r="D3355" s="5" t="s">
        <v>3108</v>
      </c>
      <c r="E3355" s="5" t="str">
        <f>VLOOKUP(F3355,'Set up'!$A$2:$C$70,2,FALSE)</f>
        <v>C00000044</v>
      </c>
      <c r="F3355" s="1" t="s">
        <v>2929</v>
      </c>
      <c r="G3355" s="120" t="s">
        <v>1715</v>
      </c>
      <c r="H3355" s="5">
        <v>1</v>
      </c>
      <c r="I3355" s="5" t="str">
        <f>VLOOKUP(F3355,'Set up'!$A$2:$C$70,3,FALSE)</f>
        <v>Cash</v>
      </c>
      <c r="J3355" s="5">
        <f>VLOOKUP(F3355,'Set up'!$A$2:$D$70,4,FALSE)</f>
        <v>0</v>
      </c>
      <c r="K3355" s="4">
        <f t="shared" si="830"/>
        <v>45602</v>
      </c>
      <c r="L3355" s="5">
        <f t="shared" si="831"/>
        <v>11</v>
      </c>
      <c r="M3355" s="5">
        <f t="shared" si="832"/>
        <v>2024</v>
      </c>
      <c r="N3355" s="12">
        <v>165</v>
      </c>
      <c r="O3355" s="6">
        <f t="shared" si="837"/>
        <v>-165</v>
      </c>
      <c r="P3355" s="12">
        <f t="shared" si="838"/>
        <v>0</v>
      </c>
      <c r="Q3355" s="7">
        <f t="shared" si="833"/>
        <v>5525139.0499999998</v>
      </c>
      <c r="R3355" s="44" t="str">
        <f>VLOOKUP(F3355,'Set up'!$A$2:$E$70,5,FALSE)</f>
        <v>Cash</v>
      </c>
      <c r="S3355" s="1" t="s">
        <v>3190</v>
      </c>
    </row>
    <row r="3356" spans="1:19" ht="15" customHeight="1" x14ac:dyDescent="0.3">
      <c r="A3356" s="4">
        <v>45602</v>
      </c>
      <c r="B3356" s="5">
        <f t="shared" si="828"/>
        <v>11</v>
      </c>
      <c r="C3356" s="5">
        <f t="shared" si="829"/>
        <v>2024</v>
      </c>
      <c r="D3356" s="5" t="s">
        <v>3108</v>
      </c>
      <c r="E3356" s="5" t="str">
        <f>VLOOKUP(F3356,'Set up'!$A$2:$C$70,2,FALSE)</f>
        <v>C00000044</v>
      </c>
      <c r="F3356" s="1" t="s">
        <v>2929</v>
      </c>
      <c r="G3356" s="120" t="s">
        <v>3109</v>
      </c>
      <c r="H3356" s="5">
        <v>1</v>
      </c>
      <c r="I3356" s="5" t="str">
        <f>VLOOKUP(F3356,'Set up'!$A$2:$C$70,3,FALSE)</f>
        <v>Cash</v>
      </c>
      <c r="J3356" s="5">
        <f>VLOOKUP(F3356,'Set up'!$A$2:$D$70,4,FALSE)</f>
        <v>0</v>
      </c>
      <c r="K3356" s="4">
        <f t="shared" si="830"/>
        <v>45602</v>
      </c>
      <c r="L3356" s="5">
        <f t="shared" si="831"/>
        <v>11</v>
      </c>
      <c r="M3356" s="5">
        <f t="shared" si="832"/>
        <v>2024</v>
      </c>
      <c r="N3356" s="12">
        <v>240</v>
      </c>
      <c r="O3356" s="6">
        <f t="shared" si="837"/>
        <v>-240</v>
      </c>
      <c r="P3356" s="12">
        <f t="shared" si="838"/>
        <v>0</v>
      </c>
      <c r="Q3356" s="7">
        <f t="shared" si="833"/>
        <v>5525379.0499999998</v>
      </c>
      <c r="R3356" s="44" t="str">
        <f>VLOOKUP(F3356,'Set up'!$A$2:$E$70,5,FALSE)</f>
        <v>Cash</v>
      </c>
      <c r="S3356" s="1" t="s">
        <v>3190</v>
      </c>
    </row>
    <row r="3357" spans="1:19" ht="15" customHeight="1" x14ac:dyDescent="0.3">
      <c r="A3357" s="4">
        <v>45601</v>
      </c>
      <c r="B3357" s="5">
        <f t="shared" si="828"/>
        <v>11</v>
      </c>
      <c r="C3357" s="5">
        <f t="shared" si="829"/>
        <v>2024</v>
      </c>
      <c r="D3357" s="5" t="s">
        <v>3110</v>
      </c>
      <c r="E3357" s="5" t="str">
        <f>VLOOKUP(F3357,'Set up'!$A$2:$C$70,2,FALSE)</f>
        <v>C00000042</v>
      </c>
      <c r="F3357" s="1" t="s">
        <v>2012</v>
      </c>
      <c r="G3357" s="103" t="s">
        <v>1073</v>
      </c>
      <c r="H3357" s="5">
        <v>2</v>
      </c>
      <c r="I3357" s="5" t="str">
        <f>VLOOKUP(F3357,'Set up'!$A$2:$C$70,3,FALSE)</f>
        <v>Cash</v>
      </c>
      <c r="J3357" s="5">
        <f>VLOOKUP(F3357,'Set up'!$A$2:$D$70,4,FALSE)</f>
        <v>0</v>
      </c>
      <c r="K3357" s="4">
        <f t="shared" si="830"/>
        <v>45601</v>
      </c>
      <c r="L3357" s="5">
        <f t="shared" si="831"/>
        <v>11</v>
      </c>
      <c r="M3357" s="5">
        <f t="shared" si="832"/>
        <v>2024</v>
      </c>
      <c r="N3357" s="12">
        <v>2000</v>
      </c>
      <c r="O3357" s="6">
        <f t="shared" si="837"/>
        <v>-2000</v>
      </c>
      <c r="P3357" s="12">
        <f t="shared" si="838"/>
        <v>0</v>
      </c>
      <c r="Q3357" s="7">
        <f t="shared" si="833"/>
        <v>5527379.0499999998</v>
      </c>
      <c r="R3357" s="44" t="str">
        <f>VLOOKUP(F3357,'Set up'!$A$2:$E$70,5,FALSE)</f>
        <v>Trsf</v>
      </c>
      <c r="S3357" s="1" t="s">
        <v>3576</v>
      </c>
    </row>
    <row r="3358" spans="1:19" ht="15" customHeight="1" x14ac:dyDescent="0.3">
      <c r="A3358" s="4">
        <v>45603</v>
      </c>
      <c r="B3358" s="5">
        <f t="shared" si="828"/>
        <v>11</v>
      </c>
      <c r="C3358" s="5">
        <f t="shared" si="829"/>
        <v>2024</v>
      </c>
      <c r="D3358" s="5" t="s">
        <v>3111</v>
      </c>
      <c r="E3358" s="5" t="str">
        <f>VLOOKUP(F3358,'Set up'!$A$2:$C$70,2,FALSE)</f>
        <v>C00000042</v>
      </c>
      <c r="F3358" s="1" t="s">
        <v>2012</v>
      </c>
      <c r="G3358" s="103" t="s">
        <v>2646</v>
      </c>
      <c r="H3358" s="5">
        <v>8</v>
      </c>
      <c r="I3358" s="5" t="str">
        <f>VLOOKUP(F3358,'Set up'!$A$2:$C$70,3,FALSE)</f>
        <v>Cash</v>
      </c>
      <c r="J3358" s="5">
        <f>VLOOKUP(F3358,'Set up'!$A$2:$D$70,4,FALSE)</f>
        <v>0</v>
      </c>
      <c r="K3358" s="4">
        <f t="shared" si="830"/>
        <v>45603</v>
      </c>
      <c r="L3358" s="5">
        <f t="shared" si="831"/>
        <v>11</v>
      </c>
      <c r="M3358" s="5">
        <f t="shared" si="832"/>
        <v>2024</v>
      </c>
      <c r="N3358" s="12">
        <v>500</v>
      </c>
      <c r="O3358" s="6">
        <f t="shared" si="837"/>
        <v>-500</v>
      </c>
      <c r="P3358" s="12">
        <f t="shared" si="838"/>
        <v>0</v>
      </c>
      <c r="Q3358" s="7">
        <f t="shared" si="833"/>
        <v>5527879.0499999998</v>
      </c>
      <c r="R3358" s="44" t="str">
        <f>VLOOKUP(F3358,'Set up'!$A$2:$E$70,5,FALSE)</f>
        <v>Trsf</v>
      </c>
      <c r="S3358" s="1" t="s">
        <v>3577</v>
      </c>
    </row>
    <row r="3359" spans="1:19" ht="15" customHeight="1" x14ac:dyDescent="0.3">
      <c r="A3359" s="4">
        <v>45603</v>
      </c>
      <c r="B3359" s="5">
        <f t="shared" si="828"/>
        <v>11</v>
      </c>
      <c r="C3359" s="5">
        <f t="shared" si="829"/>
        <v>2024</v>
      </c>
      <c r="D3359" s="5" t="s">
        <v>3112</v>
      </c>
      <c r="E3359" s="5" t="str">
        <f>VLOOKUP(F3359,'Set up'!$A$2:$C$70,2,FALSE)</f>
        <v>C00000042</v>
      </c>
      <c r="F3359" s="1" t="s">
        <v>2012</v>
      </c>
      <c r="G3359" s="128" t="s">
        <v>2552</v>
      </c>
      <c r="H3359" s="5">
        <v>7</v>
      </c>
      <c r="I3359" s="5" t="str">
        <f>VLOOKUP(F3359,'Set up'!$A$2:$C$70,3,FALSE)</f>
        <v>Cash</v>
      </c>
      <c r="J3359" s="5">
        <f>VLOOKUP(F3359,'Set up'!$A$2:$D$70,4,FALSE)</f>
        <v>0</v>
      </c>
      <c r="K3359" s="4">
        <f t="shared" si="830"/>
        <v>45603</v>
      </c>
      <c r="L3359" s="5">
        <f t="shared" si="831"/>
        <v>11</v>
      </c>
      <c r="M3359" s="5">
        <f t="shared" si="832"/>
        <v>2024</v>
      </c>
      <c r="N3359" s="12">
        <v>11242</v>
      </c>
      <c r="O3359" s="12">
        <f>-5417.6-5824.4</f>
        <v>-11242</v>
      </c>
      <c r="P3359" s="12">
        <f t="shared" si="838"/>
        <v>0</v>
      </c>
      <c r="Q3359" s="7">
        <f t="shared" si="833"/>
        <v>5539121.0499999998</v>
      </c>
      <c r="R3359" s="44" t="str">
        <f>VLOOKUP(F3359,'Set up'!$A$2:$E$70,5,FALSE)</f>
        <v>Trsf</v>
      </c>
      <c r="S3359" s="1" t="s">
        <v>3586</v>
      </c>
    </row>
    <row r="3360" spans="1:19" ht="15" customHeight="1" x14ac:dyDescent="0.3">
      <c r="A3360" s="4">
        <v>45603</v>
      </c>
      <c r="B3360" s="5">
        <f t="shared" si="828"/>
        <v>11</v>
      </c>
      <c r="C3360" s="5">
        <f t="shared" si="829"/>
        <v>2024</v>
      </c>
      <c r="D3360" s="5" t="s">
        <v>3112</v>
      </c>
      <c r="E3360" s="5" t="str">
        <f>VLOOKUP(F3360,'Set up'!$A$2:$C$70,2,FALSE)</f>
        <v>C00000042</v>
      </c>
      <c r="F3360" s="1" t="s">
        <v>2012</v>
      </c>
      <c r="G3360" s="128" t="s">
        <v>3113</v>
      </c>
      <c r="H3360" s="5">
        <v>1</v>
      </c>
      <c r="I3360" s="5" t="str">
        <f>VLOOKUP(F3360,'Set up'!$A$2:$C$70,3,FALSE)</f>
        <v>Cash</v>
      </c>
      <c r="J3360" s="5">
        <f>VLOOKUP(F3360,'Set up'!$A$2:$D$70,4,FALSE)</f>
        <v>0</v>
      </c>
      <c r="K3360" s="4">
        <f t="shared" si="830"/>
        <v>45603</v>
      </c>
      <c r="L3360" s="5">
        <f t="shared" si="831"/>
        <v>11</v>
      </c>
      <c r="M3360" s="5">
        <f t="shared" si="832"/>
        <v>2024</v>
      </c>
      <c r="N3360" s="12">
        <v>1642.5</v>
      </c>
      <c r="O3360" s="6">
        <f t="shared" ref="O3360:O3363" si="839">-N3360</f>
        <v>-1642.5</v>
      </c>
      <c r="P3360" s="12">
        <f t="shared" si="838"/>
        <v>0</v>
      </c>
      <c r="Q3360" s="7">
        <f t="shared" si="833"/>
        <v>5540763.5499999998</v>
      </c>
      <c r="R3360" s="44" t="str">
        <f>VLOOKUP(F3360,'Set up'!$A$2:$E$70,5,FALSE)</f>
        <v>Trsf</v>
      </c>
      <c r="S3360" s="1" t="s">
        <v>3578</v>
      </c>
    </row>
    <row r="3361" spans="1:19" ht="15" customHeight="1" x14ac:dyDescent="0.3">
      <c r="A3361" s="4">
        <v>45603</v>
      </c>
      <c r="B3361" s="5">
        <f t="shared" si="828"/>
        <v>11</v>
      </c>
      <c r="C3361" s="5">
        <f t="shared" si="829"/>
        <v>2024</v>
      </c>
      <c r="D3361" s="5" t="s">
        <v>3112</v>
      </c>
      <c r="E3361" s="5" t="str">
        <f>VLOOKUP(F3361,'Set up'!$A$2:$C$70,2,FALSE)</f>
        <v>C00000042</v>
      </c>
      <c r="F3361" s="1" t="s">
        <v>2012</v>
      </c>
      <c r="G3361" s="90" t="s">
        <v>1543</v>
      </c>
      <c r="H3361" s="5">
        <v>13</v>
      </c>
      <c r="I3361" s="5" t="str">
        <f>VLOOKUP(F3361,'Set up'!$A$2:$C$70,3,FALSE)</f>
        <v>Cash</v>
      </c>
      <c r="J3361" s="5">
        <f>VLOOKUP(F3361,'Set up'!$A$2:$D$70,4,FALSE)</f>
        <v>0</v>
      </c>
      <c r="K3361" s="4">
        <f t="shared" si="830"/>
        <v>45603</v>
      </c>
      <c r="L3361" s="5">
        <f t="shared" si="831"/>
        <v>11</v>
      </c>
      <c r="M3361" s="5">
        <f t="shared" si="832"/>
        <v>2024</v>
      </c>
      <c r="N3361" s="12">
        <v>2262</v>
      </c>
      <c r="O3361" s="6">
        <f t="shared" si="839"/>
        <v>-2262</v>
      </c>
      <c r="P3361" s="12">
        <f t="shared" si="838"/>
        <v>0</v>
      </c>
      <c r="Q3361" s="7">
        <f t="shared" si="833"/>
        <v>5543025.5499999998</v>
      </c>
      <c r="R3361" s="44" t="str">
        <f>VLOOKUP(F3361,'Set up'!$A$2:$E$70,5,FALSE)</f>
        <v>Trsf</v>
      </c>
      <c r="S3361" s="1" t="s">
        <v>3579</v>
      </c>
    </row>
    <row r="3362" spans="1:19" ht="15" customHeight="1" x14ac:dyDescent="0.3">
      <c r="A3362" s="4">
        <v>45603</v>
      </c>
      <c r="B3362" s="5">
        <f t="shared" si="828"/>
        <v>11</v>
      </c>
      <c r="C3362" s="5">
        <f t="shared" si="829"/>
        <v>2024</v>
      </c>
      <c r="D3362" s="5" t="s">
        <v>3112</v>
      </c>
      <c r="E3362" s="5" t="str">
        <f>VLOOKUP(F3362,'Set up'!$A$2:$C$70,2,FALSE)</f>
        <v>C00000042</v>
      </c>
      <c r="F3362" s="1" t="s">
        <v>2012</v>
      </c>
      <c r="G3362" s="90" t="s">
        <v>1922</v>
      </c>
      <c r="H3362" s="5">
        <v>7</v>
      </c>
      <c r="I3362" s="5" t="str">
        <f>VLOOKUP(F3362,'Set up'!$A$2:$C$70,3,FALSE)</f>
        <v>Cash</v>
      </c>
      <c r="J3362" s="5">
        <f>VLOOKUP(F3362,'Set up'!$A$2:$D$70,4,FALSE)</f>
        <v>0</v>
      </c>
      <c r="K3362" s="4">
        <f t="shared" si="830"/>
        <v>45603</v>
      </c>
      <c r="L3362" s="5">
        <f t="shared" si="831"/>
        <v>11</v>
      </c>
      <c r="M3362" s="5">
        <f t="shared" si="832"/>
        <v>2024</v>
      </c>
      <c r="N3362" s="12">
        <v>1669.5</v>
      </c>
      <c r="O3362" s="6">
        <f t="shared" si="839"/>
        <v>-1669.5</v>
      </c>
      <c r="P3362" s="12">
        <f t="shared" si="838"/>
        <v>0</v>
      </c>
      <c r="Q3362" s="7">
        <f t="shared" si="833"/>
        <v>5544695.0499999998</v>
      </c>
      <c r="R3362" s="44" t="str">
        <f>VLOOKUP(F3362,'Set up'!$A$2:$E$70,5,FALSE)</f>
        <v>Trsf</v>
      </c>
      <c r="S3362" s="1" t="s">
        <v>3580</v>
      </c>
    </row>
    <row r="3363" spans="1:19" ht="15" customHeight="1" x14ac:dyDescent="0.3">
      <c r="A3363" s="4">
        <v>45603</v>
      </c>
      <c r="B3363" s="5">
        <f t="shared" si="828"/>
        <v>11</v>
      </c>
      <c r="C3363" s="5">
        <f t="shared" si="829"/>
        <v>2024</v>
      </c>
      <c r="D3363" s="5" t="s">
        <v>3112</v>
      </c>
      <c r="E3363" s="5" t="str">
        <f>VLOOKUP(F3363,'Set up'!$A$2:$C$70,2,FALSE)</f>
        <v>C00000042</v>
      </c>
      <c r="F3363" s="1" t="s">
        <v>2012</v>
      </c>
      <c r="G3363" s="90" t="s">
        <v>1061</v>
      </c>
      <c r="H3363" s="5">
        <v>4</v>
      </c>
      <c r="I3363" s="5" t="str">
        <f>VLOOKUP(F3363,'Set up'!$A$2:$C$70,3,FALSE)</f>
        <v>Cash</v>
      </c>
      <c r="J3363" s="5">
        <f>VLOOKUP(F3363,'Set up'!$A$2:$D$70,4,FALSE)</f>
        <v>0</v>
      </c>
      <c r="K3363" s="4">
        <f t="shared" si="830"/>
        <v>45603</v>
      </c>
      <c r="L3363" s="5">
        <f t="shared" si="831"/>
        <v>11</v>
      </c>
      <c r="M3363" s="5">
        <f t="shared" si="832"/>
        <v>2024</v>
      </c>
      <c r="N3363" s="12">
        <v>380</v>
      </c>
      <c r="O3363" s="6">
        <f t="shared" si="839"/>
        <v>-380</v>
      </c>
      <c r="P3363" s="12">
        <f t="shared" si="838"/>
        <v>0</v>
      </c>
      <c r="Q3363" s="7">
        <f t="shared" si="833"/>
        <v>5545075.0499999998</v>
      </c>
      <c r="R3363" s="44" t="str">
        <f>VLOOKUP(F3363,'Set up'!$A$2:$E$70,5,FALSE)</f>
        <v>Trsf</v>
      </c>
      <c r="S3363" s="1" t="s">
        <v>3581</v>
      </c>
    </row>
    <row r="3364" spans="1:19" ht="15" customHeight="1" x14ac:dyDescent="0.3">
      <c r="A3364" s="4">
        <v>45604</v>
      </c>
      <c r="B3364" s="5">
        <f t="shared" si="828"/>
        <v>11</v>
      </c>
      <c r="C3364" s="5">
        <f t="shared" si="829"/>
        <v>2024</v>
      </c>
      <c r="D3364" s="5" t="s">
        <v>3114</v>
      </c>
      <c r="E3364" s="5" t="str">
        <f>VLOOKUP(F3364,'Set up'!$A$2:$C$70,2,FALSE)</f>
        <v>C00000050</v>
      </c>
      <c r="F3364" s="1" t="s">
        <v>2656</v>
      </c>
      <c r="G3364" s="100" t="s">
        <v>3115</v>
      </c>
      <c r="H3364" s="5">
        <v>1</v>
      </c>
      <c r="I3364" s="5" t="str">
        <f>VLOOKUP(F3364,'Set up'!$A$2:$C$70,3,FALSE)</f>
        <v>Cash</v>
      </c>
      <c r="J3364" s="5">
        <f>VLOOKUP(F3364,'Set up'!$A$2:$D$70,4,FALSE)</f>
        <v>0</v>
      </c>
      <c r="K3364" s="4">
        <f t="shared" si="830"/>
        <v>45604</v>
      </c>
      <c r="L3364" s="5">
        <f t="shared" si="831"/>
        <v>11</v>
      </c>
      <c r="M3364" s="5">
        <f t="shared" si="832"/>
        <v>2024</v>
      </c>
      <c r="N3364" s="12">
        <v>1738</v>
      </c>
      <c r="O3364" s="6">
        <f t="shared" ref="O3364:O3367" si="840">-N3364</f>
        <v>-1738</v>
      </c>
      <c r="P3364" s="12">
        <f t="shared" si="838"/>
        <v>0</v>
      </c>
      <c r="Q3364" s="7">
        <f t="shared" si="833"/>
        <v>5546813.0499999998</v>
      </c>
      <c r="R3364" s="44" t="str">
        <f>VLOOKUP(F3364,'Set up'!$A$2:$E$70,5,FALSE)</f>
        <v>Cash</v>
      </c>
      <c r="S3364" s="1" t="s">
        <v>3197</v>
      </c>
    </row>
    <row r="3365" spans="1:19" ht="15" customHeight="1" x14ac:dyDescent="0.3">
      <c r="A3365" s="4">
        <v>45604</v>
      </c>
      <c r="B3365" s="5">
        <f t="shared" si="828"/>
        <v>11</v>
      </c>
      <c r="C3365" s="5">
        <f t="shared" si="829"/>
        <v>2024</v>
      </c>
      <c r="D3365" s="5" t="s">
        <v>3114</v>
      </c>
      <c r="E3365" s="5" t="str">
        <f>VLOOKUP(F3365,'Set up'!$A$2:$C$70,2,FALSE)</f>
        <v>C00000050</v>
      </c>
      <c r="F3365" s="1" t="s">
        <v>2656</v>
      </c>
      <c r="G3365" s="99" t="s">
        <v>3116</v>
      </c>
      <c r="H3365" s="5">
        <v>2</v>
      </c>
      <c r="I3365" s="5" t="str">
        <f>VLOOKUP(F3365,'Set up'!$A$2:$C$70,3,FALSE)</f>
        <v>Cash</v>
      </c>
      <c r="J3365" s="5">
        <f>VLOOKUP(F3365,'Set up'!$A$2:$D$70,4,FALSE)</f>
        <v>0</v>
      </c>
      <c r="K3365" s="4">
        <f t="shared" si="830"/>
        <v>45604</v>
      </c>
      <c r="L3365" s="5">
        <f t="shared" si="831"/>
        <v>11</v>
      </c>
      <c r="M3365" s="5">
        <f t="shared" si="832"/>
        <v>2024</v>
      </c>
      <c r="N3365" s="12">
        <v>555</v>
      </c>
      <c r="O3365" s="6">
        <f t="shared" si="840"/>
        <v>-555</v>
      </c>
      <c r="P3365" s="12">
        <f t="shared" si="838"/>
        <v>0</v>
      </c>
      <c r="Q3365" s="7">
        <f t="shared" si="833"/>
        <v>5547368.0499999998</v>
      </c>
      <c r="R3365" s="44" t="str">
        <f>VLOOKUP(F3365,'Set up'!$A$2:$E$70,5,FALSE)</f>
        <v>Cash</v>
      </c>
      <c r="S3365" s="1" t="s">
        <v>3197</v>
      </c>
    </row>
    <row r="3366" spans="1:19" ht="15" customHeight="1" x14ac:dyDescent="0.3">
      <c r="A3366" s="4">
        <v>45604</v>
      </c>
      <c r="B3366" s="5">
        <f t="shared" si="828"/>
        <v>11</v>
      </c>
      <c r="C3366" s="5">
        <f t="shared" si="829"/>
        <v>2024</v>
      </c>
      <c r="D3366" s="5" t="s">
        <v>3114</v>
      </c>
      <c r="E3366" s="5" t="str">
        <f>VLOOKUP(F3366,'Set up'!$A$2:$C$70,2,FALSE)</f>
        <v>C00000050</v>
      </c>
      <c r="F3366" s="1" t="s">
        <v>2656</v>
      </c>
      <c r="G3366" s="99" t="s">
        <v>1061</v>
      </c>
      <c r="H3366" s="5">
        <v>1</v>
      </c>
      <c r="I3366" s="5" t="str">
        <f>VLOOKUP(F3366,'Set up'!$A$2:$C$70,3,FALSE)</f>
        <v>Cash</v>
      </c>
      <c r="J3366" s="5">
        <f>VLOOKUP(F3366,'Set up'!$A$2:$D$70,4,FALSE)</f>
        <v>0</v>
      </c>
      <c r="K3366" s="4">
        <f t="shared" si="830"/>
        <v>45604</v>
      </c>
      <c r="L3366" s="5">
        <f t="shared" si="831"/>
        <v>11</v>
      </c>
      <c r="M3366" s="5">
        <f t="shared" si="832"/>
        <v>2024</v>
      </c>
      <c r="N3366" s="12">
        <v>95</v>
      </c>
      <c r="O3366" s="6">
        <f t="shared" si="840"/>
        <v>-95</v>
      </c>
      <c r="P3366" s="12">
        <f t="shared" si="838"/>
        <v>0</v>
      </c>
      <c r="Q3366" s="7">
        <f t="shared" si="833"/>
        <v>5547463.0499999998</v>
      </c>
      <c r="R3366" s="44" t="str">
        <f>VLOOKUP(F3366,'Set up'!$A$2:$E$70,5,FALSE)</f>
        <v>Cash</v>
      </c>
      <c r="S3366" s="1" t="s">
        <v>3197</v>
      </c>
    </row>
    <row r="3367" spans="1:19" ht="15" customHeight="1" x14ac:dyDescent="0.3">
      <c r="A3367" s="4">
        <v>45604</v>
      </c>
      <c r="B3367" s="5">
        <f t="shared" si="828"/>
        <v>11</v>
      </c>
      <c r="C3367" s="5">
        <f t="shared" si="829"/>
        <v>2024</v>
      </c>
      <c r="D3367" s="5" t="s">
        <v>3114</v>
      </c>
      <c r="E3367" s="5" t="str">
        <f>VLOOKUP(F3367,'Set up'!$A$2:$C$70,2,FALSE)</f>
        <v>C00000050</v>
      </c>
      <c r="F3367" s="1" t="s">
        <v>2656</v>
      </c>
      <c r="G3367" s="90" t="s">
        <v>2646</v>
      </c>
      <c r="H3367" s="5">
        <v>5</v>
      </c>
      <c r="I3367" s="5" t="str">
        <f>VLOOKUP(F3367,'Set up'!$A$2:$C$70,3,FALSE)</f>
        <v>Cash</v>
      </c>
      <c r="J3367" s="5">
        <f>VLOOKUP(F3367,'Set up'!$A$2:$D$70,4,FALSE)</f>
        <v>0</v>
      </c>
      <c r="K3367" s="4">
        <f t="shared" si="830"/>
        <v>45604</v>
      </c>
      <c r="L3367" s="5">
        <f t="shared" si="831"/>
        <v>11</v>
      </c>
      <c r="M3367" s="5">
        <f t="shared" si="832"/>
        <v>2024</v>
      </c>
      <c r="N3367" s="12">
        <v>312.5</v>
      </c>
      <c r="O3367" s="6">
        <f t="shared" si="840"/>
        <v>-312.5</v>
      </c>
      <c r="P3367" s="12">
        <f t="shared" si="838"/>
        <v>0</v>
      </c>
      <c r="Q3367" s="7">
        <f t="shared" si="833"/>
        <v>5547775.5499999998</v>
      </c>
      <c r="R3367" s="44" t="str">
        <f>VLOOKUP(F3367,'Set up'!$A$2:$E$70,5,FALSE)</f>
        <v>Cash</v>
      </c>
      <c r="S3367" s="1" t="s">
        <v>3197</v>
      </c>
    </row>
    <row r="3368" spans="1:19" ht="15" customHeight="1" x14ac:dyDescent="0.3">
      <c r="A3368" s="4">
        <v>45605</v>
      </c>
      <c r="B3368" s="5">
        <f t="shared" si="828"/>
        <v>11</v>
      </c>
      <c r="C3368" s="5">
        <f t="shared" si="829"/>
        <v>2024</v>
      </c>
      <c r="D3368" s="5" t="s">
        <v>3117</v>
      </c>
      <c r="E3368" s="5" t="str">
        <f>VLOOKUP(F3368,'Set up'!$A$2:$C$70,2,FALSE)</f>
        <v>C00000019</v>
      </c>
      <c r="F3368" s="1" t="s">
        <v>400</v>
      </c>
      <c r="G3368" s="90" t="s">
        <v>46</v>
      </c>
      <c r="H3368" s="5">
        <v>1</v>
      </c>
      <c r="I3368" s="5" t="str">
        <f>VLOOKUP(F3368,'Set up'!$A$2:$C$70,3,FALSE)</f>
        <v>Cash</v>
      </c>
      <c r="J3368" s="5">
        <f>VLOOKUP(F3368,'Set up'!$A$2:$D$70,4,FALSE)</f>
        <v>0</v>
      </c>
      <c r="K3368" s="4">
        <f t="shared" si="830"/>
        <v>45605</v>
      </c>
      <c r="L3368" s="5">
        <f t="shared" si="831"/>
        <v>11</v>
      </c>
      <c r="M3368" s="5">
        <f t="shared" si="832"/>
        <v>2024</v>
      </c>
      <c r="N3368" s="12">
        <v>110</v>
      </c>
      <c r="O3368" s="12"/>
      <c r="P3368" s="12">
        <f t="shared" si="838"/>
        <v>110</v>
      </c>
      <c r="Q3368" s="7">
        <f t="shared" si="833"/>
        <v>5547885.5499999998</v>
      </c>
      <c r="R3368" s="44" t="str">
        <f>VLOOKUP(F3368,'Set up'!$A$2:$E$70,5,FALSE)</f>
        <v>Trsf</v>
      </c>
    </row>
    <row r="3369" spans="1:19" ht="15" customHeight="1" x14ac:dyDescent="0.3">
      <c r="A3369" s="4">
        <v>45605</v>
      </c>
      <c r="B3369" s="5">
        <f t="shared" si="828"/>
        <v>11</v>
      </c>
      <c r="C3369" s="5">
        <f t="shared" si="829"/>
        <v>2024</v>
      </c>
      <c r="D3369" s="5" t="s">
        <v>3117</v>
      </c>
      <c r="E3369" s="5" t="str">
        <f>VLOOKUP(F3369,'Set up'!$A$2:$C$70,2,FALSE)</f>
        <v>C00000019</v>
      </c>
      <c r="F3369" s="1" t="s">
        <v>400</v>
      </c>
      <c r="G3369" s="90" t="s">
        <v>1469</v>
      </c>
      <c r="H3369" s="5">
        <v>1</v>
      </c>
      <c r="I3369" s="5" t="str">
        <f>VLOOKUP(F3369,'Set up'!$A$2:$C$70,3,FALSE)</f>
        <v>Cash</v>
      </c>
      <c r="J3369" s="5">
        <f>VLOOKUP(F3369,'Set up'!$A$2:$D$70,4,FALSE)</f>
        <v>0</v>
      </c>
      <c r="K3369" s="4">
        <f t="shared" si="830"/>
        <v>45605</v>
      </c>
      <c r="L3369" s="5">
        <f t="shared" si="831"/>
        <v>11</v>
      </c>
      <c r="M3369" s="5">
        <f t="shared" si="832"/>
        <v>2024</v>
      </c>
      <c r="N3369" s="12">
        <v>390</v>
      </c>
      <c r="O3369" s="12"/>
      <c r="P3369" s="12">
        <f t="shared" si="838"/>
        <v>390</v>
      </c>
      <c r="Q3369" s="7">
        <f t="shared" si="833"/>
        <v>5548275.5499999998</v>
      </c>
      <c r="R3369" s="44" t="str">
        <f>VLOOKUP(F3369,'Set up'!$A$2:$E$70,5,FALSE)</f>
        <v>Trsf</v>
      </c>
    </row>
    <row r="3370" spans="1:19" ht="15" customHeight="1" x14ac:dyDescent="0.3">
      <c r="A3370" s="4">
        <v>45605</v>
      </c>
      <c r="B3370" s="5">
        <f t="shared" si="828"/>
        <v>11</v>
      </c>
      <c r="C3370" s="5">
        <f t="shared" si="829"/>
        <v>2024</v>
      </c>
      <c r="D3370" s="5" t="s">
        <v>3117</v>
      </c>
      <c r="E3370" s="5" t="str">
        <f>VLOOKUP(F3370,'Set up'!$A$2:$C$70,2,FALSE)</f>
        <v>C00000019</v>
      </c>
      <c r="F3370" s="1" t="s">
        <v>400</v>
      </c>
      <c r="G3370" s="90" t="s">
        <v>2635</v>
      </c>
      <c r="H3370" s="5">
        <v>5</v>
      </c>
      <c r="I3370" s="5" t="str">
        <f>VLOOKUP(F3370,'Set up'!$A$2:$C$70,3,FALSE)</f>
        <v>Cash</v>
      </c>
      <c r="J3370" s="5">
        <f>VLOOKUP(F3370,'Set up'!$A$2:$D$70,4,FALSE)</f>
        <v>0</v>
      </c>
      <c r="K3370" s="4">
        <f t="shared" si="830"/>
        <v>45605</v>
      </c>
      <c r="L3370" s="5">
        <f t="shared" si="831"/>
        <v>11</v>
      </c>
      <c r="M3370" s="5">
        <f t="shared" si="832"/>
        <v>2024</v>
      </c>
      <c r="N3370" s="12">
        <v>312.5</v>
      </c>
      <c r="O3370" s="12"/>
      <c r="P3370" s="12">
        <f t="shared" si="838"/>
        <v>312.5</v>
      </c>
      <c r="Q3370" s="7">
        <f t="shared" si="833"/>
        <v>5548588.0499999998</v>
      </c>
      <c r="R3370" s="44" t="str">
        <f>VLOOKUP(F3370,'Set up'!$A$2:$E$70,5,FALSE)</f>
        <v>Trsf</v>
      </c>
    </row>
    <row r="3371" spans="1:19" ht="15" customHeight="1" x14ac:dyDescent="0.3">
      <c r="A3371" s="4">
        <v>45605</v>
      </c>
      <c r="B3371" s="5">
        <f t="shared" si="828"/>
        <v>11</v>
      </c>
      <c r="C3371" s="5">
        <f t="shared" si="829"/>
        <v>2024</v>
      </c>
      <c r="D3371" s="5" t="s">
        <v>3117</v>
      </c>
      <c r="E3371" s="5" t="str">
        <f>VLOOKUP(F3371,'Set up'!$A$2:$C$70,2,FALSE)</f>
        <v>C00000019</v>
      </c>
      <c r="F3371" s="1" t="s">
        <v>400</v>
      </c>
      <c r="G3371" s="99" t="s">
        <v>1660</v>
      </c>
      <c r="H3371" s="5">
        <v>1</v>
      </c>
      <c r="I3371" s="5" t="str">
        <f>VLOOKUP(F3371,'Set up'!$A$2:$C$70,3,FALSE)</f>
        <v>Cash</v>
      </c>
      <c r="J3371" s="5">
        <f>VLOOKUP(F3371,'Set up'!$A$2:$D$70,4,FALSE)</f>
        <v>0</v>
      </c>
      <c r="K3371" s="4">
        <f t="shared" si="830"/>
        <v>45605</v>
      </c>
      <c r="L3371" s="5">
        <f t="shared" si="831"/>
        <v>11</v>
      </c>
      <c r="M3371" s="5">
        <f t="shared" si="832"/>
        <v>2024</v>
      </c>
      <c r="N3371" s="12">
        <v>160</v>
      </c>
      <c r="O3371" s="12"/>
      <c r="P3371" s="12">
        <f t="shared" si="838"/>
        <v>160</v>
      </c>
      <c r="Q3371" s="7">
        <f t="shared" si="833"/>
        <v>5548748.0499999998</v>
      </c>
      <c r="R3371" s="44" t="str">
        <f>VLOOKUP(F3371,'Set up'!$A$2:$E$70,5,FALSE)</f>
        <v>Trsf</v>
      </c>
    </row>
    <row r="3372" spans="1:19" ht="15" customHeight="1" x14ac:dyDescent="0.3">
      <c r="A3372" s="4">
        <v>45605</v>
      </c>
      <c r="B3372" s="5">
        <f t="shared" si="828"/>
        <v>11</v>
      </c>
      <c r="C3372" s="5">
        <f t="shared" si="829"/>
        <v>2024</v>
      </c>
      <c r="D3372" s="5" t="s">
        <v>3117</v>
      </c>
      <c r="E3372" s="5" t="str">
        <f>VLOOKUP(F3372,'Set up'!$A$2:$C$70,2,FALSE)</f>
        <v>C00000019</v>
      </c>
      <c r="F3372" s="1" t="s">
        <v>400</v>
      </c>
      <c r="G3372" s="99" t="s">
        <v>894</v>
      </c>
      <c r="H3372" s="5">
        <v>1</v>
      </c>
      <c r="I3372" s="5" t="str">
        <f>VLOOKUP(F3372,'Set up'!$A$2:$C$70,3,FALSE)</f>
        <v>Cash</v>
      </c>
      <c r="J3372" s="5">
        <f>VLOOKUP(F3372,'Set up'!$A$2:$D$70,4,FALSE)</f>
        <v>0</v>
      </c>
      <c r="K3372" s="4">
        <f t="shared" si="830"/>
        <v>45605</v>
      </c>
      <c r="L3372" s="5">
        <f t="shared" si="831"/>
        <v>11</v>
      </c>
      <c r="M3372" s="5">
        <f t="shared" si="832"/>
        <v>2024</v>
      </c>
      <c r="N3372" s="12">
        <v>150</v>
      </c>
      <c r="O3372" s="12"/>
      <c r="P3372" s="12">
        <f t="shared" si="838"/>
        <v>150</v>
      </c>
      <c r="Q3372" s="7">
        <f t="shared" si="833"/>
        <v>5548898.0499999998</v>
      </c>
      <c r="R3372" s="44" t="str">
        <f>VLOOKUP(F3372,'Set up'!$A$2:$E$70,5,FALSE)</f>
        <v>Trsf</v>
      </c>
    </row>
    <row r="3373" spans="1:19" ht="15" customHeight="1" x14ac:dyDescent="0.3">
      <c r="A3373" s="4">
        <v>45605</v>
      </c>
      <c r="B3373" s="5">
        <f t="shared" si="828"/>
        <v>11</v>
      </c>
      <c r="C3373" s="5">
        <f t="shared" si="829"/>
        <v>2024</v>
      </c>
      <c r="D3373" s="5" t="s">
        <v>3117</v>
      </c>
      <c r="E3373" s="5" t="str">
        <f>VLOOKUP(F3373,'Set up'!$A$2:$C$70,2,FALSE)</f>
        <v>C00000019</v>
      </c>
      <c r="F3373" s="1" t="s">
        <v>400</v>
      </c>
      <c r="G3373" s="90" t="s">
        <v>2098</v>
      </c>
      <c r="H3373" s="5">
        <v>1</v>
      </c>
      <c r="I3373" s="5" t="str">
        <f>VLOOKUP(F3373,'Set up'!$A$2:$C$70,3,FALSE)</f>
        <v>Cash</v>
      </c>
      <c r="J3373" s="5">
        <f>VLOOKUP(F3373,'Set up'!$A$2:$D$70,4,FALSE)</f>
        <v>0</v>
      </c>
      <c r="K3373" s="4">
        <f t="shared" si="830"/>
        <v>45605</v>
      </c>
      <c r="L3373" s="5">
        <f t="shared" si="831"/>
        <v>11</v>
      </c>
      <c r="M3373" s="5">
        <f t="shared" si="832"/>
        <v>2024</v>
      </c>
      <c r="N3373" s="12">
        <v>283.8</v>
      </c>
      <c r="O3373" s="12"/>
      <c r="P3373" s="12">
        <f t="shared" si="838"/>
        <v>283.8</v>
      </c>
      <c r="Q3373" s="7">
        <f t="shared" si="833"/>
        <v>5549181.8499999996</v>
      </c>
      <c r="R3373" s="44" t="str">
        <f>VLOOKUP(F3373,'Set up'!$A$2:$E$70,5,FALSE)</f>
        <v>Trsf</v>
      </c>
    </row>
    <row r="3374" spans="1:19" ht="15" customHeight="1" x14ac:dyDescent="0.3">
      <c r="A3374" s="4">
        <v>45607</v>
      </c>
      <c r="B3374" s="5">
        <f t="shared" si="828"/>
        <v>11</v>
      </c>
      <c r="C3374" s="5">
        <f t="shared" si="829"/>
        <v>2024</v>
      </c>
      <c r="D3374" s="5" t="s">
        <v>3118</v>
      </c>
      <c r="E3374" s="5" t="str">
        <f>VLOOKUP(F3374,'Set up'!$A$2:$C$70,2,FALSE)</f>
        <v>C00000010</v>
      </c>
      <c r="F3374" s="1" t="s">
        <v>62</v>
      </c>
      <c r="G3374" s="89" t="s">
        <v>1178</v>
      </c>
      <c r="H3374" s="106">
        <v>8</v>
      </c>
      <c r="I3374" s="5">
        <f>VLOOKUP(F3374,'Set up'!$A$2:$C$70,3,FALSE)</f>
        <v>120</v>
      </c>
      <c r="J3374" s="5">
        <f>VLOOKUP(F3374,'Set up'!$A$2:$D$70,4,FALSE)</f>
        <v>120</v>
      </c>
      <c r="K3374" s="4">
        <f t="shared" si="830"/>
        <v>45727</v>
      </c>
      <c r="L3374" s="5">
        <f t="shared" si="831"/>
        <v>3</v>
      </c>
      <c r="M3374" s="5">
        <f t="shared" si="832"/>
        <v>2025</v>
      </c>
      <c r="N3374" s="12">
        <v>12848</v>
      </c>
      <c r="O3374" s="6">
        <f t="shared" ref="O3374:O3381" si="841">-N3374</f>
        <v>-12848</v>
      </c>
      <c r="P3374" s="12">
        <f t="shared" si="838"/>
        <v>0</v>
      </c>
      <c r="Q3374" s="7">
        <f t="shared" si="833"/>
        <v>5562029.8499999996</v>
      </c>
      <c r="R3374" s="44" t="str">
        <f>VLOOKUP(F3374,'Set up'!$A$2:$E$70,5,FALSE)</f>
        <v>Trsf</v>
      </c>
      <c r="S3374" s="1" t="s">
        <v>3692</v>
      </c>
    </row>
    <row r="3375" spans="1:19" ht="15" customHeight="1" x14ac:dyDescent="0.3">
      <c r="A3375" s="4">
        <v>45607</v>
      </c>
      <c r="B3375" s="5">
        <f t="shared" si="828"/>
        <v>11</v>
      </c>
      <c r="C3375" s="5">
        <f t="shared" si="829"/>
        <v>2024</v>
      </c>
      <c r="D3375" s="5" t="s">
        <v>3118</v>
      </c>
      <c r="E3375" s="5" t="str">
        <f>VLOOKUP(F3375,'Set up'!$A$2:$C$70,2,FALSE)</f>
        <v>C00000010</v>
      </c>
      <c r="F3375" s="1" t="s">
        <v>62</v>
      </c>
      <c r="G3375" s="89" t="s">
        <v>3119</v>
      </c>
      <c r="H3375" s="88">
        <v>2</v>
      </c>
      <c r="I3375" s="5">
        <f>VLOOKUP(F3375,'Set up'!$A$2:$C$70,3,FALSE)</f>
        <v>120</v>
      </c>
      <c r="J3375" s="5">
        <f>VLOOKUP(F3375,'Set up'!$A$2:$D$70,4,FALSE)</f>
        <v>120</v>
      </c>
      <c r="K3375" s="4">
        <f t="shared" si="830"/>
        <v>45727</v>
      </c>
      <c r="L3375" s="5">
        <f t="shared" si="831"/>
        <v>3</v>
      </c>
      <c r="M3375" s="5">
        <f t="shared" si="832"/>
        <v>2025</v>
      </c>
      <c r="N3375" s="12">
        <v>3240</v>
      </c>
      <c r="O3375" s="6">
        <f t="shared" si="841"/>
        <v>-3240</v>
      </c>
      <c r="P3375" s="12">
        <f t="shared" si="838"/>
        <v>0</v>
      </c>
      <c r="Q3375" s="7">
        <f t="shared" si="833"/>
        <v>5565269.8499999996</v>
      </c>
      <c r="R3375" s="44" t="str">
        <f>VLOOKUP(F3375,'Set up'!$A$2:$E$70,5,FALSE)</f>
        <v>Trsf</v>
      </c>
      <c r="S3375" s="1" t="s">
        <v>3692</v>
      </c>
    </row>
    <row r="3376" spans="1:19" ht="15" customHeight="1" x14ac:dyDescent="0.3">
      <c r="A3376" s="4">
        <v>45607</v>
      </c>
      <c r="B3376" s="5">
        <f t="shared" si="828"/>
        <v>11</v>
      </c>
      <c r="C3376" s="5">
        <f t="shared" si="829"/>
        <v>2024</v>
      </c>
      <c r="D3376" s="5" t="s">
        <v>3118</v>
      </c>
      <c r="E3376" s="5" t="str">
        <f>VLOOKUP(F3376,'Set up'!$A$2:$C$70,2,FALSE)</f>
        <v>C00000010</v>
      </c>
      <c r="F3376" s="1" t="s">
        <v>62</v>
      </c>
      <c r="G3376" s="90" t="s">
        <v>1543</v>
      </c>
      <c r="H3376" s="88">
        <v>15</v>
      </c>
      <c r="I3376" s="5">
        <f>VLOOKUP(F3376,'Set up'!$A$2:$C$70,3,FALSE)</f>
        <v>120</v>
      </c>
      <c r="J3376" s="5">
        <f>VLOOKUP(F3376,'Set up'!$A$2:$D$70,4,FALSE)</f>
        <v>120</v>
      </c>
      <c r="K3376" s="4">
        <f t="shared" si="830"/>
        <v>45727</v>
      </c>
      <c r="L3376" s="5">
        <f t="shared" si="831"/>
        <v>3</v>
      </c>
      <c r="M3376" s="5">
        <f t="shared" si="832"/>
        <v>2025</v>
      </c>
      <c r="N3376" s="12">
        <v>2610</v>
      </c>
      <c r="O3376" s="6">
        <f t="shared" si="841"/>
        <v>-2610</v>
      </c>
      <c r="P3376" s="12">
        <f t="shared" si="838"/>
        <v>0</v>
      </c>
      <c r="Q3376" s="7">
        <f t="shared" si="833"/>
        <v>5567879.8499999996</v>
      </c>
      <c r="R3376" s="44" t="str">
        <f>VLOOKUP(F3376,'Set up'!$A$2:$E$70,5,FALSE)</f>
        <v>Trsf</v>
      </c>
      <c r="S3376" s="1" t="s">
        <v>3692</v>
      </c>
    </row>
    <row r="3377" spans="1:21" ht="15" customHeight="1" x14ac:dyDescent="0.3">
      <c r="A3377" s="4">
        <v>45607</v>
      </c>
      <c r="B3377" s="5">
        <f t="shared" si="828"/>
        <v>11</v>
      </c>
      <c r="C3377" s="5">
        <f t="shared" si="829"/>
        <v>2024</v>
      </c>
      <c r="D3377" s="5" t="s">
        <v>3118</v>
      </c>
      <c r="E3377" s="5" t="str">
        <f>VLOOKUP(F3377,'Set up'!$A$2:$C$70,2,FALSE)</f>
        <v>C00000010</v>
      </c>
      <c r="F3377" s="1" t="s">
        <v>62</v>
      </c>
      <c r="G3377" s="90" t="s">
        <v>2635</v>
      </c>
      <c r="H3377" s="88">
        <v>30</v>
      </c>
      <c r="I3377" s="5">
        <f>VLOOKUP(F3377,'Set up'!$A$2:$C$70,3,FALSE)</f>
        <v>120</v>
      </c>
      <c r="J3377" s="5">
        <f>VLOOKUP(F3377,'Set up'!$A$2:$D$70,4,FALSE)</f>
        <v>120</v>
      </c>
      <c r="K3377" s="4">
        <f t="shared" si="830"/>
        <v>45727</v>
      </c>
      <c r="L3377" s="5">
        <f t="shared" si="831"/>
        <v>3</v>
      </c>
      <c r="M3377" s="5">
        <f t="shared" si="832"/>
        <v>2025</v>
      </c>
      <c r="N3377" s="12">
        <v>1725</v>
      </c>
      <c r="O3377" s="6">
        <f t="shared" si="841"/>
        <v>-1725</v>
      </c>
      <c r="P3377" s="12">
        <f t="shared" si="838"/>
        <v>0</v>
      </c>
      <c r="Q3377" s="7">
        <f t="shared" si="833"/>
        <v>5569604.8499999996</v>
      </c>
      <c r="R3377" s="44" t="str">
        <f>VLOOKUP(F3377,'Set up'!$A$2:$E$70,5,FALSE)</f>
        <v>Trsf</v>
      </c>
      <c r="S3377" s="1" t="s">
        <v>3692</v>
      </c>
    </row>
    <row r="3378" spans="1:21" ht="15" customHeight="1" x14ac:dyDescent="0.3">
      <c r="A3378" s="4">
        <v>45607</v>
      </c>
      <c r="B3378" s="5">
        <f t="shared" si="828"/>
        <v>11</v>
      </c>
      <c r="C3378" s="5">
        <f t="shared" si="829"/>
        <v>2024</v>
      </c>
      <c r="D3378" s="5" t="s">
        <v>3118</v>
      </c>
      <c r="E3378" s="5" t="str">
        <f>VLOOKUP(F3378,'Set up'!$A$2:$C$70,2,FALSE)</f>
        <v>C00000010</v>
      </c>
      <c r="F3378" s="1" t="s">
        <v>62</v>
      </c>
      <c r="G3378" s="11" t="s">
        <v>46</v>
      </c>
      <c r="H3378" s="88">
        <v>12</v>
      </c>
      <c r="I3378" s="5">
        <f>VLOOKUP(F3378,'Set up'!$A$2:$C$70,3,FALSE)</f>
        <v>120</v>
      </c>
      <c r="J3378" s="5">
        <f>VLOOKUP(F3378,'Set up'!$A$2:$D$70,4,FALSE)</f>
        <v>120</v>
      </c>
      <c r="K3378" s="4">
        <f t="shared" si="830"/>
        <v>45727</v>
      </c>
      <c r="L3378" s="5">
        <f t="shared" si="831"/>
        <v>3</v>
      </c>
      <c r="M3378" s="5">
        <f t="shared" si="832"/>
        <v>2025</v>
      </c>
      <c r="N3378" s="12">
        <v>1320</v>
      </c>
      <c r="O3378" s="6">
        <f t="shared" si="841"/>
        <v>-1320</v>
      </c>
      <c r="P3378" s="12">
        <f t="shared" si="838"/>
        <v>0</v>
      </c>
      <c r="Q3378" s="7">
        <f t="shared" si="833"/>
        <v>5570924.8499999996</v>
      </c>
      <c r="R3378" s="44" t="str">
        <f>VLOOKUP(F3378,'Set up'!$A$2:$E$70,5,FALSE)</f>
        <v>Trsf</v>
      </c>
      <c r="S3378" s="1" t="s">
        <v>3692</v>
      </c>
    </row>
    <row r="3379" spans="1:21" ht="15" customHeight="1" x14ac:dyDescent="0.3">
      <c r="A3379" s="4">
        <v>45607</v>
      </c>
      <c r="B3379" s="5">
        <f t="shared" si="828"/>
        <v>11</v>
      </c>
      <c r="C3379" s="5">
        <f t="shared" si="829"/>
        <v>2024</v>
      </c>
      <c r="D3379" s="5" t="s">
        <v>3118</v>
      </c>
      <c r="E3379" s="5" t="str">
        <f>VLOOKUP(F3379,'Set up'!$A$2:$C$70,2,FALSE)</f>
        <v>C00000010</v>
      </c>
      <c r="F3379" s="1" t="s">
        <v>62</v>
      </c>
      <c r="G3379" s="89" t="s">
        <v>946</v>
      </c>
      <c r="H3379" s="106">
        <v>4</v>
      </c>
      <c r="I3379" s="5">
        <f>VLOOKUP(F3379,'Set up'!$A$2:$C$70,3,FALSE)</f>
        <v>120</v>
      </c>
      <c r="J3379" s="5">
        <f>VLOOKUP(F3379,'Set up'!$A$2:$D$70,4,FALSE)</f>
        <v>120</v>
      </c>
      <c r="K3379" s="4">
        <f t="shared" si="830"/>
        <v>45727</v>
      </c>
      <c r="L3379" s="5">
        <f t="shared" si="831"/>
        <v>3</v>
      </c>
      <c r="M3379" s="5">
        <f t="shared" si="832"/>
        <v>2025</v>
      </c>
      <c r="N3379" s="12">
        <v>230.4</v>
      </c>
      <c r="O3379" s="6">
        <f t="shared" si="841"/>
        <v>-230.4</v>
      </c>
      <c r="P3379" s="12">
        <f t="shared" si="838"/>
        <v>0</v>
      </c>
      <c r="Q3379" s="7">
        <f t="shared" si="833"/>
        <v>5571155.25</v>
      </c>
      <c r="R3379" s="44" t="str">
        <f>VLOOKUP(F3379,'Set up'!$A$2:$E$70,5,FALSE)</f>
        <v>Trsf</v>
      </c>
      <c r="S3379" s="1" t="s">
        <v>3692</v>
      </c>
    </row>
    <row r="3380" spans="1:21" ht="15" customHeight="1" x14ac:dyDescent="0.3">
      <c r="A3380" s="4">
        <v>45607</v>
      </c>
      <c r="B3380" s="5">
        <f t="shared" si="828"/>
        <v>11</v>
      </c>
      <c r="C3380" s="5">
        <f t="shared" si="829"/>
        <v>2024</v>
      </c>
      <c r="D3380" s="5" t="s">
        <v>3118</v>
      </c>
      <c r="E3380" s="5" t="str">
        <f>VLOOKUP(F3380,'Set up'!$A$2:$C$70,2,FALSE)</f>
        <v>C00000010</v>
      </c>
      <c r="F3380" s="1" t="s">
        <v>62</v>
      </c>
      <c r="G3380" s="99" t="s">
        <v>614</v>
      </c>
      <c r="H3380" s="88">
        <v>1</v>
      </c>
      <c r="I3380" s="5">
        <f>VLOOKUP(F3380,'Set up'!$A$2:$C$70,3,FALSE)</f>
        <v>120</v>
      </c>
      <c r="J3380" s="5">
        <f>VLOOKUP(F3380,'Set up'!$A$2:$D$70,4,FALSE)</f>
        <v>120</v>
      </c>
      <c r="K3380" s="4">
        <f t="shared" si="830"/>
        <v>45727</v>
      </c>
      <c r="L3380" s="5">
        <f t="shared" si="831"/>
        <v>3</v>
      </c>
      <c r="M3380" s="5">
        <f t="shared" si="832"/>
        <v>2025</v>
      </c>
      <c r="N3380" s="12">
        <v>395</v>
      </c>
      <c r="O3380" s="6">
        <f t="shared" si="841"/>
        <v>-395</v>
      </c>
      <c r="P3380" s="12">
        <f t="shared" si="838"/>
        <v>0</v>
      </c>
      <c r="Q3380" s="7">
        <f t="shared" si="833"/>
        <v>5571550.25</v>
      </c>
      <c r="R3380" s="44" t="str">
        <f>VLOOKUP(F3380,'Set up'!$A$2:$E$70,5,FALSE)</f>
        <v>Trsf</v>
      </c>
      <c r="S3380" s="1" t="s">
        <v>3692</v>
      </c>
    </row>
    <row r="3381" spans="1:21" ht="15" customHeight="1" x14ac:dyDescent="0.3">
      <c r="A3381" s="4">
        <v>45607</v>
      </c>
      <c r="B3381" s="5">
        <f t="shared" si="828"/>
        <v>11</v>
      </c>
      <c r="C3381" s="5">
        <f t="shared" si="829"/>
        <v>2024</v>
      </c>
      <c r="D3381" s="5" t="s">
        <v>3118</v>
      </c>
      <c r="E3381" s="5" t="str">
        <f>VLOOKUP(F3381,'Set up'!$A$2:$C$70,2,FALSE)</f>
        <v>C00000010</v>
      </c>
      <c r="F3381" s="1" t="s">
        <v>62</v>
      </c>
      <c r="G3381" s="90" t="s">
        <v>2449</v>
      </c>
      <c r="H3381" s="88">
        <v>1</v>
      </c>
      <c r="I3381" s="5">
        <f>VLOOKUP(F3381,'Set up'!$A$2:$C$70,3,FALSE)</f>
        <v>120</v>
      </c>
      <c r="J3381" s="5">
        <f>VLOOKUP(F3381,'Set up'!$A$2:$D$70,4,FALSE)</f>
        <v>120</v>
      </c>
      <c r="K3381" s="4">
        <f t="shared" si="830"/>
        <v>45727</v>
      </c>
      <c r="L3381" s="5">
        <f t="shared" si="831"/>
        <v>3</v>
      </c>
      <c r="M3381" s="5">
        <f t="shared" si="832"/>
        <v>2025</v>
      </c>
      <c r="N3381" s="12">
        <v>420</v>
      </c>
      <c r="O3381" s="6">
        <f t="shared" si="841"/>
        <v>-420</v>
      </c>
      <c r="P3381" s="12">
        <f t="shared" si="838"/>
        <v>0</v>
      </c>
      <c r="Q3381" s="7">
        <f t="shared" si="833"/>
        <v>5571970.25</v>
      </c>
      <c r="R3381" s="44" t="str">
        <f>VLOOKUP(F3381,'Set up'!$A$2:$E$70,5,FALSE)</f>
        <v>Trsf</v>
      </c>
      <c r="S3381" s="1" t="s">
        <v>3692</v>
      </c>
    </row>
    <row r="3382" spans="1:21" ht="15" customHeight="1" x14ac:dyDescent="0.3">
      <c r="A3382" s="4">
        <v>45608</v>
      </c>
      <c r="B3382" s="5">
        <f t="shared" si="828"/>
        <v>11</v>
      </c>
      <c r="C3382" s="5">
        <f t="shared" si="829"/>
        <v>2024</v>
      </c>
      <c r="D3382" s="5" t="s">
        <v>3120</v>
      </c>
      <c r="E3382" s="5" t="str">
        <f>VLOOKUP(F3382,'Set up'!$A$2:$C$70,2,FALSE)</f>
        <v>C00000019</v>
      </c>
      <c r="F3382" s="1" t="s">
        <v>400</v>
      </c>
      <c r="G3382" s="90" t="s">
        <v>95</v>
      </c>
      <c r="H3382" s="5">
        <v>1</v>
      </c>
      <c r="I3382" s="5" t="str">
        <f>VLOOKUP(F3382,'Set up'!$A$2:$C$70,3,FALSE)</f>
        <v>Cash</v>
      </c>
      <c r="J3382" s="5">
        <f>VLOOKUP(F3382,'Set up'!$A$2:$D$70,4,FALSE)</f>
        <v>0</v>
      </c>
      <c r="K3382" s="4">
        <f t="shared" si="830"/>
        <v>45608</v>
      </c>
      <c r="L3382" s="5">
        <f t="shared" si="831"/>
        <v>11</v>
      </c>
      <c r="M3382" s="5">
        <f t="shared" si="832"/>
        <v>2024</v>
      </c>
      <c r="N3382" s="98">
        <v>1738</v>
      </c>
      <c r="O3382" s="12"/>
      <c r="P3382" s="12">
        <f t="shared" si="838"/>
        <v>1738</v>
      </c>
      <c r="Q3382" s="7">
        <f t="shared" si="833"/>
        <v>5573708.25</v>
      </c>
      <c r="R3382" s="44" t="str">
        <f>VLOOKUP(F3382,'Set up'!$A$2:$E$70,5,FALSE)</f>
        <v>Trsf</v>
      </c>
    </row>
    <row r="3383" spans="1:21" ht="15" customHeight="1" x14ac:dyDescent="0.3">
      <c r="A3383" s="4">
        <v>45608</v>
      </c>
      <c r="B3383" s="5">
        <f t="shared" si="828"/>
        <v>11</v>
      </c>
      <c r="C3383" s="5">
        <f t="shared" si="829"/>
        <v>2024</v>
      </c>
      <c r="D3383" s="5" t="s">
        <v>3120</v>
      </c>
      <c r="E3383" s="5" t="str">
        <f>VLOOKUP(F3383,'Set up'!$A$2:$C$70,2,FALSE)</f>
        <v>C00000019</v>
      </c>
      <c r="F3383" s="1" t="s">
        <v>400</v>
      </c>
      <c r="G3383" s="90" t="s">
        <v>1411</v>
      </c>
      <c r="H3383" s="5">
        <v>1</v>
      </c>
      <c r="I3383" s="5" t="str">
        <f>VLOOKUP(F3383,'Set up'!$A$2:$C$70,3,FALSE)</f>
        <v>Cash</v>
      </c>
      <c r="J3383" s="5">
        <f>VLOOKUP(F3383,'Set up'!$A$2:$D$70,4,FALSE)</f>
        <v>0</v>
      </c>
      <c r="K3383" s="4">
        <f t="shared" si="830"/>
        <v>45608</v>
      </c>
      <c r="L3383" s="5">
        <f t="shared" si="831"/>
        <v>11</v>
      </c>
      <c r="M3383" s="5">
        <f t="shared" si="832"/>
        <v>2024</v>
      </c>
      <c r="N3383" s="98">
        <v>405</v>
      </c>
      <c r="O3383" s="12"/>
      <c r="P3383" s="12">
        <f t="shared" si="838"/>
        <v>405</v>
      </c>
      <c r="Q3383" s="7">
        <f t="shared" si="833"/>
        <v>5574113.25</v>
      </c>
      <c r="R3383" s="44" t="str">
        <f>VLOOKUP(F3383,'Set up'!$A$2:$E$70,5,FALSE)</f>
        <v>Trsf</v>
      </c>
    </row>
    <row r="3384" spans="1:21" ht="15" customHeight="1" x14ac:dyDescent="0.3">
      <c r="A3384" s="4">
        <v>45610</v>
      </c>
      <c r="B3384" s="5">
        <f t="shared" si="828"/>
        <v>11</v>
      </c>
      <c r="C3384" s="5">
        <f t="shared" si="829"/>
        <v>2024</v>
      </c>
      <c r="D3384" s="5" t="s">
        <v>3121</v>
      </c>
      <c r="E3384" s="5" t="str">
        <f>VLOOKUP(F3384,'Set up'!$A$2:$C$70,2,FALSE)</f>
        <v>C00000050</v>
      </c>
      <c r="F3384" s="1" t="s">
        <v>2656</v>
      </c>
      <c r="G3384" s="100" t="s">
        <v>3122</v>
      </c>
      <c r="H3384" s="105">
        <v>1</v>
      </c>
      <c r="I3384" s="5" t="str">
        <f>VLOOKUP(F3384,'Set up'!$A$2:$C$70,3,FALSE)</f>
        <v>Cash</v>
      </c>
      <c r="J3384" s="5">
        <f>VLOOKUP(F3384,'Set up'!$A$2:$D$70,4,FALSE)</f>
        <v>0</v>
      </c>
      <c r="K3384" s="4">
        <f t="shared" si="830"/>
        <v>45610</v>
      </c>
      <c r="L3384" s="5">
        <f t="shared" si="831"/>
        <v>11</v>
      </c>
      <c r="M3384" s="5">
        <f t="shared" si="832"/>
        <v>2024</v>
      </c>
      <c r="N3384" s="12">
        <v>1755</v>
      </c>
      <c r="O3384" s="6">
        <f t="shared" ref="O3384:O3387" si="842">-N3384</f>
        <v>-1755</v>
      </c>
      <c r="P3384" s="12">
        <f t="shared" si="838"/>
        <v>0</v>
      </c>
      <c r="Q3384" s="7">
        <f t="shared" si="833"/>
        <v>5575868.25</v>
      </c>
      <c r="R3384" s="44" t="str">
        <f>VLOOKUP(F3384,'Set up'!$A$2:$E$70,5,FALSE)</f>
        <v>Cash</v>
      </c>
      <c r="S3384" s="1" t="s">
        <v>3201</v>
      </c>
    </row>
    <row r="3385" spans="1:21" ht="15" customHeight="1" x14ac:dyDescent="0.3">
      <c r="A3385" s="4">
        <v>45610</v>
      </c>
      <c r="B3385" s="5">
        <f t="shared" si="828"/>
        <v>11</v>
      </c>
      <c r="C3385" s="5">
        <f t="shared" si="829"/>
        <v>2024</v>
      </c>
      <c r="D3385" s="5" t="s">
        <v>3121</v>
      </c>
      <c r="E3385" s="5" t="str">
        <f>VLOOKUP(F3385,'Set up'!$A$2:$C$70,2,FALSE)</f>
        <v>C00000050</v>
      </c>
      <c r="F3385" s="1" t="s">
        <v>2656</v>
      </c>
      <c r="G3385" s="99" t="s">
        <v>3116</v>
      </c>
      <c r="H3385" s="105">
        <v>2</v>
      </c>
      <c r="I3385" s="5" t="str">
        <f>VLOOKUP(F3385,'Set up'!$A$2:$C$70,3,FALSE)</f>
        <v>Cash</v>
      </c>
      <c r="J3385" s="5">
        <f>VLOOKUP(F3385,'Set up'!$A$2:$D$70,4,FALSE)</f>
        <v>0</v>
      </c>
      <c r="K3385" s="4">
        <f t="shared" si="830"/>
        <v>45610</v>
      </c>
      <c r="L3385" s="5">
        <f t="shared" si="831"/>
        <v>11</v>
      </c>
      <c r="M3385" s="5">
        <f t="shared" si="832"/>
        <v>2024</v>
      </c>
      <c r="N3385" s="12">
        <v>555</v>
      </c>
      <c r="O3385" s="6">
        <f t="shared" si="842"/>
        <v>-555</v>
      </c>
      <c r="P3385" s="12">
        <f t="shared" si="838"/>
        <v>0</v>
      </c>
      <c r="Q3385" s="7">
        <f t="shared" si="833"/>
        <v>5576423.25</v>
      </c>
      <c r="R3385" s="44" t="str">
        <f>VLOOKUP(F3385,'Set up'!$A$2:$E$70,5,FALSE)</f>
        <v>Cash</v>
      </c>
      <c r="S3385" s="1" t="s">
        <v>3201</v>
      </c>
    </row>
    <row r="3386" spans="1:21" ht="15" customHeight="1" x14ac:dyDescent="0.3">
      <c r="A3386" s="4">
        <v>45610</v>
      </c>
      <c r="B3386" s="5">
        <f t="shared" si="828"/>
        <v>11</v>
      </c>
      <c r="C3386" s="5">
        <f t="shared" si="829"/>
        <v>2024</v>
      </c>
      <c r="D3386" s="5" t="s">
        <v>3121</v>
      </c>
      <c r="E3386" s="5" t="str">
        <f>VLOOKUP(F3386,'Set up'!$A$2:$C$70,2,FALSE)</f>
        <v>C00000050</v>
      </c>
      <c r="F3386" s="1" t="s">
        <v>2656</v>
      </c>
      <c r="G3386" s="99" t="s">
        <v>1061</v>
      </c>
      <c r="H3386" s="105">
        <v>1</v>
      </c>
      <c r="I3386" s="5" t="str">
        <f>VLOOKUP(F3386,'Set up'!$A$2:$C$70,3,FALSE)</f>
        <v>Cash</v>
      </c>
      <c r="J3386" s="5">
        <f>VLOOKUP(F3386,'Set up'!$A$2:$D$70,4,FALSE)</f>
        <v>0</v>
      </c>
      <c r="K3386" s="4">
        <f t="shared" si="830"/>
        <v>45610</v>
      </c>
      <c r="L3386" s="5">
        <f t="shared" si="831"/>
        <v>11</v>
      </c>
      <c r="M3386" s="5">
        <f t="shared" si="832"/>
        <v>2024</v>
      </c>
      <c r="N3386" s="12">
        <v>95</v>
      </c>
      <c r="O3386" s="6">
        <f t="shared" si="842"/>
        <v>-95</v>
      </c>
      <c r="P3386" s="12">
        <f t="shared" si="838"/>
        <v>0</v>
      </c>
      <c r="Q3386" s="7">
        <f t="shared" si="833"/>
        <v>5576518.25</v>
      </c>
      <c r="R3386" s="44" t="str">
        <f>VLOOKUP(F3386,'Set up'!$A$2:$E$70,5,FALSE)</f>
        <v>Cash</v>
      </c>
      <c r="S3386" s="1" t="s">
        <v>3201</v>
      </c>
    </row>
    <row r="3387" spans="1:21" ht="15" customHeight="1" x14ac:dyDescent="0.3">
      <c r="A3387" s="4">
        <v>45610</v>
      </c>
      <c r="B3387" s="5">
        <f t="shared" si="828"/>
        <v>11</v>
      </c>
      <c r="C3387" s="5">
        <f t="shared" si="829"/>
        <v>2024</v>
      </c>
      <c r="D3387" s="5" t="s">
        <v>3121</v>
      </c>
      <c r="E3387" s="5" t="str">
        <f>VLOOKUP(F3387,'Set up'!$A$2:$C$70,2,FALSE)</f>
        <v>C00000050</v>
      </c>
      <c r="F3387" s="1" t="s">
        <v>2656</v>
      </c>
      <c r="G3387" s="90" t="s">
        <v>2646</v>
      </c>
      <c r="H3387" s="105">
        <v>10</v>
      </c>
      <c r="I3387" s="5" t="str">
        <f>VLOOKUP(F3387,'Set up'!$A$2:$C$70,3,FALSE)</f>
        <v>Cash</v>
      </c>
      <c r="J3387" s="5">
        <f>VLOOKUP(F3387,'Set up'!$A$2:$D$70,4,FALSE)</f>
        <v>0</v>
      </c>
      <c r="K3387" s="4">
        <f t="shared" si="830"/>
        <v>45610</v>
      </c>
      <c r="L3387" s="5">
        <f t="shared" si="831"/>
        <v>11</v>
      </c>
      <c r="M3387" s="5">
        <f t="shared" si="832"/>
        <v>2024</v>
      </c>
      <c r="N3387" s="12">
        <v>625</v>
      </c>
      <c r="O3387" s="6">
        <f t="shared" si="842"/>
        <v>-625</v>
      </c>
      <c r="P3387" s="12">
        <f t="shared" si="838"/>
        <v>0</v>
      </c>
      <c r="Q3387" s="7">
        <f t="shared" si="833"/>
        <v>5577143.25</v>
      </c>
      <c r="R3387" s="44" t="str">
        <f>VLOOKUP(F3387,'Set up'!$A$2:$E$70,5,FALSE)</f>
        <v>Cash</v>
      </c>
      <c r="S3387" s="1" t="s">
        <v>3201</v>
      </c>
    </row>
    <row r="3388" spans="1:21" ht="15" customHeight="1" x14ac:dyDescent="0.3">
      <c r="A3388" s="4">
        <v>45612</v>
      </c>
      <c r="B3388" s="5">
        <f t="shared" si="828"/>
        <v>11</v>
      </c>
      <c r="C3388" s="5">
        <f t="shared" si="829"/>
        <v>2024</v>
      </c>
      <c r="D3388" s="5" t="s">
        <v>3123</v>
      </c>
      <c r="E3388" s="5" t="str">
        <f>VLOOKUP(F3388,'Set up'!$A$2:$C$70,2,FALSE)</f>
        <v>C00000003</v>
      </c>
      <c r="F3388" s="1" t="s">
        <v>20</v>
      </c>
      <c r="G3388" s="100" t="s">
        <v>716</v>
      </c>
      <c r="H3388" s="131">
        <v>1</v>
      </c>
      <c r="I3388" s="5">
        <f>VLOOKUP(F3388,'Set up'!$A$2:$C$70,3,FALSE)</f>
        <v>45</v>
      </c>
      <c r="J3388" s="5">
        <f>VLOOKUP(F3388,'Set up'!$A$2:$D$70,4,FALSE)</f>
        <v>45</v>
      </c>
      <c r="K3388" s="4">
        <f t="shared" si="830"/>
        <v>45657</v>
      </c>
      <c r="L3388" s="5">
        <f t="shared" si="831"/>
        <v>12</v>
      </c>
      <c r="M3388" s="5">
        <f t="shared" si="832"/>
        <v>2024</v>
      </c>
      <c r="N3388" s="12">
        <v>1738</v>
      </c>
      <c r="O3388" s="12">
        <f>-1500-238</f>
        <v>-1738</v>
      </c>
      <c r="P3388" s="12">
        <f t="shared" si="838"/>
        <v>0</v>
      </c>
      <c r="Q3388" s="7">
        <f t="shared" si="833"/>
        <v>5578881.25</v>
      </c>
      <c r="R3388" s="44" t="str">
        <f>VLOOKUP(F3388,'Set up'!$A$2:$E$70,5,FALSE)</f>
        <v>PD Chq</v>
      </c>
      <c r="S3388" s="1" t="s">
        <v>3424</v>
      </c>
      <c r="U3388" s="1" t="s">
        <v>3603</v>
      </c>
    </row>
    <row r="3389" spans="1:21" ht="15" customHeight="1" x14ac:dyDescent="0.3">
      <c r="A3389" s="4">
        <v>45612</v>
      </c>
      <c r="B3389" s="5">
        <f t="shared" si="828"/>
        <v>11</v>
      </c>
      <c r="C3389" s="5">
        <f t="shared" si="829"/>
        <v>2024</v>
      </c>
      <c r="D3389" s="5" t="s">
        <v>3123</v>
      </c>
      <c r="E3389" s="5" t="str">
        <f>VLOOKUP(F3389,'Set up'!$A$2:$C$70,2,FALSE)</f>
        <v>C00000003</v>
      </c>
      <c r="F3389" s="1" t="s">
        <v>20</v>
      </c>
      <c r="G3389" s="99" t="s">
        <v>17</v>
      </c>
      <c r="H3389" s="105">
        <v>2</v>
      </c>
      <c r="I3389" s="5">
        <f>VLOOKUP(F3389,'Set up'!$A$2:$C$70,3,FALSE)</f>
        <v>45</v>
      </c>
      <c r="J3389" s="5">
        <f>VLOOKUP(F3389,'Set up'!$A$2:$D$70,4,FALSE)</f>
        <v>45</v>
      </c>
      <c r="K3389" s="4">
        <f t="shared" si="830"/>
        <v>45657</v>
      </c>
      <c r="L3389" s="5">
        <f t="shared" si="831"/>
        <v>12</v>
      </c>
      <c r="M3389" s="5">
        <f t="shared" si="832"/>
        <v>2024</v>
      </c>
      <c r="N3389" s="12">
        <v>220</v>
      </c>
      <c r="O3389" s="6">
        <f>-N3389</f>
        <v>-220</v>
      </c>
      <c r="P3389" s="12">
        <f t="shared" si="838"/>
        <v>0</v>
      </c>
      <c r="Q3389" s="7">
        <f t="shared" si="833"/>
        <v>5579101.25</v>
      </c>
      <c r="R3389" s="44" t="str">
        <f>VLOOKUP(F3389,'Set up'!$A$2:$E$70,5,FALSE)</f>
        <v>PD Chq</v>
      </c>
      <c r="S3389" s="1" t="s">
        <v>3425</v>
      </c>
      <c r="U3389" s="1" t="s">
        <v>3603</v>
      </c>
    </row>
    <row r="3390" spans="1:21" ht="15" customHeight="1" x14ac:dyDescent="0.3">
      <c r="A3390" s="4">
        <v>45612</v>
      </c>
      <c r="B3390" s="5">
        <f t="shared" si="828"/>
        <v>11</v>
      </c>
      <c r="C3390" s="5">
        <f t="shared" si="829"/>
        <v>2024</v>
      </c>
      <c r="D3390" s="5" t="s">
        <v>3123</v>
      </c>
      <c r="E3390" s="5" t="str">
        <f>VLOOKUP(F3390,'Set up'!$A$2:$C$70,2,FALSE)</f>
        <v>C00000003</v>
      </c>
      <c r="F3390" s="1" t="s">
        <v>20</v>
      </c>
      <c r="G3390" s="99" t="s">
        <v>2635</v>
      </c>
      <c r="H3390" s="105">
        <v>2</v>
      </c>
      <c r="I3390" s="5">
        <f>VLOOKUP(F3390,'Set up'!$A$2:$C$70,3,FALSE)</f>
        <v>45</v>
      </c>
      <c r="J3390" s="5">
        <f>VLOOKUP(F3390,'Set up'!$A$2:$D$70,4,FALSE)</f>
        <v>45</v>
      </c>
      <c r="K3390" s="4">
        <f t="shared" si="830"/>
        <v>45657</v>
      </c>
      <c r="L3390" s="5">
        <f t="shared" si="831"/>
        <v>12</v>
      </c>
      <c r="M3390" s="5">
        <f t="shared" si="832"/>
        <v>2024</v>
      </c>
      <c r="N3390" s="12">
        <v>130</v>
      </c>
      <c r="O3390" s="6">
        <f>-N3390</f>
        <v>-130</v>
      </c>
      <c r="P3390" s="12">
        <f t="shared" si="838"/>
        <v>0</v>
      </c>
      <c r="Q3390" s="7">
        <f t="shared" si="833"/>
        <v>5579231.25</v>
      </c>
      <c r="R3390" s="44" t="str">
        <f>VLOOKUP(F3390,'Set up'!$A$2:$E$70,5,FALSE)</f>
        <v>PD Chq</v>
      </c>
      <c r="S3390" s="1" t="s">
        <v>3426</v>
      </c>
      <c r="U3390" s="1" t="s">
        <v>3603</v>
      </c>
    </row>
    <row r="3391" spans="1:21" ht="15" customHeight="1" x14ac:dyDescent="0.3">
      <c r="A3391" s="4">
        <v>45612</v>
      </c>
      <c r="B3391" s="5">
        <f t="shared" si="828"/>
        <v>11</v>
      </c>
      <c r="C3391" s="5">
        <f t="shared" si="829"/>
        <v>2024</v>
      </c>
      <c r="D3391" s="5" t="s">
        <v>3123</v>
      </c>
      <c r="E3391" s="5" t="str">
        <f>VLOOKUP(F3391,'Set up'!$A$2:$C$70,2,FALSE)</f>
        <v>C00000003</v>
      </c>
      <c r="F3391" s="1" t="s">
        <v>20</v>
      </c>
      <c r="G3391" s="99" t="s">
        <v>3124</v>
      </c>
      <c r="H3391" s="105">
        <v>1</v>
      </c>
      <c r="I3391" s="5">
        <f>VLOOKUP(F3391,'Set up'!$A$2:$C$70,3,FALSE)</f>
        <v>45</v>
      </c>
      <c r="J3391" s="5">
        <f>VLOOKUP(F3391,'Set up'!$A$2:$D$70,4,FALSE)</f>
        <v>45</v>
      </c>
      <c r="K3391" s="4">
        <f t="shared" si="830"/>
        <v>45657</v>
      </c>
      <c r="L3391" s="5">
        <f t="shared" si="831"/>
        <v>12</v>
      </c>
      <c r="M3391" s="5">
        <f t="shared" si="832"/>
        <v>2024</v>
      </c>
      <c r="N3391" s="12">
        <v>1450</v>
      </c>
      <c r="O3391" s="12">
        <f>-450-1000</f>
        <v>-1450</v>
      </c>
      <c r="P3391" s="12">
        <f t="shared" si="838"/>
        <v>0</v>
      </c>
      <c r="Q3391" s="7">
        <f t="shared" si="833"/>
        <v>5580681.25</v>
      </c>
      <c r="R3391" s="44" t="str">
        <f>VLOOKUP(F3391,'Set up'!$A$2:$E$70,5,FALSE)</f>
        <v>PD Chq</v>
      </c>
      <c r="S3391" s="1" t="s">
        <v>3430</v>
      </c>
      <c r="U3391" s="1" t="s">
        <v>3603</v>
      </c>
    </row>
    <row r="3392" spans="1:21" ht="15" customHeight="1" x14ac:dyDescent="0.3">
      <c r="A3392" s="4">
        <v>45612</v>
      </c>
      <c r="B3392" s="5">
        <f t="shared" si="828"/>
        <v>11</v>
      </c>
      <c r="C3392" s="5">
        <f t="shared" si="829"/>
        <v>2024</v>
      </c>
      <c r="D3392" s="5" t="s">
        <v>3123</v>
      </c>
      <c r="E3392" s="5" t="str">
        <f>VLOOKUP(F3392,'Set up'!$A$2:$C$70,2,FALSE)</f>
        <v>C00000003</v>
      </c>
      <c r="F3392" s="1" t="s">
        <v>20</v>
      </c>
      <c r="G3392" s="1" t="s">
        <v>3125</v>
      </c>
      <c r="H3392" s="105">
        <v>1</v>
      </c>
      <c r="I3392" s="5">
        <f>VLOOKUP(F3392,'Set up'!$A$2:$C$70,3,FALSE)</f>
        <v>45</v>
      </c>
      <c r="J3392" s="5">
        <f>VLOOKUP(F3392,'Set up'!$A$2:$D$70,4,FALSE)</f>
        <v>45</v>
      </c>
      <c r="K3392" s="4">
        <f t="shared" si="830"/>
        <v>45657</v>
      </c>
      <c r="L3392" s="5">
        <f t="shared" si="831"/>
        <v>12</v>
      </c>
      <c r="M3392" s="5">
        <f t="shared" si="832"/>
        <v>2024</v>
      </c>
      <c r="N3392" s="12">
        <v>0</v>
      </c>
      <c r="O3392" s="12"/>
      <c r="P3392" s="12">
        <f t="shared" si="838"/>
        <v>0</v>
      </c>
      <c r="Q3392" s="7">
        <f t="shared" si="833"/>
        <v>5580681.25</v>
      </c>
      <c r="R3392" s="44" t="str">
        <f>VLOOKUP(F3392,'Set up'!$A$2:$E$70,5,FALSE)</f>
        <v>PD Chq</v>
      </c>
      <c r="U3392" s="1" t="s">
        <v>3603</v>
      </c>
    </row>
    <row r="3393" spans="1:21" ht="15" customHeight="1" x14ac:dyDescent="0.3">
      <c r="A3393" s="4">
        <v>45612</v>
      </c>
      <c r="B3393" s="5">
        <f t="shared" si="828"/>
        <v>11</v>
      </c>
      <c r="C3393" s="5">
        <f t="shared" si="829"/>
        <v>2024</v>
      </c>
      <c r="D3393" s="5" t="s">
        <v>3123</v>
      </c>
      <c r="E3393" s="5" t="str">
        <f>VLOOKUP(F3393,'Set up'!$A$2:$C$70,2,FALSE)</f>
        <v>C00000003</v>
      </c>
      <c r="F3393" s="1" t="s">
        <v>20</v>
      </c>
      <c r="G3393" s="99" t="s">
        <v>3126</v>
      </c>
      <c r="H3393" s="105">
        <v>1</v>
      </c>
      <c r="I3393" s="5">
        <f>VLOOKUP(F3393,'Set up'!$A$2:$C$70,3,FALSE)</f>
        <v>45</v>
      </c>
      <c r="J3393" s="5">
        <f>VLOOKUP(F3393,'Set up'!$A$2:$D$70,4,FALSE)</f>
        <v>45</v>
      </c>
      <c r="K3393" s="4">
        <f t="shared" si="830"/>
        <v>45657</v>
      </c>
      <c r="L3393" s="5">
        <f t="shared" si="831"/>
        <v>12</v>
      </c>
      <c r="M3393" s="5">
        <f t="shared" si="832"/>
        <v>2024</v>
      </c>
      <c r="N3393" s="12">
        <v>0</v>
      </c>
      <c r="O3393" s="12"/>
      <c r="P3393" s="12">
        <f t="shared" si="838"/>
        <v>0</v>
      </c>
      <c r="Q3393" s="7">
        <f t="shared" si="833"/>
        <v>5580681.25</v>
      </c>
      <c r="R3393" s="44" t="str">
        <f>VLOOKUP(F3393,'Set up'!$A$2:$E$70,5,FALSE)</f>
        <v>PD Chq</v>
      </c>
      <c r="U3393" s="1" t="s">
        <v>3603</v>
      </c>
    </row>
    <row r="3394" spans="1:21" ht="15" customHeight="1" x14ac:dyDescent="0.3">
      <c r="A3394" s="4">
        <v>45612</v>
      </c>
      <c r="B3394" s="5">
        <f t="shared" si="828"/>
        <v>11</v>
      </c>
      <c r="C3394" s="5">
        <f t="shared" si="829"/>
        <v>2024</v>
      </c>
      <c r="D3394" s="5" t="s">
        <v>3127</v>
      </c>
      <c r="E3394" s="5" t="str">
        <f>VLOOKUP(F3394,'Set up'!$A$2:$C$70,2,FALSE)</f>
        <v>C00000042</v>
      </c>
      <c r="F3394" s="1" t="s">
        <v>2012</v>
      </c>
      <c r="G3394" s="103" t="s">
        <v>2646</v>
      </c>
      <c r="H3394" s="5">
        <v>10</v>
      </c>
      <c r="I3394" s="5" t="str">
        <f>VLOOKUP(F3394,'Set up'!$A$2:$C$70,3,FALSE)</f>
        <v>Cash</v>
      </c>
      <c r="J3394" s="5">
        <f>VLOOKUP(F3394,'Set up'!$A$2:$D$70,4,FALSE)</f>
        <v>0</v>
      </c>
      <c r="K3394" s="4">
        <f t="shared" si="830"/>
        <v>45612</v>
      </c>
      <c r="L3394" s="5">
        <f t="shared" si="831"/>
        <v>11</v>
      </c>
      <c r="M3394" s="5">
        <f t="shared" si="832"/>
        <v>2024</v>
      </c>
      <c r="N3394" s="12">
        <v>625</v>
      </c>
      <c r="O3394" s="6">
        <f t="shared" ref="O3394:O3400" si="843">-N3394</f>
        <v>-625</v>
      </c>
      <c r="P3394" s="12">
        <f t="shared" si="838"/>
        <v>0</v>
      </c>
      <c r="Q3394" s="7">
        <f t="shared" si="833"/>
        <v>5581306.25</v>
      </c>
      <c r="R3394" s="44" t="str">
        <f>VLOOKUP(F3394,'Set up'!$A$2:$E$70,5,FALSE)</f>
        <v>Trsf</v>
      </c>
      <c r="S3394" s="1" t="s">
        <v>3582</v>
      </c>
    </row>
    <row r="3395" spans="1:21" ht="15" customHeight="1" x14ac:dyDescent="0.3">
      <c r="A3395" s="4">
        <v>45612</v>
      </c>
      <c r="B3395" s="5">
        <f t="shared" ref="B3395:B3458" si="844">MONTH(A3395)</f>
        <v>11</v>
      </c>
      <c r="C3395" s="5">
        <f t="shared" ref="C3395:C3458" si="845">YEAR(A3395)</f>
        <v>2024</v>
      </c>
      <c r="D3395" s="5" t="s">
        <v>3128</v>
      </c>
      <c r="E3395" s="5" t="str">
        <f>VLOOKUP(F3395,'Set up'!$A$2:$C$70,2,FALSE)</f>
        <v>C00000042</v>
      </c>
      <c r="F3395" s="1" t="s">
        <v>2012</v>
      </c>
      <c r="G3395" s="128" t="s">
        <v>2552</v>
      </c>
      <c r="H3395" s="88">
        <v>6</v>
      </c>
      <c r="I3395" s="5" t="str">
        <f>VLOOKUP(F3395,'Set up'!$A$2:$C$70,3,FALSE)</f>
        <v>Cash</v>
      </c>
      <c r="J3395" s="5">
        <f>VLOOKUP(F3395,'Set up'!$A$2:$D$70,4,FALSE)</f>
        <v>0</v>
      </c>
      <c r="K3395" s="4">
        <f t="shared" ref="K3395:K3458" si="846">A3395+J3395</f>
        <v>45612</v>
      </c>
      <c r="L3395" s="5">
        <f t="shared" ref="L3395:L3458" si="847">MONTH(K3395)</f>
        <v>11</v>
      </c>
      <c r="M3395" s="5">
        <f t="shared" ref="M3395:M3458" si="848">YEAR(K3395)</f>
        <v>2024</v>
      </c>
      <c r="N3395" s="12">
        <v>9636</v>
      </c>
      <c r="O3395" s="6">
        <f t="shared" si="843"/>
        <v>-9636</v>
      </c>
      <c r="P3395" s="12">
        <f t="shared" si="838"/>
        <v>0</v>
      </c>
      <c r="Q3395" s="7">
        <f t="shared" ref="Q3395:Q3458" si="849">SUM(Q3394+N3395)</f>
        <v>5590942.25</v>
      </c>
      <c r="R3395" s="44" t="str">
        <f>VLOOKUP(F3395,'Set up'!$A$2:$E$70,5,FALSE)</f>
        <v>Trsf</v>
      </c>
      <c r="S3395" s="1" t="s">
        <v>3583</v>
      </c>
    </row>
    <row r="3396" spans="1:21" ht="15" customHeight="1" x14ac:dyDescent="0.3">
      <c r="A3396" s="4">
        <v>45612</v>
      </c>
      <c r="B3396" s="5">
        <f t="shared" si="844"/>
        <v>11</v>
      </c>
      <c r="C3396" s="5">
        <f t="shared" si="845"/>
        <v>2024</v>
      </c>
      <c r="D3396" s="5" t="s">
        <v>3128</v>
      </c>
      <c r="E3396" s="5" t="str">
        <f>VLOOKUP(F3396,'Set up'!$A$2:$C$70,2,FALSE)</f>
        <v>C00000042</v>
      </c>
      <c r="F3396" s="1" t="s">
        <v>2012</v>
      </c>
      <c r="G3396" s="128" t="s">
        <v>3113</v>
      </c>
      <c r="H3396" s="88">
        <v>4</v>
      </c>
      <c r="I3396" s="5" t="str">
        <f>VLOOKUP(F3396,'Set up'!$A$2:$C$70,3,FALSE)</f>
        <v>Cash</v>
      </c>
      <c r="J3396" s="5">
        <f>VLOOKUP(F3396,'Set up'!$A$2:$D$70,4,FALSE)</f>
        <v>0</v>
      </c>
      <c r="K3396" s="4">
        <f t="shared" si="846"/>
        <v>45612</v>
      </c>
      <c r="L3396" s="5">
        <f t="shared" si="847"/>
        <v>11</v>
      </c>
      <c r="M3396" s="5">
        <f t="shared" si="848"/>
        <v>2024</v>
      </c>
      <c r="N3396" s="12">
        <v>6480</v>
      </c>
      <c r="O3396" s="6">
        <f t="shared" si="843"/>
        <v>-6480</v>
      </c>
      <c r="P3396" s="12">
        <f t="shared" si="838"/>
        <v>0</v>
      </c>
      <c r="Q3396" s="7">
        <f t="shared" si="849"/>
        <v>5597422.25</v>
      </c>
      <c r="R3396" s="44" t="str">
        <f>VLOOKUP(F3396,'Set up'!$A$2:$E$70,5,FALSE)</f>
        <v>Trsf</v>
      </c>
      <c r="S3396" s="1" t="s">
        <v>3584</v>
      </c>
    </row>
    <row r="3397" spans="1:21" ht="15" customHeight="1" x14ac:dyDescent="0.3">
      <c r="A3397" s="4">
        <v>45612</v>
      </c>
      <c r="B3397" s="5">
        <f t="shared" si="844"/>
        <v>11</v>
      </c>
      <c r="C3397" s="5">
        <f t="shared" si="845"/>
        <v>2024</v>
      </c>
      <c r="D3397" s="5" t="s">
        <v>3128</v>
      </c>
      <c r="E3397" s="5" t="str">
        <f>VLOOKUP(F3397,'Set up'!$A$2:$C$70,2,FALSE)</f>
        <v>C00000042</v>
      </c>
      <c r="F3397" s="1" t="s">
        <v>2012</v>
      </c>
      <c r="G3397" s="90" t="s">
        <v>2434</v>
      </c>
      <c r="H3397" s="88">
        <v>30</v>
      </c>
      <c r="I3397" s="5" t="str">
        <f>VLOOKUP(F3397,'Set up'!$A$2:$C$70,3,FALSE)</f>
        <v>Cash</v>
      </c>
      <c r="J3397" s="5">
        <f>VLOOKUP(F3397,'Set up'!$A$2:$D$70,4,FALSE)</f>
        <v>0</v>
      </c>
      <c r="K3397" s="4">
        <f t="shared" si="846"/>
        <v>45612</v>
      </c>
      <c r="L3397" s="5">
        <f t="shared" si="847"/>
        <v>11</v>
      </c>
      <c r="M3397" s="5">
        <f t="shared" si="848"/>
        <v>2024</v>
      </c>
      <c r="N3397" s="12">
        <v>6438</v>
      </c>
      <c r="O3397" s="6">
        <f t="shared" si="843"/>
        <v>-6438</v>
      </c>
      <c r="P3397" s="12">
        <f t="shared" si="838"/>
        <v>0</v>
      </c>
      <c r="Q3397" s="7">
        <f t="shared" si="849"/>
        <v>5603860.25</v>
      </c>
      <c r="R3397" s="44" t="str">
        <f>VLOOKUP(F3397,'Set up'!$A$2:$E$70,5,FALSE)</f>
        <v>Trsf</v>
      </c>
      <c r="S3397" s="1" t="s">
        <v>3585</v>
      </c>
    </row>
    <row r="3398" spans="1:21" ht="15" customHeight="1" x14ac:dyDescent="0.3">
      <c r="A3398" s="4">
        <v>45612</v>
      </c>
      <c r="B3398" s="5">
        <f t="shared" si="844"/>
        <v>11</v>
      </c>
      <c r="C3398" s="5">
        <f t="shared" si="845"/>
        <v>2024</v>
      </c>
      <c r="D3398" s="5" t="s">
        <v>3128</v>
      </c>
      <c r="E3398" s="5" t="str">
        <f>VLOOKUP(F3398,'Set up'!$A$2:$C$70,2,FALSE)</f>
        <v>C00000042</v>
      </c>
      <c r="F3398" s="1" t="s">
        <v>2012</v>
      </c>
      <c r="G3398" s="90" t="s">
        <v>1922</v>
      </c>
      <c r="H3398" s="88">
        <v>15</v>
      </c>
      <c r="I3398" s="5" t="str">
        <f>VLOOKUP(F3398,'Set up'!$A$2:$C$70,3,FALSE)</f>
        <v>Cash</v>
      </c>
      <c r="J3398" s="5">
        <f>VLOOKUP(F3398,'Set up'!$A$2:$D$70,4,FALSE)</f>
        <v>0</v>
      </c>
      <c r="K3398" s="4">
        <f t="shared" si="846"/>
        <v>45612</v>
      </c>
      <c r="L3398" s="5">
        <f t="shared" si="847"/>
        <v>11</v>
      </c>
      <c r="M3398" s="5">
        <f t="shared" si="848"/>
        <v>2024</v>
      </c>
      <c r="N3398" s="12">
        <v>3577.5</v>
      </c>
      <c r="O3398" s="12">
        <f>-42.6-3534.9</f>
        <v>-3577.5</v>
      </c>
      <c r="P3398" s="12">
        <f t="shared" si="838"/>
        <v>0</v>
      </c>
      <c r="Q3398" s="7">
        <f t="shared" si="849"/>
        <v>5607437.75</v>
      </c>
      <c r="R3398" s="44" t="str">
        <f>VLOOKUP(F3398,'Set up'!$A$2:$E$70,5,FALSE)</f>
        <v>Trsf</v>
      </c>
      <c r="S3398" s="1" t="s">
        <v>3694</v>
      </c>
    </row>
    <row r="3399" spans="1:21" ht="15" customHeight="1" x14ac:dyDescent="0.3">
      <c r="A3399" s="4">
        <v>45612</v>
      </c>
      <c r="B3399" s="5">
        <f t="shared" si="844"/>
        <v>11</v>
      </c>
      <c r="C3399" s="5">
        <f t="shared" si="845"/>
        <v>2024</v>
      </c>
      <c r="D3399" s="5" t="s">
        <v>3128</v>
      </c>
      <c r="E3399" s="5" t="str">
        <f>VLOOKUP(F3399,'Set up'!$A$2:$C$70,2,FALSE)</f>
        <v>C00000042</v>
      </c>
      <c r="F3399" s="1" t="s">
        <v>2012</v>
      </c>
      <c r="G3399" s="90" t="s">
        <v>1061</v>
      </c>
      <c r="H3399" s="88">
        <v>4</v>
      </c>
      <c r="I3399" s="5" t="str">
        <f>VLOOKUP(F3399,'Set up'!$A$2:$C$70,3,FALSE)</f>
        <v>Cash</v>
      </c>
      <c r="J3399" s="5">
        <f>VLOOKUP(F3399,'Set up'!$A$2:$D$70,4,FALSE)</f>
        <v>0</v>
      </c>
      <c r="K3399" s="4">
        <f t="shared" si="846"/>
        <v>45612</v>
      </c>
      <c r="L3399" s="5">
        <f t="shared" si="847"/>
        <v>11</v>
      </c>
      <c r="M3399" s="5">
        <f t="shared" si="848"/>
        <v>2024</v>
      </c>
      <c r="N3399" s="12">
        <v>380</v>
      </c>
      <c r="O3399" s="6">
        <f t="shared" si="843"/>
        <v>-380</v>
      </c>
      <c r="P3399" s="12">
        <f t="shared" si="838"/>
        <v>0</v>
      </c>
      <c r="Q3399" s="7">
        <f t="shared" si="849"/>
        <v>5607817.75</v>
      </c>
      <c r="R3399" s="44" t="str">
        <f>VLOOKUP(F3399,'Set up'!$A$2:$E$70,5,FALSE)</f>
        <v>Trsf</v>
      </c>
      <c r="S3399" s="1" t="s">
        <v>3695</v>
      </c>
    </row>
    <row r="3400" spans="1:21" ht="15" customHeight="1" x14ac:dyDescent="0.3">
      <c r="A3400" s="4">
        <v>45612</v>
      </c>
      <c r="B3400" s="5">
        <f t="shared" si="844"/>
        <v>11</v>
      </c>
      <c r="C3400" s="5">
        <f t="shared" si="845"/>
        <v>2024</v>
      </c>
      <c r="D3400" s="5" t="s">
        <v>3128</v>
      </c>
      <c r="E3400" s="5" t="str">
        <f>VLOOKUP(F3400,'Set up'!$A$2:$C$70,2,FALSE)</f>
        <v>C00000042</v>
      </c>
      <c r="F3400" s="1" t="s">
        <v>2012</v>
      </c>
      <c r="G3400" s="103" t="s">
        <v>1073</v>
      </c>
      <c r="H3400" s="88">
        <v>2</v>
      </c>
      <c r="I3400" s="5" t="str">
        <f>VLOOKUP(F3400,'Set up'!$A$2:$C$70,3,FALSE)</f>
        <v>Cash</v>
      </c>
      <c r="J3400" s="5">
        <f>VLOOKUP(F3400,'Set up'!$A$2:$D$70,4,FALSE)</f>
        <v>0</v>
      </c>
      <c r="K3400" s="4">
        <f t="shared" si="846"/>
        <v>45612</v>
      </c>
      <c r="L3400" s="5">
        <f t="shared" si="847"/>
        <v>11</v>
      </c>
      <c r="M3400" s="5">
        <f t="shared" si="848"/>
        <v>2024</v>
      </c>
      <c r="N3400" s="12">
        <v>2000</v>
      </c>
      <c r="O3400" s="6">
        <f t="shared" si="843"/>
        <v>-2000</v>
      </c>
      <c r="P3400" s="12">
        <f t="shared" si="838"/>
        <v>0</v>
      </c>
      <c r="Q3400" s="7">
        <f t="shared" si="849"/>
        <v>5609817.75</v>
      </c>
      <c r="R3400" s="44" t="str">
        <f>VLOOKUP(F3400,'Set up'!$A$2:$E$70,5,FALSE)</f>
        <v>Trsf</v>
      </c>
      <c r="S3400" s="1" t="s">
        <v>3696</v>
      </c>
    </row>
    <row r="3401" spans="1:21" ht="15" customHeight="1" x14ac:dyDescent="0.3">
      <c r="A3401" s="4">
        <v>45615</v>
      </c>
      <c r="B3401" s="5">
        <f t="shared" si="844"/>
        <v>11</v>
      </c>
      <c r="C3401" s="5">
        <f t="shared" si="845"/>
        <v>2024</v>
      </c>
      <c r="D3401" s="5" t="s">
        <v>3129</v>
      </c>
      <c r="E3401" s="5" t="str">
        <f>VLOOKUP(F3401,'Set up'!$A$2:$C$70,2,FALSE)</f>
        <v>C00000049</v>
      </c>
      <c r="F3401" s="132" t="s">
        <v>2728</v>
      </c>
      <c r="G3401" s="133" t="s">
        <v>1715</v>
      </c>
      <c r="H3401" s="5">
        <v>1</v>
      </c>
      <c r="I3401" s="5" t="str">
        <f>VLOOKUP(F3401,'Set up'!$A$2:$C$70,3,FALSE)</f>
        <v>Cash</v>
      </c>
      <c r="J3401" s="5">
        <f>VLOOKUP(F3401,'Set up'!$A$2:$D$70,4,FALSE)</f>
        <v>0</v>
      </c>
      <c r="K3401" s="4">
        <f t="shared" si="846"/>
        <v>45615</v>
      </c>
      <c r="L3401" s="5">
        <f t="shared" si="847"/>
        <v>11</v>
      </c>
      <c r="M3401" s="5">
        <f t="shared" si="848"/>
        <v>2024</v>
      </c>
      <c r="N3401" s="96">
        <v>180</v>
      </c>
      <c r="O3401" s="12"/>
      <c r="P3401" s="12">
        <f t="shared" si="838"/>
        <v>180</v>
      </c>
      <c r="Q3401" s="7">
        <f t="shared" si="849"/>
        <v>5609997.75</v>
      </c>
      <c r="R3401" s="44" t="str">
        <f>VLOOKUP(F3401,'Set up'!$A$2:$E$70,5,FALSE)</f>
        <v>Cash</v>
      </c>
    </row>
    <row r="3402" spans="1:21" ht="15" customHeight="1" x14ac:dyDescent="0.3">
      <c r="A3402" s="4">
        <v>45615</v>
      </c>
      <c r="B3402" s="5">
        <f t="shared" si="844"/>
        <v>11</v>
      </c>
      <c r="C3402" s="5">
        <f t="shared" si="845"/>
        <v>2024</v>
      </c>
      <c r="D3402" s="5" t="s">
        <v>3129</v>
      </c>
      <c r="E3402" s="5" t="str">
        <f>VLOOKUP(F3402,'Set up'!$A$2:$C$70,2,FALSE)</f>
        <v>C00000049</v>
      </c>
      <c r="F3402" s="132" t="s">
        <v>2728</v>
      </c>
      <c r="G3402" s="90" t="s">
        <v>17</v>
      </c>
      <c r="H3402" s="5">
        <v>1</v>
      </c>
      <c r="I3402" s="5" t="str">
        <f>VLOOKUP(F3402,'Set up'!$A$2:$C$70,3,FALSE)</f>
        <v>Cash</v>
      </c>
      <c r="J3402" s="5">
        <f>VLOOKUP(F3402,'Set up'!$A$2:$D$70,4,FALSE)</f>
        <v>0</v>
      </c>
      <c r="K3402" s="4">
        <f t="shared" si="846"/>
        <v>45615</v>
      </c>
      <c r="L3402" s="5">
        <f t="shared" si="847"/>
        <v>11</v>
      </c>
      <c r="M3402" s="5">
        <f t="shared" si="848"/>
        <v>2024</v>
      </c>
      <c r="N3402" s="98">
        <v>115</v>
      </c>
      <c r="O3402" s="12"/>
      <c r="P3402" s="12">
        <f t="shared" si="838"/>
        <v>115</v>
      </c>
      <c r="Q3402" s="7">
        <f t="shared" si="849"/>
        <v>5610112.75</v>
      </c>
      <c r="R3402" s="44" t="str">
        <f>VLOOKUP(F3402,'Set up'!$A$2:$E$70,5,FALSE)</f>
        <v>Cash</v>
      </c>
    </row>
    <row r="3403" spans="1:21" ht="15" customHeight="1" x14ac:dyDescent="0.3">
      <c r="A3403" s="4">
        <v>45616</v>
      </c>
      <c r="B3403" s="5">
        <f t="shared" si="844"/>
        <v>11</v>
      </c>
      <c r="C3403" s="5">
        <f t="shared" si="845"/>
        <v>2024</v>
      </c>
      <c r="D3403" s="5" t="s">
        <v>3130</v>
      </c>
      <c r="E3403" s="5" t="str">
        <f>VLOOKUP(F3403,'Set up'!$A$2:$C$70,2,FALSE)</f>
        <v>C00000042</v>
      </c>
      <c r="F3403" s="1" t="s">
        <v>2012</v>
      </c>
      <c r="G3403" s="103" t="s">
        <v>2646</v>
      </c>
      <c r="H3403" s="5">
        <v>10</v>
      </c>
      <c r="I3403" s="5" t="str">
        <f>VLOOKUP(F3403,'Set up'!$A$2:$C$70,3,FALSE)</f>
        <v>Cash</v>
      </c>
      <c r="J3403" s="5">
        <f>VLOOKUP(F3403,'Set up'!$A$2:$D$70,4,FALSE)</f>
        <v>0</v>
      </c>
      <c r="K3403" s="4">
        <f t="shared" si="846"/>
        <v>45616</v>
      </c>
      <c r="L3403" s="5">
        <f t="shared" si="847"/>
        <v>11</v>
      </c>
      <c r="M3403" s="5">
        <f t="shared" si="848"/>
        <v>2024</v>
      </c>
      <c r="N3403" s="12">
        <v>625</v>
      </c>
      <c r="O3403" s="6">
        <f t="shared" ref="O3403:O3408" si="850">-N3403</f>
        <v>-625</v>
      </c>
      <c r="P3403" s="12">
        <f t="shared" si="838"/>
        <v>0</v>
      </c>
      <c r="Q3403" s="7">
        <f t="shared" si="849"/>
        <v>5610737.75</v>
      </c>
      <c r="R3403" s="44" t="str">
        <f>VLOOKUP(F3403,'Set up'!$A$2:$E$70,5,FALSE)</f>
        <v>Trsf</v>
      </c>
      <c r="S3403" s="1" t="s">
        <v>3697</v>
      </c>
    </row>
    <row r="3404" spans="1:21" ht="15" customHeight="1" x14ac:dyDescent="0.3">
      <c r="A3404" s="4">
        <v>45616</v>
      </c>
      <c r="B3404" s="5">
        <f t="shared" si="844"/>
        <v>11</v>
      </c>
      <c r="C3404" s="5">
        <f t="shared" si="845"/>
        <v>2024</v>
      </c>
      <c r="D3404" s="5" t="s">
        <v>3131</v>
      </c>
      <c r="E3404" s="5" t="str">
        <f>VLOOKUP(F3404,'Set up'!$A$2:$C$70,2,FALSE)</f>
        <v>C00000042</v>
      </c>
      <c r="F3404" s="1" t="s">
        <v>2012</v>
      </c>
      <c r="G3404" s="128" t="s">
        <v>3132</v>
      </c>
      <c r="H3404" s="88">
        <v>10</v>
      </c>
      <c r="I3404" s="5" t="str">
        <f>VLOOKUP(F3404,'Set up'!$A$2:$C$70,3,FALSE)</f>
        <v>Cash</v>
      </c>
      <c r="J3404" s="5">
        <f>VLOOKUP(F3404,'Set up'!$A$2:$D$70,4,FALSE)</f>
        <v>0</v>
      </c>
      <c r="K3404" s="4">
        <f t="shared" si="846"/>
        <v>45616</v>
      </c>
      <c r="L3404" s="5">
        <f t="shared" si="847"/>
        <v>11</v>
      </c>
      <c r="M3404" s="5">
        <f t="shared" si="848"/>
        <v>2024</v>
      </c>
      <c r="N3404" s="12">
        <v>16200</v>
      </c>
      <c r="O3404" s="6">
        <f>-11460.1-4739.9</f>
        <v>-16200</v>
      </c>
      <c r="P3404" s="12">
        <f t="shared" si="838"/>
        <v>0</v>
      </c>
      <c r="Q3404" s="7">
        <f t="shared" si="849"/>
        <v>5626937.75</v>
      </c>
      <c r="R3404" s="44" t="str">
        <f>VLOOKUP(F3404,'Set up'!$A$2:$E$70,5,FALSE)</f>
        <v>Trsf</v>
      </c>
      <c r="S3404" s="1" t="s">
        <v>3698</v>
      </c>
    </row>
    <row r="3405" spans="1:21" ht="15" customHeight="1" x14ac:dyDescent="0.3">
      <c r="A3405" s="4">
        <v>45616</v>
      </c>
      <c r="B3405" s="5">
        <f t="shared" si="844"/>
        <v>11</v>
      </c>
      <c r="C3405" s="5">
        <f t="shared" si="845"/>
        <v>2024</v>
      </c>
      <c r="D3405" s="5" t="s">
        <v>3131</v>
      </c>
      <c r="E3405" s="5" t="str">
        <f>VLOOKUP(F3405,'Set up'!$A$2:$C$70,2,FALSE)</f>
        <v>C00000042</v>
      </c>
      <c r="F3405" s="1" t="s">
        <v>2012</v>
      </c>
      <c r="G3405" s="128" t="s">
        <v>2434</v>
      </c>
      <c r="H3405" s="88">
        <v>30</v>
      </c>
      <c r="I3405" s="5" t="str">
        <f>VLOOKUP(F3405,'Set up'!$A$2:$C$70,3,FALSE)</f>
        <v>Cash</v>
      </c>
      <c r="J3405" s="5">
        <f>VLOOKUP(F3405,'Set up'!$A$2:$D$70,4,FALSE)</f>
        <v>0</v>
      </c>
      <c r="K3405" s="4">
        <f t="shared" si="846"/>
        <v>45616</v>
      </c>
      <c r="L3405" s="5">
        <f t="shared" si="847"/>
        <v>11</v>
      </c>
      <c r="M3405" s="5">
        <f t="shared" si="848"/>
        <v>2024</v>
      </c>
      <c r="N3405" s="12">
        <v>6438</v>
      </c>
      <c r="O3405" s="6">
        <f>-5260.1-1177.9</f>
        <v>-6438</v>
      </c>
      <c r="P3405" s="12">
        <f t="shared" si="838"/>
        <v>0</v>
      </c>
      <c r="Q3405" s="7">
        <f t="shared" si="849"/>
        <v>5633375.75</v>
      </c>
      <c r="R3405" s="44" t="str">
        <f>VLOOKUP(F3405,'Set up'!$A$2:$E$70,5,FALSE)</f>
        <v>Trsf</v>
      </c>
      <c r="S3405" s="1" t="s">
        <v>3699</v>
      </c>
    </row>
    <row r="3406" spans="1:21" ht="15" customHeight="1" x14ac:dyDescent="0.3">
      <c r="A3406" s="4">
        <v>45616</v>
      </c>
      <c r="B3406" s="5">
        <f t="shared" si="844"/>
        <v>11</v>
      </c>
      <c r="C3406" s="5">
        <f t="shared" si="845"/>
        <v>2024</v>
      </c>
      <c r="D3406" s="5" t="s">
        <v>3131</v>
      </c>
      <c r="E3406" s="5" t="str">
        <f>VLOOKUP(F3406,'Set up'!$A$2:$C$70,2,FALSE)</f>
        <v>C00000042</v>
      </c>
      <c r="F3406" s="1" t="s">
        <v>2012</v>
      </c>
      <c r="G3406" s="90" t="s">
        <v>1922</v>
      </c>
      <c r="H3406" s="88">
        <v>15</v>
      </c>
      <c r="I3406" s="5" t="str">
        <f>VLOOKUP(F3406,'Set up'!$A$2:$C$70,3,FALSE)</f>
        <v>Cash</v>
      </c>
      <c r="J3406" s="5">
        <f>VLOOKUP(F3406,'Set up'!$A$2:$D$70,4,FALSE)</f>
        <v>0</v>
      </c>
      <c r="K3406" s="4">
        <f t="shared" si="846"/>
        <v>45616</v>
      </c>
      <c r="L3406" s="5">
        <f t="shared" si="847"/>
        <v>11</v>
      </c>
      <c r="M3406" s="5">
        <f t="shared" si="848"/>
        <v>2024</v>
      </c>
      <c r="N3406" s="12">
        <v>3577.5</v>
      </c>
      <c r="O3406" s="6">
        <f t="shared" si="850"/>
        <v>-3577.5</v>
      </c>
      <c r="P3406" s="12">
        <f t="shared" si="838"/>
        <v>0</v>
      </c>
      <c r="Q3406" s="7">
        <f t="shared" si="849"/>
        <v>5636953.25</v>
      </c>
      <c r="R3406" s="44" t="str">
        <f>VLOOKUP(F3406,'Set up'!$A$2:$E$70,5,FALSE)</f>
        <v>Trsf</v>
      </c>
      <c r="S3406" s="1" t="s">
        <v>3759</v>
      </c>
    </row>
    <row r="3407" spans="1:21" ht="15" customHeight="1" x14ac:dyDescent="0.3">
      <c r="A3407" s="4">
        <v>45616</v>
      </c>
      <c r="B3407" s="5">
        <f t="shared" si="844"/>
        <v>11</v>
      </c>
      <c r="C3407" s="5">
        <f t="shared" si="845"/>
        <v>2024</v>
      </c>
      <c r="D3407" s="5" t="s">
        <v>3131</v>
      </c>
      <c r="E3407" s="5" t="str">
        <f>VLOOKUP(F3407,'Set up'!$A$2:$C$70,2,FALSE)</f>
        <v>C00000042</v>
      </c>
      <c r="F3407" s="1" t="s">
        <v>2012</v>
      </c>
      <c r="G3407" s="90" t="s">
        <v>1061</v>
      </c>
      <c r="H3407" s="88">
        <v>4</v>
      </c>
      <c r="I3407" s="5" t="str">
        <f>VLOOKUP(F3407,'Set up'!$A$2:$C$70,3,FALSE)</f>
        <v>Cash</v>
      </c>
      <c r="J3407" s="5">
        <f>VLOOKUP(F3407,'Set up'!$A$2:$D$70,4,FALSE)</f>
        <v>0</v>
      </c>
      <c r="K3407" s="4">
        <f t="shared" si="846"/>
        <v>45616</v>
      </c>
      <c r="L3407" s="5">
        <f t="shared" si="847"/>
        <v>11</v>
      </c>
      <c r="M3407" s="5">
        <f t="shared" si="848"/>
        <v>2024</v>
      </c>
      <c r="N3407" s="12">
        <v>380</v>
      </c>
      <c r="O3407" s="6">
        <f t="shared" si="850"/>
        <v>-380</v>
      </c>
      <c r="P3407" s="12">
        <f t="shared" si="838"/>
        <v>0</v>
      </c>
      <c r="Q3407" s="7">
        <f t="shared" si="849"/>
        <v>5637333.25</v>
      </c>
      <c r="R3407" s="44" t="str">
        <f>VLOOKUP(F3407,'Set up'!$A$2:$E$70,5,FALSE)</f>
        <v>Trsf</v>
      </c>
      <c r="S3407" s="1" t="s">
        <v>3760</v>
      </c>
    </row>
    <row r="3408" spans="1:21" ht="15" customHeight="1" x14ac:dyDescent="0.3">
      <c r="A3408" s="4">
        <v>45616</v>
      </c>
      <c r="B3408" s="5">
        <f t="shared" si="844"/>
        <v>11</v>
      </c>
      <c r="C3408" s="5">
        <f t="shared" si="845"/>
        <v>2024</v>
      </c>
      <c r="D3408" s="5" t="s">
        <v>3131</v>
      </c>
      <c r="E3408" s="5" t="str">
        <f>VLOOKUP(F3408,'Set up'!$A$2:$C$70,2,FALSE)</f>
        <v>C00000042</v>
      </c>
      <c r="F3408" s="1" t="s">
        <v>2012</v>
      </c>
      <c r="G3408" s="90" t="s">
        <v>1073</v>
      </c>
      <c r="H3408" s="88">
        <v>2</v>
      </c>
      <c r="I3408" s="5" t="str">
        <f>VLOOKUP(F3408,'Set up'!$A$2:$C$70,3,FALSE)</f>
        <v>Cash</v>
      </c>
      <c r="J3408" s="5">
        <f>VLOOKUP(F3408,'Set up'!$A$2:$D$70,4,FALSE)</f>
        <v>0</v>
      </c>
      <c r="K3408" s="4">
        <f t="shared" si="846"/>
        <v>45616</v>
      </c>
      <c r="L3408" s="5">
        <f t="shared" si="847"/>
        <v>11</v>
      </c>
      <c r="M3408" s="5">
        <f t="shared" si="848"/>
        <v>2024</v>
      </c>
      <c r="N3408" s="12">
        <v>2000</v>
      </c>
      <c r="O3408" s="6">
        <f t="shared" si="850"/>
        <v>-2000</v>
      </c>
      <c r="P3408" s="12">
        <f t="shared" si="838"/>
        <v>0</v>
      </c>
      <c r="Q3408" s="7">
        <f t="shared" si="849"/>
        <v>5639333.25</v>
      </c>
      <c r="R3408" s="44" t="str">
        <f>VLOOKUP(F3408,'Set up'!$A$2:$E$70,5,FALSE)</f>
        <v>Trsf</v>
      </c>
      <c r="S3408" s="1" t="s">
        <v>3761</v>
      </c>
    </row>
    <row r="3409" spans="1:19" ht="15" customHeight="1" x14ac:dyDescent="0.3">
      <c r="A3409" s="4">
        <v>45619</v>
      </c>
      <c r="B3409" s="5">
        <f t="shared" si="844"/>
        <v>11</v>
      </c>
      <c r="C3409" s="5">
        <f t="shared" si="845"/>
        <v>2024</v>
      </c>
      <c r="D3409" s="5" t="s">
        <v>3133</v>
      </c>
      <c r="E3409" s="5" t="str">
        <f>VLOOKUP(F3409,'Set up'!$A$2:$C$70,2,FALSE)</f>
        <v>C00000044</v>
      </c>
      <c r="F3409" s="1" t="s">
        <v>2929</v>
      </c>
      <c r="G3409" s="128" t="s">
        <v>3122</v>
      </c>
      <c r="H3409" s="121">
        <v>1</v>
      </c>
      <c r="I3409" s="5" t="str">
        <f>VLOOKUP(F3409,'Set up'!$A$2:$C$70,3,FALSE)</f>
        <v>Cash</v>
      </c>
      <c r="J3409" s="5">
        <f>VLOOKUP(F3409,'Set up'!$A$2:$D$70,4,FALSE)</f>
        <v>0</v>
      </c>
      <c r="K3409" s="4">
        <f t="shared" si="846"/>
        <v>45619</v>
      </c>
      <c r="L3409" s="5">
        <f t="shared" si="847"/>
        <v>11</v>
      </c>
      <c r="M3409" s="5">
        <f t="shared" si="848"/>
        <v>2024</v>
      </c>
      <c r="N3409" s="12">
        <v>1732.5</v>
      </c>
      <c r="O3409" s="6">
        <f t="shared" ref="O3409:O3418" si="851">-N3409</f>
        <v>-1732.5</v>
      </c>
      <c r="P3409" s="12">
        <f t="shared" si="838"/>
        <v>0</v>
      </c>
      <c r="Q3409" s="7">
        <f t="shared" si="849"/>
        <v>5641065.75</v>
      </c>
      <c r="R3409" s="44" t="str">
        <f>VLOOKUP(F3409,'Set up'!$A$2:$E$70,5,FALSE)</f>
        <v>Cash</v>
      </c>
      <c r="S3409" s="1" t="s">
        <v>3204</v>
      </c>
    </row>
    <row r="3410" spans="1:19" ht="15" customHeight="1" x14ac:dyDescent="0.3">
      <c r="A3410" s="4">
        <v>45619</v>
      </c>
      <c r="B3410" s="5">
        <f t="shared" si="844"/>
        <v>11</v>
      </c>
      <c r="C3410" s="5">
        <f t="shared" si="845"/>
        <v>2024</v>
      </c>
      <c r="D3410" s="5" t="s">
        <v>3133</v>
      </c>
      <c r="E3410" s="5" t="str">
        <f>VLOOKUP(F3410,'Set up'!$A$2:$C$70,2,FALSE)</f>
        <v>C00000044</v>
      </c>
      <c r="F3410" s="1" t="s">
        <v>2929</v>
      </c>
      <c r="G3410" s="120" t="s">
        <v>2570</v>
      </c>
      <c r="H3410" s="121">
        <v>3</v>
      </c>
      <c r="I3410" s="5" t="str">
        <f>VLOOKUP(F3410,'Set up'!$A$2:$C$70,3,FALSE)</f>
        <v>Cash</v>
      </c>
      <c r="J3410" s="5">
        <f>VLOOKUP(F3410,'Set up'!$A$2:$D$70,4,FALSE)</f>
        <v>0</v>
      </c>
      <c r="K3410" s="4">
        <f t="shared" si="846"/>
        <v>45619</v>
      </c>
      <c r="L3410" s="5">
        <f t="shared" si="847"/>
        <v>11</v>
      </c>
      <c r="M3410" s="5">
        <f t="shared" si="848"/>
        <v>2024</v>
      </c>
      <c r="N3410" s="12">
        <v>648</v>
      </c>
      <c r="O3410" s="6">
        <f t="shared" si="851"/>
        <v>-648</v>
      </c>
      <c r="P3410" s="12">
        <f t="shared" si="838"/>
        <v>0</v>
      </c>
      <c r="Q3410" s="7">
        <f t="shared" si="849"/>
        <v>5641713.75</v>
      </c>
      <c r="R3410" s="44" t="str">
        <f>VLOOKUP(F3410,'Set up'!$A$2:$E$70,5,FALSE)</f>
        <v>Cash</v>
      </c>
      <c r="S3410" s="1" t="s">
        <v>3204</v>
      </c>
    </row>
    <row r="3411" spans="1:19" ht="15" customHeight="1" x14ac:dyDescent="0.3">
      <c r="A3411" s="4">
        <v>45619</v>
      </c>
      <c r="B3411" s="5">
        <f t="shared" si="844"/>
        <v>11</v>
      </c>
      <c r="C3411" s="5">
        <f t="shared" si="845"/>
        <v>2024</v>
      </c>
      <c r="D3411" s="5" t="s">
        <v>3133</v>
      </c>
      <c r="E3411" s="5" t="str">
        <f>VLOOKUP(F3411,'Set up'!$A$2:$C$70,2,FALSE)</f>
        <v>C00000044</v>
      </c>
      <c r="F3411" s="1" t="s">
        <v>2929</v>
      </c>
      <c r="G3411" s="120" t="s">
        <v>2738</v>
      </c>
      <c r="H3411" s="121">
        <v>5</v>
      </c>
      <c r="I3411" s="5" t="str">
        <f>VLOOKUP(F3411,'Set up'!$A$2:$C$70,3,FALSE)</f>
        <v>Cash</v>
      </c>
      <c r="J3411" s="5">
        <f>VLOOKUP(F3411,'Set up'!$A$2:$D$70,4,FALSE)</f>
        <v>0</v>
      </c>
      <c r="K3411" s="4">
        <f t="shared" si="846"/>
        <v>45619</v>
      </c>
      <c r="L3411" s="5">
        <f t="shared" si="847"/>
        <v>11</v>
      </c>
      <c r="M3411" s="5">
        <f t="shared" si="848"/>
        <v>2024</v>
      </c>
      <c r="N3411" s="12">
        <v>890</v>
      </c>
      <c r="O3411" s="6">
        <f t="shared" si="851"/>
        <v>-890</v>
      </c>
      <c r="P3411" s="12">
        <f t="shared" si="838"/>
        <v>0</v>
      </c>
      <c r="Q3411" s="7">
        <f t="shared" si="849"/>
        <v>5642603.75</v>
      </c>
      <c r="R3411" s="44" t="str">
        <f>VLOOKUP(F3411,'Set up'!$A$2:$E$70,5,FALSE)</f>
        <v>Cash</v>
      </c>
      <c r="S3411" s="1" t="s">
        <v>3204</v>
      </c>
    </row>
    <row r="3412" spans="1:19" ht="15" customHeight="1" x14ac:dyDescent="0.3">
      <c r="A3412" s="4">
        <v>45619</v>
      </c>
      <c r="B3412" s="5">
        <f t="shared" si="844"/>
        <v>11</v>
      </c>
      <c r="C3412" s="5">
        <f t="shared" si="845"/>
        <v>2024</v>
      </c>
      <c r="D3412" s="5" t="s">
        <v>3133</v>
      </c>
      <c r="E3412" s="5" t="str">
        <f>VLOOKUP(F3412,'Set up'!$A$2:$C$70,2,FALSE)</f>
        <v>C00000044</v>
      </c>
      <c r="F3412" s="1" t="s">
        <v>2929</v>
      </c>
      <c r="G3412" s="120" t="s">
        <v>46</v>
      </c>
      <c r="H3412" s="121">
        <v>1</v>
      </c>
      <c r="I3412" s="5" t="str">
        <f>VLOOKUP(F3412,'Set up'!$A$2:$C$70,3,FALSE)</f>
        <v>Cash</v>
      </c>
      <c r="J3412" s="5">
        <f>VLOOKUP(F3412,'Set up'!$A$2:$D$70,4,FALSE)</f>
        <v>0</v>
      </c>
      <c r="K3412" s="4">
        <f t="shared" si="846"/>
        <v>45619</v>
      </c>
      <c r="L3412" s="5">
        <f t="shared" si="847"/>
        <v>11</v>
      </c>
      <c r="M3412" s="5">
        <f t="shared" si="848"/>
        <v>2024</v>
      </c>
      <c r="N3412" s="12">
        <v>110</v>
      </c>
      <c r="O3412" s="6">
        <f t="shared" si="851"/>
        <v>-110</v>
      </c>
      <c r="P3412" s="12">
        <f t="shared" si="838"/>
        <v>0</v>
      </c>
      <c r="Q3412" s="7">
        <f t="shared" si="849"/>
        <v>5642713.75</v>
      </c>
      <c r="R3412" s="44" t="str">
        <f>VLOOKUP(F3412,'Set up'!$A$2:$E$70,5,FALSE)</f>
        <v>Cash</v>
      </c>
      <c r="S3412" s="1" t="s">
        <v>3204</v>
      </c>
    </row>
    <row r="3413" spans="1:19" ht="15" customHeight="1" x14ac:dyDescent="0.3">
      <c r="A3413" s="4">
        <v>45619</v>
      </c>
      <c r="B3413" s="5">
        <f t="shared" si="844"/>
        <v>11</v>
      </c>
      <c r="C3413" s="5">
        <f t="shared" si="845"/>
        <v>2024</v>
      </c>
      <c r="D3413" s="5" t="s">
        <v>3133</v>
      </c>
      <c r="E3413" s="5" t="str">
        <f>VLOOKUP(F3413,'Set up'!$A$2:$C$70,2,FALSE)</f>
        <v>C00000044</v>
      </c>
      <c r="F3413" s="1" t="s">
        <v>2929</v>
      </c>
      <c r="G3413" s="120" t="s">
        <v>2558</v>
      </c>
      <c r="H3413" s="121">
        <v>1</v>
      </c>
      <c r="I3413" s="5" t="str">
        <f>VLOOKUP(F3413,'Set up'!$A$2:$C$70,3,FALSE)</f>
        <v>Cash</v>
      </c>
      <c r="J3413" s="5">
        <f>VLOOKUP(F3413,'Set up'!$A$2:$D$70,4,FALSE)</f>
        <v>0</v>
      </c>
      <c r="K3413" s="4">
        <f t="shared" si="846"/>
        <v>45619</v>
      </c>
      <c r="L3413" s="5">
        <f t="shared" si="847"/>
        <v>11</v>
      </c>
      <c r="M3413" s="5">
        <f t="shared" si="848"/>
        <v>2024</v>
      </c>
      <c r="N3413" s="12">
        <v>250</v>
      </c>
      <c r="O3413" s="6">
        <f>-N3413</f>
        <v>-250</v>
      </c>
      <c r="P3413" s="12">
        <f t="shared" ref="P3413:P3446" si="852">SUM(N3413+O3413)</f>
        <v>0</v>
      </c>
      <c r="Q3413" s="7">
        <f t="shared" si="849"/>
        <v>5642963.75</v>
      </c>
      <c r="R3413" s="44" t="str">
        <f>VLOOKUP(F3413,'Set up'!$A$2:$E$70,5,FALSE)</f>
        <v>Cash</v>
      </c>
      <c r="S3413" s="1" t="s">
        <v>3204</v>
      </c>
    </row>
    <row r="3414" spans="1:19" ht="15" customHeight="1" x14ac:dyDescent="0.3">
      <c r="A3414" s="4">
        <v>45618</v>
      </c>
      <c r="B3414" s="5">
        <f t="shared" si="844"/>
        <v>11</v>
      </c>
      <c r="C3414" s="5">
        <f t="shared" si="845"/>
        <v>2024</v>
      </c>
      <c r="D3414" s="5" t="s">
        <v>3134</v>
      </c>
      <c r="E3414" s="5" t="str">
        <f>VLOOKUP(F3414,'Set up'!$A$2:$C$70,2,FALSE)</f>
        <v>C00000050</v>
      </c>
      <c r="F3414" s="1" t="s">
        <v>2656</v>
      </c>
      <c r="G3414" s="100" t="s">
        <v>3122</v>
      </c>
      <c r="H3414" s="105">
        <v>1</v>
      </c>
      <c r="I3414" s="5" t="str">
        <f>VLOOKUP(F3414,'Set up'!$A$2:$C$70,3,FALSE)</f>
        <v>Cash</v>
      </c>
      <c r="J3414" s="5">
        <f>VLOOKUP(F3414,'Set up'!$A$2:$D$70,4,FALSE)</f>
        <v>0</v>
      </c>
      <c r="K3414" s="4">
        <f t="shared" si="846"/>
        <v>45618</v>
      </c>
      <c r="L3414" s="5">
        <f t="shared" si="847"/>
        <v>11</v>
      </c>
      <c r="M3414" s="5">
        <f t="shared" si="848"/>
        <v>2024</v>
      </c>
      <c r="N3414" s="12">
        <v>1755</v>
      </c>
      <c r="O3414" s="6">
        <f t="shared" si="851"/>
        <v>-1755</v>
      </c>
      <c r="P3414" s="12">
        <f t="shared" si="852"/>
        <v>0</v>
      </c>
      <c r="Q3414" s="7">
        <f t="shared" si="849"/>
        <v>5644718.75</v>
      </c>
      <c r="R3414" s="44" t="str">
        <f>VLOOKUP(F3414,'Set up'!$A$2:$E$70,5,FALSE)</f>
        <v>Cash</v>
      </c>
      <c r="S3414" s="1" t="s">
        <v>3205</v>
      </c>
    </row>
    <row r="3415" spans="1:19" ht="15" customHeight="1" x14ac:dyDescent="0.3">
      <c r="A3415" s="4">
        <v>45618</v>
      </c>
      <c r="B3415" s="5">
        <f t="shared" si="844"/>
        <v>11</v>
      </c>
      <c r="C3415" s="5">
        <f t="shared" si="845"/>
        <v>2024</v>
      </c>
      <c r="D3415" s="5" t="s">
        <v>3134</v>
      </c>
      <c r="E3415" s="5" t="str">
        <f>VLOOKUP(F3415,'Set up'!$A$2:$C$70,2,FALSE)</f>
        <v>C00000050</v>
      </c>
      <c r="F3415" s="1" t="s">
        <v>2656</v>
      </c>
      <c r="G3415" s="99" t="s">
        <v>3116</v>
      </c>
      <c r="H3415" s="105">
        <v>1</v>
      </c>
      <c r="I3415" s="5" t="str">
        <f>VLOOKUP(F3415,'Set up'!$A$2:$C$70,3,FALSE)</f>
        <v>Cash</v>
      </c>
      <c r="J3415" s="5">
        <f>VLOOKUP(F3415,'Set up'!$A$2:$D$70,4,FALSE)</f>
        <v>0</v>
      </c>
      <c r="K3415" s="4">
        <f t="shared" si="846"/>
        <v>45618</v>
      </c>
      <c r="L3415" s="5">
        <f t="shared" si="847"/>
        <v>11</v>
      </c>
      <c r="M3415" s="5">
        <f t="shared" si="848"/>
        <v>2024</v>
      </c>
      <c r="N3415" s="12">
        <v>277.5</v>
      </c>
      <c r="O3415" s="6">
        <f t="shared" si="851"/>
        <v>-277.5</v>
      </c>
      <c r="P3415" s="12">
        <f t="shared" si="852"/>
        <v>0</v>
      </c>
      <c r="Q3415" s="7">
        <f t="shared" si="849"/>
        <v>5644996.25</v>
      </c>
      <c r="R3415" s="44" t="str">
        <f>VLOOKUP(F3415,'Set up'!$A$2:$E$70,5,FALSE)</f>
        <v>Cash</v>
      </c>
      <c r="S3415" s="1" t="s">
        <v>3205</v>
      </c>
    </row>
    <row r="3416" spans="1:19" ht="15" customHeight="1" x14ac:dyDescent="0.3">
      <c r="A3416" s="4">
        <v>45618</v>
      </c>
      <c r="B3416" s="5">
        <f t="shared" si="844"/>
        <v>11</v>
      </c>
      <c r="C3416" s="5">
        <f t="shared" si="845"/>
        <v>2024</v>
      </c>
      <c r="D3416" s="5" t="s">
        <v>3134</v>
      </c>
      <c r="E3416" s="5" t="str">
        <f>VLOOKUP(F3416,'Set up'!$A$2:$C$70,2,FALSE)</f>
        <v>C00000050</v>
      </c>
      <c r="F3416" s="1" t="s">
        <v>2656</v>
      </c>
      <c r="G3416" s="99" t="s">
        <v>1061</v>
      </c>
      <c r="H3416" s="105">
        <v>1</v>
      </c>
      <c r="I3416" s="5" t="str">
        <f>VLOOKUP(F3416,'Set up'!$A$2:$C$70,3,FALSE)</f>
        <v>Cash</v>
      </c>
      <c r="J3416" s="5">
        <f>VLOOKUP(F3416,'Set up'!$A$2:$D$70,4,FALSE)</f>
        <v>0</v>
      </c>
      <c r="K3416" s="4">
        <f t="shared" si="846"/>
        <v>45618</v>
      </c>
      <c r="L3416" s="5">
        <f t="shared" si="847"/>
        <v>11</v>
      </c>
      <c r="M3416" s="5">
        <f t="shared" si="848"/>
        <v>2024</v>
      </c>
      <c r="N3416" s="12">
        <v>95</v>
      </c>
      <c r="O3416" s="6">
        <f t="shared" si="851"/>
        <v>-95</v>
      </c>
      <c r="P3416" s="12">
        <f t="shared" si="852"/>
        <v>0</v>
      </c>
      <c r="Q3416" s="7">
        <f t="shared" si="849"/>
        <v>5645091.25</v>
      </c>
      <c r="R3416" s="44" t="str">
        <f>VLOOKUP(F3416,'Set up'!$A$2:$E$70,5,FALSE)</f>
        <v>Cash</v>
      </c>
      <c r="S3416" s="1" t="s">
        <v>3205</v>
      </c>
    </row>
    <row r="3417" spans="1:19" ht="15" customHeight="1" x14ac:dyDescent="0.3">
      <c r="A3417" s="4">
        <v>45618</v>
      </c>
      <c r="B3417" s="5">
        <f t="shared" si="844"/>
        <v>11</v>
      </c>
      <c r="C3417" s="5">
        <f t="shared" si="845"/>
        <v>2024</v>
      </c>
      <c r="D3417" s="5" t="s">
        <v>3134</v>
      </c>
      <c r="E3417" s="5" t="str">
        <f>VLOOKUP(F3417,'Set up'!$A$2:$C$70,2,FALSE)</f>
        <v>C00000050</v>
      </c>
      <c r="F3417" s="1" t="s">
        <v>2656</v>
      </c>
      <c r="G3417" s="90" t="s">
        <v>2519</v>
      </c>
      <c r="H3417" s="105">
        <v>12</v>
      </c>
      <c r="I3417" s="5" t="str">
        <f>VLOOKUP(F3417,'Set up'!$A$2:$C$70,3,FALSE)</f>
        <v>Cash</v>
      </c>
      <c r="J3417" s="5">
        <f>VLOOKUP(F3417,'Set up'!$A$2:$D$70,4,FALSE)</f>
        <v>0</v>
      </c>
      <c r="K3417" s="4">
        <f t="shared" si="846"/>
        <v>45618</v>
      </c>
      <c r="L3417" s="5">
        <f t="shared" si="847"/>
        <v>11</v>
      </c>
      <c r="M3417" s="5">
        <f t="shared" si="848"/>
        <v>2024</v>
      </c>
      <c r="N3417" s="12">
        <v>540</v>
      </c>
      <c r="O3417" s="6">
        <f t="shared" si="851"/>
        <v>-540</v>
      </c>
      <c r="P3417" s="12">
        <f t="shared" si="852"/>
        <v>0</v>
      </c>
      <c r="Q3417" s="7">
        <f t="shared" si="849"/>
        <v>5645631.25</v>
      </c>
      <c r="R3417" s="44" t="str">
        <f>VLOOKUP(F3417,'Set up'!$A$2:$E$70,5,FALSE)</f>
        <v>Cash</v>
      </c>
      <c r="S3417" s="1" t="s">
        <v>3205</v>
      </c>
    </row>
    <row r="3418" spans="1:19" ht="15" customHeight="1" x14ac:dyDescent="0.3">
      <c r="A3418" s="4">
        <v>45618</v>
      </c>
      <c r="B3418" s="5">
        <f t="shared" si="844"/>
        <v>11</v>
      </c>
      <c r="C3418" s="5">
        <f t="shared" si="845"/>
        <v>2024</v>
      </c>
      <c r="D3418" s="5" t="s">
        <v>3134</v>
      </c>
      <c r="E3418" s="5" t="str">
        <f>VLOOKUP(F3418,'Set up'!$A$2:$C$70,2,FALSE)</f>
        <v>C00000050</v>
      </c>
      <c r="F3418" s="1" t="s">
        <v>2656</v>
      </c>
      <c r="G3418" s="99" t="s">
        <v>800</v>
      </c>
      <c r="H3418" s="105">
        <v>1</v>
      </c>
      <c r="I3418" s="5" t="str">
        <f>VLOOKUP(F3418,'Set up'!$A$2:$C$70,3,FALSE)</f>
        <v>Cash</v>
      </c>
      <c r="J3418" s="5">
        <f>VLOOKUP(F3418,'Set up'!$A$2:$D$70,4,FALSE)</f>
        <v>0</v>
      </c>
      <c r="K3418" s="4">
        <f t="shared" si="846"/>
        <v>45618</v>
      </c>
      <c r="L3418" s="5">
        <f t="shared" si="847"/>
        <v>11</v>
      </c>
      <c r="M3418" s="5">
        <f t="shared" si="848"/>
        <v>2024</v>
      </c>
      <c r="N3418" s="12">
        <v>225</v>
      </c>
      <c r="O3418" s="6">
        <f t="shared" si="851"/>
        <v>-225</v>
      </c>
      <c r="P3418" s="12">
        <f t="shared" si="852"/>
        <v>0</v>
      </c>
      <c r="Q3418" s="7">
        <f t="shared" si="849"/>
        <v>5645856.25</v>
      </c>
      <c r="R3418" s="44" t="str">
        <f>VLOOKUP(F3418,'Set up'!$A$2:$E$70,5,FALSE)</f>
        <v>Cash</v>
      </c>
      <c r="S3418" s="1" t="s">
        <v>3205</v>
      </c>
    </row>
    <row r="3419" spans="1:19" ht="15" customHeight="1" x14ac:dyDescent="0.3">
      <c r="A3419" s="4">
        <v>45618</v>
      </c>
      <c r="B3419" s="5">
        <f t="shared" si="844"/>
        <v>11</v>
      </c>
      <c r="C3419" s="5">
        <f t="shared" si="845"/>
        <v>2024</v>
      </c>
      <c r="D3419" s="5" t="s">
        <v>3135</v>
      </c>
      <c r="E3419" s="5" t="str">
        <f>VLOOKUP(F3419,'Set up'!$A$2:$C$70,2,FALSE)</f>
        <v>C00000049</v>
      </c>
      <c r="F3419" s="132" t="s">
        <v>2728</v>
      </c>
      <c r="G3419" s="128" t="s">
        <v>3122</v>
      </c>
      <c r="H3419" s="5">
        <v>1</v>
      </c>
      <c r="I3419" s="5" t="str">
        <f>VLOOKUP(F3419,'Set up'!$A$2:$C$70,3,FALSE)</f>
        <v>Cash</v>
      </c>
      <c r="J3419" s="5">
        <f>VLOOKUP(F3419,'Set up'!$A$2:$D$70,4,FALSE)</f>
        <v>0</v>
      </c>
      <c r="K3419" s="4">
        <f t="shared" si="846"/>
        <v>45618</v>
      </c>
      <c r="L3419" s="5">
        <f t="shared" si="847"/>
        <v>11</v>
      </c>
      <c r="M3419" s="5">
        <f t="shared" si="848"/>
        <v>2024</v>
      </c>
      <c r="N3419" s="96">
        <v>1755</v>
      </c>
      <c r="O3419" s="12"/>
      <c r="P3419" s="12">
        <f t="shared" si="852"/>
        <v>1755</v>
      </c>
      <c r="Q3419" s="7">
        <f t="shared" si="849"/>
        <v>5647611.25</v>
      </c>
      <c r="R3419" s="44" t="str">
        <f>VLOOKUP(F3419,'Set up'!$A$2:$E$70,5,FALSE)</f>
        <v>Cash</v>
      </c>
    </row>
    <row r="3420" spans="1:19" ht="15" customHeight="1" x14ac:dyDescent="0.3">
      <c r="A3420" s="4">
        <v>45618</v>
      </c>
      <c r="B3420" s="5">
        <f t="shared" si="844"/>
        <v>11</v>
      </c>
      <c r="C3420" s="5">
        <f t="shared" si="845"/>
        <v>2024</v>
      </c>
      <c r="D3420" s="5" t="s">
        <v>3135</v>
      </c>
      <c r="E3420" s="5" t="str">
        <f>VLOOKUP(F3420,'Set up'!$A$2:$C$70,2,FALSE)</f>
        <v>C00000049</v>
      </c>
      <c r="F3420" s="132" t="s">
        <v>2728</v>
      </c>
      <c r="G3420" s="90" t="s">
        <v>1469</v>
      </c>
      <c r="H3420" s="5">
        <v>1</v>
      </c>
      <c r="I3420" s="5" t="str">
        <f>VLOOKUP(F3420,'Set up'!$A$2:$C$70,3,FALSE)</f>
        <v>Cash</v>
      </c>
      <c r="J3420" s="5">
        <f>VLOOKUP(F3420,'Set up'!$A$2:$D$70,4,FALSE)</f>
        <v>0</v>
      </c>
      <c r="K3420" s="4">
        <f t="shared" si="846"/>
        <v>45618</v>
      </c>
      <c r="L3420" s="5">
        <f t="shared" si="847"/>
        <v>11</v>
      </c>
      <c r="M3420" s="5">
        <f t="shared" si="848"/>
        <v>2024</v>
      </c>
      <c r="N3420" s="98">
        <v>390</v>
      </c>
      <c r="O3420" s="12"/>
      <c r="P3420" s="12">
        <f t="shared" si="852"/>
        <v>390</v>
      </c>
      <c r="Q3420" s="7">
        <f t="shared" si="849"/>
        <v>5648001.25</v>
      </c>
      <c r="R3420" s="44" t="str">
        <f>VLOOKUP(F3420,'Set up'!$A$2:$E$70,5,FALSE)</f>
        <v>Cash</v>
      </c>
    </row>
    <row r="3421" spans="1:19" ht="15" customHeight="1" x14ac:dyDescent="0.3">
      <c r="A3421" s="4">
        <v>45618</v>
      </c>
      <c r="B3421" s="5">
        <f t="shared" si="844"/>
        <v>11</v>
      </c>
      <c r="C3421" s="5">
        <f t="shared" si="845"/>
        <v>2024</v>
      </c>
      <c r="D3421" s="5" t="s">
        <v>3135</v>
      </c>
      <c r="E3421" s="5" t="str">
        <f>VLOOKUP(F3421,'Set up'!$A$2:$C$70,2,FALSE)</f>
        <v>C00000049</v>
      </c>
      <c r="F3421" s="132" t="s">
        <v>2728</v>
      </c>
      <c r="G3421" s="133" t="s">
        <v>2523</v>
      </c>
      <c r="H3421" s="5">
        <v>1</v>
      </c>
      <c r="I3421" s="5" t="str">
        <f>VLOOKUP(F3421,'Set up'!$A$2:$C$70,3,FALSE)</f>
        <v>Cash</v>
      </c>
      <c r="J3421" s="5">
        <f>VLOOKUP(F3421,'Set up'!$A$2:$D$70,4,FALSE)</f>
        <v>0</v>
      </c>
      <c r="K3421" s="4">
        <f t="shared" si="846"/>
        <v>45618</v>
      </c>
      <c r="L3421" s="5">
        <f t="shared" si="847"/>
        <v>11</v>
      </c>
      <c r="M3421" s="5">
        <f t="shared" si="848"/>
        <v>2024</v>
      </c>
      <c r="N3421" s="96">
        <v>225</v>
      </c>
      <c r="O3421" s="12"/>
      <c r="P3421" s="12">
        <f t="shared" si="852"/>
        <v>225</v>
      </c>
      <c r="Q3421" s="7">
        <f t="shared" si="849"/>
        <v>5648226.25</v>
      </c>
      <c r="R3421" s="44" t="str">
        <f>VLOOKUP(F3421,'Set up'!$A$2:$E$70,5,FALSE)</f>
        <v>Cash</v>
      </c>
    </row>
    <row r="3422" spans="1:19" ht="15" customHeight="1" x14ac:dyDescent="0.3">
      <c r="A3422" s="4">
        <v>45618</v>
      </c>
      <c r="B3422" s="5">
        <f t="shared" si="844"/>
        <v>11</v>
      </c>
      <c r="C3422" s="5">
        <f t="shared" si="845"/>
        <v>2024</v>
      </c>
      <c r="D3422" s="5" t="s">
        <v>3135</v>
      </c>
      <c r="E3422" s="5" t="str">
        <f>VLOOKUP(F3422,'Set up'!$A$2:$C$70,2,FALSE)</f>
        <v>C00000049</v>
      </c>
      <c r="F3422" s="132" t="s">
        <v>2728</v>
      </c>
      <c r="G3422" s="103" t="s">
        <v>2646</v>
      </c>
      <c r="H3422" s="5">
        <v>1</v>
      </c>
      <c r="I3422" s="5" t="str">
        <f>VLOOKUP(F3422,'Set up'!$A$2:$C$70,3,FALSE)</f>
        <v>Cash</v>
      </c>
      <c r="J3422" s="5">
        <f>VLOOKUP(F3422,'Set up'!$A$2:$D$70,4,FALSE)</f>
        <v>0</v>
      </c>
      <c r="K3422" s="4">
        <f t="shared" si="846"/>
        <v>45618</v>
      </c>
      <c r="L3422" s="5">
        <f t="shared" si="847"/>
        <v>11</v>
      </c>
      <c r="M3422" s="5">
        <f t="shared" si="848"/>
        <v>2024</v>
      </c>
      <c r="N3422" s="96">
        <v>62.5</v>
      </c>
      <c r="O3422" s="12"/>
      <c r="P3422" s="12">
        <f t="shared" si="852"/>
        <v>62.5</v>
      </c>
      <c r="Q3422" s="7">
        <f t="shared" si="849"/>
        <v>5648288.75</v>
      </c>
      <c r="R3422" s="44" t="str">
        <f>VLOOKUP(F3422,'Set up'!$A$2:$E$70,5,FALSE)</f>
        <v>Cash</v>
      </c>
    </row>
    <row r="3423" spans="1:19" ht="15" customHeight="1" x14ac:dyDescent="0.3">
      <c r="A3423" s="4">
        <v>45621</v>
      </c>
      <c r="B3423" s="5">
        <f t="shared" si="844"/>
        <v>11</v>
      </c>
      <c r="C3423" s="5">
        <f t="shared" si="845"/>
        <v>2024</v>
      </c>
      <c r="D3423" s="5" t="s">
        <v>3136</v>
      </c>
      <c r="E3423" s="5" t="str">
        <f>VLOOKUP(F3423,'Set up'!$A$2:$C$70,2,FALSE)</f>
        <v>C00000049</v>
      </c>
      <c r="F3423" s="132" t="s">
        <v>2728</v>
      </c>
      <c r="G3423" s="133" t="s">
        <v>3137</v>
      </c>
      <c r="H3423" s="5">
        <v>1</v>
      </c>
      <c r="I3423" s="5" t="str">
        <f>VLOOKUP(F3423,'Set up'!$A$2:$C$70,3,FALSE)</f>
        <v>Cash</v>
      </c>
      <c r="J3423" s="5">
        <f>VLOOKUP(F3423,'Set up'!$A$2:$D$70,4,FALSE)</f>
        <v>0</v>
      </c>
      <c r="K3423" s="4">
        <f t="shared" si="846"/>
        <v>45621</v>
      </c>
      <c r="L3423" s="5">
        <f t="shared" si="847"/>
        <v>11</v>
      </c>
      <c r="M3423" s="5">
        <f t="shared" si="848"/>
        <v>2024</v>
      </c>
      <c r="N3423" s="12">
        <v>40</v>
      </c>
      <c r="O3423" s="12"/>
      <c r="P3423" s="12">
        <f t="shared" si="852"/>
        <v>40</v>
      </c>
      <c r="Q3423" s="7">
        <f t="shared" si="849"/>
        <v>5648328.75</v>
      </c>
      <c r="R3423" s="44" t="str">
        <f>VLOOKUP(F3423,'Set up'!$A$2:$E$70,5,FALSE)</f>
        <v>Cash</v>
      </c>
    </row>
    <row r="3424" spans="1:19" ht="15" customHeight="1" x14ac:dyDescent="0.3">
      <c r="A3424" s="4">
        <v>45622</v>
      </c>
      <c r="B3424" s="5">
        <f t="shared" si="844"/>
        <v>11</v>
      </c>
      <c r="C3424" s="5">
        <f t="shared" si="845"/>
        <v>2024</v>
      </c>
      <c r="D3424" s="5" t="s">
        <v>3138</v>
      </c>
      <c r="E3424" s="5" t="str">
        <f>VLOOKUP(F3424,'Set up'!$A$2:$C$70,2,FALSE)</f>
        <v>C00000019</v>
      </c>
      <c r="F3424" s="1" t="s">
        <v>400</v>
      </c>
      <c r="G3424" s="128" t="s">
        <v>3122</v>
      </c>
      <c r="H3424" s="5">
        <v>1</v>
      </c>
      <c r="I3424" s="5" t="str">
        <f>VLOOKUP(F3424,'Set up'!$A$2:$C$70,3,FALSE)</f>
        <v>Cash</v>
      </c>
      <c r="J3424" s="5">
        <f>VLOOKUP(F3424,'Set up'!$A$2:$D$70,4,FALSE)</f>
        <v>0</v>
      </c>
      <c r="K3424" s="4">
        <f t="shared" si="846"/>
        <v>45622</v>
      </c>
      <c r="L3424" s="5">
        <f t="shared" si="847"/>
        <v>11</v>
      </c>
      <c r="M3424" s="5">
        <f t="shared" si="848"/>
        <v>2024</v>
      </c>
      <c r="N3424" s="12">
        <v>1755</v>
      </c>
      <c r="O3424" s="12"/>
      <c r="P3424" s="12">
        <f t="shared" si="852"/>
        <v>1755</v>
      </c>
      <c r="Q3424" s="7">
        <f t="shared" si="849"/>
        <v>5650083.75</v>
      </c>
      <c r="R3424" s="44" t="str">
        <f>VLOOKUP(F3424,'Set up'!$A$2:$E$70,5,FALSE)</f>
        <v>Trsf</v>
      </c>
    </row>
    <row r="3425" spans="1:19" ht="15" customHeight="1" x14ac:dyDescent="0.3">
      <c r="A3425" s="4">
        <v>45622</v>
      </c>
      <c r="B3425" s="5">
        <f t="shared" si="844"/>
        <v>11</v>
      </c>
      <c r="C3425" s="5">
        <f t="shared" si="845"/>
        <v>2024</v>
      </c>
      <c r="D3425" s="5" t="s">
        <v>3138</v>
      </c>
      <c r="E3425" s="5" t="str">
        <f>VLOOKUP(F3425,'Set up'!$A$2:$C$70,2,FALSE)</f>
        <v>C00000019</v>
      </c>
      <c r="F3425" s="1" t="s">
        <v>400</v>
      </c>
      <c r="G3425" s="90" t="s">
        <v>1411</v>
      </c>
      <c r="H3425" s="5">
        <v>1</v>
      </c>
      <c r="I3425" s="5" t="str">
        <f>VLOOKUP(F3425,'Set up'!$A$2:$C$70,3,FALSE)</f>
        <v>Cash</v>
      </c>
      <c r="J3425" s="5">
        <f>VLOOKUP(F3425,'Set up'!$A$2:$D$70,4,FALSE)</f>
        <v>0</v>
      </c>
      <c r="K3425" s="4">
        <f t="shared" si="846"/>
        <v>45622</v>
      </c>
      <c r="L3425" s="5">
        <f t="shared" si="847"/>
        <v>11</v>
      </c>
      <c r="M3425" s="5">
        <f t="shared" si="848"/>
        <v>2024</v>
      </c>
      <c r="N3425" s="12">
        <v>405</v>
      </c>
      <c r="O3425" s="12"/>
      <c r="P3425" s="12">
        <f t="shared" si="852"/>
        <v>405</v>
      </c>
      <c r="Q3425" s="7">
        <f t="shared" si="849"/>
        <v>5650488.75</v>
      </c>
      <c r="R3425" s="44" t="str">
        <f>VLOOKUP(F3425,'Set up'!$A$2:$E$70,5,FALSE)</f>
        <v>Trsf</v>
      </c>
    </row>
    <row r="3426" spans="1:19" ht="15" customHeight="1" x14ac:dyDescent="0.3">
      <c r="A3426" s="4">
        <v>45622</v>
      </c>
      <c r="B3426" s="5">
        <f t="shared" si="844"/>
        <v>11</v>
      </c>
      <c r="C3426" s="5">
        <f t="shared" si="845"/>
        <v>2024</v>
      </c>
      <c r="D3426" s="5" t="s">
        <v>3138</v>
      </c>
      <c r="E3426" s="5" t="str">
        <f>VLOOKUP(F3426,'Set up'!$A$2:$C$70,2,FALSE)</f>
        <v>C00000019</v>
      </c>
      <c r="F3426" s="1" t="s">
        <v>400</v>
      </c>
      <c r="G3426" s="90" t="s">
        <v>949</v>
      </c>
      <c r="H3426" s="5">
        <v>2</v>
      </c>
      <c r="I3426" s="5" t="str">
        <f>VLOOKUP(F3426,'Set up'!$A$2:$C$70,3,FALSE)</f>
        <v>Cash</v>
      </c>
      <c r="J3426" s="5">
        <f>VLOOKUP(F3426,'Set up'!$A$2:$D$70,4,FALSE)</f>
        <v>0</v>
      </c>
      <c r="K3426" s="4">
        <f t="shared" si="846"/>
        <v>45622</v>
      </c>
      <c r="L3426" s="5">
        <f t="shared" si="847"/>
        <v>11</v>
      </c>
      <c r="M3426" s="5">
        <f t="shared" si="848"/>
        <v>2024</v>
      </c>
      <c r="N3426" s="12">
        <v>120</v>
      </c>
      <c r="O3426" s="12"/>
      <c r="P3426" s="12">
        <f t="shared" si="852"/>
        <v>120</v>
      </c>
      <c r="Q3426" s="7">
        <f t="shared" si="849"/>
        <v>5650608.75</v>
      </c>
      <c r="R3426" s="44" t="str">
        <f>VLOOKUP(F3426,'Set up'!$A$2:$E$70,5,FALSE)</f>
        <v>Trsf</v>
      </c>
    </row>
    <row r="3427" spans="1:19" ht="15" customHeight="1" x14ac:dyDescent="0.3">
      <c r="A3427" s="4">
        <v>45622</v>
      </c>
      <c r="B3427" s="5">
        <f t="shared" si="844"/>
        <v>11</v>
      </c>
      <c r="C3427" s="5">
        <f t="shared" si="845"/>
        <v>2024</v>
      </c>
      <c r="D3427" s="5" t="s">
        <v>3138</v>
      </c>
      <c r="E3427" s="5" t="str">
        <f>VLOOKUP(F3427,'Set up'!$A$2:$C$70,2,FALSE)</f>
        <v>C00000019</v>
      </c>
      <c r="F3427" s="1" t="s">
        <v>400</v>
      </c>
      <c r="G3427" s="90" t="s">
        <v>1469</v>
      </c>
      <c r="H3427" s="5">
        <v>1</v>
      </c>
      <c r="I3427" s="5" t="str">
        <f>VLOOKUP(F3427,'Set up'!$A$2:$C$70,3,FALSE)</f>
        <v>Cash</v>
      </c>
      <c r="J3427" s="5">
        <f>VLOOKUP(F3427,'Set up'!$A$2:$D$70,4,FALSE)</f>
        <v>0</v>
      </c>
      <c r="K3427" s="4">
        <f t="shared" si="846"/>
        <v>45622</v>
      </c>
      <c r="L3427" s="5">
        <f t="shared" si="847"/>
        <v>11</v>
      </c>
      <c r="M3427" s="5">
        <f t="shared" si="848"/>
        <v>2024</v>
      </c>
      <c r="N3427" s="12">
        <v>390</v>
      </c>
      <c r="O3427" s="12"/>
      <c r="P3427" s="12">
        <f t="shared" si="852"/>
        <v>390</v>
      </c>
      <c r="Q3427" s="7">
        <f t="shared" si="849"/>
        <v>5650998.75</v>
      </c>
      <c r="R3427" s="44" t="str">
        <f>VLOOKUP(F3427,'Set up'!$A$2:$E$70,5,FALSE)</f>
        <v>Trsf</v>
      </c>
    </row>
    <row r="3428" spans="1:19" ht="15" customHeight="1" x14ac:dyDescent="0.3">
      <c r="A3428" s="4">
        <v>45622</v>
      </c>
      <c r="B3428" s="5">
        <f t="shared" si="844"/>
        <v>11</v>
      </c>
      <c r="C3428" s="5">
        <f t="shared" si="845"/>
        <v>2024</v>
      </c>
      <c r="D3428" s="5" t="s">
        <v>3139</v>
      </c>
      <c r="E3428" s="5" t="str">
        <f>VLOOKUP(F3428,'Set up'!$A$2:$C$70,2,FALSE)</f>
        <v>C00000041</v>
      </c>
      <c r="F3428" s="1" t="s">
        <v>1704</v>
      </c>
      <c r="G3428" s="123" t="s">
        <v>3140</v>
      </c>
      <c r="H3428" s="5">
        <v>1</v>
      </c>
      <c r="I3428" s="5" t="str">
        <f>VLOOKUP(F3428,'Set up'!$A$2:$C$70,3,FALSE)</f>
        <v>Cash</v>
      </c>
      <c r="J3428" s="5">
        <f>VLOOKUP(F3428,'Set up'!$A$2:$D$70,4,FALSE)</f>
        <v>0</v>
      </c>
      <c r="K3428" s="4">
        <f t="shared" si="846"/>
        <v>45622</v>
      </c>
      <c r="L3428" s="5">
        <f t="shared" si="847"/>
        <v>11</v>
      </c>
      <c r="M3428" s="5">
        <f t="shared" si="848"/>
        <v>2024</v>
      </c>
      <c r="N3428" s="134">
        <v>1755</v>
      </c>
      <c r="O3428" s="6">
        <f t="shared" ref="O3428:O3434" si="853">-N3428</f>
        <v>-1755</v>
      </c>
      <c r="P3428" s="12">
        <f t="shared" si="852"/>
        <v>0</v>
      </c>
      <c r="Q3428" s="7">
        <f t="shared" si="849"/>
        <v>5652753.75</v>
      </c>
      <c r="R3428" s="44" t="str">
        <f>VLOOKUP(F3428,'Set up'!$A$2:$E$70,5,FALSE)</f>
        <v>Trsf</v>
      </c>
      <c r="S3428" s="1" t="s">
        <v>3202</v>
      </c>
    </row>
    <row r="3429" spans="1:19" ht="15" customHeight="1" x14ac:dyDescent="0.3">
      <c r="A3429" s="4">
        <v>45622</v>
      </c>
      <c r="B3429" s="5">
        <f t="shared" si="844"/>
        <v>11</v>
      </c>
      <c r="C3429" s="5">
        <f t="shared" si="845"/>
        <v>2024</v>
      </c>
      <c r="D3429" s="5" t="s">
        <v>3139</v>
      </c>
      <c r="E3429" s="5" t="str">
        <f>VLOOKUP(F3429,'Set up'!$A$2:$C$70,2,FALSE)</f>
        <v>C00000041</v>
      </c>
      <c r="F3429" s="1" t="s">
        <v>1704</v>
      </c>
      <c r="G3429" s="120" t="s">
        <v>3141</v>
      </c>
      <c r="H3429" s="5">
        <v>1</v>
      </c>
      <c r="I3429" s="5" t="str">
        <f>VLOOKUP(F3429,'Set up'!$A$2:$C$70,3,FALSE)</f>
        <v>Cash</v>
      </c>
      <c r="J3429" s="5">
        <f>VLOOKUP(F3429,'Set up'!$A$2:$D$70,4,FALSE)</f>
        <v>0</v>
      </c>
      <c r="K3429" s="4">
        <f t="shared" si="846"/>
        <v>45622</v>
      </c>
      <c r="L3429" s="5">
        <f t="shared" si="847"/>
        <v>11</v>
      </c>
      <c r="M3429" s="5">
        <f t="shared" si="848"/>
        <v>2024</v>
      </c>
      <c r="N3429" s="134">
        <v>45</v>
      </c>
      <c r="O3429" s="6">
        <f t="shared" si="853"/>
        <v>-45</v>
      </c>
      <c r="P3429" s="12">
        <f t="shared" si="852"/>
        <v>0</v>
      </c>
      <c r="Q3429" s="7">
        <f t="shared" si="849"/>
        <v>5652798.75</v>
      </c>
      <c r="R3429" s="44" t="str">
        <f>VLOOKUP(F3429,'Set up'!$A$2:$E$70,5,FALSE)</f>
        <v>Trsf</v>
      </c>
      <c r="S3429" s="1" t="s">
        <v>3202</v>
      </c>
    </row>
    <row r="3430" spans="1:19" ht="15" customHeight="1" x14ac:dyDescent="0.3">
      <c r="A3430" s="4">
        <v>45623</v>
      </c>
      <c r="B3430" s="5">
        <f t="shared" si="844"/>
        <v>11</v>
      </c>
      <c r="C3430" s="5">
        <f t="shared" si="845"/>
        <v>2024</v>
      </c>
      <c r="D3430" s="5" t="s">
        <v>3142</v>
      </c>
      <c r="E3430" s="5" t="str">
        <f>VLOOKUP(F3430,'Set up'!$A$2:$C$70,2,FALSE)</f>
        <v>C00000042</v>
      </c>
      <c r="F3430" s="1" t="s">
        <v>2012</v>
      </c>
      <c r="G3430" s="103" t="s">
        <v>2646</v>
      </c>
      <c r="H3430" s="5">
        <v>3</v>
      </c>
      <c r="I3430" s="5" t="str">
        <f>VLOOKUP(F3430,'Set up'!$A$2:$C$70,3,FALSE)</f>
        <v>Cash</v>
      </c>
      <c r="J3430" s="5">
        <f>VLOOKUP(F3430,'Set up'!$A$2:$D$70,4,FALSE)</f>
        <v>0</v>
      </c>
      <c r="K3430" s="4">
        <f t="shared" si="846"/>
        <v>45623</v>
      </c>
      <c r="L3430" s="5">
        <f t="shared" si="847"/>
        <v>11</v>
      </c>
      <c r="M3430" s="5">
        <f t="shared" si="848"/>
        <v>2024</v>
      </c>
      <c r="N3430" s="12">
        <v>187.5</v>
      </c>
      <c r="O3430" s="6">
        <f t="shared" si="853"/>
        <v>-187.5</v>
      </c>
      <c r="P3430" s="12">
        <f t="shared" si="852"/>
        <v>0</v>
      </c>
      <c r="Q3430" s="7">
        <f t="shared" si="849"/>
        <v>5652986.25</v>
      </c>
      <c r="R3430" s="44" t="str">
        <f>VLOOKUP(F3430,'Set up'!$A$2:$E$70,5,FALSE)</f>
        <v>Trsf</v>
      </c>
      <c r="S3430" s="1" t="s">
        <v>3762</v>
      </c>
    </row>
    <row r="3431" spans="1:19" ht="15" customHeight="1" x14ac:dyDescent="0.3">
      <c r="A3431" s="4">
        <v>45623</v>
      </c>
      <c r="B3431" s="5">
        <f t="shared" si="844"/>
        <v>11</v>
      </c>
      <c r="C3431" s="5">
        <f t="shared" si="845"/>
        <v>2024</v>
      </c>
      <c r="D3431" s="5" t="s">
        <v>3143</v>
      </c>
      <c r="E3431" s="5" t="str">
        <f>VLOOKUP(F3431,'Set up'!$A$2:$C$70,2,FALSE)</f>
        <v>C00000042</v>
      </c>
      <c r="F3431" s="1" t="s">
        <v>2012</v>
      </c>
      <c r="G3431" s="128" t="s">
        <v>3144</v>
      </c>
      <c r="H3431" s="88">
        <v>6</v>
      </c>
      <c r="I3431" s="5" t="str">
        <f>VLOOKUP(F3431,'Set up'!$A$2:$C$70,3,FALSE)</f>
        <v>Cash</v>
      </c>
      <c r="J3431" s="5">
        <f>VLOOKUP(F3431,'Set up'!$A$2:$D$70,4,FALSE)</f>
        <v>0</v>
      </c>
      <c r="K3431" s="4">
        <f t="shared" si="846"/>
        <v>45623</v>
      </c>
      <c r="L3431" s="5">
        <f t="shared" si="847"/>
        <v>11</v>
      </c>
      <c r="M3431" s="5">
        <f t="shared" si="848"/>
        <v>2024</v>
      </c>
      <c r="N3431" s="12">
        <v>9720</v>
      </c>
      <c r="O3431" s="6">
        <f t="shared" si="853"/>
        <v>-9720</v>
      </c>
      <c r="P3431" s="12">
        <f t="shared" si="852"/>
        <v>0</v>
      </c>
      <c r="Q3431" s="7">
        <f t="shared" si="849"/>
        <v>5662706.25</v>
      </c>
      <c r="R3431" s="44" t="str">
        <f>VLOOKUP(F3431,'Set up'!$A$2:$E$70,5,FALSE)</f>
        <v>Trsf</v>
      </c>
      <c r="S3431" s="1" t="s">
        <v>3763</v>
      </c>
    </row>
    <row r="3432" spans="1:19" ht="15" customHeight="1" x14ac:dyDescent="0.3">
      <c r="A3432" s="4">
        <v>45623</v>
      </c>
      <c r="B3432" s="5">
        <f t="shared" si="844"/>
        <v>11</v>
      </c>
      <c r="C3432" s="5">
        <f t="shared" si="845"/>
        <v>2024</v>
      </c>
      <c r="D3432" s="5" t="s">
        <v>3143</v>
      </c>
      <c r="E3432" s="5" t="str">
        <f>VLOOKUP(F3432,'Set up'!$A$2:$C$70,2,FALSE)</f>
        <v>C00000042</v>
      </c>
      <c r="F3432" s="1" t="s">
        <v>2012</v>
      </c>
      <c r="G3432" s="90" t="s">
        <v>1922</v>
      </c>
      <c r="H3432" s="88">
        <v>10</v>
      </c>
      <c r="I3432" s="5" t="str">
        <f>VLOOKUP(F3432,'Set up'!$A$2:$C$70,3,FALSE)</f>
        <v>Cash</v>
      </c>
      <c r="J3432" s="5">
        <f>VLOOKUP(F3432,'Set up'!$A$2:$D$70,4,FALSE)</f>
        <v>0</v>
      </c>
      <c r="K3432" s="4">
        <f t="shared" si="846"/>
        <v>45623</v>
      </c>
      <c r="L3432" s="5">
        <f t="shared" si="847"/>
        <v>11</v>
      </c>
      <c r="M3432" s="5">
        <f t="shared" si="848"/>
        <v>2024</v>
      </c>
      <c r="N3432" s="12">
        <v>2385</v>
      </c>
      <c r="O3432" s="6">
        <f t="shared" si="853"/>
        <v>-2385</v>
      </c>
      <c r="P3432" s="12">
        <f t="shared" si="852"/>
        <v>0</v>
      </c>
      <c r="Q3432" s="7">
        <f t="shared" si="849"/>
        <v>5665091.25</v>
      </c>
      <c r="R3432" s="44" t="str">
        <f>VLOOKUP(F3432,'Set up'!$A$2:$E$70,5,FALSE)</f>
        <v>Trsf</v>
      </c>
      <c r="S3432" s="1" t="s">
        <v>3764</v>
      </c>
    </row>
    <row r="3433" spans="1:19" ht="15" customHeight="1" x14ac:dyDescent="0.3">
      <c r="A3433" s="4">
        <v>45623</v>
      </c>
      <c r="B3433" s="5">
        <f t="shared" si="844"/>
        <v>11</v>
      </c>
      <c r="C3433" s="5">
        <f t="shared" si="845"/>
        <v>2024</v>
      </c>
      <c r="D3433" s="5" t="s">
        <v>3143</v>
      </c>
      <c r="E3433" s="5" t="str">
        <f>VLOOKUP(F3433,'Set up'!$A$2:$C$70,2,FALSE)</f>
        <v>C00000042</v>
      </c>
      <c r="F3433" s="1" t="s">
        <v>2012</v>
      </c>
      <c r="G3433" s="90" t="s">
        <v>1061</v>
      </c>
      <c r="H3433" s="88">
        <v>4</v>
      </c>
      <c r="I3433" s="5" t="str">
        <f>VLOOKUP(F3433,'Set up'!$A$2:$C$70,3,FALSE)</f>
        <v>Cash</v>
      </c>
      <c r="J3433" s="5">
        <f>VLOOKUP(F3433,'Set up'!$A$2:$D$70,4,FALSE)</f>
        <v>0</v>
      </c>
      <c r="K3433" s="4">
        <f t="shared" si="846"/>
        <v>45623</v>
      </c>
      <c r="L3433" s="5">
        <f t="shared" si="847"/>
        <v>11</v>
      </c>
      <c r="M3433" s="5">
        <f t="shared" si="848"/>
        <v>2024</v>
      </c>
      <c r="N3433" s="12">
        <v>380</v>
      </c>
      <c r="O3433" s="6">
        <f t="shared" si="853"/>
        <v>-380</v>
      </c>
      <c r="P3433" s="12">
        <f t="shared" si="852"/>
        <v>0</v>
      </c>
      <c r="Q3433" s="7">
        <f t="shared" si="849"/>
        <v>5665471.25</v>
      </c>
      <c r="R3433" s="44" t="str">
        <f>VLOOKUP(F3433,'Set up'!$A$2:$E$70,5,FALSE)</f>
        <v>Trsf</v>
      </c>
      <c r="S3433" s="1" t="s">
        <v>3760</v>
      </c>
    </row>
    <row r="3434" spans="1:19" ht="15" customHeight="1" x14ac:dyDescent="0.3">
      <c r="A3434" s="4">
        <v>45623</v>
      </c>
      <c r="B3434" s="5">
        <f t="shared" si="844"/>
        <v>11</v>
      </c>
      <c r="C3434" s="5">
        <f t="shared" si="845"/>
        <v>2024</v>
      </c>
      <c r="D3434" s="5" t="s">
        <v>3143</v>
      </c>
      <c r="E3434" s="5" t="str">
        <f>VLOOKUP(F3434,'Set up'!$A$2:$C$70,2,FALSE)</f>
        <v>C00000042</v>
      </c>
      <c r="F3434" s="1" t="s">
        <v>2012</v>
      </c>
      <c r="G3434" s="90" t="s">
        <v>1073</v>
      </c>
      <c r="H3434" s="88">
        <v>1</v>
      </c>
      <c r="I3434" s="5" t="str">
        <f>VLOOKUP(F3434,'Set up'!$A$2:$C$70,3,FALSE)</f>
        <v>Cash</v>
      </c>
      <c r="J3434" s="5">
        <f>VLOOKUP(F3434,'Set up'!$A$2:$D$70,4,FALSE)</f>
        <v>0</v>
      </c>
      <c r="K3434" s="4">
        <f t="shared" si="846"/>
        <v>45623</v>
      </c>
      <c r="L3434" s="5">
        <f t="shared" si="847"/>
        <v>11</v>
      </c>
      <c r="M3434" s="5">
        <f t="shared" si="848"/>
        <v>2024</v>
      </c>
      <c r="N3434" s="12">
        <v>1000</v>
      </c>
      <c r="O3434" s="6">
        <f t="shared" si="853"/>
        <v>-1000</v>
      </c>
      <c r="P3434" s="12">
        <f t="shared" si="852"/>
        <v>0</v>
      </c>
      <c r="Q3434" s="7">
        <f t="shared" si="849"/>
        <v>5666471.25</v>
      </c>
      <c r="R3434" s="44" t="str">
        <f>VLOOKUP(F3434,'Set up'!$A$2:$E$70,5,FALSE)</f>
        <v>Trsf</v>
      </c>
      <c r="S3434" s="1" t="s">
        <v>3765</v>
      </c>
    </row>
    <row r="3435" spans="1:19" ht="15" customHeight="1" x14ac:dyDescent="0.3">
      <c r="A3435" s="4">
        <v>45624</v>
      </c>
      <c r="B3435" s="5">
        <f t="shared" si="844"/>
        <v>11</v>
      </c>
      <c r="C3435" s="5">
        <f t="shared" si="845"/>
        <v>2024</v>
      </c>
      <c r="D3435" s="5" t="s">
        <v>3145</v>
      </c>
      <c r="E3435" s="5" t="str">
        <f>VLOOKUP(F3435,'Set up'!$A$2:$C$70,2,FALSE)</f>
        <v>C00000050</v>
      </c>
      <c r="F3435" s="1" t="s">
        <v>2656</v>
      </c>
      <c r="G3435" s="107" t="s">
        <v>3122</v>
      </c>
      <c r="H3435" s="5">
        <v>1</v>
      </c>
      <c r="I3435" s="5" t="str">
        <f>VLOOKUP(F3435,'Set up'!$A$2:$C$70,3,FALSE)</f>
        <v>Cash</v>
      </c>
      <c r="J3435" s="5">
        <f>VLOOKUP(F3435,'Set up'!$A$2:$D$70,4,FALSE)</f>
        <v>0</v>
      </c>
      <c r="K3435" s="4">
        <f t="shared" si="846"/>
        <v>45624</v>
      </c>
      <c r="L3435" s="5">
        <f t="shared" si="847"/>
        <v>11</v>
      </c>
      <c r="M3435" s="5">
        <f t="shared" si="848"/>
        <v>2024</v>
      </c>
      <c r="N3435" s="96">
        <v>1755</v>
      </c>
      <c r="O3435" s="6">
        <f t="shared" ref="O3435:O3437" si="854">-N3435</f>
        <v>-1755</v>
      </c>
      <c r="P3435" s="12">
        <f t="shared" si="852"/>
        <v>0</v>
      </c>
      <c r="Q3435" s="7">
        <f t="shared" si="849"/>
        <v>5668226.25</v>
      </c>
      <c r="R3435" s="44" t="str">
        <f>VLOOKUP(F3435,'Set up'!$A$2:$E$70,5,FALSE)</f>
        <v>Cash</v>
      </c>
      <c r="S3435" s="1" t="s">
        <v>3313</v>
      </c>
    </row>
    <row r="3436" spans="1:19" ht="16.2" customHeight="1" x14ac:dyDescent="0.3">
      <c r="A3436" s="4">
        <v>45624</v>
      </c>
      <c r="B3436" s="5">
        <f t="shared" si="844"/>
        <v>11</v>
      </c>
      <c r="C3436" s="5">
        <f t="shared" si="845"/>
        <v>2024</v>
      </c>
      <c r="D3436" s="5" t="s">
        <v>3145</v>
      </c>
      <c r="E3436" s="5" t="str">
        <f>VLOOKUP(F3436,'Set up'!$A$2:$C$70,2,FALSE)</f>
        <v>C00000050</v>
      </c>
      <c r="F3436" s="1" t="s">
        <v>2656</v>
      </c>
      <c r="G3436" s="99" t="s">
        <v>3116</v>
      </c>
      <c r="H3436" s="5">
        <v>3</v>
      </c>
      <c r="I3436" s="5" t="str">
        <f>VLOOKUP(F3436,'Set up'!$A$2:$C$70,3,FALSE)</f>
        <v>Cash</v>
      </c>
      <c r="J3436" s="5">
        <f>VLOOKUP(F3436,'Set up'!$A$2:$D$70,4,FALSE)</f>
        <v>0</v>
      </c>
      <c r="K3436" s="4">
        <f t="shared" si="846"/>
        <v>45624</v>
      </c>
      <c r="L3436" s="5">
        <f t="shared" si="847"/>
        <v>11</v>
      </c>
      <c r="M3436" s="5">
        <f t="shared" si="848"/>
        <v>2024</v>
      </c>
      <c r="N3436" s="96">
        <v>832.5</v>
      </c>
      <c r="O3436" s="6">
        <f t="shared" si="854"/>
        <v>-832.5</v>
      </c>
      <c r="P3436" s="12">
        <f t="shared" si="852"/>
        <v>0</v>
      </c>
      <c r="Q3436" s="7">
        <f t="shared" si="849"/>
        <v>5669058.75</v>
      </c>
      <c r="R3436" s="44" t="str">
        <f>VLOOKUP(F3436,'Set up'!$A$2:$E$70,5,FALSE)</f>
        <v>Cash</v>
      </c>
      <c r="S3436" s="1" t="s">
        <v>3313</v>
      </c>
    </row>
    <row r="3437" spans="1:19" ht="16.2" customHeight="1" x14ac:dyDescent="0.3">
      <c r="A3437" s="4">
        <v>45624</v>
      </c>
      <c r="B3437" s="5">
        <f t="shared" si="844"/>
        <v>11</v>
      </c>
      <c r="C3437" s="5">
        <f t="shared" si="845"/>
        <v>2024</v>
      </c>
      <c r="D3437" s="5" t="s">
        <v>3145</v>
      </c>
      <c r="E3437" s="5" t="str">
        <f>VLOOKUP(F3437,'Set up'!$A$2:$C$70,2,FALSE)</f>
        <v>C00000050</v>
      </c>
      <c r="F3437" s="1" t="s">
        <v>2656</v>
      </c>
      <c r="G3437" s="99" t="s">
        <v>1061</v>
      </c>
      <c r="H3437" s="5">
        <v>1</v>
      </c>
      <c r="I3437" s="5" t="str">
        <f>VLOOKUP(F3437,'Set up'!$A$2:$C$70,3,FALSE)</f>
        <v>Cash</v>
      </c>
      <c r="J3437" s="5">
        <f>VLOOKUP(F3437,'Set up'!$A$2:$D$70,4,FALSE)</f>
        <v>0</v>
      </c>
      <c r="K3437" s="4">
        <f t="shared" si="846"/>
        <v>45624</v>
      </c>
      <c r="L3437" s="5">
        <f t="shared" si="847"/>
        <v>11</v>
      </c>
      <c r="M3437" s="5">
        <f t="shared" si="848"/>
        <v>2024</v>
      </c>
      <c r="N3437" s="96">
        <v>95</v>
      </c>
      <c r="O3437" s="6">
        <f t="shared" si="854"/>
        <v>-95</v>
      </c>
      <c r="P3437" s="12">
        <f t="shared" si="852"/>
        <v>0</v>
      </c>
      <c r="Q3437" s="7">
        <f t="shared" si="849"/>
        <v>5669153.75</v>
      </c>
      <c r="R3437" s="44" t="str">
        <f>VLOOKUP(F3437,'Set up'!$A$2:$E$70,5,FALSE)</f>
        <v>Cash</v>
      </c>
      <c r="S3437" s="1" t="s">
        <v>3313</v>
      </c>
    </row>
    <row r="3438" spans="1:19" ht="16.2" customHeight="1" x14ac:dyDescent="0.3">
      <c r="A3438" s="4">
        <v>45626</v>
      </c>
      <c r="B3438" s="5">
        <f t="shared" si="844"/>
        <v>11</v>
      </c>
      <c r="C3438" s="5">
        <f t="shared" si="845"/>
        <v>2024</v>
      </c>
      <c r="D3438" s="5" t="s">
        <v>3146</v>
      </c>
      <c r="E3438" s="5" t="str">
        <f>VLOOKUP(F3438,'Set up'!$A$2:$C$70,2,FALSE)</f>
        <v>C00000049</v>
      </c>
      <c r="F3438" s="132" t="s">
        <v>2728</v>
      </c>
      <c r="G3438" s="133" t="s">
        <v>1715</v>
      </c>
      <c r="H3438" s="5">
        <v>1</v>
      </c>
      <c r="I3438" s="5" t="str">
        <f>VLOOKUP(F3438,'Set up'!$A$2:$C$70,3,FALSE)</f>
        <v>Cash</v>
      </c>
      <c r="J3438" s="5">
        <f>VLOOKUP(F3438,'Set up'!$A$2:$D$70,4,FALSE)</f>
        <v>0</v>
      </c>
      <c r="K3438" s="4">
        <f t="shared" si="846"/>
        <v>45626</v>
      </c>
      <c r="L3438" s="5">
        <f t="shared" si="847"/>
        <v>11</v>
      </c>
      <c r="M3438" s="5">
        <f t="shared" si="848"/>
        <v>2024</v>
      </c>
      <c r="N3438" s="12">
        <v>180</v>
      </c>
      <c r="O3438" s="12"/>
      <c r="P3438" s="12">
        <f t="shared" si="852"/>
        <v>180</v>
      </c>
      <c r="Q3438" s="7">
        <f t="shared" si="849"/>
        <v>5669333.75</v>
      </c>
      <c r="R3438" s="44" t="str">
        <f>VLOOKUP(F3438,'Set up'!$A$2:$E$70,5,FALSE)</f>
        <v>Cash</v>
      </c>
    </row>
    <row r="3439" spans="1:19" ht="16.2" customHeight="1" x14ac:dyDescent="0.3">
      <c r="A3439" s="4">
        <v>45628</v>
      </c>
      <c r="B3439" s="5">
        <f t="shared" si="844"/>
        <v>12</v>
      </c>
      <c r="C3439" s="5">
        <f t="shared" si="845"/>
        <v>2024</v>
      </c>
      <c r="D3439" s="5" t="s">
        <v>3210</v>
      </c>
      <c r="E3439" s="5" t="str">
        <f>VLOOKUP(F3439,'Set up'!$A$2:$C$70,2,FALSE)</f>
        <v>C00000042</v>
      </c>
      <c r="F3439" s="132" t="s">
        <v>2012</v>
      </c>
      <c r="G3439" s="133" t="s">
        <v>2646</v>
      </c>
      <c r="H3439" s="5">
        <v>5</v>
      </c>
      <c r="I3439" s="5" t="str">
        <f>VLOOKUP(F3439,'Set up'!$A$2:$C$70,3,FALSE)</f>
        <v>Cash</v>
      </c>
      <c r="J3439" s="5">
        <f>VLOOKUP(F3439,'Set up'!$A$2:$D$70,4,FALSE)</f>
        <v>0</v>
      </c>
      <c r="K3439" s="4">
        <f t="shared" si="846"/>
        <v>45628</v>
      </c>
      <c r="L3439" s="5">
        <f t="shared" si="847"/>
        <v>12</v>
      </c>
      <c r="M3439" s="5">
        <f t="shared" si="848"/>
        <v>2024</v>
      </c>
      <c r="N3439" s="12">
        <v>312.5</v>
      </c>
      <c r="O3439" s="6">
        <f t="shared" ref="O3439" si="855">-N3439</f>
        <v>-312.5</v>
      </c>
      <c r="P3439" s="12">
        <f t="shared" si="852"/>
        <v>0</v>
      </c>
      <c r="Q3439" s="7">
        <f t="shared" si="849"/>
        <v>5669646.25</v>
      </c>
      <c r="R3439" s="44" t="str">
        <f>VLOOKUP(F3439,'Set up'!$A$2:$E$70,5,FALSE)</f>
        <v>Trsf</v>
      </c>
      <c r="S3439" s="1" t="s">
        <v>3766</v>
      </c>
    </row>
    <row r="3440" spans="1:19" ht="16.2" customHeight="1" x14ac:dyDescent="0.3">
      <c r="A3440" s="4">
        <v>45628</v>
      </c>
      <c r="B3440" s="5">
        <f t="shared" si="844"/>
        <v>12</v>
      </c>
      <c r="C3440" s="5">
        <f t="shared" si="845"/>
        <v>2024</v>
      </c>
      <c r="D3440" s="5" t="s">
        <v>3211</v>
      </c>
      <c r="E3440" s="5" t="str">
        <f>VLOOKUP(F3440,'Set up'!$A$2:$C$70,2,FALSE)</f>
        <v>C00000042</v>
      </c>
      <c r="F3440" s="132" t="s">
        <v>2012</v>
      </c>
      <c r="G3440" s="133" t="s">
        <v>3144</v>
      </c>
      <c r="H3440" s="5">
        <v>6</v>
      </c>
      <c r="I3440" s="5" t="str">
        <f>VLOOKUP(F3440,'Set up'!$A$2:$C$70,3,FALSE)</f>
        <v>Cash</v>
      </c>
      <c r="J3440" s="5">
        <f>VLOOKUP(F3440,'Set up'!$A$2:$D$70,4,FALSE)</f>
        <v>0</v>
      </c>
      <c r="K3440" s="4">
        <f t="shared" si="846"/>
        <v>45628</v>
      </c>
      <c r="L3440" s="5">
        <f t="shared" si="847"/>
        <v>12</v>
      </c>
      <c r="M3440" s="5">
        <f t="shared" si="848"/>
        <v>2024</v>
      </c>
      <c r="N3440" s="12">
        <v>9720</v>
      </c>
      <c r="O3440" s="12">
        <f>-879.6-8000-840.4</f>
        <v>-9720</v>
      </c>
      <c r="P3440" s="12">
        <f t="shared" si="852"/>
        <v>0</v>
      </c>
      <c r="Q3440" s="7">
        <f t="shared" si="849"/>
        <v>5679366.25</v>
      </c>
      <c r="R3440" s="44" t="str">
        <f>VLOOKUP(F3440,'Set up'!$A$2:$E$70,5,FALSE)</f>
        <v>Trsf</v>
      </c>
      <c r="S3440" s="1" t="s">
        <v>3818</v>
      </c>
    </row>
    <row r="3441" spans="1:19" ht="16.2" customHeight="1" x14ac:dyDescent="0.3">
      <c r="A3441" s="4">
        <v>45628</v>
      </c>
      <c r="B3441" s="5">
        <f t="shared" si="844"/>
        <v>12</v>
      </c>
      <c r="C3441" s="5">
        <f t="shared" si="845"/>
        <v>2024</v>
      </c>
      <c r="D3441" s="5" t="s">
        <v>3211</v>
      </c>
      <c r="E3441" s="5" t="str">
        <f>VLOOKUP(F3441,'Set up'!$A$2:$C$70,2,FALSE)</f>
        <v>C00000042</v>
      </c>
      <c r="F3441" s="132" t="s">
        <v>2012</v>
      </c>
      <c r="G3441" s="133" t="s">
        <v>1543</v>
      </c>
      <c r="H3441" s="5">
        <v>12</v>
      </c>
      <c r="I3441" s="5" t="str">
        <f>VLOOKUP(F3441,'Set up'!$A$2:$C$70,3,FALSE)</f>
        <v>Cash</v>
      </c>
      <c r="J3441" s="5">
        <f>VLOOKUP(F3441,'Set up'!$A$2:$D$70,4,FALSE)</f>
        <v>0</v>
      </c>
      <c r="K3441" s="4">
        <f t="shared" si="846"/>
        <v>45628</v>
      </c>
      <c r="L3441" s="5">
        <f t="shared" si="847"/>
        <v>12</v>
      </c>
      <c r="M3441" s="5">
        <f t="shared" si="848"/>
        <v>2024</v>
      </c>
      <c r="N3441" s="12">
        <v>2088</v>
      </c>
      <c r="O3441" s="6">
        <f t="shared" ref="O3441:O3444" si="856">-N3441</f>
        <v>-2088</v>
      </c>
      <c r="P3441" s="12">
        <f t="shared" si="852"/>
        <v>0</v>
      </c>
      <c r="Q3441" s="7">
        <f t="shared" si="849"/>
        <v>5681454.25</v>
      </c>
      <c r="R3441" s="44" t="str">
        <f>VLOOKUP(F3441,'Set up'!$A$2:$E$70,5,FALSE)</f>
        <v>Trsf</v>
      </c>
      <c r="S3441" s="1" t="s">
        <v>3767</v>
      </c>
    </row>
    <row r="3442" spans="1:19" ht="16.2" customHeight="1" x14ac:dyDescent="0.3">
      <c r="A3442" s="4">
        <v>45628</v>
      </c>
      <c r="B3442" s="5">
        <f t="shared" si="844"/>
        <v>12</v>
      </c>
      <c r="C3442" s="5">
        <f t="shared" si="845"/>
        <v>2024</v>
      </c>
      <c r="D3442" s="5" t="s">
        <v>3211</v>
      </c>
      <c r="E3442" s="5" t="str">
        <f>VLOOKUP(F3442,'Set up'!$A$2:$C$70,2,FALSE)</f>
        <v>C00000042</v>
      </c>
      <c r="F3442" s="132" t="s">
        <v>2012</v>
      </c>
      <c r="G3442" s="133" t="s">
        <v>1922</v>
      </c>
      <c r="H3442" s="5">
        <v>9</v>
      </c>
      <c r="I3442" s="5" t="str">
        <f>VLOOKUP(F3442,'Set up'!$A$2:$C$70,3,FALSE)</f>
        <v>Cash</v>
      </c>
      <c r="J3442" s="5">
        <f>VLOOKUP(F3442,'Set up'!$A$2:$D$70,4,FALSE)</f>
        <v>0</v>
      </c>
      <c r="K3442" s="4">
        <f t="shared" si="846"/>
        <v>45628</v>
      </c>
      <c r="L3442" s="5">
        <f t="shared" si="847"/>
        <v>12</v>
      </c>
      <c r="M3442" s="5">
        <f t="shared" si="848"/>
        <v>2024</v>
      </c>
      <c r="N3442" s="12">
        <v>2146.5</v>
      </c>
      <c r="O3442" s="6">
        <f t="shared" si="856"/>
        <v>-2146.5</v>
      </c>
      <c r="P3442" s="12">
        <f t="shared" si="852"/>
        <v>0</v>
      </c>
      <c r="Q3442" s="7">
        <f t="shared" si="849"/>
        <v>5683600.75</v>
      </c>
      <c r="R3442" s="44" t="str">
        <f>VLOOKUP(F3442,'Set up'!$A$2:$E$70,5,FALSE)</f>
        <v>Trsf</v>
      </c>
      <c r="S3442" s="1" t="s">
        <v>3768</v>
      </c>
    </row>
    <row r="3443" spans="1:19" ht="16.2" customHeight="1" x14ac:dyDescent="0.3">
      <c r="A3443" s="4">
        <v>45628</v>
      </c>
      <c r="B3443" s="5">
        <f t="shared" si="844"/>
        <v>12</v>
      </c>
      <c r="C3443" s="5">
        <f t="shared" si="845"/>
        <v>2024</v>
      </c>
      <c r="D3443" s="5" t="s">
        <v>3211</v>
      </c>
      <c r="E3443" s="5" t="str">
        <f>VLOOKUP(F3443,'Set up'!$A$2:$C$70,2,FALSE)</f>
        <v>C00000042</v>
      </c>
      <c r="F3443" s="132" t="s">
        <v>2012</v>
      </c>
      <c r="G3443" s="133" t="s">
        <v>1061</v>
      </c>
      <c r="H3443" s="5">
        <v>4</v>
      </c>
      <c r="I3443" s="5" t="str">
        <f>VLOOKUP(F3443,'Set up'!$A$2:$C$70,3,FALSE)</f>
        <v>Cash</v>
      </c>
      <c r="J3443" s="5">
        <f>VLOOKUP(F3443,'Set up'!$A$2:$D$70,4,FALSE)</f>
        <v>0</v>
      </c>
      <c r="K3443" s="4">
        <f t="shared" si="846"/>
        <v>45628</v>
      </c>
      <c r="L3443" s="5">
        <f t="shared" si="847"/>
        <v>12</v>
      </c>
      <c r="M3443" s="5">
        <f t="shared" si="848"/>
        <v>2024</v>
      </c>
      <c r="N3443" s="12">
        <v>380</v>
      </c>
      <c r="O3443" s="6">
        <f t="shared" si="856"/>
        <v>-380</v>
      </c>
      <c r="P3443" s="12">
        <f t="shared" si="852"/>
        <v>0</v>
      </c>
      <c r="Q3443" s="7">
        <f t="shared" si="849"/>
        <v>5683980.75</v>
      </c>
      <c r="R3443" s="44" t="str">
        <f>VLOOKUP(F3443,'Set up'!$A$2:$E$70,5,FALSE)</f>
        <v>Trsf</v>
      </c>
      <c r="S3443" s="1" t="s">
        <v>3769</v>
      </c>
    </row>
    <row r="3444" spans="1:19" ht="16.2" customHeight="1" x14ac:dyDescent="0.3">
      <c r="A3444" s="4">
        <v>45628</v>
      </c>
      <c r="B3444" s="5">
        <f t="shared" si="844"/>
        <v>12</v>
      </c>
      <c r="C3444" s="5">
        <f t="shared" si="845"/>
        <v>2024</v>
      </c>
      <c r="D3444" s="5" t="s">
        <v>3211</v>
      </c>
      <c r="E3444" s="5" t="str">
        <f>VLOOKUP(F3444,'Set up'!$A$2:$C$70,2,FALSE)</f>
        <v>C00000042</v>
      </c>
      <c r="F3444" s="132" t="s">
        <v>2012</v>
      </c>
      <c r="G3444" s="133" t="s">
        <v>1073</v>
      </c>
      <c r="H3444" s="5">
        <v>1</v>
      </c>
      <c r="I3444" s="5" t="str">
        <f>VLOOKUP(F3444,'Set up'!$A$2:$C$70,3,FALSE)</f>
        <v>Cash</v>
      </c>
      <c r="J3444" s="5">
        <f>VLOOKUP(F3444,'Set up'!$A$2:$D$70,4,FALSE)</f>
        <v>0</v>
      </c>
      <c r="K3444" s="4">
        <f t="shared" si="846"/>
        <v>45628</v>
      </c>
      <c r="L3444" s="5">
        <f t="shared" si="847"/>
        <v>12</v>
      </c>
      <c r="M3444" s="5">
        <f t="shared" si="848"/>
        <v>2024</v>
      </c>
      <c r="N3444" s="12">
        <v>1000</v>
      </c>
      <c r="O3444" s="6">
        <f t="shared" si="856"/>
        <v>-1000</v>
      </c>
      <c r="P3444" s="12">
        <f t="shared" si="852"/>
        <v>0</v>
      </c>
      <c r="Q3444" s="7">
        <f t="shared" si="849"/>
        <v>5684980.75</v>
      </c>
      <c r="R3444" s="44" t="str">
        <f>VLOOKUP(F3444,'Set up'!$A$2:$E$70,5,FALSE)</f>
        <v>Trsf</v>
      </c>
      <c r="S3444" s="1" t="s">
        <v>3770</v>
      </c>
    </row>
    <row r="3445" spans="1:19" ht="16.2" customHeight="1" x14ac:dyDescent="0.3">
      <c r="A3445" s="4">
        <v>45628</v>
      </c>
      <c r="B3445" s="5">
        <f t="shared" si="844"/>
        <v>12</v>
      </c>
      <c r="C3445" s="5">
        <f t="shared" si="845"/>
        <v>2024</v>
      </c>
      <c r="D3445" s="5" t="s">
        <v>3212</v>
      </c>
      <c r="E3445" s="5" t="str">
        <f>VLOOKUP(F3445,'Set up'!$A$2:$C$70,2,FALSE)</f>
        <v>C00000049</v>
      </c>
      <c r="F3445" s="132" t="s">
        <v>2728</v>
      </c>
      <c r="G3445" s="133" t="s">
        <v>3122</v>
      </c>
      <c r="H3445" s="5">
        <v>1</v>
      </c>
      <c r="I3445" s="5" t="str">
        <f>VLOOKUP(F3445,'Set up'!$A$2:$C$70,3,FALSE)</f>
        <v>Cash</v>
      </c>
      <c r="J3445" s="5">
        <f>VLOOKUP(F3445,'Set up'!$A$2:$D$70,4,FALSE)</f>
        <v>0</v>
      </c>
      <c r="K3445" s="4">
        <f t="shared" si="846"/>
        <v>45628</v>
      </c>
      <c r="L3445" s="5">
        <f t="shared" si="847"/>
        <v>12</v>
      </c>
      <c r="M3445" s="5">
        <f t="shared" si="848"/>
        <v>2024</v>
      </c>
      <c r="N3445" s="12">
        <v>1755</v>
      </c>
      <c r="O3445" s="12"/>
      <c r="P3445" s="12">
        <f t="shared" si="852"/>
        <v>1755</v>
      </c>
      <c r="Q3445" s="7">
        <f t="shared" si="849"/>
        <v>5686735.75</v>
      </c>
      <c r="R3445" s="44" t="str">
        <f>VLOOKUP(F3445,'Set up'!$A$2:$E$70,5,FALSE)</f>
        <v>Cash</v>
      </c>
    </row>
    <row r="3446" spans="1:19" ht="16.2" customHeight="1" x14ac:dyDescent="0.3">
      <c r="A3446" s="4">
        <v>45628</v>
      </c>
      <c r="B3446" s="5">
        <f t="shared" si="844"/>
        <v>12</v>
      </c>
      <c r="C3446" s="5">
        <f t="shared" si="845"/>
        <v>2024</v>
      </c>
      <c r="D3446" s="5" t="s">
        <v>3212</v>
      </c>
      <c r="E3446" s="5" t="str">
        <f>VLOOKUP(F3446,'Set up'!$A$2:$C$70,2,FALSE)</f>
        <v>C00000049</v>
      </c>
      <c r="F3446" s="132" t="s">
        <v>2728</v>
      </c>
      <c r="G3446" s="133" t="s">
        <v>2523</v>
      </c>
      <c r="H3446" s="5">
        <v>1</v>
      </c>
      <c r="I3446" s="5" t="str">
        <f>VLOOKUP(F3446,'Set up'!$A$2:$C$70,3,FALSE)</f>
        <v>Cash</v>
      </c>
      <c r="J3446" s="5">
        <f>VLOOKUP(F3446,'Set up'!$A$2:$D$70,4,FALSE)</f>
        <v>0</v>
      </c>
      <c r="K3446" s="4">
        <f t="shared" si="846"/>
        <v>45628</v>
      </c>
      <c r="L3446" s="5">
        <f t="shared" si="847"/>
        <v>12</v>
      </c>
      <c r="M3446" s="5">
        <f t="shared" si="848"/>
        <v>2024</v>
      </c>
      <c r="N3446" s="12">
        <v>225</v>
      </c>
      <c r="O3446" s="12"/>
      <c r="P3446" s="12">
        <f t="shared" si="852"/>
        <v>225</v>
      </c>
      <c r="Q3446" s="7">
        <f t="shared" si="849"/>
        <v>5686960.75</v>
      </c>
      <c r="R3446" s="44" t="str">
        <f>VLOOKUP(F3446,'Set up'!$A$2:$E$70,5,FALSE)</f>
        <v>Cash</v>
      </c>
    </row>
    <row r="3447" spans="1:19" ht="16.2" customHeight="1" x14ac:dyDescent="0.3">
      <c r="A3447" s="4">
        <v>45629</v>
      </c>
      <c r="B3447" s="5">
        <f t="shared" si="844"/>
        <v>12</v>
      </c>
      <c r="C3447" s="5">
        <f t="shared" si="845"/>
        <v>2024</v>
      </c>
      <c r="D3447" s="5" t="s">
        <v>3213</v>
      </c>
      <c r="E3447" s="5" t="str">
        <f>VLOOKUP(F3447,'Set up'!$A$2:$C$70,2,FALSE)</f>
        <v>C00000050</v>
      </c>
      <c r="F3447" s="132" t="s">
        <v>2656</v>
      </c>
      <c r="G3447" s="133" t="s">
        <v>3122</v>
      </c>
      <c r="H3447" s="5">
        <v>1</v>
      </c>
      <c r="I3447" s="5" t="str">
        <f>VLOOKUP(F3447,'Set up'!$A$2:$C$70,3,FALSE)</f>
        <v>Cash</v>
      </c>
      <c r="J3447" s="5">
        <f>VLOOKUP(F3447,'Set up'!$A$2:$D$70,4,FALSE)</f>
        <v>0</v>
      </c>
      <c r="K3447" s="4">
        <f t="shared" si="846"/>
        <v>45629</v>
      </c>
      <c r="L3447" s="5">
        <f t="shared" si="847"/>
        <v>12</v>
      </c>
      <c r="M3447" s="5">
        <f t="shared" si="848"/>
        <v>2024</v>
      </c>
      <c r="N3447" s="12">
        <v>1755</v>
      </c>
      <c r="O3447" s="6">
        <f t="shared" ref="O3447:O3450" si="857">-N3447</f>
        <v>-1755</v>
      </c>
      <c r="P3447" s="12">
        <f t="shared" ref="P3447:P3452" si="858">SUM(N3447+O3447)</f>
        <v>0</v>
      </c>
      <c r="Q3447" s="7">
        <f t="shared" si="849"/>
        <v>5688715.75</v>
      </c>
      <c r="R3447" s="44" t="str">
        <f>VLOOKUP(F3447,'Set up'!$A$2:$E$70,5,FALSE)</f>
        <v>Cash</v>
      </c>
      <c r="S3447" s="1" t="s">
        <v>3314</v>
      </c>
    </row>
    <row r="3448" spans="1:19" ht="16.2" customHeight="1" x14ac:dyDescent="0.3">
      <c r="A3448" s="4">
        <v>45629</v>
      </c>
      <c r="B3448" s="5">
        <f t="shared" si="844"/>
        <v>12</v>
      </c>
      <c r="C3448" s="5">
        <f t="shared" si="845"/>
        <v>2024</v>
      </c>
      <c r="D3448" s="5" t="s">
        <v>3213</v>
      </c>
      <c r="E3448" s="5" t="str">
        <f>VLOOKUP(F3448,'Set up'!$A$2:$C$70,2,FALSE)</f>
        <v>C00000050</v>
      </c>
      <c r="F3448" s="132" t="s">
        <v>2656</v>
      </c>
      <c r="G3448" s="133" t="s">
        <v>3116</v>
      </c>
      <c r="H3448" s="5">
        <v>2</v>
      </c>
      <c r="I3448" s="5" t="str">
        <f>VLOOKUP(F3448,'Set up'!$A$2:$C$70,3,FALSE)</f>
        <v>Cash</v>
      </c>
      <c r="J3448" s="5">
        <f>VLOOKUP(F3448,'Set up'!$A$2:$D$70,4,FALSE)</f>
        <v>0</v>
      </c>
      <c r="K3448" s="4">
        <f t="shared" si="846"/>
        <v>45629</v>
      </c>
      <c r="L3448" s="5">
        <f t="shared" si="847"/>
        <v>12</v>
      </c>
      <c r="M3448" s="5">
        <f t="shared" si="848"/>
        <v>2024</v>
      </c>
      <c r="N3448" s="12">
        <v>555</v>
      </c>
      <c r="O3448" s="6">
        <f t="shared" si="857"/>
        <v>-555</v>
      </c>
      <c r="P3448" s="12">
        <f t="shared" si="858"/>
        <v>0</v>
      </c>
      <c r="Q3448" s="7">
        <f t="shared" si="849"/>
        <v>5689270.75</v>
      </c>
      <c r="R3448" s="44" t="str">
        <f>VLOOKUP(F3448,'Set up'!$A$2:$E$70,5,FALSE)</f>
        <v>Cash</v>
      </c>
      <c r="S3448" s="1" t="s">
        <v>3314</v>
      </c>
    </row>
    <row r="3449" spans="1:19" ht="16.2" customHeight="1" x14ac:dyDescent="0.3">
      <c r="A3449" s="4">
        <v>45629</v>
      </c>
      <c r="B3449" s="5">
        <f t="shared" si="844"/>
        <v>12</v>
      </c>
      <c r="C3449" s="5">
        <f t="shared" si="845"/>
        <v>2024</v>
      </c>
      <c r="D3449" s="5" t="s">
        <v>3213</v>
      </c>
      <c r="E3449" s="5" t="str">
        <f>VLOOKUP(F3449,'Set up'!$A$2:$C$70,2,FALSE)</f>
        <v>C00000050</v>
      </c>
      <c r="F3449" s="132" t="s">
        <v>2656</v>
      </c>
      <c r="G3449" s="133" t="s">
        <v>1061</v>
      </c>
      <c r="H3449" s="5">
        <v>1</v>
      </c>
      <c r="I3449" s="5" t="str">
        <f>VLOOKUP(F3449,'Set up'!$A$2:$C$70,3,FALSE)</f>
        <v>Cash</v>
      </c>
      <c r="J3449" s="5">
        <f>VLOOKUP(F3449,'Set up'!$A$2:$D$70,4,FALSE)</f>
        <v>0</v>
      </c>
      <c r="K3449" s="4">
        <f t="shared" si="846"/>
        <v>45629</v>
      </c>
      <c r="L3449" s="5">
        <f t="shared" si="847"/>
        <v>12</v>
      </c>
      <c r="M3449" s="5">
        <f t="shared" si="848"/>
        <v>2024</v>
      </c>
      <c r="N3449" s="12">
        <v>95</v>
      </c>
      <c r="O3449" s="6">
        <f t="shared" si="857"/>
        <v>-95</v>
      </c>
      <c r="P3449" s="12">
        <f t="shared" si="858"/>
        <v>0</v>
      </c>
      <c r="Q3449" s="7">
        <f t="shared" si="849"/>
        <v>5689365.75</v>
      </c>
      <c r="R3449" s="44" t="str">
        <f>VLOOKUP(F3449,'Set up'!$A$2:$E$70,5,FALSE)</f>
        <v>Cash</v>
      </c>
      <c r="S3449" s="1" t="s">
        <v>3314</v>
      </c>
    </row>
    <row r="3450" spans="1:19" ht="16.2" customHeight="1" x14ac:dyDescent="0.3">
      <c r="A3450" s="4">
        <v>45629</v>
      </c>
      <c r="B3450" s="5">
        <f t="shared" si="844"/>
        <v>12</v>
      </c>
      <c r="C3450" s="5">
        <f t="shared" si="845"/>
        <v>2024</v>
      </c>
      <c r="D3450" s="5" t="s">
        <v>3213</v>
      </c>
      <c r="E3450" s="5" t="str">
        <f>VLOOKUP(F3450,'Set up'!$A$2:$C$70,2,FALSE)</f>
        <v>C00000050</v>
      </c>
      <c r="F3450" s="132" t="s">
        <v>2656</v>
      </c>
      <c r="G3450" s="133" t="s">
        <v>2144</v>
      </c>
      <c r="H3450" s="5">
        <v>1</v>
      </c>
      <c r="I3450" s="5" t="str">
        <f>VLOOKUP(F3450,'Set up'!$A$2:$C$70,3,FALSE)</f>
        <v>Cash</v>
      </c>
      <c r="J3450" s="5">
        <f>VLOOKUP(F3450,'Set up'!$A$2:$D$70,4,FALSE)</f>
        <v>0</v>
      </c>
      <c r="K3450" s="4">
        <f t="shared" si="846"/>
        <v>45629</v>
      </c>
      <c r="L3450" s="5">
        <f t="shared" si="847"/>
        <v>12</v>
      </c>
      <c r="M3450" s="5">
        <f t="shared" si="848"/>
        <v>2024</v>
      </c>
      <c r="N3450" s="12">
        <v>275</v>
      </c>
      <c r="O3450" s="6">
        <f t="shared" si="857"/>
        <v>-275</v>
      </c>
      <c r="P3450" s="12">
        <f t="shared" si="858"/>
        <v>0</v>
      </c>
      <c r="Q3450" s="7">
        <f t="shared" si="849"/>
        <v>5689640.75</v>
      </c>
      <c r="R3450" s="44" t="str">
        <f>VLOOKUP(F3450,'Set up'!$A$2:$E$70,5,FALSE)</f>
        <v>Cash</v>
      </c>
      <c r="S3450" s="1" t="s">
        <v>3314</v>
      </c>
    </row>
    <row r="3451" spans="1:19" ht="16.2" customHeight="1" x14ac:dyDescent="0.3">
      <c r="A3451" s="4">
        <v>45629</v>
      </c>
      <c r="B3451" s="5">
        <f t="shared" si="844"/>
        <v>12</v>
      </c>
      <c r="C3451" s="5">
        <f t="shared" si="845"/>
        <v>2024</v>
      </c>
      <c r="D3451" s="5" t="s">
        <v>3214</v>
      </c>
      <c r="E3451" s="5" t="str">
        <f>VLOOKUP(F3451,'Set up'!$A$2:$C$70,2,FALSE)</f>
        <v>C00000049</v>
      </c>
      <c r="F3451" s="132" t="s">
        <v>2728</v>
      </c>
      <c r="G3451" s="133" t="s">
        <v>46</v>
      </c>
      <c r="H3451" s="5">
        <v>1</v>
      </c>
      <c r="I3451" s="5" t="str">
        <f>VLOOKUP(F3451,'Set up'!$A$2:$C$70,3,FALSE)</f>
        <v>Cash</v>
      </c>
      <c r="J3451" s="5">
        <f>VLOOKUP(F3451,'Set up'!$A$2:$D$70,4,FALSE)</f>
        <v>0</v>
      </c>
      <c r="K3451" s="4">
        <f t="shared" si="846"/>
        <v>45629</v>
      </c>
      <c r="L3451" s="5">
        <f t="shared" si="847"/>
        <v>12</v>
      </c>
      <c r="M3451" s="5">
        <f t="shared" si="848"/>
        <v>2024</v>
      </c>
      <c r="N3451" s="12">
        <v>115</v>
      </c>
      <c r="O3451" s="12"/>
      <c r="P3451" s="12">
        <f t="shared" si="858"/>
        <v>115</v>
      </c>
      <c r="Q3451" s="7">
        <f t="shared" si="849"/>
        <v>5689755.75</v>
      </c>
      <c r="R3451" s="44" t="str">
        <f>VLOOKUP(F3451,'Set up'!$A$2:$E$70,5,FALSE)</f>
        <v>Cash</v>
      </c>
    </row>
    <row r="3452" spans="1:19" ht="16.2" customHeight="1" x14ac:dyDescent="0.3">
      <c r="A3452" s="4">
        <v>45631</v>
      </c>
      <c r="B3452" s="5">
        <f t="shared" si="844"/>
        <v>12</v>
      </c>
      <c r="C3452" s="5">
        <f t="shared" si="845"/>
        <v>2024</v>
      </c>
      <c r="D3452" s="5" t="s">
        <v>3215</v>
      </c>
      <c r="E3452" s="5" t="str">
        <f>VLOOKUP(F3452,'Set up'!$A$2:$C$70,2,FALSE)</f>
        <v>C00000042</v>
      </c>
      <c r="F3452" s="132" t="s">
        <v>2012</v>
      </c>
      <c r="G3452" s="133" t="s">
        <v>2646</v>
      </c>
      <c r="H3452" s="5">
        <v>1</v>
      </c>
      <c r="I3452" s="5" t="str">
        <f>VLOOKUP(F3452,'Set up'!$A$2:$C$70,3,FALSE)</f>
        <v>Cash</v>
      </c>
      <c r="J3452" s="5">
        <f>VLOOKUP(F3452,'Set up'!$A$2:$D$70,4,FALSE)</f>
        <v>0</v>
      </c>
      <c r="K3452" s="4">
        <f t="shared" si="846"/>
        <v>45631</v>
      </c>
      <c r="L3452" s="5">
        <f t="shared" si="847"/>
        <v>12</v>
      </c>
      <c r="M3452" s="5">
        <f t="shared" si="848"/>
        <v>2024</v>
      </c>
      <c r="N3452" s="12">
        <v>62.5</v>
      </c>
      <c r="O3452" s="6">
        <f t="shared" ref="O3452" si="859">-N3452</f>
        <v>-62.5</v>
      </c>
      <c r="P3452" s="12">
        <f t="shared" si="858"/>
        <v>0</v>
      </c>
      <c r="Q3452" s="7">
        <f t="shared" si="849"/>
        <v>5689818.25</v>
      </c>
      <c r="R3452" s="44" t="str">
        <f>VLOOKUP(F3452,'Set up'!$A$2:$E$70,5,FALSE)</f>
        <v>Trsf</v>
      </c>
      <c r="S3452" s="1" t="s">
        <v>3771</v>
      </c>
    </row>
    <row r="3453" spans="1:19" ht="16.2" customHeight="1" x14ac:dyDescent="0.3">
      <c r="A3453" s="4">
        <v>45631</v>
      </c>
      <c r="B3453" s="5">
        <f t="shared" si="844"/>
        <v>12</v>
      </c>
      <c r="C3453" s="5">
        <f t="shared" si="845"/>
        <v>2024</v>
      </c>
      <c r="D3453" s="5" t="s">
        <v>3216</v>
      </c>
      <c r="E3453" s="5" t="str">
        <f>VLOOKUP(F3453,'Set up'!$A$2:$C$70,2,FALSE)</f>
        <v>C00000042</v>
      </c>
      <c r="F3453" s="132" t="s">
        <v>2012</v>
      </c>
      <c r="G3453" s="133" t="s">
        <v>3217</v>
      </c>
      <c r="H3453" s="5">
        <v>10</v>
      </c>
      <c r="I3453" s="5" t="str">
        <f>VLOOKUP(F3453,'Set up'!$A$2:$C$70,3,FALSE)</f>
        <v>Cash</v>
      </c>
      <c r="J3453" s="5">
        <f>VLOOKUP(F3453,'Set up'!$A$2:$D$70,4,FALSE)</f>
        <v>0</v>
      </c>
      <c r="K3453" s="4">
        <f t="shared" si="846"/>
        <v>45631</v>
      </c>
      <c r="L3453" s="5">
        <f t="shared" si="847"/>
        <v>12</v>
      </c>
      <c r="M3453" s="5">
        <f t="shared" si="848"/>
        <v>2024</v>
      </c>
      <c r="N3453" s="12">
        <v>16200</v>
      </c>
      <c r="O3453" s="12">
        <f>-13482.6-2717.4</f>
        <v>-16200</v>
      </c>
      <c r="P3453" s="12">
        <f t="shared" ref="P3453:P3469" si="860">SUM(N3453+O3453)</f>
        <v>0</v>
      </c>
      <c r="Q3453" s="7">
        <f t="shared" si="849"/>
        <v>5706018.25</v>
      </c>
      <c r="R3453" s="44" t="str">
        <f>VLOOKUP(F3453,'Set up'!$A$2:$E$70,5,FALSE)</f>
        <v>Trsf</v>
      </c>
      <c r="S3453" s="1" t="s">
        <v>3772</v>
      </c>
    </row>
    <row r="3454" spans="1:19" ht="16.2" customHeight="1" x14ac:dyDescent="0.3">
      <c r="A3454" s="4">
        <v>45631</v>
      </c>
      <c r="B3454" s="5">
        <f t="shared" si="844"/>
        <v>12</v>
      </c>
      <c r="C3454" s="5">
        <f t="shared" si="845"/>
        <v>2024</v>
      </c>
      <c r="D3454" s="5" t="s">
        <v>3216</v>
      </c>
      <c r="E3454" s="5" t="str">
        <f>VLOOKUP(F3454,'Set up'!$A$2:$C$70,2,FALSE)</f>
        <v>C00000042</v>
      </c>
      <c r="F3454" s="132" t="s">
        <v>2012</v>
      </c>
      <c r="G3454" s="133" t="s">
        <v>1392</v>
      </c>
      <c r="H3454" s="5">
        <v>20</v>
      </c>
      <c r="I3454" s="5" t="str">
        <f>VLOOKUP(F3454,'Set up'!$A$2:$C$70,3,FALSE)</f>
        <v>Cash</v>
      </c>
      <c r="J3454" s="5">
        <f>VLOOKUP(F3454,'Set up'!$A$2:$D$70,4,FALSE)</f>
        <v>0</v>
      </c>
      <c r="K3454" s="4">
        <f t="shared" si="846"/>
        <v>45631</v>
      </c>
      <c r="L3454" s="5">
        <f t="shared" si="847"/>
        <v>12</v>
      </c>
      <c r="M3454" s="5">
        <f t="shared" si="848"/>
        <v>2024</v>
      </c>
      <c r="N3454" s="12">
        <v>3480</v>
      </c>
      <c r="O3454" s="6">
        <f t="shared" ref="O3454:O3457" si="861">-N3454</f>
        <v>-3480</v>
      </c>
      <c r="P3454" s="12">
        <f t="shared" si="860"/>
        <v>0</v>
      </c>
      <c r="Q3454" s="7">
        <f t="shared" si="849"/>
        <v>5709498.25</v>
      </c>
      <c r="R3454" s="44" t="str">
        <f>VLOOKUP(F3454,'Set up'!$A$2:$E$70,5,FALSE)</f>
        <v>Trsf</v>
      </c>
      <c r="S3454" s="1" t="s">
        <v>3773</v>
      </c>
    </row>
    <row r="3455" spans="1:19" ht="16.2" customHeight="1" x14ac:dyDescent="0.3">
      <c r="A3455" s="4">
        <v>45631</v>
      </c>
      <c r="B3455" s="5">
        <f t="shared" si="844"/>
        <v>12</v>
      </c>
      <c r="C3455" s="5">
        <f t="shared" si="845"/>
        <v>2024</v>
      </c>
      <c r="D3455" s="5" t="s">
        <v>3216</v>
      </c>
      <c r="E3455" s="5" t="str">
        <f>VLOOKUP(F3455,'Set up'!$A$2:$C$70,2,FALSE)</f>
        <v>C00000042</v>
      </c>
      <c r="F3455" s="132" t="s">
        <v>2012</v>
      </c>
      <c r="G3455" s="133" t="s">
        <v>1922</v>
      </c>
      <c r="H3455" s="5">
        <v>12</v>
      </c>
      <c r="I3455" s="5" t="str">
        <f>VLOOKUP(F3455,'Set up'!$A$2:$C$70,3,FALSE)</f>
        <v>Cash</v>
      </c>
      <c r="J3455" s="5">
        <f>VLOOKUP(F3455,'Set up'!$A$2:$D$70,4,FALSE)</f>
        <v>0</v>
      </c>
      <c r="K3455" s="4">
        <f t="shared" si="846"/>
        <v>45631</v>
      </c>
      <c r="L3455" s="5">
        <f t="shared" si="847"/>
        <v>12</v>
      </c>
      <c r="M3455" s="5">
        <f t="shared" si="848"/>
        <v>2024</v>
      </c>
      <c r="N3455" s="12">
        <v>2862</v>
      </c>
      <c r="O3455" s="6">
        <f t="shared" si="861"/>
        <v>-2862</v>
      </c>
      <c r="P3455" s="12">
        <f t="shared" si="860"/>
        <v>0</v>
      </c>
      <c r="Q3455" s="7">
        <f t="shared" si="849"/>
        <v>5712360.25</v>
      </c>
      <c r="R3455" s="44" t="str">
        <f>VLOOKUP(F3455,'Set up'!$A$2:$E$70,5,FALSE)</f>
        <v>Trsf</v>
      </c>
      <c r="S3455" s="1" t="s">
        <v>3774</v>
      </c>
    </row>
    <row r="3456" spans="1:19" ht="16.2" customHeight="1" x14ac:dyDescent="0.3">
      <c r="A3456" s="4">
        <v>45631</v>
      </c>
      <c r="B3456" s="5">
        <f t="shared" si="844"/>
        <v>12</v>
      </c>
      <c r="C3456" s="5">
        <f t="shared" si="845"/>
        <v>2024</v>
      </c>
      <c r="D3456" s="5" t="s">
        <v>3216</v>
      </c>
      <c r="E3456" s="5" t="str">
        <f>VLOOKUP(F3456,'Set up'!$A$2:$C$70,2,FALSE)</f>
        <v>C00000042</v>
      </c>
      <c r="F3456" s="132" t="s">
        <v>2012</v>
      </c>
      <c r="G3456" s="133" t="s">
        <v>46</v>
      </c>
      <c r="H3456" s="5">
        <v>4</v>
      </c>
      <c r="I3456" s="5" t="str">
        <f>VLOOKUP(F3456,'Set up'!$A$2:$C$70,3,FALSE)</f>
        <v>Cash</v>
      </c>
      <c r="J3456" s="5">
        <f>VLOOKUP(F3456,'Set up'!$A$2:$D$70,4,FALSE)</f>
        <v>0</v>
      </c>
      <c r="K3456" s="4">
        <f t="shared" si="846"/>
        <v>45631</v>
      </c>
      <c r="L3456" s="5">
        <f t="shared" si="847"/>
        <v>12</v>
      </c>
      <c r="M3456" s="5">
        <f t="shared" si="848"/>
        <v>2024</v>
      </c>
      <c r="N3456" s="12">
        <v>460</v>
      </c>
      <c r="O3456" s="6">
        <f t="shared" si="861"/>
        <v>-460</v>
      </c>
      <c r="P3456" s="12">
        <f t="shared" si="860"/>
        <v>0</v>
      </c>
      <c r="Q3456" s="7">
        <f t="shared" si="849"/>
        <v>5712820.25</v>
      </c>
      <c r="R3456" s="44" t="str">
        <f>VLOOKUP(F3456,'Set up'!$A$2:$E$70,5,FALSE)</f>
        <v>Trsf</v>
      </c>
      <c r="S3456" s="1" t="s">
        <v>3775</v>
      </c>
    </row>
    <row r="3457" spans="1:19" ht="16.2" customHeight="1" x14ac:dyDescent="0.3">
      <c r="A3457" s="4">
        <v>45631</v>
      </c>
      <c r="B3457" s="5">
        <f t="shared" si="844"/>
        <v>12</v>
      </c>
      <c r="C3457" s="5">
        <f t="shared" si="845"/>
        <v>2024</v>
      </c>
      <c r="D3457" s="5" t="s">
        <v>3216</v>
      </c>
      <c r="E3457" s="5" t="str">
        <f>VLOOKUP(F3457,'Set up'!$A$2:$C$70,2,FALSE)</f>
        <v>C00000042</v>
      </c>
      <c r="F3457" s="132" t="s">
        <v>2012</v>
      </c>
      <c r="G3457" s="133" t="s">
        <v>1073</v>
      </c>
      <c r="H3457" s="5">
        <v>2</v>
      </c>
      <c r="I3457" s="5" t="str">
        <f>VLOOKUP(F3457,'Set up'!$A$2:$C$70,3,FALSE)</f>
        <v>Cash</v>
      </c>
      <c r="J3457" s="5">
        <f>VLOOKUP(F3457,'Set up'!$A$2:$D$70,4,FALSE)</f>
        <v>0</v>
      </c>
      <c r="K3457" s="4">
        <f t="shared" si="846"/>
        <v>45631</v>
      </c>
      <c r="L3457" s="5">
        <f t="shared" si="847"/>
        <v>12</v>
      </c>
      <c r="M3457" s="5">
        <f t="shared" si="848"/>
        <v>2024</v>
      </c>
      <c r="N3457" s="12">
        <v>2000</v>
      </c>
      <c r="O3457" s="6">
        <f t="shared" si="861"/>
        <v>-2000</v>
      </c>
      <c r="P3457" s="12">
        <f t="shared" si="860"/>
        <v>0</v>
      </c>
      <c r="Q3457" s="7">
        <f t="shared" si="849"/>
        <v>5714820.25</v>
      </c>
      <c r="R3457" s="44" t="str">
        <f>VLOOKUP(F3457,'Set up'!$A$2:$E$70,5,FALSE)</f>
        <v>Trsf</v>
      </c>
      <c r="S3457" s="1" t="s">
        <v>3776</v>
      </c>
    </row>
    <row r="3458" spans="1:19" ht="16.2" customHeight="1" x14ac:dyDescent="0.3">
      <c r="A3458" s="4">
        <v>45633</v>
      </c>
      <c r="B3458" s="5">
        <f t="shared" si="844"/>
        <v>12</v>
      </c>
      <c r="C3458" s="5">
        <f t="shared" si="845"/>
        <v>2024</v>
      </c>
      <c r="D3458" s="5" t="s">
        <v>3218</v>
      </c>
      <c r="E3458" s="5" t="str">
        <f>VLOOKUP(F3458,'Set up'!$A$2:$C$70,2,FALSE)</f>
        <v>C00000019</v>
      </c>
      <c r="F3458" s="132" t="s">
        <v>400</v>
      </c>
      <c r="G3458" s="133" t="s">
        <v>3122</v>
      </c>
      <c r="H3458" s="5">
        <v>1</v>
      </c>
      <c r="I3458" s="5" t="str">
        <f>VLOOKUP(F3458,'Set up'!$A$2:$C$70,3,FALSE)</f>
        <v>Cash</v>
      </c>
      <c r="J3458" s="5">
        <f>VLOOKUP(F3458,'Set up'!$A$2:$D$70,4,FALSE)</f>
        <v>0</v>
      </c>
      <c r="K3458" s="4">
        <f t="shared" si="846"/>
        <v>45633</v>
      </c>
      <c r="L3458" s="5">
        <f t="shared" si="847"/>
        <v>12</v>
      </c>
      <c r="M3458" s="5">
        <f t="shared" si="848"/>
        <v>2024</v>
      </c>
      <c r="N3458" s="12">
        <v>1755</v>
      </c>
      <c r="O3458" s="12"/>
      <c r="P3458" s="12">
        <f t="shared" si="860"/>
        <v>1755</v>
      </c>
      <c r="Q3458" s="7">
        <f t="shared" si="849"/>
        <v>5716575.25</v>
      </c>
      <c r="R3458" s="44" t="str">
        <f>VLOOKUP(F3458,'Set up'!$A$2:$E$70,5,FALSE)</f>
        <v>Trsf</v>
      </c>
    </row>
    <row r="3459" spans="1:19" ht="16.2" customHeight="1" x14ac:dyDescent="0.3">
      <c r="A3459" s="4">
        <v>45633</v>
      </c>
      <c r="B3459" s="5">
        <f t="shared" ref="B3459:B3522" si="862">MONTH(A3459)</f>
        <v>12</v>
      </c>
      <c r="C3459" s="5">
        <f t="shared" ref="C3459:C3522" si="863">YEAR(A3459)</f>
        <v>2024</v>
      </c>
      <c r="D3459" s="5" t="s">
        <v>3218</v>
      </c>
      <c r="E3459" s="5" t="str">
        <f>VLOOKUP(F3459,'Set up'!$A$2:$C$70,2,FALSE)</f>
        <v>C00000019</v>
      </c>
      <c r="F3459" s="132" t="s">
        <v>400</v>
      </c>
      <c r="G3459" s="133" t="s">
        <v>1411</v>
      </c>
      <c r="H3459" s="5">
        <v>1</v>
      </c>
      <c r="I3459" s="5" t="str">
        <f>VLOOKUP(F3459,'Set up'!$A$2:$C$70,3,FALSE)</f>
        <v>Cash</v>
      </c>
      <c r="J3459" s="5">
        <f>VLOOKUP(F3459,'Set up'!$A$2:$D$70,4,FALSE)</f>
        <v>0</v>
      </c>
      <c r="K3459" s="4">
        <f t="shared" ref="K3459:K3522" si="864">A3459+J3459</f>
        <v>45633</v>
      </c>
      <c r="L3459" s="5">
        <f t="shared" ref="L3459:L3522" si="865">MONTH(K3459)</f>
        <v>12</v>
      </c>
      <c r="M3459" s="5">
        <f t="shared" ref="M3459:M3522" si="866">YEAR(K3459)</f>
        <v>2024</v>
      </c>
      <c r="N3459" s="12">
        <v>405</v>
      </c>
      <c r="O3459" s="12"/>
      <c r="P3459" s="12">
        <f t="shared" si="860"/>
        <v>405</v>
      </c>
      <c r="Q3459" s="7">
        <f t="shared" ref="Q3459:Q3522" si="867">SUM(Q3458+N3459)</f>
        <v>5716980.25</v>
      </c>
      <c r="R3459" s="44" t="str">
        <f>VLOOKUP(F3459,'Set up'!$A$2:$E$70,5,FALSE)</f>
        <v>Trsf</v>
      </c>
    </row>
    <row r="3460" spans="1:19" ht="16.2" customHeight="1" x14ac:dyDescent="0.3">
      <c r="A3460" s="4">
        <v>45633</v>
      </c>
      <c r="B3460" s="5">
        <f t="shared" si="862"/>
        <v>12</v>
      </c>
      <c r="C3460" s="5">
        <f t="shared" si="863"/>
        <v>2024</v>
      </c>
      <c r="D3460" s="5" t="s">
        <v>3218</v>
      </c>
      <c r="E3460" s="5" t="str">
        <f>VLOOKUP(F3460,'Set up'!$A$2:$C$70,2,FALSE)</f>
        <v>C00000019</v>
      </c>
      <c r="F3460" s="132" t="s">
        <v>400</v>
      </c>
      <c r="G3460" s="133" t="s">
        <v>46</v>
      </c>
      <c r="H3460" s="5">
        <v>1</v>
      </c>
      <c r="I3460" s="5" t="str">
        <f>VLOOKUP(F3460,'Set up'!$A$2:$C$70,3,FALSE)</f>
        <v>Cash</v>
      </c>
      <c r="J3460" s="5">
        <f>VLOOKUP(F3460,'Set up'!$A$2:$D$70,4,FALSE)</f>
        <v>0</v>
      </c>
      <c r="K3460" s="4">
        <f t="shared" si="864"/>
        <v>45633</v>
      </c>
      <c r="L3460" s="5">
        <f t="shared" si="865"/>
        <v>12</v>
      </c>
      <c r="M3460" s="5">
        <f t="shared" si="866"/>
        <v>2024</v>
      </c>
      <c r="N3460" s="12">
        <v>110</v>
      </c>
      <c r="O3460" s="12"/>
      <c r="P3460" s="12">
        <f t="shared" si="860"/>
        <v>110</v>
      </c>
      <c r="Q3460" s="7">
        <f t="shared" si="867"/>
        <v>5717090.25</v>
      </c>
      <c r="R3460" s="44" t="str">
        <f>VLOOKUP(F3460,'Set up'!$A$2:$E$70,5,FALSE)</f>
        <v>Trsf</v>
      </c>
    </row>
    <row r="3461" spans="1:19" ht="16.2" customHeight="1" x14ac:dyDescent="0.3">
      <c r="A3461" s="4">
        <v>45633</v>
      </c>
      <c r="B3461" s="5">
        <f t="shared" si="862"/>
        <v>12</v>
      </c>
      <c r="C3461" s="5">
        <f t="shared" si="863"/>
        <v>2024</v>
      </c>
      <c r="D3461" s="5" t="s">
        <v>3218</v>
      </c>
      <c r="E3461" s="5" t="str">
        <f>VLOOKUP(F3461,'Set up'!$A$2:$C$70,2,FALSE)</f>
        <v>C00000019</v>
      </c>
      <c r="F3461" s="132" t="s">
        <v>400</v>
      </c>
      <c r="G3461" s="133" t="s">
        <v>1469</v>
      </c>
      <c r="H3461" s="5">
        <v>1</v>
      </c>
      <c r="I3461" s="5" t="str">
        <f>VLOOKUP(F3461,'Set up'!$A$2:$C$70,3,FALSE)</f>
        <v>Cash</v>
      </c>
      <c r="J3461" s="5">
        <f>VLOOKUP(F3461,'Set up'!$A$2:$D$70,4,FALSE)</f>
        <v>0</v>
      </c>
      <c r="K3461" s="4">
        <f t="shared" si="864"/>
        <v>45633</v>
      </c>
      <c r="L3461" s="5">
        <f t="shared" si="865"/>
        <v>12</v>
      </c>
      <c r="M3461" s="5">
        <f t="shared" si="866"/>
        <v>2024</v>
      </c>
      <c r="N3461" s="12">
        <v>390</v>
      </c>
      <c r="O3461" s="12"/>
      <c r="P3461" s="12">
        <f t="shared" si="860"/>
        <v>390</v>
      </c>
      <c r="Q3461" s="7">
        <f t="shared" si="867"/>
        <v>5717480.25</v>
      </c>
      <c r="R3461" s="44" t="str">
        <f>VLOOKUP(F3461,'Set up'!$A$2:$E$70,5,FALSE)</f>
        <v>Trsf</v>
      </c>
    </row>
    <row r="3462" spans="1:19" ht="16.2" customHeight="1" x14ac:dyDescent="0.3">
      <c r="A3462" s="4">
        <v>45633</v>
      </c>
      <c r="B3462" s="5">
        <f t="shared" si="862"/>
        <v>12</v>
      </c>
      <c r="C3462" s="5">
        <f t="shared" si="863"/>
        <v>2024</v>
      </c>
      <c r="D3462" s="5" t="s">
        <v>3218</v>
      </c>
      <c r="E3462" s="5" t="str">
        <f>VLOOKUP(F3462,'Set up'!$A$2:$C$70,2,FALSE)</f>
        <v>C00000019</v>
      </c>
      <c r="F3462" s="132" t="s">
        <v>400</v>
      </c>
      <c r="G3462" s="133" t="s">
        <v>2635</v>
      </c>
      <c r="H3462" s="5">
        <v>3</v>
      </c>
      <c r="I3462" s="5" t="str">
        <f>VLOOKUP(F3462,'Set up'!$A$2:$C$70,3,FALSE)</f>
        <v>Cash</v>
      </c>
      <c r="J3462" s="5">
        <f>VLOOKUP(F3462,'Set up'!$A$2:$D$70,4,FALSE)</f>
        <v>0</v>
      </c>
      <c r="K3462" s="4">
        <f t="shared" si="864"/>
        <v>45633</v>
      </c>
      <c r="L3462" s="5">
        <f t="shared" si="865"/>
        <v>12</v>
      </c>
      <c r="M3462" s="5">
        <f t="shared" si="866"/>
        <v>2024</v>
      </c>
      <c r="N3462" s="12">
        <v>187.5</v>
      </c>
      <c r="O3462" s="12"/>
      <c r="P3462" s="12">
        <f t="shared" si="860"/>
        <v>187.5</v>
      </c>
      <c r="Q3462" s="7">
        <f t="shared" si="867"/>
        <v>5717667.75</v>
      </c>
      <c r="R3462" s="44" t="str">
        <f>VLOOKUP(F3462,'Set up'!$A$2:$E$70,5,FALSE)</f>
        <v>Trsf</v>
      </c>
    </row>
    <row r="3463" spans="1:19" ht="16.2" customHeight="1" x14ac:dyDescent="0.3">
      <c r="A3463" s="4">
        <v>45633</v>
      </c>
      <c r="B3463" s="5">
        <f t="shared" si="862"/>
        <v>12</v>
      </c>
      <c r="C3463" s="5">
        <f t="shared" si="863"/>
        <v>2024</v>
      </c>
      <c r="D3463" s="5" t="s">
        <v>3219</v>
      </c>
      <c r="E3463" s="5" t="str">
        <f>VLOOKUP(F3463,'Set up'!$A$2:$C$70,2,FALSE)</f>
        <v>C00000010</v>
      </c>
      <c r="F3463" s="132" t="s">
        <v>62</v>
      </c>
      <c r="G3463" s="133" t="s">
        <v>3119</v>
      </c>
      <c r="H3463" s="5">
        <v>10</v>
      </c>
      <c r="I3463" s="5">
        <f>VLOOKUP(F3463,'Set up'!$A$2:$C$70,3,FALSE)</f>
        <v>120</v>
      </c>
      <c r="J3463" s="5">
        <f>VLOOKUP(F3463,'Set up'!$A$2:$D$70,4,FALSE)</f>
        <v>120</v>
      </c>
      <c r="K3463" s="4">
        <f t="shared" si="864"/>
        <v>45753</v>
      </c>
      <c r="L3463" s="5">
        <f t="shared" si="865"/>
        <v>4</v>
      </c>
      <c r="M3463" s="5">
        <f t="shared" si="866"/>
        <v>2025</v>
      </c>
      <c r="N3463" s="12">
        <v>16200</v>
      </c>
      <c r="O3463" s="6">
        <f t="shared" ref="O3463:O3469" si="868">-N3463</f>
        <v>-16200</v>
      </c>
      <c r="P3463" s="12">
        <f t="shared" si="860"/>
        <v>0</v>
      </c>
      <c r="Q3463" s="7">
        <f t="shared" si="867"/>
        <v>5733867.75</v>
      </c>
      <c r="R3463" s="44" t="str">
        <f>VLOOKUP(F3463,'Set up'!$A$2:$E$70,5,FALSE)</f>
        <v>Trsf</v>
      </c>
      <c r="S3463" s="1" t="s">
        <v>3830</v>
      </c>
    </row>
    <row r="3464" spans="1:19" ht="16.2" customHeight="1" x14ac:dyDescent="0.3">
      <c r="A3464" s="4">
        <v>45633</v>
      </c>
      <c r="B3464" s="5">
        <f t="shared" si="862"/>
        <v>12</v>
      </c>
      <c r="C3464" s="5">
        <f t="shared" si="863"/>
        <v>2024</v>
      </c>
      <c r="D3464" s="5" t="s">
        <v>3219</v>
      </c>
      <c r="E3464" s="5" t="str">
        <f>VLOOKUP(F3464,'Set up'!$A$2:$C$70,2,FALSE)</f>
        <v>C00000010</v>
      </c>
      <c r="F3464" s="132" t="s">
        <v>62</v>
      </c>
      <c r="G3464" s="133" t="s">
        <v>1543</v>
      </c>
      <c r="H3464" s="5">
        <v>15</v>
      </c>
      <c r="I3464" s="5">
        <f>VLOOKUP(F3464,'Set up'!$A$2:$C$70,3,FALSE)</f>
        <v>120</v>
      </c>
      <c r="J3464" s="5">
        <f>VLOOKUP(F3464,'Set up'!$A$2:$D$70,4,FALSE)</f>
        <v>120</v>
      </c>
      <c r="K3464" s="4">
        <f t="shared" si="864"/>
        <v>45753</v>
      </c>
      <c r="L3464" s="5">
        <f t="shared" si="865"/>
        <v>4</v>
      </c>
      <c r="M3464" s="5">
        <f t="shared" si="866"/>
        <v>2025</v>
      </c>
      <c r="N3464" s="12">
        <v>2610</v>
      </c>
      <c r="O3464" s="6">
        <f t="shared" si="868"/>
        <v>-2610</v>
      </c>
      <c r="P3464" s="12">
        <f t="shared" si="860"/>
        <v>0</v>
      </c>
      <c r="Q3464" s="7">
        <f t="shared" si="867"/>
        <v>5736477.75</v>
      </c>
      <c r="R3464" s="44" t="str">
        <f>VLOOKUP(F3464,'Set up'!$A$2:$E$70,5,FALSE)</f>
        <v>Trsf</v>
      </c>
      <c r="S3464" s="1" t="s">
        <v>3830</v>
      </c>
    </row>
    <row r="3465" spans="1:19" ht="16.2" customHeight="1" x14ac:dyDescent="0.3">
      <c r="A3465" s="4">
        <v>45633</v>
      </c>
      <c r="B3465" s="5">
        <f t="shared" si="862"/>
        <v>12</v>
      </c>
      <c r="C3465" s="5">
        <f t="shared" si="863"/>
        <v>2024</v>
      </c>
      <c r="D3465" s="5" t="s">
        <v>3219</v>
      </c>
      <c r="E3465" s="5" t="str">
        <f>VLOOKUP(F3465,'Set up'!$A$2:$C$70,2,FALSE)</f>
        <v>C00000010</v>
      </c>
      <c r="F3465" s="132" t="s">
        <v>62</v>
      </c>
      <c r="G3465" s="133" t="s">
        <v>2635</v>
      </c>
      <c r="H3465" s="5">
        <v>10</v>
      </c>
      <c r="I3465" s="5">
        <f>VLOOKUP(F3465,'Set up'!$A$2:$C$70,3,FALSE)</f>
        <v>120</v>
      </c>
      <c r="J3465" s="5">
        <f>VLOOKUP(F3465,'Set up'!$A$2:$D$70,4,FALSE)</f>
        <v>120</v>
      </c>
      <c r="K3465" s="4">
        <f t="shared" si="864"/>
        <v>45753</v>
      </c>
      <c r="L3465" s="5">
        <f t="shared" si="865"/>
        <v>4</v>
      </c>
      <c r="M3465" s="5">
        <f t="shared" si="866"/>
        <v>2025</v>
      </c>
      <c r="N3465" s="12">
        <v>575</v>
      </c>
      <c r="O3465" s="6">
        <f t="shared" si="868"/>
        <v>-575</v>
      </c>
      <c r="P3465" s="12">
        <f t="shared" si="860"/>
        <v>0</v>
      </c>
      <c r="Q3465" s="7">
        <f t="shared" si="867"/>
        <v>5737052.75</v>
      </c>
      <c r="R3465" s="44" t="str">
        <f>VLOOKUP(F3465,'Set up'!$A$2:$E$70,5,FALSE)</f>
        <v>Trsf</v>
      </c>
      <c r="S3465" s="1" t="s">
        <v>3830</v>
      </c>
    </row>
    <row r="3466" spans="1:19" ht="16.2" customHeight="1" x14ac:dyDescent="0.3">
      <c r="A3466" s="4">
        <v>45633</v>
      </c>
      <c r="B3466" s="5">
        <f t="shared" si="862"/>
        <v>12</v>
      </c>
      <c r="C3466" s="5">
        <f t="shared" si="863"/>
        <v>2024</v>
      </c>
      <c r="D3466" s="5" t="s">
        <v>3219</v>
      </c>
      <c r="E3466" s="5" t="str">
        <f>VLOOKUP(F3466,'Set up'!$A$2:$C$70,2,FALSE)</f>
        <v>C00000010</v>
      </c>
      <c r="F3466" s="132" t="s">
        <v>62</v>
      </c>
      <c r="G3466" s="133" t="s">
        <v>46</v>
      </c>
      <c r="H3466" s="5">
        <v>12</v>
      </c>
      <c r="I3466" s="5">
        <f>VLOOKUP(F3466,'Set up'!$A$2:$C$70,3,FALSE)</f>
        <v>120</v>
      </c>
      <c r="J3466" s="5">
        <f>VLOOKUP(F3466,'Set up'!$A$2:$D$70,4,FALSE)</f>
        <v>120</v>
      </c>
      <c r="K3466" s="4">
        <f t="shared" si="864"/>
        <v>45753</v>
      </c>
      <c r="L3466" s="5">
        <f t="shared" si="865"/>
        <v>4</v>
      </c>
      <c r="M3466" s="5">
        <f t="shared" si="866"/>
        <v>2025</v>
      </c>
      <c r="N3466" s="12">
        <v>1320</v>
      </c>
      <c r="O3466" s="6">
        <f t="shared" si="868"/>
        <v>-1320</v>
      </c>
      <c r="P3466" s="12">
        <f t="shared" si="860"/>
        <v>0</v>
      </c>
      <c r="Q3466" s="7">
        <f t="shared" si="867"/>
        <v>5738372.75</v>
      </c>
      <c r="R3466" s="44" t="str">
        <f>VLOOKUP(F3466,'Set up'!$A$2:$E$70,5,FALSE)</f>
        <v>Trsf</v>
      </c>
      <c r="S3466" s="1" t="s">
        <v>3830</v>
      </c>
    </row>
    <row r="3467" spans="1:19" ht="16.2" customHeight="1" x14ac:dyDescent="0.3">
      <c r="A3467" s="4">
        <v>45633</v>
      </c>
      <c r="B3467" s="5">
        <f t="shared" si="862"/>
        <v>12</v>
      </c>
      <c r="C3467" s="5">
        <f t="shared" si="863"/>
        <v>2024</v>
      </c>
      <c r="D3467" s="5" t="s">
        <v>3219</v>
      </c>
      <c r="E3467" s="5" t="str">
        <f>VLOOKUP(F3467,'Set up'!$A$2:$C$70,2,FALSE)</f>
        <v>C00000010</v>
      </c>
      <c r="F3467" s="132" t="s">
        <v>62</v>
      </c>
      <c r="G3467" s="133" t="s">
        <v>946</v>
      </c>
      <c r="H3467" s="5">
        <v>4</v>
      </c>
      <c r="I3467" s="5">
        <f>VLOOKUP(F3467,'Set up'!$A$2:$C$70,3,FALSE)</f>
        <v>120</v>
      </c>
      <c r="J3467" s="5">
        <f>VLOOKUP(F3467,'Set up'!$A$2:$D$70,4,FALSE)</f>
        <v>120</v>
      </c>
      <c r="K3467" s="4">
        <f t="shared" si="864"/>
        <v>45753</v>
      </c>
      <c r="L3467" s="5">
        <f t="shared" si="865"/>
        <v>4</v>
      </c>
      <c r="M3467" s="5">
        <f t="shared" si="866"/>
        <v>2025</v>
      </c>
      <c r="N3467" s="12">
        <v>230.4</v>
      </c>
      <c r="O3467" s="6">
        <f t="shared" si="868"/>
        <v>-230.4</v>
      </c>
      <c r="P3467" s="12">
        <f t="shared" si="860"/>
        <v>0</v>
      </c>
      <c r="Q3467" s="7">
        <f t="shared" si="867"/>
        <v>5738603.1500000004</v>
      </c>
      <c r="R3467" s="44" t="str">
        <f>VLOOKUP(F3467,'Set up'!$A$2:$E$70,5,FALSE)</f>
        <v>Trsf</v>
      </c>
      <c r="S3467" s="1" t="s">
        <v>3830</v>
      </c>
    </row>
    <row r="3468" spans="1:19" ht="16.2" customHeight="1" x14ac:dyDescent="0.3">
      <c r="A3468" s="4">
        <v>45633</v>
      </c>
      <c r="B3468" s="5">
        <f t="shared" si="862"/>
        <v>12</v>
      </c>
      <c r="C3468" s="5">
        <f t="shared" si="863"/>
        <v>2024</v>
      </c>
      <c r="D3468" s="5" t="s">
        <v>3219</v>
      </c>
      <c r="E3468" s="5" t="str">
        <f>VLOOKUP(F3468,'Set up'!$A$2:$C$70,2,FALSE)</f>
        <v>C00000010</v>
      </c>
      <c r="F3468" s="132" t="s">
        <v>62</v>
      </c>
      <c r="G3468" s="133" t="s">
        <v>2449</v>
      </c>
      <c r="H3468" s="5">
        <v>1</v>
      </c>
      <c r="I3468" s="5">
        <f>VLOOKUP(F3468,'Set up'!$A$2:$C$70,3,FALSE)</f>
        <v>120</v>
      </c>
      <c r="J3468" s="5">
        <f>VLOOKUP(F3468,'Set up'!$A$2:$D$70,4,FALSE)</f>
        <v>120</v>
      </c>
      <c r="K3468" s="4">
        <f t="shared" si="864"/>
        <v>45753</v>
      </c>
      <c r="L3468" s="5">
        <f t="shared" si="865"/>
        <v>4</v>
      </c>
      <c r="M3468" s="5">
        <f t="shared" si="866"/>
        <v>2025</v>
      </c>
      <c r="N3468" s="12">
        <v>420</v>
      </c>
      <c r="O3468" s="6">
        <f t="shared" si="868"/>
        <v>-420</v>
      </c>
      <c r="P3468" s="12">
        <f t="shared" si="860"/>
        <v>0</v>
      </c>
      <c r="Q3468" s="7">
        <f t="shared" si="867"/>
        <v>5739023.1500000004</v>
      </c>
      <c r="R3468" s="44" t="str">
        <f>VLOOKUP(F3468,'Set up'!$A$2:$E$70,5,FALSE)</f>
        <v>Trsf</v>
      </c>
      <c r="S3468" s="1" t="s">
        <v>3830</v>
      </c>
    </row>
    <row r="3469" spans="1:19" ht="16.2" customHeight="1" x14ac:dyDescent="0.3">
      <c r="A3469" s="4">
        <v>45633</v>
      </c>
      <c r="B3469" s="5">
        <f t="shared" si="862"/>
        <v>12</v>
      </c>
      <c r="C3469" s="5">
        <f t="shared" si="863"/>
        <v>2024</v>
      </c>
      <c r="D3469" s="5" t="s">
        <v>3219</v>
      </c>
      <c r="E3469" s="5" t="str">
        <f>VLOOKUP(F3469,'Set up'!$A$2:$C$70,2,FALSE)</f>
        <v>C00000010</v>
      </c>
      <c r="F3469" s="132" t="s">
        <v>62</v>
      </c>
      <c r="G3469" s="133" t="s">
        <v>3220</v>
      </c>
      <c r="H3469" s="5">
        <v>1</v>
      </c>
      <c r="I3469" s="5">
        <f>VLOOKUP(F3469,'Set up'!$A$2:$C$70,3,FALSE)</f>
        <v>120</v>
      </c>
      <c r="J3469" s="5">
        <f>VLOOKUP(F3469,'Set up'!$A$2:$D$70,4,FALSE)</f>
        <v>120</v>
      </c>
      <c r="K3469" s="4">
        <f t="shared" si="864"/>
        <v>45753</v>
      </c>
      <c r="L3469" s="5">
        <f t="shared" si="865"/>
        <v>4</v>
      </c>
      <c r="M3469" s="5">
        <f t="shared" si="866"/>
        <v>2025</v>
      </c>
      <c r="N3469" s="12">
        <v>0</v>
      </c>
      <c r="O3469" s="6">
        <f t="shared" si="868"/>
        <v>0</v>
      </c>
      <c r="P3469" s="12">
        <f t="shared" si="860"/>
        <v>0</v>
      </c>
      <c r="Q3469" s="7">
        <f t="shared" si="867"/>
        <v>5739023.1500000004</v>
      </c>
      <c r="R3469" s="44" t="str">
        <f>VLOOKUP(F3469,'Set up'!$A$2:$E$70,5,FALSE)</f>
        <v>Trsf</v>
      </c>
      <c r="S3469" s="1" t="s">
        <v>3830</v>
      </c>
    </row>
    <row r="3470" spans="1:19" ht="16.2" customHeight="1" x14ac:dyDescent="0.3">
      <c r="A3470" s="4">
        <v>45633</v>
      </c>
      <c r="B3470" s="5">
        <f t="shared" si="862"/>
        <v>12</v>
      </c>
      <c r="C3470" s="5">
        <f t="shared" si="863"/>
        <v>2024</v>
      </c>
      <c r="D3470" s="5" t="s">
        <v>3221</v>
      </c>
      <c r="E3470" s="5" t="str">
        <f>VLOOKUP(F3470,'Set up'!$A$2:$C$70,2,FALSE)</f>
        <v>C00000050</v>
      </c>
      <c r="F3470" s="132" t="s">
        <v>2656</v>
      </c>
      <c r="G3470" s="133" t="s">
        <v>3122</v>
      </c>
      <c r="H3470" s="5">
        <v>1</v>
      </c>
      <c r="I3470" s="5" t="str">
        <f>VLOOKUP(F3470,'Set up'!$A$2:$C$70,3,FALSE)</f>
        <v>Cash</v>
      </c>
      <c r="J3470" s="5">
        <f>VLOOKUP(F3470,'Set up'!$A$2:$D$70,4,FALSE)</f>
        <v>0</v>
      </c>
      <c r="K3470" s="4">
        <f t="shared" si="864"/>
        <v>45633</v>
      </c>
      <c r="L3470" s="5">
        <f t="shared" si="865"/>
        <v>12</v>
      </c>
      <c r="M3470" s="5">
        <f t="shared" si="866"/>
        <v>2024</v>
      </c>
      <c r="N3470" s="12">
        <v>1755</v>
      </c>
      <c r="O3470" s="6">
        <f t="shared" ref="O3470:O3474" si="869">-N3470</f>
        <v>-1755</v>
      </c>
      <c r="P3470" s="12">
        <f t="shared" ref="P3470:P3474" si="870">SUM(N3470+O3470)</f>
        <v>0</v>
      </c>
      <c r="Q3470" s="7">
        <f t="shared" si="867"/>
        <v>5740778.1500000004</v>
      </c>
      <c r="R3470" s="44" t="str">
        <f>VLOOKUP(F3470,'Set up'!$A$2:$E$70,5,FALSE)</f>
        <v>Cash</v>
      </c>
      <c r="S3470" s="1" t="s">
        <v>3315</v>
      </c>
    </row>
    <row r="3471" spans="1:19" ht="16.2" customHeight="1" x14ac:dyDescent="0.3">
      <c r="A3471" s="4">
        <v>45633</v>
      </c>
      <c r="B3471" s="5">
        <f t="shared" si="862"/>
        <v>12</v>
      </c>
      <c r="C3471" s="5">
        <f t="shared" si="863"/>
        <v>2024</v>
      </c>
      <c r="D3471" s="5" t="s">
        <v>3221</v>
      </c>
      <c r="E3471" s="5" t="str">
        <f>VLOOKUP(F3471,'Set up'!$A$2:$C$70,2,FALSE)</f>
        <v>C00000050</v>
      </c>
      <c r="F3471" s="132" t="s">
        <v>2656</v>
      </c>
      <c r="G3471" s="133" t="s">
        <v>3116</v>
      </c>
      <c r="H3471" s="5">
        <v>2</v>
      </c>
      <c r="I3471" s="5" t="str">
        <f>VLOOKUP(F3471,'Set up'!$A$2:$C$70,3,FALSE)</f>
        <v>Cash</v>
      </c>
      <c r="J3471" s="5">
        <f>VLOOKUP(F3471,'Set up'!$A$2:$D$70,4,FALSE)</f>
        <v>0</v>
      </c>
      <c r="K3471" s="4">
        <f t="shared" si="864"/>
        <v>45633</v>
      </c>
      <c r="L3471" s="5">
        <f t="shared" si="865"/>
        <v>12</v>
      </c>
      <c r="M3471" s="5">
        <f t="shared" si="866"/>
        <v>2024</v>
      </c>
      <c r="N3471" s="12">
        <v>555</v>
      </c>
      <c r="O3471" s="6">
        <f t="shared" si="869"/>
        <v>-555</v>
      </c>
      <c r="P3471" s="12">
        <f t="shared" si="870"/>
        <v>0</v>
      </c>
      <c r="Q3471" s="7">
        <f t="shared" si="867"/>
        <v>5741333.1500000004</v>
      </c>
      <c r="R3471" s="44" t="str">
        <f>VLOOKUP(F3471,'Set up'!$A$2:$E$70,5,FALSE)</f>
        <v>Cash</v>
      </c>
      <c r="S3471" s="1" t="s">
        <v>3315</v>
      </c>
    </row>
    <row r="3472" spans="1:19" ht="16.2" customHeight="1" x14ac:dyDescent="0.3">
      <c r="A3472" s="4">
        <v>45633</v>
      </c>
      <c r="B3472" s="5">
        <f t="shared" si="862"/>
        <v>12</v>
      </c>
      <c r="C3472" s="5">
        <f t="shared" si="863"/>
        <v>2024</v>
      </c>
      <c r="D3472" s="5" t="s">
        <v>3221</v>
      </c>
      <c r="E3472" s="5" t="str">
        <f>VLOOKUP(F3472,'Set up'!$A$2:$C$70,2,FALSE)</f>
        <v>C00000050</v>
      </c>
      <c r="F3472" s="132" t="s">
        <v>2656</v>
      </c>
      <c r="G3472" s="133" t="s">
        <v>1061</v>
      </c>
      <c r="H3472" s="5">
        <v>1</v>
      </c>
      <c r="I3472" s="5" t="str">
        <f>VLOOKUP(F3472,'Set up'!$A$2:$C$70,3,FALSE)</f>
        <v>Cash</v>
      </c>
      <c r="J3472" s="5">
        <f>VLOOKUP(F3472,'Set up'!$A$2:$D$70,4,FALSE)</f>
        <v>0</v>
      </c>
      <c r="K3472" s="4">
        <f t="shared" si="864"/>
        <v>45633</v>
      </c>
      <c r="L3472" s="5">
        <f t="shared" si="865"/>
        <v>12</v>
      </c>
      <c r="M3472" s="5">
        <f t="shared" si="866"/>
        <v>2024</v>
      </c>
      <c r="N3472" s="12">
        <v>95</v>
      </c>
      <c r="O3472" s="6">
        <f t="shared" si="869"/>
        <v>-95</v>
      </c>
      <c r="P3472" s="12">
        <f t="shared" si="870"/>
        <v>0</v>
      </c>
      <c r="Q3472" s="7">
        <f t="shared" si="867"/>
        <v>5741428.1500000004</v>
      </c>
      <c r="R3472" s="44" t="str">
        <f>VLOOKUP(F3472,'Set up'!$A$2:$E$70,5,FALSE)</f>
        <v>Cash</v>
      </c>
      <c r="S3472" s="1" t="s">
        <v>3315</v>
      </c>
    </row>
    <row r="3473" spans="1:21" ht="16.2" customHeight="1" x14ac:dyDescent="0.3">
      <c r="A3473" s="4">
        <v>45633</v>
      </c>
      <c r="B3473" s="5">
        <f t="shared" si="862"/>
        <v>12</v>
      </c>
      <c r="C3473" s="5">
        <f t="shared" si="863"/>
        <v>2024</v>
      </c>
      <c r="D3473" s="5" t="s">
        <v>3221</v>
      </c>
      <c r="E3473" s="5" t="str">
        <f>VLOOKUP(F3473,'Set up'!$A$2:$C$70,2,FALSE)</f>
        <v>C00000050</v>
      </c>
      <c r="F3473" s="132" t="s">
        <v>2656</v>
      </c>
      <c r="G3473" s="133" t="s">
        <v>2646</v>
      </c>
      <c r="H3473" s="5">
        <v>5</v>
      </c>
      <c r="I3473" s="5" t="str">
        <f>VLOOKUP(F3473,'Set up'!$A$2:$C$70,3,FALSE)</f>
        <v>Cash</v>
      </c>
      <c r="J3473" s="5">
        <f>VLOOKUP(F3473,'Set up'!$A$2:$D$70,4,FALSE)</f>
        <v>0</v>
      </c>
      <c r="K3473" s="4">
        <f t="shared" si="864"/>
        <v>45633</v>
      </c>
      <c r="L3473" s="5">
        <f t="shared" si="865"/>
        <v>12</v>
      </c>
      <c r="M3473" s="5">
        <f t="shared" si="866"/>
        <v>2024</v>
      </c>
      <c r="N3473" s="12">
        <v>312.5</v>
      </c>
      <c r="O3473" s="6">
        <f t="shared" si="869"/>
        <v>-312.5</v>
      </c>
      <c r="P3473" s="12">
        <f t="shared" si="870"/>
        <v>0</v>
      </c>
      <c r="Q3473" s="7">
        <f t="shared" si="867"/>
        <v>5741740.6500000004</v>
      </c>
      <c r="R3473" s="44" t="str">
        <f>VLOOKUP(F3473,'Set up'!$A$2:$E$70,5,FALSE)</f>
        <v>Cash</v>
      </c>
      <c r="S3473" s="1" t="s">
        <v>3315</v>
      </c>
    </row>
    <row r="3474" spans="1:21" ht="16.2" customHeight="1" x14ac:dyDescent="0.3">
      <c r="A3474" s="4">
        <v>45633</v>
      </c>
      <c r="B3474" s="5">
        <f t="shared" si="862"/>
        <v>12</v>
      </c>
      <c r="C3474" s="5">
        <f t="shared" si="863"/>
        <v>2024</v>
      </c>
      <c r="D3474" s="5" t="s">
        <v>3222</v>
      </c>
      <c r="E3474" s="5" t="str">
        <f>VLOOKUP(F3474,'Set up'!$A$2:$C$70,2,FALSE)</f>
        <v>C00000042</v>
      </c>
      <c r="F3474" s="132" t="s">
        <v>2012</v>
      </c>
      <c r="G3474" s="133" t="s">
        <v>2744</v>
      </c>
      <c r="H3474" s="5">
        <v>1</v>
      </c>
      <c r="I3474" s="5" t="str">
        <f>VLOOKUP(F3474,'Set up'!$A$2:$C$70,3,FALSE)</f>
        <v>Cash</v>
      </c>
      <c r="J3474" s="5">
        <f>VLOOKUP(F3474,'Set up'!$A$2:$D$70,4,FALSE)</f>
        <v>0</v>
      </c>
      <c r="K3474" s="4">
        <f t="shared" si="864"/>
        <v>45633</v>
      </c>
      <c r="L3474" s="5">
        <f t="shared" si="865"/>
        <v>12</v>
      </c>
      <c r="M3474" s="5">
        <f t="shared" si="866"/>
        <v>2024</v>
      </c>
      <c r="N3474" s="12">
        <v>975</v>
      </c>
      <c r="O3474" s="6">
        <f t="shared" si="869"/>
        <v>-975</v>
      </c>
      <c r="P3474" s="12">
        <f t="shared" si="870"/>
        <v>0</v>
      </c>
      <c r="Q3474" s="7">
        <f t="shared" si="867"/>
        <v>5742715.6500000004</v>
      </c>
      <c r="R3474" s="44" t="str">
        <f>VLOOKUP(F3474,'Set up'!$A$2:$E$70,5,FALSE)</f>
        <v>Trsf</v>
      </c>
      <c r="S3474" s="1" t="s">
        <v>3777</v>
      </c>
    </row>
    <row r="3475" spans="1:21" ht="16.2" customHeight="1" x14ac:dyDescent="0.3">
      <c r="A3475" s="4" t="s">
        <v>3223</v>
      </c>
      <c r="B3475" s="5">
        <f t="shared" si="862"/>
        <v>12</v>
      </c>
      <c r="C3475" s="5">
        <f t="shared" si="863"/>
        <v>2024</v>
      </c>
      <c r="D3475" s="5" t="s">
        <v>3224</v>
      </c>
      <c r="E3475" s="5" t="str">
        <f>VLOOKUP(F3475,'Set up'!$A$2:$C$70,2,FALSE)</f>
        <v>C00000056</v>
      </c>
      <c r="F3475" s="132" t="s">
        <v>3225</v>
      </c>
      <c r="G3475" s="133" t="s">
        <v>3226</v>
      </c>
      <c r="H3475" s="5">
        <v>2</v>
      </c>
      <c r="I3475" s="5" t="str">
        <f>VLOOKUP(F3475,'Set up'!$A$2:$C$70,3,FALSE)</f>
        <v>Cash</v>
      </c>
      <c r="J3475" s="5">
        <f>VLOOKUP(F3475,'Set up'!$A$2:$D$70,4,FALSE)</f>
        <v>0</v>
      </c>
      <c r="K3475" s="4">
        <f t="shared" si="864"/>
        <v>45636</v>
      </c>
      <c r="L3475" s="5">
        <f t="shared" si="865"/>
        <v>12</v>
      </c>
      <c r="M3475" s="5">
        <f t="shared" si="866"/>
        <v>2024</v>
      </c>
      <c r="N3475" s="12">
        <v>560</v>
      </c>
      <c r="O3475" s="6">
        <f>-N3475</f>
        <v>-560</v>
      </c>
      <c r="P3475" s="12">
        <f t="shared" ref="P3475:P3480" si="871">SUM(N3475+O3475)</f>
        <v>0</v>
      </c>
      <c r="Q3475" s="7">
        <f t="shared" si="867"/>
        <v>5743275.6500000004</v>
      </c>
      <c r="R3475" s="44" t="str">
        <f>VLOOKUP(F3475,'Set up'!$A$2:$E$70,5,FALSE)</f>
        <v>Cash</v>
      </c>
      <c r="S3475" s="1" t="s">
        <v>3324</v>
      </c>
    </row>
    <row r="3476" spans="1:21" ht="16.2" customHeight="1" x14ac:dyDescent="0.3">
      <c r="A3476" s="4" t="s">
        <v>3223</v>
      </c>
      <c r="B3476" s="5">
        <f t="shared" si="862"/>
        <v>12</v>
      </c>
      <c r="C3476" s="5">
        <f t="shared" si="863"/>
        <v>2024</v>
      </c>
      <c r="D3476" s="5" t="s">
        <v>3224</v>
      </c>
      <c r="E3476" s="5" t="str">
        <f>VLOOKUP(F3476,'Set up'!$A$2:$C$70,2,FALSE)</f>
        <v>C00000056</v>
      </c>
      <c r="F3476" s="132" t="s">
        <v>3225</v>
      </c>
      <c r="G3476" s="133" t="s">
        <v>2029</v>
      </c>
      <c r="H3476" s="5">
        <v>1</v>
      </c>
      <c r="I3476" s="5" t="str">
        <f>VLOOKUP(F3476,'Set up'!$A$2:$C$70,3,FALSE)</f>
        <v>Cash</v>
      </c>
      <c r="J3476" s="5">
        <f>VLOOKUP(F3476,'Set up'!$A$2:$D$70,4,FALSE)</f>
        <v>0</v>
      </c>
      <c r="K3476" s="4">
        <f t="shared" si="864"/>
        <v>45636</v>
      </c>
      <c r="L3476" s="5">
        <f t="shared" si="865"/>
        <v>12</v>
      </c>
      <c r="M3476" s="5">
        <f t="shared" si="866"/>
        <v>2024</v>
      </c>
      <c r="N3476" s="12">
        <v>260</v>
      </c>
      <c r="O3476" s="6">
        <f>-N3476</f>
        <v>-260</v>
      </c>
      <c r="P3476" s="12">
        <f t="shared" si="871"/>
        <v>0</v>
      </c>
      <c r="Q3476" s="7">
        <f t="shared" si="867"/>
        <v>5743535.6500000004</v>
      </c>
      <c r="R3476" s="44" t="str">
        <f>VLOOKUP(F3476,'Set up'!$A$2:$E$70,5,FALSE)</f>
        <v>Cash</v>
      </c>
      <c r="S3476" s="1" t="s">
        <v>3324</v>
      </c>
    </row>
    <row r="3477" spans="1:21" ht="16.2" customHeight="1" x14ac:dyDescent="0.3">
      <c r="A3477" s="4" t="s">
        <v>3223</v>
      </c>
      <c r="B3477" s="5">
        <f t="shared" si="862"/>
        <v>12</v>
      </c>
      <c r="C3477" s="5">
        <f t="shared" si="863"/>
        <v>2024</v>
      </c>
      <c r="D3477" s="5" t="s">
        <v>3227</v>
      </c>
      <c r="E3477" s="5" t="str">
        <f>VLOOKUP(F3477,'Set up'!$A$2:$C$70,2,FALSE)</f>
        <v>C00000042</v>
      </c>
      <c r="F3477" s="132" t="s">
        <v>2012</v>
      </c>
      <c r="G3477" s="133" t="s">
        <v>2646</v>
      </c>
      <c r="H3477" s="5">
        <v>1</v>
      </c>
      <c r="I3477" s="5" t="str">
        <f>VLOOKUP(F3477,'Set up'!$A$2:$C$70,3,FALSE)</f>
        <v>Cash</v>
      </c>
      <c r="J3477" s="5">
        <f>VLOOKUP(F3477,'Set up'!$A$2:$D$70,4,FALSE)</f>
        <v>0</v>
      </c>
      <c r="K3477" s="4">
        <f t="shared" si="864"/>
        <v>45636</v>
      </c>
      <c r="L3477" s="5">
        <f t="shared" si="865"/>
        <v>12</v>
      </c>
      <c r="M3477" s="5">
        <f t="shared" si="866"/>
        <v>2024</v>
      </c>
      <c r="N3477" s="12">
        <v>62.5</v>
      </c>
      <c r="O3477" s="6">
        <f t="shared" ref="O3477:O3480" si="872">-N3477</f>
        <v>-62.5</v>
      </c>
      <c r="P3477" s="12">
        <f t="shared" si="871"/>
        <v>0</v>
      </c>
      <c r="Q3477" s="7">
        <f t="shared" si="867"/>
        <v>5743598.1500000004</v>
      </c>
      <c r="R3477" s="44" t="str">
        <f>VLOOKUP(F3477,'Set up'!$A$2:$E$70,5,FALSE)</f>
        <v>Trsf</v>
      </c>
      <c r="S3477" s="1" t="s">
        <v>3778</v>
      </c>
    </row>
    <row r="3478" spans="1:21" ht="16.2" customHeight="1" x14ac:dyDescent="0.3">
      <c r="A3478" s="4" t="s">
        <v>3223</v>
      </c>
      <c r="B3478" s="5">
        <f t="shared" si="862"/>
        <v>12</v>
      </c>
      <c r="C3478" s="5">
        <f t="shared" si="863"/>
        <v>2024</v>
      </c>
      <c r="D3478" s="5" t="s">
        <v>3228</v>
      </c>
      <c r="E3478" s="5" t="str">
        <f>VLOOKUP(F3478,'Set up'!$A$2:$C$70,2,FALSE)</f>
        <v>C00000042</v>
      </c>
      <c r="F3478" s="132" t="s">
        <v>2012</v>
      </c>
      <c r="G3478" s="133" t="s">
        <v>3217</v>
      </c>
      <c r="H3478" s="5">
        <v>2</v>
      </c>
      <c r="I3478" s="5" t="str">
        <f>VLOOKUP(F3478,'Set up'!$A$2:$C$70,3,FALSE)</f>
        <v>Cash</v>
      </c>
      <c r="J3478" s="5">
        <f>VLOOKUP(F3478,'Set up'!$A$2:$D$70,4,FALSE)</f>
        <v>0</v>
      </c>
      <c r="K3478" s="4">
        <f t="shared" si="864"/>
        <v>45636</v>
      </c>
      <c r="L3478" s="5">
        <f t="shared" si="865"/>
        <v>12</v>
      </c>
      <c r="M3478" s="5">
        <f t="shared" si="866"/>
        <v>2024</v>
      </c>
      <c r="N3478" s="12">
        <v>3240</v>
      </c>
      <c r="O3478" s="6">
        <f t="shared" si="872"/>
        <v>-3240</v>
      </c>
      <c r="P3478" s="12">
        <f t="shared" si="871"/>
        <v>0</v>
      </c>
      <c r="Q3478" s="7">
        <f t="shared" si="867"/>
        <v>5746838.1500000004</v>
      </c>
      <c r="R3478" s="44" t="str">
        <f>VLOOKUP(F3478,'Set up'!$A$2:$E$70,5,FALSE)</f>
        <v>Trsf</v>
      </c>
      <c r="S3478" s="1" t="s">
        <v>3779</v>
      </c>
    </row>
    <row r="3479" spans="1:21" ht="16.2" customHeight="1" x14ac:dyDescent="0.3">
      <c r="A3479" s="4" t="s">
        <v>3223</v>
      </c>
      <c r="B3479" s="5">
        <f t="shared" si="862"/>
        <v>12</v>
      </c>
      <c r="C3479" s="5">
        <f t="shared" si="863"/>
        <v>2024</v>
      </c>
      <c r="D3479" s="5" t="s">
        <v>3228</v>
      </c>
      <c r="E3479" s="5" t="str">
        <f>VLOOKUP(F3479,'Set up'!$A$2:$C$70,2,FALSE)</f>
        <v>C00000042</v>
      </c>
      <c r="F3479" s="132" t="s">
        <v>2012</v>
      </c>
      <c r="G3479" s="133" t="s">
        <v>1922</v>
      </c>
      <c r="H3479" s="5">
        <v>5</v>
      </c>
      <c r="I3479" s="5" t="str">
        <f>VLOOKUP(F3479,'Set up'!$A$2:$C$70,3,FALSE)</f>
        <v>Cash</v>
      </c>
      <c r="J3479" s="5">
        <f>VLOOKUP(F3479,'Set up'!$A$2:$D$70,4,FALSE)</f>
        <v>0</v>
      </c>
      <c r="K3479" s="4">
        <f t="shared" si="864"/>
        <v>45636</v>
      </c>
      <c r="L3479" s="5">
        <f t="shared" si="865"/>
        <v>12</v>
      </c>
      <c r="M3479" s="5">
        <f t="shared" si="866"/>
        <v>2024</v>
      </c>
      <c r="N3479" s="12">
        <v>1192.5</v>
      </c>
      <c r="O3479" s="6">
        <f t="shared" si="872"/>
        <v>-1192.5</v>
      </c>
      <c r="P3479" s="12">
        <f t="shared" si="871"/>
        <v>0</v>
      </c>
      <c r="Q3479" s="7">
        <f t="shared" si="867"/>
        <v>5748030.6500000004</v>
      </c>
      <c r="R3479" s="44" t="str">
        <f>VLOOKUP(F3479,'Set up'!$A$2:$E$70,5,FALSE)</f>
        <v>Trsf</v>
      </c>
      <c r="S3479" s="1" t="s">
        <v>3780</v>
      </c>
    </row>
    <row r="3480" spans="1:21" ht="16.2" customHeight="1" x14ac:dyDescent="0.3">
      <c r="A3480" s="4" t="s">
        <v>3223</v>
      </c>
      <c r="B3480" s="5">
        <f t="shared" si="862"/>
        <v>12</v>
      </c>
      <c r="C3480" s="5">
        <f t="shared" si="863"/>
        <v>2024</v>
      </c>
      <c r="D3480" s="5" t="s">
        <v>3228</v>
      </c>
      <c r="E3480" s="5" t="str">
        <f>VLOOKUP(F3480,'Set up'!$A$2:$C$70,2,FALSE)</f>
        <v>C00000042</v>
      </c>
      <c r="F3480" s="132" t="s">
        <v>2012</v>
      </c>
      <c r="G3480" s="133" t="s">
        <v>46</v>
      </c>
      <c r="H3480" s="5">
        <v>4</v>
      </c>
      <c r="I3480" s="5" t="str">
        <f>VLOOKUP(F3480,'Set up'!$A$2:$C$70,3,FALSE)</f>
        <v>Cash</v>
      </c>
      <c r="J3480" s="5">
        <f>VLOOKUP(F3480,'Set up'!$A$2:$D$70,4,FALSE)</f>
        <v>0</v>
      </c>
      <c r="K3480" s="4">
        <f t="shared" si="864"/>
        <v>45636</v>
      </c>
      <c r="L3480" s="5">
        <f t="shared" si="865"/>
        <v>12</v>
      </c>
      <c r="M3480" s="5">
        <f t="shared" si="866"/>
        <v>2024</v>
      </c>
      <c r="N3480" s="12">
        <v>460</v>
      </c>
      <c r="O3480" s="6">
        <f t="shared" si="872"/>
        <v>-460</v>
      </c>
      <c r="P3480" s="12">
        <f t="shared" si="871"/>
        <v>0</v>
      </c>
      <c r="Q3480" s="7">
        <f t="shared" si="867"/>
        <v>5748490.6500000004</v>
      </c>
      <c r="R3480" s="44" t="str">
        <f>VLOOKUP(F3480,'Set up'!$A$2:$E$70,5,FALSE)</f>
        <v>Trsf</v>
      </c>
      <c r="S3480" s="1" t="s">
        <v>3775</v>
      </c>
    </row>
    <row r="3481" spans="1:21" ht="16.2" customHeight="1" x14ac:dyDescent="0.3">
      <c r="A3481" s="4" t="s">
        <v>3223</v>
      </c>
      <c r="B3481" s="5">
        <f t="shared" si="862"/>
        <v>12</v>
      </c>
      <c r="C3481" s="5">
        <f t="shared" si="863"/>
        <v>2024</v>
      </c>
      <c r="D3481" s="5" t="s">
        <v>3229</v>
      </c>
      <c r="E3481" s="5" t="str">
        <f>VLOOKUP(F3481,'Set up'!$A$2:$C$70,2,FALSE)</f>
        <v>C00000057</v>
      </c>
      <c r="F3481" s="132" t="s">
        <v>3230</v>
      </c>
      <c r="G3481" s="133" t="s">
        <v>3231</v>
      </c>
      <c r="H3481" s="5">
        <v>1</v>
      </c>
      <c r="I3481" s="5" t="str">
        <f>VLOOKUP(F3481,'Set up'!$A$2:$C$70,3,FALSE)</f>
        <v>Cash</v>
      </c>
      <c r="J3481" s="5">
        <f>VLOOKUP(F3481,'Set up'!$A$2:$D$70,4,FALSE)</f>
        <v>0</v>
      </c>
      <c r="K3481" s="4">
        <f t="shared" si="864"/>
        <v>45636</v>
      </c>
      <c r="L3481" s="5">
        <f t="shared" si="865"/>
        <v>12</v>
      </c>
      <c r="M3481" s="5">
        <f t="shared" si="866"/>
        <v>2024</v>
      </c>
      <c r="N3481" s="12">
        <v>325</v>
      </c>
      <c r="O3481" s="6">
        <f>-N3481</f>
        <v>-325</v>
      </c>
      <c r="P3481" s="12">
        <f t="shared" ref="P3481:P3484" si="873">SUM(N3481+O3481)</f>
        <v>0</v>
      </c>
      <c r="Q3481" s="7">
        <f t="shared" si="867"/>
        <v>5748815.6500000004</v>
      </c>
      <c r="R3481" s="44" t="str">
        <f>VLOOKUP(F3481,'Set up'!$A$2:$E$70,5,FALSE)</f>
        <v>Cash</v>
      </c>
      <c r="S3481" s="1" t="s">
        <v>3319</v>
      </c>
    </row>
    <row r="3482" spans="1:21" ht="16.2" customHeight="1" x14ac:dyDescent="0.3">
      <c r="A3482" s="4" t="s">
        <v>3223</v>
      </c>
      <c r="B3482" s="5">
        <f t="shared" si="862"/>
        <v>12</v>
      </c>
      <c r="C3482" s="5">
        <f t="shared" si="863"/>
        <v>2024</v>
      </c>
      <c r="D3482" s="5" t="s">
        <v>3229</v>
      </c>
      <c r="E3482" s="5" t="str">
        <f>VLOOKUP(F3482,'Set up'!$A$2:$C$70,2,FALSE)</f>
        <v>C00000057</v>
      </c>
      <c r="F3482" s="132" t="s">
        <v>3230</v>
      </c>
      <c r="G3482" s="133" t="s">
        <v>3232</v>
      </c>
      <c r="H3482" s="5">
        <v>2</v>
      </c>
      <c r="I3482" s="5" t="str">
        <f>VLOOKUP(F3482,'Set up'!$A$2:$C$70,3,FALSE)</f>
        <v>Cash</v>
      </c>
      <c r="J3482" s="5">
        <f>VLOOKUP(F3482,'Set up'!$A$2:$D$70,4,FALSE)</f>
        <v>0</v>
      </c>
      <c r="K3482" s="4">
        <f t="shared" si="864"/>
        <v>45636</v>
      </c>
      <c r="L3482" s="5">
        <f t="shared" si="865"/>
        <v>12</v>
      </c>
      <c r="M3482" s="5">
        <f t="shared" si="866"/>
        <v>2024</v>
      </c>
      <c r="N3482" s="12">
        <v>468</v>
      </c>
      <c r="O3482" s="6">
        <f>-N3482</f>
        <v>-468</v>
      </c>
      <c r="P3482" s="12">
        <f t="shared" si="873"/>
        <v>0</v>
      </c>
      <c r="Q3482" s="7">
        <f t="shared" si="867"/>
        <v>5749283.6500000004</v>
      </c>
      <c r="R3482" s="44" t="str">
        <f>VLOOKUP(F3482,'Set up'!$A$2:$E$70,5,FALSE)</f>
        <v>Cash</v>
      </c>
      <c r="S3482" s="1" t="s">
        <v>3319</v>
      </c>
    </row>
    <row r="3483" spans="1:21" ht="16.2" customHeight="1" x14ac:dyDescent="0.3">
      <c r="A3483" s="4" t="s">
        <v>3223</v>
      </c>
      <c r="B3483" s="5">
        <f t="shared" si="862"/>
        <v>12</v>
      </c>
      <c r="C3483" s="5">
        <f t="shared" si="863"/>
        <v>2024</v>
      </c>
      <c r="D3483" s="5" t="s">
        <v>3229</v>
      </c>
      <c r="E3483" s="5" t="str">
        <f>VLOOKUP(F3483,'Set up'!$A$2:$C$70,2,FALSE)</f>
        <v>C00000057</v>
      </c>
      <c r="F3483" s="132" t="s">
        <v>3230</v>
      </c>
      <c r="G3483" s="133" t="s">
        <v>46</v>
      </c>
      <c r="H3483" s="5">
        <v>1</v>
      </c>
      <c r="I3483" s="5" t="str">
        <f>VLOOKUP(F3483,'Set up'!$A$2:$C$70,3,FALSE)</f>
        <v>Cash</v>
      </c>
      <c r="J3483" s="5">
        <f>VLOOKUP(F3483,'Set up'!$A$2:$D$70,4,FALSE)</f>
        <v>0</v>
      </c>
      <c r="K3483" s="4">
        <f t="shared" si="864"/>
        <v>45636</v>
      </c>
      <c r="L3483" s="5">
        <f t="shared" si="865"/>
        <v>12</v>
      </c>
      <c r="M3483" s="5">
        <f t="shared" si="866"/>
        <v>2024</v>
      </c>
      <c r="N3483" s="12">
        <v>120</v>
      </c>
      <c r="O3483" s="6">
        <f>-N3483</f>
        <v>-120</v>
      </c>
      <c r="P3483" s="12">
        <f t="shared" si="873"/>
        <v>0</v>
      </c>
      <c r="Q3483" s="7">
        <f t="shared" si="867"/>
        <v>5749403.6500000004</v>
      </c>
      <c r="R3483" s="44" t="str">
        <f>VLOOKUP(F3483,'Set up'!$A$2:$E$70,5,FALSE)</f>
        <v>Cash</v>
      </c>
      <c r="S3483" s="1" t="s">
        <v>3319</v>
      </c>
    </row>
    <row r="3484" spans="1:21" ht="16.2" customHeight="1" x14ac:dyDescent="0.3">
      <c r="A3484" s="4" t="s">
        <v>3233</v>
      </c>
      <c r="B3484" s="5">
        <f t="shared" si="862"/>
        <v>12</v>
      </c>
      <c r="C3484" s="5">
        <f t="shared" si="863"/>
        <v>2024</v>
      </c>
      <c r="D3484" s="5" t="s">
        <v>3234</v>
      </c>
      <c r="E3484" s="5" t="str">
        <f>VLOOKUP(F3484,'Set up'!$A$2:$C$70,2,FALSE)</f>
        <v>C00000003</v>
      </c>
      <c r="F3484" s="132" t="s">
        <v>20</v>
      </c>
      <c r="G3484" s="133" t="s">
        <v>949</v>
      </c>
      <c r="H3484" s="5">
        <v>4</v>
      </c>
      <c r="I3484" s="5">
        <f>VLOOKUP(F3484,'Set up'!$A$2:$C$70,3,FALSE)</f>
        <v>45</v>
      </c>
      <c r="J3484" s="5">
        <f>VLOOKUP(F3484,'Set up'!$A$2:$D$70,4,FALSE)</f>
        <v>45</v>
      </c>
      <c r="K3484" s="4">
        <f t="shared" si="864"/>
        <v>45682</v>
      </c>
      <c r="L3484" s="5">
        <f t="shared" si="865"/>
        <v>1</v>
      </c>
      <c r="M3484" s="5">
        <f t="shared" si="866"/>
        <v>2025</v>
      </c>
      <c r="N3484" s="12">
        <v>240</v>
      </c>
      <c r="O3484" s="6">
        <f>-N3484</f>
        <v>-240</v>
      </c>
      <c r="P3484" s="12">
        <f t="shared" si="873"/>
        <v>0</v>
      </c>
      <c r="Q3484" s="7">
        <f t="shared" si="867"/>
        <v>5749643.6500000004</v>
      </c>
      <c r="R3484" s="44" t="str">
        <f>VLOOKUP(F3484,'Set up'!$A$2:$E$70,5,FALSE)</f>
        <v>PD Chq</v>
      </c>
      <c r="S3484" s="1" t="s">
        <v>3476</v>
      </c>
      <c r="U3484" s="1" t="s">
        <v>3603</v>
      </c>
    </row>
    <row r="3485" spans="1:21" ht="16.2" customHeight="1" x14ac:dyDescent="0.3">
      <c r="A3485" s="4" t="s">
        <v>3235</v>
      </c>
      <c r="B3485" s="5">
        <f t="shared" si="862"/>
        <v>12</v>
      </c>
      <c r="C3485" s="5">
        <f t="shared" si="863"/>
        <v>2024</v>
      </c>
      <c r="D3485" s="5" t="s">
        <v>3236</v>
      </c>
      <c r="E3485" s="5" t="str">
        <f>VLOOKUP(F3485,'Set up'!$A$2:$C$70,2,FALSE)</f>
        <v>C00000050</v>
      </c>
      <c r="F3485" s="132" t="s">
        <v>2656</v>
      </c>
      <c r="G3485" s="133" t="s">
        <v>3122</v>
      </c>
      <c r="H3485" s="5">
        <v>1</v>
      </c>
      <c r="I3485" s="5" t="str">
        <f>VLOOKUP(F3485,'Set up'!$A$2:$C$70,3,FALSE)</f>
        <v>Cash</v>
      </c>
      <c r="J3485" s="5">
        <f>VLOOKUP(F3485,'Set up'!$A$2:$D$70,4,FALSE)</f>
        <v>0</v>
      </c>
      <c r="K3485" s="4">
        <f t="shared" si="864"/>
        <v>45638</v>
      </c>
      <c r="L3485" s="5">
        <f t="shared" si="865"/>
        <v>12</v>
      </c>
      <c r="M3485" s="5">
        <f t="shared" si="866"/>
        <v>2024</v>
      </c>
      <c r="N3485" s="12">
        <v>1755</v>
      </c>
      <c r="O3485" s="6">
        <f t="shared" ref="O3485:O3488" si="874">-N3485</f>
        <v>-1755</v>
      </c>
      <c r="P3485" s="12">
        <f t="shared" ref="P3485:P3490" si="875">SUM(N3485+O3485)</f>
        <v>0</v>
      </c>
      <c r="Q3485" s="7">
        <f t="shared" si="867"/>
        <v>5751398.6500000004</v>
      </c>
      <c r="R3485" s="44" t="str">
        <f>VLOOKUP(F3485,'Set up'!$A$2:$E$70,5,FALSE)</f>
        <v>Cash</v>
      </c>
      <c r="S3485" s="1" t="s">
        <v>3317</v>
      </c>
    </row>
    <row r="3486" spans="1:21" ht="16.2" customHeight="1" x14ac:dyDescent="0.3">
      <c r="A3486" s="4" t="s">
        <v>3235</v>
      </c>
      <c r="B3486" s="5">
        <f t="shared" si="862"/>
        <v>12</v>
      </c>
      <c r="C3486" s="5">
        <f t="shared" si="863"/>
        <v>2024</v>
      </c>
      <c r="D3486" s="5" t="s">
        <v>3236</v>
      </c>
      <c r="E3486" s="5" t="str">
        <f>VLOOKUP(F3486,'Set up'!$A$2:$C$70,2,FALSE)</f>
        <v>C00000050</v>
      </c>
      <c r="F3486" s="132" t="s">
        <v>2656</v>
      </c>
      <c r="G3486" s="133" t="s">
        <v>3237</v>
      </c>
      <c r="H3486" s="5">
        <v>2</v>
      </c>
      <c r="I3486" s="5" t="str">
        <f>VLOOKUP(F3486,'Set up'!$A$2:$C$70,3,FALSE)</f>
        <v>Cash</v>
      </c>
      <c r="J3486" s="5">
        <f>VLOOKUP(F3486,'Set up'!$A$2:$D$70,4,FALSE)</f>
        <v>0</v>
      </c>
      <c r="K3486" s="4">
        <f t="shared" si="864"/>
        <v>45638</v>
      </c>
      <c r="L3486" s="5">
        <f t="shared" si="865"/>
        <v>12</v>
      </c>
      <c r="M3486" s="5">
        <f t="shared" si="866"/>
        <v>2024</v>
      </c>
      <c r="N3486" s="12">
        <v>450</v>
      </c>
      <c r="O3486" s="6">
        <f t="shared" si="874"/>
        <v>-450</v>
      </c>
      <c r="P3486" s="12">
        <f t="shared" si="875"/>
        <v>0</v>
      </c>
      <c r="Q3486" s="7">
        <f t="shared" si="867"/>
        <v>5751848.6500000004</v>
      </c>
      <c r="R3486" s="44" t="str">
        <f>VLOOKUP(F3486,'Set up'!$A$2:$E$70,5,FALSE)</f>
        <v>Cash</v>
      </c>
      <c r="S3486" s="1" t="s">
        <v>3317</v>
      </c>
    </row>
    <row r="3487" spans="1:21" ht="16.2" customHeight="1" x14ac:dyDescent="0.3">
      <c r="A3487" s="4" t="s">
        <v>3235</v>
      </c>
      <c r="B3487" s="5">
        <f t="shared" si="862"/>
        <v>12</v>
      </c>
      <c r="C3487" s="5">
        <f t="shared" si="863"/>
        <v>2024</v>
      </c>
      <c r="D3487" s="5" t="s">
        <v>3236</v>
      </c>
      <c r="E3487" s="5" t="str">
        <f>VLOOKUP(F3487,'Set up'!$A$2:$C$70,2,FALSE)</f>
        <v>C00000050</v>
      </c>
      <c r="F3487" s="132" t="s">
        <v>2656</v>
      </c>
      <c r="G3487" s="133" t="s">
        <v>1061</v>
      </c>
      <c r="H3487" s="5">
        <v>1</v>
      </c>
      <c r="I3487" s="5" t="str">
        <f>VLOOKUP(F3487,'Set up'!$A$2:$C$70,3,FALSE)</f>
        <v>Cash</v>
      </c>
      <c r="J3487" s="5">
        <f>VLOOKUP(F3487,'Set up'!$A$2:$D$70,4,FALSE)</f>
        <v>0</v>
      </c>
      <c r="K3487" s="4">
        <f t="shared" si="864"/>
        <v>45638</v>
      </c>
      <c r="L3487" s="5">
        <f t="shared" si="865"/>
        <v>12</v>
      </c>
      <c r="M3487" s="5">
        <f t="shared" si="866"/>
        <v>2024</v>
      </c>
      <c r="N3487" s="12">
        <v>95</v>
      </c>
      <c r="O3487" s="6">
        <f t="shared" si="874"/>
        <v>-95</v>
      </c>
      <c r="P3487" s="12">
        <f t="shared" si="875"/>
        <v>0</v>
      </c>
      <c r="Q3487" s="7">
        <f t="shared" si="867"/>
        <v>5751943.6500000004</v>
      </c>
      <c r="R3487" s="44" t="str">
        <f>VLOOKUP(F3487,'Set up'!$A$2:$E$70,5,FALSE)</f>
        <v>Cash</v>
      </c>
      <c r="S3487" s="1" t="s">
        <v>3317</v>
      </c>
    </row>
    <row r="3488" spans="1:21" ht="16.2" customHeight="1" x14ac:dyDescent="0.3">
      <c r="A3488" s="4" t="s">
        <v>3235</v>
      </c>
      <c r="B3488" s="5">
        <f t="shared" si="862"/>
        <v>12</v>
      </c>
      <c r="C3488" s="5">
        <f t="shared" si="863"/>
        <v>2024</v>
      </c>
      <c r="D3488" s="5" t="s">
        <v>3236</v>
      </c>
      <c r="E3488" s="5" t="str">
        <f>VLOOKUP(F3488,'Set up'!$A$2:$C$70,2,FALSE)</f>
        <v>C00000050</v>
      </c>
      <c r="F3488" s="132" t="s">
        <v>2656</v>
      </c>
      <c r="G3488" s="133" t="s">
        <v>1746</v>
      </c>
      <c r="H3488" s="5">
        <v>1</v>
      </c>
      <c r="I3488" s="5" t="str">
        <f>VLOOKUP(F3488,'Set up'!$A$2:$C$70,3,FALSE)</f>
        <v>Cash</v>
      </c>
      <c r="J3488" s="5">
        <f>VLOOKUP(F3488,'Set up'!$A$2:$D$70,4,FALSE)</f>
        <v>0</v>
      </c>
      <c r="K3488" s="4">
        <f t="shared" si="864"/>
        <v>45638</v>
      </c>
      <c r="L3488" s="5">
        <f t="shared" si="865"/>
        <v>12</v>
      </c>
      <c r="M3488" s="5">
        <f t="shared" si="866"/>
        <v>2024</v>
      </c>
      <c r="N3488" s="12">
        <v>248</v>
      </c>
      <c r="O3488" s="6">
        <f t="shared" si="874"/>
        <v>-248</v>
      </c>
      <c r="P3488" s="12">
        <f t="shared" si="875"/>
        <v>0</v>
      </c>
      <c r="Q3488" s="7">
        <f t="shared" si="867"/>
        <v>5752191.6500000004</v>
      </c>
      <c r="R3488" s="44" t="str">
        <f>VLOOKUP(F3488,'Set up'!$A$2:$E$70,5,FALSE)</f>
        <v>Cash</v>
      </c>
      <c r="S3488" s="1" t="s">
        <v>3317</v>
      </c>
    </row>
    <row r="3489" spans="1:19" ht="16.2" customHeight="1" x14ac:dyDescent="0.3">
      <c r="A3489" s="4" t="s">
        <v>3235</v>
      </c>
      <c r="B3489" s="5">
        <f t="shared" si="862"/>
        <v>12</v>
      </c>
      <c r="C3489" s="5">
        <f t="shared" si="863"/>
        <v>2024</v>
      </c>
      <c r="D3489" s="5" t="s">
        <v>3238</v>
      </c>
      <c r="E3489" s="5" t="str">
        <f>VLOOKUP(F3489,'Set up'!$A$2:$C$70,2,FALSE)</f>
        <v>C00000044</v>
      </c>
      <c r="F3489" s="132" t="s">
        <v>2929</v>
      </c>
      <c r="G3489" s="133" t="s">
        <v>3122</v>
      </c>
      <c r="H3489" s="5">
        <v>1</v>
      </c>
      <c r="I3489" s="5" t="str">
        <f>VLOOKUP(F3489,'Set up'!$A$2:$C$70,3,FALSE)</f>
        <v>Cash</v>
      </c>
      <c r="J3489" s="5">
        <f>VLOOKUP(F3489,'Set up'!$A$2:$D$70,4,FALSE)</f>
        <v>0</v>
      </c>
      <c r="K3489" s="4">
        <f t="shared" si="864"/>
        <v>45638</v>
      </c>
      <c r="L3489" s="5">
        <f t="shared" si="865"/>
        <v>12</v>
      </c>
      <c r="M3489" s="5">
        <f t="shared" si="866"/>
        <v>2024</v>
      </c>
      <c r="N3489" s="12">
        <v>1732.5</v>
      </c>
      <c r="O3489" s="6">
        <f>-N3489</f>
        <v>-1732.5</v>
      </c>
      <c r="P3489" s="12">
        <f t="shared" si="875"/>
        <v>0</v>
      </c>
      <c r="Q3489" s="7">
        <f t="shared" si="867"/>
        <v>5753924.1500000004</v>
      </c>
      <c r="R3489" s="44" t="str">
        <f>VLOOKUP(F3489,'Set up'!$A$2:$E$70,5,FALSE)</f>
        <v>Cash</v>
      </c>
      <c r="S3489" s="1" t="s">
        <v>3321</v>
      </c>
    </row>
    <row r="3490" spans="1:19" ht="16.2" customHeight="1" x14ac:dyDescent="0.3">
      <c r="A3490" s="4" t="s">
        <v>3235</v>
      </c>
      <c r="B3490" s="5">
        <f t="shared" si="862"/>
        <v>12</v>
      </c>
      <c r="C3490" s="5">
        <f t="shared" si="863"/>
        <v>2024</v>
      </c>
      <c r="D3490" s="5" t="s">
        <v>3238</v>
      </c>
      <c r="E3490" s="5" t="str">
        <f>VLOOKUP(F3490,'Set up'!$A$2:$C$70,2,FALSE)</f>
        <v>C00000044</v>
      </c>
      <c r="F3490" s="132" t="s">
        <v>2929</v>
      </c>
      <c r="G3490" s="133" t="s">
        <v>2570</v>
      </c>
      <c r="H3490" s="5">
        <v>2</v>
      </c>
      <c r="I3490" s="5" t="str">
        <f>VLOOKUP(F3490,'Set up'!$A$2:$C$70,3,FALSE)</f>
        <v>Cash</v>
      </c>
      <c r="J3490" s="5">
        <f>VLOOKUP(F3490,'Set up'!$A$2:$D$70,4,FALSE)</f>
        <v>0</v>
      </c>
      <c r="K3490" s="4">
        <f t="shared" si="864"/>
        <v>45638</v>
      </c>
      <c r="L3490" s="5">
        <f t="shared" si="865"/>
        <v>12</v>
      </c>
      <c r="M3490" s="5">
        <f t="shared" si="866"/>
        <v>2024</v>
      </c>
      <c r="N3490" s="12">
        <v>432</v>
      </c>
      <c r="O3490" s="6">
        <f>-N3490</f>
        <v>-432</v>
      </c>
      <c r="P3490" s="12">
        <f t="shared" si="875"/>
        <v>0</v>
      </c>
      <c r="Q3490" s="7">
        <f t="shared" si="867"/>
        <v>5754356.1500000004</v>
      </c>
      <c r="R3490" s="44" t="str">
        <f>VLOOKUP(F3490,'Set up'!$A$2:$E$70,5,FALSE)</f>
        <v>Cash</v>
      </c>
      <c r="S3490" s="1" t="s">
        <v>3321</v>
      </c>
    </row>
    <row r="3491" spans="1:19" ht="16.2" customHeight="1" x14ac:dyDescent="0.3">
      <c r="A3491" s="4" t="s">
        <v>3235</v>
      </c>
      <c r="B3491" s="5">
        <f t="shared" si="862"/>
        <v>12</v>
      </c>
      <c r="C3491" s="5">
        <f t="shared" si="863"/>
        <v>2024</v>
      </c>
      <c r="D3491" s="5" t="s">
        <v>3239</v>
      </c>
      <c r="E3491" s="5" t="str">
        <f>VLOOKUP(F3491,'Set up'!$A$2:$C$70,2,FALSE)</f>
        <v>C00000019</v>
      </c>
      <c r="F3491" s="132" t="s">
        <v>400</v>
      </c>
      <c r="G3491" s="133" t="s">
        <v>2137</v>
      </c>
      <c r="H3491" s="5">
        <v>1</v>
      </c>
      <c r="I3491" s="5" t="str">
        <f>VLOOKUP(F3491,'Set up'!$A$2:$C$70,3,FALSE)</f>
        <v>Cash</v>
      </c>
      <c r="J3491" s="5">
        <f>VLOOKUP(F3491,'Set up'!$A$2:$D$70,4,FALSE)</f>
        <v>0</v>
      </c>
      <c r="K3491" s="4">
        <f t="shared" si="864"/>
        <v>45638</v>
      </c>
      <c r="L3491" s="5">
        <f t="shared" si="865"/>
        <v>12</v>
      </c>
      <c r="M3491" s="5">
        <f t="shared" si="866"/>
        <v>2024</v>
      </c>
      <c r="N3491" s="12">
        <v>170</v>
      </c>
      <c r="O3491" s="12"/>
      <c r="P3491" s="12">
        <v>170</v>
      </c>
      <c r="Q3491" s="7">
        <f t="shared" si="867"/>
        <v>5754526.1500000004</v>
      </c>
      <c r="R3491" s="44" t="str">
        <f>VLOOKUP(F3491,'Set up'!$A$2:$E$70,5,FALSE)</f>
        <v>Trsf</v>
      </c>
    </row>
    <row r="3492" spans="1:19" ht="16.2" customHeight="1" x14ac:dyDescent="0.3">
      <c r="A3492" s="4" t="s">
        <v>3235</v>
      </c>
      <c r="B3492" s="5">
        <f t="shared" si="862"/>
        <v>12</v>
      </c>
      <c r="C3492" s="5">
        <f t="shared" si="863"/>
        <v>2024</v>
      </c>
      <c r="D3492" s="5" t="s">
        <v>3239</v>
      </c>
      <c r="E3492" s="5" t="str">
        <f>VLOOKUP(F3492,'Set up'!$A$2:$C$70,2,FALSE)</f>
        <v>C00000019</v>
      </c>
      <c r="F3492" s="132" t="s">
        <v>400</v>
      </c>
      <c r="G3492" s="133" t="s">
        <v>2144</v>
      </c>
      <c r="H3492" s="5">
        <v>1</v>
      </c>
      <c r="I3492" s="5" t="str">
        <f>VLOOKUP(F3492,'Set up'!$A$2:$C$70,3,FALSE)</f>
        <v>Cash</v>
      </c>
      <c r="J3492" s="5">
        <f>VLOOKUP(F3492,'Set up'!$A$2:$D$70,4,FALSE)</f>
        <v>0</v>
      </c>
      <c r="K3492" s="4">
        <f t="shared" si="864"/>
        <v>45638</v>
      </c>
      <c r="L3492" s="5">
        <f t="shared" si="865"/>
        <v>12</v>
      </c>
      <c r="M3492" s="5">
        <f t="shared" si="866"/>
        <v>2024</v>
      </c>
      <c r="N3492" s="12">
        <v>283.8</v>
      </c>
      <c r="O3492" s="12"/>
      <c r="P3492" s="12">
        <v>283.8</v>
      </c>
      <c r="Q3492" s="7">
        <f t="shared" si="867"/>
        <v>5754809.9500000002</v>
      </c>
      <c r="R3492" s="44" t="str">
        <f>VLOOKUP(F3492,'Set up'!$A$2:$E$70,5,FALSE)</f>
        <v>Trsf</v>
      </c>
    </row>
    <row r="3493" spans="1:19" ht="16.2" customHeight="1" x14ac:dyDescent="0.3">
      <c r="A3493" s="4" t="s">
        <v>3240</v>
      </c>
      <c r="B3493" s="5">
        <f t="shared" si="862"/>
        <v>12</v>
      </c>
      <c r="C3493" s="5">
        <f t="shared" si="863"/>
        <v>2024</v>
      </c>
      <c r="D3493" s="5" t="s">
        <v>3241</v>
      </c>
      <c r="E3493" s="5" t="str">
        <f>VLOOKUP(F3493,'Set up'!$A$2:$C$70,2,FALSE)</f>
        <v>C00000042</v>
      </c>
      <c r="F3493" s="132" t="s">
        <v>2012</v>
      </c>
      <c r="G3493" s="133" t="s">
        <v>2646</v>
      </c>
      <c r="H3493" s="5">
        <v>1</v>
      </c>
      <c r="I3493" s="5" t="str">
        <f>VLOOKUP(F3493,'Set up'!$A$2:$C$70,3,FALSE)</f>
        <v>Cash</v>
      </c>
      <c r="J3493" s="5">
        <f>VLOOKUP(F3493,'Set up'!$A$2:$D$70,4,FALSE)</f>
        <v>0</v>
      </c>
      <c r="K3493" s="4">
        <f t="shared" si="864"/>
        <v>45639</v>
      </c>
      <c r="L3493" s="5">
        <f t="shared" si="865"/>
        <v>12</v>
      </c>
      <c r="M3493" s="5">
        <f t="shared" si="866"/>
        <v>2024</v>
      </c>
      <c r="N3493" s="12">
        <v>62.5</v>
      </c>
      <c r="O3493" s="6">
        <f t="shared" ref="O3493" si="876">-N3493</f>
        <v>-62.5</v>
      </c>
      <c r="P3493" s="12">
        <f t="shared" ref="P3493:P3494" si="877">SUM(N3493+O3493)</f>
        <v>0</v>
      </c>
      <c r="Q3493" s="7">
        <f t="shared" si="867"/>
        <v>5754872.4500000002</v>
      </c>
      <c r="R3493" s="44" t="str">
        <f>VLOOKUP(F3493,'Set up'!$A$2:$E$70,5,FALSE)</f>
        <v>Trsf</v>
      </c>
      <c r="S3493" s="1" t="s">
        <v>3778</v>
      </c>
    </row>
    <row r="3494" spans="1:19" ht="16.2" customHeight="1" x14ac:dyDescent="0.3">
      <c r="A3494" s="4" t="s">
        <v>3240</v>
      </c>
      <c r="B3494" s="5">
        <f t="shared" si="862"/>
        <v>12</v>
      </c>
      <c r="C3494" s="5">
        <f t="shared" si="863"/>
        <v>2024</v>
      </c>
      <c r="D3494" s="5" t="s">
        <v>3242</v>
      </c>
      <c r="E3494" s="5" t="str">
        <f>VLOOKUP(F3494,'Set up'!$A$2:$C$70,2,FALSE)</f>
        <v>C00000042</v>
      </c>
      <c r="F3494" s="132" t="s">
        <v>2012</v>
      </c>
      <c r="G3494" s="133" t="s">
        <v>3217</v>
      </c>
      <c r="H3494" s="5">
        <v>2</v>
      </c>
      <c r="I3494" s="5" t="str">
        <f>VLOOKUP(F3494,'Set up'!$A$2:$C$70,3,FALSE)</f>
        <v>Cash</v>
      </c>
      <c r="J3494" s="5">
        <f>VLOOKUP(F3494,'Set up'!$A$2:$D$70,4,FALSE)</f>
        <v>0</v>
      </c>
      <c r="K3494" s="4">
        <f t="shared" si="864"/>
        <v>45639</v>
      </c>
      <c r="L3494" s="5">
        <f t="shared" si="865"/>
        <v>12</v>
      </c>
      <c r="M3494" s="5">
        <f t="shared" si="866"/>
        <v>2024</v>
      </c>
      <c r="N3494" s="12">
        <v>3240</v>
      </c>
      <c r="O3494" s="12">
        <f>-488.1-2751.9</f>
        <v>-3240</v>
      </c>
      <c r="P3494" s="12">
        <f t="shared" si="877"/>
        <v>0</v>
      </c>
      <c r="Q3494" s="7">
        <f t="shared" si="867"/>
        <v>5758112.4500000002</v>
      </c>
      <c r="R3494" s="44" t="str">
        <f>VLOOKUP(F3494,'Set up'!$A$2:$E$70,5,FALSE)</f>
        <v>Trsf</v>
      </c>
      <c r="S3494" s="1" t="s">
        <v>3781</v>
      </c>
    </row>
    <row r="3495" spans="1:19" ht="16.2" customHeight="1" x14ac:dyDescent="0.3">
      <c r="A3495" s="4" t="s">
        <v>3240</v>
      </c>
      <c r="B3495" s="5">
        <f t="shared" si="862"/>
        <v>12</v>
      </c>
      <c r="C3495" s="5">
        <f t="shared" si="863"/>
        <v>2024</v>
      </c>
      <c r="D3495" s="5" t="s">
        <v>3242</v>
      </c>
      <c r="E3495" s="5" t="str">
        <f>VLOOKUP(F3495,'Set up'!$A$2:$C$70,2,FALSE)</f>
        <v>C00000042</v>
      </c>
      <c r="F3495" s="132" t="s">
        <v>2012</v>
      </c>
      <c r="G3495" s="133" t="s">
        <v>3243</v>
      </c>
      <c r="H3495" s="5">
        <v>4</v>
      </c>
      <c r="I3495" s="5" t="str">
        <f>VLOOKUP(F3495,'Set up'!$A$2:$C$70,3,FALSE)</f>
        <v>Cash</v>
      </c>
      <c r="J3495" s="5">
        <f>VLOOKUP(F3495,'Set up'!$A$2:$D$70,4,FALSE)</f>
        <v>0</v>
      </c>
      <c r="K3495" s="4">
        <f t="shared" si="864"/>
        <v>45639</v>
      </c>
      <c r="L3495" s="5">
        <f t="shared" si="865"/>
        <v>12</v>
      </c>
      <c r="M3495" s="5">
        <f t="shared" si="866"/>
        <v>2024</v>
      </c>
      <c r="N3495" s="12">
        <v>696</v>
      </c>
      <c r="O3495" s="6">
        <f t="shared" ref="O3495:O3498" si="878">-N3495</f>
        <v>-696</v>
      </c>
      <c r="P3495" s="12">
        <f t="shared" ref="P3495:P3497" si="879">SUM(N3495+O3495)</f>
        <v>0</v>
      </c>
      <c r="Q3495" s="7">
        <f t="shared" si="867"/>
        <v>5758808.4500000002</v>
      </c>
      <c r="R3495" s="44" t="str">
        <f>VLOOKUP(F3495,'Set up'!$A$2:$E$70,5,FALSE)</f>
        <v>Trsf</v>
      </c>
      <c r="S3495" s="1" t="s">
        <v>3782</v>
      </c>
    </row>
    <row r="3496" spans="1:19" ht="16.2" customHeight="1" x14ac:dyDescent="0.3">
      <c r="A3496" s="4" t="s">
        <v>3240</v>
      </c>
      <c r="B3496" s="5">
        <f t="shared" si="862"/>
        <v>12</v>
      </c>
      <c r="C3496" s="5">
        <f t="shared" si="863"/>
        <v>2024</v>
      </c>
      <c r="D3496" s="5" t="s">
        <v>3242</v>
      </c>
      <c r="E3496" s="5" t="str">
        <f>VLOOKUP(F3496,'Set up'!$A$2:$C$70,2,FALSE)</f>
        <v>C00000042</v>
      </c>
      <c r="F3496" s="132" t="s">
        <v>2012</v>
      </c>
      <c r="G3496" s="133" t="s">
        <v>1922</v>
      </c>
      <c r="H3496" s="5">
        <v>3</v>
      </c>
      <c r="I3496" s="5" t="str">
        <f>VLOOKUP(F3496,'Set up'!$A$2:$C$70,3,FALSE)</f>
        <v>Cash</v>
      </c>
      <c r="J3496" s="5">
        <f>VLOOKUP(F3496,'Set up'!$A$2:$D$70,4,FALSE)</f>
        <v>0</v>
      </c>
      <c r="K3496" s="4">
        <f t="shared" si="864"/>
        <v>45639</v>
      </c>
      <c r="L3496" s="5">
        <f t="shared" si="865"/>
        <v>12</v>
      </c>
      <c r="M3496" s="5">
        <f t="shared" si="866"/>
        <v>2024</v>
      </c>
      <c r="N3496" s="12">
        <v>715.5</v>
      </c>
      <c r="O3496" s="6">
        <f t="shared" si="878"/>
        <v>-715.5</v>
      </c>
      <c r="P3496" s="12">
        <f t="shared" si="879"/>
        <v>0</v>
      </c>
      <c r="Q3496" s="7">
        <f t="shared" si="867"/>
        <v>5759523.9500000002</v>
      </c>
      <c r="R3496" s="44" t="str">
        <f>VLOOKUP(F3496,'Set up'!$A$2:$E$70,5,FALSE)</f>
        <v>Trsf</v>
      </c>
      <c r="S3496" s="1" t="s">
        <v>3783</v>
      </c>
    </row>
    <row r="3497" spans="1:19" ht="16.2" customHeight="1" x14ac:dyDescent="0.3">
      <c r="A3497" s="4" t="s">
        <v>3240</v>
      </c>
      <c r="B3497" s="5">
        <f t="shared" si="862"/>
        <v>12</v>
      </c>
      <c r="C3497" s="5">
        <f t="shared" si="863"/>
        <v>2024</v>
      </c>
      <c r="D3497" s="5" t="s">
        <v>3242</v>
      </c>
      <c r="E3497" s="5" t="str">
        <f>VLOOKUP(F3497,'Set up'!$A$2:$C$70,2,FALSE)</f>
        <v>C00000042</v>
      </c>
      <c r="F3497" s="132" t="s">
        <v>2012</v>
      </c>
      <c r="G3497" s="133" t="s">
        <v>3244</v>
      </c>
      <c r="H3497" s="5">
        <v>1</v>
      </c>
      <c r="I3497" s="5" t="str">
        <f>VLOOKUP(F3497,'Set up'!$A$2:$C$70,3,FALSE)</f>
        <v>Cash</v>
      </c>
      <c r="J3497" s="5">
        <f>VLOOKUP(F3497,'Set up'!$A$2:$D$70,4,FALSE)</f>
        <v>0</v>
      </c>
      <c r="K3497" s="4">
        <f t="shared" si="864"/>
        <v>45639</v>
      </c>
      <c r="L3497" s="5">
        <f t="shared" si="865"/>
        <v>12</v>
      </c>
      <c r="M3497" s="5">
        <f t="shared" si="866"/>
        <v>2024</v>
      </c>
      <c r="N3497" s="12">
        <v>345</v>
      </c>
      <c r="O3497" s="6">
        <f t="shared" si="878"/>
        <v>-345</v>
      </c>
      <c r="P3497" s="12">
        <f t="shared" si="879"/>
        <v>0</v>
      </c>
      <c r="Q3497" s="7">
        <f t="shared" si="867"/>
        <v>5759868.9500000002</v>
      </c>
      <c r="R3497" s="44" t="str">
        <f>VLOOKUP(F3497,'Set up'!$A$2:$E$70,5,FALSE)</f>
        <v>Trsf</v>
      </c>
      <c r="S3497" s="1" t="s">
        <v>3784</v>
      </c>
    </row>
    <row r="3498" spans="1:19" ht="16.2" customHeight="1" x14ac:dyDescent="0.3">
      <c r="A3498" s="4" t="s">
        <v>3245</v>
      </c>
      <c r="B3498" s="5">
        <f t="shared" si="862"/>
        <v>12</v>
      </c>
      <c r="C3498" s="5">
        <f t="shared" si="863"/>
        <v>2024</v>
      </c>
      <c r="D3498" s="5" t="s">
        <v>3246</v>
      </c>
      <c r="E3498" s="5" t="str">
        <f>VLOOKUP(F3498,'Set up'!$A$2:$C$70,2,FALSE)</f>
        <v>C00000010</v>
      </c>
      <c r="F3498" s="132" t="s">
        <v>62</v>
      </c>
      <c r="G3498" s="133" t="s">
        <v>505</v>
      </c>
      <c r="H3498" s="5">
        <v>2</v>
      </c>
      <c r="I3498" s="5">
        <f>VLOOKUP(F3498,'Set up'!$A$2:$C$70,3,FALSE)</f>
        <v>120</v>
      </c>
      <c r="J3498" s="5">
        <f>VLOOKUP(F3498,'Set up'!$A$2:$D$70,4,FALSE)</f>
        <v>120</v>
      </c>
      <c r="K3498" s="4">
        <f t="shared" si="864"/>
        <v>45760</v>
      </c>
      <c r="L3498" s="5">
        <f t="shared" si="865"/>
        <v>4</v>
      </c>
      <c r="M3498" s="5">
        <f t="shared" si="866"/>
        <v>2025</v>
      </c>
      <c r="N3498" s="12">
        <v>3240</v>
      </c>
      <c r="O3498" s="6">
        <f t="shared" si="878"/>
        <v>-3240</v>
      </c>
      <c r="P3498" s="12">
        <f t="shared" ref="P3498" si="880">SUM(N3498+O3498)</f>
        <v>0</v>
      </c>
      <c r="Q3498" s="7">
        <f t="shared" si="867"/>
        <v>5763108.9500000002</v>
      </c>
      <c r="R3498" s="44" t="str">
        <f>VLOOKUP(F3498,'Set up'!$A$2:$E$70,5,FALSE)</f>
        <v>Trsf</v>
      </c>
      <c r="S3498" s="1" t="s">
        <v>3830</v>
      </c>
    </row>
    <row r="3499" spans="1:19" ht="16.2" customHeight="1" x14ac:dyDescent="0.3">
      <c r="A3499" s="4" t="s">
        <v>3247</v>
      </c>
      <c r="B3499" s="5">
        <f t="shared" si="862"/>
        <v>12</v>
      </c>
      <c r="C3499" s="5">
        <f t="shared" si="863"/>
        <v>2024</v>
      </c>
      <c r="D3499" s="5" t="s">
        <v>3248</v>
      </c>
      <c r="E3499" s="5" t="str">
        <f>VLOOKUP(F3499,'Set up'!$A$2:$C$70,2,FALSE)</f>
        <v>C00000050</v>
      </c>
      <c r="F3499" s="132" t="s">
        <v>2656</v>
      </c>
      <c r="G3499" s="133" t="s">
        <v>3122</v>
      </c>
      <c r="H3499" s="5">
        <v>1</v>
      </c>
      <c r="I3499" s="5" t="str">
        <f>VLOOKUP(F3499,'Set up'!$A$2:$C$70,3,FALSE)</f>
        <v>Cash</v>
      </c>
      <c r="J3499" s="5">
        <f>VLOOKUP(F3499,'Set up'!$A$2:$D$70,4,FALSE)</f>
        <v>0</v>
      </c>
      <c r="K3499" s="4">
        <f t="shared" si="864"/>
        <v>45643</v>
      </c>
      <c r="L3499" s="5">
        <f t="shared" si="865"/>
        <v>12</v>
      </c>
      <c r="M3499" s="5">
        <f t="shared" si="866"/>
        <v>2024</v>
      </c>
      <c r="N3499" s="12">
        <v>1755</v>
      </c>
      <c r="O3499" s="6">
        <f t="shared" ref="O3499:O3508" si="881">-N3499</f>
        <v>-1755</v>
      </c>
      <c r="P3499" s="12">
        <f t="shared" ref="P3499:P3508" si="882">SUM(N3499+O3499)</f>
        <v>0</v>
      </c>
      <c r="Q3499" s="7">
        <f t="shared" si="867"/>
        <v>5764863.9500000002</v>
      </c>
      <c r="R3499" s="44" t="str">
        <f>VLOOKUP(F3499,'Set up'!$A$2:$E$70,5,FALSE)</f>
        <v>Cash</v>
      </c>
      <c r="S3499" s="1" t="s">
        <v>3316</v>
      </c>
    </row>
    <row r="3500" spans="1:19" ht="16.2" customHeight="1" x14ac:dyDescent="0.3">
      <c r="A3500" s="4" t="s">
        <v>3247</v>
      </c>
      <c r="B3500" s="5">
        <f t="shared" si="862"/>
        <v>12</v>
      </c>
      <c r="C3500" s="5">
        <f t="shared" si="863"/>
        <v>2024</v>
      </c>
      <c r="D3500" s="5" t="s">
        <v>3248</v>
      </c>
      <c r="E3500" s="5" t="str">
        <f>VLOOKUP(F3500,'Set up'!$A$2:$C$70,2,FALSE)</f>
        <v>C00000050</v>
      </c>
      <c r="F3500" s="132" t="s">
        <v>2656</v>
      </c>
      <c r="G3500" s="133" t="s">
        <v>3237</v>
      </c>
      <c r="H3500" s="5">
        <v>3</v>
      </c>
      <c r="I3500" s="5" t="str">
        <f>VLOOKUP(F3500,'Set up'!$A$2:$C$70,3,FALSE)</f>
        <v>Cash</v>
      </c>
      <c r="J3500" s="5">
        <f>VLOOKUP(F3500,'Set up'!$A$2:$D$70,4,FALSE)</f>
        <v>0</v>
      </c>
      <c r="K3500" s="4">
        <f t="shared" si="864"/>
        <v>45643</v>
      </c>
      <c r="L3500" s="5">
        <f t="shared" si="865"/>
        <v>12</v>
      </c>
      <c r="M3500" s="5">
        <f t="shared" si="866"/>
        <v>2024</v>
      </c>
      <c r="N3500" s="12">
        <v>675</v>
      </c>
      <c r="O3500" s="6">
        <f t="shared" si="881"/>
        <v>-675</v>
      </c>
      <c r="P3500" s="12">
        <f t="shared" si="882"/>
        <v>0</v>
      </c>
      <c r="Q3500" s="7">
        <f t="shared" si="867"/>
        <v>5765538.9500000002</v>
      </c>
      <c r="R3500" s="44" t="str">
        <f>VLOOKUP(F3500,'Set up'!$A$2:$E$70,5,FALSE)</f>
        <v>Cash</v>
      </c>
      <c r="S3500" s="1" t="s">
        <v>3316</v>
      </c>
    </row>
    <row r="3501" spans="1:19" ht="16.2" customHeight="1" x14ac:dyDescent="0.3">
      <c r="A3501" s="4" t="s">
        <v>3247</v>
      </c>
      <c r="B3501" s="5">
        <f t="shared" si="862"/>
        <v>12</v>
      </c>
      <c r="C3501" s="5">
        <f t="shared" si="863"/>
        <v>2024</v>
      </c>
      <c r="D3501" s="5" t="s">
        <v>3248</v>
      </c>
      <c r="E3501" s="5" t="str">
        <f>VLOOKUP(F3501,'Set up'!$A$2:$C$70,2,FALSE)</f>
        <v>C00000050</v>
      </c>
      <c r="F3501" s="132" t="s">
        <v>2656</v>
      </c>
      <c r="G3501" s="133" t="s">
        <v>1061</v>
      </c>
      <c r="H3501" s="5">
        <v>1</v>
      </c>
      <c r="I3501" s="5" t="str">
        <f>VLOOKUP(F3501,'Set up'!$A$2:$C$70,3,FALSE)</f>
        <v>Cash</v>
      </c>
      <c r="J3501" s="5">
        <f>VLOOKUP(F3501,'Set up'!$A$2:$D$70,4,FALSE)</f>
        <v>0</v>
      </c>
      <c r="K3501" s="4">
        <f t="shared" si="864"/>
        <v>45643</v>
      </c>
      <c r="L3501" s="5">
        <f t="shared" si="865"/>
        <v>12</v>
      </c>
      <c r="M3501" s="5">
        <f t="shared" si="866"/>
        <v>2024</v>
      </c>
      <c r="N3501" s="12">
        <v>95</v>
      </c>
      <c r="O3501" s="6">
        <f t="shared" si="881"/>
        <v>-95</v>
      </c>
      <c r="P3501" s="12">
        <f t="shared" si="882"/>
        <v>0</v>
      </c>
      <c r="Q3501" s="7">
        <f t="shared" si="867"/>
        <v>5765633.9500000002</v>
      </c>
      <c r="R3501" s="44" t="str">
        <f>VLOOKUP(F3501,'Set up'!$A$2:$E$70,5,FALSE)</f>
        <v>Cash</v>
      </c>
      <c r="S3501" s="1" t="s">
        <v>3316</v>
      </c>
    </row>
    <row r="3502" spans="1:19" ht="16.2" customHeight="1" x14ac:dyDescent="0.3">
      <c r="A3502" s="4" t="s">
        <v>3247</v>
      </c>
      <c r="B3502" s="5">
        <f t="shared" si="862"/>
        <v>12</v>
      </c>
      <c r="C3502" s="5">
        <f t="shared" si="863"/>
        <v>2024</v>
      </c>
      <c r="D3502" s="5" t="s">
        <v>3248</v>
      </c>
      <c r="E3502" s="5" t="str">
        <f>VLOOKUP(F3502,'Set up'!$A$2:$C$70,2,FALSE)</f>
        <v>C00000050</v>
      </c>
      <c r="F3502" s="132" t="s">
        <v>2656</v>
      </c>
      <c r="G3502" s="133" t="s">
        <v>800</v>
      </c>
      <c r="H3502" s="5">
        <v>1</v>
      </c>
      <c r="I3502" s="5" t="str">
        <f>VLOOKUP(F3502,'Set up'!$A$2:$C$70,3,FALSE)</f>
        <v>Cash</v>
      </c>
      <c r="J3502" s="5">
        <f>VLOOKUP(F3502,'Set up'!$A$2:$D$70,4,FALSE)</f>
        <v>0</v>
      </c>
      <c r="K3502" s="4">
        <f t="shared" si="864"/>
        <v>45643</v>
      </c>
      <c r="L3502" s="5">
        <f t="shared" si="865"/>
        <v>12</v>
      </c>
      <c r="M3502" s="5">
        <f t="shared" si="866"/>
        <v>2024</v>
      </c>
      <c r="N3502" s="12">
        <v>225</v>
      </c>
      <c r="O3502" s="6">
        <f t="shared" si="881"/>
        <v>-225</v>
      </c>
      <c r="P3502" s="12">
        <f t="shared" si="882"/>
        <v>0</v>
      </c>
      <c r="Q3502" s="7">
        <f t="shared" si="867"/>
        <v>5765858.9500000002</v>
      </c>
      <c r="R3502" s="44" t="str">
        <f>VLOOKUP(F3502,'Set up'!$A$2:$E$70,5,FALSE)</f>
        <v>Cash</v>
      </c>
      <c r="S3502" s="1" t="s">
        <v>3316</v>
      </c>
    </row>
    <row r="3503" spans="1:19" ht="16.2" customHeight="1" x14ac:dyDescent="0.3">
      <c r="A3503" s="4" t="s">
        <v>3247</v>
      </c>
      <c r="B3503" s="5">
        <f t="shared" si="862"/>
        <v>12</v>
      </c>
      <c r="C3503" s="5">
        <f t="shared" si="863"/>
        <v>2024</v>
      </c>
      <c r="D3503" s="5" t="s">
        <v>3249</v>
      </c>
      <c r="E3503" s="5" t="str">
        <f>VLOOKUP(F3503,'Set up'!$A$2:$C$70,2,FALSE)</f>
        <v>C00000042</v>
      </c>
      <c r="F3503" s="132" t="s">
        <v>2012</v>
      </c>
      <c r="G3503" s="133" t="s">
        <v>2646</v>
      </c>
      <c r="H3503" s="5">
        <v>2</v>
      </c>
      <c r="I3503" s="5" t="str">
        <f>VLOOKUP(F3503,'Set up'!$A$2:$C$70,3,FALSE)</f>
        <v>Cash</v>
      </c>
      <c r="J3503" s="5">
        <f>VLOOKUP(F3503,'Set up'!$A$2:$D$70,4,FALSE)</f>
        <v>0</v>
      </c>
      <c r="K3503" s="4">
        <f t="shared" si="864"/>
        <v>45643</v>
      </c>
      <c r="L3503" s="5">
        <f t="shared" si="865"/>
        <v>12</v>
      </c>
      <c r="M3503" s="5">
        <f t="shared" si="866"/>
        <v>2024</v>
      </c>
      <c r="N3503" s="12">
        <v>125</v>
      </c>
      <c r="O3503" s="6">
        <f t="shared" si="881"/>
        <v>-125</v>
      </c>
      <c r="P3503" s="12">
        <f t="shared" si="882"/>
        <v>0</v>
      </c>
      <c r="Q3503" s="7">
        <f t="shared" si="867"/>
        <v>5765983.9500000002</v>
      </c>
      <c r="R3503" s="44" t="str">
        <f>VLOOKUP(F3503,'Set up'!$A$2:$E$70,5,FALSE)</f>
        <v>Trsf</v>
      </c>
      <c r="S3503" s="1" t="s">
        <v>3785</v>
      </c>
    </row>
    <row r="3504" spans="1:19" ht="16.2" customHeight="1" x14ac:dyDescent="0.3">
      <c r="A3504" s="4" t="s">
        <v>3247</v>
      </c>
      <c r="B3504" s="5">
        <f t="shared" si="862"/>
        <v>12</v>
      </c>
      <c r="C3504" s="5">
        <f t="shared" si="863"/>
        <v>2024</v>
      </c>
      <c r="D3504" s="5" t="s">
        <v>3250</v>
      </c>
      <c r="E3504" s="5" t="str">
        <f>VLOOKUP(F3504,'Set up'!$A$2:$C$70,2,FALSE)</f>
        <v>C00000042</v>
      </c>
      <c r="F3504" s="132" t="s">
        <v>2012</v>
      </c>
      <c r="G3504" s="133" t="s">
        <v>3217</v>
      </c>
      <c r="H3504" s="5">
        <v>3</v>
      </c>
      <c r="I3504" s="5" t="str">
        <f>VLOOKUP(F3504,'Set up'!$A$2:$C$70,3,FALSE)</f>
        <v>Cash</v>
      </c>
      <c r="J3504" s="5">
        <f>VLOOKUP(F3504,'Set up'!$A$2:$D$70,4,FALSE)</f>
        <v>0</v>
      </c>
      <c r="K3504" s="4">
        <f t="shared" si="864"/>
        <v>45643</v>
      </c>
      <c r="L3504" s="5">
        <f t="shared" si="865"/>
        <v>12</v>
      </c>
      <c r="M3504" s="5">
        <f t="shared" si="866"/>
        <v>2024</v>
      </c>
      <c r="N3504" s="12">
        <v>4860</v>
      </c>
      <c r="O3504" s="6">
        <f t="shared" si="881"/>
        <v>-4860</v>
      </c>
      <c r="P3504" s="12">
        <f t="shared" si="882"/>
        <v>0</v>
      </c>
      <c r="Q3504" s="7">
        <f t="shared" si="867"/>
        <v>5770843.9500000002</v>
      </c>
      <c r="R3504" s="44" t="str">
        <f>VLOOKUP(F3504,'Set up'!$A$2:$E$70,5,FALSE)</f>
        <v>Trsf</v>
      </c>
      <c r="S3504" s="1" t="s">
        <v>3786</v>
      </c>
    </row>
    <row r="3505" spans="1:19" ht="16.2" customHeight="1" x14ac:dyDescent="0.3">
      <c r="A3505" s="4" t="s">
        <v>3247</v>
      </c>
      <c r="B3505" s="5">
        <f t="shared" si="862"/>
        <v>12</v>
      </c>
      <c r="C3505" s="5">
        <f t="shared" si="863"/>
        <v>2024</v>
      </c>
      <c r="D3505" s="5" t="s">
        <v>3250</v>
      </c>
      <c r="E3505" s="5" t="str">
        <f>VLOOKUP(F3505,'Set up'!$A$2:$C$70,2,FALSE)</f>
        <v>C00000042</v>
      </c>
      <c r="F3505" s="132" t="s">
        <v>2012</v>
      </c>
      <c r="G3505" s="133" t="s">
        <v>3243</v>
      </c>
      <c r="H3505" s="5">
        <v>10</v>
      </c>
      <c r="I3505" s="5" t="str">
        <f>VLOOKUP(F3505,'Set up'!$A$2:$C$70,3,FALSE)</f>
        <v>Cash</v>
      </c>
      <c r="J3505" s="5">
        <f>VLOOKUP(F3505,'Set up'!$A$2:$D$70,4,FALSE)</f>
        <v>0</v>
      </c>
      <c r="K3505" s="4">
        <f t="shared" si="864"/>
        <v>45643</v>
      </c>
      <c r="L3505" s="5">
        <f t="shared" si="865"/>
        <v>12</v>
      </c>
      <c r="M3505" s="5">
        <f t="shared" si="866"/>
        <v>2024</v>
      </c>
      <c r="N3505" s="12">
        <v>1740</v>
      </c>
      <c r="O3505" s="6">
        <f t="shared" si="881"/>
        <v>-1740</v>
      </c>
      <c r="P3505" s="12">
        <f t="shared" si="882"/>
        <v>0</v>
      </c>
      <c r="Q3505" s="7">
        <f t="shared" si="867"/>
        <v>5772583.9500000002</v>
      </c>
      <c r="R3505" s="44" t="str">
        <f>VLOOKUP(F3505,'Set up'!$A$2:$E$70,5,FALSE)</f>
        <v>Trsf</v>
      </c>
      <c r="S3505" s="1" t="s">
        <v>3787</v>
      </c>
    </row>
    <row r="3506" spans="1:19" ht="16.2" customHeight="1" x14ac:dyDescent="0.3">
      <c r="A3506" s="4" t="s">
        <v>3247</v>
      </c>
      <c r="B3506" s="5">
        <f t="shared" si="862"/>
        <v>12</v>
      </c>
      <c r="C3506" s="5">
        <f t="shared" si="863"/>
        <v>2024</v>
      </c>
      <c r="D3506" s="5" t="s">
        <v>3250</v>
      </c>
      <c r="E3506" s="5" t="str">
        <f>VLOOKUP(F3506,'Set up'!$A$2:$C$70,2,FALSE)</f>
        <v>C00000042</v>
      </c>
      <c r="F3506" s="132" t="s">
        <v>2012</v>
      </c>
      <c r="G3506" s="133" t="s">
        <v>1922</v>
      </c>
      <c r="H3506" s="5">
        <v>4</v>
      </c>
      <c r="I3506" s="5" t="str">
        <f>VLOOKUP(F3506,'Set up'!$A$2:$C$70,3,FALSE)</f>
        <v>Cash</v>
      </c>
      <c r="J3506" s="5">
        <f>VLOOKUP(F3506,'Set up'!$A$2:$D$70,4,FALSE)</f>
        <v>0</v>
      </c>
      <c r="K3506" s="4">
        <f t="shared" si="864"/>
        <v>45643</v>
      </c>
      <c r="L3506" s="5">
        <f t="shared" si="865"/>
        <v>12</v>
      </c>
      <c r="M3506" s="5">
        <f t="shared" si="866"/>
        <v>2024</v>
      </c>
      <c r="N3506" s="12">
        <v>954</v>
      </c>
      <c r="O3506" s="6">
        <f t="shared" si="881"/>
        <v>-954</v>
      </c>
      <c r="P3506" s="12">
        <f t="shared" si="882"/>
        <v>0</v>
      </c>
      <c r="Q3506" s="7">
        <f t="shared" si="867"/>
        <v>5773537.9500000002</v>
      </c>
      <c r="R3506" s="44" t="str">
        <f>VLOOKUP(F3506,'Set up'!$A$2:$E$70,5,FALSE)</f>
        <v>Trsf</v>
      </c>
      <c r="S3506" s="1" t="s">
        <v>3788</v>
      </c>
    </row>
    <row r="3507" spans="1:19" ht="16.2" customHeight="1" x14ac:dyDescent="0.3">
      <c r="A3507" s="4" t="s">
        <v>3247</v>
      </c>
      <c r="B3507" s="5">
        <f t="shared" si="862"/>
        <v>12</v>
      </c>
      <c r="C3507" s="5">
        <f t="shared" si="863"/>
        <v>2024</v>
      </c>
      <c r="D3507" s="5" t="s">
        <v>3250</v>
      </c>
      <c r="E3507" s="5" t="str">
        <f>VLOOKUP(F3507,'Set up'!$A$2:$C$70,2,FALSE)</f>
        <v>C00000042</v>
      </c>
      <c r="F3507" s="132" t="s">
        <v>2012</v>
      </c>
      <c r="G3507" s="133" t="s">
        <v>46</v>
      </c>
      <c r="H3507" s="5">
        <v>4</v>
      </c>
      <c r="I3507" s="5" t="str">
        <f>VLOOKUP(F3507,'Set up'!$A$2:$C$70,3,FALSE)</f>
        <v>Cash</v>
      </c>
      <c r="J3507" s="5">
        <f>VLOOKUP(F3507,'Set up'!$A$2:$D$70,4,FALSE)</f>
        <v>0</v>
      </c>
      <c r="K3507" s="4">
        <f t="shared" si="864"/>
        <v>45643</v>
      </c>
      <c r="L3507" s="5">
        <f t="shared" si="865"/>
        <v>12</v>
      </c>
      <c r="M3507" s="5">
        <f t="shared" si="866"/>
        <v>2024</v>
      </c>
      <c r="N3507" s="12">
        <v>460</v>
      </c>
      <c r="O3507" s="6">
        <f t="shared" si="881"/>
        <v>-460</v>
      </c>
      <c r="P3507" s="12">
        <f t="shared" si="882"/>
        <v>0</v>
      </c>
      <c r="Q3507" s="7">
        <f t="shared" si="867"/>
        <v>5773997.9500000002</v>
      </c>
      <c r="R3507" s="44" t="str">
        <f>VLOOKUP(F3507,'Set up'!$A$2:$E$70,5,FALSE)</f>
        <v>Trsf</v>
      </c>
      <c r="S3507" s="1" t="s">
        <v>3789</v>
      </c>
    </row>
    <row r="3508" spans="1:19" ht="16.2" customHeight="1" x14ac:dyDescent="0.3">
      <c r="A3508" s="4" t="s">
        <v>3247</v>
      </c>
      <c r="B3508" s="5">
        <f t="shared" si="862"/>
        <v>12</v>
      </c>
      <c r="C3508" s="5">
        <f t="shared" si="863"/>
        <v>2024</v>
      </c>
      <c r="D3508" s="5" t="s">
        <v>3250</v>
      </c>
      <c r="E3508" s="5" t="str">
        <f>VLOOKUP(F3508,'Set up'!$A$2:$C$70,2,FALSE)</f>
        <v>C00000042</v>
      </c>
      <c r="F3508" s="132" t="s">
        <v>2012</v>
      </c>
      <c r="G3508" s="133" t="s">
        <v>2744</v>
      </c>
      <c r="H3508" s="5">
        <v>1</v>
      </c>
      <c r="I3508" s="5" t="str">
        <f>VLOOKUP(F3508,'Set up'!$A$2:$C$70,3,FALSE)</f>
        <v>Cash</v>
      </c>
      <c r="J3508" s="5">
        <f>VLOOKUP(F3508,'Set up'!$A$2:$D$70,4,FALSE)</f>
        <v>0</v>
      </c>
      <c r="K3508" s="4">
        <f t="shared" si="864"/>
        <v>45643</v>
      </c>
      <c r="L3508" s="5">
        <f t="shared" si="865"/>
        <v>12</v>
      </c>
      <c r="M3508" s="5">
        <f t="shared" si="866"/>
        <v>2024</v>
      </c>
      <c r="N3508" s="12">
        <v>975</v>
      </c>
      <c r="O3508" s="6">
        <f t="shared" si="881"/>
        <v>-975</v>
      </c>
      <c r="P3508" s="12">
        <f t="shared" si="882"/>
        <v>0</v>
      </c>
      <c r="Q3508" s="7">
        <f t="shared" si="867"/>
        <v>5774972.9500000002</v>
      </c>
      <c r="R3508" s="44" t="str">
        <f>VLOOKUP(F3508,'Set up'!$A$2:$E$70,5,FALSE)</f>
        <v>Trsf</v>
      </c>
      <c r="S3508" s="1" t="s">
        <v>3790</v>
      </c>
    </row>
    <row r="3509" spans="1:19" ht="16.2" customHeight="1" x14ac:dyDescent="0.3">
      <c r="A3509" s="4" t="s">
        <v>3251</v>
      </c>
      <c r="B3509" s="5">
        <f t="shared" si="862"/>
        <v>12</v>
      </c>
      <c r="C3509" s="5">
        <f t="shared" si="863"/>
        <v>2024</v>
      </c>
      <c r="D3509" s="5" t="s">
        <v>3252</v>
      </c>
      <c r="E3509" s="5" t="str">
        <f>VLOOKUP(F3509,'Set up'!$A$2:$C$70,2,FALSE)</f>
        <v>C00000019</v>
      </c>
      <c r="F3509" s="132" t="s">
        <v>400</v>
      </c>
      <c r="G3509" s="133" t="s">
        <v>3122</v>
      </c>
      <c r="H3509" s="5">
        <v>1</v>
      </c>
      <c r="I3509" s="5" t="str">
        <f>VLOOKUP(F3509,'Set up'!$A$2:$C$70,3,FALSE)</f>
        <v>Cash</v>
      </c>
      <c r="J3509" s="5">
        <f>VLOOKUP(F3509,'Set up'!$A$2:$D$70,4,FALSE)</f>
        <v>0</v>
      </c>
      <c r="K3509" s="4">
        <f t="shared" si="864"/>
        <v>45645</v>
      </c>
      <c r="L3509" s="5">
        <f t="shared" si="865"/>
        <v>12</v>
      </c>
      <c r="M3509" s="5">
        <f t="shared" si="866"/>
        <v>2024</v>
      </c>
      <c r="N3509" s="12">
        <v>1755</v>
      </c>
      <c r="O3509" s="12"/>
      <c r="P3509" s="12">
        <v>1755</v>
      </c>
      <c r="Q3509" s="7">
        <f t="shared" si="867"/>
        <v>5776727.9500000002</v>
      </c>
      <c r="R3509" s="44" t="str">
        <f>VLOOKUP(F3509,'Set up'!$A$2:$E$70,5,FALSE)</f>
        <v>Trsf</v>
      </c>
    </row>
    <row r="3510" spans="1:19" ht="16.2" customHeight="1" x14ac:dyDescent="0.3">
      <c r="A3510" s="4" t="s">
        <v>3251</v>
      </c>
      <c r="B3510" s="5">
        <f t="shared" si="862"/>
        <v>12</v>
      </c>
      <c r="C3510" s="5">
        <f t="shared" si="863"/>
        <v>2024</v>
      </c>
      <c r="D3510" s="5" t="s">
        <v>3252</v>
      </c>
      <c r="E3510" s="5" t="str">
        <f>VLOOKUP(F3510,'Set up'!$A$2:$C$70,2,FALSE)</f>
        <v>C00000019</v>
      </c>
      <c r="F3510" s="132" t="s">
        <v>400</v>
      </c>
      <c r="G3510" s="133" t="s">
        <v>46</v>
      </c>
      <c r="H3510" s="5">
        <v>1</v>
      </c>
      <c r="I3510" s="5" t="str">
        <f>VLOOKUP(F3510,'Set up'!$A$2:$C$70,3,FALSE)</f>
        <v>Cash</v>
      </c>
      <c r="J3510" s="5">
        <f>VLOOKUP(F3510,'Set up'!$A$2:$D$70,4,FALSE)</f>
        <v>0</v>
      </c>
      <c r="K3510" s="4">
        <f t="shared" si="864"/>
        <v>45645</v>
      </c>
      <c r="L3510" s="5">
        <f t="shared" si="865"/>
        <v>12</v>
      </c>
      <c r="M3510" s="5">
        <f t="shared" si="866"/>
        <v>2024</v>
      </c>
      <c r="N3510" s="12">
        <v>110</v>
      </c>
      <c r="O3510" s="12"/>
      <c r="P3510" s="12">
        <v>110</v>
      </c>
      <c r="Q3510" s="7">
        <f t="shared" si="867"/>
        <v>5776837.9500000002</v>
      </c>
      <c r="R3510" s="44" t="str">
        <f>VLOOKUP(F3510,'Set up'!$A$2:$E$70,5,FALSE)</f>
        <v>Trsf</v>
      </c>
    </row>
    <row r="3511" spans="1:19" ht="16.2" customHeight="1" x14ac:dyDescent="0.3">
      <c r="A3511" s="4" t="s">
        <v>3251</v>
      </c>
      <c r="B3511" s="5">
        <f t="shared" si="862"/>
        <v>12</v>
      </c>
      <c r="C3511" s="5">
        <f t="shared" si="863"/>
        <v>2024</v>
      </c>
      <c r="D3511" s="5" t="s">
        <v>3252</v>
      </c>
      <c r="E3511" s="5" t="str">
        <f>VLOOKUP(F3511,'Set up'!$A$2:$C$70,2,FALSE)</f>
        <v>C00000019</v>
      </c>
      <c r="F3511" s="132" t="s">
        <v>400</v>
      </c>
      <c r="G3511" s="133" t="s">
        <v>2635</v>
      </c>
      <c r="H3511" s="5">
        <v>3</v>
      </c>
      <c r="I3511" s="5" t="str">
        <f>VLOOKUP(F3511,'Set up'!$A$2:$C$70,3,FALSE)</f>
        <v>Cash</v>
      </c>
      <c r="J3511" s="5">
        <f>VLOOKUP(F3511,'Set up'!$A$2:$D$70,4,FALSE)</f>
        <v>0</v>
      </c>
      <c r="K3511" s="4">
        <f t="shared" si="864"/>
        <v>45645</v>
      </c>
      <c r="L3511" s="5">
        <f t="shared" si="865"/>
        <v>12</v>
      </c>
      <c r="M3511" s="5">
        <f t="shared" si="866"/>
        <v>2024</v>
      </c>
      <c r="N3511" s="12">
        <v>187.5</v>
      </c>
      <c r="O3511" s="12"/>
      <c r="P3511" s="12">
        <v>187.5</v>
      </c>
      <c r="Q3511" s="7">
        <f t="shared" si="867"/>
        <v>5777025.4500000002</v>
      </c>
      <c r="R3511" s="44" t="str">
        <f>VLOOKUP(F3511,'Set up'!$A$2:$E$70,5,FALSE)</f>
        <v>Trsf</v>
      </c>
    </row>
    <row r="3512" spans="1:19" ht="16.2" customHeight="1" x14ac:dyDescent="0.3">
      <c r="A3512" s="4" t="s">
        <v>3251</v>
      </c>
      <c r="B3512" s="5">
        <f t="shared" si="862"/>
        <v>12</v>
      </c>
      <c r="C3512" s="5">
        <f t="shared" si="863"/>
        <v>2024</v>
      </c>
      <c r="D3512" s="5" t="s">
        <v>3252</v>
      </c>
      <c r="E3512" s="5" t="str">
        <f>VLOOKUP(F3512,'Set up'!$A$2:$C$70,2,FALSE)</f>
        <v>C00000019</v>
      </c>
      <c r="F3512" s="132" t="s">
        <v>400</v>
      </c>
      <c r="G3512" s="133" t="s">
        <v>894</v>
      </c>
      <c r="H3512" s="5">
        <v>1</v>
      </c>
      <c r="I3512" s="5" t="str">
        <f>VLOOKUP(F3512,'Set up'!$A$2:$C$70,3,FALSE)</f>
        <v>Cash</v>
      </c>
      <c r="J3512" s="5">
        <f>VLOOKUP(F3512,'Set up'!$A$2:$D$70,4,FALSE)</f>
        <v>0</v>
      </c>
      <c r="K3512" s="4">
        <f t="shared" si="864"/>
        <v>45645</v>
      </c>
      <c r="L3512" s="5">
        <f t="shared" si="865"/>
        <v>12</v>
      </c>
      <c r="M3512" s="5">
        <f t="shared" si="866"/>
        <v>2024</v>
      </c>
      <c r="N3512" s="12">
        <v>150</v>
      </c>
      <c r="O3512" s="12"/>
      <c r="P3512" s="12">
        <v>150</v>
      </c>
      <c r="Q3512" s="7">
        <f t="shared" si="867"/>
        <v>5777175.4500000002</v>
      </c>
      <c r="R3512" s="44" t="str">
        <f>VLOOKUP(F3512,'Set up'!$A$2:$E$70,5,FALSE)</f>
        <v>Trsf</v>
      </c>
    </row>
    <row r="3513" spans="1:19" ht="16.2" customHeight="1" x14ac:dyDescent="0.3">
      <c r="A3513" s="4" t="s">
        <v>3253</v>
      </c>
      <c r="B3513" s="5">
        <f t="shared" si="862"/>
        <v>12</v>
      </c>
      <c r="C3513" s="5">
        <f t="shared" si="863"/>
        <v>2024</v>
      </c>
      <c r="D3513" s="5" t="s">
        <v>3254</v>
      </c>
      <c r="E3513" s="5" t="str">
        <f>VLOOKUP(F3513,'Set up'!$A$2:$C$70,2,FALSE)</f>
        <v>C00000044</v>
      </c>
      <c r="F3513" s="132" t="s">
        <v>2929</v>
      </c>
      <c r="G3513" s="133" t="s">
        <v>2570</v>
      </c>
      <c r="H3513" s="5">
        <v>1</v>
      </c>
      <c r="I3513" s="5" t="str">
        <f>VLOOKUP(F3513,'Set up'!$A$2:$C$70,3,FALSE)</f>
        <v>Cash</v>
      </c>
      <c r="J3513" s="5">
        <f>VLOOKUP(F3513,'Set up'!$A$2:$D$70,4,FALSE)</f>
        <v>0</v>
      </c>
      <c r="K3513" s="4">
        <f t="shared" si="864"/>
        <v>45646</v>
      </c>
      <c r="L3513" s="5">
        <f t="shared" si="865"/>
        <v>12</v>
      </c>
      <c r="M3513" s="5">
        <f t="shared" si="866"/>
        <v>2024</v>
      </c>
      <c r="N3513" s="12">
        <v>216</v>
      </c>
      <c r="O3513" s="6">
        <f>-N3513</f>
        <v>-216</v>
      </c>
      <c r="P3513" s="12">
        <f t="shared" ref="P3513:P3514" si="883">SUM(N3513+O3513)</f>
        <v>0</v>
      </c>
      <c r="Q3513" s="7">
        <f t="shared" si="867"/>
        <v>5777391.4500000002</v>
      </c>
      <c r="R3513" s="44" t="str">
        <f>VLOOKUP(F3513,'Set up'!$A$2:$E$70,5,FALSE)</f>
        <v>Cash</v>
      </c>
      <c r="S3513" s="1" t="s">
        <v>3322</v>
      </c>
    </row>
    <row r="3514" spans="1:19" ht="16.2" customHeight="1" x14ac:dyDescent="0.3">
      <c r="A3514" s="4" t="s">
        <v>3253</v>
      </c>
      <c r="B3514" s="5">
        <f t="shared" si="862"/>
        <v>12</v>
      </c>
      <c r="C3514" s="5">
        <f t="shared" si="863"/>
        <v>2024</v>
      </c>
      <c r="D3514" s="5" t="s">
        <v>3254</v>
      </c>
      <c r="E3514" s="5" t="str">
        <f>VLOOKUP(F3514,'Set up'!$A$2:$C$70,2,FALSE)</f>
        <v>C00000044</v>
      </c>
      <c r="F3514" s="132" t="s">
        <v>2929</v>
      </c>
      <c r="G3514" s="133" t="s">
        <v>3255</v>
      </c>
      <c r="H3514" s="5">
        <v>5</v>
      </c>
      <c r="I3514" s="5" t="str">
        <f>VLOOKUP(F3514,'Set up'!$A$2:$C$70,3,FALSE)</f>
        <v>Cash</v>
      </c>
      <c r="J3514" s="5">
        <f>VLOOKUP(F3514,'Set up'!$A$2:$D$70,4,FALSE)</f>
        <v>0</v>
      </c>
      <c r="K3514" s="4">
        <f t="shared" si="864"/>
        <v>45646</v>
      </c>
      <c r="L3514" s="5">
        <f t="shared" si="865"/>
        <v>12</v>
      </c>
      <c r="M3514" s="5">
        <f t="shared" si="866"/>
        <v>2024</v>
      </c>
      <c r="N3514" s="12">
        <v>890</v>
      </c>
      <c r="O3514" s="6">
        <f>-N3514</f>
        <v>-890</v>
      </c>
      <c r="P3514" s="12">
        <f t="shared" si="883"/>
        <v>0</v>
      </c>
      <c r="Q3514" s="7">
        <f t="shared" si="867"/>
        <v>5778281.4500000002</v>
      </c>
      <c r="R3514" s="44" t="str">
        <f>VLOOKUP(F3514,'Set up'!$A$2:$E$70,5,FALSE)</f>
        <v>Cash</v>
      </c>
      <c r="S3514" s="1" t="s">
        <v>3322</v>
      </c>
    </row>
    <row r="3515" spans="1:19" ht="16.2" customHeight="1" x14ac:dyDescent="0.3">
      <c r="A3515" s="4" t="s">
        <v>3256</v>
      </c>
      <c r="B3515" s="5">
        <f t="shared" si="862"/>
        <v>12</v>
      </c>
      <c r="C3515" s="5">
        <f t="shared" si="863"/>
        <v>2024</v>
      </c>
      <c r="D3515" s="5" t="s">
        <v>3257</v>
      </c>
      <c r="E3515" s="5" t="str">
        <f>VLOOKUP(F3515,'Set up'!$A$2:$C$70,2,FALSE)</f>
        <v>C00000037</v>
      </c>
      <c r="F3515" s="132" t="s">
        <v>1309</v>
      </c>
      <c r="G3515" s="133" t="s">
        <v>3122</v>
      </c>
      <c r="H3515" s="5">
        <v>3</v>
      </c>
      <c r="I3515" s="5">
        <f>VLOOKUP(F3515,'Set up'!$A$2:$C$70,3,FALSE)</f>
        <v>30</v>
      </c>
      <c r="J3515" s="5">
        <f>VLOOKUP(F3515,'Set up'!$A$2:$D$70,4,FALSE)</f>
        <v>30</v>
      </c>
      <c r="K3515" s="4">
        <f t="shared" si="864"/>
        <v>45677</v>
      </c>
      <c r="L3515" s="5">
        <f t="shared" si="865"/>
        <v>1</v>
      </c>
      <c r="M3515" s="5">
        <f t="shared" si="866"/>
        <v>2025</v>
      </c>
      <c r="N3515" s="12">
        <v>5265</v>
      </c>
      <c r="O3515" s="12"/>
      <c r="P3515" s="12">
        <v>5265</v>
      </c>
      <c r="Q3515" s="7">
        <f t="shared" si="867"/>
        <v>5783546.4500000002</v>
      </c>
      <c r="R3515" s="44" t="str">
        <f>VLOOKUP(F3515,'Set up'!$A$2:$E$70,5,FALSE)</f>
        <v>Chq</v>
      </c>
    </row>
    <row r="3516" spans="1:19" ht="16.2" customHeight="1" x14ac:dyDescent="0.3">
      <c r="A3516" s="4" t="s">
        <v>3256</v>
      </c>
      <c r="B3516" s="5">
        <f t="shared" si="862"/>
        <v>12</v>
      </c>
      <c r="C3516" s="5">
        <f t="shared" si="863"/>
        <v>2024</v>
      </c>
      <c r="D3516" s="5" t="s">
        <v>3257</v>
      </c>
      <c r="E3516" s="5" t="str">
        <f>VLOOKUP(F3516,'Set up'!$A$2:$C$70,2,FALSE)</f>
        <v>C00000037</v>
      </c>
      <c r="F3516" s="132" t="s">
        <v>1309</v>
      </c>
      <c r="G3516" s="133" t="s">
        <v>707</v>
      </c>
      <c r="H3516" s="5">
        <v>3</v>
      </c>
      <c r="I3516" s="5">
        <f>VLOOKUP(F3516,'Set up'!$A$2:$C$70,3,FALSE)</f>
        <v>30</v>
      </c>
      <c r="J3516" s="5">
        <f>VLOOKUP(F3516,'Set up'!$A$2:$D$70,4,FALSE)</f>
        <v>30</v>
      </c>
      <c r="K3516" s="4">
        <f t="shared" si="864"/>
        <v>45677</v>
      </c>
      <c r="L3516" s="5">
        <f t="shared" si="865"/>
        <v>1</v>
      </c>
      <c r="M3516" s="5">
        <f t="shared" si="866"/>
        <v>2025</v>
      </c>
      <c r="N3516" s="12">
        <v>1263.5999999999999</v>
      </c>
      <c r="O3516" s="12"/>
      <c r="P3516" s="12">
        <v>1263.5999999999999</v>
      </c>
      <c r="Q3516" s="7">
        <f t="shared" si="867"/>
        <v>5784810.0499999998</v>
      </c>
      <c r="R3516" s="44" t="str">
        <f>VLOOKUP(F3516,'Set up'!$A$2:$E$70,5,FALSE)</f>
        <v>Chq</v>
      </c>
    </row>
    <row r="3517" spans="1:19" ht="16.2" customHeight="1" x14ac:dyDescent="0.3">
      <c r="A3517" s="4" t="s">
        <v>3256</v>
      </c>
      <c r="B3517" s="5">
        <f t="shared" si="862"/>
        <v>12</v>
      </c>
      <c r="C3517" s="5">
        <f t="shared" si="863"/>
        <v>2024</v>
      </c>
      <c r="D3517" s="5" t="s">
        <v>3257</v>
      </c>
      <c r="E3517" s="5" t="str">
        <f>VLOOKUP(F3517,'Set up'!$A$2:$C$70,2,FALSE)</f>
        <v>C00000037</v>
      </c>
      <c r="F3517" s="132" t="s">
        <v>1309</v>
      </c>
      <c r="G3517" s="133" t="s">
        <v>2556</v>
      </c>
      <c r="H3517" s="5">
        <v>2</v>
      </c>
      <c r="I3517" s="5">
        <f>VLOOKUP(F3517,'Set up'!$A$2:$C$70,3,FALSE)</f>
        <v>30</v>
      </c>
      <c r="J3517" s="5">
        <f>VLOOKUP(F3517,'Set up'!$A$2:$D$70,4,FALSE)</f>
        <v>30</v>
      </c>
      <c r="K3517" s="4">
        <f t="shared" si="864"/>
        <v>45677</v>
      </c>
      <c r="L3517" s="5">
        <f t="shared" si="865"/>
        <v>1</v>
      </c>
      <c r="M3517" s="5">
        <f t="shared" si="866"/>
        <v>2025</v>
      </c>
      <c r="N3517" s="12">
        <v>842.4</v>
      </c>
      <c r="O3517" s="12"/>
      <c r="P3517" s="12">
        <v>842.4</v>
      </c>
      <c r="Q3517" s="7">
        <f t="shared" si="867"/>
        <v>5785652.4500000002</v>
      </c>
      <c r="R3517" s="44" t="str">
        <f>VLOOKUP(F3517,'Set up'!$A$2:$E$70,5,FALSE)</f>
        <v>Chq</v>
      </c>
    </row>
    <row r="3518" spans="1:19" ht="16.2" customHeight="1" x14ac:dyDescent="0.3">
      <c r="A3518" s="4" t="s">
        <v>3256</v>
      </c>
      <c r="B3518" s="5">
        <f t="shared" si="862"/>
        <v>12</v>
      </c>
      <c r="C3518" s="5">
        <f t="shared" si="863"/>
        <v>2024</v>
      </c>
      <c r="D3518" s="5" t="s">
        <v>3257</v>
      </c>
      <c r="E3518" s="5" t="str">
        <f>VLOOKUP(F3518,'Set up'!$A$2:$C$70,2,FALSE)</f>
        <v>C00000037</v>
      </c>
      <c r="F3518" s="132" t="s">
        <v>1309</v>
      </c>
      <c r="G3518" s="133" t="s">
        <v>1405</v>
      </c>
      <c r="H3518" s="5">
        <v>5</v>
      </c>
      <c r="I3518" s="5">
        <f>VLOOKUP(F3518,'Set up'!$A$2:$C$70,3,FALSE)</f>
        <v>30</v>
      </c>
      <c r="J3518" s="5">
        <f>VLOOKUP(F3518,'Set up'!$A$2:$D$70,4,FALSE)</f>
        <v>30</v>
      </c>
      <c r="K3518" s="4">
        <f t="shared" si="864"/>
        <v>45677</v>
      </c>
      <c r="L3518" s="5">
        <f t="shared" si="865"/>
        <v>1</v>
      </c>
      <c r="M3518" s="5">
        <f t="shared" si="866"/>
        <v>2025</v>
      </c>
      <c r="N3518" s="12">
        <v>240</v>
      </c>
      <c r="O3518" s="12"/>
      <c r="P3518" s="12">
        <v>240</v>
      </c>
      <c r="Q3518" s="7">
        <f t="shared" si="867"/>
        <v>5785892.4500000002</v>
      </c>
      <c r="R3518" s="44" t="str">
        <f>VLOOKUP(F3518,'Set up'!$A$2:$E$70,5,FALSE)</f>
        <v>Chq</v>
      </c>
    </row>
    <row r="3519" spans="1:19" ht="16.2" customHeight="1" x14ac:dyDescent="0.3">
      <c r="A3519" s="4" t="s">
        <v>3256</v>
      </c>
      <c r="B3519" s="5">
        <f t="shared" si="862"/>
        <v>12</v>
      </c>
      <c r="C3519" s="5">
        <f t="shared" si="863"/>
        <v>2024</v>
      </c>
      <c r="D3519" s="5" t="s">
        <v>3257</v>
      </c>
      <c r="E3519" s="5" t="str">
        <f>VLOOKUP(F3519,'Set up'!$A$2:$C$70,2,FALSE)</f>
        <v>C00000037</v>
      </c>
      <c r="F3519" s="132" t="s">
        <v>1309</v>
      </c>
      <c r="G3519" s="133" t="s">
        <v>2646</v>
      </c>
      <c r="H3519" s="5">
        <v>3</v>
      </c>
      <c r="I3519" s="5">
        <f>VLOOKUP(F3519,'Set up'!$A$2:$C$70,3,FALSE)</f>
        <v>30</v>
      </c>
      <c r="J3519" s="5">
        <f>VLOOKUP(F3519,'Set up'!$A$2:$D$70,4,FALSE)</f>
        <v>30</v>
      </c>
      <c r="K3519" s="4">
        <f t="shared" si="864"/>
        <v>45677</v>
      </c>
      <c r="L3519" s="5">
        <f t="shared" si="865"/>
        <v>1</v>
      </c>
      <c r="M3519" s="5">
        <f t="shared" si="866"/>
        <v>2025</v>
      </c>
      <c r="N3519" s="12">
        <v>187.5</v>
      </c>
      <c r="O3519" s="12"/>
      <c r="P3519" s="12">
        <v>187.5</v>
      </c>
      <c r="Q3519" s="7">
        <f t="shared" si="867"/>
        <v>5786079.9500000002</v>
      </c>
      <c r="R3519" s="44" t="str">
        <f>VLOOKUP(F3519,'Set up'!$A$2:$E$70,5,FALSE)</f>
        <v>Chq</v>
      </c>
    </row>
    <row r="3520" spans="1:19" ht="16.2" customHeight="1" x14ac:dyDescent="0.3">
      <c r="A3520" s="4" t="s">
        <v>3256</v>
      </c>
      <c r="B3520" s="5">
        <f t="shared" si="862"/>
        <v>12</v>
      </c>
      <c r="C3520" s="5">
        <f t="shared" si="863"/>
        <v>2024</v>
      </c>
      <c r="D3520" s="5" t="s">
        <v>3257</v>
      </c>
      <c r="E3520" s="5" t="str">
        <f>VLOOKUP(F3520,'Set up'!$A$2:$C$70,2,FALSE)</f>
        <v>C00000037</v>
      </c>
      <c r="F3520" s="132" t="s">
        <v>1309</v>
      </c>
      <c r="G3520" s="133" t="s">
        <v>1061</v>
      </c>
      <c r="H3520" s="5">
        <v>1</v>
      </c>
      <c r="I3520" s="5">
        <f>VLOOKUP(F3520,'Set up'!$A$2:$C$70,3,FALSE)</f>
        <v>30</v>
      </c>
      <c r="J3520" s="5">
        <f>VLOOKUP(F3520,'Set up'!$A$2:$D$70,4,FALSE)</f>
        <v>30</v>
      </c>
      <c r="K3520" s="4">
        <f t="shared" si="864"/>
        <v>45677</v>
      </c>
      <c r="L3520" s="5">
        <f t="shared" si="865"/>
        <v>1</v>
      </c>
      <c r="M3520" s="5">
        <f t="shared" si="866"/>
        <v>2025</v>
      </c>
      <c r="N3520" s="12">
        <v>95</v>
      </c>
      <c r="O3520" s="12"/>
      <c r="P3520" s="12">
        <v>95</v>
      </c>
      <c r="Q3520" s="7">
        <f t="shared" si="867"/>
        <v>5786174.9500000002</v>
      </c>
      <c r="R3520" s="44" t="str">
        <f>VLOOKUP(F3520,'Set up'!$A$2:$E$70,5,FALSE)</f>
        <v>Chq</v>
      </c>
    </row>
    <row r="3521" spans="1:19" ht="16.2" customHeight="1" x14ac:dyDescent="0.3">
      <c r="A3521" s="4" t="s">
        <v>3256</v>
      </c>
      <c r="B3521" s="5">
        <f t="shared" si="862"/>
        <v>12</v>
      </c>
      <c r="C3521" s="5">
        <f t="shared" si="863"/>
        <v>2024</v>
      </c>
      <c r="D3521" s="5" t="s">
        <v>3257</v>
      </c>
      <c r="E3521" s="5" t="str">
        <f>VLOOKUP(F3521,'Set up'!$A$2:$C$70,2,FALSE)</f>
        <v>C00000037</v>
      </c>
      <c r="F3521" s="132" t="s">
        <v>1309</v>
      </c>
      <c r="G3521" s="133" t="s">
        <v>2144</v>
      </c>
      <c r="H3521" s="5">
        <v>2</v>
      </c>
      <c r="I3521" s="5">
        <f>VLOOKUP(F3521,'Set up'!$A$2:$C$70,3,FALSE)</f>
        <v>30</v>
      </c>
      <c r="J3521" s="5">
        <f>VLOOKUP(F3521,'Set up'!$A$2:$D$70,4,FALSE)</f>
        <v>30</v>
      </c>
      <c r="K3521" s="4">
        <f t="shared" si="864"/>
        <v>45677</v>
      </c>
      <c r="L3521" s="5">
        <f t="shared" si="865"/>
        <v>1</v>
      </c>
      <c r="M3521" s="5">
        <f t="shared" si="866"/>
        <v>2025</v>
      </c>
      <c r="N3521" s="12">
        <v>572</v>
      </c>
      <c r="O3521" s="12"/>
      <c r="P3521" s="12">
        <v>572</v>
      </c>
      <c r="Q3521" s="7">
        <f t="shared" si="867"/>
        <v>5786746.9500000002</v>
      </c>
      <c r="R3521" s="44" t="str">
        <f>VLOOKUP(F3521,'Set up'!$A$2:$E$70,5,FALSE)</f>
        <v>Chq</v>
      </c>
    </row>
    <row r="3522" spans="1:19" ht="16.2" customHeight="1" x14ac:dyDescent="0.3">
      <c r="A3522" s="4" t="s">
        <v>3256</v>
      </c>
      <c r="B3522" s="5">
        <f t="shared" si="862"/>
        <v>12</v>
      </c>
      <c r="C3522" s="5">
        <f t="shared" si="863"/>
        <v>2024</v>
      </c>
      <c r="D3522" s="5" t="s">
        <v>3257</v>
      </c>
      <c r="E3522" s="5" t="str">
        <f>VLOOKUP(F3522,'Set up'!$A$2:$C$70,2,FALSE)</f>
        <v>C00000037</v>
      </c>
      <c r="F3522" s="132" t="s">
        <v>1309</v>
      </c>
      <c r="G3522" s="133" t="s">
        <v>3258</v>
      </c>
      <c r="H3522" s="5">
        <v>1</v>
      </c>
      <c r="I3522" s="5">
        <f>VLOOKUP(F3522,'Set up'!$A$2:$C$70,3,FALSE)</f>
        <v>30</v>
      </c>
      <c r="J3522" s="5">
        <f>VLOOKUP(F3522,'Set up'!$A$2:$D$70,4,FALSE)</f>
        <v>30</v>
      </c>
      <c r="K3522" s="4">
        <f t="shared" si="864"/>
        <v>45677</v>
      </c>
      <c r="L3522" s="5">
        <f t="shared" si="865"/>
        <v>1</v>
      </c>
      <c r="M3522" s="5">
        <f t="shared" si="866"/>
        <v>2025</v>
      </c>
      <c r="N3522" s="12">
        <v>930</v>
      </c>
      <c r="O3522" s="12"/>
      <c r="P3522" s="12">
        <v>930</v>
      </c>
      <c r="Q3522" s="7">
        <f t="shared" si="867"/>
        <v>5787676.9500000002</v>
      </c>
      <c r="R3522" s="44" t="str">
        <f>VLOOKUP(F3522,'Set up'!$A$2:$E$70,5,FALSE)</f>
        <v>Chq</v>
      </c>
    </row>
    <row r="3523" spans="1:19" ht="16.2" customHeight="1" x14ac:dyDescent="0.3">
      <c r="A3523" s="4" t="s">
        <v>3259</v>
      </c>
      <c r="B3523" s="5">
        <f t="shared" ref="B3523:B3586" si="884">MONTH(A3523)</f>
        <v>12</v>
      </c>
      <c r="C3523" s="5">
        <f t="shared" ref="C3523:C3586" si="885">YEAR(A3523)</f>
        <v>2024</v>
      </c>
      <c r="D3523" s="5" t="s">
        <v>3260</v>
      </c>
      <c r="E3523" s="5" t="str">
        <f>VLOOKUP(F3523,'Set up'!$A$2:$C$70,2,FALSE)</f>
        <v>C00000050</v>
      </c>
      <c r="F3523" s="132" t="s">
        <v>2656</v>
      </c>
      <c r="G3523" s="133" t="s">
        <v>3122</v>
      </c>
      <c r="H3523" s="5">
        <v>1</v>
      </c>
      <c r="I3523" s="5" t="str">
        <f>VLOOKUP(F3523,'Set up'!$A$2:$C$70,3,FALSE)</f>
        <v>Cash</v>
      </c>
      <c r="J3523" s="5">
        <f>VLOOKUP(F3523,'Set up'!$A$2:$D$70,4,FALSE)</f>
        <v>0</v>
      </c>
      <c r="K3523" s="4">
        <f t="shared" ref="K3523:K3586" si="886">A3523+J3523</f>
        <v>45649</v>
      </c>
      <c r="L3523" s="5">
        <f t="shared" ref="L3523:L3586" si="887">MONTH(K3523)</f>
        <v>12</v>
      </c>
      <c r="M3523" s="5">
        <f t="shared" ref="M3523:M3586" si="888">YEAR(K3523)</f>
        <v>2024</v>
      </c>
      <c r="N3523" s="12">
        <v>1755</v>
      </c>
      <c r="O3523" s="6">
        <f t="shared" ref="O3523:O3527" si="889">-N3523</f>
        <v>-1755</v>
      </c>
      <c r="P3523" s="12">
        <f t="shared" ref="P3523:P3532" si="890">SUM(N3523+O3523)</f>
        <v>0</v>
      </c>
      <c r="Q3523" s="7">
        <f t="shared" ref="Q3523:Q3586" si="891">SUM(Q3522+N3523)</f>
        <v>5789431.9500000002</v>
      </c>
      <c r="R3523" s="44" t="str">
        <f>VLOOKUP(F3523,'Set up'!$A$2:$E$70,5,FALSE)</f>
        <v>Cash</v>
      </c>
      <c r="S3523" s="1" t="s">
        <v>3318</v>
      </c>
    </row>
    <row r="3524" spans="1:19" ht="16.2" customHeight="1" x14ac:dyDescent="0.3">
      <c r="A3524" s="4" t="s">
        <v>3259</v>
      </c>
      <c r="B3524" s="5">
        <f t="shared" si="884"/>
        <v>12</v>
      </c>
      <c r="C3524" s="5">
        <f t="shared" si="885"/>
        <v>2024</v>
      </c>
      <c r="D3524" s="5" t="s">
        <v>3260</v>
      </c>
      <c r="E3524" s="5" t="str">
        <f>VLOOKUP(F3524,'Set up'!$A$2:$C$70,2,FALSE)</f>
        <v>C00000050</v>
      </c>
      <c r="F3524" s="132" t="s">
        <v>2656</v>
      </c>
      <c r="G3524" s="133" t="s">
        <v>2129</v>
      </c>
      <c r="H3524" s="5">
        <v>3</v>
      </c>
      <c r="I3524" s="5" t="str">
        <f>VLOOKUP(F3524,'Set up'!$A$2:$C$70,3,FALSE)</f>
        <v>Cash</v>
      </c>
      <c r="J3524" s="5">
        <f>VLOOKUP(F3524,'Set up'!$A$2:$D$70,4,FALSE)</f>
        <v>0</v>
      </c>
      <c r="K3524" s="4">
        <f t="shared" si="886"/>
        <v>45649</v>
      </c>
      <c r="L3524" s="5">
        <f t="shared" si="887"/>
        <v>12</v>
      </c>
      <c r="M3524" s="5">
        <f t="shared" si="888"/>
        <v>2024</v>
      </c>
      <c r="N3524" s="12">
        <v>832.5</v>
      </c>
      <c r="O3524" s="6">
        <f t="shared" si="889"/>
        <v>-832.5</v>
      </c>
      <c r="P3524" s="12">
        <f t="shared" si="890"/>
        <v>0</v>
      </c>
      <c r="Q3524" s="7">
        <f t="shared" si="891"/>
        <v>5790264.4500000002</v>
      </c>
      <c r="R3524" s="44" t="str">
        <f>VLOOKUP(F3524,'Set up'!$A$2:$E$70,5,FALSE)</f>
        <v>Cash</v>
      </c>
      <c r="S3524" s="1" t="s">
        <v>3318</v>
      </c>
    </row>
    <row r="3525" spans="1:19" ht="16.2" customHeight="1" x14ac:dyDescent="0.3">
      <c r="A3525" s="4" t="s">
        <v>3259</v>
      </c>
      <c r="B3525" s="5">
        <f t="shared" si="884"/>
        <v>12</v>
      </c>
      <c r="C3525" s="5">
        <f t="shared" si="885"/>
        <v>2024</v>
      </c>
      <c r="D3525" s="5" t="s">
        <v>3260</v>
      </c>
      <c r="E3525" s="5" t="str">
        <f>VLOOKUP(F3525,'Set up'!$A$2:$C$70,2,FALSE)</f>
        <v>C00000050</v>
      </c>
      <c r="F3525" s="132" t="s">
        <v>2656</v>
      </c>
      <c r="G3525" s="133" t="s">
        <v>1061</v>
      </c>
      <c r="H3525" s="5">
        <v>1</v>
      </c>
      <c r="I3525" s="5" t="str">
        <f>VLOOKUP(F3525,'Set up'!$A$2:$C$70,3,FALSE)</f>
        <v>Cash</v>
      </c>
      <c r="J3525" s="5">
        <f>VLOOKUP(F3525,'Set up'!$A$2:$D$70,4,FALSE)</f>
        <v>0</v>
      </c>
      <c r="K3525" s="4">
        <f t="shared" si="886"/>
        <v>45649</v>
      </c>
      <c r="L3525" s="5">
        <f t="shared" si="887"/>
        <v>12</v>
      </c>
      <c r="M3525" s="5">
        <f t="shared" si="888"/>
        <v>2024</v>
      </c>
      <c r="N3525" s="12">
        <v>95</v>
      </c>
      <c r="O3525" s="6">
        <f t="shared" si="889"/>
        <v>-95</v>
      </c>
      <c r="P3525" s="12">
        <f t="shared" si="890"/>
        <v>0</v>
      </c>
      <c r="Q3525" s="7">
        <f t="shared" si="891"/>
        <v>5790359.4500000002</v>
      </c>
      <c r="R3525" s="44" t="str">
        <f>VLOOKUP(F3525,'Set up'!$A$2:$E$70,5,FALSE)</f>
        <v>Cash</v>
      </c>
      <c r="S3525" s="1" t="s">
        <v>3318</v>
      </c>
    </row>
    <row r="3526" spans="1:19" ht="16.2" customHeight="1" x14ac:dyDescent="0.3">
      <c r="A3526" s="4" t="s">
        <v>3259</v>
      </c>
      <c r="B3526" s="5">
        <f t="shared" si="884"/>
        <v>12</v>
      </c>
      <c r="C3526" s="5">
        <f t="shared" si="885"/>
        <v>2024</v>
      </c>
      <c r="D3526" s="5" t="s">
        <v>3260</v>
      </c>
      <c r="E3526" s="5" t="str">
        <f>VLOOKUP(F3526,'Set up'!$A$2:$C$70,2,FALSE)</f>
        <v>C00000050</v>
      </c>
      <c r="F3526" s="132" t="s">
        <v>2656</v>
      </c>
      <c r="G3526" s="133" t="s">
        <v>3261</v>
      </c>
      <c r="H3526" s="5">
        <v>1</v>
      </c>
      <c r="I3526" s="5" t="str">
        <f>VLOOKUP(F3526,'Set up'!$A$2:$C$70,3,FALSE)</f>
        <v>Cash</v>
      </c>
      <c r="J3526" s="5">
        <f>VLOOKUP(F3526,'Set up'!$A$2:$D$70,4,FALSE)</f>
        <v>0</v>
      </c>
      <c r="K3526" s="4">
        <f t="shared" si="886"/>
        <v>45649</v>
      </c>
      <c r="L3526" s="5">
        <f t="shared" si="887"/>
        <v>12</v>
      </c>
      <c r="M3526" s="5">
        <f t="shared" si="888"/>
        <v>2024</v>
      </c>
      <c r="N3526" s="12">
        <v>155</v>
      </c>
      <c r="O3526" s="6">
        <f t="shared" si="889"/>
        <v>-155</v>
      </c>
      <c r="P3526" s="12">
        <f t="shared" si="890"/>
        <v>0</v>
      </c>
      <c r="Q3526" s="7">
        <f t="shared" si="891"/>
        <v>5790514.4500000002</v>
      </c>
      <c r="R3526" s="44" t="str">
        <f>VLOOKUP(F3526,'Set up'!$A$2:$E$70,5,FALSE)</f>
        <v>Cash</v>
      </c>
      <c r="S3526" s="1" t="s">
        <v>3318</v>
      </c>
    </row>
    <row r="3527" spans="1:19" ht="16.2" customHeight="1" x14ac:dyDescent="0.3">
      <c r="A3527" s="4" t="s">
        <v>3262</v>
      </c>
      <c r="B3527" s="5">
        <f t="shared" si="884"/>
        <v>12</v>
      </c>
      <c r="C3527" s="5">
        <f t="shared" si="885"/>
        <v>2024</v>
      </c>
      <c r="D3527" s="5" t="s">
        <v>3263</v>
      </c>
      <c r="E3527" s="5" t="str">
        <f>VLOOKUP(F3527,'Set up'!$A$2:$C$70,2,FALSE)</f>
        <v>C00000042</v>
      </c>
      <c r="F3527" s="132" t="s">
        <v>2012</v>
      </c>
      <c r="G3527" s="133" t="s">
        <v>2646</v>
      </c>
      <c r="H3527" s="5">
        <v>5</v>
      </c>
      <c r="I3527" s="5" t="str">
        <f>VLOOKUP(F3527,'Set up'!$A$2:$C$70,3,FALSE)</f>
        <v>Cash</v>
      </c>
      <c r="J3527" s="5">
        <f>VLOOKUP(F3527,'Set up'!$A$2:$D$70,4,FALSE)</f>
        <v>0</v>
      </c>
      <c r="K3527" s="4">
        <f t="shared" si="886"/>
        <v>45650</v>
      </c>
      <c r="L3527" s="5">
        <f t="shared" si="887"/>
        <v>12</v>
      </c>
      <c r="M3527" s="5">
        <f t="shared" si="888"/>
        <v>2024</v>
      </c>
      <c r="N3527" s="12">
        <v>312.5</v>
      </c>
      <c r="O3527" s="6">
        <f t="shared" si="889"/>
        <v>-312.5</v>
      </c>
      <c r="P3527" s="12">
        <f t="shared" si="890"/>
        <v>0</v>
      </c>
      <c r="Q3527" s="7">
        <f t="shared" si="891"/>
        <v>5790826.9500000002</v>
      </c>
      <c r="R3527" s="44" t="str">
        <f>VLOOKUP(F3527,'Set up'!$A$2:$E$70,5,FALSE)</f>
        <v>Trsf</v>
      </c>
      <c r="S3527" s="1" t="s">
        <v>3791</v>
      </c>
    </row>
    <row r="3528" spans="1:19" ht="16.2" customHeight="1" x14ac:dyDescent="0.3">
      <c r="A3528" s="4" t="s">
        <v>3262</v>
      </c>
      <c r="B3528" s="5">
        <f t="shared" si="884"/>
        <v>12</v>
      </c>
      <c r="C3528" s="5">
        <f t="shared" si="885"/>
        <v>2024</v>
      </c>
      <c r="D3528" s="5" t="s">
        <v>3264</v>
      </c>
      <c r="E3528" s="5" t="str">
        <f>VLOOKUP(F3528,'Set up'!$A$2:$C$70,2,FALSE)</f>
        <v>C00000042</v>
      </c>
      <c r="F3528" s="132" t="s">
        <v>2012</v>
      </c>
      <c r="G3528" s="133" t="s">
        <v>3217</v>
      </c>
      <c r="H3528" s="5">
        <v>5</v>
      </c>
      <c r="I3528" s="5" t="str">
        <f>VLOOKUP(F3528,'Set up'!$A$2:$C$70,3,FALSE)</f>
        <v>Cash</v>
      </c>
      <c r="J3528" s="5">
        <f>VLOOKUP(F3528,'Set up'!$A$2:$D$70,4,FALSE)</f>
        <v>0</v>
      </c>
      <c r="K3528" s="4">
        <f t="shared" si="886"/>
        <v>45650</v>
      </c>
      <c r="L3528" s="5">
        <f t="shared" si="887"/>
        <v>12</v>
      </c>
      <c r="M3528" s="5">
        <f t="shared" si="888"/>
        <v>2024</v>
      </c>
      <c r="N3528" s="12">
        <v>8100</v>
      </c>
      <c r="O3528" s="12">
        <f>-5065.1-3034.9</f>
        <v>-8100</v>
      </c>
      <c r="P3528" s="12">
        <f t="shared" si="890"/>
        <v>0</v>
      </c>
      <c r="Q3528" s="7">
        <f t="shared" si="891"/>
        <v>5798926.9500000002</v>
      </c>
      <c r="R3528" s="44" t="str">
        <f>VLOOKUP(F3528,'Set up'!$A$2:$E$70,5,FALSE)</f>
        <v>Trsf</v>
      </c>
      <c r="S3528" s="1" t="s">
        <v>3792</v>
      </c>
    </row>
    <row r="3529" spans="1:19" ht="16.2" customHeight="1" x14ac:dyDescent="0.3">
      <c r="A3529" s="4" t="s">
        <v>3262</v>
      </c>
      <c r="B3529" s="5">
        <f t="shared" si="884"/>
        <v>12</v>
      </c>
      <c r="C3529" s="5">
        <f t="shared" si="885"/>
        <v>2024</v>
      </c>
      <c r="D3529" s="5" t="s">
        <v>3264</v>
      </c>
      <c r="E3529" s="5" t="str">
        <f>VLOOKUP(F3529,'Set up'!$A$2:$C$70,2,FALSE)</f>
        <v>C00000042</v>
      </c>
      <c r="F3529" s="132" t="s">
        <v>2012</v>
      </c>
      <c r="G3529" s="133" t="s">
        <v>3243</v>
      </c>
      <c r="H3529" s="5">
        <v>15</v>
      </c>
      <c r="I3529" s="5" t="str">
        <f>VLOOKUP(F3529,'Set up'!$A$2:$C$70,3,FALSE)</f>
        <v>Cash</v>
      </c>
      <c r="J3529" s="5">
        <f>VLOOKUP(F3529,'Set up'!$A$2:$D$70,4,FALSE)</f>
        <v>0</v>
      </c>
      <c r="K3529" s="4">
        <f t="shared" si="886"/>
        <v>45650</v>
      </c>
      <c r="L3529" s="5">
        <f t="shared" si="887"/>
        <v>12</v>
      </c>
      <c r="M3529" s="5">
        <f t="shared" si="888"/>
        <v>2024</v>
      </c>
      <c r="N3529" s="12">
        <v>2610</v>
      </c>
      <c r="O3529" s="6">
        <f t="shared" ref="O3529:O3531" si="892">-N3529</f>
        <v>-2610</v>
      </c>
      <c r="P3529" s="12">
        <f t="shared" si="890"/>
        <v>0</v>
      </c>
      <c r="Q3529" s="7">
        <f t="shared" si="891"/>
        <v>5801536.9500000002</v>
      </c>
      <c r="R3529" s="44" t="str">
        <f>VLOOKUP(F3529,'Set up'!$A$2:$E$70,5,FALSE)</f>
        <v>Trsf</v>
      </c>
      <c r="S3529" s="1" t="s">
        <v>3795</v>
      </c>
    </row>
    <row r="3530" spans="1:19" ht="16.2" customHeight="1" x14ac:dyDescent="0.3">
      <c r="A3530" s="4" t="s">
        <v>3262</v>
      </c>
      <c r="B3530" s="5">
        <f t="shared" si="884"/>
        <v>12</v>
      </c>
      <c r="C3530" s="5">
        <f t="shared" si="885"/>
        <v>2024</v>
      </c>
      <c r="D3530" s="5" t="s">
        <v>3264</v>
      </c>
      <c r="E3530" s="5" t="str">
        <f>VLOOKUP(F3530,'Set up'!$A$2:$C$70,2,FALSE)</f>
        <v>C00000042</v>
      </c>
      <c r="F3530" s="132" t="s">
        <v>2012</v>
      </c>
      <c r="G3530" s="133" t="s">
        <v>1922</v>
      </c>
      <c r="H3530" s="5">
        <v>7</v>
      </c>
      <c r="I3530" s="5" t="str">
        <f>VLOOKUP(F3530,'Set up'!$A$2:$C$70,3,FALSE)</f>
        <v>Cash</v>
      </c>
      <c r="J3530" s="5">
        <f>VLOOKUP(F3530,'Set up'!$A$2:$D$70,4,FALSE)</f>
        <v>0</v>
      </c>
      <c r="K3530" s="4">
        <f t="shared" si="886"/>
        <v>45650</v>
      </c>
      <c r="L3530" s="5">
        <f t="shared" si="887"/>
        <v>12</v>
      </c>
      <c r="M3530" s="5">
        <f t="shared" si="888"/>
        <v>2024</v>
      </c>
      <c r="N3530" s="12">
        <v>1669.5</v>
      </c>
      <c r="O3530" s="6">
        <f t="shared" si="892"/>
        <v>-1669.5</v>
      </c>
      <c r="P3530" s="12">
        <f t="shared" si="890"/>
        <v>0</v>
      </c>
      <c r="Q3530" s="7">
        <f t="shared" si="891"/>
        <v>5803206.4500000002</v>
      </c>
      <c r="R3530" s="44" t="str">
        <f>VLOOKUP(F3530,'Set up'!$A$2:$E$70,5,FALSE)</f>
        <v>Trsf</v>
      </c>
      <c r="S3530" s="1" t="s">
        <v>3794</v>
      </c>
    </row>
    <row r="3531" spans="1:19" ht="16.2" customHeight="1" x14ac:dyDescent="0.3">
      <c r="A3531" s="4" t="s">
        <v>3262</v>
      </c>
      <c r="B3531" s="5">
        <f t="shared" si="884"/>
        <v>12</v>
      </c>
      <c r="C3531" s="5">
        <f t="shared" si="885"/>
        <v>2024</v>
      </c>
      <c r="D3531" s="5" t="s">
        <v>3264</v>
      </c>
      <c r="E3531" s="5" t="str">
        <f>VLOOKUP(F3531,'Set up'!$A$2:$C$70,2,FALSE)</f>
        <v>C00000042</v>
      </c>
      <c r="F3531" s="132" t="s">
        <v>2012</v>
      </c>
      <c r="G3531" s="133" t="s">
        <v>46</v>
      </c>
      <c r="H3531" s="5">
        <v>4</v>
      </c>
      <c r="I3531" s="5" t="str">
        <f>VLOOKUP(F3531,'Set up'!$A$2:$C$70,3,FALSE)</f>
        <v>Cash</v>
      </c>
      <c r="J3531" s="5">
        <f>VLOOKUP(F3531,'Set up'!$A$2:$D$70,4,FALSE)</f>
        <v>0</v>
      </c>
      <c r="K3531" s="4">
        <f t="shared" si="886"/>
        <v>45650</v>
      </c>
      <c r="L3531" s="5">
        <f t="shared" si="887"/>
        <v>12</v>
      </c>
      <c r="M3531" s="5">
        <f t="shared" si="888"/>
        <v>2024</v>
      </c>
      <c r="N3531" s="12">
        <v>460</v>
      </c>
      <c r="O3531" s="6">
        <f t="shared" si="892"/>
        <v>-460</v>
      </c>
      <c r="P3531" s="12">
        <f t="shared" si="890"/>
        <v>0</v>
      </c>
      <c r="Q3531" s="7">
        <f t="shared" si="891"/>
        <v>5803666.4500000002</v>
      </c>
      <c r="R3531" s="44" t="str">
        <f>VLOOKUP(F3531,'Set up'!$A$2:$E$70,5,FALSE)</f>
        <v>Trsf</v>
      </c>
      <c r="S3531" s="1" t="s">
        <v>3793</v>
      </c>
    </row>
    <row r="3532" spans="1:19" ht="16.2" customHeight="1" x14ac:dyDescent="0.3">
      <c r="A3532" s="4" t="s">
        <v>3262</v>
      </c>
      <c r="B3532" s="5">
        <f t="shared" si="884"/>
        <v>12</v>
      </c>
      <c r="C3532" s="5">
        <f t="shared" si="885"/>
        <v>2024</v>
      </c>
      <c r="D3532" s="5" t="s">
        <v>3264</v>
      </c>
      <c r="E3532" s="5" t="str">
        <f>VLOOKUP(F3532,'Set up'!$A$2:$C$70,2,FALSE)</f>
        <v>C00000042</v>
      </c>
      <c r="F3532" s="132" t="s">
        <v>2012</v>
      </c>
      <c r="G3532" s="133" t="s">
        <v>2744</v>
      </c>
      <c r="H3532" s="5">
        <v>1</v>
      </c>
      <c r="I3532" s="5" t="str">
        <f>VLOOKUP(F3532,'Set up'!$A$2:$C$70,3,FALSE)</f>
        <v>Cash</v>
      </c>
      <c r="J3532" s="5">
        <f>VLOOKUP(F3532,'Set up'!$A$2:$D$70,4,FALSE)</f>
        <v>0</v>
      </c>
      <c r="K3532" s="4">
        <f t="shared" si="886"/>
        <v>45650</v>
      </c>
      <c r="L3532" s="5">
        <f t="shared" si="887"/>
        <v>12</v>
      </c>
      <c r="M3532" s="5">
        <f t="shared" si="888"/>
        <v>2024</v>
      </c>
      <c r="N3532" s="12">
        <v>975</v>
      </c>
      <c r="O3532" s="12">
        <f>-225.6-749.4</f>
        <v>-975</v>
      </c>
      <c r="P3532" s="12">
        <f t="shared" si="890"/>
        <v>0</v>
      </c>
      <c r="Q3532" s="7">
        <f t="shared" si="891"/>
        <v>5804641.4500000002</v>
      </c>
      <c r="R3532" s="44" t="str">
        <f>VLOOKUP(F3532,'Set up'!$A$2:$E$70,5,FALSE)</f>
        <v>Trsf</v>
      </c>
      <c r="S3532" s="1" t="s">
        <v>3796</v>
      </c>
    </row>
    <row r="3533" spans="1:19" ht="16.2" customHeight="1" x14ac:dyDescent="0.3">
      <c r="A3533" s="4" t="s">
        <v>3262</v>
      </c>
      <c r="B3533" s="5">
        <f t="shared" si="884"/>
        <v>12</v>
      </c>
      <c r="C3533" s="5">
        <f t="shared" si="885"/>
        <v>2024</v>
      </c>
      <c r="D3533" s="5" t="s">
        <v>3265</v>
      </c>
      <c r="E3533" s="5" t="str">
        <f>VLOOKUP(F3533,'Set up'!$A$2:$C$70,2,FALSE)</f>
        <v>C00000049</v>
      </c>
      <c r="F3533" s="132" t="s">
        <v>2728</v>
      </c>
      <c r="G3533" s="133" t="s">
        <v>3266</v>
      </c>
      <c r="H3533" s="5">
        <v>1</v>
      </c>
      <c r="I3533" s="5" t="str">
        <f>VLOOKUP(F3533,'Set up'!$A$2:$C$70,3,FALSE)</f>
        <v>Cash</v>
      </c>
      <c r="J3533" s="5">
        <f>VLOOKUP(F3533,'Set up'!$A$2:$D$70,4,FALSE)</f>
        <v>0</v>
      </c>
      <c r="K3533" s="4">
        <f t="shared" si="886"/>
        <v>45650</v>
      </c>
      <c r="L3533" s="5">
        <f t="shared" si="887"/>
        <v>12</v>
      </c>
      <c r="M3533" s="5">
        <f t="shared" si="888"/>
        <v>2024</v>
      </c>
      <c r="N3533" s="12">
        <v>40</v>
      </c>
      <c r="O3533" s="12"/>
      <c r="P3533" s="12">
        <v>40</v>
      </c>
      <c r="Q3533" s="7">
        <f t="shared" si="891"/>
        <v>5804681.4500000002</v>
      </c>
      <c r="R3533" s="44" t="str">
        <f>VLOOKUP(F3533,'Set up'!$A$2:$E$70,5,FALSE)</f>
        <v>Cash</v>
      </c>
    </row>
    <row r="3534" spans="1:19" ht="16.2" customHeight="1" x14ac:dyDescent="0.3">
      <c r="A3534" s="4" t="s">
        <v>3262</v>
      </c>
      <c r="B3534" s="5">
        <f t="shared" si="884"/>
        <v>12</v>
      </c>
      <c r="C3534" s="5">
        <f t="shared" si="885"/>
        <v>2024</v>
      </c>
      <c r="D3534" s="5" t="s">
        <v>3267</v>
      </c>
      <c r="E3534" s="5" t="str">
        <f>VLOOKUP(F3534,'Set up'!$A$2:$C$70,2,FALSE)</f>
        <v>C00000058</v>
      </c>
      <c r="F3534" s="132" t="s">
        <v>3268</v>
      </c>
      <c r="G3534" s="133" t="s">
        <v>3269</v>
      </c>
      <c r="H3534" s="5">
        <v>6</v>
      </c>
      <c r="I3534" s="5" t="str">
        <f>VLOOKUP(F3534,'Set up'!$A$2:$C$70,3,FALSE)</f>
        <v>Cash</v>
      </c>
      <c r="J3534" s="5">
        <f>VLOOKUP(F3534,'Set up'!$A$2:$D$70,4,FALSE)</f>
        <v>0</v>
      </c>
      <c r="K3534" s="4">
        <f t="shared" si="886"/>
        <v>45650</v>
      </c>
      <c r="L3534" s="5">
        <f t="shared" si="887"/>
        <v>12</v>
      </c>
      <c r="M3534" s="5">
        <f t="shared" si="888"/>
        <v>2024</v>
      </c>
      <c r="N3534" s="12">
        <v>2775</v>
      </c>
      <c r="O3534" s="6">
        <f t="shared" ref="O3534:O3542" si="893">-N3534</f>
        <v>-2775</v>
      </c>
      <c r="P3534" s="12">
        <f t="shared" ref="P3534:P3538" si="894">SUM(N3534+O3534)</f>
        <v>0</v>
      </c>
      <c r="Q3534" s="7">
        <f t="shared" si="891"/>
        <v>5807456.4500000002</v>
      </c>
      <c r="R3534" s="44" t="str">
        <f>VLOOKUP(F3534,'Set up'!$A$2:$E$70,5,FALSE)</f>
        <v>Cash</v>
      </c>
      <c r="S3534" s="1" t="s">
        <v>3325</v>
      </c>
    </row>
    <row r="3535" spans="1:19" ht="16.2" customHeight="1" x14ac:dyDescent="0.3">
      <c r="A3535" s="4" t="s">
        <v>3262</v>
      </c>
      <c r="B3535" s="5">
        <f t="shared" si="884"/>
        <v>12</v>
      </c>
      <c r="C3535" s="5">
        <f t="shared" si="885"/>
        <v>2024</v>
      </c>
      <c r="D3535" s="5" t="s">
        <v>3267</v>
      </c>
      <c r="E3535" s="5" t="str">
        <f>VLOOKUP(F3535,'Set up'!$A$2:$C$70,2,FALSE)</f>
        <v>C00000058</v>
      </c>
      <c r="F3535" s="132" t="s">
        <v>3268</v>
      </c>
      <c r="G3535" s="133" t="s">
        <v>46</v>
      </c>
      <c r="H3535" s="5">
        <v>1</v>
      </c>
      <c r="I3535" s="5" t="str">
        <f>VLOOKUP(F3535,'Set up'!$A$2:$C$70,3,FALSE)</f>
        <v>Cash</v>
      </c>
      <c r="J3535" s="5">
        <f>VLOOKUP(F3535,'Set up'!$A$2:$D$70,4,FALSE)</f>
        <v>0</v>
      </c>
      <c r="K3535" s="4">
        <f t="shared" si="886"/>
        <v>45650</v>
      </c>
      <c r="L3535" s="5">
        <f t="shared" si="887"/>
        <v>12</v>
      </c>
      <c r="M3535" s="5">
        <f t="shared" si="888"/>
        <v>2024</v>
      </c>
      <c r="N3535" s="12">
        <v>115</v>
      </c>
      <c r="O3535" s="6">
        <f t="shared" si="893"/>
        <v>-115</v>
      </c>
      <c r="P3535" s="12">
        <f t="shared" si="894"/>
        <v>0</v>
      </c>
      <c r="Q3535" s="7">
        <f t="shared" si="891"/>
        <v>5807571.4500000002</v>
      </c>
      <c r="R3535" s="44" t="str">
        <f>VLOOKUP(F3535,'Set up'!$A$2:$E$70,5,FALSE)</f>
        <v>Cash</v>
      </c>
      <c r="S3535" s="1" t="s">
        <v>3325</v>
      </c>
    </row>
    <row r="3536" spans="1:19" ht="16.2" customHeight="1" x14ac:dyDescent="0.3">
      <c r="A3536" s="4" t="s">
        <v>3262</v>
      </c>
      <c r="B3536" s="5">
        <f t="shared" si="884"/>
        <v>12</v>
      </c>
      <c r="C3536" s="5">
        <f t="shared" si="885"/>
        <v>2024</v>
      </c>
      <c r="D3536" s="5" t="s">
        <v>3267</v>
      </c>
      <c r="E3536" s="5" t="str">
        <f>VLOOKUP(F3536,'Set up'!$A$2:$C$70,2,FALSE)</f>
        <v>C00000058</v>
      </c>
      <c r="F3536" s="132" t="s">
        <v>3268</v>
      </c>
      <c r="G3536" s="133" t="s">
        <v>3231</v>
      </c>
      <c r="H3536" s="5">
        <v>1</v>
      </c>
      <c r="I3536" s="5" t="str">
        <f>VLOOKUP(F3536,'Set up'!$A$2:$C$70,3,FALSE)</f>
        <v>Cash</v>
      </c>
      <c r="J3536" s="5">
        <f>VLOOKUP(F3536,'Set up'!$A$2:$D$70,4,FALSE)</f>
        <v>0</v>
      </c>
      <c r="K3536" s="4">
        <f t="shared" si="886"/>
        <v>45650</v>
      </c>
      <c r="L3536" s="5">
        <f t="shared" si="887"/>
        <v>12</v>
      </c>
      <c r="M3536" s="5">
        <f t="shared" si="888"/>
        <v>2024</v>
      </c>
      <c r="N3536" s="12">
        <v>320</v>
      </c>
      <c r="O3536" s="6">
        <f t="shared" si="893"/>
        <v>-320</v>
      </c>
      <c r="P3536" s="12">
        <f t="shared" si="894"/>
        <v>0</v>
      </c>
      <c r="Q3536" s="7">
        <f t="shared" si="891"/>
        <v>5807891.4500000002</v>
      </c>
      <c r="R3536" s="44" t="str">
        <f>VLOOKUP(F3536,'Set up'!$A$2:$E$70,5,FALSE)</f>
        <v>Cash</v>
      </c>
      <c r="S3536" s="1" t="s">
        <v>3325</v>
      </c>
    </row>
    <row r="3537" spans="1:21" ht="16.2" customHeight="1" x14ac:dyDescent="0.3">
      <c r="A3537" s="4" t="s">
        <v>3262</v>
      </c>
      <c r="B3537" s="5">
        <f t="shared" si="884"/>
        <v>12</v>
      </c>
      <c r="C3537" s="5">
        <f t="shared" si="885"/>
        <v>2024</v>
      </c>
      <c r="D3537" s="5" t="s">
        <v>3267</v>
      </c>
      <c r="E3537" s="5" t="str">
        <f>VLOOKUP(F3537,'Set up'!$A$2:$C$70,2,FALSE)</f>
        <v>C00000058</v>
      </c>
      <c r="F3537" s="132" t="s">
        <v>3268</v>
      </c>
      <c r="G3537" s="133" t="s">
        <v>2646</v>
      </c>
      <c r="H3537" s="5">
        <v>1</v>
      </c>
      <c r="I3537" s="5" t="str">
        <f>VLOOKUP(F3537,'Set up'!$A$2:$C$70,3,FALSE)</f>
        <v>Cash</v>
      </c>
      <c r="J3537" s="5">
        <f>VLOOKUP(F3537,'Set up'!$A$2:$D$70,4,FALSE)</f>
        <v>0</v>
      </c>
      <c r="K3537" s="4">
        <f t="shared" si="886"/>
        <v>45650</v>
      </c>
      <c r="L3537" s="5">
        <f t="shared" si="887"/>
        <v>12</v>
      </c>
      <c r="M3537" s="5">
        <f t="shared" si="888"/>
        <v>2024</v>
      </c>
      <c r="N3537" s="12">
        <v>65</v>
      </c>
      <c r="O3537" s="6">
        <f t="shared" si="893"/>
        <v>-65</v>
      </c>
      <c r="P3537" s="12">
        <f t="shared" si="894"/>
        <v>0</v>
      </c>
      <c r="Q3537" s="7">
        <f t="shared" si="891"/>
        <v>5807956.4500000002</v>
      </c>
      <c r="R3537" s="44" t="str">
        <f>VLOOKUP(F3537,'Set up'!$A$2:$E$70,5,FALSE)</f>
        <v>Cash</v>
      </c>
      <c r="S3537" s="1" t="s">
        <v>3325</v>
      </c>
    </row>
    <row r="3538" spans="1:21" ht="16.2" customHeight="1" x14ac:dyDescent="0.3">
      <c r="A3538" s="4" t="s">
        <v>3262</v>
      </c>
      <c r="B3538" s="5">
        <f t="shared" si="884"/>
        <v>12</v>
      </c>
      <c r="C3538" s="5">
        <f t="shared" si="885"/>
        <v>2024</v>
      </c>
      <c r="D3538" s="5" t="s">
        <v>3267</v>
      </c>
      <c r="E3538" s="5" t="str">
        <f>VLOOKUP(F3538,'Set up'!$A$2:$C$70,2,FALSE)</f>
        <v>C00000058</v>
      </c>
      <c r="F3538" s="132" t="s">
        <v>3268</v>
      </c>
      <c r="G3538" s="133" t="s">
        <v>3270</v>
      </c>
      <c r="H3538" s="5">
        <v>1</v>
      </c>
      <c r="I3538" s="5" t="str">
        <f>VLOOKUP(F3538,'Set up'!$A$2:$C$70,3,FALSE)</f>
        <v>Cash</v>
      </c>
      <c r="J3538" s="5">
        <f>VLOOKUP(F3538,'Set up'!$A$2:$D$70,4,FALSE)</f>
        <v>0</v>
      </c>
      <c r="K3538" s="4">
        <f t="shared" si="886"/>
        <v>45650</v>
      </c>
      <c r="L3538" s="5">
        <f t="shared" si="887"/>
        <v>12</v>
      </c>
      <c r="M3538" s="5">
        <f t="shared" si="888"/>
        <v>2024</v>
      </c>
      <c r="N3538" s="12">
        <v>160</v>
      </c>
      <c r="O3538" s="6">
        <f t="shared" si="893"/>
        <v>-160</v>
      </c>
      <c r="P3538" s="12">
        <f t="shared" si="894"/>
        <v>0</v>
      </c>
      <c r="Q3538" s="7">
        <f t="shared" si="891"/>
        <v>5808116.4500000002</v>
      </c>
      <c r="R3538" s="44" t="str">
        <f>VLOOKUP(F3538,'Set up'!$A$2:$E$70,5,FALSE)</f>
        <v>Cash</v>
      </c>
      <c r="S3538" s="1" t="s">
        <v>3325</v>
      </c>
    </row>
    <row r="3539" spans="1:21" ht="16.2" customHeight="1" x14ac:dyDescent="0.3">
      <c r="A3539" s="4" t="s">
        <v>3271</v>
      </c>
      <c r="B3539" s="5">
        <f t="shared" si="884"/>
        <v>12</v>
      </c>
      <c r="C3539" s="5">
        <f t="shared" si="885"/>
        <v>2024</v>
      </c>
      <c r="D3539" s="5" t="s">
        <v>3272</v>
      </c>
      <c r="E3539" s="5" t="str">
        <f>VLOOKUP(F3539,'Set up'!$A$2:$C$70,2,FALSE)</f>
        <v>C00000044</v>
      </c>
      <c r="F3539" s="132" t="s">
        <v>2929</v>
      </c>
      <c r="G3539" s="133" t="s">
        <v>2570</v>
      </c>
      <c r="H3539" s="5">
        <v>2</v>
      </c>
      <c r="I3539" s="5" t="str">
        <f>VLOOKUP(F3539,'Set up'!$A$2:$C$70,3,FALSE)</f>
        <v>Cash</v>
      </c>
      <c r="J3539" s="5">
        <f>VLOOKUP(F3539,'Set up'!$A$2:$D$70,4,FALSE)</f>
        <v>0</v>
      </c>
      <c r="K3539" s="4">
        <f t="shared" si="886"/>
        <v>45653</v>
      </c>
      <c r="L3539" s="5">
        <f t="shared" si="887"/>
        <v>12</v>
      </c>
      <c r="M3539" s="5">
        <f t="shared" si="888"/>
        <v>2024</v>
      </c>
      <c r="N3539" s="12">
        <v>432</v>
      </c>
      <c r="O3539" s="6">
        <f t="shared" si="893"/>
        <v>-432</v>
      </c>
      <c r="P3539" s="12">
        <f t="shared" ref="P3539:P3545" si="895">SUM(N3539+O3539)</f>
        <v>0</v>
      </c>
      <c r="Q3539" s="7">
        <f t="shared" si="891"/>
        <v>5808548.4500000002</v>
      </c>
      <c r="R3539" s="44" t="str">
        <f>VLOOKUP(F3539,'Set up'!$A$2:$E$70,5,FALSE)</f>
        <v>Cash</v>
      </c>
      <c r="S3539" s="1" t="s">
        <v>3323</v>
      </c>
    </row>
    <row r="3540" spans="1:21" ht="16.2" customHeight="1" x14ac:dyDescent="0.3">
      <c r="A3540" s="4" t="s">
        <v>3271</v>
      </c>
      <c r="B3540" s="5">
        <f t="shared" si="884"/>
        <v>12</v>
      </c>
      <c r="C3540" s="5">
        <f t="shared" si="885"/>
        <v>2024</v>
      </c>
      <c r="D3540" s="5" t="s">
        <v>3272</v>
      </c>
      <c r="E3540" s="5" t="str">
        <f>VLOOKUP(F3540,'Set up'!$A$2:$C$70,2,FALSE)</f>
        <v>C00000044</v>
      </c>
      <c r="F3540" s="132" t="s">
        <v>2929</v>
      </c>
      <c r="G3540" s="133" t="s">
        <v>46</v>
      </c>
      <c r="H3540" s="5">
        <v>1</v>
      </c>
      <c r="I3540" s="5" t="str">
        <f>VLOOKUP(F3540,'Set up'!$A$2:$C$70,3,FALSE)</f>
        <v>Cash</v>
      </c>
      <c r="J3540" s="5">
        <f>VLOOKUP(F3540,'Set up'!$A$2:$D$70,4,FALSE)</f>
        <v>0</v>
      </c>
      <c r="K3540" s="4">
        <f t="shared" si="886"/>
        <v>45653</v>
      </c>
      <c r="L3540" s="5">
        <f t="shared" si="887"/>
        <v>12</v>
      </c>
      <c r="M3540" s="5">
        <f t="shared" si="888"/>
        <v>2024</v>
      </c>
      <c r="N3540" s="12">
        <v>110</v>
      </c>
      <c r="O3540" s="6">
        <f t="shared" si="893"/>
        <v>-110</v>
      </c>
      <c r="P3540" s="12">
        <f t="shared" si="895"/>
        <v>0</v>
      </c>
      <c r="Q3540" s="7">
        <f t="shared" si="891"/>
        <v>5808658.4500000002</v>
      </c>
      <c r="R3540" s="44" t="str">
        <f>VLOOKUP(F3540,'Set up'!$A$2:$E$70,5,FALSE)</f>
        <v>Cash</v>
      </c>
      <c r="S3540" s="1" t="s">
        <v>3323</v>
      </c>
    </row>
    <row r="3541" spans="1:21" ht="16.2" customHeight="1" x14ac:dyDescent="0.3">
      <c r="A3541" s="4" t="s">
        <v>3271</v>
      </c>
      <c r="B3541" s="5">
        <f t="shared" si="884"/>
        <v>12</v>
      </c>
      <c r="C3541" s="5">
        <f t="shared" si="885"/>
        <v>2024</v>
      </c>
      <c r="D3541" s="5" t="s">
        <v>3272</v>
      </c>
      <c r="E3541" s="5" t="str">
        <f>VLOOKUP(F3541,'Set up'!$A$2:$C$70,2,FALSE)</f>
        <v>C00000044</v>
      </c>
      <c r="F3541" s="132" t="s">
        <v>2929</v>
      </c>
      <c r="G3541" s="133" t="s">
        <v>3122</v>
      </c>
      <c r="H3541" s="5">
        <v>1</v>
      </c>
      <c r="I3541" s="5" t="str">
        <f>VLOOKUP(F3541,'Set up'!$A$2:$C$70,3,FALSE)</f>
        <v>Cash</v>
      </c>
      <c r="J3541" s="5">
        <f>VLOOKUP(F3541,'Set up'!$A$2:$D$70,4,FALSE)</f>
        <v>0</v>
      </c>
      <c r="K3541" s="4">
        <f t="shared" si="886"/>
        <v>45653</v>
      </c>
      <c r="L3541" s="5">
        <f t="shared" si="887"/>
        <v>12</v>
      </c>
      <c r="M3541" s="5">
        <f t="shared" si="888"/>
        <v>2024</v>
      </c>
      <c r="N3541" s="12">
        <v>1732.5</v>
      </c>
      <c r="O3541" s="6">
        <f t="shared" si="893"/>
        <v>-1732.5</v>
      </c>
      <c r="P3541" s="12">
        <f t="shared" si="895"/>
        <v>0</v>
      </c>
      <c r="Q3541" s="7">
        <f t="shared" si="891"/>
        <v>5810390.9500000002</v>
      </c>
      <c r="R3541" s="44" t="str">
        <f>VLOOKUP(F3541,'Set up'!$A$2:$E$70,5,FALSE)</f>
        <v>Cash</v>
      </c>
      <c r="S3541" s="1" t="s">
        <v>3323</v>
      </c>
    </row>
    <row r="3542" spans="1:21" ht="16.2" customHeight="1" x14ac:dyDescent="0.3">
      <c r="A3542" s="4" t="s">
        <v>3271</v>
      </c>
      <c r="B3542" s="5">
        <f t="shared" si="884"/>
        <v>12</v>
      </c>
      <c r="C3542" s="5">
        <f t="shared" si="885"/>
        <v>2024</v>
      </c>
      <c r="D3542" s="5" t="s">
        <v>3272</v>
      </c>
      <c r="E3542" s="5" t="str">
        <f>VLOOKUP(F3542,'Set up'!$A$2:$C$70,2,FALSE)</f>
        <v>C00000044</v>
      </c>
      <c r="F3542" s="132" t="s">
        <v>2929</v>
      </c>
      <c r="G3542" s="133" t="s">
        <v>2646</v>
      </c>
      <c r="H3542" s="5">
        <v>1</v>
      </c>
      <c r="I3542" s="5" t="str">
        <f>VLOOKUP(F3542,'Set up'!$A$2:$C$70,3,FALSE)</f>
        <v>Cash</v>
      </c>
      <c r="J3542" s="5">
        <f>VLOOKUP(F3542,'Set up'!$A$2:$D$70,4,FALSE)</f>
        <v>0</v>
      </c>
      <c r="K3542" s="4">
        <f t="shared" si="886"/>
        <v>45653</v>
      </c>
      <c r="L3542" s="5">
        <f t="shared" si="887"/>
        <v>12</v>
      </c>
      <c r="M3542" s="5">
        <f t="shared" si="888"/>
        <v>2024</v>
      </c>
      <c r="N3542" s="12">
        <v>62.5</v>
      </c>
      <c r="O3542" s="6">
        <f t="shared" si="893"/>
        <v>-62.5</v>
      </c>
      <c r="P3542" s="12">
        <f t="shared" si="895"/>
        <v>0</v>
      </c>
      <c r="Q3542" s="7">
        <f t="shared" si="891"/>
        <v>5810453.4500000002</v>
      </c>
      <c r="R3542" s="44" t="str">
        <f>VLOOKUP(F3542,'Set up'!$A$2:$E$70,5,FALSE)</f>
        <v>Cash</v>
      </c>
      <c r="S3542" s="1" t="s">
        <v>3323</v>
      </c>
    </row>
    <row r="3543" spans="1:21" ht="16.2" customHeight="1" x14ac:dyDescent="0.3">
      <c r="A3543" s="4" t="s">
        <v>3271</v>
      </c>
      <c r="B3543" s="5">
        <f t="shared" si="884"/>
        <v>12</v>
      </c>
      <c r="C3543" s="5">
        <f t="shared" si="885"/>
        <v>2024</v>
      </c>
      <c r="D3543" s="5" t="s">
        <v>3273</v>
      </c>
      <c r="E3543" s="5" t="str">
        <f>VLOOKUP(F3543,'Set up'!$A$2:$C$70,2,FALSE)</f>
        <v>C00000042</v>
      </c>
      <c r="F3543" s="132" t="s">
        <v>2012</v>
      </c>
      <c r="G3543" s="133" t="s">
        <v>3217</v>
      </c>
      <c r="H3543" s="5">
        <v>6</v>
      </c>
      <c r="I3543" s="5" t="str">
        <f>VLOOKUP(F3543,'Set up'!$A$2:$C$70,3,FALSE)</f>
        <v>Cash</v>
      </c>
      <c r="J3543" s="5">
        <f>VLOOKUP(F3543,'Set up'!$A$2:$D$70,4,FALSE)</f>
        <v>0</v>
      </c>
      <c r="K3543" s="4">
        <f t="shared" si="886"/>
        <v>45653</v>
      </c>
      <c r="L3543" s="5">
        <f t="shared" si="887"/>
        <v>12</v>
      </c>
      <c r="M3543" s="5">
        <f t="shared" si="888"/>
        <v>2024</v>
      </c>
      <c r="N3543" s="12">
        <v>9720</v>
      </c>
      <c r="O3543" s="12">
        <f>-3750.6-5969.4</f>
        <v>-9720</v>
      </c>
      <c r="P3543" s="12">
        <f t="shared" si="895"/>
        <v>0</v>
      </c>
      <c r="Q3543" s="7">
        <f t="shared" si="891"/>
        <v>5820173.4500000002</v>
      </c>
      <c r="R3543" s="44" t="str">
        <f>VLOOKUP(F3543,'Set up'!$A$2:$E$70,5,FALSE)</f>
        <v>Trsf</v>
      </c>
      <c r="S3543" s="1" t="s">
        <v>3797</v>
      </c>
    </row>
    <row r="3544" spans="1:21" ht="16.2" customHeight="1" x14ac:dyDescent="0.3">
      <c r="A3544" s="4" t="s">
        <v>3271</v>
      </c>
      <c r="B3544" s="5">
        <f t="shared" si="884"/>
        <v>12</v>
      </c>
      <c r="C3544" s="5">
        <f t="shared" si="885"/>
        <v>2024</v>
      </c>
      <c r="D3544" s="5" t="s">
        <v>3273</v>
      </c>
      <c r="E3544" s="5" t="str">
        <f>VLOOKUP(F3544,'Set up'!$A$2:$C$70,2,FALSE)</f>
        <v>C00000042</v>
      </c>
      <c r="F3544" s="132" t="s">
        <v>2012</v>
      </c>
      <c r="G3544" s="133" t="s">
        <v>3243</v>
      </c>
      <c r="H3544" s="5">
        <v>15</v>
      </c>
      <c r="I3544" s="5" t="str">
        <f>VLOOKUP(F3544,'Set up'!$A$2:$C$70,3,FALSE)</f>
        <v>Cash</v>
      </c>
      <c r="J3544" s="5">
        <f>VLOOKUP(F3544,'Set up'!$A$2:$D$70,4,FALSE)</f>
        <v>0</v>
      </c>
      <c r="K3544" s="4">
        <f t="shared" si="886"/>
        <v>45653</v>
      </c>
      <c r="L3544" s="5">
        <f t="shared" si="887"/>
        <v>12</v>
      </c>
      <c r="M3544" s="5">
        <f t="shared" si="888"/>
        <v>2024</v>
      </c>
      <c r="N3544" s="12">
        <v>2610</v>
      </c>
      <c r="O3544" s="6">
        <f t="shared" ref="O3544:O3545" si="896">-N3544</f>
        <v>-2610</v>
      </c>
      <c r="P3544" s="12">
        <f t="shared" si="895"/>
        <v>0</v>
      </c>
      <c r="Q3544" s="7">
        <f t="shared" si="891"/>
        <v>5822783.4500000002</v>
      </c>
      <c r="R3544" s="44" t="str">
        <f>VLOOKUP(F3544,'Set up'!$A$2:$E$70,5,FALSE)</f>
        <v>Trsf</v>
      </c>
      <c r="S3544" s="1" t="s">
        <v>3798</v>
      </c>
    </row>
    <row r="3545" spans="1:21" ht="16.2" customHeight="1" x14ac:dyDescent="0.3">
      <c r="A3545" s="4" t="s">
        <v>3271</v>
      </c>
      <c r="B3545" s="5">
        <f t="shared" si="884"/>
        <v>12</v>
      </c>
      <c r="C3545" s="5">
        <f t="shared" si="885"/>
        <v>2024</v>
      </c>
      <c r="D3545" s="5" t="s">
        <v>3273</v>
      </c>
      <c r="E3545" s="5" t="str">
        <f>VLOOKUP(F3545,'Set up'!$A$2:$C$70,2,FALSE)</f>
        <v>C00000042</v>
      </c>
      <c r="F3545" s="132" t="s">
        <v>2012</v>
      </c>
      <c r="G3545" s="133" t="s">
        <v>1922</v>
      </c>
      <c r="H3545" s="5">
        <v>7</v>
      </c>
      <c r="I3545" s="5" t="str">
        <f>VLOOKUP(F3545,'Set up'!$A$2:$C$70,3,FALSE)</f>
        <v>Cash</v>
      </c>
      <c r="J3545" s="5">
        <f>VLOOKUP(F3545,'Set up'!$A$2:$D$70,4,FALSE)</f>
        <v>0</v>
      </c>
      <c r="K3545" s="4">
        <f t="shared" si="886"/>
        <v>45653</v>
      </c>
      <c r="L3545" s="5">
        <f t="shared" si="887"/>
        <v>12</v>
      </c>
      <c r="M3545" s="5">
        <f t="shared" si="888"/>
        <v>2024</v>
      </c>
      <c r="N3545" s="12">
        <v>1669.5</v>
      </c>
      <c r="O3545" s="6">
        <f t="shared" si="896"/>
        <v>-1669.5</v>
      </c>
      <c r="P3545" s="12">
        <f t="shared" si="895"/>
        <v>0</v>
      </c>
      <c r="Q3545" s="7">
        <f t="shared" si="891"/>
        <v>5824452.9500000002</v>
      </c>
      <c r="R3545" s="44" t="str">
        <f>VLOOKUP(F3545,'Set up'!$A$2:$E$70,5,FALSE)</f>
        <v>Trsf</v>
      </c>
      <c r="S3545" s="1" t="s">
        <v>3808</v>
      </c>
    </row>
    <row r="3546" spans="1:21" ht="16.2" customHeight="1" x14ac:dyDescent="0.3">
      <c r="A3546" s="4" t="s">
        <v>3274</v>
      </c>
      <c r="B3546" s="5">
        <f t="shared" si="884"/>
        <v>12</v>
      </c>
      <c r="C3546" s="5">
        <f t="shared" si="885"/>
        <v>2024</v>
      </c>
      <c r="D3546" s="5" t="s">
        <v>3275</v>
      </c>
      <c r="E3546" s="5" t="str">
        <f>VLOOKUP(F3546,'Set up'!$A$2:$C$70,2,FALSE)</f>
        <v>C00000050</v>
      </c>
      <c r="F3546" s="132" t="s">
        <v>2656</v>
      </c>
      <c r="G3546" s="133" t="s">
        <v>3122</v>
      </c>
      <c r="H3546" s="5">
        <v>1</v>
      </c>
      <c r="I3546" s="5" t="str">
        <f>VLOOKUP(F3546,'Set up'!$A$2:$C$70,3,FALSE)</f>
        <v>Cash</v>
      </c>
      <c r="J3546" s="5">
        <f>VLOOKUP(F3546,'Set up'!$A$2:$D$70,4,FALSE)</f>
        <v>0</v>
      </c>
      <c r="K3546" s="4">
        <f t="shared" si="886"/>
        <v>45654</v>
      </c>
      <c r="L3546" s="5">
        <f t="shared" si="887"/>
        <v>12</v>
      </c>
      <c r="M3546" s="5">
        <f t="shared" si="888"/>
        <v>2024</v>
      </c>
      <c r="N3546" s="12">
        <v>1755</v>
      </c>
      <c r="O3546" s="6">
        <f t="shared" ref="O3546:O3549" si="897">-N3546</f>
        <v>-1755</v>
      </c>
      <c r="P3546" s="12">
        <f t="shared" ref="P3546:P3553" si="898">SUM(N3546+O3546)</f>
        <v>0</v>
      </c>
      <c r="Q3546" s="7">
        <f t="shared" si="891"/>
        <v>5826207.9500000002</v>
      </c>
      <c r="R3546" s="44" t="str">
        <f>VLOOKUP(F3546,'Set up'!$A$2:$E$70,5,FALSE)</f>
        <v>Cash</v>
      </c>
      <c r="S3546" s="1" t="s">
        <v>3423</v>
      </c>
    </row>
    <row r="3547" spans="1:21" ht="16.2" customHeight="1" x14ac:dyDescent="0.3">
      <c r="A3547" s="4" t="s">
        <v>3274</v>
      </c>
      <c r="B3547" s="5">
        <f t="shared" si="884"/>
        <v>12</v>
      </c>
      <c r="C3547" s="5">
        <f t="shared" si="885"/>
        <v>2024</v>
      </c>
      <c r="D3547" s="5" t="s">
        <v>3275</v>
      </c>
      <c r="E3547" s="5" t="str">
        <f>VLOOKUP(F3547,'Set up'!$A$2:$C$70,2,FALSE)</f>
        <v>C00000050</v>
      </c>
      <c r="F3547" s="132" t="s">
        <v>2656</v>
      </c>
      <c r="G3547" s="133" t="s">
        <v>2129</v>
      </c>
      <c r="H3547" s="5">
        <v>2</v>
      </c>
      <c r="I3547" s="5" t="str">
        <f>VLOOKUP(F3547,'Set up'!$A$2:$C$70,3,FALSE)</f>
        <v>Cash</v>
      </c>
      <c r="J3547" s="5">
        <f>VLOOKUP(F3547,'Set up'!$A$2:$D$70,4,FALSE)</f>
        <v>0</v>
      </c>
      <c r="K3547" s="4">
        <f t="shared" si="886"/>
        <v>45654</v>
      </c>
      <c r="L3547" s="5">
        <f t="shared" si="887"/>
        <v>12</v>
      </c>
      <c r="M3547" s="5">
        <f t="shared" si="888"/>
        <v>2024</v>
      </c>
      <c r="N3547" s="12">
        <v>555</v>
      </c>
      <c r="O3547" s="6">
        <f t="shared" si="897"/>
        <v>-555</v>
      </c>
      <c r="P3547" s="12">
        <f t="shared" si="898"/>
        <v>0</v>
      </c>
      <c r="Q3547" s="7">
        <f t="shared" si="891"/>
        <v>5826762.9500000002</v>
      </c>
      <c r="R3547" s="44" t="str">
        <f>VLOOKUP(F3547,'Set up'!$A$2:$E$70,5,FALSE)</f>
        <v>Cash</v>
      </c>
      <c r="S3547" s="1" t="s">
        <v>3423</v>
      </c>
    </row>
    <row r="3548" spans="1:21" ht="16.2" customHeight="1" x14ac:dyDescent="0.3">
      <c r="A3548" s="4" t="s">
        <v>3274</v>
      </c>
      <c r="B3548" s="5">
        <f t="shared" si="884"/>
        <v>12</v>
      </c>
      <c r="C3548" s="5">
        <f t="shared" si="885"/>
        <v>2024</v>
      </c>
      <c r="D3548" s="5" t="s">
        <v>3275</v>
      </c>
      <c r="E3548" s="5" t="str">
        <f>VLOOKUP(F3548,'Set up'!$A$2:$C$70,2,FALSE)</f>
        <v>C00000050</v>
      </c>
      <c r="F3548" s="132" t="s">
        <v>2656</v>
      </c>
      <c r="G3548" s="133" t="s">
        <v>1061</v>
      </c>
      <c r="H3548" s="5">
        <v>1</v>
      </c>
      <c r="I3548" s="5" t="str">
        <f>VLOOKUP(F3548,'Set up'!$A$2:$C$70,3,FALSE)</f>
        <v>Cash</v>
      </c>
      <c r="J3548" s="5">
        <f>VLOOKUP(F3548,'Set up'!$A$2:$D$70,4,FALSE)</f>
        <v>0</v>
      </c>
      <c r="K3548" s="4">
        <f t="shared" si="886"/>
        <v>45654</v>
      </c>
      <c r="L3548" s="5">
        <f t="shared" si="887"/>
        <v>12</v>
      </c>
      <c r="M3548" s="5">
        <f t="shared" si="888"/>
        <v>2024</v>
      </c>
      <c r="N3548" s="12">
        <v>95</v>
      </c>
      <c r="O3548" s="6">
        <f t="shared" si="897"/>
        <v>-95</v>
      </c>
      <c r="P3548" s="12">
        <f t="shared" si="898"/>
        <v>0</v>
      </c>
      <c r="Q3548" s="7">
        <f t="shared" si="891"/>
        <v>5826857.9500000002</v>
      </c>
      <c r="R3548" s="44" t="str">
        <f>VLOOKUP(F3548,'Set up'!$A$2:$E$70,5,FALSE)</f>
        <v>Cash</v>
      </c>
      <c r="S3548" s="1" t="s">
        <v>3423</v>
      </c>
    </row>
    <row r="3549" spans="1:21" ht="16.2" customHeight="1" x14ac:dyDescent="0.3">
      <c r="A3549" s="4" t="s">
        <v>3274</v>
      </c>
      <c r="B3549" s="5">
        <f t="shared" si="884"/>
        <v>12</v>
      </c>
      <c r="C3549" s="5">
        <f t="shared" si="885"/>
        <v>2024</v>
      </c>
      <c r="D3549" s="5" t="s">
        <v>3275</v>
      </c>
      <c r="E3549" s="5" t="str">
        <f>VLOOKUP(F3549,'Set up'!$A$2:$C$70,2,FALSE)</f>
        <v>C00000050</v>
      </c>
      <c r="F3549" s="132" t="s">
        <v>2656</v>
      </c>
      <c r="G3549" s="133" t="s">
        <v>2646</v>
      </c>
      <c r="H3549" s="5">
        <v>5</v>
      </c>
      <c r="I3549" s="5" t="str">
        <f>VLOOKUP(F3549,'Set up'!$A$2:$C$70,3,FALSE)</f>
        <v>Cash</v>
      </c>
      <c r="J3549" s="5">
        <f>VLOOKUP(F3549,'Set up'!$A$2:$D$70,4,FALSE)</f>
        <v>0</v>
      </c>
      <c r="K3549" s="4">
        <f t="shared" si="886"/>
        <v>45654</v>
      </c>
      <c r="L3549" s="5">
        <f t="shared" si="887"/>
        <v>12</v>
      </c>
      <c r="M3549" s="5">
        <f t="shared" si="888"/>
        <v>2024</v>
      </c>
      <c r="N3549" s="12">
        <v>312.5</v>
      </c>
      <c r="O3549" s="6">
        <f t="shared" si="897"/>
        <v>-312.5</v>
      </c>
      <c r="P3549" s="12">
        <f t="shared" si="898"/>
        <v>0</v>
      </c>
      <c r="Q3549" s="7">
        <f t="shared" si="891"/>
        <v>5827170.4500000002</v>
      </c>
      <c r="R3549" s="44" t="str">
        <f>VLOOKUP(F3549,'Set up'!$A$2:$E$70,5,FALSE)</f>
        <v>Cash</v>
      </c>
      <c r="S3549" s="1" t="s">
        <v>3423</v>
      </c>
    </row>
    <row r="3550" spans="1:21" ht="16.2" customHeight="1" x14ac:dyDescent="0.3">
      <c r="A3550" s="4" t="s">
        <v>3276</v>
      </c>
      <c r="B3550" s="5">
        <f t="shared" si="884"/>
        <v>12</v>
      </c>
      <c r="C3550" s="5">
        <f t="shared" si="885"/>
        <v>2024</v>
      </c>
      <c r="D3550" s="5" t="s">
        <v>3277</v>
      </c>
      <c r="E3550" s="5" t="str">
        <f>VLOOKUP(F3550,'Set up'!$A$2:$C$70,2,FALSE)</f>
        <v>C00000057</v>
      </c>
      <c r="F3550" s="132" t="s">
        <v>3230</v>
      </c>
      <c r="G3550" s="133" t="s">
        <v>3231</v>
      </c>
      <c r="H3550" s="5">
        <v>1</v>
      </c>
      <c r="I3550" s="5" t="str">
        <f>VLOOKUP(F3550,'Set up'!$A$2:$C$70,3,FALSE)</f>
        <v>Cash</v>
      </c>
      <c r="J3550" s="5">
        <f>VLOOKUP(F3550,'Set up'!$A$2:$D$70,4,FALSE)</f>
        <v>0</v>
      </c>
      <c r="K3550" s="4">
        <f t="shared" si="886"/>
        <v>45656</v>
      </c>
      <c r="L3550" s="5">
        <f t="shared" si="887"/>
        <v>12</v>
      </c>
      <c r="M3550" s="5">
        <f t="shared" si="888"/>
        <v>2024</v>
      </c>
      <c r="N3550" s="12">
        <v>325</v>
      </c>
      <c r="O3550" s="6">
        <f>-N3550</f>
        <v>-325</v>
      </c>
      <c r="P3550" s="12">
        <f t="shared" si="898"/>
        <v>0</v>
      </c>
      <c r="Q3550" s="7">
        <f t="shared" si="891"/>
        <v>5827495.4500000002</v>
      </c>
      <c r="R3550" s="44" t="str">
        <f>VLOOKUP(F3550,'Set up'!$A$2:$E$70,5,FALSE)</f>
        <v>Cash</v>
      </c>
      <c r="S3550" s="1" t="s">
        <v>3320</v>
      </c>
    </row>
    <row r="3551" spans="1:21" ht="16.2" customHeight="1" x14ac:dyDescent="0.3">
      <c r="A3551" s="4" t="s">
        <v>3278</v>
      </c>
      <c r="B3551" s="5">
        <f t="shared" si="884"/>
        <v>12</v>
      </c>
      <c r="C3551" s="5">
        <f t="shared" si="885"/>
        <v>2024</v>
      </c>
      <c r="D3551" s="5" t="s">
        <v>3279</v>
      </c>
      <c r="E3551" s="5" t="str">
        <f>VLOOKUP(F3551,'Set up'!$A$2:$C$70,2,FALSE)</f>
        <v>C00000003</v>
      </c>
      <c r="F3551" s="132" t="s">
        <v>20</v>
      </c>
      <c r="G3551" s="133" t="s">
        <v>3217</v>
      </c>
      <c r="H3551" s="5">
        <v>1</v>
      </c>
      <c r="I3551" s="5">
        <f>VLOOKUP(F3551,'Set up'!$A$2:$C$70,3,FALSE)</f>
        <v>45</v>
      </c>
      <c r="J3551" s="5">
        <f>VLOOKUP(F3551,'Set up'!$A$2:$D$70,4,FALSE)</f>
        <v>45</v>
      </c>
      <c r="K3551" s="4">
        <f t="shared" si="886"/>
        <v>45702</v>
      </c>
      <c r="L3551" s="5">
        <f t="shared" si="887"/>
        <v>2</v>
      </c>
      <c r="M3551" s="5">
        <f t="shared" si="888"/>
        <v>2025</v>
      </c>
      <c r="N3551" s="12">
        <v>1755</v>
      </c>
      <c r="O3551" s="6">
        <f>-N3551</f>
        <v>-1755</v>
      </c>
      <c r="P3551" s="12">
        <f t="shared" si="898"/>
        <v>0</v>
      </c>
      <c r="Q3551" s="7">
        <f t="shared" si="891"/>
        <v>5829250.4500000002</v>
      </c>
      <c r="R3551" s="44" t="str">
        <f>VLOOKUP(F3551,'Set up'!$A$2:$E$70,5,FALSE)</f>
        <v>PD Chq</v>
      </c>
      <c r="S3551" s="1" t="s">
        <v>3477</v>
      </c>
      <c r="U3551" s="1" t="s">
        <v>3603</v>
      </c>
    </row>
    <row r="3552" spans="1:21" ht="16.2" customHeight="1" x14ac:dyDescent="0.3">
      <c r="A3552" s="4" t="s">
        <v>3278</v>
      </c>
      <c r="B3552" s="5">
        <f t="shared" si="884"/>
        <v>12</v>
      </c>
      <c r="C3552" s="5">
        <f t="shared" si="885"/>
        <v>2024</v>
      </c>
      <c r="D3552" s="5" t="s">
        <v>3279</v>
      </c>
      <c r="E3552" s="5" t="str">
        <f>VLOOKUP(F3552,'Set up'!$A$2:$C$70,2,FALSE)</f>
        <v>C00000003</v>
      </c>
      <c r="F3552" s="132" t="s">
        <v>20</v>
      </c>
      <c r="G3552" s="133" t="s">
        <v>17</v>
      </c>
      <c r="H3552" s="5">
        <v>2</v>
      </c>
      <c r="I3552" s="5">
        <f>VLOOKUP(F3552,'Set up'!$A$2:$C$70,3,FALSE)</f>
        <v>45</v>
      </c>
      <c r="J3552" s="5">
        <f>VLOOKUP(F3552,'Set up'!$A$2:$D$70,4,FALSE)</f>
        <v>45</v>
      </c>
      <c r="K3552" s="4">
        <f t="shared" si="886"/>
        <v>45702</v>
      </c>
      <c r="L3552" s="5">
        <f t="shared" si="887"/>
        <v>2</v>
      </c>
      <c r="M3552" s="5">
        <f t="shared" si="888"/>
        <v>2025</v>
      </c>
      <c r="N3552" s="12">
        <v>220</v>
      </c>
      <c r="O3552" s="6">
        <f>-N3552</f>
        <v>-220</v>
      </c>
      <c r="P3552" s="12">
        <f t="shared" si="898"/>
        <v>0</v>
      </c>
      <c r="Q3552" s="7">
        <f t="shared" si="891"/>
        <v>5829470.4500000002</v>
      </c>
      <c r="R3552" s="44" t="str">
        <f>VLOOKUP(F3552,'Set up'!$A$2:$E$70,5,FALSE)</f>
        <v>PD Chq</v>
      </c>
      <c r="S3552" s="1" t="s">
        <v>3480</v>
      </c>
      <c r="U3552" s="1" t="s">
        <v>3603</v>
      </c>
    </row>
    <row r="3553" spans="1:21" ht="16.05" customHeight="1" x14ac:dyDescent="0.3">
      <c r="A3553" s="4" t="s">
        <v>3278</v>
      </c>
      <c r="B3553" s="5">
        <f t="shared" si="884"/>
        <v>12</v>
      </c>
      <c r="C3553" s="5">
        <f t="shared" si="885"/>
        <v>2024</v>
      </c>
      <c r="D3553" s="5" t="s">
        <v>3279</v>
      </c>
      <c r="E3553" s="5" t="str">
        <f>VLOOKUP(F3553,'Set up'!$A$2:$C$70,2,FALSE)</f>
        <v>C00000003</v>
      </c>
      <c r="F3553" s="132" t="s">
        <v>20</v>
      </c>
      <c r="G3553" s="133" t="s">
        <v>2635</v>
      </c>
      <c r="H3553" s="5">
        <v>2</v>
      </c>
      <c r="I3553" s="5">
        <f>VLOOKUP(F3553,'Set up'!$A$2:$C$70,3,FALSE)</f>
        <v>45</v>
      </c>
      <c r="J3553" s="5">
        <f>VLOOKUP(F3553,'Set up'!$A$2:$D$70,4,FALSE)</f>
        <v>45</v>
      </c>
      <c r="K3553" s="4">
        <f t="shared" si="886"/>
        <v>45702</v>
      </c>
      <c r="L3553" s="5">
        <f t="shared" si="887"/>
        <v>2</v>
      </c>
      <c r="M3553" s="5">
        <f t="shared" si="888"/>
        <v>2025</v>
      </c>
      <c r="N3553" s="12">
        <v>130</v>
      </c>
      <c r="O3553" s="6">
        <f>-N3553</f>
        <v>-130</v>
      </c>
      <c r="P3553" s="12">
        <f t="shared" si="898"/>
        <v>0</v>
      </c>
      <c r="Q3553" s="7">
        <f t="shared" si="891"/>
        <v>5829600.4500000002</v>
      </c>
      <c r="R3553" s="44" t="str">
        <f>VLOOKUP(F3553,'Set up'!$A$2:$E$70,5,FALSE)</f>
        <v>PD Chq</v>
      </c>
      <c r="S3553" s="1" t="s">
        <v>3479</v>
      </c>
      <c r="U3553" s="1" t="s">
        <v>3603</v>
      </c>
    </row>
    <row r="3554" spans="1:21" ht="16.2" customHeight="1" x14ac:dyDescent="0.3">
      <c r="A3554" s="4" t="s">
        <v>3278</v>
      </c>
      <c r="B3554" s="5">
        <f t="shared" si="884"/>
        <v>12</v>
      </c>
      <c r="C3554" s="5">
        <f t="shared" si="885"/>
        <v>2024</v>
      </c>
      <c r="D3554" s="5" t="s">
        <v>3280</v>
      </c>
      <c r="E3554" s="5" t="str">
        <f>VLOOKUP(F3554,'Set up'!$A$2:$C$70,2,FALSE)</f>
        <v>C00000019</v>
      </c>
      <c r="F3554" s="132" t="s">
        <v>400</v>
      </c>
      <c r="G3554" s="133" t="s">
        <v>1411</v>
      </c>
      <c r="H3554" s="5">
        <v>1</v>
      </c>
      <c r="I3554" s="5" t="str">
        <f>VLOOKUP(F3554,'Set up'!$A$2:$C$70,3,FALSE)</f>
        <v>Cash</v>
      </c>
      <c r="J3554" s="5">
        <f>VLOOKUP(F3554,'Set up'!$A$2:$D$70,4,FALSE)</f>
        <v>0</v>
      </c>
      <c r="K3554" s="4">
        <f t="shared" si="886"/>
        <v>45657</v>
      </c>
      <c r="L3554" s="5">
        <f t="shared" si="887"/>
        <v>12</v>
      </c>
      <c r="M3554" s="5">
        <f t="shared" si="888"/>
        <v>2024</v>
      </c>
      <c r="N3554" s="12">
        <v>405</v>
      </c>
      <c r="O3554" s="12"/>
      <c r="P3554" s="12">
        <v>405</v>
      </c>
      <c r="Q3554" s="7">
        <f t="shared" si="891"/>
        <v>5830005.4500000002</v>
      </c>
      <c r="R3554" s="44" t="str">
        <f>VLOOKUP(F3554,'Set up'!$A$2:$E$70,5,FALSE)</f>
        <v>Trsf</v>
      </c>
    </row>
    <row r="3555" spans="1:21" ht="16.2" customHeight="1" x14ac:dyDescent="0.3">
      <c r="A3555" s="4" t="s">
        <v>3278</v>
      </c>
      <c r="B3555" s="5">
        <f t="shared" si="884"/>
        <v>12</v>
      </c>
      <c r="C3555" s="5">
        <f t="shared" si="885"/>
        <v>2024</v>
      </c>
      <c r="D3555" s="5" t="s">
        <v>3281</v>
      </c>
      <c r="E3555" s="5" t="str">
        <f>VLOOKUP(F3555,'Set up'!$A$2:$C$70,2,FALSE)</f>
        <v>C00000054</v>
      </c>
      <c r="F3555" s="132" t="s">
        <v>2939</v>
      </c>
      <c r="G3555" s="133" t="s">
        <v>3282</v>
      </c>
      <c r="H3555" s="5">
        <v>1</v>
      </c>
      <c r="I3555" s="5" t="str">
        <f>VLOOKUP(F3555,'Set up'!$A$2:$C$70,3,FALSE)</f>
        <v>Cash</v>
      </c>
      <c r="J3555" s="5">
        <f>VLOOKUP(F3555,'Set up'!$A$2:$D$70,4,FALSE)</f>
        <v>0</v>
      </c>
      <c r="K3555" s="4">
        <f t="shared" si="886"/>
        <v>45657</v>
      </c>
      <c r="L3555" s="5">
        <f t="shared" si="887"/>
        <v>12</v>
      </c>
      <c r="M3555" s="5">
        <f t="shared" si="888"/>
        <v>2024</v>
      </c>
      <c r="N3555" s="12">
        <v>360</v>
      </c>
      <c r="O3555" s="6">
        <f t="shared" ref="O3555" si="899">-N3555</f>
        <v>-360</v>
      </c>
      <c r="P3555" s="12">
        <f t="shared" ref="P3555" si="900">SUM(N3555+O3555)</f>
        <v>0</v>
      </c>
      <c r="Q3555" s="7">
        <f t="shared" si="891"/>
        <v>5830365.4500000002</v>
      </c>
      <c r="R3555" s="44" t="str">
        <f>VLOOKUP(F3555,'Set up'!$A$2:$E$70,5,FALSE)</f>
        <v>Cash</v>
      </c>
      <c r="S3555" s="1" t="s">
        <v>3422</v>
      </c>
    </row>
    <row r="3556" spans="1:21" ht="16.2" customHeight="1" x14ac:dyDescent="0.3">
      <c r="A3556" s="140">
        <v>45659</v>
      </c>
      <c r="B3556" s="5">
        <f t="shared" si="884"/>
        <v>1</v>
      </c>
      <c r="C3556" s="5">
        <f t="shared" si="885"/>
        <v>2025</v>
      </c>
      <c r="D3556" s="105" t="s">
        <v>3333</v>
      </c>
      <c r="E3556" s="5" t="str">
        <f>VLOOKUP(F3556,'Set up'!$A$2:$C$70,2,FALSE)</f>
        <v>C00000003</v>
      </c>
      <c r="F3556" s="99" t="s">
        <v>20</v>
      </c>
      <c r="G3556" s="99" t="s">
        <v>1198</v>
      </c>
      <c r="H3556" s="105">
        <v>1</v>
      </c>
      <c r="I3556" s="5">
        <f>VLOOKUP(F3556,'Set up'!$A$2:$C$70,3,FALSE)</f>
        <v>45</v>
      </c>
      <c r="J3556" s="5">
        <f>VLOOKUP(F3556,'Set up'!$A$2:$D$70,4,FALSE)</f>
        <v>45</v>
      </c>
      <c r="K3556" s="4">
        <f t="shared" si="886"/>
        <v>45704</v>
      </c>
      <c r="L3556" s="5">
        <f t="shared" si="887"/>
        <v>2</v>
      </c>
      <c r="M3556" s="5">
        <f t="shared" si="888"/>
        <v>2025</v>
      </c>
      <c r="N3556" s="135">
        <v>228</v>
      </c>
      <c r="O3556" s="6">
        <f>-N3556</f>
        <v>-228</v>
      </c>
      <c r="P3556" s="12">
        <f t="shared" ref="P3556:P3618" si="901">SUM(N3556+O3556)</f>
        <v>0</v>
      </c>
      <c r="Q3556" s="7">
        <f t="shared" si="891"/>
        <v>5830593.4500000002</v>
      </c>
      <c r="R3556" s="44" t="str">
        <f>VLOOKUP(F3556,'Set up'!$A$2:$E$70,5,FALSE)</f>
        <v>PD Chq</v>
      </c>
      <c r="S3556" s="1" t="s">
        <v>3478</v>
      </c>
      <c r="U3556" s="1" t="s">
        <v>3603</v>
      </c>
    </row>
    <row r="3557" spans="1:21" ht="16.2" customHeight="1" x14ac:dyDescent="0.3">
      <c r="A3557" s="140">
        <v>45659</v>
      </c>
      <c r="B3557" s="5">
        <f t="shared" si="884"/>
        <v>1</v>
      </c>
      <c r="C3557" s="5">
        <f t="shared" si="885"/>
        <v>2025</v>
      </c>
      <c r="D3557" s="105" t="s">
        <v>3334</v>
      </c>
      <c r="E3557" s="5" t="str">
        <f>VLOOKUP(F3557,'Set up'!$A$2:$C$70,2,FALSE)</f>
        <v>C00000057</v>
      </c>
      <c r="F3557" s="99" t="s">
        <v>3230</v>
      </c>
      <c r="G3557" s="99" t="s">
        <v>3231</v>
      </c>
      <c r="H3557" s="105">
        <v>2</v>
      </c>
      <c r="I3557" s="5" t="str">
        <f>VLOOKUP(F3557,'Set up'!$A$2:$C$70,3,FALSE)</f>
        <v>Cash</v>
      </c>
      <c r="J3557" s="5">
        <f>VLOOKUP(F3557,'Set up'!$A$2:$D$70,4,FALSE)</f>
        <v>0</v>
      </c>
      <c r="K3557" s="4">
        <f t="shared" si="886"/>
        <v>45659</v>
      </c>
      <c r="L3557" s="5">
        <f t="shared" si="887"/>
        <v>1</v>
      </c>
      <c r="M3557" s="5">
        <f t="shared" si="888"/>
        <v>2025</v>
      </c>
      <c r="N3557" s="135">
        <v>650</v>
      </c>
      <c r="O3557" s="6">
        <f>-N3557</f>
        <v>-650</v>
      </c>
      <c r="P3557" s="12">
        <f t="shared" si="901"/>
        <v>0</v>
      </c>
      <c r="Q3557" s="7">
        <f t="shared" si="891"/>
        <v>5831243.4500000002</v>
      </c>
      <c r="R3557" s="44" t="str">
        <f>VLOOKUP(F3557,'Set up'!$A$2:$E$70,5,FALSE)</f>
        <v>Cash</v>
      </c>
      <c r="S3557" s="1" t="s">
        <v>3433</v>
      </c>
    </row>
    <row r="3558" spans="1:21" ht="16.2" customHeight="1" x14ac:dyDescent="0.3">
      <c r="A3558" s="140">
        <v>45660</v>
      </c>
      <c r="B3558" s="5">
        <f t="shared" si="884"/>
        <v>1</v>
      </c>
      <c r="C3558" s="5">
        <f t="shared" si="885"/>
        <v>2025</v>
      </c>
      <c r="D3558" s="105" t="s">
        <v>3335</v>
      </c>
      <c r="E3558" s="5" t="str">
        <f>VLOOKUP(F3558,'Set up'!$A$2:$C$70,2,FALSE)</f>
        <v>C00000019</v>
      </c>
      <c r="F3558" s="99" t="s">
        <v>400</v>
      </c>
      <c r="G3558" s="99" t="s">
        <v>3122</v>
      </c>
      <c r="H3558" s="105">
        <v>1</v>
      </c>
      <c r="I3558" s="5" t="str">
        <f>VLOOKUP(F3558,'Set up'!$A$2:$C$70,3,FALSE)</f>
        <v>Cash</v>
      </c>
      <c r="J3558" s="5">
        <f>VLOOKUP(F3558,'Set up'!$A$2:$D$70,4,FALSE)</f>
        <v>0</v>
      </c>
      <c r="K3558" s="4">
        <f t="shared" si="886"/>
        <v>45660</v>
      </c>
      <c r="L3558" s="5">
        <f t="shared" si="887"/>
        <v>1</v>
      </c>
      <c r="M3558" s="5">
        <f t="shared" si="888"/>
        <v>2025</v>
      </c>
      <c r="N3558" s="135">
        <v>1755</v>
      </c>
      <c r="O3558" s="12"/>
      <c r="P3558" s="12">
        <f t="shared" si="901"/>
        <v>1755</v>
      </c>
      <c r="Q3558" s="7">
        <f t="shared" si="891"/>
        <v>5832998.4500000002</v>
      </c>
      <c r="R3558" s="44" t="str">
        <f>VLOOKUP(F3558,'Set up'!$A$2:$E$70,5,FALSE)</f>
        <v>Trsf</v>
      </c>
    </row>
    <row r="3559" spans="1:21" ht="16.2" customHeight="1" x14ac:dyDescent="0.3">
      <c r="A3559" s="140">
        <v>45660</v>
      </c>
      <c r="B3559" s="5">
        <f t="shared" si="884"/>
        <v>1</v>
      </c>
      <c r="C3559" s="5">
        <f t="shared" si="885"/>
        <v>2025</v>
      </c>
      <c r="D3559" s="105" t="s">
        <v>3335</v>
      </c>
      <c r="E3559" s="5" t="str">
        <f>VLOOKUP(F3559,'Set up'!$A$2:$C$70,2,FALSE)</f>
        <v>C00000019</v>
      </c>
      <c r="F3559" s="99" t="s">
        <v>400</v>
      </c>
      <c r="G3559" s="99" t="s">
        <v>46</v>
      </c>
      <c r="H3559" s="105">
        <v>1</v>
      </c>
      <c r="I3559" s="5" t="str">
        <f>VLOOKUP(F3559,'Set up'!$A$2:$C$70,3,FALSE)</f>
        <v>Cash</v>
      </c>
      <c r="J3559" s="5">
        <f>VLOOKUP(F3559,'Set up'!$A$2:$D$70,4,FALSE)</f>
        <v>0</v>
      </c>
      <c r="K3559" s="4">
        <f t="shared" si="886"/>
        <v>45660</v>
      </c>
      <c r="L3559" s="5">
        <f t="shared" si="887"/>
        <v>1</v>
      </c>
      <c r="M3559" s="5">
        <f t="shared" si="888"/>
        <v>2025</v>
      </c>
      <c r="N3559" s="135">
        <v>110</v>
      </c>
      <c r="O3559" s="12"/>
      <c r="P3559" s="12">
        <f t="shared" si="901"/>
        <v>110</v>
      </c>
      <c r="Q3559" s="7">
        <f t="shared" si="891"/>
        <v>5833108.4500000002</v>
      </c>
      <c r="R3559" s="44" t="str">
        <f>VLOOKUP(F3559,'Set up'!$A$2:$E$70,5,FALSE)</f>
        <v>Trsf</v>
      </c>
    </row>
    <row r="3560" spans="1:21" ht="16.2" customHeight="1" x14ac:dyDescent="0.3">
      <c r="A3560" s="140">
        <v>45660</v>
      </c>
      <c r="B3560" s="5">
        <f t="shared" si="884"/>
        <v>1</v>
      </c>
      <c r="C3560" s="5">
        <f t="shared" si="885"/>
        <v>2025</v>
      </c>
      <c r="D3560" s="105" t="s">
        <v>3335</v>
      </c>
      <c r="E3560" s="5" t="str">
        <f>VLOOKUP(F3560,'Set up'!$A$2:$C$70,2,FALSE)</f>
        <v>C00000019</v>
      </c>
      <c r="F3560" s="99" t="s">
        <v>400</v>
      </c>
      <c r="G3560" s="99" t="s">
        <v>2449</v>
      </c>
      <c r="H3560" s="105">
        <v>1</v>
      </c>
      <c r="I3560" s="5" t="str">
        <f>VLOOKUP(F3560,'Set up'!$A$2:$C$70,3,FALSE)</f>
        <v>Cash</v>
      </c>
      <c r="J3560" s="5">
        <f>VLOOKUP(F3560,'Set up'!$A$2:$D$70,4,FALSE)</f>
        <v>0</v>
      </c>
      <c r="K3560" s="4">
        <f t="shared" si="886"/>
        <v>45660</v>
      </c>
      <c r="L3560" s="5">
        <f t="shared" si="887"/>
        <v>1</v>
      </c>
      <c r="M3560" s="5">
        <f t="shared" si="888"/>
        <v>2025</v>
      </c>
      <c r="N3560" s="135">
        <v>420</v>
      </c>
      <c r="O3560" s="12"/>
      <c r="P3560" s="12">
        <f t="shared" si="901"/>
        <v>420</v>
      </c>
      <c r="Q3560" s="7">
        <f t="shared" si="891"/>
        <v>5833528.4500000002</v>
      </c>
      <c r="R3560" s="44" t="str">
        <f>VLOOKUP(F3560,'Set up'!$A$2:$E$70,5,FALSE)</f>
        <v>Trsf</v>
      </c>
    </row>
    <row r="3561" spans="1:21" ht="16.2" customHeight="1" x14ac:dyDescent="0.3">
      <c r="A3561" s="140">
        <v>45660</v>
      </c>
      <c r="B3561" s="5">
        <f t="shared" si="884"/>
        <v>1</v>
      </c>
      <c r="C3561" s="5">
        <f t="shared" si="885"/>
        <v>2025</v>
      </c>
      <c r="D3561" s="105" t="s">
        <v>3336</v>
      </c>
      <c r="E3561" s="5" t="str">
        <f>VLOOKUP(F3561,'Set up'!$A$2:$C$70,2,FALSE)</f>
        <v>C00000042</v>
      </c>
      <c r="F3561" s="99" t="s">
        <v>2012</v>
      </c>
      <c r="G3561" s="99" t="s">
        <v>2646</v>
      </c>
      <c r="H3561" s="105">
        <v>5</v>
      </c>
      <c r="I3561" s="5" t="str">
        <f>VLOOKUP(F3561,'Set up'!$A$2:$C$70,3,FALSE)</f>
        <v>Cash</v>
      </c>
      <c r="J3561" s="5">
        <f>VLOOKUP(F3561,'Set up'!$A$2:$D$70,4,FALSE)</f>
        <v>0</v>
      </c>
      <c r="K3561" s="4">
        <f t="shared" si="886"/>
        <v>45660</v>
      </c>
      <c r="L3561" s="5">
        <f t="shared" si="887"/>
        <v>1</v>
      </c>
      <c r="M3561" s="5">
        <f t="shared" si="888"/>
        <v>2025</v>
      </c>
      <c r="N3561" s="135">
        <v>312.5</v>
      </c>
      <c r="O3561" s="6">
        <f t="shared" ref="O3561" si="902">-N3561</f>
        <v>-312.5</v>
      </c>
      <c r="P3561" s="12">
        <f t="shared" si="901"/>
        <v>0</v>
      </c>
      <c r="Q3561" s="7">
        <f t="shared" si="891"/>
        <v>5833840.9500000002</v>
      </c>
      <c r="R3561" s="44" t="str">
        <f>VLOOKUP(F3561,'Set up'!$A$2:$E$70,5,FALSE)</f>
        <v>Trsf</v>
      </c>
      <c r="S3561" s="1" t="s">
        <v>3799</v>
      </c>
    </row>
    <row r="3562" spans="1:21" ht="16.2" customHeight="1" x14ac:dyDescent="0.3">
      <c r="A3562" s="140">
        <v>45660</v>
      </c>
      <c r="B3562" s="5">
        <f t="shared" si="884"/>
        <v>1</v>
      </c>
      <c r="C3562" s="5">
        <f t="shared" si="885"/>
        <v>2025</v>
      </c>
      <c r="D3562" s="105" t="s">
        <v>3337</v>
      </c>
      <c r="E3562" s="5" t="str">
        <f>VLOOKUP(F3562,'Set up'!$A$2:$C$70,2,FALSE)</f>
        <v>C00000042</v>
      </c>
      <c r="F3562" s="99" t="s">
        <v>2012</v>
      </c>
      <c r="G3562" s="99" t="s">
        <v>3217</v>
      </c>
      <c r="H3562" s="105">
        <v>8</v>
      </c>
      <c r="I3562" s="5" t="str">
        <f>VLOOKUP(F3562,'Set up'!$A$2:$C$70,3,FALSE)</f>
        <v>Cash</v>
      </c>
      <c r="J3562" s="5">
        <f>VLOOKUP(F3562,'Set up'!$A$2:$D$70,4,FALSE)</f>
        <v>0</v>
      </c>
      <c r="K3562" s="4">
        <f t="shared" si="886"/>
        <v>45660</v>
      </c>
      <c r="L3562" s="5">
        <f t="shared" si="887"/>
        <v>1</v>
      </c>
      <c r="M3562" s="5">
        <f t="shared" si="888"/>
        <v>2025</v>
      </c>
      <c r="N3562" s="135">
        <v>12960</v>
      </c>
      <c r="O3562" s="12">
        <f>-7438.6-4500-1021.4</f>
        <v>-12960</v>
      </c>
      <c r="P3562" s="12">
        <f t="shared" si="901"/>
        <v>0</v>
      </c>
      <c r="Q3562" s="7">
        <f t="shared" si="891"/>
        <v>5846800.9500000002</v>
      </c>
      <c r="R3562" s="44" t="str">
        <f>VLOOKUP(F3562,'Set up'!$A$2:$E$70,5,FALSE)</f>
        <v>Trsf</v>
      </c>
      <c r="S3562" s="1" t="s">
        <v>3809</v>
      </c>
    </row>
    <row r="3563" spans="1:21" ht="16.2" customHeight="1" x14ac:dyDescent="0.3">
      <c r="A3563" s="140">
        <v>45660</v>
      </c>
      <c r="B3563" s="5">
        <f t="shared" si="884"/>
        <v>1</v>
      </c>
      <c r="C3563" s="5">
        <f t="shared" si="885"/>
        <v>2025</v>
      </c>
      <c r="D3563" s="105" t="s">
        <v>3337</v>
      </c>
      <c r="E3563" s="5" t="str">
        <f>VLOOKUP(F3563,'Set up'!$A$2:$C$70,2,FALSE)</f>
        <v>C00000042</v>
      </c>
      <c r="F3563" s="99" t="s">
        <v>2012</v>
      </c>
      <c r="G3563" s="99" t="s">
        <v>3243</v>
      </c>
      <c r="H3563" s="105">
        <v>30</v>
      </c>
      <c r="I3563" s="5" t="str">
        <f>VLOOKUP(F3563,'Set up'!$A$2:$C$70,3,FALSE)</f>
        <v>Cash</v>
      </c>
      <c r="J3563" s="5">
        <f>VLOOKUP(F3563,'Set up'!$A$2:$D$70,4,FALSE)</f>
        <v>0</v>
      </c>
      <c r="K3563" s="4">
        <f t="shared" si="886"/>
        <v>45660</v>
      </c>
      <c r="L3563" s="5">
        <f t="shared" si="887"/>
        <v>1</v>
      </c>
      <c r="M3563" s="5">
        <f t="shared" si="888"/>
        <v>2025</v>
      </c>
      <c r="N3563" s="135">
        <v>5220</v>
      </c>
      <c r="O3563" s="12">
        <f>-1478.6-2000-1741.4</f>
        <v>-5220</v>
      </c>
      <c r="P3563" s="12">
        <f t="shared" si="901"/>
        <v>0</v>
      </c>
      <c r="Q3563" s="7">
        <f t="shared" si="891"/>
        <v>5852020.9500000002</v>
      </c>
      <c r="R3563" s="44" t="str">
        <f>VLOOKUP(F3563,'Set up'!$A$2:$E$70,5,FALSE)</f>
        <v>Trsf</v>
      </c>
      <c r="S3563" s="1" t="s">
        <v>3810</v>
      </c>
    </row>
    <row r="3564" spans="1:21" ht="16.2" customHeight="1" x14ac:dyDescent="0.3">
      <c r="A3564" s="140">
        <v>45660</v>
      </c>
      <c r="B3564" s="5">
        <f t="shared" si="884"/>
        <v>1</v>
      </c>
      <c r="C3564" s="5">
        <f t="shared" si="885"/>
        <v>2025</v>
      </c>
      <c r="D3564" s="105" t="s">
        <v>3337</v>
      </c>
      <c r="E3564" s="5" t="str">
        <f>VLOOKUP(F3564,'Set up'!$A$2:$C$70,2,FALSE)</f>
        <v>C00000042</v>
      </c>
      <c r="F3564" s="99" t="s">
        <v>2012</v>
      </c>
      <c r="G3564" s="99" t="s">
        <v>1922</v>
      </c>
      <c r="H3564" s="105">
        <v>15</v>
      </c>
      <c r="I3564" s="5" t="str">
        <f>VLOOKUP(F3564,'Set up'!$A$2:$C$70,3,FALSE)</f>
        <v>Cash</v>
      </c>
      <c r="J3564" s="5">
        <f>VLOOKUP(F3564,'Set up'!$A$2:$D$70,4,FALSE)</f>
        <v>0</v>
      </c>
      <c r="K3564" s="4">
        <f t="shared" si="886"/>
        <v>45660</v>
      </c>
      <c r="L3564" s="5">
        <f t="shared" si="887"/>
        <v>1</v>
      </c>
      <c r="M3564" s="5">
        <f t="shared" si="888"/>
        <v>2025</v>
      </c>
      <c r="N3564" s="135">
        <v>3577.5</v>
      </c>
      <c r="O3564" s="6">
        <f t="shared" ref="O3564:O3565" si="903">-N3564</f>
        <v>-3577.5</v>
      </c>
      <c r="P3564" s="12">
        <f t="shared" si="901"/>
        <v>0</v>
      </c>
      <c r="Q3564" s="7">
        <f t="shared" si="891"/>
        <v>5855598.4500000002</v>
      </c>
      <c r="R3564" s="44" t="str">
        <f>VLOOKUP(F3564,'Set up'!$A$2:$E$70,5,FALSE)</f>
        <v>Trsf</v>
      </c>
      <c r="S3564" s="1" t="s">
        <v>3800</v>
      </c>
    </row>
    <row r="3565" spans="1:21" ht="16.2" customHeight="1" x14ac:dyDescent="0.3">
      <c r="A3565" s="140">
        <v>45660</v>
      </c>
      <c r="B3565" s="5">
        <f t="shared" si="884"/>
        <v>1</v>
      </c>
      <c r="C3565" s="5">
        <f t="shared" si="885"/>
        <v>2025</v>
      </c>
      <c r="D3565" s="105" t="s">
        <v>3337</v>
      </c>
      <c r="E3565" s="5" t="str">
        <f>VLOOKUP(F3565,'Set up'!$A$2:$C$70,2,FALSE)</f>
        <v>C00000042</v>
      </c>
      <c r="F3565" s="99" t="s">
        <v>2012</v>
      </c>
      <c r="G3565" s="99" t="s">
        <v>46</v>
      </c>
      <c r="H3565" s="105">
        <v>5</v>
      </c>
      <c r="I3565" s="5" t="str">
        <f>VLOOKUP(F3565,'Set up'!$A$2:$C$70,3,FALSE)</f>
        <v>Cash</v>
      </c>
      <c r="J3565" s="5">
        <f>VLOOKUP(F3565,'Set up'!$A$2:$D$70,4,FALSE)</f>
        <v>0</v>
      </c>
      <c r="K3565" s="4">
        <f t="shared" si="886"/>
        <v>45660</v>
      </c>
      <c r="L3565" s="5">
        <f t="shared" si="887"/>
        <v>1</v>
      </c>
      <c r="M3565" s="5">
        <f t="shared" si="888"/>
        <v>2025</v>
      </c>
      <c r="N3565" s="135">
        <v>575</v>
      </c>
      <c r="O3565" s="6">
        <f t="shared" si="903"/>
        <v>-575</v>
      </c>
      <c r="P3565" s="12">
        <f t="shared" si="901"/>
        <v>0</v>
      </c>
      <c r="Q3565" s="7">
        <f t="shared" si="891"/>
        <v>5856173.4500000002</v>
      </c>
      <c r="R3565" s="44" t="str">
        <f>VLOOKUP(F3565,'Set up'!$A$2:$E$70,5,FALSE)</f>
        <v>Trsf</v>
      </c>
      <c r="S3565" s="1" t="s">
        <v>3801</v>
      </c>
    </row>
    <row r="3566" spans="1:21" ht="16.2" customHeight="1" x14ac:dyDescent="0.3">
      <c r="A3566" s="140">
        <v>45660</v>
      </c>
      <c r="B3566" s="5">
        <f t="shared" si="884"/>
        <v>1</v>
      </c>
      <c r="C3566" s="5">
        <f t="shared" si="885"/>
        <v>2025</v>
      </c>
      <c r="D3566" s="105" t="s">
        <v>3337</v>
      </c>
      <c r="E3566" s="5" t="str">
        <f>VLOOKUP(F3566,'Set up'!$A$2:$C$70,2,FALSE)</f>
        <v>C00000042</v>
      </c>
      <c r="F3566" s="99" t="s">
        <v>2012</v>
      </c>
      <c r="G3566" s="99" t="s">
        <v>2744</v>
      </c>
      <c r="H3566" s="105">
        <v>2</v>
      </c>
      <c r="I3566" s="5" t="str">
        <f>VLOOKUP(F3566,'Set up'!$A$2:$C$70,3,FALSE)</f>
        <v>Cash</v>
      </c>
      <c r="J3566" s="5">
        <f>VLOOKUP(F3566,'Set up'!$A$2:$D$70,4,FALSE)</f>
        <v>0</v>
      </c>
      <c r="K3566" s="4">
        <f t="shared" si="886"/>
        <v>45660</v>
      </c>
      <c r="L3566" s="5">
        <f t="shared" si="887"/>
        <v>1</v>
      </c>
      <c r="M3566" s="5">
        <f t="shared" si="888"/>
        <v>2025</v>
      </c>
      <c r="N3566" s="135">
        <v>1950</v>
      </c>
      <c r="O3566" s="12">
        <f>-1606.1-343.9</f>
        <v>-1950</v>
      </c>
      <c r="P3566" s="12">
        <f t="shared" si="901"/>
        <v>0</v>
      </c>
      <c r="Q3566" s="7">
        <f t="shared" si="891"/>
        <v>5858123.4500000002</v>
      </c>
      <c r="R3566" s="44" t="str">
        <f>VLOOKUP(F3566,'Set up'!$A$2:$E$70,5,FALSE)</f>
        <v>Trsf</v>
      </c>
      <c r="S3566" s="1" t="s">
        <v>3811</v>
      </c>
    </row>
    <row r="3567" spans="1:21" ht="16.2" customHeight="1" x14ac:dyDescent="0.3">
      <c r="A3567" s="140">
        <v>45664</v>
      </c>
      <c r="B3567" s="5">
        <f t="shared" si="884"/>
        <v>1</v>
      </c>
      <c r="C3567" s="5">
        <f t="shared" si="885"/>
        <v>2025</v>
      </c>
      <c r="D3567" s="105" t="s">
        <v>3338</v>
      </c>
      <c r="E3567" s="5" t="str">
        <f>VLOOKUP(F3567,'Set up'!$A$2:$C$70,2,FALSE)</f>
        <v>C00000027</v>
      </c>
      <c r="F3567" s="99" t="s">
        <v>859</v>
      </c>
      <c r="G3567" s="99" t="s">
        <v>3122</v>
      </c>
      <c r="H3567" s="105">
        <v>2</v>
      </c>
      <c r="I3567" s="5" t="str">
        <f>VLOOKUP(F3567,'Set up'!$A$2:$C$70,3,FALSE)</f>
        <v>Cash</v>
      </c>
      <c r="J3567" s="5">
        <f>VLOOKUP(F3567,'Set up'!$A$2:$D$70,4,FALSE)</f>
        <v>0</v>
      </c>
      <c r="K3567" s="4">
        <f t="shared" si="886"/>
        <v>45664</v>
      </c>
      <c r="L3567" s="5">
        <f t="shared" si="887"/>
        <v>1</v>
      </c>
      <c r="M3567" s="5">
        <f t="shared" si="888"/>
        <v>2025</v>
      </c>
      <c r="N3567" s="135">
        <v>3465</v>
      </c>
      <c r="O3567" s="12"/>
      <c r="P3567" s="12">
        <f t="shared" si="901"/>
        <v>3465</v>
      </c>
      <c r="Q3567" s="7">
        <f t="shared" si="891"/>
        <v>5861588.4500000002</v>
      </c>
      <c r="R3567" s="44" t="str">
        <f>VLOOKUP(F3567,'Set up'!$A$2:$E$70,5,FALSE)</f>
        <v>Trsf</v>
      </c>
    </row>
    <row r="3568" spans="1:21" ht="16.2" customHeight="1" x14ac:dyDescent="0.3">
      <c r="A3568" s="140">
        <v>45664</v>
      </c>
      <c r="B3568" s="5">
        <f t="shared" si="884"/>
        <v>1</v>
      </c>
      <c r="C3568" s="5">
        <f t="shared" si="885"/>
        <v>2025</v>
      </c>
      <c r="D3568" s="105" t="s">
        <v>3338</v>
      </c>
      <c r="E3568" s="5" t="str">
        <f>VLOOKUP(F3568,'Set up'!$A$2:$C$70,2,FALSE)</f>
        <v>C00000027</v>
      </c>
      <c r="F3568" s="99" t="s">
        <v>859</v>
      </c>
      <c r="G3568" s="99" t="s">
        <v>893</v>
      </c>
      <c r="H3568" s="105">
        <v>2</v>
      </c>
      <c r="I3568" s="5" t="str">
        <f>VLOOKUP(F3568,'Set up'!$A$2:$C$70,3,FALSE)</f>
        <v>Cash</v>
      </c>
      <c r="J3568" s="5">
        <f>VLOOKUP(F3568,'Set up'!$A$2:$D$70,4,FALSE)</f>
        <v>0</v>
      </c>
      <c r="K3568" s="4">
        <f t="shared" si="886"/>
        <v>45664</v>
      </c>
      <c r="L3568" s="5">
        <f t="shared" si="887"/>
        <v>1</v>
      </c>
      <c r="M3568" s="5">
        <f t="shared" si="888"/>
        <v>2025</v>
      </c>
      <c r="N3568" s="135">
        <v>810</v>
      </c>
      <c r="O3568" s="12"/>
      <c r="P3568" s="12">
        <f t="shared" si="901"/>
        <v>810</v>
      </c>
      <c r="Q3568" s="7">
        <f t="shared" si="891"/>
        <v>5862398.4500000002</v>
      </c>
      <c r="R3568" s="44" t="str">
        <f>VLOOKUP(F3568,'Set up'!$A$2:$E$70,5,FALSE)</f>
        <v>Trsf</v>
      </c>
    </row>
    <row r="3569" spans="1:19" ht="16.2" customHeight="1" x14ac:dyDescent="0.3">
      <c r="A3569" s="140">
        <v>45664</v>
      </c>
      <c r="B3569" s="5">
        <f t="shared" si="884"/>
        <v>1</v>
      </c>
      <c r="C3569" s="5">
        <f t="shared" si="885"/>
        <v>2025</v>
      </c>
      <c r="D3569" s="105" t="s">
        <v>3338</v>
      </c>
      <c r="E3569" s="5" t="str">
        <f>VLOOKUP(F3569,'Set up'!$A$2:$C$70,2,FALSE)</f>
        <v>C00000027</v>
      </c>
      <c r="F3569" s="99" t="s">
        <v>859</v>
      </c>
      <c r="G3569" s="99" t="s">
        <v>655</v>
      </c>
      <c r="H3569" s="105">
        <v>1</v>
      </c>
      <c r="I3569" s="5" t="str">
        <f>VLOOKUP(F3569,'Set up'!$A$2:$C$70,3,FALSE)</f>
        <v>Cash</v>
      </c>
      <c r="J3569" s="5">
        <f>VLOOKUP(F3569,'Set up'!$A$2:$D$70,4,FALSE)</f>
        <v>0</v>
      </c>
      <c r="K3569" s="4">
        <f t="shared" si="886"/>
        <v>45664</v>
      </c>
      <c r="L3569" s="5">
        <f t="shared" si="887"/>
        <v>1</v>
      </c>
      <c r="M3569" s="5">
        <f t="shared" si="888"/>
        <v>2025</v>
      </c>
      <c r="N3569" s="135">
        <v>280</v>
      </c>
      <c r="O3569" s="12"/>
      <c r="P3569" s="12">
        <f t="shared" si="901"/>
        <v>280</v>
      </c>
      <c r="Q3569" s="7">
        <f t="shared" si="891"/>
        <v>5862678.4500000002</v>
      </c>
      <c r="R3569" s="44" t="str">
        <f>VLOOKUP(F3569,'Set up'!$A$2:$E$70,5,FALSE)</f>
        <v>Trsf</v>
      </c>
    </row>
    <row r="3570" spans="1:19" ht="16.2" customHeight="1" x14ac:dyDescent="0.3">
      <c r="A3570" s="140">
        <v>45664</v>
      </c>
      <c r="B3570" s="5">
        <f t="shared" si="884"/>
        <v>1</v>
      </c>
      <c r="C3570" s="5">
        <f t="shared" si="885"/>
        <v>2025</v>
      </c>
      <c r="D3570" s="105" t="s">
        <v>3338</v>
      </c>
      <c r="E3570" s="5" t="str">
        <f>VLOOKUP(F3570,'Set up'!$A$2:$C$70,2,FALSE)</f>
        <v>C00000027</v>
      </c>
      <c r="F3570" s="99" t="s">
        <v>859</v>
      </c>
      <c r="G3570" s="99" t="s">
        <v>2144</v>
      </c>
      <c r="H3570" s="105">
        <v>2</v>
      </c>
      <c r="I3570" s="5" t="str">
        <f>VLOOKUP(F3570,'Set up'!$A$2:$C$70,3,FALSE)</f>
        <v>Cash</v>
      </c>
      <c r="J3570" s="5">
        <f>VLOOKUP(F3570,'Set up'!$A$2:$D$70,4,FALSE)</f>
        <v>0</v>
      </c>
      <c r="K3570" s="4">
        <f t="shared" si="886"/>
        <v>45664</v>
      </c>
      <c r="L3570" s="5">
        <f t="shared" si="887"/>
        <v>1</v>
      </c>
      <c r="M3570" s="5">
        <f t="shared" si="888"/>
        <v>2025</v>
      </c>
      <c r="N3570" s="135">
        <v>563.20000000000005</v>
      </c>
      <c r="O3570" s="12"/>
      <c r="P3570" s="12">
        <f t="shared" si="901"/>
        <v>563.20000000000005</v>
      </c>
      <c r="Q3570" s="7">
        <f t="shared" si="891"/>
        <v>5863241.6500000004</v>
      </c>
      <c r="R3570" s="44" t="str">
        <f>VLOOKUP(F3570,'Set up'!$A$2:$E$70,5,FALSE)</f>
        <v>Trsf</v>
      </c>
    </row>
    <row r="3571" spans="1:19" ht="16.2" customHeight="1" x14ac:dyDescent="0.3">
      <c r="A3571" s="140">
        <v>45664</v>
      </c>
      <c r="B3571" s="5">
        <f t="shared" si="884"/>
        <v>1</v>
      </c>
      <c r="C3571" s="5">
        <f t="shared" si="885"/>
        <v>2025</v>
      </c>
      <c r="D3571" s="105" t="s">
        <v>3338</v>
      </c>
      <c r="E3571" s="5" t="str">
        <f>VLOOKUP(F3571,'Set up'!$A$2:$C$70,2,FALSE)</f>
        <v>C00000027</v>
      </c>
      <c r="F3571" s="99" t="s">
        <v>859</v>
      </c>
      <c r="G3571" s="99" t="s">
        <v>1061</v>
      </c>
      <c r="H3571" s="105">
        <v>2</v>
      </c>
      <c r="I3571" s="5" t="str">
        <f>VLOOKUP(F3571,'Set up'!$A$2:$C$70,3,FALSE)</f>
        <v>Cash</v>
      </c>
      <c r="J3571" s="5">
        <f>VLOOKUP(F3571,'Set up'!$A$2:$D$70,4,FALSE)</f>
        <v>0</v>
      </c>
      <c r="K3571" s="4">
        <f t="shared" si="886"/>
        <v>45664</v>
      </c>
      <c r="L3571" s="5">
        <f t="shared" si="887"/>
        <v>1</v>
      </c>
      <c r="M3571" s="5">
        <f t="shared" si="888"/>
        <v>2025</v>
      </c>
      <c r="N3571" s="135">
        <v>190</v>
      </c>
      <c r="O3571" s="12"/>
      <c r="P3571" s="12">
        <f t="shared" si="901"/>
        <v>190</v>
      </c>
      <c r="Q3571" s="7">
        <f t="shared" si="891"/>
        <v>5863431.6500000004</v>
      </c>
      <c r="R3571" s="44" t="str">
        <f>VLOOKUP(F3571,'Set up'!$A$2:$E$70,5,FALSE)</f>
        <v>Trsf</v>
      </c>
    </row>
    <row r="3572" spans="1:19" ht="16.2" customHeight="1" x14ac:dyDescent="0.3">
      <c r="A3572" s="140">
        <v>45664</v>
      </c>
      <c r="B3572" s="5">
        <f t="shared" si="884"/>
        <v>1</v>
      </c>
      <c r="C3572" s="5">
        <f t="shared" si="885"/>
        <v>2025</v>
      </c>
      <c r="D3572" s="105" t="s">
        <v>3338</v>
      </c>
      <c r="E3572" s="5" t="str">
        <f>VLOOKUP(F3572,'Set up'!$A$2:$C$70,2,FALSE)</f>
        <v>C00000027</v>
      </c>
      <c r="F3572" s="99" t="s">
        <v>859</v>
      </c>
      <c r="G3572" s="99" t="s">
        <v>3339</v>
      </c>
      <c r="H3572" s="105">
        <v>1</v>
      </c>
      <c r="I3572" s="5" t="str">
        <f>VLOOKUP(F3572,'Set up'!$A$2:$C$70,3,FALSE)</f>
        <v>Cash</v>
      </c>
      <c r="J3572" s="5">
        <f>VLOOKUP(F3572,'Set up'!$A$2:$D$70,4,FALSE)</f>
        <v>0</v>
      </c>
      <c r="K3572" s="4">
        <f t="shared" si="886"/>
        <v>45664</v>
      </c>
      <c r="L3572" s="5">
        <f t="shared" si="887"/>
        <v>1</v>
      </c>
      <c r="M3572" s="5">
        <f t="shared" si="888"/>
        <v>2025</v>
      </c>
      <c r="N3572" s="135">
        <v>170</v>
      </c>
      <c r="O3572" s="12"/>
      <c r="P3572" s="12">
        <f t="shared" si="901"/>
        <v>170</v>
      </c>
      <c r="Q3572" s="7">
        <f t="shared" si="891"/>
        <v>5863601.6500000004</v>
      </c>
      <c r="R3572" s="44" t="str">
        <f>VLOOKUP(F3572,'Set up'!$A$2:$E$70,5,FALSE)</f>
        <v>Trsf</v>
      </c>
    </row>
    <row r="3573" spans="1:19" ht="16.2" customHeight="1" x14ac:dyDescent="0.3">
      <c r="A3573" s="140">
        <v>45664</v>
      </c>
      <c r="B3573" s="5">
        <f t="shared" si="884"/>
        <v>1</v>
      </c>
      <c r="C3573" s="5">
        <f t="shared" si="885"/>
        <v>2025</v>
      </c>
      <c r="D3573" s="105" t="s">
        <v>3338</v>
      </c>
      <c r="E3573" s="5" t="str">
        <f>VLOOKUP(F3573,'Set up'!$A$2:$C$70,2,FALSE)</f>
        <v>C00000027</v>
      </c>
      <c r="F3573" s="99" t="s">
        <v>859</v>
      </c>
      <c r="G3573" s="99" t="s">
        <v>1399</v>
      </c>
      <c r="H3573" s="105">
        <v>2</v>
      </c>
      <c r="I3573" s="5" t="str">
        <f>VLOOKUP(F3573,'Set up'!$A$2:$C$70,3,FALSE)</f>
        <v>Cash</v>
      </c>
      <c r="J3573" s="5">
        <f>VLOOKUP(F3573,'Set up'!$A$2:$D$70,4,FALSE)</f>
        <v>0</v>
      </c>
      <c r="K3573" s="4">
        <f t="shared" si="886"/>
        <v>45664</v>
      </c>
      <c r="L3573" s="5">
        <f t="shared" si="887"/>
        <v>1</v>
      </c>
      <c r="M3573" s="5">
        <f t="shared" si="888"/>
        <v>2025</v>
      </c>
      <c r="N3573" s="135">
        <v>320</v>
      </c>
      <c r="O3573" s="12"/>
      <c r="P3573" s="12">
        <f t="shared" si="901"/>
        <v>320</v>
      </c>
      <c r="Q3573" s="7">
        <f t="shared" si="891"/>
        <v>5863921.6500000004</v>
      </c>
      <c r="R3573" s="44" t="str">
        <f>VLOOKUP(F3573,'Set up'!$A$2:$E$70,5,FALSE)</f>
        <v>Trsf</v>
      </c>
    </row>
    <row r="3574" spans="1:19" ht="16.2" customHeight="1" x14ac:dyDescent="0.3">
      <c r="A3574" s="140">
        <v>45664</v>
      </c>
      <c r="B3574" s="5">
        <f t="shared" si="884"/>
        <v>1</v>
      </c>
      <c r="C3574" s="5">
        <f t="shared" si="885"/>
        <v>2025</v>
      </c>
      <c r="D3574" s="105" t="s">
        <v>3338</v>
      </c>
      <c r="E3574" s="5" t="str">
        <f>VLOOKUP(F3574,'Set up'!$A$2:$C$70,2,FALSE)</f>
        <v>C00000027</v>
      </c>
      <c r="F3574" s="99" t="s">
        <v>859</v>
      </c>
      <c r="G3574" s="99" t="s">
        <v>3340</v>
      </c>
      <c r="H3574" s="105">
        <v>1</v>
      </c>
      <c r="I3574" s="5" t="str">
        <f>VLOOKUP(F3574,'Set up'!$A$2:$C$70,3,FALSE)</f>
        <v>Cash</v>
      </c>
      <c r="J3574" s="5">
        <f>VLOOKUP(F3574,'Set up'!$A$2:$D$70,4,FALSE)</f>
        <v>0</v>
      </c>
      <c r="K3574" s="4">
        <f t="shared" si="886"/>
        <v>45664</v>
      </c>
      <c r="L3574" s="5">
        <f t="shared" si="887"/>
        <v>1</v>
      </c>
      <c r="M3574" s="5">
        <f t="shared" si="888"/>
        <v>2025</v>
      </c>
      <c r="N3574" s="135">
        <v>120</v>
      </c>
      <c r="O3574" s="12"/>
      <c r="P3574" s="12">
        <f t="shared" si="901"/>
        <v>120</v>
      </c>
      <c r="Q3574" s="7">
        <f t="shared" si="891"/>
        <v>5864041.6500000004</v>
      </c>
      <c r="R3574" s="44" t="str">
        <f>VLOOKUP(F3574,'Set up'!$A$2:$E$70,5,FALSE)</f>
        <v>Trsf</v>
      </c>
    </row>
    <row r="3575" spans="1:19" ht="16.2" customHeight="1" x14ac:dyDescent="0.3">
      <c r="A3575" s="140">
        <v>45664</v>
      </c>
      <c r="B3575" s="5">
        <f t="shared" si="884"/>
        <v>1</v>
      </c>
      <c r="C3575" s="5">
        <f t="shared" si="885"/>
        <v>2025</v>
      </c>
      <c r="D3575" s="105" t="s">
        <v>3338</v>
      </c>
      <c r="E3575" s="5" t="str">
        <f>VLOOKUP(F3575,'Set up'!$A$2:$C$70,2,FALSE)</f>
        <v>C00000027</v>
      </c>
      <c r="F3575" s="99" t="s">
        <v>859</v>
      </c>
      <c r="G3575" s="99" t="s">
        <v>2449</v>
      </c>
      <c r="H3575" s="105">
        <v>1</v>
      </c>
      <c r="I3575" s="5" t="str">
        <f>VLOOKUP(F3575,'Set up'!$A$2:$C$70,3,FALSE)</f>
        <v>Cash</v>
      </c>
      <c r="J3575" s="5">
        <f>VLOOKUP(F3575,'Set up'!$A$2:$D$70,4,FALSE)</f>
        <v>0</v>
      </c>
      <c r="K3575" s="4">
        <f t="shared" si="886"/>
        <v>45664</v>
      </c>
      <c r="L3575" s="5">
        <f t="shared" si="887"/>
        <v>1</v>
      </c>
      <c r="M3575" s="5">
        <f t="shared" si="888"/>
        <v>2025</v>
      </c>
      <c r="N3575" s="135">
        <v>420</v>
      </c>
      <c r="O3575" s="12"/>
      <c r="P3575" s="12">
        <f t="shared" si="901"/>
        <v>420</v>
      </c>
      <c r="Q3575" s="7">
        <f t="shared" si="891"/>
        <v>5864461.6500000004</v>
      </c>
      <c r="R3575" s="44" t="str">
        <f>VLOOKUP(F3575,'Set up'!$A$2:$E$70,5,FALSE)</f>
        <v>Trsf</v>
      </c>
    </row>
    <row r="3576" spans="1:19" ht="16.2" customHeight="1" x14ac:dyDescent="0.3">
      <c r="A3576" s="140">
        <v>45664</v>
      </c>
      <c r="B3576" s="5">
        <f t="shared" si="884"/>
        <v>1</v>
      </c>
      <c r="C3576" s="5">
        <f t="shared" si="885"/>
        <v>2025</v>
      </c>
      <c r="D3576" s="105" t="s">
        <v>3338</v>
      </c>
      <c r="E3576" s="5" t="str">
        <f>VLOOKUP(F3576,'Set up'!$A$2:$C$70,2,FALSE)</f>
        <v>C00000027</v>
      </c>
      <c r="F3576" s="99" t="s">
        <v>859</v>
      </c>
      <c r="G3576" s="99" t="s">
        <v>949</v>
      </c>
      <c r="H3576" s="105">
        <v>3</v>
      </c>
      <c r="I3576" s="5" t="str">
        <f>VLOOKUP(F3576,'Set up'!$A$2:$C$70,3,FALSE)</f>
        <v>Cash</v>
      </c>
      <c r="J3576" s="5">
        <f>VLOOKUP(F3576,'Set up'!$A$2:$D$70,4,FALSE)</f>
        <v>0</v>
      </c>
      <c r="K3576" s="4">
        <f t="shared" si="886"/>
        <v>45664</v>
      </c>
      <c r="L3576" s="5">
        <f t="shared" si="887"/>
        <v>1</v>
      </c>
      <c r="M3576" s="5">
        <f t="shared" si="888"/>
        <v>2025</v>
      </c>
      <c r="N3576" s="135">
        <v>180</v>
      </c>
      <c r="O3576" s="12"/>
      <c r="P3576" s="12">
        <f t="shared" si="901"/>
        <v>180</v>
      </c>
      <c r="Q3576" s="7">
        <f t="shared" si="891"/>
        <v>5864641.6500000004</v>
      </c>
      <c r="R3576" s="44" t="str">
        <f>VLOOKUP(F3576,'Set up'!$A$2:$E$70,5,FALSE)</f>
        <v>Trsf</v>
      </c>
    </row>
    <row r="3577" spans="1:19" ht="16.2" customHeight="1" x14ac:dyDescent="0.3">
      <c r="A3577" s="140">
        <v>45665</v>
      </c>
      <c r="B3577" s="5">
        <f t="shared" si="884"/>
        <v>1</v>
      </c>
      <c r="C3577" s="5">
        <f t="shared" si="885"/>
        <v>2025</v>
      </c>
      <c r="D3577" s="105" t="s">
        <v>3341</v>
      </c>
      <c r="E3577" s="5" t="str">
        <f>VLOOKUP(F3577,'Set up'!$A$2:$C$70,2,FALSE)</f>
        <v>C00000042</v>
      </c>
      <c r="F3577" s="99" t="s">
        <v>2012</v>
      </c>
      <c r="G3577" s="99" t="s">
        <v>2646</v>
      </c>
      <c r="H3577" s="105">
        <v>2</v>
      </c>
      <c r="I3577" s="5" t="str">
        <f>VLOOKUP(F3577,'Set up'!$A$2:$C$70,3,FALSE)</f>
        <v>Cash</v>
      </c>
      <c r="J3577" s="5">
        <f>VLOOKUP(F3577,'Set up'!$A$2:$D$70,4,FALSE)</f>
        <v>0</v>
      </c>
      <c r="K3577" s="4">
        <f t="shared" si="886"/>
        <v>45665</v>
      </c>
      <c r="L3577" s="5">
        <f t="shared" si="887"/>
        <v>1</v>
      </c>
      <c r="M3577" s="5">
        <f t="shared" si="888"/>
        <v>2025</v>
      </c>
      <c r="N3577" s="135">
        <v>125</v>
      </c>
      <c r="O3577" s="6">
        <f t="shared" ref="O3577:O3578" si="904">-N3577</f>
        <v>-125</v>
      </c>
      <c r="P3577" s="12">
        <f t="shared" si="901"/>
        <v>0</v>
      </c>
      <c r="Q3577" s="7">
        <f t="shared" si="891"/>
        <v>5864766.6500000004</v>
      </c>
      <c r="R3577" s="44" t="str">
        <f>VLOOKUP(F3577,'Set up'!$A$2:$E$70,5,FALSE)</f>
        <v>Trsf</v>
      </c>
      <c r="S3577" s="1" t="s">
        <v>3802</v>
      </c>
    </row>
    <row r="3578" spans="1:19" ht="16.2" customHeight="1" x14ac:dyDescent="0.3">
      <c r="A3578" s="140">
        <v>45665</v>
      </c>
      <c r="B3578" s="5">
        <f t="shared" si="884"/>
        <v>1</v>
      </c>
      <c r="C3578" s="5">
        <f t="shared" si="885"/>
        <v>2025</v>
      </c>
      <c r="D3578" s="105" t="s">
        <v>3342</v>
      </c>
      <c r="E3578" s="5" t="str">
        <f>VLOOKUP(F3578,'Set up'!$A$2:$C$70,2,FALSE)</f>
        <v>C00000042</v>
      </c>
      <c r="F3578" s="99" t="s">
        <v>2012</v>
      </c>
      <c r="G3578" s="99" t="s">
        <v>3122</v>
      </c>
      <c r="H3578" s="105">
        <v>5</v>
      </c>
      <c r="I3578" s="5" t="str">
        <f>VLOOKUP(F3578,'Set up'!$A$2:$C$70,3,FALSE)</f>
        <v>Cash</v>
      </c>
      <c r="J3578" s="5">
        <f>VLOOKUP(F3578,'Set up'!$A$2:$D$70,4,FALSE)</f>
        <v>0</v>
      </c>
      <c r="K3578" s="4">
        <f t="shared" si="886"/>
        <v>45665</v>
      </c>
      <c r="L3578" s="5">
        <f t="shared" si="887"/>
        <v>1</v>
      </c>
      <c r="M3578" s="5">
        <f t="shared" si="888"/>
        <v>2025</v>
      </c>
      <c r="N3578" s="135">
        <v>8100</v>
      </c>
      <c r="O3578" s="6">
        <f t="shared" si="904"/>
        <v>-8100</v>
      </c>
      <c r="P3578" s="12">
        <f t="shared" si="901"/>
        <v>0</v>
      </c>
      <c r="Q3578" s="7">
        <f t="shared" si="891"/>
        <v>5872866.6500000004</v>
      </c>
      <c r="R3578" s="44" t="str">
        <f>VLOOKUP(F3578,'Set up'!$A$2:$E$70,5,FALSE)</f>
        <v>Trsf</v>
      </c>
      <c r="S3578" s="1" t="s">
        <v>3803</v>
      </c>
    </row>
    <row r="3579" spans="1:19" ht="16.2" customHeight="1" x14ac:dyDescent="0.3">
      <c r="A3579" s="140">
        <v>45665</v>
      </c>
      <c r="B3579" s="5">
        <f t="shared" si="884"/>
        <v>1</v>
      </c>
      <c r="C3579" s="5">
        <f t="shared" si="885"/>
        <v>2025</v>
      </c>
      <c r="D3579" s="105" t="s">
        <v>3342</v>
      </c>
      <c r="E3579" s="5" t="str">
        <f>VLOOKUP(F3579,'Set up'!$A$2:$C$70,2,FALSE)</f>
        <v>C00000042</v>
      </c>
      <c r="F3579" s="99" t="s">
        <v>2012</v>
      </c>
      <c r="G3579" s="99" t="s">
        <v>3243</v>
      </c>
      <c r="H3579" s="105">
        <v>15</v>
      </c>
      <c r="I3579" s="5" t="str">
        <f>VLOOKUP(F3579,'Set up'!$A$2:$C$70,3,FALSE)</f>
        <v>Cash</v>
      </c>
      <c r="J3579" s="5">
        <f>VLOOKUP(F3579,'Set up'!$A$2:$D$70,4,FALSE)</f>
        <v>0</v>
      </c>
      <c r="K3579" s="4">
        <f t="shared" si="886"/>
        <v>45665</v>
      </c>
      <c r="L3579" s="5">
        <f t="shared" si="887"/>
        <v>1</v>
      </c>
      <c r="M3579" s="5">
        <f t="shared" si="888"/>
        <v>2025</v>
      </c>
      <c r="N3579" s="135">
        <v>2610</v>
      </c>
      <c r="O3579" s="12">
        <f>-1431.1-1178.9</f>
        <v>-2610</v>
      </c>
      <c r="P3579" s="12">
        <f t="shared" si="901"/>
        <v>0</v>
      </c>
      <c r="Q3579" s="7">
        <f t="shared" si="891"/>
        <v>5875476.6500000004</v>
      </c>
      <c r="R3579" s="44" t="str">
        <f>VLOOKUP(F3579,'Set up'!$A$2:$E$70,5,FALSE)</f>
        <v>Trsf</v>
      </c>
      <c r="S3579" s="1" t="s">
        <v>3812</v>
      </c>
    </row>
    <row r="3580" spans="1:19" ht="16.2" customHeight="1" x14ac:dyDescent="0.3">
      <c r="A3580" s="140">
        <v>45665</v>
      </c>
      <c r="B3580" s="5">
        <f t="shared" si="884"/>
        <v>1</v>
      </c>
      <c r="C3580" s="5">
        <f t="shared" si="885"/>
        <v>2025</v>
      </c>
      <c r="D3580" s="105" t="s">
        <v>3342</v>
      </c>
      <c r="E3580" s="5" t="str">
        <f>VLOOKUP(F3580,'Set up'!$A$2:$C$70,2,FALSE)</f>
        <v>C00000042</v>
      </c>
      <c r="F3580" s="99" t="s">
        <v>2012</v>
      </c>
      <c r="G3580" s="99" t="s">
        <v>1922</v>
      </c>
      <c r="H3580" s="105">
        <v>7</v>
      </c>
      <c r="I3580" s="5" t="str">
        <f>VLOOKUP(F3580,'Set up'!$A$2:$C$70,3,FALSE)</f>
        <v>Cash</v>
      </c>
      <c r="J3580" s="5">
        <f>VLOOKUP(F3580,'Set up'!$A$2:$D$70,4,FALSE)</f>
        <v>0</v>
      </c>
      <c r="K3580" s="4">
        <f t="shared" si="886"/>
        <v>45665</v>
      </c>
      <c r="L3580" s="5">
        <f t="shared" si="887"/>
        <v>1</v>
      </c>
      <c r="M3580" s="5">
        <f t="shared" si="888"/>
        <v>2025</v>
      </c>
      <c r="N3580" s="135">
        <v>1732.5</v>
      </c>
      <c r="O3580" s="6">
        <f t="shared" ref="O3580:O3583" si="905">-N3580</f>
        <v>-1732.5</v>
      </c>
      <c r="P3580" s="12">
        <f t="shared" si="901"/>
        <v>0</v>
      </c>
      <c r="Q3580" s="7">
        <f t="shared" si="891"/>
        <v>5877209.1500000004</v>
      </c>
      <c r="R3580" s="44" t="str">
        <f>VLOOKUP(F3580,'Set up'!$A$2:$E$70,5,FALSE)</f>
        <v>Trsf</v>
      </c>
      <c r="S3580" s="1" t="s">
        <v>3804</v>
      </c>
    </row>
    <row r="3581" spans="1:19" ht="16.2" customHeight="1" x14ac:dyDescent="0.3">
      <c r="A3581" s="140">
        <v>45665</v>
      </c>
      <c r="B3581" s="5">
        <f t="shared" si="884"/>
        <v>1</v>
      </c>
      <c r="C3581" s="5">
        <f t="shared" si="885"/>
        <v>2025</v>
      </c>
      <c r="D3581" s="105" t="s">
        <v>3342</v>
      </c>
      <c r="E3581" s="5" t="str">
        <f>VLOOKUP(F3581,'Set up'!$A$2:$C$70,2,FALSE)</f>
        <v>C00000042</v>
      </c>
      <c r="F3581" s="99" t="s">
        <v>2012</v>
      </c>
      <c r="G3581" s="99" t="s">
        <v>46</v>
      </c>
      <c r="H3581" s="105">
        <v>6</v>
      </c>
      <c r="I3581" s="5" t="str">
        <f>VLOOKUP(F3581,'Set up'!$A$2:$C$70,3,FALSE)</f>
        <v>Cash</v>
      </c>
      <c r="J3581" s="5">
        <f>VLOOKUP(F3581,'Set up'!$A$2:$D$70,4,FALSE)</f>
        <v>0</v>
      </c>
      <c r="K3581" s="4">
        <f t="shared" si="886"/>
        <v>45665</v>
      </c>
      <c r="L3581" s="5">
        <f t="shared" si="887"/>
        <v>1</v>
      </c>
      <c r="M3581" s="5">
        <f t="shared" si="888"/>
        <v>2025</v>
      </c>
      <c r="N3581" s="135">
        <v>690</v>
      </c>
      <c r="O3581" s="6">
        <f t="shared" si="905"/>
        <v>-690</v>
      </c>
      <c r="P3581" s="12">
        <f t="shared" si="901"/>
        <v>0</v>
      </c>
      <c r="Q3581" s="7">
        <f t="shared" si="891"/>
        <v>5877899.1500000004</v>
      </c>
      <c r="R3581" s="44" t="str">
        <f>VLOOKUP(F3581,'Set up'!$A$2:$E$70,5,FALSE)</f>
        <v>Trsf</v>
      </c>
      <c r="S3581" s="1" t="s">
        <v>3805</v>
      </c>
    </row>
    <row r="3582" spans="1:19" ht="16.2" customHeight="1" x14ac:dyDescent="0.3">
      <c r="A3582" s="140">
        <v>45665</v>
      </c>
      <c r="B3582" s="5">
        <f t="shared" si="884"/>
        <v>1</v>
      </c>
      <c r="C3582" s="5">
        <f t="shared" si="885"/>
        <v>2025</v>
      </c>
      <c r="D3582" s="105" t="s">
        <v>3342</v>
      </c>
      <c r="E3582" s="5" t="str">
        <f>VLOOKUP(F3582,'Set up'!$A$2:$C$70,2,FALSE)</f>
        <v>C00000042</v>
      </c>
      <c r="F3582" s="99" t="s">
        <v>2012</v>
      </c>
      <c r="G3582" s="99" t="s">
        <v>2744</v>
      </c>
      <c r="H3582" s="105">
        <v>1</v>
      </c>
      <c r="I3582" s="5" t="str">
        <f>VLOOKUP(F3582,'Set up'!$A$2:$C$70,3,FALSE)</f>
        <v>Cash</v>
      </c>
      <c r="J3582" s="5">
        <f>VLOOKUP(F3582,'Set up'!$A$2:$D$70,4,FALSE)</f>
        <v>0</v>
      </c>
      <c r="K3582" s="4">
        <f t="shared" si="886"/>
        <v>45665</v>
      </c>
      <c r="L3582" s="5">
        <f t="shared" si="887"/>
        <v>1</v>
      </c>
      <c r="M3582" s="5">
        <f t="shared" si="888"/>
        <v>2025</v>
      </c>
      <c r="N3582" s="135">
        <v>975</v>
      </c>
      <c r="O3582" s="6">
        <f t="shared" si="905"/>
        <v>-975</v>
      </c>
      <c r="P3582" s="12">
        <f t="shared" si="901"/>
        <v>0</v>
      </c>
      <c r="Q3582" s="7">
        <f t="shared" si="891"/>
        <v>5878874.1500000004</v>
      </c>
      <c r="R3582" s="44" t="str">
        <f>VLOOKUP(F3582,'Set up'!$A$2:$E$70,5,FALSE)</f>
        <v>Trsf</v>
      </c>
      <c r="S3582" s="1" t="s">
        <v>3806</v>
      </c>
    </row>
    <row r="3583" spans="1:19" ht="16.2" customHeight="1" x14ac:dyDescent="0.3">
      <c r="A3583" s="140">
        <v>45667</v>
      </c>
      <c r="B3583" s="5">
        <f t="shared" si="884"/>
        <v>1</v>
      </c>
      <c r="C3583" s="5">
        <f t="shared" si="885"/>
        <v>2025</v>
      </c>
      <c r="D3583" s="105" t="s">
        <v>3343</v>
      </c>
      <c r="E3583" s="5" t="str">
        <f>VLOOKUP(F3583,'Set up'!$A$2:$C$70,2,FALSE)</f>
        <v>C00000042</v>
      </c>
      <c r="F3583" s="99" t="s">
        <v>2012</v>
      </c>
      <c r="G3583" s="99" t="s">
        <v>2646</v>
      </c>
      <c r="H3583" s="105">
        <v>1</v>
      </c>
      <c r="I3583" s="5" t="str">
        <f>VLOOKUP(F3583,'Set up'!$A$2:$C$70,3,FALSE)</f>
        <v>Cash</v>
      </c>
      <c r="J3583" s="5">
        <f>VLOOKUP(F3583,'Set up'!$A$2:$D$70,4,FALSE)</f>
        <v>0</v>
      </c>
      <c r="K3583" s="4">
        <f t="shared" si="886"/>
        <v>45667</v>
      </c>
      <c r="L3583" s="5">
        <f t="shared" si="887"/>
        <v>1</v>
      </c>
      <c r="M3583" s="5">
        <f t="shared" si="888"/>
        <v>2025</v>
      </c>
      <c r="N3583" s="135">
        <v>62.5</v>
      </c>
      <c r="O3583" s="6">
        <f t="shared" si="905"/>
        <v>-62.5</v>
      </c>
      <c r="P3583" s="12">
        <f t="shared" si="901"/>
        <v>0</v>
      </c>
      <c r="Q3583" s="7">
        <f t="shared" si="891"/>
        <v>5878936.6500000004</v>
      </c>
      <c r="R3583" s="44" t="str">
        <f>VLOOKUP(F3583,'Set up'!$A$2:$E$70,5,FALSE)</f>
        <v>Trsf</v>
      </c>
      <c r="S3583" s="1" t="s">
        <v>3807</v>
      </c>
    </row>
    <row r="3584" spans="1:19" ht="16.2" customHeight="1" x14ac:dyDescent="0.3">
      <c r="A3584" s="140">
        <v>45667</v>
      </c>
      <c r="B3584" s="5">
        <f t="shared" si="884"/>
        <v>1</v>
      </c>
      <c r="C3584" s="5">
        <f t="shared" si="885"/>
        <v>2025</v>
      </c>
      <c r="D3584" s="105" t="s">
        <v>3344</v>
      </c>
      <c r="E3584" s="5" t="str">
        <f>VLOOKUP(F3584,'Set up'!$A$2:$C$70,2,FALSE)</f>
        <v>C00000042</v>
      </c>
      <c r="F3584" s="99" t="s">
        <v>2012</v>
      </c>
      <c r="G3584" s="99" t="s">
        <v>3122</v>
      </c>
      <c r="H3584" s="105">
        <v>3</v>
      </c>
      <c r="I3584" s="5" t="str">
        <f>VLOOKUP(F3584,'Set up'!$A$2:$C$70,3,FALSE)</f>
        <v>Cash</v>
      </c>
      <c r="J3584" s="5">
        <f>VLOOKUP(F3584,'Set up'!$A$2:$D$70,4,FALSE)</f>
        <v>0</v>
      </c>
      <c r="K3584" s="4">
        <f t="shared" si="886"/>
        <v>45667</v>
      </c>
      <c r="L3584" s="5">
        <f t="shared" si="887"/>
        <v>1</v>
      </c>
      <c r="M3584" s="5">
        <f t="shared" si="888"/>
        <v>2025</v>
      </c>
      <c r="N3584" s="135">
        <v>4860</v>
      </c>
      <c r="O3584" s="12">
        <f>-3861.1-998.9</f>
        <v>-4860</v>
      </c>
      <c r="P3584" s="12">
        <f t="shared" si="901"/>
        <v>0</v>
      </c>
      <c r="Q3584" s="7">
        <f t="shared" si="891"/>
        <v>5883796.6500000004</v>
      </c>
      <c r="R3584" s="44" t="str">
        <f>VLOOKUP(F3584,'Set up'!$A$2:$E$70,5,FALSE)</f>
        <v>Trsf</v>
      </c>
      <c r="S3584" s="1" t="s">
        <v>3813</v>
      </c>
    </row>
    <row r="3585" spans="1:19" ht="16.2" customHeight="1" x14ac:dyDescent="0.3">
      <c r="A3585" s="140">
        <v>45667</v>
      </c>
      <c r="B3585" s="5">
        <f t="shared" si="884"/>
        <v>1</v>
      </c>
      <c r="C3585" s="5">
        <f t="shared" si="885"/>
        <v>2025</v>
      </c>
      <c r="D3585" s="105" t="s">
        <v>3344</v>
      </c>
      <c r="E3585" s="5" t="str">
        <f>VLOOKUP(F3585,'Set up'!$A$2:$C$70,2,FALSE)</f>
        <v>C00000042</v>
      </c>
      <c r="F3585" s="99" t="s">
        <v>2012</v>
      </c>
      <c r="G3585" s="99" t="s">
        <v>3243</v>
      </c>
      <c r="H3585" s="105">
        <v>9</v>
      </c>
      <c r="I3585" s="5" t="str">
        <f>VLOOKUP(F3585,'Set up'!$A$2:$C$70,3,FALSE)</f>
        <v>Cash</v>
      </c>
      <c r="J3585" s="5">
        <f>VLOOKUP(F3585,'Set up'!$A$2:$D$70,4,FALSE)</f>
        <v>0</v>
      </c>
      <c r="K3585" s="4">
        <f t="shared" si="886"/>
        <v>45667</v>
      </c>
      <c r="L3585" s="5">
        <f t="shared" si="887"/>
        <v>1</v>
      </c>
      <c r="M3585" s="5">
        <f t="shared" si="888"/>
        <v>2025</v>
      </c>
      <c r="N3585" s="135">
        <v>1566</v>
      </c>
      <c r="O3585" s="6">
        <f t="shared" ref="O3585:O3592" si="906">-N3585</f>
        <v>-1566</v>
      </c>
      <c r="P3585" s="12">
        <f t="shared" si="901"/>
        <v>0</v>
      </c>
      <c r="Q3585" s="7">
        <f t="shared" si="891"/>
        <v>5885362.6500000004</v>
      </c>
      <c r="R3585" s="44" t="str">
        <f>VLOOKUP(F3585,'Set up'!$A$2:$E$70,5,FALSE)</f>
        <v>Trsf</v>
      </c>
      <c r="S3585" s="1" t="s">
        <v>3814</v>
      </c>
    </row>
    <row r="3586" spans="1:19" ht="16.2" customHeight="1" x14ac:dyDescent="0.3">
      <c r="A3586" s="140">
        <v>45667</v>
      </c>
      <c r="B3586" s="5">
        <f t="shared" si="884"/>
        <v>1</v>
      </c>
      <c r="C3586" s="5">
        <f t="shared" si="885"/>
        <v>2025</v>
      </c>
      <c r="D3586" s="105" t="s">
        <v>3344</v>
      </c>
      <c r="E3586" s="5" t="str">
        <f>VLOOKUP(F3586,'Set up'!$A$2:$C$70,2,FALSE)</f>
        <v>C00000042</v>
      </c>
      <c r="F3586" s="99" t="s">
        <v>2012</v>
      </c>
      <c r="G3586" s="99" t="s">
        <v>1922</v>
      </c>
      <c r="H3586" s="105">
        <v>4</v>
      </c>
      <c r="I3586" s="5" t="str">
        <f>VLOOKUP(F3586,'Set up'!$A$2:$C$70,3,FALSE)</f>
        <v>Cash</v>
      </c>
      <c r="J3586" s="5">
        <f>VLOOKUP(F3586,'Set up'!$A$2:$D$70,4,FALSE)</f>
        <v>0</v>
      </c>
      <c r="K3586" s="4">
        <f t="shared" si="886"/>
        <v>45667</v>
      </c>
      <c r="L3586" s="5">
        <f t="shared" si="887"/>
        <v>1</v>
      </c>
      <c r="M3586" s="5">
        <f t="shared" si="888"/>
        <v>2025</v>
      </c>
      <c r="N3586" s="135">
        <v>990</v>
      </c>
      <c r="O3586" s="6">
        <f t="shared" si="906"/>
        <v>-990</v>
      </c>
      <c r="P3586" s="12">
        <f t="shared" si="901"/>
        <v>0</v>
      </c>
      <c r="Q3586" s="7">
        <f t="shared" si="891"/>
        <v>5886352.6500000004</v>
      </c>
      <c r="R3586" s="44" t="str">
        <f>VLOOKUP(F3586,'Set up'!$A$2:$E$70,5,FALSE)</f>
        <v>Trsf</v>
      </c>
      <c r="S3586" s="1" t="s">
        <v>3815</v>
      </c>
    </row>
    <row r="3587" spans="1:19" ht="16.2" customHeight="1" x14ac:dyDescent="0.3">
      <c r="A3587" s="140">
        <v>45668</v>
      </c>
      <c r="B3587" s="5">
        <f t="shared" ref="B3587:B3650" si="907">MONTH(A3587)</f>
        <v>1</v>
      </c>
      <c r="C3587" s="5">
        <f t="shared" ref="C3587:C3650" si="908">YEAR(A3587)</f>
        <v>2025</v>
      </c>
      <c r="D3587" s="105" t="s">
        <v>3345</v>
      </c>
      <c r="E3587" s="5" t="str">
        <f>VLOOKUP(F3587,'Set up'!$A$2:$C$70,2,FALSE)</f>
        <v>C00000010</v>
      </c>
      <c r="F3587" s="99" t="s">
        <v>62</v>
      </c>
      <c r="G3587" s="99" t="s">
        <v>3119</v>
      </c>
      <c r="H3587" s="105">
        <v>8</v>
      </c>
      <c r="I3587" s="5">
        <f>VLOOKUP(F3587,'Set up'!$A$2:$C$70,3,FALSE)</f>
        <v>120</v>
      </c>
      <c r="J3587" s="5">
        <f>VLOOKUP(F3587,'Set up'!$A$2:$D$70,4,FALSE)</f>
        <v>120</v>
      </c>
      <c r="K3587" s="4">
        <f t="shared" ref="K3587:K3650" si="909">A3587+J3587</f>
        <v>45788</v>
      </c>
      <c r="L3587" s="5">
        <f t="shared" ref="L3587:L3650" si="910">MONTH(K3587)</f>
        <v>5</v>
      </c>
      <c r="M3587" s="5">
        <f t="shared" ref="M3587:M3650" si="911">YEAR(K3587)</f>
        <v>2025</v>
      </c>
      <c r="N3587" s="135">
        <v>12960</v>
      </c>
      <c r="O3587" s="6">
        <f t="shared" si="906"/>
        <v>-12960</v>
      </c>
      <c r="P3587" s="12">
        <f t="shared" ref="P3587:P3592" si="912">SUM(N3587+O3587)</f>
        <v>0</v>
      </c>
      <c r="Q3587" s="7">
        <f t="shared" ref="Q3587:Q3650" si="913">SUM(Q3586+N3587)</f>
        <v>5899312.6500000004</v>
      </c>
      <c r="R3587" s="44" t="str">
        <f>VLOOKUP(F3587,'Set up'!$A$2:$E$70,5,FALSE)</f>
        <v>Trsf</v>
      </c>
      <c r="S3587" s="1" t="s">
        <v>4070</v>
      </c>
    </row>
    <row r="3588" spans="1:19" ht="16.2" customHeight="1" x14ac:dyDescent="0.3">
      <c r="A3588" s="140">
        <v>45668</v>
      </c>
      <c r="B3588" s="5">
        <f t="shared" si="907"/>
        <v>1</v>
      </c>
      <c r="C3588" s="5">
        <f t="shared" si="908"/>
        <v>2025</v>
      </c>
      <c r="D3588" s="105" t="s">
        <v>3345</v>
      </c>
      <c r="E3588" s="5" t="str">
        <f>VLOOKUP(F3588,'Set up'!$A$2:$C$70,2,FALSE)</f>
        <v>C00000010</v>
      </c>
      <c r="F3588" s="99" t="s">
        <v>62</v>
      </c>
      <c r="G3588" s="99" t="s">
        <v>1543</v>
      </c>
      <c r="H3588" s="105">
        <v>10</v>
      </c>
      <c r="I3588" s="5">
        <f>VLOOKUP(F3588,'Set up'!$A$2:$C$70,3,FALSE)</f>
        <v>120</v>
      </c>
      <c r="J3588" s="5">
        <f>VLOOKUP(F3588,'Set up'!$A$2:$D$70,4,FALSE)</f>
        <v>120</v>
      </c>
      <c r="K3588" s="4">
        <f t="shared" si="909"/>
        <v>45788</v>
      </c>
      <c r="L3588" s="5">
        <f t="shared" si="910"/>
        <v>5</v>
      </c>
      <c r="M3588" s="5">
        <f t="shared" si="911"/>
        <v>2025</v>
      </c>
      <c r="N3588" s="135">
        <v>1740</v>
      </c>
      <c r="O3588" s="6">
        <f t="shared" si="906"/>
        <v>-1740</v>
      </c>
      <c r="P3588" s="12">
        <f t="shared" si="912"/>
        <v>0</v>
      </c>
      <c r="Q3588" s="7">
        <f t="shared" si="913"/>
        <v>5901052.6500000004</v>
      </c>
      <c r="R3588" s="44" t="str">
        <f>VLOOKUP(F3588,'Set up'!$A$2:$E$70,5,FALSE)</f>
        <v>Trsf</v>
      </c>
      <c r="S3588" s="1" t="s">
        <v>4070</v>
      </c>
    </row>
    <row r="3589" spans="1:19" ht="16.2" customHeight="1" x14ac:dyDescent="0.3">
      <c r="A3589" s="140">
        <v>45668</v>
      </c>
      <c r="B3589" s="5">
        <f t="shared" si="907"/>
        <v>1</v>
      </c>
      <c r="C3589" s="5">
        <f t="shared" si="908"/>
        <v>2025</v>
      </c>
      <c r="D3589" s="105" t="s">
        <v>3345</v>
      </c>
      <c r="E3589" s="5" t="str">
        <f>VLOOKUP(F3589,'Set up'!$A$2:$C$70,2,FALSE)</f>
        <v>C00000010</v>
      </c>
      <c r="F3589" s="99" t="s">
        <v>62</v>
      </c>
      <c r="G3589" s="99" t="s">
        <v>2635</v>
      </c>
      <c r="H3589" s="105">
        <v>20</v>
      </c>
      <c r="I3589" s="5">
        <f>VLOOKUP(F3589,'Set up'!$A$2:$C$70,3,FALSE)</f>
        <v>120</v>
      </c>
      <c r="J3589" s="5">
        <f>VLOOKUP(F3589,'Set up'!$A$2:$D$70,4,FALSE)</f>
        <v>120</v>
      </c>
      <c r="K3589" s="4">
        <f t="shared" si="909"/>
        <v>45788</v>
      </c>
      <c r="L3589" s="5">
        <f t="shared" si="910"/>
        <v>5</v>
      </c>
      <c r="M3589" s="5">
        <f t="shared" si="911"/>
        <v>2025</v>
      </c>
      <c r="N3589" s="135">
        <v>1150</v>
      </c>
      <c r="O3589" s="6">
        <f t="shared" si="906"/>
        <v>-1150</v>
      </c>
      <c r="P3589" s="12">
        <f t="shared" si="912"/>
        <v>0</v>
      </c>
      <c r="Q3589" s="7">
        <f t="shared" si="913"/>
        <v>5902202.6500000004</v>
      </c>
      <c r="R3589" s="44" t="str">
        <f>VLOOKUP(F3589,'Set up'!$A$2:$E$70,5,FALSE)</f>
        <v>Trsf</v>
      </c>
      <c r="S3589" s="1" t="s">
        <v>4070</v>
      </c>
    </row>
    <row r="3590" spans="1:19" ht="16.2" customHeight="1" x14ac:dyDescent="0.3">
      <c r="A3590" s="140">
        <v>45668</v>
      </c>
      <c r="B3590" s="5">
        <f t="shared" si="907"/>
        <v>1</v>
      </c>
      <c r="C3590" s="5">
        <f t="shared" si="908"/>
        <v>2025</v>
      </c>
      <c r="D3590" s="105" t="s">
        <v>3345</v>
      </c>
      <c r="E3590" s="5" t="str">
        <f>VLOOKUP(F3590,'Set up'!$A$2:$C$70,2,FALSE)</f>
        <v>C00000010</v>
      </c>
      <c r="F3590" s="99" t="s">
        <v>62</v>
      </c>
      <c r="G3590" s="99" t="s">
        <v>46</v>
      </c>
      <c r="H3590" s="105">
        <v>8</v>
      </c>
      <c r="I3590" s="5">
        <f>VLOOKUP(F3590,'Set up'!$A$2:$C$70,3,FALSE)</f>
        <v>120</v>
      </c>
      <c r="J3590" s="5">
        <f>VLOOKUP(F3590,'Set up'!$A$2:$D$70,4,FALSE)</f>
        <v>120</v>
      </c>
      <c r="K3590" s="4">
        <f t="shared" si="909"/>
        <v>45788</v>
      </c>
      <c r="L3590" s="5">
        <f t="shared" si="910"/>
        <v>5</v>
      </c>
      <c r="M3590" s="5">
        <f t="shared" si="911"/>
        <v>2025</v>
      </c>
      <c r="N3590" s="135">
        <v>880</v>
      </c>
      <c r="O3590" s="6">
        <f t="shared" si="906"/>
        <v>-880</v>
      </c>
      <c r="P3590" s="12">
        <f t="shared" si="912"/>
        <v>0</v>
      </c>
      <c r="Q3590" s="7">
        <f t="shared" si="913"/>
        <v>5903082.6500000004</v>
      </c>
      <c r="R3590" s="44" t="str">
        <f>VLOOKUP(F3590,'Set up'!$A$2:$E$70,5,FALSE)</f>
        <v>Trsf</v>
      </c>
      <c r="S3590" s="1" t="s">
        <v>4070</v>
      </c>
    </row>
    <row r="3591" spans="1:19" ht="16.2" customHeight="1" x14ac:dyDescent="0.3">
      <c r="A3591" s="140">
        <v>45668</v>
      </c>
      <c r="B3591" s="5">
        <f t="shared" si="907"/>
        <v>1</v>
      </c>
      <c r="C3591" s="5">
        <f t="shared" si="908"/>
        <v>2025</v>
      </c>
      <c r="D3591" s="105" t="s">
        <v>3345</v>
      </c>
      <c r="E3591" s="5" t="str">
        <f>VLOOKUP(F3591,'Set up'!$A$2:$C$70,2,FALSE)</f>
        <v>C00000010</v>
      </c>
      <c r="F3591" s="99" t="s">
        <v>62</v>
      </c>
      <c r="G3591" s="99" t="s">
        <v>2449</v>
      </c>
      <c r="H3591" s="105">
        <v>1</v>
      </c>
      <c r="I3591" s="5">
        <f>VLOOKUP(F3591,'Set up'!$A$2:$C$70,3,FALSE)</f>
        <v>120</v>
      </c>
      <c r="J3591" s="5">
        <f>VLOOKUP(F3591,'Set up'!$A$2:$D$70,4,FALSE)</f>
        <v>120</v>
      </c>
      <c r="K3591" s="4">
        <f t="shared" si="909"/>
        <v>45788</v>
      </c>
      <c r="L3591" s="5">
        <f t="shared" si="910"/>
        <v>5</v>
      </c>
      <c r="M3591" s="5">
        <f t="shared" si="911"/>
        <v>2025</v>
      </c>
      <c r="N3591" s="135">
        <v>420</v>
      </c>
      <c r="O3591" s="6">
        <f t="shared" si="906"/>
        <v>-420</v>
      </c>
      <c r="P3591" s="12">
        <f t="shared" si="912"/>
        <v>0</v>
      </c>
      <c r="Q3591" s="7">
        <f t="shared" si="913"/>
        <v>5903502.6500000004</v>
      </c>
      <c r="R3591" s="44" t="str">
        <f>VLOOKUP(F3591,'Set up'!$A$2:$E$70,5,FALSE)</f>
        <v>Trsf</v>
      </c>
      <c r="S3591" s="1" t="s">
        <v>4070</v>
      </c>
    </row>
    <row r="3592" spans="1:19" ht="16.2" customHeight="1" x14ac:dyDescent="0.3">
      <c r="A3592" s="140">
        <v>45668</v>
      </c>
      <c r="B3592" s="5">
        <f t="shared" si="907"/>
        <v>1</v>
      </c>
      <c r="C3592" s="5">
        <f t="shared" si="908"/>
        <v>2025</v>
      </c>
      <c r="D3592" s="105" t="s">
        <v>3345</v>
      </c>
      <c r="E3592" s="5" t="str">
        <f>VLOOKUP(F3592,'Set up'!$A$2:$C$70,2,FALSE)</f>
        <v>C00000010</v>
      </c>
      <c r="F3592" s="99" t="s">
        <v>62</v>
      </c>
      <c r="G3592" s="99" t="s">
        <v>768</v>
      </c>
      <c r="H3592" s="105">
        <v>1</v>
      </c>
      <c r="I3592" s="5">
        <f>VLOOKUP(F3592,'Set up'!$A$2:$C$70,3,FALSE)</f>
        <v>120</v>
      </c>
      <c r="J3592" s="5">
        <f>VLOOKUP(F3592,'Set up'!$A$2:$D$70,4,FALSE)</f>
        <v>120</v>
      </c>
      <c r="K3592" s="4">
        <f t="shared" si="909"/>
        <v>45788</v>
      </c>
      <c r="L3592" s="5">
        <f t="shared" si="910"/>
        <v>5</v>
      </c>
      <c r="M3592" s="5">
        <f t="shared" si="911"/>
        <v>2025</v>
      </c>
      <c r="N3592" s="135">
        <v>160</v>
      </c>
      <c r="O3592" s="6">
        <f t="shared" si="906"/>
        <v>-160</v>
      </c>
      <c r="P3592" s="12">
        <f t="shared" si="912"/>
        <v>0</v>
      </c>
      <c r="Q3592" s="7">
        <f t="shared" si="913"/>
        <v>5903662.6500000004</v>
      </c>
      <c r="R3592" s="44" t="str">
        <f>VLOOKUP(F3592,'Set up'!$A$2:$E$70,5,FALSE)</f>
        <v>Trsf</v>
      </c>
      <c r="S3592" s="1" t="s">
        <v>4070</v>
      </c>
    </row>
    <row r="3593" spans="1:19" ht="16.2" customHeight="1" x14ac:dyDescent="0.3">
      <c r="A3593" s="140">
        <v>45671</v>
      </c>
      <c r="B3593" s="5">
        <f t="shared" si="907"/>
        <v>1</v>
      </c>
      <c r="C3593" s="5">
        <f t="shared" si="908"/>
        <v>2025</v>
      </c>
      <c r="D3593" s="105" t="s">
        <v>3346</v>
      </c>
      <c r="E3593" s="5" t="str">
        <f>VLOOKUP(F3593,'Set up'!$A$2:$C$70,2,FALSE)</f>
        <v>C00000042</v>
      </c>
      <c r="F3593" s="99" t="s">
        <v>2012</v>
      </c>
      <c r="G3593" s="99" t="s">
        <v>2646</v>
      </c>
      <c r="H3593" s="105">
        <v>3</v>
      </c>
      <c r="I3593" s="5" t="str">
        <f>VLOOKUP(F3593,'Set up'!$A$2:$C$70,3,FALSE)</f>
        <v>Cash</v>
      </c>
      <c r="J3593" s="5">
        <f>VLOOKUP(F3593,'Set up'!$A$2:$D$70,4,FALSE)</f>
        <v>0</v>
      </c>
      <c r="K3593" s="4">
        <f t="shared" si="909"/>
        <v>45671</v>
      </c>
      <c r="L3593" s="5">
        <f t="shared" si="910"/>
        <v>1</v>
      </c>
      <c r="M3593" s="5">
        <f t="shared" si="911"/>
        <v>2025</v>
      </c>
      <c r="N3593" s="135">
        <v>187.5</v>
      </c>
      <c r="O3593" s="6">
        <f t="shared" ref="O3593:O3598" si="914">-N3593</f>
        <v>-187.5</v>
      </c>
      <c r="P3593" s="12">
        <f t="shared" si="901"/>
        <v>0</v>
      </c>
      <c r="Q3593" s="7">
        <f t="shared" si="913"/>
        <v>5903850.1500000004</v>
      </c>
      <c r="R3593" s="44" t="str">
        <f>VLOOKUP(F3593,'Set up'!$A$2:$E$70,5,FALSE)</f>
        <v>Trsf</v>
      </c>
      <c r="S3593" s="1" t="s">
        <v>3816</v>
      </c>
    </row>
    <row r="3594" spans="1:19" ht="16.2" customHeight="1" x14ac:dyDescent="0.3">
      <c r="A3594" s="140">
        <v>45671</v>
      </c>
      <c r="B3594" s="5">
        <f t="shared" si="907"/>
        <v>1</v>
      </c>
      <c r="C3594" s="5">
        <f t="shared" si="908"/>
        <v>2025</v>
      </c>
      <c r="D3594" s="105" t="s">
        <v>3347</v>
      </c>
      <c r="E3594" s="5" t="str">
        <f>VLOOKUP(F3594,'Set up'!$A$2:$C$70,2,FALSE)</f>
        <v>C00000042</v>
      </c>
      <c r="F3594" s="99" t="s">
        <v>2012</v>
      </c>
      <c r="G3594" s="99" t="s">
        <v>3122</v>
      </c>
      <c r="H3594" s="105">
        <v>5</v>
      </c>
      <c r="I3594" s="5" t="str">
        <f>VLOOKUP(F3594,'Set up'!$A$2:$C$70,3,FALSE)</f>
        <v>Cash</v>
      </c>
      <c r="J3594" s="5">
        <f>VLOOKUP(F3594,'Set up'!$A$2:$D$70,4,FALSE)</f>
        <v>0</v>
      </c>
      <c r="K3594" s="4">
        <f t="shared" si="909"/>
        <v>45671</v>
      </c>
      <c r="L3594" s="5">
        <f t="shared" si="910"/>
        <v>1</v>
      </c>
      <c r="M3594" s="5">
        <f t="shared" si="911"/>
        <v>2025</v>
      </c>
      <c r="N3594" s="135">
        <v>8100</v>
      </c>
      <c r="O3594" s="6">
        <f t="shared" si="914"/>
        <v>-8100</v>
      </c>
      <c r="P3594" s="12">
        <f t="shared" si="901"/>
        <v>0</v>
      </c>
      <c r="Q3594" s="7">
        <f t="shared" si="913"/>
        <v>5911950.1500000004</v>
      </c>
      <c r="R3594" s="44" t="str">
        <f>VLOOKUP(F3594,'Set up'!$A$2:$E$70,5,FALSE)</f>
        <v>Trsf</v>
      </c>
      <c r="S3594" s="1" t="s">
        <v>3817</v>
      </c>
    </row>
    <row r="3595" spans="1:19" ht="16.2" customHeight="1" x14ac:dyDescent="0.3">
      <c r="A3595" s="140">
        <v>45671</v>
      </c>
      <c r="B3595" s="5">
        <f t="shared" si="907"/>
        <v>1</v>
      </c>
      <c r="C3595" s="5">
        <f t="shared" si="908"/>
        <v>2025</v>
      </c>
      <c r="D3595" s="105" t="s">
        <v>3347</v>
      </c>
      <c r="E3595" s="5" t="str">
        <f>VLOOKUP(F3595,'Set up'!$A$2:$C$70,2,FALSE)</f>
        <v>C00000042</v>
      </c>
      <c r="F3595" s="99" t="s">
        <v>2012</v>
      </c>
      <c r="G3595" s="99" t="s">
        <v>3243</v>
      </c>
      <c r="H3595" s="105">
        <v>9</v>
      </c>
      <c r="I3595" s="5" t="str">
        <f>VLOOKUP(F3595,'Set up'!$A$2:$C$70,3,FALSE)</f>
        <v>Cash</v>
      </c>
      <c r="J3595" s="5">
        <f>VLOOKUP(F3595,'Set up'!$A$2:$D$70,4,FALSE)</f>
        <v>0</v>
      </c>
      <c r="K3595" s="4">
        <f t="shared" si="909"/>
        <v>45671</v>
      </c>
      <c r="L3595" s="5">
        <f t="shared" si="910"/>
        <v>1</v>
      </c>
      <c r="M3595" s="5">
        <f t="shared" si="911"/>
        <v>2025</v>
      </c>
      <c r="N3595" s="135">
        <v>1566</v>
      </c>
      <c r="O3595" s="6">
        <f>-1157.6-408.4</f>
        <v>-1566</v>
      </c>
      <c r="P3595" s="12">
        <f t="shared" si="901"/>
        <v>0</v>
      </c>
      <c r="Q3595" s="7">
        <f t="shared" si="913"/>
        <v>5913516.1500000004</v>
      </c>
      <c r="R3595" s="44" t="str">
        <f>VLOOKUP(F3595,'Set up'!$A$2:$E$70,5,FALSE)</f>
        <v>Trsf</v>
      </c>
      <c r="S3595" s="1" t="s">
        <v>3904</v>
      </c>
    </row>
    <row r="3596" spans="1:19" ht="16.2" customHeight="1" x14ac:dyDescent="0.3">
      <c r="A3596" s="140">
        <v>45671</v>
      </c>
      <c r="B3596" s="5">
        <f t="shared" si="907"/>
        <v>1</v>
      </c>
      <c r="C3596" s="5">
        <f t="shared" si="908"/>
        <v>2025</v>
      </c>
      <c r="D3596" s="105" t="s">
        <v>3347</v>
      </c>
      <c r="E3596" s="5" t="str">
        <f>VLOOKUP(F3596,'Set up'!$A$2:$C$70,2,FALSE)</f>
        <v>C00000042</v>
      </c>
      <c r="F3596" s="99" t="s">
        <v>2012</v>
      </c>
      <c r="G3596" s="99" t="s">
        <v>1922</v>
      </c>
      <c r="H3596" s="105">
        <v>8</v>
      </c>
      <c r="I3596" s="5" t="str">
        <f>VLOOKUP(F3596,'Set up'!$A$2:$C$70,3,FALSE)</f>
        <v>Cash</v>
      </c>
      <c r="J3596" s="5">
        <f>VLOOKUP(F3596,'Set up'!$A$2:$D$70,4,FALSE)</f>
        <v>0</v>
      </c>
      <c r="K3596" s="4">
        <f t="shared" si="909"/>
        <v>45671</v>
      </c>
      <c r="L3596" s="5">
        <f t="shared" si="910"/>
        <v>1</v>
      </c>
      <c r="M3596" s="5">
        <f t="shared" si="911"/>
        <v>2025</v>
      </c>
      <c r="N3596" s="135">
        <v>1980</v>
      </c>
      <c r="O3596" s="6">
        <f t="shared" si="914"/>
        <v>-1980</v>
      </c>
      <c r="P3596" s="12">
        <f t="shared" si="901"/>
        <v>0</v>
      </c>
      <c r="Q3596" s="7">
        <f t="shared" si="913"/>
        <v>5915496.1500000004</v>
      </c>
      <c r="R3596" s="44" t="str">
        <f>VLOOKUP(F3596,'Set up'!$A$2:$E$70,5,FALSE)</f>
        <v>Trsf</v>
      </c>
      <c r="S3596" s="1" t="s">
        <v>3905</v>
      </c>
    </row>
    <row r="3597" spans="1:19" ht="16.2" customHeight="1" x14ac:dyDescent="0.3">
      <c r="A3597" s="140">
        <v>45671</v>
      </c>
      <c r="B3597" s="5">
        <f t="shared" si="907"/>
        <v>1</v>
      </c>
      <c r="C3597" s="5">
        <f t="shared" si="908"/>
        <v>2025</v>
      </c>
      <c r="D3597" s="105" t="s">
        <v>3347</v>
      </c>
      <c r="E3597" s="5" t="str">
        <f>VLOOKUP(F3597,'Set up'!$A$2:$C$70,2,FALSE)</f>
        <v>C00000042</v>
      </c>
      <c r="F3597" s="99" t="s">
        <v>2012</v>
      </c>
      <c r="G3597" s="99" t="s">
        <v>46</v>
      </c>
      <c r="H3597" s="105">
        <v>4</v>
      </c>
      <c r="I3597" s="5" t="str">
        <f>VLOOKUP(F3597,'Set up'!$A$2:$C$70,3,FALSE)</f>
        <v>Cash</v>
      </c>
      <c r="J3597" s="5">
        <f>VLOOKUP(F3597,'Set up'!$A$2:$D$70,4,FALSE)</f>
        <v>0</v>
      </c>
      <c r="K3597" s="4">
        <f t="shared" si="909"/>
        <v>45671</v>
      </c>
      <c r="L3597" s="5">
        <f t="shared" si="910"/>
        <v>1</v>
      </c>
      <c r="M3597" s="5">
        <f t="shared" si="911"/>
        <v>2025</v>
      </c>
      <c r="N3597" s="135">
        <v>460</v>
      </c>
      <c r="O3597" s="6">
        <f t="shared" si="914"/>
        <v>-460</v>
      </c>
      <c r="P3597" s="12">
        <f t="shared" si="901"/>
        <v>0</v>
      </c>
      <c r="Q3597" s="7">
        <f t="shared" si="913"/>
        <v>5915956.1500000004</v>
      </c>
      <c r="R3597" s="44" t="str">
        <f>VLOOKUP(F3597,'Set up'!$A$2:$E$70,5,FALSE)</f>
        <v>Trsf</v>
      </c>
      <c r="S3597" s="1" t="s">
        <v>3906</v>
      </c>
    </row>
    <row r="3598" spans="1:19" ht="16.2" customHeight="1" x14ac:dyDescent="0.3">
      <c r="A3598" s="140">
        <v>45671</v>
      </c>
      <c r="B3598" s="5">
        <f t="shared" si="907"/>
        <v>1</v>
      </c>
      <c r="C3598" s="5">
        <f t="shared" si="908"/>
        <v>2025</v>
      </c>
      <c r="D3598" s="105" t="s">
        <v>3347</v>
      </c>
      <c r="E3598" s="5" t="str">
        <f>VLOOKUP(F3598,'Set up'!$A$2:$C$70,2,FALSE)</f>
        <v>C00000042</v>
      </c>
      <c r="F3598" s="99" t="s">
        <v>2012</v>
      </c>
      <c r="G3598" s="99" t="s">
        <v>1073</v>
      </c>
      <c r="H3598" s="105">
        <v>1</v>
      </c>
      <c r="I3598" s="5" t="str">
        <f>VLOOKUP(F3598,'Set up'!$A$2:$C$70,3,FALSE)</f>
        <v>Cash</v>
      </c>
      <c r="J3598" s="5">
        <f>VLOOKUP(F3598,'Set up'!$A$2:$D$70,4,FALSE)</f>
        <v>0</v>
      </c>
      <c r="K3598" s="4">
        <f t="shared" si="909"/>
        <v>45671</v>
      </c>
      <c r="L3598" s="5">
        <f t="shared" si="910"/>
        <v>1</v>
      </c>
      <c r="M3598" s="5">
        <f t="shared" si="911"/>
        <v>2025</v>
      </c>
      <c r="N3598" s="135">
        <v>1000</v>
      </c>
      <c r="O3598" s="6">
        <f t="shared" si="914"/>
        <v>-1000</v>
      </c>
      <c r="P3598" s="12">
        <f t="shared" si="901"/>
        <v>0</v>
      </c>
      <c r="Q3598" s="7">
        <f t="shared" si="913"/>
        <v>5916956.1500000004</v>
      </c>
      <c r="R3598" s="44" t="str">
        <f>VLOOKUP(F3598,'Set up'!$A$2:$E$70,5,FALSE)</f>
        <v>Trsf</v>
      </c>
      <c r="S3598" s="1" t="s">
        <v>3907</v>
      </c>
    </row>
    <row r="3599" spans="1:19" ht="16.2" customHeight="1" x14ac:dyDescent="0.3">
      <c r="A3599" s="140">
        <v>45672</v>
      </c>
      <c r="B3599" s="5">
        <f t="shared" si="907"/>
        <v>1</v>
      </c>
      <c r="C3599" s="5">
        <f t="shared" si="908"/>
        <v>2025</v>
      </c>
      <c r="D3599" s="105" t="s">
        <v>3348</v>
      </c>
      <c r="E3599" s="5" t="str">
        <f>VLOOKUP(F3599,'Set up'!$A$2:$C$70,2,FALSE)</f>
        <v>C00000019</v>
      </c>
      <c r="F3599" s="99" t="s">
        <v>400</v>
      </c>
      <c r="G3599" s="99" t="s">
        <v>3122</v>
      </c>
      <c r="H3599" s="105">
        <v>1</v>
      </c>
      <c r="I3599" s="5" t="str">
        <f>VLOOKUP(F3599,'Set up'!$A$2:$C$70,3,FALSE)</f>
        <v>Cash</v>
      </c>
      <c r="J3599" s="5">
        <f>VLOOKUP(F3599,'Set up'!$A$2:$D$70,4,FALSE)</f>
        <v>0</v>
      </c>
      <c r="K3599" s="4">
        <f t="shared" si="909"/>
        <v>45672</v>
      </c>
      <c r="L3599" s="5">
        <f t="shared" si="910"/>
        <v>1</v>
      </c>
      <c r="M3599" s="5">
        <f t="shared" si="911"/>
        <v>2025</v>
      </c>
      <c r="N3599" s="135">
        <v>1755</v>
      </c>
      <c r="O3599" s="12"/>
      <c r="P3599" s="12">
        <f t="shared" si="901"/>
        <v>1755</v>
      </c>
      <c r="Q3599" s="7">
        <f t="shared" si="913"/>
        <v>5918711.1500000004</v>
      </c>
      <c r="R3599" s="44" t="str">
        <f>VLOOKUP(F3599,'Set up'!$A$2:$E$70,5,FALSE)</f>
        <v>Trsf</v>
      </c>
    </row>
    <row r="3600" spans="1:19" ht="16.2" customHeight="1" x14ac:dyDescent="0.3">
      <c r="A3600" s="140">
        <v>45672</v>
      </c>
      <c r="B3600" s="5">
        <f t="shared" si="907"/>
        <v>1</v>
      </c>
      <c r="C3600" s="5">
        <f t="shared" si="908"/>
        <v>2025</v>
      </c>
      <c r="D3600" s="105" t="s">
        <v>3348</v>
      </c>
      <c r="E3600" s="5" t="str">
        <f>VLOOKUP(F3600,'Set up'!$A$2:$C$70,2,FALSE)</f>
        <v>C00000019</v>
      </c>
      <c r="F3600" s="99" t="s">
        <v>400</v>
      </c>
      <c r="G3600" s="99" t="s">
        <v>1411</v>
      </c>
      <c r="H3600" s="105">
        <v>1</v>
      </c>
      <c r="I3600" s="5" t="str">
        <f>VLOOKUP(F3600,'Set up'!$A$2:$C$70,3,FALSE)</f>
        <v>Cash</v>
      </c>
      <c r="J3600" s="5">
        <f>VLOOKUP(F3600,'Set up'!$A$2:$D$70,4,FALSE)</f>
        <v>0</v>
      </c>
      <c r="K3600" s="4">
        <f t="shared" si="909"/>
        <v>45672</v>
      </c>
      <c r="L3600" s="5">
        <f t="shared" si="910"/>
        <v>1</v>
      </c>
      <c r="M3600" s="5">
        <f t="shared" si="911"/>
        <v>2025</v>
      </c>
      <c r="N3600" s="135">
        <v>405</v>
      </c>
      <c r="O3600" s="12"/>
      <c r="P3600" s="12">
        <f t="shared" si="901"/>
        <v>405</v>
      </c>
      <c r="Q3600" s="7">
        <f t="shared" si="913"/>
        <v>5919116.1500000004</v>
      </c>
      <c r="R3600" s="44" t="str">
        <f>VLOOKUP(F3600,'Set up'!$A$2:$E$70,5,FALSE)</f>
        <v>Trsf</v>
      </c>
    </row>
    <row r="3601" spans="1:19" ht="16.2" customHeight="1" x14ac:dyDescent="0.3">
      <c r="A3601" s="140">
        <v>45672</v>
      </c>
      <c r="B3601" s="5">
        <f t="shared" si="907"/>
        <v>1</v>
      </c>
      <c r="C3601" s="5">
        <f t="shared" si="908"/>
        <v>2025</v>
      </c>
      <c r="D3601" s="105" t="s">
        <v>3348</v>
      </c>
      <c r="E3601" s="5" t="str">
        <f>VLOOKUP(F3601,'Set up'!$A$2:$C$70,2,FALSE)</f>
        <v>C00000019</v>
      </c>
      <c r="F3601" s="99" t="s">
        <v>400</v>
      </c>
      <c r="G3601" s="99" t="s">
        <v>2635</v>
      </c>
      <c r="H3601" s="105">
        <v>2</v>
      </c>
      <c r="I3601" s="5" t="str">
        <f>VLOOKUP(F3601,'Set up'!$A$2:$C$70,3,FALSE)</f>
        <v>Cash</v>
      </c>
      <c r="J3601" s="5">
        <f>VLOOKUP(F3601,'Set up'!$A$2:$D$70,4,FALSE)</f>
        <v>0</v>
      </c>
      <c r="K3601" s="4">
        <f t="shared" si="909"/>
        <v>45672</v>
      </c>
      <c r="L3601" s="5">
        <f t="shared" si="910"/>
        <v>1</v>
      </c>
      <c r="M3601" s="5">
        <f t="shared" si="911"/>
        <v>2025</v>
      </c>
      <c r="N3601" s="135">
        <v>125</v>
      </c>
      <c r="O3601" s="12"/>
      <c r="P3601" s="12">
        <f t="shared" si="901"/>
        <v>125</v>
      </c>
      <c r="Q3601" s="7">
        <f t="shared" si="913"/>
        <v>5919241.1500000004</v>
      </c>
      <c r="R3601" s="44" t="str">
        <f>VLOOKUP(F3601,'Set up'!$A$2:$E$70,5,FALSE)</f>
        <v>Trsf</v>
      </c>
    </row>
    <row r="3602" spans="1:19" ht="16.2" customHeight="1" x14ac:dyDescent="0.3">
      <c r="A3602" s="140">
        <v>45672</v>
      </c>
      <c r="B3602" s="5">
        <f t="shared" si="907"/>
        <v>1</v>
      </c>
      <c r="C3602" s="5">
        <f t="shared" si="908"/>
        <v>2025</v>
      </c>
      <c r="D3602" s="105" t="s">
        <v>3348</v>
      </c>
      <c r="E3602" s="5" t="str">
        <f>VLOOKUP(F3602,'Set up'!$A$2:$C$70,2,FALSE)</f>
        <v>C00000019</v>
      </c>
      <c r="F3602" s="99" t="s">
        <v>400</v>
      </c>
      <c r="G3602" s="99" t="s">
        <v>1469</v>
      </c>
      <c r="H3602" s="105">
        <v>1</v>
      </c>
      <c r="I3602" s="5" t="str">
        <f>VLOOKUP(F3602,'Set up'!$A$2:$C$70,3,FALSE)</f>
        <v>Cash</v>
      </c>
      <c r="J3602" s="5">
        <f>VLOOKUP(F3602,'Set up'!$A$2:$D$70,4,FALSE)</f>
        <v>0</v>
      </c>
      <c r="K3602" s="4">
        <f t="shared" si="909"/>
        <v>45672</v>
      </c>
      <c r="L3602" s="5">
        <f t="shared" si="910"/>
        <v>1</v>
      </c>
      <c r="M3602" s="5">
        <f t="shared" si="911"/>
        <v>2025</v>
      </c>
      <c r="N3602" s="135">
        <v>390</v>
      </c>
      <c r="O3602" s="12"/>
      <c r="P3602" s="12">
        <f t="shared" si="901"/>
        <v>390</v>
      </c>
      <c r="Q3602" s="7">
        <f t="shared" si="913"/>
        <v>5919631.1500000004</v>
      </c>
      <c r="R3602" s="44" t="str">
        <f>VLOOKUP(F3602,'Set up'!$A$2:$E$70,5,FALSE)</f>
        <v>Trsf</v>
      </c>
    </row>
    <row r="3603" spans="1:19" ht="16.2" customHeight="1" x14ac:dyDescent="0.3">
      <c r="A3603" s="140">
        <v>45673</v>
      </c>
      <c r="B3603" s="5">
        <f t="shared" si="907"/>
        <v>1</v>
      </c>
      <c r="C3603" s="5">
        <f t="shared" si="908"/>
        <v>2025</v>
      </c>
      <c r="D3603" s="105" t="s">
        <v>3349</v>
      </c>
      <c r="E3603" s="5" t="str">
        <f>VLOOKUP(F3603,'Set up'!$A$2:$C$70,2,FALSE)</f>
        <v>C00000044</v>
      </c>
      <c r="F3603" s="99" t="s">
        <v>2929</v>
      </c>
      <c r="G3603" s="99" t="s">
        <v>3122</v>
      </c>
      <c r="H3603" s="105">
        <v>1</v>
      </c>
      <c r="I3603" s="5" t="str">
        <f>VLOOKUP(F3603,'Set up'!$A$2:$C$70,3,FALSE)</f>
        <v>Cash</v>
      </c>
      <c r="J3603" s="5">
        <f>VLOOKUP(F3603,'Set up'!$A$2:$D$70,4,FALSE)</f>
        <v>0</v>
      </c>
      <c r="K3603" s="4">
        <f t="shared" si="909"/>
        <v>45673</v>
      </c>
      <c r="L3603" s="5">
        <f t="shared" si="910"/>
        <v>1</v>
      </c>
      <c r="M3603" s="5">
        <f t="shared" si="911"/>
        <v>2025</v>
      </c>
      <c r="N3603" s="135">
        <v>1732.5</v>
      </c>
      <c r="O3603" s="6">
        <f t="shared" ref="O3603" si="915">-N3603</f>
        <v>-1732.5</v>
      </c>
      <c r="P3603" s="12">
        <f t="shared" si="901"/>
        <v>0</v>
      </c>
      <c r="Q3603" s="7">
        <f t="shared" si="913"/>
        <v>5921363.6500000004</v>
      </c>
      <c r="R3603" s="44" t="str">
        <f>VLOOKUP(F3603,'Set up'!$A$2:$E$70,5,FALSE)</f>
        <v>Cash</v>
      </c>
      <c r="S3603" s="1" t="s">
        <v>3427</v>
      </c>
    </row>
    <row r="3604" spans="1:19" ht="16.2" customHeight="1" x14ac:dyDescent="0.3">
      <c r="A3604" s="140">
        <v>45673</v>
      </c>
      <c r="B3604" s="5">
        <f t="shared" si="907"/>
        <v>1</v>
      </c>
      <c r="C3604" s="5">
        <f t="shared" si="908"/>
        <v>2025</v>
      </c>
      <c r="D3604" s="105" t="s">
        <v>3349</v>
      </c>
      <c r="E3604" s="5" t="str">
        <f>VLOOKUP(F3604,'Set up'!$A$2:$C$70,2,FALSE)</f>
        <v>C00000044</v>
      </c>
      <c r="F3604" s="99" t="s">
        <v>2929</v>
      </c>
      <c r="G3604" s="99" t="s">
        <v>2570</v>
      </c>
      <c r="H3604" s="105">
        <v>1</v>
      </c>
      <c r="I3604" s="5" t="str">
        <f>VLOOKUP(F3604,'Set up'!$A$2:$C$70,3,FALSE)</f>
        <v>Cash</v>
      </c>
      <c r="J3604" s="5">
        <f>VLOOKUP(F3604,'Set up'!$A$2:$D$70,4,FALSE)</f>
        <v>0</v>
      </c>
      <c r="K3604" s="4">
        <f t="shared" si="909"/>
        <v>45673</v>
      </c>
      <c r="L3604" s="5">
        <f t="shared" si="910"/>
        <v>1</v>
      </c>
      <c r="M3604" s="5">
        <f t="shared" si="911"/>
        <v>2025</v>
      </c>
      <c r="N3604" s="135">
        <v>216</v>
      </c>
      <c r="O3604" s="6">
        <f>-N3604</f>
        <v>-216</v>
      </c>
      <c r="P3604" s="12">
        <f t="shared" si="901"/>
        <v>0</v>
      </c>
      <c r="Q3604" s="7">
        <f t="shared" si="913"/>
        <v>5921579.6500000004</v>
      </c>
      <c r="R3604" s="44" t="str">
        <f>VLOOKUP(F3604,'Set up'!$A$2:$E$70,5,FALSE)</f>
        <v>Cash</v>
      </c>
      <c r="S3604" s="1" t="s">
        <v>3427</v>
      </c>
    </row>
    <row r="3605" spans="1:19" ht="16.2" customHeight="1" x14ac:dyDescent="0.3">
      <c r="A3605" s="140">
        <v>45673</v>
      </c>
      <c r="B3605" s="5">
        <f t="shared" si="907"/>
        <v>1</v>
      </c>
      <c r="C3605" s="5">
        <f t="shared" si="908"/>
        <v>2025</v>
      </c>
      <c r="D3605" s="105" t="s">
        <v>3349</v>
      </c>
      <c r="E3605" s="5" t="str">
        <f>VLOOKUP(F3605,'Set up'!$A$2:$C$70,2,FALSE)</f>
        <v>C00000044</v>
      </c>
      <c r="F3605" s="99" t="s">
        <v>2929</v>
      </c>
      <c r="G3605" s="99" t="s">
        <v>46</v>
      </c>
      <c r="H3605" s="105">
        <v>1</v>
      </c>
      <c r="I3605" s="5" t="str">
        <f>VLOOKUP(F3605,'Set up'!$A$2:$C$70,3,FALSE)</f>
        <v>Cash</v>
      </c>
      <c r="J3605" s="5">
        <f>VLOOKUP(F3605,'Set up'!$A$2:$D$70,4,FALSE)</f>
        <v>0</v>
      </c>
      <c r="K3605" s="4">
        <f t="shared" si="909"/>
        <v>45673</v>
      </c>
      <c r="L3605" s="5">
        <f t="shared" si="910"/>
        <v>1</v>
      </c>
      <c r="M3605" s="5">
        <f t="shared" si="911"/>
        <v>2025</v>
      </c>
      <c r="N3605" s="135">
        <v>110</v>
      </c>
      <c r="O3605" s="6">
        <f>-N3605</f>
        <v>-110</v>
      </c>
      <c r="P3605" s="12">
        <f t="shared" si="901"/>
        <v>0</v>
      </c>
      <c r="Q3605" s="7">
        <f t="shared" si="913"/>
        <v>5921689.6500000004</v>
      </c>
      <c r="R3605" s="44" t="str">
        <f>VLOOKUP(F3605,'Set up'!$A$2:$E$70,5,FALSE)</f>
        <v>Cash</v>
      </c>
      <c r="S3605" s="1" t="s">
        <v>3427</v>
      </c>
    </row>
    <row r="3606" spans="1:19" ht="16.2" customHeight="1" x14ac:dyDescent="0.3">
      <c r="A3606" s="140">
        <v>45673</v>
      </c>
      <c r="B3606" s="5">
        <f t="shared" si="907"/>
        <v>1</v>
      </c>
      <c r="C3606" s="5">
        <f t="shared" si="908"/>
        <v>2025</v>
      </c>
      <c r="D3606" s="105" t="s">
        <v>3349</v>
      </c>
      <c r="E3606" s="5" t="str">
        <f>VLOOKUP(F3606,'Set up'!$A$2:$C$70,2,FALSE)</f>
        <v>C00000044</v>
      </c>
      <c r="F3606" s="99" t="s">
        <v>2929</v>
      </c>
      <c r="G3606" s="99" t="s">
        <v>1715</v>
      </c>
      <c r="H3606" s="105">
        <v>1</v>
      </c>
      <c r="I3606" s="5" t="str">
        <f>VLOOKUP(F3606,'Set up'!$A$2:$C$70,3,FALSE)</f>
        <v>Cash</v>
      </c>
      <c r="J3606" s="5">
        <f>VLOOKUP(F3606,'Set up'!$A$2:$D$70,4,FALSE)</f>
        <v>0</v>
      </c>
      <c r="K3606" s="4">
        <f t="shared" si="909"/>
        <v>45673</v>
      </c>
      <c r="L3606" s="5">
        <f t="shared" si="910"/>
        <v>1</v>
      </c>
      <c r="M3606" s="5">
        <f t="shared" si="911"/>
        <v>2025</v>
      </c>
      <c r="N3606" s="135">
        <v>165</v>
      </c>
      <c r="O3606" s="6">
        <f>-N3606</f>
        <v>-165</v>
      </c>
      <c r="P3606" s="12">
        <f t="shared" si="901"/>
        <v>0</v>
      </c>
      <c r="Q3606" s="7">
        <f t="shared" si="913"/>
        <v>5921854.6500000004</v>
      </c>
      <c r="R3606" s="44" t="str">
        <f>VLOOKUP(F3606,'Set up'!$A$2:$E$70,5,FALSE)</f>
        <v>Cash</v>
      </c>
      <c r="S3606" s="1" t="s">
        <v>3427</v>
      </c>
    </row>
    <row r="3607" spans="1:19" ht="16.2" customHeight="1" x14ac:dyDescent="0.3">
      <c r="A3607" s="140">
        <v>45673</v>
      </c>
      <c r="B3607" s="5">
        <f t="shared" si="907"/>
        <v>1</v>
      </c>
      <c r="C3607" s="5">
        <f t="shared" si="908"/>
        <v>2025</v>
      </c>
      <c r="D3607" s="105" t="s">
        <v>3350</v>
      </c>
      <c r="E3607" s="5" t="str">
        <f>VLOOKUP(F3607,'Set up'!$A$2:$C$70,2,FALSE)</f>
        <v>C00000042</v>
      </c>
      <c r="F3607" s="99" t="s">
        <v>2012</v>
      </c>
      <c r="G3607" s="99" t="s">
        <v>3122</v>
      </c>
      <c r="H3607" s="105">
        <v>2</v>
      </c>
      <c r="I3607" s="5" t="str">
        <f>VLOOKUP(F3607,'Set up'!$A$2:$C$70,3,FALSE)</f>
        <v>Cash</v>
      </c>
      <c r="J3607" s="5">
        <f>VLOOKUP(F3607,'Set up'!$A$2:$D$70,4,FALSE)</f>
        <v>0</v>
      </c>
      <c r="K3607" s="4">
        <f t="shared" si="909"/>
        <v>45673</v>
      </c>
      <c r="L3607" s="5">
        <f t="shared" si="910"/>
        <v>1</v>
      </c>
      <c r="M3607" s="5">
        <f t="shared" si="911"/>
        <v>2025</v>
      </c>
      <c r="N3607" s="135">
        <v>3240</v>
      </c>
      <c r="O3607" s="6">
        <f t="shared" ref="O3607:O3612" si="916">-N3607</f>
        <v>-3240</v>
      </c>
      <c r="P3607" s="12">
        <f t="shared" si="901"/>
        <v>0</v>
      </c>
      <c r="Q3607" s="7">
        <f t="shared" si="913"/>
        <v>5925094.6500000004</v>
      </c>
      <c r="R3607" s="44" t="str">
        <f>VLOOKUP(F3607,'Set up'!$A$2:$E$70,5,FALSE)</f>
        <v>Trsf</v>
      </c>
      <c r="S3607" s="1" t="s">
        <v>3908</v>
      </c>
    </row>
    <row r="3608" spans="1:19" ht="16.2" customHeight="1" x14ac:dyDescent="0.3">
      <c r="A3608" s="140">
        <v>45673</v>
      </c>
      <c r="B3608" s="5">
        <f t="shared" si="907"/>
        <v>1</v>
      </c>
      <c r="C3608" s="5">
        <f t="shared" si="908"/>
        <v>2025</v>
      </c>
      <c r="D3608" s="105" t="s">
        <v>3350</v>
      </c>
      <c r="E3608" s="5" t="str">
        <f>VLOOKUP(F3608,'Set up'!$A$2:$C$70,2,FALSE)</f>
        <v>C00000042</v>
      </c>
      <c r="F3608" s="99" t="s">
        <v>2012</v>
      </c>
      <c r="G3608" s="99" t="s">
        <v>3243</v>
      </c>
      <c r="H3608" s="105">
        <v>4</v>
      </c>
      <c r="I3608" s="5" t="str">
        <f>VLOOKUP(F3608,'Set up'!$A$2:$C$70,3,FALSE)</f>
        <v>Cash</v>
      </c>
      <c r="J3608" s="5">
        <f>VLOOKUP(F3608,'Set up'!$A$2:$D$70,4,FALSE)</f>
        <v>0</v>
      </c>
      <c r="K3608" s="4">
        <f t="shared" si="909"/>
        <v>45673</v>
      </c>
      <c r="L3608" s="5">
        <f t="shared" si="910"/>
        <v>1</v>
      </c>
      <c r="M3608" s="5">
        <f t="shared" si="911"/>
        <v>2025</v>
      </c>
      <c r="N3608" s="135">
        <v>696</v>
      </c>
      <c r="O3608" s="6">
        <f t="shared" si="916"/>
        <v>-696</v>
      </c>
      <c r="P3608" s="12">
        <f t="shared" si="901"/>
        <v>0</v>
      </c>
      <c r="Q3608" s="7">
        <f t="shared" si="913"/>
        <v>5925790.6500000004</v>
      </c>
      <c r="R3608" s="44" t="str">
        <f>VLOOKUP(F3608,'Set up'!$A$2:$E$70,5,FALSE)</f>
        <v>Trsf</v>
      </c>
      <c r="S3608" s="1" t="s">
        <v>3909</v>
      </c>
    </row>
    <row r="3609" spans="1:19" ht="16.2" customHeight="1" x14ac:dyDescent="0.3">
      <c r="A3609" s="140">
        <v>45673</v>
      </c>
      <c r="B3609" s="5">
        <f t="shared" si="907"/>
        <v>1</v>
      </c>
      <c r="C3609" s="5">
        <f t="shared" si="908"/>
        <v>2025</v>
      </c>
      <c r="D3609" s="105" t="s">
        <v>3350</v>
      </c>
      <c r="E3609" s="5" t="str">
        <f>VLOOKUP(F3609,'Set up'!$A$2:$C$70,2,FALSE)</f>
        <v>C00000042</v>
      </c>
      <c r="F3609" s="99" t="s">
        <v>2012</v>
      </c>
      <c r="G3609" s="99" t="s">
        <v>1922</v>
      </c>
      <c r="H3609" s="105">
        <v>2</v>
      </c>
      <c r="I3609" s="5" t="str">
        <f>VLOOKUP(F3609,'Set up'!$A$2:$C$70,3,FALSE)</f>
        <v>Cash</v>
      </c>
      <c r="J3609" s="5">
        <f>VLOOKUP(F3609,'Set up'!$A$2:$D$70,4,FALSE)</f>
        <v>0</v>
      </c>
      <c r="K3609" s="4">
        <f t="shared" si="909"/>
        <v>45673</v>
      </c>
      <c r="L3609" s="5">
        <f t="shared" si="910"/>
        <v>1</v>
      </c>
      <c r="M3609" s="5">
        <f t="shared" si="911"/>
        <v>2025</v>
      </c>
      <c r="N3609" s="135">
        <v>495</v>
      </c>
      <c r="O3609" s="6">
        <f t="shared" si="916"/>
        <v>-495</v>
      </c>
      <c r="P3609" s="12">
        <f t="shared" si="901"/>
        <v>0</v>
      </c>
      <c r="Q3609" s="7">
        <f t="shared" si="913"/>
        <v>5926285.6500000004</v>
      </c>
      <c r="R3609" s="44" t="str">
        <f>VLOOKUP(F3609,'Set up'!$A$2:$E$70,5,FALSE)</f>
        <v>Trsf</v>
      </c>
      <c r="S3609" s="1" t="s">
        <v>3910</v>
      </c>
    </row>
    <row r="3610" spans="1:19" ht="16.2" customHeight="1" x14ac:dyDescent="0.3">
      <c r="A3610" s="140">
        <v>45673</v>
      </c>
      <c r="B3610" s="5">
        <f t="shared" si="907"/>
        <v>1</v>
      </c>
      <c r="C3610" s="5">
        <f t="shared" si="908"/>
        <v>2025</v>
      </c>
      <c r="D3610" s="105" t="s">
        <v>3350</v>
      </c>
      <c r="E3610" s="5" t="str">
        <f>VLOOKUP(F3610,'Set up'!$A$2:$C$70,2,FALSE)</f>
        <v>C00000042</v>
      </c>
      <c r="F3610" s="99" t="s">
        <v>2012</v>
      </c>
      <c r="G3610" s="99" t="s">
        <v>46</v>
      </c>
      <c r="H3610" s="105">
        <v>4</v>
      </c>
      <c r="I3610" s="5" t="str">
        <f>VLOOKUP(F3610,'Set up'!$A$2:$C$70,3,FALSE)</f>
        <v>Cash</v>
      </c>
      <c r="J3610" s="5">
        <f>VLOOKUP(F3610,'Set up'!$A$2:$D$70,4,FALSE)</f>
        <v>0</v>
      </c>
      <c r="K3610" s="4">
        <f t="shared" si="909"/>
        <v>45673</v>
      </c>
      <c r="L3610" s="5">
        <f t="shared" si="910"/>
        <v>1</v>
      </c>
      <c r="M3610" s="5">
        <f t="shared" si="911"/>
        <v>2025</v>
      </c>
      <c r="N3610" s="135">
        <v>460</v>
      </c>
      <c r="O3610" s="6">
        <f t="shared" si="916"/>
        <v>-460</v>
      </c>
      <c r="P3610" s="12">
        <f t="shared" si="901"/>
        <v>0</v>
      </c>
      <c r="Q3610" s="7">
        <f t="shared" si="913"/>
        <v>5926745.6500000004</v>
      </c>
      <c r="R3610" s="44" t="str">
        <f>VLOOKUP(F3610,'Set up'!$A$2:$E$70,5,FALSE)</f>
        <v>Trsf</v>
      </c>
      <c r="S3610" s="1" t="s">
        <v>3906</v>
      </c>
    </row>
    <row r="3611" spans="1:19" ht="16.2" customHeight="1" x14ac:dyDescent="0.3">
      <c r="A3611" s="140">
        <v>45673</v>
      </c>
      <c r="B3611" s="5">
        <f t="shared" si="907"/>
        <v>1</v>
      </c>
      <c r="C3611" s="5">
        <f t="shared" si="908"/>
        <v>2025</v>
      </c>
      <c r="D3611" s="105" t="s">
        <v>3350</v>
      </c>
      <c r="E3611" s="5" t="str">
        <f>VLOOKUP(F3611,'Set up'!$A$2:$C$70,2,FALSE)</f>
        <v>C00000042</v>
      </c>
      <c r="F3611" s="99" t="s">
        <v>2012</v>
      </c>
      <c r="G3611" s="99" t="s">
        <v>2744</v>
      </c>
      <c r="H3611" s="105">
        <v>1</v>
      </c>
      <c r="I3611" s="5" t="str">
        <f>VLOOKUP(F3611,'Set up'!$A$2:$C$70,3,FALSE)</f>
        <v>Cash</v>
      </c>
      <c r="J3611" s="5">
        <f>VLOOKUP(F3611,'Set up'!$A$2:$D$70,4,FALSE)</f>
        <v>0</v>
      </c>
      <c r="K3611" s="4">
        <f t="shared" si="909"/>
        <v>45673</v>
      </c>
      <c r="L3611" s="5">
        <f t="shared" si="910"/>
        <v>1</v>
      </c>
      <c r="M3611" s="5">
        <f t="shared" si="911"/>
        <v>2025</v>
      </c>
      <c r="N3611" s="135">
        <v>975</v>
      </c>
      <c r="O3611" s="6">
        <f t="shared" si="916"/>
        <v>-975</v>
      </c>
      <c r="P3611" s="12">
        <f t="shared" si="901"/>
        <v>0</v>
      </c>
      <c r="Q3611" s="7">
        <f t="shared" si="913"/>
        <v>5927720.6500000004</v>
      </c>
      <c r="R3611" s="44" t="str">
        <f>VLOOKUP(F3611,'Set up'!$A$2:$E$70,5,FALSE)</f>
        <v>Trsf</v>
      </c>
      <c r="S3611" s="1" t="s">
        <v>3911</v>
      </c>
    </row>
    <row r="3612" spans="1:19" ht="16.2" customHeight="1" x14ac:dyDescent="0.3">
      <c r="A3612" s="140">
        <v>45674</v>
      </c>
      <c r="B3612" s="5">
        <f t="shared" si="907"/>
        <v>1</v>
      </c>
      <c r="C3612" s="5">
        <f t="shared" si="908"/>
        <v>2025</v>
      </c>
      <c r="D3612" s="105" t="s">
        <v>3351</v>
      </c>
      <c r="E3612" s="5" t="str">
        <f>VLOOKUP(F3612,'Set up'!$A$2:$C$70,2,FALSE)</f>
        <v>C00000042</v>
      </c>
      <c r="F3612" s="99" t="s">
        <v>2012</v>
      </c>
      <c r="G3612" s="99" t="s">
        <v>2646</v>
      </c>
      <c r="H3612" s="105">
        <v>1</v>
      </c>
      <c r="I3612" s="5" t="str">
        <f>VLOOKUP(F3612,'Set up'!$A$2:$C$70,3,FALSE)</f>
        <v>Cash</v>
      </c>
      <c r="J3612" s="5">
        <f>VLOOKUP(F3612,'Set up'!$A$2:$D$70,4,FALSE)</f>
        <v>0</v>
      </c>
      <c r="K3612" s="4">
        <f t="shared" si="909"/>
        <v>45674</v>
      </c>
      <c r="L3612" s="5">
        <f t="shared" si="910"/>
        <v>1</v>
      </c>
      <c r="M3612" s="5">
        <f t="shared" si="911"/>
        <v>2025</v>
      </c>
      <c r="N3612" s="135">
        <v>62.5</v>
      </c>
      <c r="O3612" s="6">
        <f t="shared" si="916"/>
        <v>-62.5</v>
      </c>
      <c r="P3612" s="12">
        <f t="shared" si="901"/>
        <v>0</v>
      </c>
      <c r="Q3612" s="7">
        <f t="shared" si="913"/>
        <v>5927783.1500000004</v>
      </c>
      <c r="R3612" s="44" t="str">
        <f>VLOOKUP(F3612,'Set up'!$A$2:$E$70,5,FALSE)</f>
        <v>Trsf</v>
      </c>
      <c r="S3612" s="1" t="s">
        <v>3912</v>
      </c>
    </row>
    <row r="3613" spans="1:19" ht="16.2" customHeight="1" x14ac:dyDescent="0.3">
      <c r="A3613" s="140">
        <v>45674</v>
      </c>
      <c r="B3613" s="5">
        <f t="shared" si="907"/>
        <v>1</v>
      </c>
      <c r="C3613" s="5">
        <f t="shared" si="908"/>
        <v>2025</v>
      </c>
      <c r="D3613" s="105" t="s">
        <v>3352</v>
      </c>
      <c r="E3613" s="5" t="str">
        <f>VLOOKUP(F3613,'Set up'!$A$2:$C$70,2,FALSE)</f>
        <v>C00000042</v>
      </c>
      <c r="F3613" s="99" t="s">
        <v>2012</v>
      </c>
      <c r="G3613" s="99" t="s">
        <v>3217</v>
      </c>
      <c r="H3613" s="105">
        <v>3</v>
      </c>
      <c r="I3613" s="5" t="str">
        <f>VLOOKUP(F3613,'Set up'!$A$2:$C$70,3,FALSE)</f>
        <v>Cash</v>
      </c>
      <c r="J3613" s="5">
        <f>VLOOKUP(F3613,'Set up'!$A$2:$D$70,4,FALSE)</f>
        <v>0</v>
      </c>
      <c r="K3613" s="4">
        <f t="shared" si="909"/>
        <v>45674</v>
      </c>
      <c r="L3613" s="5">
        <f t="shared" si="910"/>
        <v>1</v>
      </c>
      <c r="M3613" s="5">
        <f t="shared" si="911"/>
        <v>2025</v>
      </c>
      <c r="N3613" s="135">
        <v>4860</v>
      </c>
      <c r="O3613" s="12">
        <f>-4723.1-136.9</f>
        <v>-4860</v>
      </c>
      <c r="P3613" s="12">
        <f t="shared" si="901"/>
        <v>0</v>
      </c>
      <c r="Q3613" s="7">
        <f t="shared" si="913"/>
        <v>5932643.1500000004</v>
      </c>
      <c r="R3613" s="44" t="str">
        <f>VLOOKUP(F3613,'Set up'!$A$2:$E$70,5,FALSE)</f>
        <v>Trsf</v>
      </c>
      <c r="S3613" s="1" t="s">
        <v>3913</v>
      </c>
    </row>
    <row r="3614" spans="1:19" ht="16.2" customHeight="1" x14ac:dyDescent="0.3">
      <c r="A3614" s="140">
        <v>45674</v>
      </c>
      <c r="B3614" s="5">
        <f t="shared" si="907"/>
        <v>1</v>
      </c>
      <c r="C3614" s="5">
        <f t="shared" si="908"/>
        <v>2025</v>
      </c>
      <c r="D3614" s="105" t="s">
        <v>3352</v>
      </c>
      <c r="E3614" s="5" t="str">
        <f>VLOOKUP(F3614,'Set up'!$A$2:$C$70,2,FALSE)</f>
        <v>C00000042</v>
      </c>
      <c r="F3614" s="99" t="s">
        <v>2012</v>
      </c>
      <c r="G3614" s="99" t="s">
        <v>3243</v>
      </c>
      <c r="H3614" s="105">
        <v>9</v>
      </c>
      <c r="I3614" s="5" t="str">
        <f>VLOOKUP(F3614,'Set up'!$A$2:$C$70,3,FALSE)</f>
        <v>Cash</v>
      </c>
      <c r="J3614" s="5">
        <f>VLOOKUP(F3614,'Set up'!$A$2:$D$70,4,FALSE)</f>
        <v>0</v>
      </c>
      <c r="K3614" s="4">
        <f t="shared" si="909"/>
        <v>45674</v>
      </c>
      <c r="L3614" s="5">
        <f t="shared" si="910"/>
        <v>1</v>
      </c>
      <c r="M3614" s="5">
        <f t="shared" si="911"/>
        <v>2025</v>
      </c>
      <c r="N3614" s="135">
        <v>1566</v>
      </c>
      <c r="O3614" s="6">
        <f t="shared" ref="O3614:O3617" si="917">-N3614</f>
        <v>-1566</v>
      </c>
      <c r="P3614" s="12">
        <f t="shared" si="901"/>
        <v>0</v>
      </c>
      <c r="Q3614" s="7">
        <f t="shared" si="913"/>
        <v>5934209.1500000004</v>
      </c>
      <c r="R3614" s="44" t="str">
        <f>VLOOKUP(F3614,'Set up'!$A$2:$E$70,5,FALSE)</f>
        <v>Trsf</v>
      </c>
      <c r="S3614" s="1" t="s">
        <v>3914</v>
      </c>
    </row>
    <row r="3615" spans="1:19" ht="16.2" customHeight="1" x14ac:dyDescent="0.3">
      <c r="A3615" s="140">
        <v>45674</v>
      </c>
      <c r="B3615" s="5">
        <f t="shared" si="907"/>
        <v>1</v>
      </c>
      <c r="C3615" s="5">
        <f t="shared" si="908"/>
        <v>2025</v>
      </c>
      <c r="D3615" s="105" t="s">
        <v>3352</v>
      </c>
      <c r="E3615" s="5" t="str">
        <f>VLOOKUP(F3615,'Set up'!$A$2:$C$70,2,FALSE)</f>
        <v>C00000042</v>
      </c>
      <c r="F3615" s="99" t="s">
        <v>2012</v>
      </c>
      <c r="G3615" s="99" t="s">
        <v>1922</v>
      </c>
      <c r="H3615" s="105">
        <v>4</v>
      </c>
      <c r="I3615" s="5" t="str">
        <f>VLOOKUP(F3615,'Set up'!$A$2:$C$70,3,FALSE)</f>
        <v>Cash</v>
      </c>
      <c r="J3615" s="5">
        <f>VLOOKUP(F3615,'Set up'!$A$2:$D$70,4,FALSE)</f>
        <v>0</v>
      </c>
      <c r="K3615" s="4">
        <f t="shared" si="909"/>
        <v>45674</v>
      </c>
      <c r="L3615" s="5">
        <f t="shared" si="910"/>
        <v>1</v>
      </c>
      <c r="M3615" s="5">
        <f t="shared" si="911"/>
        <v>2025</v>
      </c>
      <c r="N3615" s="135">
        <v>990</v>
      </c>
      <c r="O3615" s="6">
        <f t="shared" si="917"/>
        <v>-990</v>
      </c>
      <c r="P3615" s="12">
        <f t="shared" si="901"/>
        <v>0</v>
      </c>
      <c r="Q3615" s="7">
        <f t="shared" si="913"/>
        <v>5935199.1500000004</v>
      </c>
      <c r="R3615" s="44" t="str">
        <f>VLOOKUP(F3615,'Set up'!$A$2:$E$70,5,FALSE)</f>
        <v>Trsf</v>
      </c>
      <c r="S3615" s="1" t="s">
        <v>3915</v>
      </c>
    </row>
    <row r="3616" spans="1:19" ht="16.2" customHeight="1" x14ac:dyDescent="0.3">
      <c r="A3616" s="140">
        <v>45674</v>
      </c>
      <c r="B3616" s="5">
        <f t="shared" si="907"/>
        <v>1</v>
      </c>
      <c r="C3616" s="5">
        <f t="shared" si="908"/>
        <v>2025</v>
      </c>
      <c r="D3616" s="105" t="s">
        <v>3352</v>
      </c>
      <c r="E3616" s="5" t="str">
        <f>VLOOKUP(F3616,'Set up'!$A$2:$C$70,2,FALSE)</f>
        <v>C00000042</v>
      </c>
      <c r="F3616" s="99" t="s">
        <v>2012</v>
      </c>
      <c r="G3616" s="99" t="s">
        <v>46</v>
      </c>
      <c r="H3616" s="105">
        <v>4</v>
      </c>
      <c r="I3616" s="5" t="str">
        <f>VLOOKUP(F3616,'Set up'!$A$2:$C$70,3,FALSE)</f>
        <v>Cash</v>
      </c>
      <c r="J3616" s="5">
        <f>VLOOKUP(F3616,'Set up'!$A$2:$D$70,4,FALSE)</f>
        <v>0</v>
      </c>
      <c r="K3616" s="4">
        <f t="shared" si="909"/>
        <v>45674</v>
      </c>
      <c r="L3616" s="5">
        <f t="shared" si="910"/>
        <v>1</v>
      </c>
      <c r="M3616" s="5">
        <f t="shared" si="911"/>
        <v>2025</v>
      </c>
      <c r="N3616" s="135">
        <v>460</v>
      </c>
      <c r="O3616" s="6">
        <f t="shared" si="917"/>
        <v>-460</v>
      </c>
      <c r="P3616" s="12">
        <f t="shared" si="901"/>
        <v>0</v>
      </c>
      <c r="Q3616" s="7">
        <f t="shared" si="913"/>
        <v>5935659.1500000004</v>
      </c>
      <c r="R3616" s="44" t="str">
        <f>VLOOKUP(F3616,'Set up'!$A$2:$E$70,5,FALSE)</f>
        <v>Trsf</v>
      </c>
      <c r="S3616" s="1" t="s">
        <v>3916</v>
      </c>
    </row>
    <row r="3617" spans="1:19" ht="16.2" customHeight="1" x14ac:dyDescent="0.3">
      <c r="A3617" s="140">
        <v>45674</v>
      </c>
      <c r="B3617" s="5">
        <f t="shared" si="907"/>
        <v>1</v>
      </c>
      <c r="C3617" s="5">
        <f t="shared" si="908"/>
        <v>2025</v>
      </c>
      <c r="D3617" s="105" t="s">
        <v>3352</v>
      </c>
      <c r="E3617" s="5" t="str">
        <f>VLOOKUP(F3617,'Set up'!$A$2:$C$70,2,FALSE)</f>
        <v>C00000042</v>
      </c>
      <c r="F3617" s="99" t="s">
        <v>2012</v>
      </c>
      <c r="G3617" s="99" t="s">
        <v>1073</v>
      </c>
      <c r="H3617" s="105">
        <v>1</v>
      </c>
      <c r="I3617" s="5" t="str">
        <f>VLOOKUP(F3617,'Set up'!$A$2:$C$70,3,FALSE)</f>
        <v>Cash</v>
      </c>
      <c r="J3617" s="5">
        <f>VLOOKUP(F3617,'Set up'!$A$2:$D$70,4,FALSE)</f>
        <v>0</v>
      </c>
      <c r="K3617" s="4">
        <f t="shared" si="909"/>
        <v>45674</v>
      </c>
      <c r="L3617" s="5">
        <f t="shared" si="910"/>
        <v>1</v>
      </c>
      <c r="M3617" s="5">
        <f t="shared" si="911"/>
        <v>2025</v>
      </c>
      <c r="N3617" s="135">
        <v>1000</v>
      </c>
      <c r="O3617" s="6">
        <f t="shared" si="917"/>
        <v>-1000</v>
      </c>
      <c r="P3617" s="12">
        <f t="shared" si="901"/>
        <v>0</v>
      </c>
      <c r="Q3617" s="7">
        <f t="shared" si="913"/>
        <v>5936659.1500000004</v>
      </c>
      <c r="R3617" s="44" t="str">
        <f>VLOOKUP(F3617,'Set up'!$A$2:$E$70,5,FALSE)</f>
        <v>Trsf</v>
      </c>
      <c r="S3617" s="1" t="s">
        <v>3917</v>
      </c>
    </row>
    <row r="3618" spans="1:19" ht="16.2" customHeight="1" x14ac:dyDescent="0.3">
      <c r="A3618" s="140">
        <v>45678</v>
      </c>
      <c r="B3618" s="5">
        <f t="shared" si="907"/>
        <v>1</v>
      </c>
      <c r="C3618" s="5">
        <f t="shared" si="908"/>
        <v>2025</v>
      </c>
      <c r="D3618" s="105" t="s">
        <v>3353</v>
      </c>
      <c r="E3618" s="5" t="str">
        <f>VLOOKUP(F3618,'Set up'!$A$2:$C$70,2,FALSE)</f>
        <v>C00000027</v>
      </c>
      <c r="F3618" s="99" t="s">
        <v>859</v>
      </c>
      <c r="G3618" s="99" t="s">
        <v>3122</v>
      </c>
      <c r="H3618" s="105">
        <v>2</v>
      </c>
      <c r="I3618" s="5" t="str">
        <f>VLOOKUP(F3618,'Set up'!$A$2:$C$70,3,FALSE)</f>
        <v>Cash</v>
      </c>
      <c r="J3618" s="5">
        <f>VLOOKUP(F3618,'Set up'!$A$2:$D$70,4,FALSE)</f>
        <v>0</v>
      </c>
      <c r="K3618" s="4">
        <f t="shared" si="909"/>
        <v>45678</v>
      </c>
      <c r="L3618" s="5">
        <f t="shared" si="910"/>
        <v>1</v>
      </c>
      <c r="M3618" s="5">
        <f t="shared" si="911"/>
        <v>2025</v>
      </c>
      <c r="N3618" s="135">
        <v>3465</v>
      </c>
      <c r="O3618" s="12"/>
      <c r="P3618" s="12">
        <f t="shared" si="901"/>
        <v>3465</v>
      </c>
      <c r="Q3618" s="7">
        <f t="shared" si="913"/>
        <v>5940124.1500000004</v>
      </c>
      <c r="R3618" s="44" t="str">
        <f>VLOOKUP(F3618,'Set up'!$A$2:$E$70,5,FALSE)</f>
        <v>Trsf</v>
      </c>
    </row>
    <row r="3619" spans="1:19" ht="16.2" customHeight="1" x14ac:dyDescent="0.3">
      <c r="A3619" s="140">
        <v>45678</v>
      </c>
      <c r="B3619" s="5">
        <f t="shared" si="907"/>
        <v>1</v>
      </c>
      <c r="C3619" s="5">
        <f t="shared" si="908"/>
        <v>2025</v>
      </c>
      <c r="D3619" s="105" t="s">
        <v>3353</v>
      </c>
      <c r="E3619" s="5" t="str">
        <f>VLOOKUP(F3619,'Set up'!$A$2:$C$70,2,FALSE)</f>
        <v>C00000027</v>
      </c>
      <c r="F3619" s="99" t="s">
        <v>859</v>
      </c>
      <c r="G3619" s="99" t="s">
        <v>1007</v>
      </c>
      <c r="H3619" s="105">
        <v>3</v>
      </c>
      <c r="I3619" s="5" t="str">
        <f>VLOOKUP(F3619,'Set up'!$A$2:$C$70,3,FALSE)</f>
        <v>Cash</v>
      </c>
      <c r="J3619" s="5">
        <f>VLOOKUP(F3619,'Set up'!$A$2:$D$70,4,FALSE)</f>
        <v>0</v>
      </c>
      <c r="K3619" s="4">
        <f t="shared" si="909"/>
        <v>45678</v>
      </c>
      <c r="L3619" s="5">
        <f t="shared" si="910"/>
        <v>1</v>
      </c>
      <c r="M3619" s="5">
        <f t="shared" si="911"/>
        <v>2025</v>
      </c>
      <c r="N3619" s="135">
        <v>1215</v>
      </c>
      <c r="O3619" s="12"/>
      <c r="P3619" s="12">
        <f t="shared" ref="P3619:P3682" si="918">SUM(N3619+O3619)</f>
        <v>1215</v>
      </c>
      <c r="Q3619" s="7">
        <f t="shared" si="913"/>
        <v>5941339.1500000004</v>
      </c>
      <c r="R3619" s="44" t="str">
        <f>VLOOKUP(F3619,'Set up'!$A$2:$E$70,5,FALSE)</f>
        <v>Trsf</v>
      </c>
    </row>
    <row r="3620" spans="1:19" ht="16.2" customHeight="1" x14ac:dyDescent="0.3">
      <c r="A3620" s="140">
        <v>45678</v>
      </c>
      <c r="B3620" s="5">
        <f t="shared" si="907"/>
        <v>1</v>
      </c>
      <c r="C3620" s="5">
        <f t="shared" si="908"/>
        <v>2025</v>
      </c>
      <c r="D3620" s="105" t="s">
        <v>3353</v>
      </c>
      <c r="E3620" s="5" t="str">
        <f>VLOOKUP(F3620,'Set up'!$A$2:$C$70,2,FALSE)</f>
        <v>C00000027</v>
      </c>
      <c r="F3620" s="99" t="s">
        <v>859</v>
      </c>
      <c r="G3620" s="99" t="s">
        <v>3354</v>
      </c>
      <c r="H3620" s="105">
        <v>1</v>
      </c>
      <c r="I3620" s="5" t="str">
        <f>VLOOKUP(F3620,'Set up'!$A$2:$C$70,3,FALSE)</f>
        <v>Cash</v>
      </c>
      <c r="J3620" s="5">
        <f>VLOOKUP(F3620,'Set up'!$A$2:$D$70,4,FALSE)</f>
        <v>0</v>
      </c>
      <c r="K3620" s="4">
        <f t="shared" si="909"/>
        <v>45678</v>
      </c>
      <c r="L3620" s="5">
        <f t="shared" si="910"/>
        <v>1</v>
      </c>
      <c r="M3620" s="5">
        <f t="shared" si="911"/>
        <v>2025</v>
      </c>
      <c r="N3620" s="135">
        <v>405</v>
      </c>
      <c r="O3620" s="12"/>
      <c r="P3620" s="12">
        <f t="shared" si="918"/>
        <v>405</v>
      </c>
      <c r="Q3620" s="7">
        <f t="shared" si="913"/>
        <v>5941744.1500000004</v>
      </c>
      <c r="R3620" s="44" t="str">
        <f>VLOOKUP(F3620,'Set up'!$A$2:$E$70,5,FALSE)</f>
        <v>Trsf</v>
      </c>
    </row>
    <row r="3621" spans="1:19" ht="16.2" customHeight="1" x14ac:dyDescent="0.3">
      <c r="A3621" s="140">
        <v>45678</v>
      </c>
      <c r="B3621" s="5">
        <f t="shared" si="907"/>
        <v>1</v>
      </c>
      <c r="C3621" s="5">
        <f t="shared" si="908"/>
        <v>2025</v>
      </c>
      <c r="D3621" s="105" t="s">
        <v>3353</v>
      </c>
      <c r="E3621" s="5" t="str">
        <f>VLOOKUP(F3621,'Set up'!$A$2:$C$70,2,FALSE)</f>
        <v>C00000027</v>
      </c>
      <c r="F3621" s="99" t="s">
        <v>859</v>
      </c>
      <c r="G3621" s="99" t="s">
        <v>2144</v>
      </c>
      <c r="H3621" s="105">
        <v>2</v>
      </c>
      <c r="I3621" s="5" t="str">
        <f>VLOOKUP(F3621,'Set up'!$A$2:$C$70,3,FALSE)</f>
        <v>Cash</v>
      </c>
      <c r="J3621" s="5">
        <f>VLOOKUP(F3621,'Set up'!$A$2:$D$70,4,FALSE)</f>
        <v>0</v>
      </c>
      <c r="K3621" s="4">
        <f t="shared" si="909"/>
        <v>45678</v>
      </c>
      <c r="L3621" s="5">
        <f t="shared" si="910"/>
        <v>1</v>
      </c>
      <c r="M3621" s="5">
        <f t="shared" si="911"/>
        <v>2025</v>
      </c>
      <c r="N3621" s="135">
        <v>563.20000000000005</v>
      </c>
      <c r="O3621" s="12"/>
      <c r="P3621" s="12">
        <f t="shared" si="918"/>
        <v>563.20000000000005</v>
      </c>
      <c r="Q3621" s="7">
        <f t="shared" si="913"/>
        <v>5942307.3500000006</v>
      </c>
      <c r="R3621" s="44" t="str">
        <f>VLOOKUP(F3621,'Set up'!$A$2:$E$70,5,FALSE)</f>
        <v>Trsf</v>
      </c>
    </row>
    <row r="3622" spans="1:19" ht="16.2" customHeight="1" x14ac:dyDescent="0.3">
      <c r="A3622" s="140">
        <v>45678</v>
      </c>
      <c r="B3622" s="5">
        <f t="shared" si="907"/>
        <v>1</v>
      </c>
      <c r="C3622" s="5">
        <f t="shared" si="908"/>
        <v>2025</v>
      </c>
      <c r="D3622" s="105" t="s">
        <v>3353</v>
      </c>
      <c r="E3622" s="5" t="str">
        <f>VLOOKUP(F3622,'Set up'!$A$2:$C$70,2,FALSE)</f>
        <v>C00000027</v>
      </c>
      <c r="F3622" s="99" t="s">
        <v>859</v>
      </c>
      <c r="G3622" s="99" t="s">
        <v>2646</v>
      </c>
      <c r="H3622" s="105">
        <v>1</v>
      </c>
      <c r="I3622" s="5" t="str">
        <f>VLOOKUP(F3622,'Set up'!$A$2:$C$70,3,FALSE)</f>
        <v>Cash</v>
      </c>
      <c r="J3622" s="5">
        <f>VLOOKUP(F3622,'Set up'!$A$2:$D$70,4,FALSE)</f>
        <v>0</v>
      </c>
      <c r="K3622" s="4">
        <f t="shared" si="909"/>
        <v>45678</v>
      </c>
      <c r="L3622" s="5">
        <f t="shared" si="910"/>
        <v>1</v>
      </c>
      <c r="M3622" s="5">
        <f t="shared" si="911"/>
        <v>2025</v>
      </c>
      <c r="N3622" s="135">
        <v>62.5</v>
      </c>
      <c r="O3622" s="12"/>
      <c r="P3622" s="12">
        <f t="shared" si="918"/>
        <v>62.5</v>
      </c>
      <c r="Q3622" s="7">
        <f t="shared" si="913"/>
        <v>5942369.8500000006</v>
      </c>
      <c r="R3622" s="44" t="str">
        <f>VLOOKUP(F3622,'Set up'!$A$2:$E$70,5,FALSE)</f>
        <v>Trsf</v>
      </c>
    </row>
    <row r="3623" spans="1:19" ht="16.2" customHeight="1" x14ac:dyDescent="0.3">
      <c r="A3623" s="140">
        <v>45678</v>
      </c>
      <c r="B3623" s="5">
        <f t="shared" si="907"/>
        <v>1</v>
      </c>
      <c r="C3623" s="5">
        <f t="shared" si="908"/>
        <v>2025</v>
      </c>
      <c r="D3623" s="105" t="s">
        <v>3355</v>
      </c>
      <c r="E3623" s="5" t="str">
        <f>VLOOKUP(F3623,'Set up'!$A$2:$C$70,2,FALSE)</f>
        <v>C00000042</v>
      </c>
      <c r="F3623" s="99" t="s">
        <v>2012</v>
      </c>
      <c r="G3623" s="99" t="s">
        <v>2646</v>
      </c>
      <c r="H3623" s="105">
        <v>1</v>
      </c>
      <c r="I3623" s="5" t="str">
        <f>VLOOKUP(F3623,'Set up'!$A$2:$C$70,3,FALSE)</f>
        <v>Cash</v>
      </c>
      <c r="J3623" s="5">
        <f>VLOOKUP(F3623,'Set up'!$A$2:$D$70,4,FALSE)</f>
        <v>0</v>
      </c>
      <c r="K3623" s="4">
        <f t="shared" si="909"/>
        <v>45678</v>
      </c>
      <c r="L3623" s="5">
        <f t="shared" si="910"/>
        <v>1</v>
      </c>
      <c r="M3623" s="5">
        <f t="shared" si="911"/>
        <v>2025</v>
      </c>
      <c r="N3623" s="135">
        <v>62.5</v>
      </c>
      <c r="O3623" s="6">
        <f t="shared" ref="O3623:O3631" si="919">-N3623</f>
        <v>-62.5</v>
      </c>
      <c r="P3623" s="12">
        <f t="shared" si="918"/>
        <v>0</v>
      </c>
      <c r="Q3623" s="7">
        <f t="shared" si="913"/>
        <v>5942432.3500000006</v>
      </c>
      <c r="R3623" s="44" t="str">
        <f>VLOOKUP(F3623,'Set up'!$A$2:$E$70,5,FALSE)</f>
        <v>Trsf</v>
      </c>
      <c r="S3623" s="1" t="s">
        <v>3918</v>
      </c>
    </row>
    <row r="3624" spans="1:19" ht="16.2" customHeight="1" x14ac:dyDescent="0.3">
      <c r="A3624" s="140">
        <v>45678</v>
      </c>
      <c r="B3624" s="5">
        <f t="shared" si="907"/>
        <v>1</v>
      </c>
      <c r="C3624" s="5">
        <f t="shared" si="908"/>
        <v>2025</v>
      </c>
      <c r="D3624" s="105" t="s">
        <v>3356</v>
      </c>
      <c r="E3624" s="5" t="str">
        <f>VLOOKUP(F3624,'Set up'!$A$2:$C$70,2,FALSE)</f>
        <v>C00000042</v>
      </c>
      <c r="F3624" s="99" t="s">
        <v>2012</v>
      </c>
      <c r="G3624" s="99" t="s">
        <v>3217</v>
      </c>
      <c r="H3624" s="105">
        <v>1</v>
      </c>
      <c r="I3624" s="5" t="str">
        <f>VLOOKUP(F3624,'Set up'!$A$2:$C$70,3,FALSE)</f>
        <v>Cash</v>
      </c>
      <c r="J3624" s="5">
        <f>VLOOKUP(F3624,'Set up'!$A$2:$D$70,4,FALSE)</f>
        <v>0</v>
      </c>
      <c r="K3624" s="4">
        <f t="shared" si="909"/>
        <v>45678</v>
      </c>
      <c r="L3624" s="5">
        <f t="shared" si="910"/>
        <v>1</v>
      </c>
      <c r="M3624" s="5">
        <f t="shared" si="911"/>
        <v>2025</v>
      </c>
      <c r="N3624" s="135">
        <v>1620</v>
      </c>
      <c r="O3624" s="6">
        <f t="shared" si="919"/>
        <v>-1620</v>
      </c>
      <c r="P3624" s="12">
        <f t="shared" si="918"/>
        <v>0</v>
      </c>
      <c r="Q3624" s="7">
        <f t="shared" si="913"/>
        <v>5944052.3500000006</v>
      </c>
      <c r="R3624" s="44" t="str">
        <f>VLOOKUP(F3624,'Set up'!$A$2:$E$70,5,FALSE)</f>
        <v>Trsf</v>
      </c>
      <c r="S3624" s="1" t="s">
        <v>3919</v>
      </c>
    </row>
    <row r="3625" spans="1:19" ht="16.2" customHeight="1" x14ac:dyDescent="0.3">
      <c r="A3625" s="140">
        <v>45678</v>
      </c>
      <c r="B3625" s="5">
        <f t="shared" si="907"/>
        <v>1</v>
      </c>
      <c r="C3625" s="5">
        <f t="shared" si="908"/>
        <v>2025</v>
      </c>
      <c r="D3625" s="105" t="s">
        <v>3356</v>
      </c>
      <c r="E3625" s="5" t="str">
        <f>VLOOKUP(F3625,'Set up'!$A$2:$C$70,2,FALSE)</f>
        <v>C00000042</v>
      </c>
      <c r="F3625" s="99" t="s">
        <v>2012</v>
      </c>
      <c r="G3625" s="99" t="s">
        <v>3243</v>
      </c>
      <c r="H3625" s="105">
        <v>3</v>
      </c>
      <c r="I3625" s="5" t="str">
        <f>VLOOKUP(F3625,'Set up'!$A$2:$C$70,3,FALSE)</f>
        <v>Cash</v>
      </c>
      <c r="J3625" s="5">
        <f>VLOOKUP(F3625,'Set up'!$A$2:$D$70,4,FALSE)</f>
        <v>0</v>
      </c>
      <c r="K3625" s="4">
        <f t="shared" si="909"/>
        <v>45678</v>
      </c>
      <c r="L3625" s="5">
        <f t="shared" si="910"/>
        <v>1</v>
      </c>
      <c r="M3625" s="5">
        <f t="shared" si="911"/>
        <v>2025</v>
      </c>
      <c r="N3625" s="135">
        <v>522</v>
      </c>
      <c r="O3625" s="6">
        <f t="shared" si="919"/>
        <v>-522</v>
      </c>
      <c r="P3625" s="12">
        <f t="shared" si="918"/>
        <v>0</v>
      </c>
      <c r="Q3625" s="7">
        <f t="shared" si="913"/>
        <v>5944574.3500000006</v>
      </c>
      <c r="R3625" s="44" t="str">
        <f>VLOOKUP(F3625,'Set up'!$A$2:$E$70,5,FALSE)</f>
        <v>Trsf</v>
      </c>
      <c r="S3625" s="1" t="s">
        <v>3920</v>
      </c>
    </row>
    <row r="3626" spans="1:19" ht="16.2" customHeight="1" x14ac:dyDescent="0.3">
      <c r="A3626" s="140">
        <v>45678</v>
      </c>
      <c r="B3626" s="5">
        <f t="shared" si="907"/>
        <v>1</v>
      </c>
      <c r="C3626" s="5">
        <f t="shared" si="908"/>
        <v>2025</v>
      </c>
      <c r="D3626" s="105" t="s">
        <v>3356</v>
      </c>
      <c r="E3626" s="5" t="str">
        <f>VLOOKUP(F3626,'Set up'!$A$2:$C$70,2,FALSE)</f>
        <v>C00000042</v>
      </c>
      <c r="F3626" s="99" t="s">
        <v>2012</v>
      </c>
      <c r="G3626" s="99" t="s">
        <v>1922</v>
      </c>
      <c r="H3626" s="105">
        <v>1</v>
      </c>
      <c r="I3626" s="5" t="str">
        <f>VLOOKUP(F3626,'Set up'!$A$2:$C$70,3,FALSE)</f>
        <v>Cash</v>
      </c>
      <c r="J3626" s="5">
        <f>VLOOKUP(F3626,'Set up'!$A$2:$D$70,4,FALSE)</f>
        <v>0</v>
      </c>
      <c r="K3626" s="4">
        <f t="shared" si="909"/>
        <v>45678</v>
      </c>
      <c r="L3626" s="5">
        <f t="shared" si="910"/>
        <v>1</v>
      </c>
      <c r="M3626" s="5">
        <f t="shared" si="911"/>
        <v>2025</v>
      </c>
      <c r="N3626" s="135">
        <v>247.5</v>
      </c>
      <c r="O3626" s="6">
        <f t="shared" si="919"/>
        <v>-247.5</v>
      </c>
      <c r="P3626" s="12">
        <f t="shared" si="918"/>
        <v>0</v>
      </c>
      <c r="Q3626" s="7">
        <f t="shared" si="913"/>
        <v>5944821.8500000006</v>
      </c>
      <c r="R3626" s="44" t="str">
        <f>VLOOKUP(F3626,'Set up'!$A$2:$E$70,5,FALSE)</f>
        <v>Trsf</v>
      </c>
      <c r="S3626" s="1" t="s">
        <v>3921</v>
      </c>
    </row>
    <row r="3627" spans="1:19" ht="16.2" customHeight="1" x14ac:dyDescent="0.3">
      <c r="A3627" s="140">
        <v>45678</v>
      </c>
      <c r="B3627" s="5">
        <f t="shared" si="907"/>
        <v>1</v>
      </c>
      <c r="C3627" s="5">
        <f t="shared" si="908"/>
        <v>2025</v>
      </c>
      <c r="D3627" s="105" t="s">
        <v>3356</v>
      </c>
      <c r="E3627" s="5" t="str">
        <f>VLOOKUP(F3627,'Set up'!$A$2:$C$70,2,FALSE)</f>
        <v>C00000042</v>
      </c>
      <c r="F3627" s="99" t="s">
        <v>2012</v>
      </c>
      <c r="G3627" s="99" t="s">
        <v>2744</v>
      </c>
      <c r="H3627" s="105">
        <v>1</v>
      </c>
      <c r="I3627" s="5" t="str">
        <f>VLOOKUP(F3627,'Set up'!$A$2:$C$70,3,FALSE)</f>
        <v>Cash</v>
      </c>
      <c r="J3627" s="5">
        <f>VLOOKUP(F3627,'Set up'!$A$2:$D$70,4,FALSE)</f>
        <v>0</v>
      </c>
      <c r="K3627" s="4">
        <f t="shared" si="909"/>
        <v>45678</v>
      </c>
      <c r="L3627" s="5">
        <f t="shared" si="910"/>
        <v>1</v>
      </c>
      <c r="M3627" s="5">
        <f t="shared" si="911"/>
        <v>2025</v>
      </c>
      <c r="N3627" s="135">
        <v>975</v>
      </c>
      <c r="O3627" s="6">
        <f t="shared" si="919"/>
        <v>-975</v>
      </c>
      <c r="P3627" s="12">
        <f t="shared" si="918"/>
        <v>0</v>
      </c>
      <c r="Q3627" s="7">
        <f t="shared" si="913"/>
        <v>5945796.8500000006</v>
      </c>
      <c r="R3627" s="44" t="str">
        <f>VLOOKUP(F3627,'Set up'!$A$2:$E$70,5,FALSE)</f>
        <v>Trsf</v>
      </c>
      <c r="S3627" s="1" t="s">
        <v>3922</v>
      </c>
    </row>
    <row r="3628" spans="1:19" ht="16.2" customHeight="1" x14ac:dyDescent="0.3">
      <c r="A3628" s="140">
        <v>45679</v>
      </c>
      <c r="B3628" s="5">
        <f t="shared" si="907"/>
        <v>1</v>
      </c>
      <c r="C3628" s="5">
        <f t="shared" si="908"/>
        <v>2025</v>
      </c>
      <c r="D3628" s="105" t="s">
        <v>3357</v>
      </c>
      <c r="E3628" s="5" t="str">
        <f>VLOOKUP(F3628,'Set up'!$A$2:$C$70,2,FALSE)</f>
        <v>C00000010</v>
      </c>
      <c r="F3628" s="99" t="s">
        <v>62</v>
      </c>
      <c r="G3628" s="99" t="s">
        <v>3119</v>
      </c>
      <c r="H3628" s="105">
        <v>6</v>
      </c>
      <c r="I3628" s="5">
        <f>VLOOKUP(F3628,'Set up'!$A$2:$C$70,3,FALSE)</f>
        <v>120</v>
      </c>
      <c r="J3628" s="5">
        <f>VLOOKUP(F3628,'Set up'!$A$2:$D$70,4,FALSE)</f>
        <v>120</v>
      </c>
      <c r="K3628" s="4">
        <f t="shared" si="909"/>
        <v>45799</v>
      </c>
      <c r="L3628" s="5">
        <f t="shared" si="910"/>
        <v>5</v>
      </c>
      <c r="M3628" s="5">
        <f t="shared" si="911"/>
        <v>2025</v>
      </c>
      <c r="N3628" s="135">
        <v>9720</v>
      </c>
      <c r="O3628" s="6">
        <f t="shared" si="919"/>
        <v>-9720</v>
      </c>
      <c r="P3628" s="12">
        <f t="shared" ref="P3628:P3629" si="920">SUM(N3628+O3628)</f>
        <v>0</v>
      </c>
      <c r="Q3628" s="7">
        <f t="shared" si="913"/>
        <v>5955516.8500000006</v>
      </c>
      <c r="R3628" s="44" t="str">
        <f>VLOOKUP(F3628,'Set up'!$A$2:$E$70,5,FALSE)</f>
        <v>Trsf</v>
      </c>
      <c r="S3628" s="1" t="s">
        <v>4070</v>
      </c>
    </row>
    <row r="3629" spans="1:19" ht="16.2" customHeight="1" x14ac:dyDescent="0.3">
      <c r="A3629" s="140">
        <v>45679</v>
      </c>
      <c r="B3629" s="5">
        <f t="shared" si="907"/>
        <v>1</v>
      </c>
      <c r="C3629" s="5">
        <f t="shared" si="908"/>
        <v>2025</v>
      </c>
      <c r="D3629" s="105" t="s">
        <v>3357</v>
      </c>
      <c r="E3629" s="5" t="str">
        <f>VLOOKUP(F3629,'Set up'!$A$2:$C$70,2,FALSE)</f>
        <v>C00000010</v>
      </c>
      <c r="F3629" s="99" t="s">
        <v>62</v>
      </c>
      <c r="G3629" s="99" t="s">
        <v>1543</v>
      </c>
      <c r="H3629" s="105">
        <v>10</v>
      </c>
      <c r="I3629" s="5">
        <f>VLOOKUP(F3629,'Set up'!$A$2:$C$70,3,FALSE)</f>
        <v>120</v>
      </c>
      <c r="J3629" s="5">
        <f>VLOOKUP(F3629,'Set up'!$A$2:$D$70,4,FALSE)</f>
        <v>120</v>
      </c>
      <c r="K3629" s="4">
        <f t="shared" si="909"/>
        <v>45799</v>
      </c>
      <c r="L3629" s="5">
        <f t="shared" si="910"/>
        <v>5</v>
      </c>
      <c r="M3629" s="5">
        <f t="shared" si="911"/>
        <v>2025</v>
      </c>
      <c r="N3629" s="135">
        <v>1740</v>
      </c>
      <c r="O3629" s="6">
        <f t="shared" si="919"/>
        <v>-1740</v>
      </c>
      <c r="P3629" s="12">
        <f t="shared" si="920"/>
        <v>0</v>
      </c>
      <c r="Q3629" s="7">
        <f t="shared" si="913"/>
        <v>5957256.8500000006</v>
      </c>
      <c r="R3629" s="44" t="str">
        <f>VLOOKUP(F3629,'Set up'!$A$2:$E$70,5,FALSE)</f>
        <v>Trsf</v>
      </c>
      <c r="S3629" s="1" t="s">
        <v>4070</v>
      </c>
    </row>
    <row r="3630" spans="1:19" ht="16.2" customHeight="1" x14ac:dyDescent="0.3">
      <c r="A3630" s="140">
        <v>45679</v>
      </c>
      <c r="B3630" s="5">
        <f t="shared" si="907"/>
        <v>1</v>
      </c>
      <c r="C3630" s="5">
        <f t="shared" si="908"/>
        <v>2025</v>
      </c>
      <c r="D3630" s="105" t="s">
        <v>3357</v>
      </c>
      <c r="E3630" s="5" t="str">
        <f>VLOOKUP(F3630,'Set up'!$A$2:$C$70,2,FALSE)</f>
        <v>C00000010</v>
      </c>
      <c r="F3630" s="99" t="s">
        <v>62</v>
      </c>
      <c r="G3630" s="99" t="s">
        <v>2635</v>
      </c>
      <c r="H3630" s="105">
        <v>10</v>
      </c>
      <c r="I3630" s="5">
        <f>VLOOKUP(F3630,'Set up'!$A$2:$C$70,3,FALSE)</f>
        <v>120</v>
      </c>
      <c r="J3630" s="5">
        <f>VLOOKUP(F3630,'Set up'!$A$2:$D$70,4,FALSE)</f>
        <v>120</v>
      </c>
      <c r="K3630" s="4">
        <f t="shared" si="909"/>
        <v>45799</v>
      </c>
      <c r="L3630" s="5">
        <f t="shared" si="910"/>
        <v>5</v>
      </c>
      <c r="M3630" s="5">
        <f t="shared" si="911"/>
        <v>2025</v>
      </c>
      <c r="N3630" s="135">
        <v>575</v>
      </c>
      <c r="O3630" s="6">
        <f t="shared" si="919"/>
        <v>-575</v>
      </c>
      <c r="P3630" s="12">
        <f t="shared" si="918"/>
        <v>0</v>
      </c>
      <c r="Q3630" s="7">
        <f t="shared" si="913"/>
        <v>5957831.8500000006</v>
      </c>
      <c r="R3630" s="44" t="str">
        <f>VLOOKUP(F3630,'Set up'!$A$2:$E$70,5,FALSE)</f>
        <v>Trsf</v>
      </c>
      <c r="S3630" s="1" t="s">
        <v>4070</v>
      </c>
    </row>
    <row r="3631" spans="1:19" ht="16.2" customHeight="1" x14ac:dyDescent="0.3">
      <c r="A3631" s="140">
        <v>45679</v>
      </c>
      <c r="B3631" s="5">
        <f t="shared" si="907"/>
        <v>1</v>
      </c>
      <c r="C3631" s="5">
        <f t="shared" si="908"/>
        <v>2025</v>
      </c>
      <c r="D3631" s="105" t="s">
        <v>3357</v>
      </c>
      <c r="E3631" s="5" t="str">
        <f>VLOOKUP(F3631,'Set up'!$A$2:$C$70,2,FALSE)</f>
        <v>C00000010</v>
      </c>
      <c r="F3631" s="99" t="s">
        <v>62</v>
      </c>
      <c r="G3631" s="99" t="s">
        <v>46</v>
      </c>
      <c r="H3631" s="105">
        <v>4</v>
      </c>
      <c r="I3631" s="5">
        <f>VLOOKUP(F3631,'Set up'!$A$2:$C$70,3,FALSE)</f>
        <v>120</v>
      </c>
      <c r="J3631" s="5">
        <f>VLOOKUP(F3631,'Set up'!$A$2:$D$70,4,FALSE)</f>
        <v>120</v>
      </c>
      <c r="K3631" s="4">
        <f t="shared" si="909"/>
        <v>45799</v>
      </c>
      <c r="L3631" s="5">
        <f t="shared" si="910"/>
        <v>5</v>
      </c>
      <c r="M3631" s="5">
        <f t="shared" si="911"/>
        <v>2025</v>
      </c>
      <c r="N3631" s="135">
        <v>440</v>
      </c>
      <c r="O3631" s="6">
        <f t="shared" si="919"/>
        <v>-440</v>
      </c>
      <c r="P3631" s="12">
        <f t="shared" si="918"/>
        <v>0</v>
      </c>
      <c r="Q3631" s="7">
        <f t="shared" si="913"/>
        <v>5958271.8500000006</v>
      </c>
      <c r="R3631" s="44" t="str">
        <f>VLOOKUP(F3631,'Set up'!$A$2:$E$70,5,FALSE)</f>
        <v>Trsf</v>
      </c>
      <c r="S3631" s="1" t="s">
        <v>4070</v>
      </c>
    </row>
    <row r="3632" spans="1:19" ht="16.2" customHeight="1" x14ac:dyDescent="0.3">
      <c r="A3632" s="140">
        <v>45679</v>
      </c>
      <c r="B3632" s="5">
        <f t="shared" si="907"/>
        <v>1</v>
      </c>
      <c r="C3632" s="5">
        <f t="shared" si="908"/>
        <v>2025</v>
      </c>
      <c r="D3632" s="105" t="s">
        <v>3357</v>
      </c>
      <c r="E3632" s="5" t="str">
        <f>VLOOKUP(F3632,'Set up'!$A$2:$C$70,2,FALSE)</f>
        <v>C00000010</v>
      </c>
      <c r="F3632" s="99" t="s">
        <v>62</v>
      </c>
      <c r="G3632" s="99" t="s">
        <v>949</v>
      </c>
      <c r="H3632" s="105">
        <v>12</v>
      </c>
      <c r="I3632" s="5">
        <f>VLOOKUP(F3632,'Set up'!$A$2:$C$70,3,FALSE)</f>
        <v>120</v>
      </c>
      <c r="J3632" s="5">
        <f>VLOOKUP(F3632,'Set up'!$A$2:$D$70,4,FALSE)</f>
        <v>120</v>
      </c>
      <c r="K3632" s="4">
        <f t="shared" si="909"/>
        <v>45799</v>
      </c>
      <c r="L3632" s="5">
        <f t="shared" si="910"/>
        <v>5</v>
      </c>
      <c r="M3632" s="5">
        <f t="shared" si="911"/>
        <v>2025</v>
      </c>
      <c r="N3632" s="135">
        <v>696</v>
      </c>
      <c r="O3632" s="6">
        <f t="shared" ref="O3632" si="921">-N3632</f>
        <v>-696</v>
      </c>
      <c r="P3632" s="12">
        <f t="shared" si="918"/>
        <v>0</v>
      </c>
      <c r="Q3632" s="7">
        <f t="shared" si="913"/>
        <v>5958967.8500000006</v>
      </c>
      <c r="R3632" s="44" t="str">
        <f>VLOOKUP(F3632,'Set up'!$A$2:$E$70,5,FALSE)</f>
        <v>Trsf</v>
      </c>
      <c r="S3632" s="1" t="s">
        <v>4070</v>
      </c>
    </row>
    <row r="3633" spans="1:21" ht="16.2" customHeight="1" x14ac:dyDescent="0.3">
      <c r="A3633" s="140">
        <v>45681</v>
      </c>
      <c r="B3633" s="5">
        <f t="shared" si="907"/>
        <v>1</v>
      </c>
      <c r="C3633" s="5">
        <f t="shared" si="908"/>
        <v>2025</v>
      </c>
      <c r="D3633" s="105" t="s">
        <v>3358</v>
      </c>
      <c r="E3633" s="5" t="str">
        <f>VLOOKUP(F3633,'Set up'!$A$2:$C$70,2,FALSE)</f>
        <v>C00000019</v>
      </c>
      <c r="F3633" s="99" t="s">
        <v>400</v>
      </c>
      <c r="G3633" s="99" t="s">
        <v>3122</v>
      </c>
      <c r="H3633" s="105">
        <v>1</v>
      </c>
      <c r="I3633" s="5" t="str">
        <f>VLOOKUP(F3633,'Set up'!$A$2:$C$70,3,FALSE)</f>
        <v>Cash</v>
      </c>
      <c r="J3633" s="5">
        <f>VLOOKUP(F3633,'Set up'!$A$2:$D$70,4,FALSE)</f>
        <v>0</v>
      </c>
      <c r="K3633" s="4">
        <f t="shared" si="909"/>
        <v>45681</v>
      </c>
      <c r="L3633" s="5">
        <f t="shared" si="910"/>
        <v>1</v>
      </c>
      <c r="M3633" s="5">
        <f t="shared" si="911"/>
        <v>2025</v>
      </c>
      <c r="N3633" s="135">
        <v>1755</v>
      </c>
      <c r="O3633" s="12"/>
      <c r="P3633" s="12">
        <f t="shared" si="918"/>
        <v>1755</v>
      </c>
      <c r="Q3633" s="7">
        <f t="shared" si="913"/>
        <v>5960722.8500000006</v>
      </c>
      <c r="R3633" s="44" t="str">
        <f>VLOOKUP(F3633,'Set up'!$A$2:$E$70,5,FALSE)</f>
        <v>Trsf</v>
      </c>
    </row>
    <row r="3634" spans="1:21" ht="16.2" customHeight="1" x14ac:dyDescent="0.3">
      <c r="A3634" s="140">
        <v>45681</v>
      </c>
      <c r="B3634" s="5">
        <f t="shared" si="907"/>
        <v>1</v>
      </c>
      <c r="C3634" s="5">
        <f t="shared" si="908"/>
        <v>2025</v>
      </c>
      <c r="D3634" s="105" t="s">
        <v>3358</v>
      </c>
      <c r="E3634" s="5" t="str">
        <f>VLOOKUP(F3634,'Set up'!$A$2:$C$70,2,FALSE)</f>
        <v>C00000019</v>
      </c>
      <c r="F3634" s="99" t="s">
        <v>400</v>
      </c>
      <c r="G3634" s="99" t="s">
        <v>1411</v>
      </c>
      <c r="H3634" s="105">
        <v>1</v>
      </c>
      <c r="I3634" s="5" t="str">
        <f>VLOOKUP(F3634,'Set up'!$A$2:$C$70,3,FALSE)</f>
        <v>Cash</v>
      </c>
      <c r="J3634" s="5">
        <f>VLOOKUP(F3634,'Set up'!$A$2:$D$70,4,FALSE)</f>
        <v>0</v>
      </c>
      <c r="K3634" s="4">
        <f t="shared" si="909"/>
        <v>45681</v>
      </c>
      <c r="L3634" s="5">
        <f t="shared" si="910"/>
        <v>1</v>
      </c>
      <c r="M3634" s="5">
        <f t="shared" si="911"/>
        <v>2025</v>
      </c>
      <c r="N3634" s="135">
        <v>405</v>
      </c>
      <c r="O3634" s="12"/>
      <c r="P3634" s="12">
        <f t="shared" si="918"/>
        <v>405</v>
      </c>
      <c r="Q3634" s="7">
        <f t="shared" si="913"/>
        <v>5961127.8500000006</v>
      </c>
      <c r="R3634" s="44" t="str">
        <f>VLOOKUP(F3634,'Set up'!$A$2:$E$70,5,FALSE)</f>
        <v>Trsf</v>
      </c>
    </row>
    <row r="3635" spans="1:21" ht="16.2" customHeight="1" x14ac:dyDescent="0.3">
      <c r="A3635" s="140">
        <v>45681</v>
      </c>
      <c r="B3635" s="5">
        <f t="shared" si="907"/>
        <v>1</v>
      </c>
      <c r="C3635" s="5">
        <f t="shared" si="908"/>
        <v>2025</v>
      </c>
      <c r="D3635" s="105" t="s">
        <v>3358</v>
      </c>
      <c r="E3635" s="5" t="str">
        <f>VLOOKUP(F3635,'Set up'!$A$2:$C$70,2,FALSE)</f>
        <v>C00000019</v>
      </c>
      <c r="F3635" s="99" t="s">
        <v>400</v>
      </c>
      <c r="G3635" s="99" t="s">
        <v>46</v>
      </c>
      <c r="H3635" s="105">
        <v>1</v>
      </c>
      <c r="I3635" s="5" t="str">
        <f>VLOOKUP(F3635,'Set up'!$A$2:$C$70,3,FALSE)</f>
        <v>Cash</v>
      </c>
      <c r="J3635" s="5">
        <f>VLOOKUP(F3635,'Set up'!$A$2:$D$70,4,FALSE)</f>
        <v>0</v>
      </c>
      <c r="K3635" s="4">
        <f t="shared" si="909"/>
        <v>45681</v>
      </c>
      <c r="L3635" s="5">
        <f t="shared" si="910"/>
        <v>1</v>
      </c>
      <c r="M3635" s="5">
        <f t="shared" si="911"/>
        <v>2025</v>
      </c>
      <c r="N3635" s="135">
        <v>110</v>
      </c>
      <c r="O3635" s="12"/>
      <c r="P3635" s="12">
        <f t="shared" si="918"/>
        <v>110</v>
      </c>
      <c r="Q3635" s="7">
        <f t="shared" si="913"/>
        <v>5961237.8500000006</v>
      </c>
      <c r="R3635" s="44" t="str">
        <f>VLOOKUP(F3635,'Set up'!$A$2:$E$70,5,FALSE)</f>
        <v>Trsf</v>
      </c>
    </row>
    <row r="3636" spans="1:21" ht="16.2" customHeight="1" x14ac:dyDescent="0.3">
      <c r="A3636" s="140">
        <v>45681</v>
      </c>
      <c r="B3636" s="5">
        <f t="shared" si="907"/>
        <v>1</v>
      </c>
      <c r="C3636" s="5">
        <f t="shared" si="908"/>
        <v>2025</v>
      </c>
      <c r="D3636" s="105" t="s">
        <v>3358</v>
      </c>
      <c r="E3636" s="5" t="str">
        <f>VLOOKUP(F3636,'Set up'!$A$2:$C$70,2,FALSE)</f>
        <v>C00000019</v>
      </c>
      <c r="F3636" s="99" t="s">
        <v>400</v>
      </c>
      <c r="G3636" s="99" t="s">
        <v>1469</v>
      </c>
      <c r="H3636" s="105">
        <v>1</v>
      </c>
      <c r="I3636" s="5" t="str">
        <f>VLOOKUP(F3636,'Set up'!$A$2:$C$70,3,FALSE)</f>
        <v>Cash</v>
      </c>
      <c r="J3636" s="5">
        <f>VLOOKUP(F3636,'Set up'!$A$2:$D$70,4,FALSE)</f>
        <v>0</v>
      </c>
      <c r="K3636" s="4">
        <f t="shared" si="909"/>
        <v>45681</v>
      </c>
      <c r="L3636" s="5">
        <f t="shared" si="910"/>
        <v>1</v>
      </c>
      <c r="M3636" s="5">
        <f t="shared" si="911"/>
        <v>2025</v>
      </c>
      <c r="N3636" s="135">
        <v>390</v>
      </c>
      <c r="O3636" s="12"/>
      <c r="P3636" s="12">
        <f t="shared" si="918"/>
        <v>390</v>
      </c>
      <c r="Q3636" s="7">
        <f t="shared" si="913"/>
        <v>5961627.8500000006</v>
      </c>
      <c r="R3636" s="44" t="str">
        <f>VLOOKUP(F3636,'Set up'!$A$2:$E$70,5,FALSE)</f>
        <v>Trsf</v>
      </c>
    </row>
    <row r="3637" spans="1:21" ht="16.2" customHeight="1" x14ac:dyDescent="0.3">
      <c r="A3637" s="140">
        <v>45681</v>
      </c>
      <c r="B3637" s="5">
        <f t="shared" si="907"/>
        <v>1</v>
      </c>
      <c r="C3637" s="5">
        <f t="shared" si="908"/>
        <v>2025</v>
      </c>
      <c r="D3637" s="105" t="s">
        <v>3358</v>
      </c>
      <c r="E3637" s="5" t="str">
        <f>VLOOKUP(F3637,'Set up'!$A$2:$C$70,2,FALSE)</f>
        <v>C00000019</v>
      </c>
      <c r="F3637" s="99" t="s">
        <v>400</v>
      </c>
      <c r="G3637" s="99" t="s">
        <v>2635</v>
      </c>
      <c r="H3637" s="105">
        <v>2</v>
      </c>
      <c r="I3637" s="5" t="str">
        <f>VLOOKUP(F3637,'Set up'!$A$2:$C$70,3,FALSE)</f>
        <v>Cash</v>
      </c>
      <c r="J3637" s="5">
        <f>VLOOKUP(F3637,'Set up'!$A$2:$D$70,4,FALSE)</f>
        <v>0</v>
      </c>
      <c r="K3637" s="4">
        <f t="shared" si="909"/>
        <v>45681</v>
      </c>
      <c r="L3637" s="5">
        <f t="shared" si="910"/>
        <v>1</v>
      </c>
      <c r="M3637" s="5">
        <f t="shared" si="911"/>
        <v>2025</v>
      </c>
      <c r="N3637" s="135">
        <v>125</v>
      </c>
      <c r="O3637" s="12"/>
      <c r="P3637" s="12">
        <f t="shared" si="918"/>
        <v>125</v>
      </c>
      <c r="Q3637" s="7">
        <f t="shared" si="913"/>
        <v>5961752.8500000006</v>
      </c>
      <c r="R3637" s="44" t="str">
        <f>VLOOKUP(F3637,'Set up'!$A$2:$E$70,5,FALSE)</f>
        <v>Trsf</v>
      </c>
    </row>
    <row r="3638" spans="1:21" ht="16.2" customHeight="1" x14ac:dyDescent="0.3">
      <c r="A3638" s="140">
        <v>45681</v>
      </c>
      <c r="B3638" s="5">
        <f t="shared" si="907"/>
        <v>1</v>
      </c>
      <c r="C3638" s="5">
        <f t="shared" si="908"/>
        <v>2025</v>
      </c>
      <c r="D3638" s="105" t="s">
        <v>3358</v>
      </c>
      <c r="E3638" s="5" t="str">
        <f>VLOOKUP(F3638,'Set up'!$A$2:$C$70,2,FALSE)</f>
        <v>C00000019</v>
      </c>
      <c r="F3638" s="99" t="s">
        <v>400</v>
      </c>
      <c r="G3638" s="99" t="s">
        <v>1660</v>
      </c>
      <c r="H3638" s="105">
        <v>1</v>
      </c>
      <c r="I3638" s="5" t="str">
        <f>VLOOKUP(F3638,'Set up'!$A$2:$C$70,3,FALSE)</f>
        <v>Cash</v>
      </c>
      <c r="J3638" s="5">
        <f>VLOOKUP(F3638,'Set up'!$A$2:$D$70,4,FALSE)</f>
        <v>0</v>
      </c>
      <c r="K3638" s="4">
        <f t="shared" si="909"/>
        <v>45681</v>
      </c>
      <c r="L3638" s="5">
        <f t="shared" si="910"/>
        <v>1</v>
      </c>
      <c r="M3638" s="5">
        <f t="shared" si="911"/>
        <v>2025</v>
      </c>
      <c r="N3638" s="135">
        <v>160</v>
      </c>
      <c r="O3638" s="12"/>
      <c r="P3638" s="12">
        <f t="shared" si="918"/>
        <v>160</v>
      </c>
      <c r="Q3638" s="7">
        <f t="shared" si="913"/>
        <v>5961912.8500000006</v>
      </c>
      <c r="R3638" s="44" t="str">
        <f>VLOOKUP(F3638,'Set up'!$A$2:$E$70,5,FALSE)</f>
        <v>Trsf</v>
      </c>
    </row>
    <row r="3639" spans="1:21" ht="16.2" customHeight="1" x14ac:dyDescent="0.3">
      <c r="A3639" s="140">
        <v>45682</v>
      </c>
      <c r="B3639" s="5">
        <f t="shared" si="907"/>
        <v>1</v>
      </c>
      <c r="C3639" s="5">
        <f t="shared" si="908"/>
        <v>2025</v>
      </c>
      <c r="D3639" s="105" t="s">
        <v>3359</v>
      </c>
      <c r="E3639" s="5" t="str">
        <f>VLOOKUP(F3639,'Set up'!$A$2:$C$70,2,FALSE)</f>
        <v>C00000003</v>
      </c>
      <c r="F3639" s="99" t="s">
        <v>20</v>
      </c>
      <c r="G3639" s="99" t="s">
        <v>3217</v>
      </c>
      <c r="H3639" s="105">
        <v>1</v>
      </c>
      <c r="I3639" s="5">
        <f>VLOOKUP(F3639,'Set up'!$A$2:$C$70,3,FALSE)</f>
        <v>45</v>
      </c>
      <c r="J3639" s="5">
        <f>VLOOKUP(F3639,'Set up'!$A$2:$D$70,4,FALSE)</f>
        <v>45</v>
      </c>
      <c r="K3639" s="4">
        <f t="shared" si="909"/>
        <v>45727</v>
      </c>
      <c r="L3639" s="5">
        <f t="shared" si="910"/>
        <v>3</v>
      </c>
      <c r="M3639" s="5">
        <f t="shared" si="911"/>
        <v>2025</v>
      </c>
      <c r="N3639" s="135">
        <v>1755</v>
      </c>
      <c r="O3639" s="12">
        <f>-1000-755</f>
        <v>-1755</v>
      </c>
      <c r="P3639" s="12">
        <f t="shared" si="918"/>
        <v>0</v>
      </c>
      <c r="Q3639" s="7">
        <f t="shared" si="913"/>
        <v>5963667.8500000006</v>
      </c>
      <c r="R3639" s="44" t="str">
        <f>VLOOKUP(F3639,'Set up'!$A$2:$E$70,5,FALSE)</f>
        <v>PD Chq</v>
      </c>
      <c r="S3639" s="1" t="s">
        <v>3604</v>
      </c>
      <c r="U3639" s="1" t="s">
        <v>3603</v>
      </c>
    </row>
    <row r="3640" spans="1:21" ht="16.2" customHeight="1" x14ac:dyDescent="0.3">
      <c r="A3640" s="140">
        <v>45682</v>
      </c>
      <c r="B3640" s="5">
        <f t="shared" si="907"/>
        <v>1</v>
      </c>
      <c r="C3640" s="5">
        <f t="shared" si="908"/>
        <v>2025</v>
      </c>
      <c r="D3640" s="105" t="s">
        <v>3359</v>
      </c>
      <c r="E3640" s="5" t="str">
        <f>VLOOKUP(F3640,'Set up'!$A$2:$C$70,2,FALSE)</f>
        <v>C00000003</v>
      </c>
      <c r="F3640" s="99" t="s">
        <v>20</v>
      </c>
      <c r="G3640" s="99" t="s">
        <v>17</v>
      </c>
      <c r="H3640" s="105">
        <v>2</v>
      </c>
      <c r="I3640" s="5">
        <f>VLOOKUP(F3640,'Set up'!$A$2:$C$70,3,FALSE)</f>
        <v>45</v>
      </c>
      <c r="J3640" s="5">
        <f>VLOOKUP(F3640,'Set up'!$A$2:$D$70,4,FALSE)</f>
        <v>45</v>
      </c>
      <c r="K3640" s="4">
        <f t="shared" si="909"/>
        <v>45727</v>
      </c>
      <c r="L3640" s="5">
        <f t="shared" si="910"/>
        <v>3</v>
      </c>
      <c r="M3640" s="5">
        <f t="shared" si="911"/>
        <v>2025</v>
      </c>
      <c r="N3640" s="135">
        <v>220</v>
      </c>
      <c r="O3640" s="6">
        <f>-N3640</f>
        <v>-220</v>
      </c>
      <c r="P3640" s="12">
        <f t="shared" si="918"/>
        <v>0</v>
      </c>
      <c r="Q3640" s="7">
        <f t="shared" si="913"/>
        <v>5963887.8500000006</v>
      </c>
      <c r="R3640" s="44" t="str">
        <f>VLOOKUP(F3640,'Set up'!$A$2:$E$70,5,FALSE)</f>
        <v>PD Chq</v>
      </c>
      <c r="S3640" s="1" t="s">
        <v>3685</v>
      </c>
    </row>
    <row r="3641" spans="1:21" ht="16.2" customHeight="1" x14ac:dyDescent="0.3">
      <c r="A3641" s="140">
        <v>45682</v>
      </c>
      <c r="B3641" s="5">
        <f t="shared" si="907"/>
        <v>1</v>
      </c>
      <c r="C3641" s="5">
        <f t="shared" si="908"/>
        <v>2025</v>
      </c>
      <c r="D3641" s="105" t="s">
        <v>3359</v>
      </c>
      <c r="E3641" s="5" t="str">
        <f>VLOOKUP(F3641,'Set up'!$A$2:$C$70,2,FALSE)</f>
        <v>C00000003</v>
      </c>
      <c r="F3641" s="99" t="s">
        <v>20</v>
      </c>
      <c r="G3641" s="99" t="s">
        <v>2635</v>
      </c>
      <c r="H3641" s="105">
        <v>2</v>
      </c>
      <c r="I3641" s="5">
        <f>VLOOKUP(F3641,'Set up'!$A$2:$C$70,3,FALSE)</f>
        <v>45</v>
      </c>
      <c r="J3641" s="5">
        <f>VLOOKUP(F3641,'Set up'!$A$2:$D$70,4,FALSE)</f>
        <v>45</v>
      </c>
      <c r="K3641" s="4">
        <f t="shared" si="909"/>
        <v>45727</v>
      </c>
      <c r="L3641" s="5">
        <f t="shared" si="910"/>
        <v>3</v>
      </c>
      <c r="M3641" s="5">
        <f t="shared" si="911"/>
        <v>2025</v>
      </c>
      <c r="N3641" s="135">
        <v>130</v>
      </c>
      <c r="O3641" s="6">
        <f>-N3641</f>
        <v>-130</v>
      </c>
      <c r="P3641" s="12">
        <f t="shared" si="918"/>
        <v>0</v>
      </c>
      <c r="Q3641" s="7">
        <f t="shared" si="913"/>
        <v>5964017.8500000006</v>
      </c>
      <c r="R3641" s="44" t="str">
        <f>VLOOKUP(F3641,'Set up'!$A$2:$E$70,5,FALSE)</f>
        <v>PD Chq</v>
      </c>
      <c r="S3641" s="1" t="s">
        <v>3686</v>
      </c>
    </row>
    <row r="3642" spans="1:21" ht="16.2" customHeight="1" x14ac:dyDescent="0.3">
      <c r="A3642" s="140">
        <v>45682</v>
      </c>
      <c r="B3642" s="5">
        <f t="shared" si="907"/>
        <v>1</v>
      </c>
      <c r="C3642" s="5">
        <f t="shared" si="908"/>
        <v>2025</v>
      </c>
      <c r="D3642" s="5" t="s">
        <v>3360</v>
      </c>
      <c r="E3642" s="5" t="str">
        <f>VLOOKUP(F3642,'Set up'!$A$2:$C$70,2,FALSE)</f>
        <v>C00000060</v>
      </c>
      <c r="F3642" s="1" t="s">
        <v>3330</v>
      </c>
      <c r="G3642" s="1" t="s">
        <v>3217</v>
      </c>
      <c r="H3642" s="5">
        <v>2</v>
      </c>
      <c r="I3642" s="5" t="str">
        <f>VLOOKUP(F3642,'Set up'!$A$2:$C$70,3,FALSE)</f>
        <v>Cash</v>
      </c>
      <c r="J3642" s="5">
        <f>VLOOKUP(F3642,'Set up'!$A$2:$D$70,4,FALSE)</f>
        <v>0</v>
      </c>
      <c r="K3642" s="4">
        <f t="shared" si="909"/>
        <v>45682</v>
      </c>
      <c r="L3642" s="5">
        <f t="shared" si="910"/>
        <v>1</v>
      </c>
      <c r="M3642" s="5">
        <f t="shared" si="911"/>
        <v>2025</v>
      </c>
      <c r="N3642" s="136">
        <v>3082.5</v>
      </c>
      <c r="O3642" s="6">
        <f t="shared" ref="O3642" si="922">-N3642</f>
        <v>-3082.5</v>
      </c>
      <c r="P3642" s="1">
        <f t="shared" si="918"/>
        <v>0</v>
      </c>
      <c r="Q3642" s="7">
        <f t="shared" si="913"/>
        <v>5967100.3500000006</v>
      </c>
      <c r="R3642" s="44" t="str">
        <f>VLOOKUP(F3642,'Set up'!$A$2:$E$70,5,FALSE)</f>
        <v>Cash</v>
      </c>
      <c r="S3642" s="1" t="s">
        <v>3429</v>
      </c>
    </row>
    <row r="3643" spans="1:21" ht="16.2" customHeight="1" x14ac:dyDescent="0.3">
      <c r="A3643" s="140">
        <v>45682</v>
      </c>
      <c r="B3643" s="5">
        <f t="shared" si="907"/>
        <v>1</v>
      </c>
      <c r="C3643" s="5">
        <f t="shared" si="908"/>
        <v>2025</v>
      </c>
      <c r="D3643" s="105" t="s">
        <v>3361</v>
      </c>
      <c r="E3643" s="5" t="str">
        <f>VLOOKUP(F3643,'Set up'!$A$2:$C$70,2,FALSE)</f>
        <v>C00000044</v>
      </c>
      <c r="F3643" s="99" t="s">
        <v>2929</v>
      </c>
      <c r="G3643" s="99" t="s">
        <v>3122</v>
      </c>
      <c r="H3643" s="105">
        <v>1</v>
      </c>
      <c r="I3643" s="5" t="str">
        <f>VLOOKUP(F3643,'Set up'!$A$2:$C$70,3,FALSE)</f>
        <v>Cash</v>
      </c>
      <c r="J3643" s="5">
        <f>VLOOKUP(F3643,'Set up'!$A$2:$D$70,4,FALSE)</f>
        <v>0</v>
      </c>
      <c r="K3643" s="4">
        <f t="shared" si="909"/>
        <v>45682</v>
      </c>
      <c r="L3643" s="5">
        <f t="shared" si="910"/>
        <v>1</v>
      </c>
      <c r="M3643" s="5">
        <f t="shared" si="911"/>
        <v>2025</v>
      </c>
      <c r="N3643" s="135">
        <v>1732.5</v>
      </c>
      <c r="O3643" s="6">
        <f>-N3643</f>
        <v>-1732.5</v>
      </c>
      <c r="P3643" s="12">
        <f>SUM(N3643+O3643)</f>
        <v>0</v>
      </c>
      <c r="Q3643" s="7">
        <f t="shared" si="913"/>
        <v>5968832.8500000006</v>
      </c>
      <c r="R3643" s="44" t="str">
        <f>VLOOKUP(F3643,'Set up'!$A$2:$E$70,5,FALSE)</f>
        <v>Cash</v>
      </c>
      <c r="S3643" s="1" t="s">
        <v>3428</v>
      </c>
    </row>
    <row r="3644" spans="1:21" ht="16.2" customHeight="1" x14ac:dyDescent="0.3">
      <c r="A3644" s="140">
        <v>45682</v>
      </c>
      <c r="B3644" s="5">
        <f t="shared" si="907"/>
        <v>1</v>
      </c>
      <c r="C3644" s="5">
        <f t="shared" si="908"/>
        <v>2025</v>
      </c>
      <c r="D3644" s="105" t="s">
        <v>3361</v>
      </c>
      <c r="E3644" s="5" t="str">
        <f>VLOOKUP(F3644,'Set up'!$A$2:$C$70,2,FALSE)</f>
        <v>C00000044</v>
      </c>
      <c r="F3644" s="99" t="s">
        <v>2929</v>
      </c>
      <c r="G3644" s="99" t="s">
        <v>2449</v>
      </c>
      <c r="H3644" s="105">
        <v>1</v>
      </c>
      <c r="I3644" s="5" t="str">
        <f>VLOOKUP(F3644,'Set up'!$A$2:$C$70,3,FALSE)</f>
        <v>Cash</v>
      </c>
      <c r="J3644" s="5">
        <f>VLOOKUP(F3644,'Set up'!$A$2:$D$70,4,FALSE)</f>
        <v>0</v>
      </c>
      <c r="K3644" s="4">
        <f t="shared" si="909"/>
        <v>45682</v>
      </c>
      <c r="L3644" s="5">
        <f t="shared" si="910"/>
        <v>1</v>
      </c>
      <c r="M3644" s="5">
        <f t="shared" si="911"/>
        <v>2025</v>
      </c>
      <c r="N3644" s="135">
        <v>400</v>
      </c>
      <c r="O3644" s="6">
        <f>-N3644</f>
        <v>-400</v>
      </c>
      <c r="P3644" s="12">
        <f>SUM(N3644+O3644)</f>
        <v>0</v>
      </c>
      <c r="Q3644" s="7">
        <f t="shared" si="913"/>
        <v>5969232.8500000006</v>
      </c>
      <c r="R3644" s="44" t="str">
        <f>VLOOKUP(F3644,'Set up'!$A$2:$E$70,5,FALSE)</f>
        <v>Cash</v>
      </c>
      <c r="S3644" s="1" t="s">
        <v>3428</v>
      </c>
    </row>
    <row r="3645" spans="1:21" ht="16.2" customHeight="1" x14ac:dyDescent="0.3">
      <c r="A3645" s="140">
        <v>45682</v>
      </c>
      <c r="B3645" s="5">
        <f t="shared" si="907"/>
        <v>1</v>
      </c>
      <c r="C3645" s="5">
        <f t="shared" si="908"/>
        <v>2025</v>
      </c>
      <c r="D3645" s="105" t="s">
        <v>3361</v>
      </c>
      <c r="E3645" s="5" t="str">
        <f>VLOOKUP(F3645,'Set up'!$A$2:$C$70,2,FALSE)</f>
        <v>C00000044</v>
      </c>
      <c r="F3645" s="99" t="s">
        <v>2929</v>
      </c>
      <c r="G3645" s="99" t="s">
        <v>2646</v>
      </c>
      <c r="H3645" s="105">
        <v>1</v>
      </c>
      <c r="I3645" s="5" t="str">
        <f>VLOOKUP(F3645,'Set up'!$A$2:$C$70,3,FALSE)</f>
        <v>Cash</v>
      </c>
      <c r="J3645" s="5">
        <f>VLOOKUP(F3645,'Set up'!$A$2:$D$70,4,FALSE)</f>
        <v>0</v>
      </c>
      <c r="K3645" s="4">
        <f t="shared" si="909"/>
        <v>45682</v>
      </c>
      <c r="L3645" s="5">
        <f t="shared" si="910"/>
        <v>1</v>
      </c>
      <c r="M3645" s="5">
        <f t="shared" si="911"/>
        <v>2025</v>
      </c>
      <c r="N3645" s="135">
        <v>62.5</v>
      </c>
      <c r="O3645" s="6">
        <f>-N3645</f>
        <v>-62.5</v>
      </c>
      <c r="P3645" s="12">
        <f t="shared" si="918"/>
        <v>0</v>
      </c>
      <c r="Q3645" s="7">
        <f t="shared" si="913"/>
        <v>5969295.3500000006</v>
      </c>
      <c r="R3645" s="44" t="str">
        <f>VLOOKUP(F3645,'Set up'!$A$2:$E$70,5,FALSE)</f>
        <v>Cash</v>
      </c>
      <c r="S3645" s="1" t="s">
        <v>3428</v>
      </c>
    </row>
    <row r="3646" spans="1:21" ht="16.2" customHeight="1" x14ac:dyDescent="0.3">
      <c r="A3646" s="140">
        <v>45684</v>
      </c>
      <c r="B3646" s="5">
        <f t="shared" si="907"/>
        <v>1</v>
      </c>
      <c r="C3646" s="5">
        <f t="shared" si="908"/>
        <v>2025</v>
      </c>
      <c r="D3646" s="105" t="s">
        <v>3362</v>
      </c>
      <c r="E3646" s="5" t="str">
        <f>VLOOKUP(F3646,'Set up'!$A$2:$C$70,2,FALSE)</f>
        <v>C00000042</v>
      </c>
      <c r="F3646" s="99" t="s">
        <v>2012</v>
      </c>
      <c r="G3646" s="99" t="s">
        <v>2646</v>
      </c>
      <c r="H3646" s="105">
        <v>3</v>
      </c>
      <c r="I3646" s="5" t="str">
        <f>VLOOKUP(F3646,'Set up'!$A$2:$C$70,3,FALSE)</f>
        <v>Cash</v>
      </c>
      <c r="J3646" s="5">
        <f>VLOOKUP(F3646,'Set up'!$A$2:$D$70,4,FALSE)</f>
        <v>0</v>
      </c>
      <c r="K3646" s="4">
        <f t="shared" si="909"/>
        <v>45684</v>
      </c>
      <c r="L3646" s="5">
        <f t="shared" si="910"/>
        <v>1</v>
      </c>
      <c r="M3646" s="5">
        <f t="shared" si="911"/>
        <v>2025</v>
      </c>
      <c r="N3646" s="135">
        <v>187.5</v>
      </c>
      <c r="O3646" s="6">
        <f t="shared" ref="O3646:O3661" si="923">-N3646</f>
        <v>-187.5</v>
      </c>
      <c r="P3646" s="12">
        <f t="shared" si="918"/>
        <v>0</v>
      </c>
      <c r="Q3646" s="7">
        <f t="shared" si="913"/>
        <v>5969482.8500000006</v>
      </c>
      <c r="R3646" s="44" t="str">
        <f>VLOOKUP(F3646,'Set up'!$A$2:$E$70,5,FALSE)</f>
        <v>Trsf</v>
      </c>
      <c r="S3646" s="1" t="s">
        <v>3923</v>
      </c>
    </row>
    <row r="3647" spans="1:21" ht="16.2" customHeight="1" x14ac:dyDescent="0.3">
      <c r="A3647" s="140">
        <v>45684</v>
      </c>
      <c r="B3647" s="5">
        <f t="shared" si="907"/>
        <v>1</v>
      </c>
      <c r="C3647" s="5">
        <f t="shared" si="908"/>
        <v>2025</v>
      </c>
      <c r="D3647" s="105" t="s">
        <v>3363</v>
      </c>
      <c r="E3647" s="5" t="str">
        <f>VLOOKUP(F3647,'Set up'!$A$2:$C$70,2,FALSE)</f>
        <v>C00000042</v>
      </c>
      <c r="F3647" s="99" t="s">
        <v>2012</v>
      </c>
      <c r="G3647" s="99" t="s">
        <v>3217</v>
      </c>
      <c r="H3647" s="105">
        <v>7</v>
      </c>
      <c r="I3647" s="5" t="str">
        <f>VLOOKUP(F3647,'Set up'!$A$2:$C$70,3,FALSE)</f>
        <v>Cash</v>
      </c>
      <c r="J3647" s="5">
        <f>VLOOKUP(F3647,'Set up'!$A$2:$D$70,4,FALSE)</f>
        <v>0</v>
      </c>
      <c r="K3647" s="4">
        <f t="shared" si="909"/>
        <v>45684</v>
      </c>
      <c r="L3647" s="5">
        <f t="shared" si="910"/>
        <v>1</v>
      </c>
      <c r="M3647" s="5">
        <f t="shared" si="911"/>
        <v>2025</v>
      </c>
      <c r="N3647" s="135">
        <v>11340</v>
      </c>
      <c r="O3647" s="12">
        <f>-2232.6-6700-2407.4</f>
        <v>-11340</v>
      </c>
      <c r="P3647" s="12">
        <f t="shared" si="918"/>
        <v>0</v>
      </c>
      <c r="Q3647" s="7">
        <f t="shared" si="913"/>
        <v>5980822.8500000006</v>
      </c>
      <c r="R3647" s="44" t="str">
        <f>VLOOKUP(F3647,'Set up'!$A$2:$E$70,5,FALSE)</f>
        <v>Trsf</v>
      </c>
      <c r="S3647" s="1" t="s">
        <v>3957</v>
      </c>
    </row>
    <row r="3648" spans="1:21" ht="16.2" customHeight="1" x14ac:dyDescent="0.3">
      <c r="A3648" s="140">
        <v>45684</v>
      </c>
      <c r="B3648" s="5">
        <f t="shared" si="907"/>
        <v>1</v>
      </c>
      <c r="C3648" s="5">
        <f t="shared" si="908"/>
        <v>2025</v>
      </c>
      <c r="D3648" s="105" t="s">
        <v>3363</v>
      </c>
      <c r="E3648" s="5" t="str">
        <f>VLOOKUP(F3648,'Set up'!$A$2:$C$70,2,FALSE)</f>
        <v>C00000042</v>
      </c>
      <c r="F3648" s="99" t="s">
        <v>2012</v>
      </c>
      <c r="G3648" s="99" t="s">
        <v>3243</v>
      </c>
      <c r="H3648" s="105">
        <v>20</v>
      </c>
      <c r="I3648" s="5" t="str">
        <f>VLOOKUP(F3648,'Set up'!$A$2:$C$70,3,FALSE)</f>
        <v>Cash</v>
      </c>
      <c r="J3648" s="5">
        <f>VLOOKUP(F3648,'Set up'!$A$2:$D$70,4,FALSE)</f>
        <v>0</v>
      </c>
      <c r="K3648" s="4">
        <f t="shared" si="909"/>
        <v>45684</v>
      </c>
      <c r="L3648" s="5">
        <f t="shared" si="910"/>
        <v>1</v>
      </c>
      <c r="M3648" s="5">
        <f t="shared" si="911"/>
        <v>2025</v>
      </c>
      <c r="N3648" s="135">
        <v>3480</v>
      </c>
      <c r="O3648" s="6">
        <f t="shared" si="923"/>
        <v>-3480</v>
      </c>
      <c r="P3648" s="12">
        <f t="shared" si="918"/>
        <v>0</v>
      </c>
      <c r="Q3648" s="7">
        <f t="shared" si="913"/>
        <v>5984302.8500000006</v>
      </c>
      <c r="R3648" s="44" t="str">
        <f>VLOOKUP(F3648,'Set up'!$A$2:$E$70,5,FALSE)</f>
        <v>Trsf</v>
      </c>
      <c r="S3648" s="1" t="s">
        <v>3956</v>
      </c>
    </row>
    <row r="3649" spans="1:19" ht="16.2" customHeight="1" x14ac:dyDescent="0.3">
      <c r="A3649" s="140">
        <v>45684</v>
      </c>
      <c r="B3649" s="5">
        <f t="shared" si="907"/>
        <v>1</v>
      </c>
      <c r="C3649" s="5">
        <f t="shared" si="908"/>
        <v>2025</v>
      </c>
      <c r="D3649" s="105" t="s">
        <v>3363</v>
      </c>
      <c r="E3649" s="5" t="str">
        <f>VLOOKUP(F3649,'Set up'!$A$2:$C$70,2,FALSE)</f>
        <v>C00000042</v>
      </c>
      <c r="F3649" s="99" t="s">
        <v>2012</v>
      </c>
      <c r="G3649" s="99" t="s">
        <v>1922</v>
      </c>
      <c r="H3649" s="105">
        <v>10</v>
      </c>
      <c r="I3649" s="5" t="str">
        <f>VLOOKUP(F3649,'Set up'!$A$2:$C$70,3,FALSE)</f>
        <v>Cash</v>
      </c>
      <c r="J3649" s="5">
        <f>VLOOKUP(F3649,'Set up'!$A$2:$D$70,4,FALSE)</f>
        <v>0</v>
      </c>
      <c r="K3649" s="4">
        <f t="shared" si="909"/>
        <v>45684</v>
      </c>
      <c r="L3649" s="5">
        <f t="shared" si="910"/>
        <v>1</v>
      </c>
      <c r="M3649" s="5">
        <f t="shared" si="911"/>
        <v>2025</v>
      </c>
      <c r="N3649" s="135">
        <v>2475</v>
      </c>
      <c r="O3649" s="6">
        <f t="shared" si="923"/>
        <v>-2475</v>
      </c>
      <c r="P3649" s="12">
        <f t="shared" si="918"/>
        <v>0</v>
      </c>
      <c r="Q3649" s="7">
        <f t="shared" si="913"/>
        <v>5986777.8500000006</v>
      </c>
      <c r="R3649" s="44" t="str">
        <f>VLOOKUP(F3649,'Set up'!$A$2:$E$70,5,FALSE)</f>
        <v>Trsf</v>
      </c>
      <c r="S3649" s="1" t="s">
        <v>3958</v>
      </c>
    </row>
    <row r="3650" spans="1:19" ht="16.2" customHeight="1" x14ac:dyDescent="0.3">
      <c r="A3650" s="140">
        <v>45684</v>
      </c>
      <c r="B3650" s="5">
        <f t="shared" si="907"/>
        <v>1</v>
      </c>
      <c r="C3650" s="5">
        <f t="shared" si="908"/>
        <v>2025</v>
      </c>
      <c r="D3650" s="105" t="s">
        <v>3363</v>
      </c>
      <c r="E3650" s="5" t="str">
        <f>VLOOKUP(F3650,'Set up'!$A$2:$C$70,2,FALSE)</f>
        <v>C00000042</v>
      </c>
      <c r="F3650" s="99" t="s">
        <v>2012</v>
      </c>
      <c r="G3650" s="99" t="s">
        <v>1073</v>
      </c>
      <c r="H3650" s="105">
        <v>1</v>
      </c>
      <c r="I3650" s="5" t="str">
        <f>VLOOKUP(F3650,'Set up'!$A$2:$C$70,3,FALSE)</f>
        <v>Cash</v>
      </c>
      <c r="J3650" s="5">
        <f>VLOOKUP(F3650,'Set up'!$A$2:$D$70,4,FALSE)</f>
        <v>0</v>
      </c>
      <c r="K3650" s="4">
        <f t="shared" si="909"/>
        <v>45684</v>
      </c>
      <c r="L3650" s="5">
        <f t="shared" si="910"/>
        <v>1</v>
      </c>
      <c r="M3650" s="5">
        <f t="shared" si="911"/>
        <v>2025</v>
      </c>
      <c r="N3650" s="135">
        <v>1000</v>
      </c>
      <c r="O3650" s="6">
        <f t="shared" si="923"/>
        <v>-1000</v>
      </c>
      <c r="P3650" s="12">
        <f t="shared" si="918"/>
        <v>0</v>
      </c>
      <c r="Q3650" s="7">
        <f t="shared" si="913"/>
        <v>5987777.8500000006</v>
      </c>
      <c r="R3650" s="44" t="str">
        <f>VLOOKUP(F3650,'Set up'!$A$2:$E$70,5,FALSE)</f>
        <v>Trsf</v>
      </c>
      <c r="S3650" s="1" t="s">
        <v>3959</v>
      </c>
    </row>
    <row r="3651" spans="1:19" ht="16.2" customHeight="1" x14ac:dyDescent="0.3">
      <c r="A3651" s="140">
        <v>45691</v>
      </c>
      <c r="B3651" s="5">
        <f t="shared" ref="B3651:B3714" si="924">MONTH(A3651)</f>
        <v>2</v>
      </c>
      <c r="C3651" s="5">
        <f t="shared" ref="C3651:C3714" si="925">YEAR(A3651)</f>
        <v>2025</v>
      </c>
      <c r="D3651" s="105" t="s">
        <v>3442</v>
      </c>
      <c r="E3651" s="5" t="str">
        <f>VLOOKUP(F3651,'Set up'!$A$2:$C$70,2,FALSE)</f>
        <v>C00000003</v>
      </c>
      <c r="F3651" s="99" t="s">
        <v>20</v>
      </c>
      <c r="G3651" s="99" t="s">
        <v>3124</v>
      </c>
      <c r="H3651" s="137">
        <v>1</v>
      </c>
      <c r="I3651" s="5">
        <f>VLOOKUP(F3651,'Set up'!$A$2:$C$70,3,FALSE)</f>
        <v>45</v>
      </c>
      <c r="J3651" s="5">
        <f>VLOOKUP(F3651,'Set up'!$A$2:$D$70,4,FALSE)</f>
        <v>45</v>
      </c>
      <c r="K3651" s="4">
        <f t="shared" ref="K3651:K3714" si="926">A3651+J3651</f>
        <v>45736</v>
      </c>
      <c r="L3651" s="5">
        <f t="shared" ref="L3651:L3714" si="927">MONTH(K3651)</f>
        <v>3</v>
      </c>
      <c r="M3651" s="5">
        <f t="shared" ref="M3651:M3714" si="928">YEAR(K3651)</f>
        <v>2025</v>
      </c>
      <c r="N3651" s="135">
        <v>1450</v>
      </c>
      <c r="O3651" s="6">
        <f>-N3651</f>
        <v>-1450</v>
      </c>
      <c r="P3651" s="12">
        <f t="shared" si="918"/>
        <v>0</v>
      </c>
      <c r="Q3651" s="7">
        <f t="shared" ref="Q3651:Q3714" si="929">SUM(Q3650+N3651)</f>
        <v>5989227.8500000006</v>
      </c>
      <c r="R3651" s="44" t="str">
        <f>VLOOKUP(F3651,'Set up'!$A$2:$E$70,5,FALSE)</f>
        <v>PD Chq</v>
      </c>
      <c r="S3651" s="1" t="s">
        <v>3684</v>
      </c>
    </row>
    <row r="3652" spans="1:19" ht="16.2" customHeight="1" x14ac:dyDescent="0.3">
      <c r="A3652" s="140">
        <v>45691</v>
      </c>
      <c r="B3652" s="5">
        <f t="shared" si="924"/>
        <v>2</v>
      </c>
      <c r="C3652" s="5">
        <f t="shared" si="925"/>
        <v>2025</v>
      </c>
      <c r="D3652" s="105" t="s">
        <v>3443</v>
      </c>
      <c r="E3652" s="5" t="str">
        <f>VLOOKUP(F3652,'Set up'!$A$2:$C$70,2,FALSE)</f>
        <v>C00000042</v>
      </c>
      <c r="F3652" s="99" t="s">
        <v>2012</v>
      </c>
      <c r="G3652" s="99" t="s">
        <v>2646</v>
      </c>
      <c r="H3652" s="137">
        <v>2</v>
      </c>
      <c r="I3652" s="5" t="str">
        <f>VLOOKUP(F3652,'Set up'!$A$2:$C$70,3,FALSE)</f>
        <v>Cash</v>
      </c>
      <c r="J3652" s="5">
        <f>VLOOKUP(F3652,'Set up'!$A$2:$D$70,4,FALSE)</f>
        <v>0</v>
      </c>
      <c r="K3652" s="4">
        <f t="shared" si="926"/>
        <v>45691</v>
      </c>
      <c r="L3652" s="5">
        <f t="shared" si="927"/>
        <v>2</v>
      </c>
      <c r="M3652" s="5">
        <f t="shared" si="928"/>
        <v>2025</v>
      </c>
      <c r="N3652" s="135">
        <v>125</v>
      </c>
      <c r="O3652" s="6">
        <f t="shared" si="923"/>
        <v>-125</v>
      </c>
      <c r="P3652" s="12">
        <f t="shared" si="918"/>
        <v>0</v>
      </c>
      <c r="Q3652" s="7">
        <f t="shared" si="929"/>
        <v>5989352.8500000006</v>
      </c>
      <c r="R3652" s="44" t="str">
        <f>VLOOKUP(F3652,'Set up'!$A$2:$E$70,5,FALSE)</f>
        <v>Trsf</v>
      </c>
      <c r="S3652" s="1" t="s">
        <v>3960</v>
      </c>
    </row>
    <row r="3653" spans="1:19" ht="16.2" customHeight="1" x14ac:dyDescent="0.3">
      <c r="A3653" s="140">
        <v>45691</v>
      </c>
      <c r="B3653" s="5">
        <f t="shared" si="924"/>
        <v>2</v>
      </c>
      <c r="C3653" s="5">
        <f t="shared" si="925"/>
        <v>2025</v>
      </c>
      <c r="D3653" s="105" t="s">
        <v>3444</v>
      </c>
      <c r="E3653" s="5" t="str">
        <f>VLOOKUP(F3653,'Set up'!$A$2:$C$70,2,FALSE)</f>
        <v>C00000042</v>
      </c>
      <c r="F3653" s="99" t="s">
        <v>2012</v>
      </c>
      <c r="G3653" s="99" t="s">
        <v>3217</v>
      </c>
      <c r="H3653" s="137">
        <v>4</v>
      </c>
      <c r="I3653" s="5" t="str">
        <f>VLOOKUP(F3653,'Set up'!$A$2:$C$70,3,FALSE)</f>
        <v>Cash</v>
      </c>
      <c r="J3653" s="5">
        <f>VLOOKUP(F3653,'Set up'!$A$2:$D$70,4,FALSE)</f>
        <v>0</v>
      </c>
      <c r="K3653" s="4">
        <f t="shared" si="926"/>
        <v>45691</v>
      </c>
      <c r="L3653" s="5">
        <f t="shared" si="927"/>
        <v>2</v>
      </c>
      <c r="M3653" s="5">
        <f t="shared" si="928"/>
        <v>2025</v>
      </c>
      <c r="N3653" s="135">
        <v>6480</v>
      </c>
      <c r="O3653" s="141">
        <f>-6112.6-367.4</f>
        <v>-6480</v>
      </c>
      <c r="P3653" s="12">
        <f t="shared" si="918"/>
        <v>0</v>
      </c>
      <c r="Q3653" s="7">
        <f t="shared" si="929"/>
        <v>5995832.8500000006</v>
      </c>
      <c r="R3653" s="44" t="str">
        <f>VLOOKUP(F3653,'Set up'!$A$2:$E$70,5,FALSE)</f>
        <v>Trsf</v>
      </c>
      <c r="S3653" s="1" t="s">
        <v>3961</v>
      </c>
    </row>
    <row r="3654" spans="1:19" ht="16.2" customHeight="1" x14ac:dyDescent="0.3">
      <c r="A3654" s="140">
        <v>45691</v>
      </c>
      <c r="B3654" s="5">
        <f t="shared" si="924"/>
        <v>2</v>
      </c>
      <c r="C3654" s="5">
        <f t="shared" si="925"/>
        <v>2025</v>
      </c>
      <c r="D3654" s="105" t="s">
        <v>3444</v>
      </c>
      <c r="E3654" s="5" t="str">
        <f>VLOOKUP(F3654,'Set up'!$A$2:$C$70,2,FALSE)</f>
        <v>C00000042</v>
      </c>
      <c r="F3654" s="99" t="s">
        <v>2012</v>
      </c>
      <c r="G3654" s="99" t="s">
        <v>3243</v>
      </c>
      <c r="H3654" s="137">
        <v>12</v>
      </c>
      <c r="I3654" s="5" t="str">
        <f>VLOOKUP(F3654,'Set up'!$A$2:$C$70,3,FALSE)</f>
        <v>Cash</v>
      </c>
      <c r="J3654" s="5">
        <f>VLOOKUP(F3654,'Set up'!$A$2:$D$70,4,FALSE)</f>
        <v>0</v>
      </c>
      <c r="K3654" s="4">
        <f t="shared" si="926"/>
        <v>45691</v>
      </c>
      <c r="L3654" s="5">
        <f t="shared" si="927"/>
        <v>2</v>
      </c>
      <c r="M3654" s="5">
        <f t="shared" si="928"/>
        <v>2025</v>
      </c>
      <c r="N3654" s="135">
        <v>2088</v>
      </c>
      <c r="O3654" s="6">
        <f t="shared" si="923"/>
        <v>-2088</v>
      </c>
      <c r="P3654" s="12">
        <f t="shared" si="918"/>
        <v>0</v>
      </c>
      <c r="Q3654" s="7">
        <f t="shared" si="929"/>
        <v>5997920.8500000006</v>
      </c>
      <c r="R3654" s="44" t="str">
        <f>VLOOKUP(F3654,'Set up'!$A$2:$E$70,5,FALSE)</f>
        <v>Trsf</v>
      </c>
      <c r="S3654" s="1" t="s">
        <v>3924</v>
      </c>
    </row>
    <row r="3655" spans="1:19" ht="16.2" customHeight="1" x14ac:dyDescent="0.3">
      <c r="A3655" s="140">
        <v>45691</v>
      </c>
      <c r="B3655" s="5">
        <f t="shared" si="924"/>
        <v>2</v>
      </c>
      <c r="C3655" s="5">
        <f t="shared" si="925"/>
        <v>2025</v>
      </c>
      <c r="D3655" s="105" t="s">
        <v>3444</v>
      </c>
      <c r="E3655" s="5" t="str">
        <f>VLOOKUP(F3655,'Set up'!$A$2:$C$70,2,FALSE)</f>
        <v>C00000042</v>
      </c>
      <c r="F3655" s="99" t="s">
        <v>2012</v>
      </c>
      <c r="G3655" s="99" t="s">
        <v>1922</v>
      </c>
      <c r="H3655" s="137">
        <v>6</v>
      </c>
      <c r="I3655" s="5" t="str">
        <f>VLOOKUP(F3655,'Set up'!$A$2:$C$70,3,FALSE)</f>
        <v>Cash</v>
      </c>
      <c r="J3655" s="5">
        <f>VLOOKUP(F3655,'Set up'!$A$2:$D$70,4,FALSE)</f>
        <v>0</v>
      </c>
      <c r="K3655" s="4">
        <f t="shared" si="926"/>
        <v>45691</v>
      </c>
      <c r="L3655" s="5">
        <f t="shared" si="927"/>
        <v>2</v>
      </c>
      <c r="M3655" s="5">
        <f t="shared" si="928"/>
        <v>2025</v>
      </c>
      <c r="N3655" s="135">
        <v>1485</v>
      </c>
      <c r="O3655" s="6">
        <f t="shared" si="923"/>
        <v>-1485</v>
      </c>
      <c r="P3655" s="12">
        <f t="shared" si="918"/>
        <v>0</v>
      </c>
      <c r="Q3655" s="7">
        <f t="shared" si="929"/>
        <v>5999405.8500000006</v>
      </c>
      <c r="R3655" s="44" t="str">
        <f>VLOOKUP(F3655,'Set up'!$A$2:$E$70,5,FALSE)</f>
        <v>Trsf</v>
      </c>
      <c r="S3655" s="1" t="s">
        <v>3925</v>
      </c>
    </row>
    <row r="3656" spans="1:19" ht="16.2" customHeight="1" x14ac:dyDescent="0.3">
      <c r="A3656" s="140">
        <v>45691</v>
      </c>
      <c r="B3656" s="5">
        <f t="shared" si="924"/>
        <v>2</v>
      </c>
      <c r="C3656" s="5">
        <f t="shared" si="925"/>
        <v>2025</v>
      </c>
      <c r="D3656" s="105" t="s">
        <v>3444</v>
      </c>
      <c r="E3656" s="5" t="str">
        <f>VLOOKUP(F3656,'Set up'!$A$2:$C$70,2,FALSE)</f>
        <v>C00000042</v>
      </c>
      <c r="F3656" s="99" t="s">
        <v>2012</v>
      </c>
      <c r="G3656" s="99" t="s">
        <v>46</v>
      </c>
      <c r="H3656" s="137">
        <v>4</v>
      </c>
      <c r="I3656" s="5" t="str">
        <f>VLOOKUP(F3656,'Set up'!$A$2:$C$70,3,FALSE)</f>
        <v>Cash</v>
      </c>
      <c r="J3656" s="5">
        <f>VLOOKUP(F3656,'Set up'!$A$2:$D$70,4,FALSE)</f>
        <v>0</v>
      </c>
      <c r="K3656" s="4">
        <f t="shared" si="926"/>
        <v>45691</v>
      </c>
      <c r="L3656" s="5">
        <f t="shared" si="927"/>
        <v>2</v>
      </c>
      <c r="M3656" s="5">
        <f t="shared" si="928"/>
        <v>2025</v>
      </c>
      <c r="N3656" s="135">
        <v>460</v>
      </c>
      <c r="O3656" s="6">
        <f t="shared" si="923"/>
        <v>-460</v>
      </c>
      <c r="P3656" s="12">
        <f t="shared" si="918"/>
        <v>0</v>
      </c>
      <c r="Q3656" s="7">
        <f t="shared" si="929"/>
        <v>5999865.8500000006</v>
      </c>
      <c r="R3656" s="44" t="str">
        <f>VLOOKUP(F3656,'Set up'!$A$2:$E$70,5,FALSE)</f>
        <v>Trsf</v>
      </c>
      <c r="S3656" s="1" t="s">
        <v>3926</v>
      </c>
    </row>
    <row r="3657" spans="1:19" ht="16.2" customHeight="1" x14ac:dyDescent="0.3">
      <c r="A3657" s="140">
        <v>45691</v>
      </c>
      <c r="B3657" s="5">
        <f t="shared" si="924"/>
        <v>2</v>
      </c>
      <c r="C3657" s="5">
        <f t="shared" si="925"/>
        <v>2025</v>
      </c>
      <c r="D3657" s="105" t="s">
        <v>3444</v>
      </c>
      <c r="E3657" s="5" t="str">
        <f>VLOOKUP(F3657,'Set up'!$A$2:$C$70,2,FALSE)</f>
        <v>C00000042</v>
      </c>
      <c r="F3657" s="99" t="s">
        <v>2012</v>
      </c>
      <c r="G3657" s="99" t="s">
        <v>1073</v>
      </c>
      <c r="H3657" s="137">
        <v>1</v>
      </c>
      <c r="I3657" s="5" t="str">
        <f>VLOOKUP(F3657,'Set up'!$A$2:$C$70,3,FALSE)</f>
        <v>Cash</v>
      </c>
      <c r="J3657" s="5">
        <f>VLOOKUP(F3657,'Set up'!$A$2:$D$70,4,FALSE)</f>
        <v>0</v>
      </c>
      <c r="K3657" s="4">
        <f t="shared" si="926"/>
        <v>45691</v>
      </c>
      <c r="L3657" s="5">
        <f t="shared" si="927"/>
        <v>2</v>
      </c>
      <c r="M3657" s="5">
        <f t="shared" si="928"/>
        <v>2025</v>
      </c>
      <c r="N3657" s="135">
        <v>1000</v>
      </c>
      <c r="O3657" s="6">
        <f t="shared" si="923"/>
        <v>-1000</v>
      </c>
      <c r="P3657" s="12">
        <f t="shared" si="918"/>
        <v>0</v>
      </c>
      <c r="Q3657" s="7">
        <f t="shared" si="929"/>
        <v>6000865.8500000006</v>
      </c>
      <c r="R3657" s="44" t="str">
        <f>VLOOKUP(F3657,'Set up'!$A$2:$E$70,5,FALSE)</f>
        <v>Trsf</v>
      </c>
      <c r="S3657" s="1" t="s">
        <v>3927</v>
      </c>
    </row>
    <row r="3658" spans="1:19" ht="16.2" customHeight="1" x14ac:dyDescent="0.3">
      <c r="A3658" s="140">
        <v>45693</v>
      </c>
      <c r="B3658" s="5">
        <f t="shared" si="924"/>
        <v>2</v>
      </c>
      <c r="C3658" s="5">
        <f t="shared" si="925"/>
        <v>2025</v>
      </c>
      <c r="D3658" s="105" t="s">
        <v>3445</v>
      </c>
      <c r="E3658" s="5" t="str">
        <f>VLOOKUP(F3658,'Set up'!$A$2:$C$70,2,FALSE)</f>
        <v>C00000042</v>
      </c>
      <c r="F3658" s="99" t="s">
        <v>2012</v>
      </c>
      <c r="G3658" s="99" t="s">
        <v>2646</v>
      </c>
      <c r="H3658" s="137">
        <v>1</v>
      </c>
      <c r="I3658" s="5" t="str">
        <f>VLOOKUP(F3658,'Set up'!$A$2:$C$70,3,FALSE)</f>
        <v>Cash</v>
      </c>
      <c r="J3658" s="5">
        <f>VLOOKUP(F3658,'Set up'!$A$2:$D$70,4,FALSE)</f>
        <v>0</v>
      </c>
      <c r="K3658" s="4">
        <f t="shared" si="926"/>
        <v>45693</v>
      </c>
      <c r="L3658" s="5">
        <f t="shared" si="927"/>
        <v>2</v>
      </c>
      <c r="M3658" s="5">
        <f t="shared" si="928"/>
        <v>2025</v>
      </c>
      <c r="N3658" s="135">
        <v>62.5</v>
      </c>
      <c r="O3658" s="6">
        <f t="shared" si="923"/>
        <v>-62.5</v>
      </c>
      <c r="P3658" s="12">
        <f t="shared" si="918"/>
        <v>0</v>
      </c>
      <c r="Q3658" s="7">
        <f t="shared" si="929"/>
        <v>6000928.3500000006</v>
      </c>
      <c r="R3658" s="44" t="str">
        <f>VLOOKUP(F3658,'Set up'!$A$2:$E$70,5,FALSE)</f>
        <v>Trsf</v>
      </c>
      <c r="S3658" s="1" t="s">
        <v>3928</v>
      </c>
    </row>
    <row r="3659" spans="1:19" ht="16.2" customHeight="1" x14ac:dyDescent="0.3">
      <c r="A3659" s="140">
        <v>45693</v>
      </c>
      <c r="B3659" s="5">
        <f t="shared" si="924"/>
        <v>2</v>
      </c>
      <c r="C3659" s="5">
        <f t="shared" si="925"/>
        <v>2025</v>
      </c>
      <c r="D3659" s="105" t="s">
        <v>3446</v>
      </c>
      <c r="E3659" s="5" t="str">
        <f>VLOOKUP(F3659,'Set up'!$A$2:$C$70,2,FALSE)</f>
        <v>C00000042</v>
      </c>
      <c r="F3659" s="99" t="s">
        <v>2012</v>
      </c>
      <c r="G3659" s="99" t="s">
        <v>3217</v>
      </c>
      <c r="H3659" s="137">
        <v>3</v>
      </c>
      <c r="I3659" s="5" t="str">
        <f>VLOOKUP(F3659,'Set up'!$A$2:$C$70,3,FALSE)</f>
        <v>Cash</v>
      </c>
      <c r="J3659" s="5">
        <f>VLOOKUP(F3659,'Set up'!$A$2:$D$70,4,FALSE)</f>
        <v>0</v>
      </c>
      <c r="K3659" s="4">
        <f t="shared" si="926"/>
        <v>45693</v>
      </c>
      <c r="L3659" s="5">
        <f t="shared" si="927"/>
        <v>2</v>
      </c>
      <c r="M3659" s="5">
        <f t="shared" si="928"/>
        <v>2025</v>
      </c>
      <c r="N3659" s="135">
        <v>4860</v>
      </c>
      <c r="O3659" s="6">
        <f t="shared" si="923"/>
        <v>-4860</v>
      </c>
      <c r="P3659" s="12">
        <f t="shared" si="918"/>
        <v>0</v>
      </c>
      <c r="Q3659" s="7">
        <f t="shared" si="929"/>
        <v>6005788.3500000006</v>
      </c>
      <c r="R3659" s="44" t="str">
        <f>VLOOKUP(F3659,'Set up'!$A$2:$E$70,5,FALSE)</f>
        <v>Trsf</v>
      </c>
      <c r="S3659" s="1" t="s">
        <v>3929</v>
      </c>
    </row>
    <row r="3660" spans="1:19" ht="16.2" customHeight="1" x14ac:dyDescent="0.3">
      <c r="A3660" s="140">
        <v>45693</v>
      </c>
      <c r="B3660" s="5">
        <f t="shared" si="924"/>
        <v>2</v>
      </c>
      <c r="C3660" s="5">
        <f t="shared" si="925"/>
        <v>2025</v>
      </c>
      <c r="D3660" s="105" t="s">
        <v>3446</v>
      </c>
      <c r="E3660" s="5" t="str">
        <f>VLOOKUP(F3660,'Set up'!$A$2:$C$70,2,FALSE)</f>
        <v>C00000042</v>
      </c>
      <c r="F3660" s="99" t="s">
        <v>2012</v>
      </c>
      <c r="G3660" s="99" t="s">
        <v>3243</v>
      </c>
      <c r="H3660" s="137">
        <v>9</v>
      </c>
      <c r="I3660" s="5" t="str">
        <f>VLOOKUP(F3660,'Set up'!$A$2:$C$70,3,FALSE)</f>
        <v>Cash</v>
      </c>
      <c r="J3660" s="5">
        <f>VLOOKUP(F3660,'Set up'!$A$2:$D$70,4,FALSE)</f>
        <v>0</v>
      </c>
      <c r="K3660" s="4">
        <f t="shared" si="926"/>
        <v>45693</v>
      </c>
      <c r="L3660" s="5">
        <f t="shared" si="927"/>
        <v>2</v>
      </c>
      <c r="M3660" s="5">
        <f t="shared" si="928"/>
        <v>2025</v>
      </c>
      <c r="N3660" s="135">
        <v>1566</v>
      </c>
      <c r="O3660" s="6">
        <f t="shared" si="923"/>
        <v>-1566</v>
      </c>
      <c r="P3660" s="12">
        <f t="shared" si="918"/>
        <v>0</v>
      </c>
      <c r="Q3660" s="7">
        <f t="shared" si="929"/>
        <v>6007354.3500000006</v>
      </c>
      <c r="R3660" s="44" t="str">
        <f>VLOOKUP(F3660,'Set up'!$A$2:$E$70,5,FALSE)</f>
        <v>Trsf</v>
      </c>
      <c r="S3660" s="1" t="s">
        <v>3930</v>
      </c>
    </row>
    <row r="3661" spans="1:19" ht="16.2" customHeight="1" x14ac:dyDescent="0.3">
      <c r="A3661" s="140">
        <v>45693</v>
      </c>
      <c r="B3661" s="5">
        <f t="shared" si="924"/>
        <v>2</v>
      </c>
      <c r="C3661" s="5">
        <f t="shared" si="925"/>
        <v>2025</v>
      </c>
      <c r="D3661" s="105" t="s">
        <v>3446</v>
      </c>
      <c r="E3661" s="5" t="str">
        <f>VLOOKUP(F3661,'Set up'!$A$2:$C$70,2,FALSE)</f>
        <v>C00000042</v>
      </c>
      <c r="F3661" s="99" t="s">
        <v>2012</v>
      </c>
      <c r="G3661" s="99" t="s">
        <v>1922</v>
      </c>
      <c r="H3661" s="137">
        <v>4</v>
      </c>
      <c r="I3661" s="5" t="str">
        <f>VLOOKUP(F3661,'Set up'!$A$2:$C$70,3,FALSE)</f>
        <v>Cash</v>
      </c>
      <c r="J3661" s="5">
        <f>VLOOKUP(F3661,'Set up'!$A$2:$D$70,4,FALSE)</f>
        <v>0</v>
      </c>
      <c r="K3661" s="4">
        <f t="shared" si="926"/>
        <v>45693</v>
      </c>
      <c r="L3661" s="5">
        <f t="shared" si="927"/>
        <v>2</v>
      </c>
      <c r="M3661" s="5">
        <f t="shared" si="928"/>
        <v>2025</v>
      </c>
      <c r="N3661" s="135">
        <v>990</v>
      </c>
      <c r="O3661" s="6">
        <f t="shared" si="923"/>
        <v>-990</v>
      </c>
      <c r="P3661" s="12">
        <f t="shared" si="918"/>
        <v>0</v>
      </c>
      <c r="Q3661" s="7">
        <f t="shared" si="929"/>
        <v>6008344.3500000006</v>
      </c>
      <c r="R3661" s="44" t="str">
        <f>VLOOKUP(F3661,'Set up'!$A$2:$E$70,5,FALSE)</f>
        <v>Trsf</v>
      </c>
      <c r="S3661" s="1" t="s">
        <v>3931</v>
      </c>
    </row>
    <row r="3662" spans="1:19" ht="16.2" customHeight="1" x14ac:dyDescent="0.3">
      <c r="A3662" s="140">
        <v>45695</v>
      </c>
      <c r="B3662" s="5">
        <f t="shared" si="924"/>
        <v>2</v>
      </c>
      <c r="C3662" s="5">
        <f t="shared" si="925"/>
        <v>2025</v>
      </c>
      <c r="D3662" s="105" t="s">
        <v>3447</v>
      </c>
      <c r="E3662" s="5" t="str">
        <f>VLOOKUP(F3662,'Set up'!$A$2:$C$70,2,FALSE)</f>
        <v>C00000054</v>
      </c>
      <c r="F3662" s="99" t="s">
        <v>2939</v>
      </c>
      <c r="G3662" s="99" t="s">
        <v>1630</v>
      </c>
      <c r="H3662" s="137">
        <v>1</v>
      </c>
      <c r="I3662" s="5" t="str">
        <f>VLOOKUP(F3662,'Set up'!$A$2:$C$70,3,FALSE)</f>
        <v>Cash</v>
      </c>
      <c r="J3662" s="5">
        <f>VLOOKUP(F3662,'Set up'!$A$2:$D$70,4,FALSE)</f>
        <v>0</v>
      </c>
      <c r="K3662" s="4">
        <f t="shared" si="926"/>
        <v>45695</v>
      </c>
      <c r="L3662" s="5">
        <f t="shared" si="927"/>
        <v>2</v>
      </c>
      <c r="M3662" s="5">
        <f t="shared" si="928"/>
        <v>2025</v>
      </c>
      <c r="N3662" s="135">
        <v>300</v>
      </c>
      <c r="O3662" s="99"/>
      <c r="P3662" s="12">
        <f t="shared" si="918"/>
        <v>300</v>
      </c>
      <c r="Q3662" s="7">
        <f t="shared" si="929"/>
        <v>6008644.3500000006</v>
      </c>
      <c r="R3662" s="44" t="str">
        <f>VLOOKUP(F3662,'Set up'!$A$2:$E$70,5,FALSE)</f>
        <v>Cash</v>
      </c>
    </row>
    <row r="3663" spans="1:19" ht="16.2" customHeight="1" x14ac:dyDescent="0.3">
      <c r="A3663" s="140">
        <v>45695</v>
      </c>
      <c r="B3663" s="5">
        <f t="shared" si="924"/>
        <v>2</v>
      </c>
      <c r="C3663" s="5">
        <f t="shared" si="925"/>
        <v>2025</v>
      </c>
      <c r="D3663" s="105" t="s">
        <v>3447</v>
      </c>
      <c r="E3663" s="5" t="str">
        <f>VLOOKUP(F3663,'Set up'!$A$2:$C$70,2,FALSE)</f>
        <v>C00000054</v>
      </c>
      <c r="F3663" s="99" t="s">
        <v>2939</v>
      </c>
      <c r="G3663" s="99" t="s">
        <v>2570</v>
      </c>
      <c r="H3663" s="137">
        <v>1</v>
      </c>
      <c r="I3663" s="5" t="str">
        <f>VLOOKUP(F3663,'Set up'!$A$2:$C$70,3,FALSE)</f>
        <v>Cash</v>
      </c>
      <c r="J3663" s="5">
        <f>VLOOKUP(F3663,'Set up'!$A$2:$D$70,4,FALSE)</f>
        <v>0</v>
      </c>
      <c r="K3663" s="4">
        <f t="shared" si="926"/>
        <v>45695</v>
      </c>
      <c r="L3663" s="5">
        <f t="shared" si="927"/>
        <v>2</v>
      </c>
      <c r="M3663" s="5">
        <f t="shared" si="928"/>
        <v>2025</v>
      </c>
      <c r="N3663" s="135">
        <v>225</v>
      </c>
      <c r="O3663" s="99"/>
      <c r="P3663" s="12">
        <f t="shared" si="918"/>
        <v>225</v>
      </c>
      <c r="Q3663" s="7">
        <f t="shared" si="929"/>
        <v>6008869.3500000006</v>
      </c>
      <c r="R3663" s="44" t="str">
        <f>VLOOKUP(F3663,'Set up'!$A$2:$E$70,5,FALSE)</f>
        <v>Cash</v>
      </c>
    </row>
    <row r="3664" spans="1:19" ht="16.2" customHeight="1" x14ac:dyDescent="0.3">
      <c r="A3664" s="140">
        <v>45695</v>
      </c>
      <c r="B3664" s="5">
        <f t="shared" si="924"/>
        <v>2</v>
      </c>
      <c r="C3664" s="5">
        <f t="shared" si="925"/>
        <v>2025</v>
      </c>
      <c r="D3664" s="105" t="s">
        <v>3448</v>
      </c>
      <c r="E3664" s="5" t="str">
        <f>VLOOKUP(F3664,'Set up'!$A$2:$C$70,2,FALSE)</f>
        <v>C00000019</v>
      </c>
      <c r="F3664" s="99" t="s">
        <v>400</v>
      </c>
      <c r="G3664" s="99" t="s">
        <v>3122</v>
      </c>
      <c r="H3664" s="137">
        <v>1</v>
      </c>
      <c r="I3664" s="5" t="str">
        <f>VLOOKUP(F3664,'Set up'!$A$2:$C$70,3,FALSE)</f>
        <v>Cash</v>
      </c>
      <c r="J3664" s="5">
        <f>VLOOKUP(F3664,'Set up'!$A$2:$D$70,4,FALSE)</f>
        <v>0</v>
      </c>
      <c r="K3664" s="4">
        <f t="shared" si="926"/>
        <v>45695</v>
      </c>
      <c r="L3664" s="5">
        <f t="shared" si="927"/>
        <v>2</v>
      </c>
      <c r="M3664" s="5">
        <f t="shared" si="928"/>
        <v>2025</v>
      </c>
      <c r="N3664" s="135">
        <v>1755</v>
      </c>
      <c r="O3664" s="99"/>
      <c r="P3664" s="12">
        <f t="shared" si="918"/>
        <v>1755</v>
      </c>
      <c r="Q3664" s="7">
        <f t="shared" si="929"/>
        <v>6010624.3500000006</v>
      </c>
      <c r="R3664" s="44" t="str">
        <f>VLOOKUP(F3664,'Set up'!$A$2:$E$70,5,FALSE)</f>
        <v>Trsf</v>
      </c>
    </row>
    <row r="3665" spans="1:19" ht="16.2" customHeight="1" x14ac:dyDescent="0.3">
      <c r="A3665" s="140">
        <v>45695</v>
      </c>
      <c r="B3665" s="5">
        <f t="shared" si="924"/>
        <v>2</v>
      </c>
      <c r="C3665" s="5">
        <f t="shared" si="925"/>
        <v>2025</v>
      </c>
      <c r="D3665" s="105" t="s">
        <v>3448</v>
      </c>
      <c r="E3665" s="5" t="str">
        <f>VLOOKUP(F3665,'Set up'!$A$2:$C$70,2,FALSE)</f>
        <v>C00000019</v>
      </c>
      <c r="F3665" s="99" t="s">
        <v>400</v>
      </c>
      <c r="G3665" s="99" t="s">
        <v>1411</v>
      </c>
      <c r="H3665" s="137">
        <v>1</v>
      </c>
      <c r="I3665" s="5" t="str">
        <f>VLOOKUP(F3665,'Set up'!$A$2:$C$70,3,FALSE)</f>
        <v>Cash</v>
      </c>
      <c r="J3665" s="5">
        <f>VLOOKUP(F3665,'Set up'!$A$2:$D$70,4,FALSE)</f>
        <v>0</v>
      </c>
      <c r="K3665" s="4">
        <f t="shared" si="926"/>
        <v>45695</v>
      </c>
      <c r="L3665" s="5">
        <f t="shared" si="927"/>
        <v>2</v>
      </c>
      <c r="M3665" s="5">
        <f t="shared" si="928"/>
        <v>2025</v>
      </c>
      <c r="N3665" s="135">
        <v>405</v>
      </c>
      <c r="O3665" s="99"/>
      <c r="P3665" s="12">
        <f t="shared" si="918"/>
        <v>405</v>
      </c>
      <c r="Q3665" s="7">
        <f t="shared" si="929"/>
        <v>6011029.3500000006</v>
      </c>
      <c r="R3665" s="44" t="str">
        <f>VLOOKUP(F3665,'Set up'!$A$2:$E$70,5,FALSE)</f>
        <v>Trsf</v>
      </c>
    </row>
    <row r="3666" spans="1:19" ht="16.2" customHeight="1" x14ac:dyDescent="0.3">
      <c r="A3666" s="140">
        <v>45695</v>
      </c>
      <c r="B3666" s="5">
        <f t="shared" si="924"/>
        <v>2</v>
      </c>
      <c r="C3666" s="5">
        <f t="shared" si="925"/>
        <v>2025</v>
      </c>
      <c r="D3666" s="105" t="s">
        <v>3448</v>
      </c>
      <c r="E3666" s="5" t="str">
        <f>VLOOKUP(F3666,'Set up'!$A$2:$C$70,2,FALSE)</f>
        <v>C00000019</v>
      </c>
      <c r="F3666" s="99" t="s">
        <v>400</v>
      </c>
      <c r="G3666" s="99" t="s">
        <v>46</v>
      </c>
      <c r="H3666" s="137">
        <v>1</v>
      </c>
      <c r="I3666" s="5" t="str">
        <f>VLOOKUP(F3666,'Set up'!$A$2:$C$70,3,FALSE)</f>
        <v>Cash</v>
      </c>
      <c r="J3666" s="5">
        <f>VLOOKUP(F3666,'Set up'!$A$2:$D$70,4,FALSE)</f>
        <v>0</v>
      </c>
      <c r="K3666" s="4">
        <f t="shared" si="926"/>
        <v>45695</v>
      </c>
      <c r="L3666" s="5">
        <f t="shared" si="927"/>
        <v>2</v>
      </c>
      <c r="M3666" s="5">
        <f t="shared" si="928"/>
        <v>2025</v>
      </c>
      <c r="N3666" s="135">
        <v>110</v>
      </c>
      <c r="O3666" s="99"/>
      <c r="P3666" s="12">
        <f t="shared" si="918"/>
        <v>110</v>
      </c>
      <c r="Q3666" s="7">
        <f t="shared" si="929"/>
        <v>6011139.3500000006</v>
      </c>
      <c r="R3666" s="44" t="str">
        <f>VLOOKUP(F3666,'Set up'!$A$2:$E$70,5,FALSE)</f>
        <v>Trsf</v>
      </c>
    </row>
    <row r="3667" spans="1:19" ht="16.2" customHeight="1" x14ac:dyDescent="0.3">
      <c r="A3667" s="140">
        <v>45695</v>
      </c>
      <c r="B3667" s="5">
        <f t="shared" si="924"/>
        <v>2</v>
      </c>
      <c r="C3667" s="5">
        <f t="shared" si="925"/>
        <v>2025</v>
      </c>
      <c r="D3667" s="105" t="s">
        <v>3448</v>
      </c>
      <c r="E3667" s="5" t="str">
        <f>VLOOKUP(F3667,'Set up'!$A$2:$C$70,2,FALSE)</f>
        <v>C00000019</v>
      </c>
      <c r="F3667" s="99" t="s">
        <v>400</v>
      </c>
      <c r="G3667" s="99" t="s">
        <v>2635</v>
      </c>
      <c r="H3667" s="137">
        <v>3</v>
      </c>
      <c r="I3667" s="5" t="str">
        <f>VLOOKUP(F3667,'Set up'!$A$2:$C$70,3,FALSE)</f>
        <v>Cash</v>
      </c>
      <c r="J3667" s="5">
        <f>VLOOKUP(F3667,'Set up'!$A$2:$D$70,4,FALSE)</f>
        <v>0</v>
      </c>
      <c r="K3667" s="4">
        <f t="shared" si="926"/>
        <v>45695</v>
      </c>
      <c r="L3667" s="5">
        <f t="shared" si="927"/>
        <v>2</v>
      </c>
      <c r="M3667" s="5">
        <f t="shared" si="928"/>
        <v>2025</v>
      </c>
      <c r="N3667" s="135">
        <v>187.5</v>
      </c>
      <c r="O3667" s="99"/>
      <c r="P3667" s="12">
        <f t="shared" si="918"/>
        <v>187.5</v>
      </c>
      <c r="Q3667" s="7">
        <f t="shared" si="929"/>
        <v>6011326.8500000006</v>
      </c>
      <c r="R3667" s="44" t="str">
        <f>VLOOKUP(F3667,'Set up'!$A$2:$E$70,5,FALSE)</f>
        <v>Trsf</v>
      </c>
    </row>
    <row r="3668" spans="1:19" ht="16.2" customHeight="1" x14ac:dyDescent="0.3">
      <c r="A3668" s="140">
        <v>45699</v>
      </c>
      <c r="B3668" s="5">
        <f t="shared" si="924"/>
        <v>2</v>
      </c>
      <c r="C3668" s="5">
        <f t="shared" si="925"/>
        <v>2025</v>
      </c>
      <c r="D3668" s="105" t="s">
        <v>3449</v>
      </c>
      <c r="E3668" s="5" t="str">
        <f>VLOOKUP(F3668,'Set up'!$A$2:$C$70,2,FALSE)</f>
        <v>C00000042</v>
      </c>
      <c r="F3668" s="99" t="s">
        <v>2012</v>
      </c>
      <c r="G3668" s="99" t="s">
        <v>2646</v>
      </c>
      <c r="H3668" s="137">
        <v>6</v>
      </c>
      <c r="I3668" s="5" t="str">
        <f>VLOOKUP(F3668,'Set up'!$A$2:$C$70,3,FALSE)</f>
        <v>Cash</v>
      </c>
      <c r="J3668" s="5">
        <f>VLOOKUP(F3668,'Set up'!$A$2:$D$70,4,FALSE)</f>
        <v>0</v>
      </c>
      <c r="K3668" s="4">
        <f t="shared" si="926"/>
        <v>45699</v>
      </c>
      <c r="L3668" s="5">
        <f t="shared" si="927"/>
        <v>2</v>
      </c>
      <c r="M3668" s="5">
        <f t="shared" si="928"/>
        <v>2025</v>
      </c>
      <c r="N3668" s="135">
        <v>375</v>
      </c>
      <c r="O3668" s="6">
        <f t="shared" ref="O3668" si="930">-N3668</f>
        <v>-375</v>
      </c>
      <c r="P3668" s="12">
        <f t="shared" si="918"/>
        <v>0</v>
      </c>
      <c r="Q3668" s="7">
        <f t="shared" si="929"/>
        <v>6011701.8500000006</v>
      </c>
      <c r="R3668" s="44" t="str">
        <f>VLOOKUP(F3668,'Set up'!$A$2:$E$70,5,FALSE)</f>
        <v>Trsf</v>
      </c>
      <c r="S3668" s="1" t="s">
        <v>3932</v>
      </c>
    </row>
    <row r="3669" spans="1:19" ht="16.2" customHeight="1" x14ac:dyDescent="0.3">
      <c r="A3669" s="140">
        <v>45699</v>
      </c>
      <c r="B3669" s="5">
        <f t="shared" si="924"/>
        <v>2</v>
      </c>
      <c r="C3669" s="5">
        <f t="shared" si="925"/>
        <v>2025</v>
      </c>
      <c r="D3669" s="105" t="s">
        <v>3450</v>
      </c>
      <c r="E3669" s="5" t="str">
        <f>VLOOKUP(F3669,'Set up'!$A$2:$C$70,2,FALSE)</f>
        <v>C00000042</v>
      </c>
      <c r="F3669" s="99" t="s">
        <v>2012</v>
      </c>
      <c r="G3669" s="99" t="s">
        <v>3217</v>
      </c>
      <c r="H3669" s="137">
        <v>12</v>
      </c>
      <c r="I3669" s="5" t="str">
        <f>VLOOKUP(F3669,'Set up'!$A$2:$C$70,3,FALSE)</f>
        <v>Cash</v>
      </c>
      <c r="J3669" s="5">
        <f>VLOOKUP(F3669,'Set up'!$A$2:$D$70,4,FALSE)</f>
        <v>0</v>
      </c>
      <c r="K3669" s="4">
        <f t="shared" si="926"/>
        <v>45699</v>
      </c>
      <c r="L3669" s="5">
        <f t="shared" si="927"/>
        <v>2</v>
      </c>
      <c r="M3669" s="5">
        <f t="shared" si="928"/>
        <v>2025</v>
      </c>
      <c r="N3669" s="135">
        <v>19440</v>
      </c>
      <c r="O3669" s="141">
        <f>-6746.1-12693.9</f>
        <v>-19440</v>
      </c>
      <c r="P3669" s="12">
        <f t="shared" si="918"/>
        <v>0</v>
      </c>
      <c r="Q3669" s="7">
        <f t="shared" si="929"/>
        <v>6031141.8500000006</v>
      </c>
      <c r="R3669" s="44" t="str">
        <f>VLOOKUP(F3669,'Set up'!$A$2:$E$70,5,FALSE)</f>
        <v>Trsf</v>
      </c>
      <c r="S3669" s="1" t="s">
        <v>3962</v>
      </c>
    </row>
    <row r="3670" spans="1:19" ht="16.2" customHeight="1" x14ac:dyDescent="0.3">
      <c r="A3670" s="140">
        <v>45699</v>
      </c>
      <c r="B3670" s="5">
        <f t="shared" si="924"/>
        <v>2</v>
      </c>
      <c r="C3670" s="5">
        <f t="shared" si="925"/>
        <v>2025</v>
      </c>
      <c r="D3670" s="105" t="s">
        <v>3450</v>
      </c>
      <c r="E3670" s="5" t="str">
        <f>VLOOKUP(F3670,'Set up'!$A$2:$C$70,2,FALSE)</f>
        <v>C00000042</v>
      </c>
      <c r="F3670" s="99" t="s">
        <v>2012</v>
      </c>
      <c r="G3670" s="99" t="s">
        <v>3243</v>
      </c>
      <c r="H3670" s="137">
        <v>36</v>
      </c>
      <c r="I3670" s="5" t="str">
        <f>VLOOKUP(F3670,'Set up'!$A$2:$C$70,3,FALSE)</f>
        <v>Cash</v>
      </c>
      <c r="J3670" s="5">
        <f>VLOOKUP(F3670,'Set up'!$A$2:$D$70,4,FALSE)</f>
        <v>0</v>
      </c>
      <c r="K3670" s="4">
        <f t="shared" si="926"/>
        <v>45699</v>
      </c>
      <c r="L3670" s="5">
        <f t="shared" si="927"/>
        <v>2</v>
      </c>
      <c r="M3670" s="5">
        <f t="shared" si="928"/>
        <v>2025</v>
      </c>
      <c r="N3670" s="135">
        <v>6264</v>
      </c>
      <c r="O3670" s="6">
        <f t="shared" ref="O3670" si="931">-N3670</f>
        <v>-6264</v>
      </c>
      <c r="P3670" s="12">
        <f t="shared" si="918"/>
        <v>0</v>
      </c>
      <c r="Q3670" s="7">
        <f t="shared" si="929"/>
        <v>6037405.8500000006</v>
      </c>
      <c r="R3670" s="44" t="str">
        <f>VLOOKUP(F3670,'Set up'!$A$2:$E$70,5,FALSE)</f>
        <v>Trsf</v>
      </c>
      <c r="S3670" s="1" t="s">
        <v>3933</v>
      </c>
    </row>
    <row r="3671" spans="1:19" ht="16.2" customHeight="1" x14ac:dyDescent="0.3">
      <c r="A3671" s="140">
        <v>45699</v>
      </c>
      <c r="B3671" s="5">
        <f t="shared" si="924"/>
        <v>2</v>
      </c>
      <c r="C3671" s="5">
        <f t="shared" si="925"/>
        <v>2025</v>
      </c>
      <c r="D3671" s="105" t="s">
        <v>3450</v>
      </c>
      <c r="E3671" s="5" t="str">
        <f>VLOOKUP(F3671,'Set up'!$A$2:$C$70,2,FALSE)</f>
        <v>C00000042</v>
      </c>
      <c r="F3671" s="99" t="s">
        <v>2012</v>
      </c>
      <c r="G3671" s="99" t="s">
        <v>1922</v>
      </c>
      <c r="H3671" s="137">
        <v>18</v>
      </c>
      <c r="I3671" s="5" t="str">
        <f>VLOOKUP(F3671,'Set up'!$A$2:$C$70,3,FALSE)</f>
        <v>Cash</v>
      </c>
      <c r="J3671" s="5">
        <f>VLOOKUP(F3671,'Set up'!$A$2:$D$70,4,FALSE)</f>
        <v>0</v>
      </c>
      <c r="K3671" s="4">
        <f t="shared" si="926"/>
        <v>45699</v>
      </c>
      <c r="L3671" s="5">
        <f t="shared" si="927"/>
        <v>2</v>
      </c>
      <c r="M3671" s="5">
        <f t="shared" si="928"/>
        <v>2025</v>
      </c>
      <c r="N3671" s="135">
        <v>4455</v>
      </c>
      <c r="O3671" s="141">
        <f>-2042.1-2412.9</f>
        <v>-4455</v>
      </c>
      <c r="P3671" s="12">
        <f>SUM(N3671+O3671)</f>
        <v>0</v>
      </c>
      <c r="Q3671" s="7">
        <f t="shared" si="929"/>
        <v>6041860.8500000006</v>
      </c>
      <c r="R3671" s="44" t="str">
        <f>VLOOKUP(F3671,'Set up'!$A$2:$E$70,5,FALSE)</f>
        <v>Trsf</v>
      </c>
      <c r="S3671" s="1" t="s">
        <v>3963</v>
      </c>
    </row>
    <row r="3672" spans="1:19" ht="16.2" customHeight="1" x14ac:dyDescent="0.3">
      <c r="A3672" s="140">
        <v>45699</v>
      </c>
      <c r="B3672" s="5">
        <f t="shared" si="924"/>
        <v>2</v>
      </c>
      <c r="C3672" s="5">
        <f t="shared" si="925"/>
        <v>2025</v>
      </c>
      <c r="D3672" s="105" t="s">
        <v>3450</v>
      </c>
      <c r="E3672" s="5" t="str">
        <f>VLOOKUP(F3672,'Set up'!$A$2:$C$70,2,FALSE)</f>
        <v>C00000042</v>
      </c>
      <c r="F3672" s="99" t="s">
        <v>2012</v>
      </c>
      <c r="G3672" s="99" t="s">
        <v>46</v>
      </c>
      <c r="H3672" s="137">
        <v>8</v>
      </c>
      <c r="I3672" s="5" t="str">
        <f>VLOOKUP(F3672,'Set up'!$A$2:$C$70,3,FALSE)</f>
        <v>Cash</v>
      </c>
      <c r="J3672" s="5">
        <f>VLOOKUP(F3672,'Set up'!$A$2:$D$70,4,FALSE)</f>
        <v>0</v>
      </c>
      <c r="K3672" s="4">
        <f t="shared" si="926"/>
        <v>45699</v>
      </c>
      <c r="L3672" s="5">
        <f t="shared" si="927"/>
        <v>2</v>
      </c>
      <c r="M3672" s="5">
        <f t="shared" si="928"/>
        <v>2025</v>
      </c>
      <c r="N3672" s="135">
        <v>920</v>
      </c>
      <c r="O3672" s="6">
        <f t="shared" ref="O3672:O3673" si="932">-N3672</f>
        <v>-920</v>
      </c>
      <c r="P3672" s="12">
        <f t="shared" si="918"/>
        <v>0</v>
      </c>
      <c r="Q3672" s="7">
        <f t="shared" si="929"/>
        <v>6042780.8500000006</v>
      </c>
      <c r="R3672" s="44" t="str">
        <f>VLOOKUP(F3672,'Set up'!$A$2:$E$70,5,FALSE)</f>
        <v>Trsf</v>
      </c>
      <c r="S3672" s="1" t="s">
        <v>3934</v>
      </c>
    </row>
    <row r="3673" spans="1:19" ht="16.2" customHeight="1" x14ac:dyDescent="0.3">
      <c r="A3673" s="140">
        <v>45699</v>
      </c>
      <c r="B3673" s="5">
        <f t="shared" si="924"/>
        <v>2</v>
      </c>
      <c r="C3673" s="5">
        <f t="shared" si="925"/>
        <v>2025</v>
      </c>
      <c r="D3673" s="105" t="s">
        <v>3450</v>
      </c>
      <c r="E3673" s="5" t="str">
        <f>VLOOKUP(F3673,'Set up'!$A$2:$C$70,2,FALSE)</f>
        <v>C00000042</v>
      </c>
      <c r="F3673" s="99" t="s">
        <v>2012</v>
      </c>
      <c r="G3673" s="99" t="s">
        <v>2744</v>
      </c>
      <c r="H3673" s="137">
        <v>2</v>
      </c>
      <c r="I3673" s="5" t="str">
        <f>VLOOKUP(F3673,'Set up'!$A$2:$C$70,3,FALSE)</f>
        <v>Cash</v>
      </c>
      <c r="J3673" s="5">
        <f>VLOOKUP(F3673,'Set up'!$A$2:$D$70,4,FALSE)</f>
        <v>0</v>
      </c>
      <c r="K3673" s="4">
        <f t="shared" si="926"/>
        <v>45699</v>
      </c>
      <c r="L3673" s="5">
        <f t="shared" si="927"/>
        <v>2</v>
      </c>
      <c r="M3673" s="5">
        <f t="shared" si="928"/>
        <v>2025</v>
      </c>
      <c r="N3673" s="135">
        <v>1950</v>
      </c>
      <c r="O3673" s="6">
        <f t="shared" si="932"/>
        <v>-1950</v>
      </c>
      <c r="P3673" s="12">
        <f t="shared" si="918"/>
        <v>0</v>
      </c>
      <c r="Q3673" s="7">
        <f t="shared" si="929"/>
        <v>6044730.8500000006</v>
      </c>
      <c r="R3673" s="44" t="str">
        <f>VLOOKUP(F3673,'Set up'!$A$2:$E$70,5,FALSE)</f>
        <v>Trsf</v>
      </c>
      <c r="S3673" s="1" t="s">
        <v>3935</v>
      </c>
    </row>
    <row r="3674" spans="1:19" ht="16.2" customHeight="1" x14ac:dyDescent="0.3">
      <c r="A3674" s="140">
        <v>45700</v>
      </c>
      <c r="B3674" s="5">
        <f t="shared" si="924"/>
        <v>2</v>
      </c>
      <c r="C3674" s="5">
        <f t="shared" si="925"/>
        <v>2025</v>
      </c>
      <c r="D3674" s="105" t="s">
        <v>3451</v>
      </c>
      <c r="E3674" s="5" t="str">
        <f>VLOOKUP(F3674,'Set up'!$A$2:$C$70,2,FALSE)</f>
        <v>C00000041</v>
      </c>
      <c r="F3674" s="99" t="s">
        <v>1704</v>
      </c>
      <c r="G3674" s="99" t="s">
        <v>2524</v>
      </c>
      <c r="H3674" s="137">
        <v>1</v>
      </c>
      <c r="I3674" s="5" t="str">
        <f>VLOOKUP(F3674,'Set up'!$A$2:$C$70,3,FALSE)</f>
        <v>Cash</v>
      </c>
      <c r="J3674" s="5">
        <f>VLOOKUP(F3674,'Set up'!$A$2:$D$70,4,FALSE)</f>
        <v>0</v>
      </c>
      <c r="K3674" s="4">
        <f t="shared" si="926"/>
        <v>45700</v>
      </c>
      <c r="L3674" s="5">
        <f t="shared" si="927"/>
        <v>2</v>
      </c>
      <c r="M3674" s="5">
        <f t="shared" si="928"/>
        <v>2025</v>
      </c>
      <c r="N3674" s="135">
        <v>185</v>
      </c>
      <c r="O3674" s="6">
        <f t="shared" ref="O3674" si="933">-N3674</f>
        <v>-185</v>
      </c>
      <c r="P3674" s="12">
        <f t="shared" si="918"/>
        <v>0</v>
      </c>
      <c r="Q3674" s="7">
        <f t="shared" si="929"/>
        <v>6044915.8500000006</v>
      </c>
      <c r="R3674" s="44" t="str">
        <f>VLOOKUP(F3674,'Set up'!$A$2:$E$70,5,FALSE)</f>
        <v>Trsf</v>
      </c>
      <c r="S3674" s="1" t="s">
        <v>3499</v>
      </c>
    </row>
    <row r="3675" spans="1:19" ht="16.2" customHeight="1" x14ac:dyDescent="0.3">
      <c r="A3675" s="140">
        <v>45700</v>
      </c>
      <c r="B3675" s="5">
        <f t="shared" si="924"/>
        <v>2</v>
      </c>
      <c r="C3675" s="5">
        <f t="shared" si="925"/>
        <v>2025</v>
      </c>
      <c r="D3675" s="105" t="s">
        <v>3452</v>
      </c>
      <c r="E3675" s="5" t="str">
        <f>VLOOKUP(F3675,'Set up'!$A$2:$C$70,2,FALSE)</f>
        <v>C00000044</v>
      </c>
      <c r="F3675" s="99" t="s">
        <v>2929</v>
      </c>
      <c r="G3675" s="99" t="s">
        <v>3226</v>
      </c>
      <c r="H3675" s="137">
        <v>1</v>
      </c>
      <c r="I3675" s="5" t="str">
        <f>VLOOKUP(F3675,'Set up'!$A$2:$C$70,3,FALSE)</f>
        <v>Cash</v>
      </c>
      <c r="J3675" s="5">
        <f>VLOOKUP(F3675,'Set up'!$A$2:$D$70,4,FALSE)</f>
        <v>0</v>
      </c>
      <c r="K3675" s="4">
        <f t="shared" si="926"/>
        <v>45700</v>
      </c>
      <c r="L3675" s="5">
        <f t="shared" si="927"/>
        <v>2</v>
      </c>
      <c r="M3675" s="5">
        <f t="shared" si="928"/>
        <v>2025</v>
      </c>
      <c r="N3675" s="135">
        <v>250</v>
      </c>
      <c r="O3675" s="6">
        <f>-N3675</f>
        <v>-250</v>
      </c>
      <c r="P3675" s="12">
        <f t="shared" si="918"/>
        <v>0</v>
      </c>
      <c r="Q3675" s="7">
        <f t="shared" si="929"/>
        <v>6045165.8500000006</v>
      </c>
      <c r="R3675" s="44" t="str">
        <f>VLOOKUP(F3675,'Set up'!$A$2:$E$70,5,FALSE)</f>
        <v>Cash</v>
      </c>
      <c r="S3675" s="1" t="s">
        <v>3500</v>
      </c>
    </row>
    <row r="3676" spans="1:19" ht="16.2" customHeight="1" x14ac:dyDescent="0.3">
      <c r="A3676" s="140">
        <v>45700</v>
      </c>
      <c r="B3676" s="5">
        <f t="shared" si="924"/>
        <v>2</v>
      </c>
      <c r="C3676" s="5">
        <f t="shared" si="925"/>
        <v>2025</v>
      </c>
      <c r="D3676" s="105" t="s">
        <v>3452</v>
      </c>
      <c r="E3676" s="5" t="str">
        <f>VLOOKUP(F3676,'Set up'!$A$2:$C$70,2,FALSE)</f>
        <v>C00000044</v>
      </c>
      <c r="F3676" s="99" t="s">
        <v>2929</v>
      </c>
      <c r="G3676" s="99" t="s">
        <v>2570</v>
      </c>
      <c r="H3676" s="137">
        <v>2</v>
      </c>
      <c r="I3676" s="5" t="str">
        <f>VLOOKUP(F3676,'Set up'!$A$2:$C$70,3,FALSE)</f>
        <v>Cash</v>
      </c>
      <c r="J3676" s="5">
        <f>VLOOKUP(F3676,'Set up'!$A$2:$D$70,4,FALSE)</f>
        <v>0</v>
      </c>
      <c r="K3676" s="4">
        <f t="shared" si="926"/>
        <v>45700</v>
      </c>
      <c r="L3676" s="5">
        <f t="shared" si="927"/>
        <v>2</v>
      </c>
      <c r="M3676" s="5">
        <f t="shared" si="928"/>
        <v>2025</v>
      </c>
      <c r="N3676" s="135">
        <v>432</v>
      </c>
      <c r="O3676" s="6">
        <f>-N3676</f>
        <v>-432</v>
      </c>
      <c r="P3676" s="12">
        <f t="shared" si="918"/>
        <v>0</v>
      </c>
      <c r="Q3676" s="7">
        <f t="shared" si="929"/>
        <v>6045597.8500000006</v>
      </c>
      <c r="R3676" s="44" t="str">
        <f>VLOOKUP(F3676,'Set up'!$A$2:$E$70,5,FALSE)</f>
        <v>Cash</v>
      </c>
      <c r="S3676" s="1" t="s">
        <v>3500</v>
      </c>
    </row>
    <row r="3677" spans="1:19" ht="16.2" customHeight="1" x14ac:dyDescent="0.3">
      <c r="A3677" s="140">
        <v>45700</v>
      </c>
      <c r="B3677" s="5">
        <f t="shared" si="924"/>
        <v>2</v>
      </c>
      <c r="C3677" s="5">
        <f t="shared" si="925"/>
        <v>2025</v>
      </c>
      <c r="D3677" s="105" t="s">
        <v>3452</v>
      </c>
      <c r="E3677" s="5" t="str">
        <f>VLOOKUP(F3677,'Set up'!$A$2:$C$70,2,FALSE)</f>
        <v>C00000044</v>
      </c>
      <c r="F3677" s="99" t="s">
        <v>2929</v>
      </c>
      <c r="G3677" s="99" t="s">
        <v>655</v>
      </c>
      <c r="H3677" s="137">
        <v>1</v>
      </c>
      <c r="I3677" s="5" t="str">
        <f>VLOOKUP(F3677,'Set up'!$A$2:$C$70,3,FALSE)</f>
        <v>Cash</v>
      </c>
      <c r="J3677" s="5">
        <f>VLOOKUP(F3677,'Set up'!$A$2:$D$70,4,FALSE)</f>
        <v>0</v>
      </c>
      <c r="K3677" s="4">
        <f t="shared" si="926"/>
        <v>45700</v>
      </c>
      <c r="L3677" s="5">
        <f t="shared" si="927"/>
        <v>2</v>
      </c>
      <c r="M3677" s="5">
        <f t="shared" si="928"/>
        <v>2025</v>
      </c>
      <c r="N3677" s="135">
        <v>280</v>
      </c>
      <c r="O3677" s="6">
        <f>-N3677</f>
        <v>-280</v>
      </c>
      <c r="P3677" s="12">
        <f t="shared" si="918"/>
        <v>0</v>
      </c>
      <c r="Q3677" s="7">
        <f t="shared" si="929"/>
        <v>6045877.8500000006</v>
      </c>
      <c r="R3677" s="44" t="str">
        <f>VLOOKUP(F3677,'Set up'!$A$2:$E$70,5,FALSE)</f>
        <v>Cash</v>
      </c>
      <c r="S3677" s="1" t="s">
        <v>3500</v>
      </c>
    </row>
    <row r="3678" spans="1:19" ht="16.2" customHeight="1" x14ac:dyDescent="0.3">
      <c r="A3678" s="140">
        <v>45700</v>
      </c>
      <c r="B3678" s="5">
        <f t="shared" si="924"/>
        <v>2</v>
      </c>
      <c r="C3678" s="5">
        <f t="shared" si="925"/>
        <v>2025</v>
      </c>
      <c r="D3678" s="105" t="s">
        <v>3452</v>
      </c>
      <c r="E3678" s="5" t="str">
        <f>VLOOKUP(F3678,'Set up'!$A$2:$C$70,2,FALSE)</f>
        <v>C00000044</v>
      </c>
      <c r="F3678" s="99" t="s">
        <v>2929</v>
      </c>
      <c r="G3678" s="99" t="s">
        <v>46</v>
      </c>
      <c r="H3678" s="137">
        <v>1</v>
      </c>
      <c r="I3678" s="5" t="str">
        <f>VLOOKUP(F3678,'Set up'!$A$2:$C$70,3,FALSE)</f>
        <v>Cash</v>
      </c>
      <c r="J3678" s="5">
        <f>VLOOKUP(F3678,'Set up'!$A$2:$D$70,4,FALSE)</f>
        <v>0</v>
      </c>
      <c r="K3678" s="4">
        <f t="shared" si="926"/>
        <v>45700</v>
      </c>
      <c r="L3678" s="5">
        <f t="shared" si="927"/>
        <v>2</v>
      </c>
      <c r="M3678" s="5">
        <f t="shared" si="928"/>
        <v>2025</v>
      </c>
      <c r="N3678" s="135">
        <v>110</v>
      </c>
      <c r="O3678" s="6">
        <f>-N3678</f>
        <v>-110</v>
      </c>
      <c r="P3678" s="12">
        <f t="shared" si="918"/>
        <v>0</v>
      </c>
      <c r="Q3678" s="7">
        <f t="shared" si="929"/>
        <v>6045987.8500000006</v>
      </c>
      <c r="R3678" s="44" t="str">
        <f>VLOOKUP(F3678,'Set up'!$A$2:$E$70,5,FALSE)</f>
        <v>Cash</v>
      </c>
      <c r="S3678" s="1" t="s">
        <v>3500</v>
      </c>
    </row>
    <row r="3679" spans="1:19" ht="16.2" customHeight="1" x14ac:dyDescent="0.3">
      <c r="A3679" s="140">
        <v>45700</v>
      </c>
      <c r="B3679" s="5">
        <f t="shared" si="924"/>
        <v>2</v>
      </c>
      <c r="C3679" s="5">
        <f t="shared" si="925"/>
        <v>2025</v>
      </c>
      <c r="D3679" s="105" t="s">
        <v>3452</v>
      </c>
      <c r="E3679" s="5" t="str">
        <f>VLOOKUP(F3679,'Set up'!$A$2:$C$70,2,FALSE)</f>
        <v>C00000044</v>
      </c>
      <c r="F3679" s="99" t="s">
        <v>2929</v>
      </c>
      <c r="G3679" s="99" t="s">
        <v>3255</v>
      </c>
      <c r="H3679" s="137">
        <v>5</v>
      </c>
      <c r="I3679" s="5" t="str">
        <f>VLOOKUP(F3679,'Set up'!$A$2:$C$70,3,FALSE)</f>
        <v>Cash</v>
      </c>
      <c r="J3679" s="5">
        <f>VLOOKUP(F3679,'Set up'!$A$2:$D$70,4,FALSE)</f>
        <v>0</v>
      </c>
      <c r="K3679" s="4">
        <f t="shared" si="926"/>
        <v>45700</v>
      </c>
      <c r="L3679" s="5">
        <f t="shared" si="927"/>
        <v>2</v>
      </c>
      <c r="M3679" s="5">
        <f t="shared" si="928"/>
        <v>2025</v>
      </c>
      <c r="N3679" s="135">
        <v>875</v>
      </c>
      <c r="O3679" s="6">
        <f>-N3679</f>
        <v>-875</v>
      </c>
      <c r="P3679" s="12">
        <f t="shared" si="918"/>
        <v>0</v>
      </c>
      <c r="Q3679" s="7">
        <f t="shared" si="929"/>
        <v>6046862.8500000006</v>
      </c>
      <c r="R3679" s="44" t="str">
        <f>VLOOKUP(F3679,'Set up'!$A$2:$E$70,5,FALSE)</f>
        <v>Cash</v>
      </c>
      <c r="S3679" s="1" t="s">
        <v>3500</v>
      </c>
    </row>
    <row r="3680" spans="1:19" ht="16.2" customHeight="1" x14ac:dyDescent="0.3">
      <c r="A3680" s="140">
        <v>45702</v>
      </c>
      <c r="B3680" s="5">
        <f t="shared" si="924"/>
        <v>2</v>
      </c>
      <c r="C3680" s="5">
        <f t="shared" si="925"/>
        <v>2025</v>
      </c>
      <c r="D3680" s="105" t="s">
        <v>3453</v>
      </c>
      <c r="E3680" s="5" t="str">
        <f>VLOOKUP(F3680,'Set up'!$A$2:$C$70,2,FALSE)</f>
        <v>C00000019</v>
      </c>
      <c r="F3680" s="1" t="s">
        <v>400</v>
      </c>
      <c r="G3680" s="90" t="s">
        <v>1469</v>
      </c>
      <c r="H3680" s="137">
        <v>1</v>
      </c>
      <c r="I3680" s="5" t="str">
        <f>VLOOKUP(F3680,'Set up'!$A$2:$C$70,3,FALSE)</f>
        <v>Cash</v>
      </c>
      <c r="J3680" s="5">
        <f>VLOOKUP(F3680,'Set up'!$A$2:$D$70,4,FALSE)</f>
        <v>0</v>
      </c>
      <c r="K3680" s="4">
        <f t="shared" si="926"/>
        <v>45702</v>
      </c>
      <c r="L3680" s="5">
        <f t="shared" si="927"/>
        <v>2</v>
      </c>
      <c r="M3680" s="5">
        <f t="shared" si="928"/>
        <v>2025</v>
      </c>
      <c r="N3680" s="98">
        <v>390</v>
      </c>
      <c r="O3680" s="99"/>
      <c r="P3680" s="12">
        <f t="shared" si="918"/>
        <v>390</v>
      </c>
      <c r="Q3680" s="7">
        <f t="shared" si="929"/>
        <v>6047252.8500000006</v>
      </c>
      <c r="R3680" s="44" t="str">
        <f>VLOOKUP(F3680,'Set up'!$A$2:$E$70,5,FALSE)</f>
        <v>Trsf</v>
      </c>
    </row>
    <row r="3681" spans="1:19" ht="16.2" customHeight="1" x14ac:dyDescent="0.3">
      <c r="A3681" s="140">
        <v>45702</v>
      </c>
      <c r="B3681" s="5">
        <f t="shared" si="924"/>
        <v>2</v>
      </c>
      <c r="C3681" s="5">
        <f t="shared" si="925"/>
        <v>2025</v>
      </c>
      <c r="D3681" s="105" t="s">
        <v>3453</v>
      </c>
      <c r="E3681" s="5" t="str">
        <f>VLOOKUP(F3681,'Set up'!$A$2:$C$70,2,FALSE)</f>
        <v>C00000019</v>
      </c>
      <c r="F3681" s="1" t="s">
        <v>400</v>
      </c>
      <c r="G3681" s="90" t="s">
        <v>2144</v>
      </c>
      <c r="H3681" s="137">
        <v>1</v>
      </c>
      <c r="I3681" s="5" t="str">
        <f>VLOOKUP(F3681,'Set up'!$A$2:$C$70,3,FALSE)</f>
        <v>Cash</v>
      </c>
      <c r="J3681" s="5">
        <f>VLOOKUP(F3681,'Set up'!$A$2:$D$70,4,FALSE)</f>
        <v>0</v>
      </c>
      <c r="K3681" s="4">
        <f t="shared" si="926"/>
        <v>45702</v>
      </c>
      <c r="L3681" s="5">
        <f t="shared" si="927"/>
        <v>2</v>
      </c>
      <c r="M3681" s="5">
        <f t="shared" si="928"/>
        <v>2025</v>
      </c>
      <c r="N3681" s="98">
        <v>283.8</v>
      </c>
      <c r="O3681" s="99"/>
      <c r="P3681" s="12">
        <f t="shared" si="918"/>
        <v>283.8</v>
      </c>
      <c r="Q3681" s="7">
        <f t="shared" si="929"/>
        <v>6047536.6500000004</v>
      </c>
      <c r="R3681" s="44" t="str">
        <f>VLOOKUP(F3681,'Set up'!$A$2:$E$70,5,FALSE)</f>
        <v>Trsf</v>
      </c>
    </row>
    <row r="3682" spans="1:19" ht="16.2" customHeight="1" x14ac:dyDescent="0.3">
      <c r="A3682" s="140">
        <v>45702</v>
      </c>
      <c r="B3682" s="5">
        <f t="shared" si="924"/>
        <v>2</v>
      </c>
      <c r="C3682" s="5">
        <f t="shared" si="925"/>
        <v>2025</v>
      </c>
      <c r="D3682" s="105" t="s">
        <v>3454</v>
      </c>
      <c r="E3682" s="5" t="str">
        <f>VLOOKUP(F3682,'Set up'!$A$2:$C$70,2,FALSE)</f>
        <v>C00000044</v>
      </c>
      <c r="F3682" s="99" t="s">
        <v>2929</v>
      </c>
      <c r="G3682" s="99" t="s">
        <v>3226</v>
      </c>
      <c r="H3682" s="137">
        <v>2</v>
      </c>
      <c r="I3682" s="5" t="str">
        <f>VLOOKUP(F3682,'Set up'!$A$2:$C$70,3,FALSE)</f>
        <v>Cash</v>
      </c>
      <c r="J3682" s="5">
        <f>VLOOKUP(F3682,'Set up'!$A$2:$D$70,4,FALSE)</f>
        <v>0</v>
      </c>
      <c r="K3682" s="4">
        <f t="shared" si="926"/>
        <v>45702</v>
      </c>
      <c r="L3682" s="5">
        <f t="shared" si="927"/>
        <v>2</v>
      </c>
      <c r="M3682" s="5">
        <f t="shared" si="928"/>
        <v>2025</v>
      </c>
      <c r="N3682" s="135">
        <v>500</v>
      </c>
      <c r="O3682" s="6">
        <f>-N3682</f>
        <v>-500</v>
      </c>
      <c r="P3682" s="12">
        <f t="shared" si="918"/>
        <v>0</v>
      </c>
      <c r="Q3682" s="7">
        <f t="shared" si="929"/>
        <v>6048036.6500000004</v>
      </c>
      <c r="R3682" s="44" t="str">
        <f>VLOOKUP(F3682,'Set up'!$A$2:$E$70,5,FALSE)</f>
        <v>Cash</v>
      </c>
      <c r="S3682" s="1" t="s">
        <v>3501</v>
      </c>
    </row>
    <row r="3683" spans="1:19" ht="16.2" customHeight="1" x14ac:dyDescent="0.3">
      <c r="A3683" s="140">
        <v>45702</v>
      </c>
      <c r="B3683" s="5">
        <f t="shared" si="924"/>
        <v>2</v>
      </c>
      <c r="C3683" s="5">
        <f t="shared" si="925"/>
        <v>2025</v>
      </c>
      <c r="D3683" s="105" t="s">
        <v>3454</v>
      </c>
      <c r="E3683" s="5" t="str">
        <f>VLOOKUP(F3683,'Set up'!$A$2:$C$70,2,FALSE)</f>
        <v>C00000044</v>
      </c>
      <c r="F3683" s="99" t="s">
        <v>2929</v>
      </c>
      <c r="G3683" s="99" t="s">
        <v>3455</v>
      </c>
      <c r="H3683" s="137">
        <v>1</v>
      </c>
      <c r="I3683" s="5" t="str">
        <f>VLOOKUP(F3683,'Set up'!$A$2:$C$70,3,FALSE)</f>
        <v>Cash</v>
      </c>
      <c r="J3683" s="5">
        <f>VLOOKUP(F3683,'Set up'!$A$2:$D$70,4,FALSE)</f>
        <v>0</v>
      </c>
      <c r="K3683" s="4">
        <f t="shared" si="926"/>
        <v>45702</v>
      </c>
      <c r="L3683" s="5">
        <f t="shared" si="927"/>
        <v>2</v>
      </c>
      <c r="M3683" s="5">
        <f t="shared" si="928"/>
        <v>2025</v>
      </c>
      <c r="N3683" s="135">
        <v>200</v>
      </c>
      <c r="O3683" s="6">
        <f>-N3683</f>
        <v>-200</v>
      </c>
      <c r="P3683" s="12">
        <f t="shared" ref="P3683:P3723" si="934">SUM(N3683+O3683)</f>
        <v>0</v>
      </c>
      <c r="Q3683" s="7">
        <f t="shared" si="929"/>
        <v>6048236.6500000004</v>
      </c>
      <c r="R3683" s="44" t="str">
        <f>VLOOKUP(F3683,'Set up'!$A$2:$E$70,5,FALSE)</f>
        <v>Cash</v>
      </c>
      <c r="S3683" s="1" t="s">
        <v>3501</v>
      </c>
    </row>
    <row r="3684" spans="1:19" ht="16.2" customHeight="1" x14ac:dyDescent="0.3">
      <c r="A3684" s="140">
        <v>45705</v>
      </c>
      <c r="B3684" s="5">
        <f t="shared" si="924"/>
        <v>2</v>
      </c>
      <c r="C3684" s="5">
        <f t="shared" si="925"/>
        <v>2025</v>
      </c>
      <c r="D3684" s="105" t="s">
        <v>3456</v>
      </c>
      <c r="E3684" s="5" t="str">
        <f>VLOOKUP(F3684,'Set up'!$A$2:$C$70,2,FALSE)</f>
        <v>C00000050</v>
      </c>
      <c r="F3684" s="1" t="s">
        <v>2656</v>
      </c>
      <c r="G3684" s="107" t="s">
        <v>3122</v>
      </c>
      <c r="H3684" s="137">
        <v>1</v>
      </c>
      <c r="I3684" s="5" t="str">
        <f>VLOOKUP(F3684,'Set up'!$A$2:$C$70,3,FALSE)</f>
        <v>Cash</v>
      </c>
      <c r="J3684" s="5">
        <f>VLOOKUP(F3684,'Set up'!$A$2:$D$70,4,FALSE)</f>
        <v>0</v>
      </c>
      <c r="K3684" s="4">
        <f t="shared" si="926"/>
        <v>45705</v>
      </c>
      <c r="L3684" s="5">
        <f t="shared" si="927"/>
        <v>2</v>
      </c>
      <c r="M3684" s="5">
        <f t="shared" si="928"/>
        <v>2025</v>
      </c>
      <c r="N3684" s="96">
        <v>1755</v>
      </c>
      <c r="O3684" s="6">
        <f t="shared" ref="O3684:O3686" si="935">-N3684</f>
        <v>-1755</v>
      </c>
      <c r="P3684" s="12">
        <f t="shared" si="934"/>
        <v>0</v>
      </c>
      <c r="Q3684" s="7">
        <f t="shared" si="929"/>
        <v>6049991.6500000004</v>
      </c>
      <c r="R3684" s="44" t="str">
        <f>VLOOKUP(F3684,'Set up'!$A$2:$E$70,5,FALSE)</f>
        <v>Cash</v>
      </c>
      <c r="S3684" s="1" t="s">
        <v>3503</v>
      </c>
    </row>
    <row r="3685" spans="1:19" ht="16.2" customHeight="1" x14ac:dyDescent="0.3">
      <c r="A3685" s="140">
        <v>45705</v>
      </c>
      <c r="B3685" s="5">
        <f t="shared" si="924"/>
        <v>2</v>
      </c>
      <c r="C3685" s="5">
        <f t="shared" si="925"/>
        <v>2025</v>
      </c>
      <c r="D3685" s="105" t="s">
        <v>3456</v>
      </c>
      <c r="E3685" s="5" t="str">
        <f>VLOOKUP(F3685,'Set up'!$A$2:$C$70,2,FALSE)</f>
        <v>C00000050</v>
      </c>
      <c r="F3685" s="1" t="s">
        <v>2656</v>
      </c>
      <c r="G3685" s="99" t="s">
        <v>2129</v>
      </c>
      <c r="H3685" s="137">
        <v>1</v>
      </c>
      <c r="I3685" s="5" t="str">
        <f>VLOOKUP(F3685,'Set up'!$A$2:$C$70,3,FALSE)</f>
        <v>Cash</v>
      </c>
      <c r="J3685" s="5">
        <f>VLOOKUP(F3685,'Set up'!$A$2:$D$70,4,FALSE)</f>
        <v>0</v>
      </c>
      <c r="K3685" s="4">
        <f t="shared" si="926"/>
        <v>45705</v>
      </c>
      <c r="L3685" s="5">
        <f t="shared" si="927"/>
        <v>2</v>
      </c>
      <c r="M3685" s="5">
        <f t="shared" si="928"/>
        <v>2025</v>
      </c>
      <c r="N3685" s="96">
        <v>277.5</v>
      </c>
      <c r="O3685" s="6">
        <f t="shared" si="935"/>
        <v>-277.5</v>
      </c>
      <c r="P3685" s="12">
        <f t="shared" si="934"/>
        <v>0</v>
      </c>
      <c r="Q3685" s="7">
        <f t="shared" si="929"/>
        <v>6050269.1500000004</v>
      </c>
      <c r="R3685" s="44" t="str">
        <f>VLOOKUP(F3685,'Set up'!$A$2:$E$70,5,FALSE)</f>
        <v>Cash</v>
      </c>
      <c r="S3685" s="1" t="s">
        <v>3503</v>
      </c>
    </row>
    <row r="3686" spans="1:19" ht="16.2" customHeight="1" x14ac:dyDescent="0.3">
      <c r="A3686" s="140">
        <v>45705</v>
      </c>
      <c r="B3686" s="5">
        <f t="shared" si="924"/>
        <v>2</v>
      </c>
      <c r="C3686" s="5">
        <f t="shared" si="925"/>
        <v>2025</v>
      </c>
      <c r="D3686" s="105" t="s">
        <v>3456</v>
      </c>
      <c r="E3686" s="5" t="str">
        <f>VLOOKUP(F3686,'Set up'!$A$2:$C$70,2,FALSE)</f>
        <v>C00000050</v>
      </c>
      <c r="F3686" s="1" t="s">
        <v>2656</v>
      </c>
      <c r="G3686" s="99" t="s">
        <v>1061</v>
      </c>
      <c r="H3686" s="137">
        <v>1</v>
      </c>
      <c r="I3686" s="5" t="str">
        <f>VLOOKUP(F3686,'Set up'!$A$2:$C$70,3,FALSE)</f>
        <v>Cash</v>
      </c>
      <c r="J3686" s="5">
        <f>VLOOKUP(F3686,'Set up'!$A$2:$D$70,4,FALSE)</f>
        <v>0</v>
      </c>
      <c r="K3686" s="4">
        <f t="shared" si="926"/>
        <v>45705</v>
      </c>
      <c r="L3686" s="5">
        <f t="shared" si="927"/>
        <v>2</v>
      </c>
      <c r="M3686" s="5">
        <f t="shared" si="928"/>
        <v>2025</v>
      </c>
      <c r="N3686" s="96">
        <v>95</v>
      </c>
      <c r="O3686" s="6">
        <f t="shared" si="935"/>
        <v>-95</v>
      </c>
      <c r="P3686" s="12">
        <f t="shared" si="934"/>
        <v>0</v>
      </c>
      <c r="Q3686" s="7">
        <f t="shared" si="929"/>
        <v>6050364.1500000004</v>
      </c>
      <c r="R3686" s="44" t="str">
        <f>VLOOKUP(F3686,'Set up'!$A$2:$E$70,5,FALSE)</f>
        <v>Cash</v>
      </c>
      <c r="S3686" s="1" t="s">
        <v>3503</v>
      </c>
    </row>
    <row r="3687" spans="1:19" ht="16.2" customHeight="1" x14ac:dyDescent="0.3">
      <c r="A3687" s="140">
        <v>45705</v>
      </c>
      <c r="B3687" s="5">
        <f t="shared" si="924"/>
        <v>2</v>
      </c>
      <c r="C3687" s="5">
        <f t="shared" si="925"/>
        <v>2025</v>
      </c>
      <c r="D3687" s="105" t="s">
        <v>3457</v>
      </c>
      <c r="E3687" s="5" t="str">
        <f>VLOOKUP(F3687,'Set up'!$A$2:$C$70,2,FALSE)</f>
        <v>C00000003</v>
      </c>
      <c r="F3687" s="99" t="s">
        <v>20</v>
      </c>
      <c r="G3687" s="99" t="s">
        <v>3217</v>
      </c>
      <c r="H3687" s="137">
        <v>1</v>
      </c>
      <c r="I3687" s="5">
        <f>VLOOKUP(F3687,'Set up'!$A$2:$C$70,3,FALSE)</f>
        <v>45</v>
      </c>
      <c r="J3687" s="5">
        <f>VLOOKUP(F3687,'Set up'!$A$2:$D$70,4,FALSE)</f>
        <v>45</v>
      </c>
      <c r="K3687" s="4">
        <f t="shared" si="926"/>
        <v>45750</v>
      </c>
      <c r="L3687" s="5">
        <f t="shared" si="927"/>
        <v>4</v>
      </c>
      <c r="M3687" s="5">
        <f t="shared" si="928"/>
        <v>2025</v>
      </c>
      <c r="N3687" s="135">
        <v>1755</v>
      </c>
      <c r="O3687" s="141">
        <f>-1000-755</f>
        <v>-1755</v>
      </c>
      <c r="P3687" s="12">
        <f t="shared" si="934"/>
        <v>0</v>
      </c>
      <c r="Q3687" s="7">
        <f t="shared" si="929"/>
        <v>6052119.1500000004</v>
      </c>
      <c r="R3687" s="44" t="str">
        <f>VLOOKUP(F3687,'Set up'!$A$2:$E$70,5,FALSE)</f>
        <v>PD Chq</v>
      </c>
      <c r="S3687" s="1" t="s">
        <v>3687</v>
      </c>
    </row>
    <row r="3688" spans="1:19" ht="16.2" customHeight="1" x14ac:dyDescent="0.3">
      <c r="A3688" s="140">
        <v>45705</v>
      </c>
      <c r="B3688" s="5">
        <f t="shared" si="924"/>
        <v>2</v>
      </c>
      <c r="C3688" s="5">
        <f t="shared" si="925"/>
        <v>2025</v>
      </c>
      <c r="D3688" s="105" t="s">
        <v>3457</v>
      </c>
      <c r="E3688" s="5" t="str">
        <f>VLOOKUP(F3688,'Set up'!$A$2:$C$70,2,FALSE)</f>
        <v>C00000003</v>
      </c>
      <c r="F3688" s="99" t="s">
        <v>20</v>
      </c>
      <c r="G3688" s="99" t="s">
        <v>1198</v>
      </c>
      <c r="H3688" s="137">
        <v>1</v>
      </c>
      <c r="I3688" s="5">
        <f>VLOOKUP(F3688,'Set up'!$A$2:$C$70,3,FALSE)</f>
        <v>45</v>
      </c>
      <c r="J3688" s="5">
        <f>VLOOKUP(F3688,'Set up'!$A$2:$D$70,4,FALSE)</f>
        <v>45</v>
      </c>
      <c r="K3688" s="4">
        <f t="shared" si="926"/>
        <v>45750</v>
      </c>
      <c r="L3688" s="5">
        <f t="shared" si="927"/>
        <v>4</v>
      </c>
      <c r="M3688" s="5">
        <f t="shared" si="928"/>
        <v>2025</v>
      </c>
      <c r="N3688" s="135">
        <v>228</v>
      </c>
      <c r="O3688" s="6">
        <f>-N3688</f>
        <v>-228</v>
      </c>
      <c r="P3688" s="12">
        <f t="shared" si="934"/>
        <v>0</v>
      </c>
      <c r="Q3688" s="7">
        <f t="shared" si="929"/>
        <v>6052347.1500000004</v>
      </c>
      <c r="R3688" s="44" t="str">
        <f>VLOOKUP(F3688,'Set up'!$A$2:$E$70,5,FALSE)</f>
        <v>PD Chq</v>
      </c>
      <c r="S3688" s="1" t="s">
        <v>3688</v>
      </c>
    </row>
    <row r="3689" spans="1:19" ht="16.2" customHeight="1" x14ac:dyDescent="0.3">
      <c r="A3689" s="140">
        <v>45705</v>
      </c>
      <c r="B3689" s="5">
        <f t="shared" si="924"/>
        <v>2</v>
      </c>
      <c r="C3689" s="5">
        <f t="shared" si="925"/>
        <v>2025</v>
      </c>
      <c r="D3689" s="105" t="s">
        <v>3457</v>
      </c>
      <c r="E3689" s="5" t="str">
        <f>VLOOKUP(F3689,'Set up'!$A$2:$C$70,2,FALSE)</f>
        <v>C00000003</v>
      </c>
      <c r="F3689" s="99" t="s">
        <v>20</v>
      </c>
      <c r="G3689" s="99" t="s">
        <v>17</v>
      </c>
      <c r="H3689" s="137">
        <v>2</v>
      </c>
      <c r="I3689" s="5">
        <f>VLOOKUP(F3689,'Set up'!$A$2:$C$70,3,FALSE)</f>
        <v>45</v>
      </c>
      <c r="J3689" s="5">
        <f>VLOOKUP(F3689,'Set up'!$A$2:$D$70,4,FALSE)</f>
        <v>45</v>
      </c>
      <c r="K3689" s="4">
        <f t="shared" si="926"/>
        <v>45750</v>
      </c>
      <c r="L3689" s="5">
        <f t="shared" si="927"/>
        <v>4</v>
      </c>
      <c r="M3689" s="5">
        <f t="shared" si="928"/>
        <v>2025</v>
      </c>
      <c r="N3689" s="135">
        <v>220</v>
      </c>
      <c r="O3689" s="6">
        <f>-N3689</f>
        <v>-220</v>
      </c>
      <c r="P3689" s="12">
        <f t="shared" si="934"/>
        <v>0</v>
      </c>
      <c r="Q3689" s="7">
        <f t="shared" si="929"/>
        <v>6052567.1500000004</v>
      </c>
      <c r="R3689" s="44" t="str">
        <f>VLOOKUP(F3689,'Set up'!$A$2:$E$70,5,FALSE)</f>
        <v>PD Chq</v>
      </c>
      <c r="S3689" s="1" t="s">
        <v>3689</v>
      </c>
    </row>
    <row r="3690" spans="1:19" ht="16.2" customHeight="1" x14ac:dyDescent="0.3">
      <c r="A3690" s="140">
        <v>45705</v>
      </c>
      <c r="B3690" s="5">
        <f t="shared" si="924"/>
        <v>2</v>
      </c>
      <c r="C3690" s="5">
        <f t="shared" si="925"/>
        <v>2025</v>
      </c>
      <c r="D3690" s="105" t="s">
        <v>3457</v>
      </c>
      <c r="E3690" s="5" t="str">
        <f>VLOOKUP(F3690,'Set up'!$A$2:$C$70,2,FALSE)</f>
        <v>C00000003</v>
      </c>
      <c r="F3690" s="99" t="s">
        <v>20</v>
      </c>
      <c r="G3690" s="99" t="s">
        <v>2635</v>
      </c>
      <c r="H3690" s="137">
        <v>2</v>
      </c>
      <c r="I3690" s="5">
        <f>VLOOKUP(F3690,'Set up'!$A$2:$C$70,3,FALSE)</f>
        <v>45</v>
      </c>
      <c r="J3690" s="5">
        <f>VLOOKUP(F3690,'Set up'!$A$2:$D$70,4,FALSE)</f>
        <v>45</v>
      </c>
      <c r="K3690" s="4">
        <f t="shared" si="926"/>
        <v>45750</v>
      </c>
      <c r="L3690" s="5">
        <f t="shared" si="927"/>
        <v>4</v>
      </c>
      <c r="M3690" s="5">
        <f t="shared" si="928"/>
        <v>2025</v>
      </c>
      <c r="N3690" s="135">
        <v>130</v>
      </c>
      <c r="O3690" s="6">
        <f>-N3690</f>
        <v>-130</v>
      </c>
      <c r="P3690" s="12">
        <f t="shared" si="934"/>
        <v>0</v>
      </c>
      <c r="Q3690" s="7">
        <f t="shared" si="929"/>
        <v>6052697.1500000004</v>
      </c>
      <c r="R3690" s="44" t="str">
        <f>VLOOKUP(F3690,'Set up'!$A$2:$E$70,5,FALSE)</f>
        <v>PD Chq</v>
      </c>
      <c r="S3690" s="1" t="s">
        <v>3690</v>
      </c>
    </row>
    <row r="3691" spans="1:19" ht="16.2" customHeight="1" x14ac:dyDescent="0.3">
      <c r="A3691" s="140">
        <v>45705</v>
      </c>
      <c r="B3691" s="5">
        <f t="shared" si="924"/>
        <v>2</v>
      </c>
      <c r="C3691" s="5">
        <f t="shared" si="925"/>
        <v>2025</v>
      </c>
      <c r="D3691" s="105" t="s">
        <v>3458</v>
      </c>
      <c r="E3691" s="5" t="str">
        <f>VLOOKUP(F3691,'Set up'!$A$2:$C$70,2,FALSE)</f>
        <v>C00000042</v>
      </c>
      <c r="F3691" s="99" t="s">
        <v>2012</v>
      </c>
      <c r="G3691" s="99" t="s">
        <v>2646</v>
      </c>
      <c r="H3691" s="137">
        <v>2</v>
      </c>
      <c r="I3691" s="5" t="str">
        <f>VLOOKUP(F3691,'Set up'!$A$2:$C$70,3,FALSE)</f>
        <v>Cash</v>
      </c>
      <c r="J3691" s="5">
        <f>VLOOKUP(F3691,'Set up'!$A$2:$D$70,4,FALSE)</f>
        <v>0</v>
      </c>
      <c r="K3691" s="4">
        <f t="shared" si="926"/>
        <v>45705</v>
      </c>
      <c r="L3691" s="5">
        <f t="shared" si="927"/>
        <v>2</v>
      </c>
      <c r="M3691" s="5">
        <f t="shared" si="928"/>
        <v>2025</v>
      </c>
      <c r="N3691" s="135">
        <v>125</v>
      </c>
      <c r="O3691" s="6">
        <f t="shared" ref="O3691:O3693" si="936">-N3691</f>
        <v>-125</v>
      </c>
      <c r="P3691" s="12">
        <f t="shared" si="934"/>
        <v>0</v>
      </c>
      <c r="Q3691" s="7">
        <f t="shared" si="929"/>
        <v>6052822.1500000004</v>
      </c>
      <c r="R3691" s="44" t="str">
        <f>VLOOKUP(F3691,'Set up'!$A$2:$E$70,5,FALSE)</f>
        <v>Trsf</v>
      </c>
      <c r="S3691" s="1" t="s">
        <v>3936</v>
      </c>
    </row>
    <row r="3692" spans="1:19" ht="16.2" customHeight="1" x14ac:dyDescent="0.3">
      <c r="A3692" s="140">
        <v>45705</v>
      </c>
      <c r="B3692" s="5">
        <f t="shared" si="924"/>
        <v>2</v>
      </c>
      <c r="C3692" s="5">
        <f t="shared" si="925"/>
        <v>2025</v>
      </c>
      <c r="D3692" s="105" t="s">
        <v>3459</v>
      </c>
      <c r="E3692" s="5" t="str">
        <f>VLOOKUP(F3692,'Set up'!$A$2:$C$70,2,FALSE)</f>
        <v>C00000042</v>
      </c>
      <c r="F3692" s="99" t="s">
        <v>2012</v>
      </c>
      <c r="G3692" s="99" t="s">
        <v>3217</v>
      </c>
      <c r="H3692" s="137">
        <v>4</v>
      </c>
      <c r="I3692" s="5" t="str">
        <f>VLOOKUP(F3692,'Set up'!$A$2:$C$70,3,FALSE)</f>
        <v>Cash</v>
      </c>
      <c r="J3692" s="5">
        <f>VLOOKUP(F3692,'Set up'!$A$2:$D$70,4,FALSE)</f>
        <v>0</v>
      </c>
      <c r="K3692" s="4">
        <f t="shared" si="926"/>
        <v>45705</v>
      </c>
      <c r="L3692" s="5">
        <f t="shared" si="927"/>
        <v>2</v>
      </c>
      <c r="M3692" s="5">
        <f t="shared" si="928"/>
        <v>2025</v>
      </c>
      <c r="N3692" s="135">
        <v>6480</v>
      </c>
      <c r="O3692" s="6">
        <f t="shared" si="936"/>
        <v>-6480</v>
      </c>
      <c r="P3692" s="12">
        <f t="shared" si="934"/>
        <v>0</v>
      </c>
      <c r="Q3692" s="7">
        <f t="shared" si="929"/>
        <v>6059302.1500000004</v>
      </c>
      <c r="R3692" s="44" t="str">
        <f>VLOOKUP(F3692,'Set up'!$A$2:$E$70,5,FALSE)</f>
        <v>Trsf</v>
      </c>
      <c r="S3692" s="1" t="s">
        <v>3937</v>
      </c>
    </row>
    <row r="3693" spans="1:19" ht="16.2" customHeight="1" x14ac:dyDescent="0.3">
      <c r="A3693" s="140">
        <v>45705</v>
      </c>
      <c r="B3693" s="5">
        <f t="shared" si="924"/>
        <v>2</v>
      </c>
      <c r="C3693" s="5">
        <f t="shared" si="925"/>
        <v>2025</v>
      </c>
      <c r="D3693" s="105" t="s">
        <v>3459</v>
      </c>
      <c r="E3693" s="5" t="str">
        <f>VLOOKUP(F3693,'Set up'!$A$2:$C$70,2,FALSE)</f>
        <v>C00000042</v>
      </c>
      <c r="F3693" s="99" t="s">
        <v>2012</v>
      </c>
      <c r="G3693" s="99" t="s">
        <v>3243</v>
      </c>
      <c r="H3693" s="137">
        <v>10</v>
      </c>
      <c r="I3693" s="5" t="str">
        <f>VLOOKUP(F3693,'Set up'!$A$2:$C$70,3,FALSE)</f>
        <v>Cash</v>
      </c>
      <c r="J3693" s="5">
        <f>VLOOKUP(F3693,'Set up'!$A$2:$D$70,4,FALSE)</f>
        <v>0</v>
      </c>
      <c r="K3693" s="4">
        <f t="shared" si="926"/>
        <v>45705</v>
      </c>
      <c r="L3693" s="5">
        <f t="shared" si="927"/>
        <v>2</v>
      </c>
      <c r="M3693" s="5">
        <f t="shared" si="928"/>
        <v>2025</v>
      </c>
      <c r="N3693" s="135">
        <v>1740</v>
      </c>
      <c r="O3693" s="6">
        <f t="shared" si="936"/>
        <v>-1740</v>
      </c>
      <c r="P3693" s="12">
        <f t="shared" si="934"/>
        <v>0</v>
      </c>
      <c r="Q3693" s="7">
        <f t="shared" si="929"/>
        <v>6061042.1500000004</v>
      </c>
      <c r="R3693" s="44" t="str">
        <f>VLOOKUP(F3693,'Set up'!$A$2:$E$70,5,FALSE)</f>
        <v>Trsf</v>
      </c>
      <c r="S3693" s="1" t="s">
        <v>3938</v>
      </c>
    </row>
    <row r="3694" spans="1:19" ht="16.2" customHeight="1" x14ac:dyDescent="0.3">
      <c r="A3694" s="140">
        <v>45705</v>
      </c>
      <c r="B3694" s="5">
        <f t="shared" si="924"/>
        <v>2</v>
      </c>
      <c r="C3694" s="5">
        <f t="shared" si="925"/>
        <v>2025</v>
      </c>
      <c r="D3694" s="105" t="s">
        <v>3459</v>
      </c>
      <c r="E3694" s="5" t="str">
        <f>VLOOKUP(F3694,'Set up'!$A$2:$C$70,2,FALSE)</f>
        <v>C00000042</v>
      </c>
      <c r="F3694" s="99" t="s">
        <v>2012</v>
      </c>
      <c r="G3694" s="99" t="s">
        <v>1922</v>
      </c>
      <c r="H3694" s="137">
        <v>6</v>
      </c>
      <c r="I3694" s="5" t="str">
        <f>VLOOKUP(F3694,'Set up'!$A$2:$C$70,3,FALSE)</f>
        <v>Cash</v>
      </c>
      <c r="J3694" s="5">
        <f>VLOOKUP(F3694,'Set up'!$A$2:$D$70,4,FALSE)</f>
        <v>0</v>
      </c>
      <c r="K3694" s="4">
        <f t="shared" si="926"/>
        <v>45705</v>
      </c>
      <c r="L3694" s="5">
        <f t="shared" si="927"/>
        <v>2</v>
      </c>
      <c r="M3694" s="5">
        <f t="shared" si="928"/>
        <v>2025</v>
      </c>
      <c r="N3694" s="135">
        <v>1485</v>
      </c>
      <c r="O3694" s="141">
        <f>-872.1-612.9</f>
        <v>-1485</v>
      </c>
      <c r="P3694" s="12">
        <f t="shared" si="934"/>
        <v>0</v>
      </c>
      <c r="Q3694" s="7">
        <f t="shared" si="929"/>
        <v>6062527.1500000004</v>
      </c>
      <c r="R3694" s="44" t="str">
        <f>VLOOKUP(F3694,'Set up'!$A$2:$E$70,5,FALSE)</f>
        <v>Trsf</v>
      </c>
      <c r="S3694" s="1" t="s">
        <v>3964</v>
      </c>
    </row>
    <row r="3695" spans="1:19" ht="16.2" customHeight="1" x14ac:dyDescent="0.3">
      <c r="A3695" s="140">
        <v>45707</v>
      </c>
      <c r="B3695" s="5">
        <f t="shared" si="924"/>
        <v>2</v>
      </c>
      <c r="C3695" s="5">
        <f t="shared" si="925"/>
        <v>2025</v>
      </c>
      <c r="D3695" s="105" t="s">
        <v>3460</v>
      </c>
      <c r="E3695" s="5" t="str">
        <f>VLOOKUP(F3695,'Set up'!$A$2:$C$70,2,FALSE)</f>
        <v>C00000037</v>
      </c>
      <c r="F3695" s="99" t="s">
        <v>1309</v>
      </c>
      <c r="G3695" s="99" t="s">
        <v>3122</v>
      </c>
      <c r="H3695" s="137">
        <v>3</v>
      </c>
      <c r="I3695" s="5">
        <f>VLOOKUP(F3695,'Set up'!$A$2:$C$70,3,FALSE)</f>
        <v>30</v>
      </c>
      <c r="J3695" s="5">
        <f>VLOOKUP(F3695,'Set up'!$A$2:$D$70,4,FALSE)</f>
        <v>30</v>
      </c>
      <c r="K3695" s="4">
        <f t="shared" si="926"/>
        <v>45737</v>
      </c>
      <c r="L3695" s="5">
        <f t="shared" si="927"/>
        <v>3</v>
      </c>
      <c r="M3695" s="5">
        <f t="shared" si="928"/>
        <v>2025</v>
      </c>
      <c r="N3695" s="135">
        <v>5265</v>
      </c>
      <c r="O3695" s="99"/>
      <c r="P3695" s="12">
        <f t="shared" si="934"/>
        <v>5265</v>
      </c>
      <c r="Q3695" s="7">
        <f t="shared" si="929"/>
        <v>6067792.1500000004</v>
      </c>
      <c r="R3695" s="44" t="str">
        <f>VLOOKUP(F3695,'Set up'!$A$2:$E$70,5,FALSE)</f>
        <v>Chq</v>
      </c>
    </row>
    <row r="3696" spans="1:19" ht="16.2" customHeight="1" x14ac:dyDescent="0.3">
      <c r="A3696" s="140">
        <v>45707</v>
      </c>
      <c r="B3696" s="5">
        <f t="shared" si="924"/>
        <v>2</v>
      </c>
      <c r="C3696" s="5">
        <f t="shared" si="925"/>
        <v>2025</v>
      </c>
      <c r="D3696" s="105" t="s">
        <v>3460</v>
      </c>
      <c r="E3696" s="5" t="str">
        <f>VLOOKUP(F3696,'Set up'!$A$2:$C$70,2,FALSE)</f>
        <v>C00000037</v>
      </c>
      <c r="F3696" s="99" t="s">
        <v>1309</v>
      </c>
      <c r="G3696" s="99" t="s">
        <v>707</v>
      </c>
      <c r="H3696" s="137">
        <v>3</v>
      </c>
      <c r="I3696" s="5">
        <f>VLOOKUP(F3696,'Set up'!$A$2:$C$70,3,FALSE)</f>
        <v>30</v>
      </c>
      <c r="J3696" s="5">
        <f>VLOOKUP(F3696,'Set up'!$A$2:$D$70,4,FALSE)</f>
        <v>30</v>
      </c>
      <c r="K3696" s="4">
        <f t="shared" si="926"/>
        <v>45737</v>
      </c>
      <c r="L3696" s="5">
        <f t="shared" si="927"/>
        <v>3</v>
      </c>
      <c r="M3696" s="5">
        <f t="shared" si="928"/>
        <v>2025</v>
      </c>
      <c r="N3696" s="135">
        <v>1263.5999999999999</v>
      </c>
      <c r="O3696" s="99"/>
      <c r="P3696" s="12">
        <f t="shared" si="934"/>
        <v>1263.5999999999999</v>
      </c>
      <c r="Q3696" s="7">
        <f t="shared" si="929"/>
        <v>6069055.75</v>
      </c>
      <c r="R3696" s="44" t="str">
        <f>VLOOKUP(F3696,'Set up'!$A$2:$E$70,5,FALSE)</f>
        <v>Chq</v>
      </c>
    </row>
    <row r="3697" spans="1:19" ht="16.2" customHeight="1" x14ac:dyDescent="0.3">
      <c r="A3697" s="140">
        <v>45707</v>
      </c>
      <c r="B3697" s="5">
        <f t="shared" si="924"/>
        <v>2</v>
      </c>
      <c r="C3697" s="5">
        <f t="shared" si="925"/>
        <v>2025</v>
      </c>
      <c r="D3697" s="105" t="s">
        <v>3460</v>
      </c>
      <c r="E3697" s="5" t="str">
        <f>VLOOKUP(F3697,'Set up'!$A$2:$C$70,2,FALSE)</f>
        <v>C00000037</v>
      </c>
      <c r="F3697" s="99" t="s">
        <v>1309</v>
      </c>
      <c r="G3697" s="99" t="s">
        <v>2556</v>
      </c>
      <c r="H3697" s="137">
        <v>2</v>
      </c>
      <c r="I3697" s="5">
        <f>VLOOKUP(F3697,'Set up'!$A$2:$C$70,3,FALSE)</f>
        <v>30</v>
      </c>
      <c r="J3697" s="5">
        <f>VLOOKUP(F3697,'Set up'!$A$2:$D$70,4,FALSE)</f>
        <v>30</v>
      </c>
      <c r="K3697" s="4">
        <f t="shared" si="926"/>
        <v>45737</v>
      </c>
      <c r="L3697" s="5">
        <f t="shared" si="927"/>
        <v>3</v>
      </c>
      <c r="M3697" s="5">
        <f t="shared" si="928"/>
        <v>2025</v>
      </c>
      <c r="N3697" s="135">
        <v>842.4</v>
      </c>
      <c r="O3697" s="99"/>
      <c r="P3697" s="12">
        <f t="shared" si="934"/>
        <v>842.4</v>
      </c>
      <c r="Q3697" s="7">
        <f t="shared" si="929"/>
        <v>6069898.1500000004</v>
      </c>
      <c r="R3697" s="44" t="str">
        <f>VLOOKUP(F3697,'Set up'!$A$2:$E$70,5,FALSE)</f>
        <v>Chq</v>
      </c>
    </row>
    <row r="3698" spans="1:19" ht="16.2" customHeight="1" x14ac:dyDescent="0.3">
      <c r="A3698" s="140">
        <v>45707</v>
      </c>
      <c r="B3698" s="5">
        <f t="shared" si="924"/>
        <v>2</v>
      </c>
      <c r="C3698" s="5">
        <f t="shared" si="925"/>
        <v>2025</v>
      </c>
      <c r="D3698" s="105" t="s">
        <v>3460</v>
      </c>
      <c r="E3698" s="5" t="str">
        <f>VLOOKUP(F3698,'Set up'!$A$2:$C$70,2,FALSE)</f>
        <v>C00000037</v>
      </c>
      <c r="F3698" s="99" t="s">
        <v>1309</v>
      </c>
      <c r="G3698" s="99" t="s">
        <v>2742</v>
      </c>
      <c r="H3698" s="137">
        <v>3</v>
      </c>
      <c r="I3698" s="5">
        <f>VLOOKUP(F3698,'Set up'!$A$2:$C$70,3,FALSE)</f>
        <v>30</v>
      </c>
      <c r="J3698" s="5">
        <f>VLOOKUP(F3698,'Set up'!$A$2:$D$70,4,FALSE)</f>
        <v>30</v>
      </c>
      <c r="K3698" s="4">
        <f t="shared" si="926"/>
        <v>45737</v>
      </c>
      <c r="L3698" s="5">
        <f t="shared" si="927"/>
        <v>3</v>
      </c>
      <c r="M3698" s="5">
        <f t="shared" si="928"/>
        <v>2025</v>
      </c>
      <c r="N3698" s="135">
        <v>180</v>
      </c>
      <c r="O3698" s="99"/>
      <c r="P3698" s="12">
        <f t="shared" si="934"/>
        <v>180</v>
      </c>
      <c r="Q3698" s="7">
        <f t="shared" si="929"/>
        <v>6070078.1500000004</v>
      </c>
      <c r="R3698" s="44" t="str">
        <f>VLOOKUP(F3698,'Set up'!$A$2:$E$70,5,FALSE)</f>
        <v>Chq</v>
      </c>
    </row>
    <row r="3699" spans="1:19" ht="16.2" customHeight="1" x14ac:dyDescent="0.3">
      <c r="A3699" s="140">
        <v>45707</v>
      </c>
      <c r="B3699" s="5">
        <f t="shared" si="924"/>
        <v>2</v>
      </c>
      <c r="C3699" s="5">
        <f t="shared" si="925"/>
        <v>2025</v>
      </c>
      <c r="D3699" s="105" t="s">
        <v>3460</v>
      </c>
      <c r="E3699" s="5" t="str">
        <f>VLOOKUP(F3699,'Set up'!$A$2:$C$70,2,FALSE)</f>
        <v>C00000037</v>
      </c>
      <c r="F3699" s="99" t="s">
        <v>1309</v>
      </c>
      <c r="G3699" s="99" t="s">
        <v>2646</v>
      </c>
      <c r="H3699" s="137">
        <v>5</v>
      </c>
      <c r="I3699" s="5">
        <f>VLOOKUP(F3699,'Set up'!$A$2:$C$70,3,FALSE)</f>
        <v>30</v>
      </c>
      <c r="J3699" s="5">
        <f>VLOOKUP(F3699,'Set up'!$A$2:$D$70,4,FALSE)</f>
        <v>30</v>
      </c>
      <c r="K3699" s="4">
        <f t="shared" si="926"/>
        <v>45737</v>
      </c>
      <c r="L3699" s="5">
        <f t="shared" si="927"/>
        <v>3</v>
      </c>
      <c r="M3699" s="5">
        <f t="shared" si="928"/>
        <v>2025</v>
      </c>
      <c r="N3699" s="135">
        <v>312.5</v>
      </c>
      <c r="O3699" s="99"/>
      <c r="P3699" s="12">
        <f t="shared" si="934"/>
        <v>312.5</v>
      </c>
      <c r="Q3699" s="7">
        <f t="shared" si="929"/>
        <v>6070390.6500000004</v>
      </c>
      <c r="R3699" s="44" t="str">
        <f>VLOOKUP(F3699,'Set up'!$A$2:$E$70,5,FALSE)</f>
        <v>Chq</v>
      </c>
    </row>
    <row r="3700" spans="1:19" ht="16.2" customHeight="1" x14ac:dyDescent="0.3">
      <c r="A3700" s="140">
        <v>45707</v>
      </c>
      <c r="B3700" s="5">
        <f t="shared" si="924"/>
        <v>2</v>
      </c>
      <c r="C3700" s="5">
        <f t="shared" si="925"/>
        <v>2025</v>
      </c>
      <c r="D3700" s="105" t="s">
        <v>3460</v>
      </c>
      <c r="E3700" s="5" t="str">
        <f>VLOOKUP(F3700,'Set up'!$A$2:$C$70,2,FALSE)</f>
        <v>C00000037</v>
      </c>
      <c r="F3700" s="99" t="s">
        <v>1309</v>
      </c>
      <c r="G3700" s="99" t="s">
        <v>1061</v>
      </c>
      <c r="H3700" s="137">
        <v>1</v>
      </c>
      <c r="I3700" s="5">
        <f>VLOOKUP(F3700,'Set up'!$A$2:$C$70,3,FALSE)</f>
        <v>30</v>
      </c>
      <c r="J3700" s="5">
        <f>VLOOKUP(F3700,'Set up'!$A$2:$D$70,4,FALSE)</f>
        <v>30</v>
      </c>
      <c r="K3700" s="4">
        <f t="shared" si="926"/>
        <v>45737</v>
      </c>
      <c r="L3700" s="5">
        <f t="shared" si="927"/>
        <v>3</v>
      </c>
      <c r="M3700" s="5">
        <f t="shared" si="928"/>
        <v>2025</v>
      </c>
      <c r="N3700" s="135">
        <v>95</v>
      </c>
      <c r="O3700" s="99"/>
      <c r="P3700" s="12">
        <f t="shared" si="934"/>
        <v>95</v>
      </c>
      <c r="Q3700" s="7">
        <f t="shared" si="929"/>
        <v>6070485.6500000004</v>
      </c>
      <c r="R3700" s="44" t="str">
        <f>VLOOKUP(F3700,'Set up'!$A$2:$E$70,5,FALSE)</f>
        <v>Chq</v>
      </c>
    </row>
    <row r="3701" spans="1:19" ht="16.2" customHeight="1" x14ac:dyDescent="0.3">
      <c r="A3701" s="140">
        <v>45707</v>
      </c>
      <c r="B3701" s="5">
        <f t="shared" si="924"/>
        <v>2</v>
      </c>
      <c r="C3701" s="5">
        <f t="shared" si="925"/>
        <v>2025</v>
      </c>
      <c r="D3701" s="105" t="s">
        <v>3460</v>
      </c>
      <c r="E3701" s="5" t="str">
        <f>VLOOKUP(F3701,'Set up'!$A$2:$C$70,2,FALSE)</f>
        <v>C00000037</v>
      </c>
      <c r="F3701" s="99" t="s">
        <v>1309</v>
      </c>
      <c r="G3701" s="99" t="s">
        <v>3258</v>
      </c>
      <c r="H3701" s="137">
        <v>1</v>
      </c>
      <c r="I3701" s="5">
        <f>VLOOKUP(F3701,'Set up'!$A$2:$C$70,3,FALSE)</f>
        <v>30</v>
      </c>
      <c r="J3701" s="5">
        <f>VLOOKUP(F3701,'Set up'!$A$2:$D$70,4,FALSE)</f>
        <v>30</v>
      </c>
      <c r="K3701" s="4">
        <f t="shared" si="926"/>
        <v>45737</v>
      </c>
      <c r="L3701" s="5">
        <f t="shared" si="927"/>
        <v>3</v>
      </c>
      <c r="M3701" s="5">
        <f t="shared" si="928"/>
        <v>2025</v>
      </c>
      <c r="N3701" s="135">
        <v>930</v>
      </c>
      <c r="O3701" s="99"/>
      <c r="P3701" s="12">
        <f t="shared" si="934"/>
        <v>930</v>
      </c>
      <c r="Q3701" s="7">
        <f t="shared" si="929"/>
        <v>6071415.6500000004</v>
      </c>
      <c r="R3701" s="44" t="str">
        <f>VLOOKUP(F3701,'Set up'!$A$2:$E$70,5,FALSE)</f>
        <v>Chq</v>
      </c>
    </row>
    <row r="3702" spans="1:19" ht="16.2" customHeight="1" x14ac:dyDescent="0.3">
      <c r="A3702" s="140">
        <v>45707</v>
      </c>
      <c r="B3702" s="5">
        <f t="shared" si="924"/>
        <v>2</v>
      </c>
      <c r="C3702" s="5">
        <f t="shared" si="925"/>
        <v>2025</v>
      </c>
      <c r="D3702" s="105" t="s">
        <v>3460</v>
      </c>
      <c r="E3702" s="5" t="str">
        <f>VLOOKUP(F3702,'Set up'!$A$2:$C$70,2,FALSE)</f>
        <v>C00000037</v>
      </c>
      <c r="F3702" s="99" t="s">
        <v>1309</v>
      </c>
      <c r="G3702" s="99" t="s">
        <v>3461</v>
      </c>
      <c r="H3702" s="137">
        <v>1</v>
      </c>
      <c r="I3702" s="5">
        <f>VLOOKUP(F3702,'Set up'!$A$2:$C$70,3,FALSE)</f>
        <v>30</v>
      </c>
      <c r="J3702" s="5">
        <f>VLOOKUP(F3702,'Set up'!$A$2:$D$70,4,FALSE)</f>
        <v>30</v>
      </c>
      <c r="K3702" s="4">
        <f t="shared" si="926"/>
        <v>45737</v>
      </c>
      <c r="L3702" s="5">
        <f t="shared" si="927"/>
        <v>3</v>
      </c>
      <c r="M3702" s="5">
        <f t="shared" si="928"/>
        <v>2025</v>
      </c>
      <c r="N3702" s="135">
        <v>280</v>
      </c>
      <c r="O3702" s="99"/>
      <c r="P3702" s="12">
        <f t="shared" si="934"/>
        <v>280</v>
      </c>
      <c r="Q3702" s="7">
        <f t="shared" si="929"/>
        <v>6071695.6500000004</v>
      </c>
      <c r="R3702" s="44" t="str">
        <f>VLOOKUP(F3702,'Set up'!$A$2:$E$70,5,FALSE)</f>
        <v>Chq</v>
      </c>
    </row>
    <row r="3703" spans="1:19" ht="16.2" customHeight="1" x14ac:dyDescent="0.3">
      <c r="A3703" s="140">
        <v>45707</v>
      </c>
      <c r="B3703" s="5">
        <f t="shared" si="924"/>
        <v>2</v>
      </c>
      <c r="C3703" s="5">
        <f t="shared" si="925"/>
        <v>2025</v>
      </c>
      <c r="D3703" s="105" t="s">
        <v>3460</v>
      </c>
      <c r="E3703" s="5" t="str">
        <f>VLOOKUP(F3703,'Set up'!$A$2:$C$70,2,FALSE)</f>
        <v>C00000037</v>
      </c>
      <c r="F3703" s="99" t="s">
        <v>1309</v>
      </c>
      <c r="G3703" s="99" t="s">
        <v>3462</v>
      </c>
      <c r="H3703" s="138" t="s">
        <v>3463</v>
      </c>
      <c r="I3703" s="5">
        <f>VLOOKUP(F3703,'Set up'!$A$2:$C$70,3,FALSE)</f>
        <v>30</v>
      </c>
      <c r="J3703" s="5">
        <f>VLOOKUP(F3703,'Set up'!$A$2:$D$70,4,FALSE)</f>
        <v>30</v>
      </c>
      <c r="K3703" s="4">
        <f t="shared" si="926"/>
        <v>45737</v>
      </c>
      <c r="L3703" s="5">
        <f t="shared" si="927"/>
        <v>3</v>
      </c>
      <c r="M3703" s="5">
        <f t="shared" si="928"/>
        <v>2025</v>
      </c>
      <c r="N3703" s="139">
        <v>0</v>
      </c>
      <c r="O3703" s="99"/>
      <c r="P3703" s="12">
        <f t="shared" si="934"/>
        <v>0</v>
      </c>
      <c r="Q3703" s="7">
        <f t="shared" si="929"/>
        <v>6071695.6500000004</v>
      </c>
      <c r="R3703" s="44" t="str">
        <f>VLOOKUP(F3703,'Set up'!$A$2:$E$70,5,FALSE)</f>
        <v>Chq</v>
      </c>
    </row>
    <row r="3704" spans="1:19" ht="16.2" customHeight="1" x14ac:dyDescent="0.3">
      <c r="A3704" s="140">
        <v>45707</v>
      </c>
      <c r="B3704" s="5">
        <f t="shared" si="924"/>
        <v>2</v>
      </c>
      <c r="C3704" s="5">
        <f t="shared" si="925"/>
        <v>2025</v>
      </c>
      <c r="D3704" s="105" t="s">
        <v>3464</v>
      </c>
      <c r="E3704" s="5" t="str">
        <f>VLOOKUP(F3704,'Set up'!$A$2:$C$70,2,FALSE)</f>
        <v>C00000042</v>
      </c>
      <c r="F3704" s="99" t="s">
        <v>2012</v>
      </c>
      <c r="G3704" s="99" t="s">
        <v>2646</v>
      </c>
      <c r="H3704" s="137">
        <v>2</v>
      </c>
      <c r="I3704" s="5" t="str">
        <f>VLOOKUP(F3704,'Set up'!$A$2:$C$70,3,FALSE)</f>
        <v>Cash</v>
      </c>
      <c r="J3704" s="5">
        <f>VLOOKUP(F3704,'Set up'!$A$2:$D$70,4,FALSE)</f>
        <v>0</v>
      </c>
      <c r="K3704" s="4">
        <f t="shared" si="926"/>
        <v>45707</v>
      </c>
      <c r="L3704" s="5">
        <f t="shared" si="927"/>
        <v>2</v>
      </c>
      <c r="M3704" s="5">
        <f t="shared" si="928"/>
        <v>2025</v>
      </c>
      <c r="N3704" s="135">
        <v>125</v>
      </c>
      <c r="O3704" s="6">
        <f t="shared" ref="O3704:O3710" si="937">-N3704</f>
        <v>-125</v>
      </c>
      <c r="P3704" s="12">
        <f t="shared" si="934"/>
        <v>0</v>
      </c>
      <c r="Q3704" s="7">
        <f t="shared" si="929"/>
        <v>6071820.6500000004</v>
      </c>
      <c r="R3704" s="44" t="str">
        <f>VLOOKUP(F3704,'Set up'!$A$2:$E$70,5,FALSE)</f>
        <v>Trsf</v>
      </c>
      <c r="S3704" s="1" t="s">
        <v>3939</v>
      </c>
    </row>
    <row r="3705" spans="1:19" ht="16.2" customHeight="1" x14ac:dyDescent="0.3">
      <c r="A3705" s="140">
        <v>45707</v>
      </c>
      <c r="B3705" s="5">
        <f t="shared" si="924"/>
        <v>2</v>
      </c>
      <c r="C3705" s="5">
        <f t="shared" si="925"/>
        <v>2025</v>
      </c>
      <c r="D3705" s="105" t="s">
        <v>3465</v>
      </c>
      <c r="E3705" s="5" t="str">
        <f>VLOOKUP(F3705,'Set up'!$A$2:$C$70,2,FALSE)</f>
        <v>C00000042</v>
      </c>
      <c r="F3705" s="99" t="s">
        <v>2012</v>
      </c>
      <c r="G3705" s="99" t="s">
        <v>3217</v>
      </c>
      <c r="H3705" s="137">
        <v>4</v>
      </c>
      <c r="I3705" s="5" t="str">
        <f>VLOOKUP(F3705,'Set up'!$A$2:$C$70,3,FALSE)</f>
        <v>Cash</v>
      </c>
      <c r="J3705" s="5">
        <f>VLOOKUP(F3705,'Set up'!$A$2:$D$70,4,FALSE)</f>
        <v>0</v>
      </c>
      <c r="K3705" s="4">
        <f t="shared" si="926"/>
        <v>45707</v>
      </c>
      <c r="L3705" s="5">
        <f t="shared" si="927"/>
        <v>2</v>
      </c>
      <c r="M3705" s="5">
        <f t="shared" si="928"/>
        <v>2025</v>
      </c>
      <c r="N3705" s="135">
        <v>6480</v>
      </c>
      <c r="O3705" s="6">
        <f t="shared" si="937"/>
        <v>-6480</v>
      </c>
      <c r="P3705" s="12">
        <f t="shared" si="934"/>
        <v>0</v>
      </c>
      <c r="Q3705" s="7">
        <f t="shared" si="929"/>
        <v>6078300.6500000004</v>
      </c>
      <c r="R3705" s="44" t="str">
        <f>VLOOKUP(F3705,'Set up'!$A$2:$E$70,5,FALSE)</f>
        <v>Trsf</v>
      </c>
      <c r="S3705" s="1" t="s">
        <v>3940</v>
      </c>
    </row>
    <row r="3706" spans="1:19" ht="16.2" customHeight="1" x14ac:dyDescent="0.3">
      <c r="A3706" s="140">
        <v>45707</v>
      </c>
      <c r="B3706" s="5">
        <f t="shared" si="924"/>
        <v>2</v>
      </c>
      <c r="C3706" s="5">
        <f t="shared" si="925"/>
        <v>2025</v>
      </c>
      <c r="D3706" s="105" t="s">
        <v>3465</v>
      </c>
      <c r="E3706" s="5" t="str">
        <f>VLOOKUP(F3706,'Set up'!$A$2:$C$70,2,FALSE)</f>
        <v>C00000042</v>
      </c>
      <c r="F3706" s="99" t="s">
        <v>2012</v>
      </c>
      <c r="G3706" s="99" t="s">
        <v>3243</v>
      </c>
      <c r="H3706" s="137">
        <v>12</v>
      </c>
      <c r="I3706" s="5" t="str">
        <f>VLOOKUP(F3706,'Set up'!$A$2:$C$70,3,FALSE)</f>
        <v>Cash</v>
      </c>
      <c r="J3706" s="5">
        <f>VLOOKUP(F3706,'Set up'!$A$2:$D$70,4,FALSE)</f>
        <v>0</v>
      </c>
      <c r="K3706" s="4">
        <f t="shared" si="926"/>
        <v>45707</v>
      </c>
      <c r="L3706" s="5">
        <f t="shared" si="927"/>
        <v>2</v>
      </c>
      <c r="M3706" s="5">
        <f t="shared" si="928"/>
        <v>2025</v>
      </c>
      <c r="N3706" s="135">
        <v>2088</v>
      </c>
      <c r="O3706" s="6">
        <f t="shared" si="937"/>
        <v>-2088</v>
      </c>
      <c r="P3706" s="12">
        <f t="shared" si="934"/>
        <v>0</v>
      </c>
      <c r="Q3706" s="7">
        <f t="shared" si="929"/>
        <v>6080388.6500000004</v>
      </c>
      <c r="R3706" s="44" t="str">
        <f>VLOOKUP(F3706,'Set up'!$A$2:$E$70,5,FALSE)</f>
        <v>Trsf</v>
      </c>
      <c r="S3706" s="1" t="s">
        <v>3941</v>
      </c>
    </row>
    <row r="3707" spans="1:19" ht="16.2" customHeight="1" x14ac:dyDescent="0.3">
      <c r="A3707" s="140">
        <v>45707</v>
      </c>
      <c r="B3707" s="5">
        <f t="shared" si="924"/>
        <v>2</v>
      </c>
      <c r="C3707" s="5">
        <f t="shared" si="925"/>
        <v>2025</v>
      </c>
      <c r="D3707" s="105" t="s">
        <v>3465</v>
      </c>
      <c r="E3707" s="5" t="str">
        <f>VLOOKUP(F3707,'Set up'!$A$2:$C$70,2,FALSE)</f>
        <v>C00000042</v>
      </c>
      <c r="F3707" s="99" t="s">
        <v>2012</v>
      </c>
      <c r="G3707" s="99" t="s">
        <v>1922</v>
      </c>
      <c r="H3707" s="137">
        <v>6</v>
      </c>
      <c r="I3707" s="5" t="str">
        <f>VLOOKUP(F3707,'Set up'!$A$2:$C$70,3,FALSE)</f>
        <v>Cash</v>
      </c>
      <c r="J3707" s="5">
        <f>VLOOKUP(F3707,'Set up'!$A$2:$D$70,4,FALSE)</f>
        <v>0</v>
      </c>
      <c r="K3707" s="4">
        <f t="shared" si="926"/>
        <v>45707</v>
      </c>
      <c r="L3707" s="5">
        <f t="shared" si="927"/>
        <v>2</v>
      </c>
      <c r="M3707" s="5">
        <f t="shared" si="928"/>
        <v>2025</v>
      </c>
      <c r="N3707" s="135">
        <v>1485</v>
      </c>
      <c r="O3707" s="6">
        <f t="shared" si="937"/>
        <v>-1485</v>
      </c>
      <c r="P3707" s="12">
        <f t="shared" si="934"/>
        <v>0</v>
      </c>
      <c r="Q3707" s="7">
        <f t="shared" si="929"/>
        <v>6081873.6500000004</v>
      </c>
      <c r="R3707" s="44" t="str">
        <f>VLOOKUP(F3707,'Set up'!$A$2:$E$70,5,FALSE)</f>
        <v>Trsf</v>
      </c>
      <c r="S3707" s="1" t="s">
        <v>3942</v>
      </c>
    </row>
    <row r="3708" spans="1:19" ht="16.2" customHeight="1" x14ac:dyDescent="0.3">
      <c r="A3708" s="140">
        <v>45707</v>
      </c>
      <c r="B3708" s="5">
        <f t="shared" si="924"/>
        <v>2</v>
      </c>
      <c r="C3708" s="5">
        <f t="shared" si="925"/>
        <v>2025</v>
      </c>
      <c r="D3708" s="105" t="s">
        <v>3465</v>
      </c>
      <c r="E3708" s="5" t="str">
        <f>VLOOKUP(F3708,'Set up'!$A$2:$C$70,2,FALSE)</f>
        <v>C00000042</v>
      </c>
      <c r="F3708" s="99" t="s">
        <v>2012</v>
      </c>
      <c r="G3708" s="99" t="s">
        <v>46</v>
      </c>
      <c r="H3708" s="137">
        <v>6</v>
      </c>
      <c r="I3708" s="5" t="str">
        <f>VLOOKUP(F3708,'Set up'!$A$2:$C$70,3,FALSE)</f>
        <v>Cash</v>
      </c>
      <c r="J3708" s="5">
        <f>VLOOKUP(F3708,'Set up'!$A$2:$D$70,4,FALSE)</f>
        <v>0</v>
      </c>
      <c r="K3708" s="4">
        <f t="shared" si="926"/>
        <v>45707</v>
      </c>
      <c r="L3708" s="5">
        <f t="shared" si="927"/>
        <v>2</v>
      </c>
      <c r="M3708" s="5">
        <f t="shared" si="928"/>
        <v>2025</v>
      </c>
      <c r="N3708" s="135">
        <v>690</v>
      </c>
      <c r="O3708" s="6">
        <f t="shared" si="937"/>
        <v>-690</v>
      </c>
      <c r="P3708" s="12">
        <f t="shared" si="934"/>
        <v>0</v>
      </c>
      <c r="Q3708" s="7">
        <f t="shared" si="929"/>
        <v>6082563.6500000004</v>
      </c>
      <c r="R3708" s="44" t="str">
        <f>VLOOKUP(F3708,'Set up'!$A$2:$E$70,5,FALSE)</f>
        <v>Trsf</v>
      </c>
      <c r="S3708" s="1" t="s">
        <v>3943</v>
      </c>
    </row>
    <row r="3709" spans="1:19" ht="16.2" customHeight="1" x14ac:dyDescent="0.3">
      <c r="A3709" s="140">
        <v>45707</v>
      </c>
      <c r="B3709" s="5">
        <f t="shared" si="924"/>
        <v>2</v>
      </c>
      <c r="C3709" s="5">
        <f t="shared" si="925"/>
        <v>2025</v>
      </c>
      <c r="D3709" s="105" t="s">
        <v>3465</v>
      </c>
      <c r="E3709" s="5" t="str">
        <f>VLOOKUP(F3709,'Set up'!$A$2:$C$70,2,FALSE)</f>
        <v>C00000042</v>
      </c>
      <c r="F3709" s="99" t="s">
        <v>2012</v>
      </c>
      <c r="G3709" s="99" t="s">
        <v>1073</v>
      </c>
      <c r="H3709" s="137">
        <v>1</v>
      </c>
      <c r="I3709" s="5" t="str">
        <f>VLOOKUP(F3709,'Set up'!$A$2:$C$70,3,FALSE)</f>
        <v>Cash</v>
      </c>
      <c r="J3709" s="5">
        <f>VLOOKUP(F3709,'Set up'!$A$2:$D$70,4,FALSE)</f>
        <v>0</v>
      </c>
      <c r="K3709" s="4">
        <f t="shared" si="926"/>
        <v>45707</v>
      </c>
      <c r="L3709" s="5">
        <f t="shared" si="927"/>
        <v>2</v>
      </c>
      <c r="M3709" s="5">
        <f t="shared" si="928"/>
        <v>2025</v>
      </c>
      <c r="N3709" s="135">
        <v>1000</v>
      </c>
      <c r="O3709" s="6">
        <f t="shared" si="937"/>
        <v>-1000</v>
      </c>
      <c r="P3709" s="12">
        <f t="shared" si="934"/>
        <v>0</v>
      </c>
      <c r="Q3709" s="7">
        <f t="shared" si="929"/>
        <v>6083563.6500000004</v>
      </c>
      <c r="R3709" s="44" t="str">
        <f>VLOOKUP(F3709,'Set up'!$A$2:$E$70,5,FALSE)</f>
        <v>Trsf</v>
      </c>
      <c r="S3709" s="1" t="s">
        <v>3944</v>
      </c>
    </row>
    <row r="3710" spans="1:19" ht="16.2" customHeight="1" x14ac:dyDescent="0.3">
      <c r="A3710" s="140">
        <v>45712</v>
      </c>
      <c r="B3710" s="5">
        <f t="shared" si="924"/>
        <v>2</v>
      </c>
      <c r="C3710" s="5">
        <f t="shared" si="925"/>
        <v>2025</v>
      </c>
      <c r="D3710" s="105" t="s">
        <v>3466</v>
      </c>
      <c r="E3710" s="5" t="str">
        <f>VLOOKUP(F3710,'Set up'!$A$2:$C$70,2,FALSE)</f>
        <v>C00000042</v>
      </c>
      <c r="F3710" s="99" t="s">
        <v>2012</v>
      </c>
      <c r="G3710" s="99" t="s">
        <v>2646</v>
      </c>
      <c r="H3710" s="137">
        <v>5</v>
      </c>
      <c r="I3710" s="5" t="str">
        <f>VLOOKUP(F3710,'Set up'!$A$2:$C$70,3,FALSE)</f>
        <v>Cash</v>
      </c>
      <c r="J3710" s="5">
        <f>VLOOKUP(F3710,'Set up'!$A$2:$D$70,4,FALSE)</f>
        <v>0</v>
      </c>
      <c r="K3710" s="4">
        <f t="shared" si="926"/>
        <v>45712</v>
      </c>
      <c r="L3710" s="5">
        <f t="shared" si="927"/>
        <v>2</v>
      </c>
      <c r="M3710" s="5">
        <f t="shared" si="928"/>
        <v>2025</v>
      </c>
      <c r="N3710" s="135">
        <v>312.5</v>
      </c>
      <c r="O3710" s="6">
        <f t="shared" si="937"/>
        <v>-312.5</v>
      </c>
      <c r="P3710" s="12">
        <f t="shared" si="934"/>
        <v>0</v>
      </c>
      <c r="Q3710" s="7">
        <f t="shared" si="929"/>
        <v>6083876.1500000004</v>
      </c>
      <c r="R3710" s="44" t="str">
        <f>VLOOKUP(F3710,'Set up'!$A$2:$E$70,5,FALSE)</f>
        <v>Trsf</v>
      </c>
      <c r="S3710" s="1" t="s">
        <v>3945</v>
      </c>
    </row>
    <row r="3711" spans="1:19" ht="16.2" customHeight="1" x14ac:dyDescent="0.3">
      <c r="A3711" s="140">
        <v>45712</v>
      </c>
      <c r="B3711" s="5">
        <f t="shared" si="924"/>
        <v>2</v>
      </c>
      <c r="C3711" s="5">
        <f t="shared" si="925"/>
        <v>2025</v>
      </c>
      <c r="D3711" s="105" t="s">
        <v>3467</v>
      </c>
      <c r="E3711" s="5" t="str">
        <f>VLOOKUP(F3711,'Set up'!$A$2:$C$70,2,FALSE)</f>
        <v>C00000042</v>
      </c>
      <c r="F3711" s="99" t="s">
        <v>2012</v>
      </c>
      <c r="G3711" s="99" t="s">
        <v>3217</v>
      </c>
      <c r="H3711" s="137">
        <v>10</v>
      </c>
      <c r="I3711" s="5" t="str">
        <f>VLOOKUP(F3711,'Set up'!$A$2:$C$70,3,FALSE)</f>
        <v>Cash</v>
      </c>
      <c r="J3711" s="5">
        <f>VLOOKUP(F3711,'Set up'!$A$2:$D$70,4,FALSE)</f>
        <v>0</v>
      </c>
      <c r="K3711" s="4">
        <f t="shared" si="926"/>
        <v>45712</v>
      </c>
      <c r="L3711" s="5">
        <f t="shared" si="927"/>
        <v>2</v>
      </c>
      <c r="M3711" s="5">
        <f t="shared" si="928"/>
        <v>2025</v>
      </c>
      <c r="N3711" s="135">
        <v>16200</v>
      </c>
      <c r="O3711" s="141">
        <f>-2206.6-13993.4</f>
        <v>-16200</v>
      </c>
      <c r="P3711" s="12">
        <f t="shared" si="934"/>
        <v>0</v>
      </c>
      <c r="Q3711" s="7">
        <f t="shared" si="929"/>
        <v>6100076.1500000004</v>
      </c>
      <c r="R3711" s="44" t="str">
        <f>VLOOKUP(F3711,'Set up'!$A$2:$E$70,5,FALSE)</f>
        <v>Trsf</v>
      </c>
      <c r="S3711" s="1" t="s">
        <v>3969</v>
      </c>
    </row>
    <row r="3712" spans="1:19" ht="16.2" customHeight="1" x14ac:dyDescent="0.3">
      <c r="A3712" s="140">
        <v>45712</v>
      </c>
      <c r="B3712" s="5">
        <f t="shared" si="924"/>
        <v>2</v>
      </c>
      <c r="C3712" s="5">
        <f t="shared" si="925"/>
        <v>2025</v>
      </c>
      <c r="D3712" s="105" t="s">
        <v>3467</v>
      </c>
      <c r="E3712" s="5" t="str">
        <f>VLOOKUP(F3712,'Set up'!$A$2:$C$70,2,FALSE)</f>
        <v>C00000042</v>
      </c>
      <c r="F3712" s="99" t="s">
        <v>2012</v>
      </c>
      <c r="G3712" s="99" t="s">
        <v>3243</v>
      </c>
      <c r="H3712" s="137">
        <v>25</v>
      </c>
      <c r="I3712" s="5" t="str">
        <f>VLOOKUP(F3712,'Set up'!$A$2:$C$70,3,FALSE)</f>
        <v>Cash</v>
      </c>
      <c r="J3712" s="5">
        <f>VLOOKUP(F3712,'Set up'!$A$2:$D$70,4,FALSE)</f>
        <v>0</v>
      </c>
      <c r="K3712" s="4">
        <f t="shared" si="926"/>
        <v>45712</v>
      </c>
      <c r="L3712" s="5">
        <f t="shared" si="927"/>
        <v>2</v>
      </c>
      <c r="M3712" s="5">
        <f t="shared" si="928"/>
        <v>2025</v>
      </c>
      <c r="N3712" s="135">
        <v>4350</v>
      </c>
      <c r="O3712" s="141">
        <f>-1006.6-3343.4</f>
        <v>-4350</v>
      </c>
      <c r="P3712" s="12">
        <f t="shared" si="934"/>
        <v>0</v>
      </c>
      <c r="Q3712" s="7">
        <f t="shared" si="929"/>
        <v>6104426.1500000004</v>
      </c>
      <c r="R3712" s="44" t="str">
        <f>VLOOKUP(F3712,'Set up'!$A$2:$E$70,5,FALSE)</f>
        <v>Trsf</v>
      </c>
      <c r="S3712" s="1" t="s">
        <v>3970</v>
      </c>
    </row>
    <row r="3713" spans="1:19" ht="16.2" customHeight="1" x14ac:dyDescent="0.3">
      <c r="A3713" s="140">
        <v>45712</v>
      </c>
      <c r="B3713" s="5">
        <f t="shared" si="924"/>
        <v>2</v>
      </c>
      <c r="C3713" s="5">
        <f t="shared" si="925"/>
        <v>2025</v>
      </c>
      <c r="D3713" s="105" t="s">
        <v>3467</v>
      </c>
      <c r="E3713" s="5" t="str">
        <f>VLOOKUP(F3713,'Set up'!$A$2:$C$70,2,FALSE)</f>
        <v>C00000042</v>
      </c>
      <c r="F3713" s="99" t="s">
        <v>2012</v>
      </c>
      <c r="G3713" s="99" t="s">
        <v>1922</v>
      </c>
      <c r="H3713" s="137">
        <v>15</v>
      </c>
      <c r="I3713" s="5" t="str">
        <f>VLOOKUP(F3713,'Set up'!$A$2:$C$70,3,FALSE)</f>
        <v>Cash</v>
      </c>
      <c r="J3713" s="5">
        <f>VLOOKUP(F3713,'Set up'!$A$2:$D$70,4,FALSE)</f>
        <v>0</v>
      </c>
      <c r="K3713" s="4">
        <f t="shared" si="926"/>
        <v>45712</v>
      </c>
      <c r="L3713" s="5">
        <f t="shared" si="927"/>
        <v>2</v>
      </c>
      <c r="M3713" s="5">
        <f t="shared" si="928"/>
        <v>2025</v>
      </c>
      <c r="N3713" s="135">
        <v>3712.5</v>
      </c>
      <c r="O3713" s="6">
        <f t="shared" ref="O3713:O3715" si="938">-N3713</f>
        <v>-3712.5</v>
      </c>
      <c r="P3713" s="12">
        <f t="shared" si="934"/>
        <v>0</v>
      </c>
      <c r="Q3713" s="7">
        <f t="shared" si="929"/>
        <v>6108138.6500000004</v>
      </c>
      <c r="R3713" s="44" t="str">
        <f>VLOOKUP(F3713,'Set up'!$A$2:$E$70,5,FALSE)</f>
        <v>Trsf</v>
      </c>
      <c r="S3713" s="1" t="s">
        <v>3971</v>
      </c>
    </row>
    <row r="3714" spans="1:19" ht="16.2" customHeight="1" x14ac:dyDescent="0.3">
      <c r="A3714" s="140">
        <v>45712</v>
      </c>
      <c r="B3714" s="5">
        <f t="shared" si="924"/>
        <v>2</v>
      </c>
      <c r="C3714" s="5">
        <f t="shared" si="925"/>
        <v>2025</v>
      </c>
      <c r="D3714" s="105" t="s">
        <v>3467</v>
      </c>
      <c r="E3714" s="5" t="str">
        <f>VLOOKUP(F3714,'Set up'!$A$2:$C$70,2,FALSE)</f>
        <v>C00000042</v>
      </c>
      <c r="F3714" s="99" t="s">
        <v>2012</v>
      </c>
      <c r="G3714" s="99" t="s">
        <v>46</v>
      </c>
      <c r="H3714" s="137">
        <v>4</v>
      </c>
      <c r="I3714" s="5" t="str">
        <f>VLOOKUP(F3714,'Set up'!$A$2:$C$70,3,FALSE)</f>
        <v>Cash</v>
      </c>
      <c r="J3714" s="5">
        <f>VLOOKUP(F3714,'Set up'!$A$2:$D$70,4,FALSE)</f>
        <v>0</v>
      </c>
      <c r="K3714" s="4">
        <f t="shared" si="926"/>
        <v>45712</v>
      </c>
      <c r="L3714" s="5">
        <f t="shared" si="927"/>
        <v>2</v>
      </c>
      <c r="M3714" s="5">
        <f t="shared" si="928"/>
        <v>2025</v>
      </c>
      <c r="N3714" s="135">
        <v>460</v>
      </c>
      <c r="O3714" s="6">
        <f t="shared" si="938"/>
        <v>-460</v>
      </c>
      <c r="P3714" s="12">
        <f t="shared" si="934"/>
        <v>0</v>
      </c>
      <c r="Q3714" s="7">
        <f t="shared" si="929"/>
        <v>6108598.6500000004</v>
      </c>
      <c r="R3714" s="44" t="str">
        <f>VLOOKUP(F3714,'Set up'!$A$2:$E$70,5,FALSE)</f>
        <v>Trsf</v>
      </c>
      <c r="S3714" s="1" t="s">
        <v>3972</v>
      </c>
    </row>
    <row r="3715" spans="1:19" ht="16.2" customHeight="1" x14ac:dyDescent="0.3">
      <c r="A3715" s="140">
        <v>45712</v>
      </c>
      <c r="B3715" s="5">
        <f t="shared" ref="B3715:B3778" si="939">MONTH(A3715)</f>
        <v>2</v>
      </c>
      <c r="C3715" s="5">
        <f t="shared" ref="C3715:C3778" si="940">YEAR(A3715)</f>
        <v>2025</v>
      </c>
      <c r="D3715" s="105" t="s">
        <v>3467</v>
      </c>
      <c r="E3715" s="5" t="str">
        <f>VLOOKUP(F3715,'Set up'!$A$2:$C$70,2,FALSE)</f>
        <v>C00000042</v>
      </c>
      <c r="F3715" s="99" t="s">
        <v>2012</v>
      </c>
      <c r="G3715" s="99" t="s">
        <v>1073</v>
      </c>
      <c r="H3715" s="137">
        <v>1</v>
      </c>
      <c r="I3715" s="5" t="str">
        <f>VLOOKUP(F3715,'Set up'!$A$2:$C$70,3,FALSE)</f>
        <v>Cash</v>
      </c>
      <c r="J3715" s="5">
        <f>VLOOKUP(F3715,'Set up'!$A$2:$D$70,4,FALSE)</f>
        <v>0</v>
      </c>
      <c r="K3715" s="4">
        <f t="shared" ref="K3715:K3778" si="941">A3715+J3715</f>
        <v>45712</v>
      </c>
      <c r="L3715" s="5">
        <f t="shared" ref="L3715:L3778" si="942">MONTH(K3715)</f>
        <v>2</v>
      </c>
      <c r="M3715" s="5">
        <f t="shared" ref="M3715:M3778" si="943">YEAR(K3715)</f>
        <v>2025</v>
      </c>
      <c r="N3715" s="135">
        <v>1000</v>
      </c>
      <c r="O3715" s="6">
        <f t="shared" si="938"/>
        <v>-1000</v>
      </c>
      <c r="P3715" s="12">
        <f t="shared" si="934"/>
        <v>0</v>
      </c>
      <c r="Q3715" s="7">
        <f t="shared" ref="Q3715:Q3778" si="944">SUM(Q3714+N3715)</f>
        <v>6109598.6500000004</v>
      </c>
      <c r="R3715" s="44" t="str">
        <f>VLOOKUP(F3715,'Set up'!$A$2:$E$70,5,FALSE)</f>
        <v>Trsf</v>
      </c>
      <c r="S3715" s="1" t="s">
        <v>3973</v>
      </c>
    </row>
    <row r="3716" spans="1:19" ht="16.2" customHeight="1" x14ac:dyDescent="0.3">
      <c r="A3716" s="140">
        <v>45712</v>
      </c>
      <c r="B3716" s="5">
        <f t="shared" si="939"/>
        <v>2</v>
      </c>
      <c r="C3716" s="5">
        <f t="shared" si="940"/>
        <v>2025</v>
      </c>
      <c r="D3716" s="105" t="s">
        <v>3468</v>
      </c>
      <c r="E3716" s="5" t="str">
        <f>VLOOKUP(F3716,'Set up'!$A$2:$C$70,2,FALSE)</f>
        <v>C00000019</v>
      </c>
      <c r="F3716" s="99" t="s">
        <v>400</v>
      </c>
      <c r="G3716" s="99" t="s">
        <v>3226</v>
      </c>
      <c r="H3716" s="137">
        <v>1</v>
      </c>
      <c r="I3716" s="5" t="str">
        <f>VLOOKUP(F3716,'Set up'!$A$2:$C$70,3,FALSE)</f>
        <v>Cash</v>
      </c>
      <c r="J3716" s="5">
        <f>VLOOKUP(F3716,'Set up'!$A$2:$D$70,4,FALSE)</f>
        <v>0</v>
      </c>
      <c r="K3716" s="4">
        <f t="shared" si="941"/>
        <v>45712</v>
      </c>
      <c r="L3716" s="5">
        <f t="shared" si="942"/>
        <v>2</v>
      </c>
      <c r="M3716" s="5">
        <f t="shared" si="943"/>
        <v>2025</v>
      </c>
      <c r="N3716" s="135">
        <v>250</v>
      </c>
      <c r="O3716" s="99"/>
      <c r="P3716" s="12">
        <f t="shared" si="934"/>
        <v>250</v>
      </c>
      <c r="Q3716" s="7">
        <f t="shared" si="944"/>
        <v>6109848.6500000004</v>
      </c>
      <c r="R3716" s="44" t="str">
        <f>VLOOKUP(F3716,'Set up'!$A$2:$E$70,5,FALSE)</f>
        <v>Trsf</v>
      </c>
    </row>
    <row r="3717" spans="1:19" ht="16.2" customHeight="1" x14ac:dyDescent="0.3">
      <c r="A3717" s="140">
        <v>45712</v>
      </c>
      <c r="B3717" s="5">
        <f t="shared" si="939"/>
        <v>2</v>
      </c>
      <c r="C3717" s="5">
        <f t="shared" si="940"/>
        <v>2025</v>
      </c>
      <c r="D3717" s="105" t="s">
        <v>3468</v>
      </c>
      <c r="E3717" s="5" t="str">
        <f>VLOOKUP(F3717,'Set up'!$A$2:$C$70,2,FALSE)</f>
        <v>C00000019</v>
      </c>
      <c r="F3717" s="99" t="s">
        <v>400</v>
      </c>
      <c r="G3717" s="99" t="s">
        <v>3122</v>
      </c>
      <c r="H3717" s="137">
        <v>1</v>
      </c>
      <c r="I3717" s="5" t="str">
        <f>VLOOKUP(F3717,'Set up'!$A$2:$C$70,3,FALSE)</f>
        <v>Cash</v>
      </c>
      <c r="J3717" s="5">
        <f>VLOOKUP(F3717,'Set up'!$A$2:$D$70,4,FALSE)</f>
        <v>0</v>
      </c>
      <c r="K3717" s="4">
        <f t="shared" si="941"/>
        <v>45712</v>
      </c>
      <c r="L3717" s="5">
        <f t="shared" si="942"/>
        <v>2</v>
      </c>
      <c r="M3717" s="5">
        <f t="shared" si="943"/>
        <v>2025</v>
      </c>
      <c r="N3717" s="135">
        <v>1755</v>
      </c>
      <c r="O3717" s="99"/>
      <c r="P3717" s="12">
        <f t="shared" si="934"/>
        <v>1755</v>
      </c>
      <c r="Q3717" s="7">
        <f t="shared" si="944"/>
        <v>6111603.6500000004</v>
      </c>
      <c r="R3717" s="44" t="str">
        <f>VLOOKUP(F3717,'Set up'!$A$2:$E$70,5,FALSE)</f>
        <v>Trsf</v>
      </c>
    </row>
    <row r="3718" spans="1:19" ht="16.2" customHeight="1" x14ac:dyDescent="0.3">
      <c r="A3718" s="140">
        <v>45712</v>
      </c>
      <c r="B3718" s="5">
        <f t="shared" si="939"/>
        <v>2</v>
      </c>
      <c r="C3718" s="5">
        <f t="shared" si="940"/>
        <v>2025</v>
      </c>
      <c r="D3718" s="105" t="s">
        <v>3468</v>
      </c>
      <c r="E3718" s="5" t="str">
        <f>VLOOKUP(F3718,'Set up'!$A$2:$C$70,2,FALSE)</f>
        <v>C00000019</v>
      </c>
      <c r="F3718" s="99" t="s">
        <v>400</v>
      </c>
      <c r="G3718" s="99" t="s">
        <v>1411</v>
      </c>
      <c r="H3718" s="137">
        <v>1</v>
      </c>
      <c r="I3718" s="5" t="str">
        <f>VLOOKUP(F3718,'Set up'!$A$2:$C$70,3,FALSE)</f>
        <v>Cash</v>
      </c>
      <c r="J3718" s="5">
        <f>VLOOKUP(F3718,'Set up'!$A$2:$D$70,4,FALSE)</f>
        <v>0</v>
      </c>
      <c r="K3718" s="4">
        <f t="shared" si="941"/>
        <v>45712</v>
      </c>
      <c r="L3718" s="5">
        <f t="shared" si="942"/>
        <v>2</v>
      </c>
      <c r="M3718" s="5">
        <f t="shared" si="943"/>
        <v>2025</v>
      </c>
      <c r="N3718" s="135">
        <v>405</v>
      </c>
      <c r="O3718" s="99"/>
      <c r="P3718" s="12">
        <f t="shared" si="934"/>
        <v>405</v>
      </c>
      <c r="Q3718" s="7">
        <f t="shared" si="944"/>
        <v>6112008.6500000004</v>
      </c>
      <c r="R3718" s="44" t="str">
        <f>VLOOKUP(F3718,'Set up'!$A$2:$E$70,5,FALSE)</f>
        <v>Trsf</v>
      </c>
    </row>
    <row r="3719" spans="1:19" ht="16.2" customHeight="1" x14ac:dyDescent="0.3">
      <c r="A3719" s="140">
        <v>45713</v>
      </c>
      <c r="B3719" s="5">
        <f t="shared" si="939"/>
        <v>2</v>
      </c>
      <c r="C3719" s="5">
        <f t="shared" si="940"/>
        <v>2025</v>
      </c>
      <c r="D3719" s="105" t="s">
        <v>3469</v>
      </c>
      <c r="E3719" s="5" t="str">
        <f>VLOOKUP(F3719,'Set up'!$A$2:$C$70,2,FALSE)</f>
        <v>C00000044</v>
      </c>
      <c r="F3719" s="99" t="s">
        <v>2929</v>
      </c>
      <c r="G3719" s="99" t="s">
        <v>3122</v>
      </c>
      <c r="H3719" s="137">
        <v>1</v>
      </c>
      <c r="I3719" s="5" t="str">
        <f>VLOOKUP(F3719,'Set up'!$A$2:$C$70,3,FALSE)</f>
        <v>Cash</v>
      </c>
      <c r="J3719" s="5">
        <f>VLOOKUP(F3719,'Set up'!$A$2:$D$70,4,FALSE)</f>
        <v>0</v>
      </c>
      <c r="K3719" s="4">
        <f t="shared" si="941"/>
        <v>45713</v>
      </c>
      <c r="L3719" s="5">
        <f t="shared" si="942"/>
        <v>2</v>
      </c>
      <c r="M3719" s="5">
        <f t="shared" si="943"/>
        <v>2025</v>
      </c>
      <c r="N3719" s="135">
        <v>1732.5</v>
      </c>
      <c r="O3719" s="6">
        <f>-N3719</f>
        <v>-1732.5</v>
      </c>
      <c r="P3719" s="12">
        <f t="shared" si="934"/>
        <v>0</v>
      </c>
      <c r="Q3719" s="7">
        <f t="shared" si="944"/>
        <v>6113741.1500000004</v>
      </c>
      <c r="R3719" s="44" t="str">
        <f>VLOOKUP(F3719,'Set up'!$A$2:$E$70,5,FALSE)</f>
        <v>Cash</v>
      </c>
      <c r="S3719" s="1" t="s">
        <v>3502</v>
      </c>
    </row>
    <row r="3720" spans="1:19" ht="16.2" customHeight="1" x14ac:dyDescent="0.3">
      <c r="A3720" s="140">
        <v>45713</v>
      </c>
      <c r="B3720" s="5">
        <f t="shared" si="939"/>
        <v>2</v>
      </c>
      <c r="C3720" s="5">
        <f t="shared" si="940"/>
        <v>2025</v>
      </c>
      <c r="D3720" s="105" t="s">
        <v>3469</v>
      </c>
      <c r="E3720" s="5" t="str">
        <f>VLOOKUP(F3720,'Set up'!$A$2:$C$70,2,FALSE)</f>
        <v>C00000044</v>
      </c>
      <c r="F3720" s="99" t="s">
        <v>2929</v>
      </c>
      <c r="G3720" s="99" t="s">
        <v>2570</v>
      </c>
      <c r="H3720" s="137">
        <v>2</v>
      </c>
      <c r="I3720" s="5" t="str">
        <f>VLOOKUP(F3720,'Set up'!$A$2:$C$70,3,FALSE)</f>
        <v>Cash</v>
      </c>
      <c r="J3720" s="5">
        <f>VLOOKUP(F3720,'Set up'!$A$2:$D$70,4,FALSE)</f>
        <v>0</v>
      </c>
      <c r="K3720" s="4">
        <f t="shared" si="941"/>
        <v>45713</v>
      </c>
      <c r="L3720" s="5">
        <f t="shared" si="942"/>
        <v>2</v>
      </c>
      <c r="M3720" s="5">
        <f t="shared" si="943"/>
        <v>2025</v>
      </c>
      <c r="N3720" s="135">
        <v>432</v>
      </c>
      <c r="O3720" s="141">
        <f>-431.5</f>
        <v>-431.5</v>
      </c>
      <c r="P3720" s="12">
        <f t="shared" si="934"/>
        <v>0.5</v>
      </c>
      <c r="Q3720" s="7">
        <f t="shared" si="944"/>
        <v>6114173.1500000004</v>
      </c>
      <c r="R3720" s="44" t="str">
        <f>VLOOKUP(F3720,'Set up'!$A$2:$E$70,5,FALSE)</f>
        <v>Cash</v>
      </c>
      <c r="S3720" s="1" t="s">
        <v>3502</v>
      </c>
    </row>
    <row r="3721" spans="1:19" ht="16.2" customHeight="1" x14ac:dyDescent="0.3">
      <c r="A3721" s="140">
        <v>45717</v>
      </c>
      <c r="B3721" s="5">
        <f t="shared" si="939"/>
        <v>3</v>
      </c>
      <c r="C3721" s="5">
        <f t="shared" si="940"/>
        <v>2025</v>
      </c>
      <c r="D3721" s="105" t="s">
        <v>3504</v>
      </c>
      <c r="E3721" s="5" t="str">
        <f>VLOOKUP(F3721,'Set up'!$A$2:$C$70,2,FALSE)</f>
        <v>C00000050</v>
      </c>
      <c r="F3721" s="99" t="s">
        <v>2656</v>
      </c>
      <c r="G3721" s="99" t="s">
        <v>3122</v>
      </c>
      <c r="H3721" s="137">
        <v>1</v>
      </c>
      <c r="I3721" s="5" t="str">
        <f>VLOOKUP(F3721,'Set up'!$A$2:$C$70,3,FALSE)</f>
        <v>Cash</v>
      </c>
      <c r="J3721" s="5">
        <f>VLOOKUP(F3721,'Set up'!$A$2:$D$70,4,FALSE)</f>
        <v>0</v>
      </c>
      <c r="K3721" s="4">
        <f t="shared" si="941"/>
        <v>45717</v>
      </c>
      <c r="L3721" s="5">
        <f t="shared" si="942"/>
        <v>3</v>
      </c>
      <c r="M3721" s="5">
        <f t="shared" si="943"/>
        <v>2025</v>
      </c>
      <c r="N3721" s="135">
        <v>1755</v>
      </c>
      <c r="O3721" s="6">
        <f t="shared" ref="O3721:O3723" si="945">-N3721</f>
        <v>-1755</v>
      </c>
      <c r="P3721" s="12">
        <f t="shared" si="934"/>
        <v>0</v>
      </c>
      <c r="Q3721" s="7">
        <f t="shared" si="944"/>
        <v>6115928.1500000004</v>
      </c>
      <c r="R3721" s="44" t="str">
        <f>VLOOKUP(F3721,'Set up'!$A$2:$E$70,5,FALSE)</f>
        <v>Cash</v>
      </c>
      <c r="S3721" s="1" t="s">
        <v>3599</v>
      </c>
    </row>
    <row r="3722" spans="1:19" ht="16.2" customHeight="1" x14ac:dyDescent="0.3">
      <c r="A3722" s="140">
        <v>45717</v>
      </c>
      <c r="B3722" s="5">
        <f t="shared" si="939"/>
        <v>3</v>
      </c>
      <c r="C3722" s="5">
        <f t="shared" si="940"/>
        <v>2025</v>
      </c>
      <c r="D3722" s="105" t="s">
        <v>3504</v>
      </c>
      <c r="E3722" s="5" t="str">
        <f>VLOOKUP(F3722,'Set up'!$A$2:$C$70,2,FALSE)</f>
        <v>C00000050</v>
      </c>
      <c r="F3722" s="99" t="s">
        <v>2656</v>
      </c>
      <c r="G3722" s="99" t="s">
        <v>2129</v>
      </c>
      <c r="H3722" s="137">
        <v>3</v>
      </c>
      <c r="I3722" s="5" t="str">
        <f>VLOOKUP(F3722,'Set up'!$A$2:$C$70,3,FALSE)</f>
        <v>Cash</v>
      </c>
      <c r="J3722" s="5">
        <f>VLOOKUP(F3722,'Set up'!$A$2:$D$70,4,FALSE)</f>
        <v>0</v>
      </c>
      <c r="K3722" s="4">
        <f t="shared" si="941"/>
        <v>45717</v>
      </c>
      <c r="L3722" s="5">
        <f t="shared" si="942"/>
        <v>3</v>
      </c>
      <c r="M3722" s="5">
        <f t="shared" si="943"/>
        <v>2025</v>
      </c>
      <c r="N3722" s="135">
        <v>832.5</v>
      </c>
      <c r="O3722" s="6">
        <f t="shared" si="945"/>
        <v>-832.5</v>
      </c>
      <c r="P3722" s="12">
        <f t="shared" si="934"/>
        <v>0</v>
      </c>
      <c r="Q3722" s="7">
        <f t="shared" si="944"/>
        <v>6116760.6500000004</v>
      </c>
      <c r="R3722" s="44" t="str">
        <f>VLOOKUP(F3722,'Set up'!$A$2:$E$70,5,FALSE)</f>
        <v>Cash</v>
      </c>
      <c r="S3722" s="1" t="s">
        <v>3599</v>
      </c>
    </row>
    <row r="3723" spans="1:19" ht="16.2" customHeight="1" x14ac:dyDescent="0.3">
      <c r="A3723" s="140">
        <v>45717</v>
      </c>
      <c r="B3723" s="5">
        <f t="shared" si="939"/>
        <v>3</v>
      </c>
      <c r="C3723" s="5">
        <f t="shared" si="940"/>
        <v>2025</v>
      </c>
      <c r="D3723" s="105" t="s">
        <v>3504</v>
      </c>
      <c r="E3723" s="5" t="str">
        <f>VLOOKUP(F3723,'Set up'!$A$2:$C$70,2,FALSE)</f>
        <v>C00000050</v>
      </c>
      <c r="F3723" s="99" t="s">
        <v>2656</v>
      </c>
      <c r="G3723" s="99" t="s">
        <v>2519</v>
      </c>
      <c r="H3723" s="137">
        <v>12</v>
      </c>
      <c r="I3723" s="5" t="str">
        <f>VLOOKUP(F3723,'Set up'!$A$2:$C$70,3,FALSE)</f>
        <v>Cash</v>
      </c>
      <c r="J3723" s="5">
        <f>VLOOKUP(F3723,'Set up'!$A$2:$D$70,4,FALSE)</f>
        <v>0</v>
      </c>
      <c r="K3723" s="4">
        <f t="shared" si="941"/>
        <v>45717</v>
      </c>
      <c r="L3723" s="5">
        <f t="shared" si="942"/>
        <v>3</v>
      </c>
      <c r="M3723" s="5">
        <f t="shared" si="943"/>
        <v>2025</v>
      </c>
      <c r="N3723" s="135">
        <v>540</v>
      </c>
      <c r="O3723" s="6">
        <f t="shared" si="945"/>
        <v>-540</v>
      </c>
      <c r="P3723" s="12">
        <f t="shared" si="934"/>
        <v>0</v>
      </c>
      <c r="Q3723" s="7">
        <f t="shared" si="944"/>
        <v>6117300.6500000004</v>
      </c>
      <c r="R3723" s="44" t="str">
        <f>VLOOKUP(F3723,'Set up'!$A$2:$E$70,5,FALSE)</f>
        <v>Cash</v>
      </c>
      <c r="S3723" s="1" t="s">
        <v>3599</v>
      </c>
    </row>
    <row r="3724" spans="1:19" ht="16.2" customHeight="1" x14ac:dyDescent="0.3">
      <c r="A3724" s="140">
        <v>45720</v>
      </c>
      <c r="B3724" s="5">
        <f t="shared" si="939"/>
        <v>3</v>
      </c>
      <c r="C3724" s="5">
        <f t="shared" si="940"/>
        <v>2025</v>
      </c>
      <c r="D3724" s="105" t="s">
        <v>3505</v>
      </c>
      <c r="E3724" s="5" t="str">
        <f>VLOOKUP(F3724,'Set up'!$A$2:$C$70,2,FALSE)</f>
        <v>C00000013a</v>
      </c>
      <c r="F3724" s="99" t="s">
        <v>1453</v>
      </c>
      <c r="G3724" s="99" t="s">
        <v>3507</v>
      </c>
      <c r="H3724" s="137">
        <v>3</v>
      </c>
      <c r="I3724" s="5" t="str">
        <f>VLOOKUP(F3724,'Set up'!$A$2:$C$70,3,FALSE)</f>
        <v>Cash</v>
      </c>
      <c r="J3724" s="5">
        <f>VLOOKUP(F3724,'Set up'!$A$2:$D$70,4,FALSE)</f>
        <v>0</v>
      </c>
      <c r="K3724" s="4">
        <f t="shared" si="941"/>
        <v>45720</v>
      </c>
      <c r="L3724" s="5">
        <f t="shared" si="942"/>
        <v>3</v>
      </c>
      <c r="M3724" s="5">
        <f t="shared" si="943"/>
        <v>2025</v>
      </c>
      <c r="N3724" s="135">
        <v>5197.5</v>
      </c>
      <c r="O3724" s="6">
        <f t="shared" ref="O3724:O3739" si="946">-N3724</f>
        <v>-5197.5</v>
      </c>
      <c r="P3724" s="6">
        <f t="shared" ref="P3724:P3807" si="947">SUM(N3724+O3724)</f>
        <v>0</v>
      </c>
      <c r="Q3724" s="7">
        <f t="shared" si="944"/>
        <v>6122498.1500000004</v>
      </c>
      <c r="R3724" s="44" t="str">
        <f>VLOOKUP(F3724,'Set up'!$A$2:$E$70,5,FALSE)</f>
        <v>Chq</v>
      </c>
      <c r="S3724" s="1" t="s">
        <v>3595</v>
      </c>
    </row>
    <row r="3725" spans="1:19" ht="16.2" customHeight="1" x14ac:dyDescent="0.3">
      <c r="A3725" s="140">
        <v>45720</v>
      </c>
      <c r="B3725" s="5">
        <f t="shared" si="939"/>
        <v>3</v>
      </c>
      <c r="C3725" s="5">
        <f t="shared" si="940"/>
        <v>2025</v>
      </c>
      <c r="D3725" s="105" t="s">
        <v>3505</v>
      </c>
      <c r="E3725" s="5" t="str">
        <f>VLOOKUP(F3725,'Set up'!$A$2:$C$70,2,FALSE)</f>
        <v>C00000013a</v>
      </c>
      <c r="F3725" s="99" t="s">
        <v>1453</v>
      </c>
      <c r="G3725" s="99" t="s">
        <v>1443</v>
      </c>
      <c r="H3725" s="137">
        <v>3</v>
      </c>
      <c r="I3725" s="5" t="str">
        <f>VLOOKUP(F3725,'Set up'!$A$2:$C$70,3,FALSE)</f>
        <v>Cash</v>
      </c>
      <c r="J3725" s="5">
        <f>VLOOKUP(F3725,'Set up'!$A$2:$D$70,4,FALSE)</f>
        <v>0</v>
      </c>
      <c r="K3725" s="4">
        <f t="shared" si="941"/>
        <v>45720</v>
      </c>
      <c r="L3725" s="5">
        <f t="shared" si="942"/>
        <v>3</v>
      </c>
      <c r="M3725" s="5">
        <f t="shared" si="943"/>
        <v>2025</v>
      </c>
      <c r="N3725" s="135">
        <v>1215</v>
      </c>
      <c r="O3725" s="6">
        <f t="shared" si="946"/>
        <v>-1215</v>
      </c>
      <c r="P3725" s="6">
        <f t="shared" si="947"/>
        <v>0</v>
      </c>
      <c r="Q3725" s="7">
        <f t="shared" si="944"/>
        <v>6123713.1500000004</v>
      </c>
      <c r="R3725" s="44" t="str">
        <f>VLOOKUP(F3725,'Set up'!$A$2:$E$70,5,FALSE)</f>
        <v>Chq</v>
      </c>
      <c r="S3725" s="1" t="s">
        <v>3595</v>
      </c>
    </row>
    <row r="3726" spans="1:19" ht="16.2" customHeight="1" x14ac:dyDescent="0.3">
      <c r="A3726" s="140">
        <v>45720</v>
      </c>
      <c r="B3726" s="5">
        <f t="shared" si="939"/>
        <v>3</v>
      </c>
      <c r="C3726" s="5">
        <f t="shared" si="940"/>
        <v>2025</v>
      </c>
      <c r="D3726" s="105" t="s">
        <v>3505</v>
      </c>
      <c r="E3726" s="5" t="str">
        <f>VLOOKUP(F3726,'Set up'!$A$2:$C$70,2,FALSE)</f>
        <v>C00000013a</v>
      </c>
      <c r="F3726" s="99" t="s">
        <v>1453</v>
      </c>
      <c r="G3726" s="99" t="s">
        <v>1444</v>
      </c>
      <c r="H3726" s="137">
        <v>5</v>
      </c>
      <c r="I3726" s="5" t="str">
        <f>VLOOKUP(F3726,'Set up'!$A$2:$C$70,3,FALSE)</f>
        <v>Cash</v>
      </c>
      <c r="J3726" s="5">
        <f>VLOOKUP(F3726,'Set up'!$A$2:$D$70,4,FALSE)</f>
        <v>0</v>
      </c>
      <c r="K3726" s="4">
        <f t="shared" si="941"/>
        <v>45720</v>
      </c>
      <c r="L3726" s="5">
        <f t="shared" si="942"/>
        <v>3</v>
      </c>
      <c r="M3726" s="5">
        <f t="shared" si="943"/>
        <v>2025</v>
      </c>
      <c r="N3726" s="135">
        <v>2025</v>
      </c>
      <c r="O3726" s="6">
        <f t="shared" si="946"/>
        <v>-2025</v>
      </c>
      <c r="P3726" s="6">
        <f t="shared" si="947"/>
        <v>0</v>
      </c>
      <c r="Q3726" s="7">
        <f t="shared" si="944"/>
        <v>6125738.1500000004</v>
      </c>
      <c r="R3726" s="44" t="str">
        <f>VLOOKUP(F3726,'Set up'!$A$2:$E$70,5,FALSE)</f>
        <v>Chq</v>
      </c>
      <c r="S3726" s="1" t="s">
        <v>3595</v>
      </c>
    </row>
    <row r="3727" spans="1:19" ht="16.2" customHeight="1" x14ac:dyDescent="0.3">
      <c r="A3727" s="140">
        <v>45720</v>
      </c>
      <c r="B3727" s="5">
        <f t="shared" si="939"/>
        <v>3</v>
      </c>
      <c r="C3727" s="5">
        <f t="shared" si="940"/>
        <v>2025</v>
      </c>
      <c r="D3727" s="105" t="s">
        <v>3505</v>
      </c>
      <c r="E3727" s="5" t="str">
        <f>VLOOKUP(F3727,'Set up'!$A$2:$C$70,2,FALSE)</f>
        <v>C00000013a</v>
      </c>
      <c r="F3727" s="99" t="s">
        <v>1453</v>
      </c>
      <c r="G3727" s="99" t="s">
        <v>3508</v>
      </c>
      <c r="H3727" s="137">
        <v>8</v>
      </c>
      <c r="I3727" s="5" t="str">
        <f>VLOOKUP(F3727,'Set up'!$A$2:$C$70,3,FALSE)</f>
        <v>Cash</v>
      </c>
      <c r="J3727" s="5">
        <f>VLOOKUP(F3727,'Set up'!$A$2:$D$70,4,FALSE)</f>
        <v>0</v>
      </c>
      <c r="K3727" s="4">
        <f t="shared" si="941"/>
        <v>45720</v>
      </c>
      <c r="L3727" s="5">
        <f t="shared" si="942"/>
        <v>3</v>
      </c>
      <c r="M3727" s="5">
        <f t="shared" si="943"/>
        <v>2025</v>
      </c>
      <c r="N3727" s="135">
        <v>2270.4</v>
      </c>
      <c r="O3727" s="6">
        <f t="shared" si="946"/>
        <v>-2270.4</v>
      </c>
      <c r="P3727" s="6">
        <f t="shared" si="947"/>
        <v>0</v>
      </c>
      <c r="Q3727" s="7">
        <f t="shared" si="944"/>
        <v>6128008.5500000007</v>
      </c>
      <c r="R3727" s="44" t="str">
        <f>VLOOKUP(F3727,'Set up'!$A$2:$E$70,5,FALSE)</f>
        <v>Chq</v>
      </c>
      <c r="S3727" s="1" t="s">
        <v>3595</v>
      </c>
    </row>
    <row r="3728" spans="1:19" ht="16.2" customHeight="1" x14ac:dyDescent="0.3">
      <c r="A3728" s="140">
        <v>45720</v>
      </c>
      <c r="B3728" s="5">
        <f t="shared" si="939"/>
        <v>3</v>
      </c>
      <c r="C3728" s="5">
        <f t="shared" si="940"/>
        <v>2025</v>
      </c>
      <c r="D3728" s="105" t="s">
        <v>3505</v>
      </c>
      <c r="E3728" s="5" t="str">
        <f>VLOOKUP(F3728,'Set up'!$A$2:$C$70,2,FALSE)</f>
        <v>C00000013a</v>
      </c>
      <c r="F3728" s="99" t="s">
        <v>1453</v>
      </c>
      <c r="G3728" s="99" t="s">
        <v>1447</v>
      </c>
      <c r="H3728" s="137">
        <v>2</v>
      </c>
      <c r="I3728" s="5" t="str">
        <f>VLOOKUP(F3728,'Set up'!$A$2:$C$70,3,FALSE)</f>
        <v>Cash</v>
      </c>
      <c r="J3728" s="5">
        <f>VLOOKUP(F3728,'Set up'!$A$2:$D$70,4,FALSE)</f>
        <v>0</v>
      </c>
      <c r="K3728" s="4">
        <f t="shared" si="941"/>
        <v>45720</v>
      </c>
      <c r="L3728" s="5">
        <f t="shared" si="942"/>
        <v>3</v>
      </c>
      <c r="M3728" s="5">
        <f t="shared" si="943"/>
        <v>2025</v>
      </c>
      <c r="N3728" s="135">
        <v>1750</v>
      </c>
      <c r="O3728" s="6">
        <f t="shared" si="946"/>
        <v>-1750</v>
      </c>
      <c r="P3728" s="6">
        <f t="shared" si="947"/>
        <v>0</v>
      </c>
      <c r="Q3728" s="7">
        <f t="shared" si="944"/>
        <v>6129758.5500000007</v>
      </c>
      <c r="R3728" s="44" t="str">
        <f>VLOOKUP(F3728,'Set up'!$A$2:$E$70,5,FALSE)</f>
        <v>Chq</v>
      </c>
      <c r="S3728" s="1" t="s">
        <v>3595</v>
      </c>
    </row>
    <row r="3729" spans="1:19" ht="16.2" customHeight="1" x14ac:dyDescent="0.3">
      <c r="A3729" s="140">
        <v>45720</v>
      </c>
      <c r="B3729" s="5">
        <f t="shared" si="939"/>
        <v>3</v>
      </c>
      <c r="C3729" s="5">
        <f t="shared" si="940"/>
        <v>2025</v>
      </c>
      <c r="D3729" s="105" t="s">
        <v>3505</v>
      </c>
      <c r="E3729" s="5" t="str">
        <f>VLOOKUP(F3729,'Set up'!$A$2:$C$70,2,FALSE)</f>
        <v>C00000013a</v>
      </c>
      <c r="F3729" s="99" t="s">
        <v>1453</v>
      </c>
      <c r="G3729" s="99" t="s">
        <v>3509</v>
      </c>
      <c r="H3729" s="137">
        <v>1</v>
      </c>
      <c r="I3729" s="5" t="str">
        <f>VLOOKUP(F3729,'Set up'!$A$2:$C$70,3,FALSE)</f>
        <v>Cash</v>
      </c>
      <c r="J3729" s="5">
        <f>VLOOKUP(F3729,'Set up'!$A$2:$D$70,4,FALSE)</f>
        <v>0</v>
      </c>
      <c r="K3729" s="4">
        <f t="shared" si="941"/>
        <v>45720</v>
      </c>
      <c r="L3729" s="5">
        <f t="shared" si="942"/>
        <v>3</v>
      </c>
      <c r="M3729" s="5">
        <f t="shared" si="943"/>
        <v>2025</v>
      </c>
      <c r="N3729" s="135">
        <v>55.2</v>
      </c>
      <c r="O3729" s="6">
        <f t="shared" si="946"/>
        <v>-55.2</v>
      </c>
      <c r="P3729" s="6">
        <f t="shared" si="947"/>
        <v>0</v>
      </c>
      <c r="Q3729" s="7">
        <f t="shared" si="944"/>
        <v>6129813.7500000009</v>
      </c>
      <c r="R3729" s="44" t="str">
        <f>VLOOKUP(F3729,'Set up'!$A$2:$E$70,5,FALSE)</f>
        <v>Chq</v>
      </c>
      <c r="S3729" s="1" t="s">
        <v>3595</v>
      </c>
    </row>
    <row r="3730" spans="1:19" ht="16.2" customHeight="1" x14ac:dyDescent="0.3">
      <c r="A3730" s="140">
        <v>45720</v>
      </c>
      <c r="B3730" s="5">
        <f t="shared" si="939"/>
        <v>3</v>
      </c>
      <c r="C3730" s="5">
        <f t="shared" si="940"/>
        <v>2025</v>
      </c>
      <c r="D3730" s="105" t="s">
        <v>3505</v>
      </c>
      <c r="E3730" s="5" t="str">
        <f>VLOOKUP(F3730,'Set up'!$A$2:$C$70,2,FALSE)</f>
        <v>C00000013a</v>
      </c>
      <c r="F3730" s="99" t="s">
        <v>1453</v>
      </c>
      <c r="G3730" s="99" t="s">
        <v>1452</v>
      </c>
      <c r="H3730" s="137">
        <v>1</v>
      </c>
      <c r="I3730" s="5" t="str">
        <f>VLOOKUP(F3730,'Set up'!$A$2:$C$70,3,FALSE)</f>
        <v>Cash</v>
      </c>
      <c r="J3730" s="5">
        <f>VLOOKUP(F3730,'Set up'!$A$2:$D$70,4,FALSE)</f>
        <v>0</v>
      </c>
      <c r="K3730" s="4">
        <f t="shared" si="941"/>
        <v>45720</v>
      </c>
      <c r="L3730" s="5">
        <f t="shared" si="942"/>
        <v>3</v>
      </c>
      <c r="M3730" s="5">
        <f t="shared" si="943"/>
        <v>2025</v>
      </c>
      <c r="N3730" s="135">
        <v>1108.4000000000001</v>
      </c>
      <c r="O3730" s="6">
        <f t="shared" si="946"/>
        <v>-1108.4000000000001</v>
      </c>
      <c r="P3730" s="6">
        <f t="shared" si="947"/>
        <v>0</v>
      </c>
      <c r="Q3730" s="7">
        <f t="shared" si="944"/>
        <v>6130922.1500000013</v>
      </c>
      <c r="R3730" s="44" t="str">
        <f>VLOOKUP(F3730,'Set up'!$A$2:$E$70,5,FALSE)</f>
        <v>Chq</v>
      </c>
      <c r="S3730" s="1" t="s">
        <v>3595</v>
      </c>
    </row>
    <row r="3731" spans="1:19" ht="16.2" customHeight="1" x14ac:dyDescent="0.3">
      <c r="A3731" s="140">
        <v>45720</v>
      </c>
      <c r="B3731" s="5">
        <f t="shared" si="939"/>
        <v>3</v>
      </c>
      <c r="C3731" s="5">
        <f t="shared" si="940"/>
        <v>2025</v>
      </c>
      <c r="D3731" s="105" t="s">
        <v>3505</v>
      </c>
      <c r="E3731" s="5" t="str">
        <f>VLOOKUP(F3731,'Set up'!$A$2:$C$70,2,FALSE)</f>
        <v>C00000013a</v>
      </c>
      <c r="F3731" s="99" t="s">
        <v>1453</v>
      </c>
      <c r="G3731" s="99" t="s">
        <v>3510</v>
      </c>
      <c r="H3731" s="137">
        <v>1</v>
      </c>
      <c r="I3731" s="5" t="str">
        <f>VLOOKUP(F3731,'Set up'!$A$2:$C$70,3,FALSE)</f>
        <v>Cash</v>
      </c>
      <c r="J3731" s="5">
        <f>VLOOKUP(F3731,'Set up'!$A$2:$D$70,4,FALSE)</f>
        <v>0</v>
      </c>
      <c r="K3731" s="4">
        <f t="shared" si="941"/>
        <v>45720</v>
      </c>
      <c r="L3731" s="5">
        <f t="shared" si="942"/>
        <v>3</v>
      </c>
      <c r="M3731" s="5">
        <f t="shared" si="943"/>
        <v>2025</v>
      </c>
      <c r="N3731" s="135">
        <v>260</v>
      </c>
      <c r="O3731" s="6">
        <f t="shared" si="946"/>
        <v>-260</v>
      </c>
      <c r="P3731" s="6">
        <f t="shared" si="947"/>
        <v>0</v>
      </c>
      <c r="Q3731" s="7">
        <f t="shared" si="944"/>
        <v>6131182.1500000013</v>
      </c>
      <c r="R3731" s="44" t="str">
        <f>VLOOKUP(F3731,'Set up'!$A$2:$E$70,5,FALSE)</f>
        <v>Chq</v>
      </c>
      <c r="S3731" s="1" t="s">
        <v>3595</v>
      </c>
    </row>
    <row r="3732" spans="1:19" ht="16.2" customHeight="1" x14ac:dyDescent="0.3">
      <c r="A3732" s="140">
        <v>45720</v>
      </c>
      <c r="B3732" s="5">
        <f t="shared" si="939"/>
        <v>3</v>
      </c>
      <c r="C3732" s="5">
        <f t="shared" si="940"/>
        <v>2025</v>
      </c>
      <c r="D3732" s="105" t="s">
        <v>3505</v>
      </c>
      <c r="E3732" s="5" t="str">
        <f>VLOOKUP(F3732,'Set up'!$A$2:$C$70,2,FALSE)</f>
        <v>C00000013a</v>
      </c>
      <c r="F3732" s="99" t="s">
        <v>1453</v>
      </c>
      <c r="G3732" s="99" t="s">
        <v>3511</v>
      </c>
      <c r="H3732" s="137">
        <v>3</v>
      </c>
      <c r="I3732" s="5" t="str">
        <f>VLOOKUP(F3732,'Set up'!$A$2:$C$70,3,FALSE)</f>
        <v>Cash</v>
      </c>
      <c r="J3732" s="5">
        <f>VLOOKUP(F3732,'Set up'!$A$2:$D$70,4,FALSE)</f>
        <v>0</v>
      </c>
      <c r="K3732" s="4">
        <f t="shared" si="941"/>
        <v>45720</v>
      </c>
      <c r="L3732" s="5">
        <f t="shared" si="942"/>
        <v>3</v>
      </c>
      <c r="M3732" s="5">
        <f t="shared" si="943"/>
        <v>2025</v>
      </c>
      <c r="N3732" s="135">
        <v>180</v>
      </c>
      <c r="O3732" s="6">
        <f t="shared" si="946"/>
        <v>-180</v>
      </c>
      <c r="P3732" s="6">
        <f t="shared" si="947"/>
        <v>0</v>
      </c>
      <c r="Q3732" s="7">
        <f t="shared" si="944"/>
        <v>6131362.1500000013</v>
      </c>
      <c r="R3732" s="44" t="str">
        <f>VLOOKUP(F3732,'Set up'!$A$2:$E$70,5,FALSE)</f>
        <v>Chq</v>
      </c>
      <c r="S3732" s="1" t="s">
        <v>3595</v>
      </c>
    </row>
    <row r="3733" spans="1:19" ht="16.2" customHeight="1" x14ac:dyDescent="0.3">
      <c r="A3733" s="140">
        <v>45720</v>
      </c>
      <c r="B3733" s="5">
        <f t="shared" si="939"/>
        <v>3</v>
      </c>
      <c r="C3733" s="5">
        <f t="shared" si="940"/>
        <v>2025</v>
      </c>
      <c r="D3733" s="105" t="s">
        <v>3505</v>
      </c>
      <c r="E3733" s="5" t="str">
        <f>VLOOKUP(F3733,'Set up'!$A$2:$C$70,2,FALSE)</f>
        <v>C00000013a</v>
      </c>
      <c r="F3733" s="99" t="s">
        <v>1453</v>
      </c>
      <c r="G3733" s="99" t="s">
        <v>3512</v>
      </c>
      <c r="H3733" s="137">
        <v>3</v>
      </c>
      <c r="I3733" s="5" t="str">
        <f>VLOOKUP(F3733,'Set up'!$A$2:$C$70,3,FALSE)</f>
        <v>Cash</v>
      </c>
      <c r="J3733" s="5">
        <f>VLOOKUP(F3733,'Set up'!$A$2:$D$70,4,FALSE)</f>
        <v>0</v>
      </c>
      <c r="K3733" s="4">
        <f t="shared" si="941"/>
        <v>45720</v>
      </c>
      <c r="L3733" s="5">
        <f t="shared" si="942"/>
        <v>3</v>
      </c>
      <c r="M3733" s="5">
        <f t="shared" si="943"/>
        <v>2025</v>
      </c>
      <c r="N3733" s="135">
        <v>1290</v>
      </c>
      <c r="O3733" s="6">
        <f t="shared" si="946"/>
        <v>-1290</v>
      </c>
      <c r="P3733" s="6">
        <f t="shared" si="947"/>
        <v>0</v>
      </c>
      <c r="Q3733" s="7">
        <f t="shared" si="944"/>
        <v>6132652.1500000013</v>
      </c>
      <c r="R3733" s="44" t="str">
        <f>VLOOKUP(F3733,'Set up'!$A$2:$E$70,5,FALSE)</f>
        <v>Chq</v>
      </c>
      <c r="S3733" s="1" t="s">
        <v>3595</v>
      </c>
    </row>
    <row r="3734" spans="1:19" ht="16.2" customHeight="1" x14ac:dyDescent="0.3">
      <c r="A3734" s="140">
        <v>45720</v>
      </c>
      <c r="B3734" s="5">
        <f t="shared" si="939"/>
        <v>3</v>
      </c>
      <c r="C3734" s="5">
        <f t="shared" si="940"/>
        <v>2025</v>
      </c>
      <c r="D3734" s="105" t="s">
        <v>3505</v>
      </c>
      <c r="E3734" s="5" t="str">
        <f>VLOOKUP(F3734,'Set up'!$A$2:$C$70,2,FALSE)</f>
        <v>C00000013a</v>
      </c>
      <c r="F3734" s="99" t="s">
        <v>1453</v>
      </c>
      <c r="G3734" s="99" t="s">
        <v>3513</v>
      </c>
      <c r="H3734" s="137">
        <v>1</v>
      </c>
      <c r="I3734" s="5" t="str">
        <f>VLOOKUP(F3734,'Set up'!$A$2:$C$70,3,FALSE)</f>
        <v>Cash</v>
      </c>
      <c r="J3734" s="5">
        <f>VLOOKUP(F3734,'Set up'!$A$2:$D$70,4,FALSE)</f>
        <v>0</v>
      </c>
      <c r="K3734" s="4">
        <f t="shared" si="941"/>
        <v>45720</v>
      </c>
      <c r="L3734" s="5">
        <f t="shared" si="942"/>
        <v>3</v>
      </c>
      <c r="M3734" s="5">
        <f t="shared" si="943"/>
        <v>2025</v>
      </c>
      <c r="N3734" s="135">
        <v>420</v>
      </c>
      <c r="O3734" s="6">
        <f t="shared" si="946"/>
        <v>-420</v>
      </c>
      <c r="P3734" s="6">
        <f t="shared" si="947"/>
        <v>0</v>
      </c>
      <c r="Q3734" s="7">
        <f t="shared" si="944"/>
        <v>6133072.1500000013</v>
      </c>
      <c r="R3734" s="44" t="str">
        <f>VLOOKUP(F3734,'Set up'!$A$2:$E$70,5,FALSE)</f>
        <v>Chq</v>
      </c>
      <c r="S3734" s="1" t="s">
        <v>3595</v>
      </c>
    </row>
    <row r="3735" spans="1:19" ht="16.2" customHeight="1" x14ac:dyDescent="0.3">
      <c r="A3735" s="140">
        <v>45720</v>
      </c>
      <c r="B3735" s="5">
        <f t="shared" si="939"/>
        <v>3</v>
      </c>
      <c r="C3735" s="5">
        <f t="shared" si="940"/>
        <v>2025</v>
      </c>
      <c r="D3735" s="105" t="s">
        <v>3505</v>
      </c>
      <c r="E3735" s="5" t="str">
        <f>VLOOKUP(F3735,'Set up'!$A$2:$C$70,2,FALSE)</f>
        <v>C00000013a</v>
      </c>
      <c r="F3735" s="99" t="s">
        <v>1453</v>
      </c>
      <c r="G3735" s="99" t="s">
        <v>2024</v>
      </c>
      <c r="H3735" s="137">
        <v>3</v>
      </c>
      <c r="I3735" s="5" t="str">
        <f>VLOOKUP(F3735,'Set up'!$A$2:$C$70,3,FALSE)</f>
        <v>Cash</v>
      </c>
      <c r="J3735" s="5">
        <f>VLOOKUP(F3735,'Set up'!$A$2:$D$70,4,FALSE)</f>
        <v>0</v>
      </c>
      <c r="K3735" s="4">
        <f t="shared" si="941"/>
        <v>45720</v>
      </c>
      <c r="L3735" s="5">
        <f t="shared" si="942"/>
        <v>3</v>
      </c>
      <c r="M3735" s="5">
        <f t="shared" si="943"/>
        <v>2025</v>
      </c>
      <c r="N3735" s="135">
        <v>345</v>
      </c>
      <c r="O3735" s="6">
        <f t="shared" si="946"/>
        <v>-345</v>
      </c>
      <c r="P3735" s="6">
        <f t="shared" si="947"/>
        <v>0</v>
      </c>
      <c r="Q3735" s="7">
        <f t="shared" si="944"/>
        <v>6133417.1500000013</v>
      </c>
      <c r="R3735" s="44" t="str">
        <f>VLOOKUP(F3735,'Set up'!$A$2:$E$70,5,FALSE)</f>
        <v>Chq</v>
      </c>
      <c r="S3735" s="1" t="s">
        <v>3595</v>
      </c>
    </row>
    <row r="3736" spans="1:19" ht="16.2" customHeight="1" x14ac:dyDescent="0.3">
      <c r="A3736" s="140">
        <v>45720</v>
      </c>
      <c r="B3736" s="5">
        <f t="shared" si="939"/>
        <v>3</v>
      </c>
      <c r="C3736" s="5">
        <f t="shared" si="940"/>
        <v>2025</v>
      </c>
      <c r="D3736" s="105" t="s">
        <v>3505</v>
      </c>
      <c r="E3736" s="5" t="str">
        <f>VLOOKUP(F3736,'Set up'!$A$2:$C$70,2,FALSE)</f>
        <v>C00000013a</v>
      </c>
      <c r="F3736" s="99" t="s">
        <v>1453</v>
      </c>
      <c r="G3736" s="99" t="s">
        <v>3514</v>
      </c>
      <c r="H3736" s="137">
        <v>2</v>
      </c>
      <c r="I3736" s="5" t="str">
        <f>VLOOKUP(F3736,'Set up'!$A$2:$C$70,3,FALSE)</f>
        <v>Cash</v>
      </c>
      <c r="J3736" s="5">
        <f>VLOOKUP(F3736,'Set up'!$A$2:$D$70,4,FALSE)</f>
        <v>0</v>
      </c>
      <c r="K3736" s="4">
        <f t="shared" si="941"/>
        <v>45720</v>
      </c>
      <c r="L3736" s="5">
        <f t="shared" si="942"/>
        <v>3</v>
      </c>
      <c r="M3736" s="5">
        <f t="shared" si="943"/>
        <v>2025</v>
      </c>
      <c r="N3736" s="135">
        <v>70</v>
      </c>
      <c r="O3736" s="6">
        <f t="shared" si="946"/>
        <v>-70</v>
      </c>
      <c r="P3736" s="6">
        <f t="shared" si="947"/>
        <v>0</v>
      </c>
      <c r="Q3736" s="7">
        <f t="shared" si="944"/>
        <v>6133487.1500000013</v>
      </c>
      <c r="R3736" s="44" t="str">
        <f>VLOOKUP(F3736,'Set up'!$A$2:$E$70,5,FALSE)</f>
        <v>Chq</v>
      </c>
      <c r="S3736" s="1" t="s">
        <v>3595</v>
      </c>
    </row>
    <row r="3737" spans="1:19" ht="16.2" customHeight="1" x14ac:dyDescent="0.3">
      <c r="A3737" s="140">
        <v>45720</v>
      </c>
      <c r="B3737" s="5">
        <f t="shared" si="939"/>
        <v>3</v>
      </c>
      <c r="C3737" s="5">
        <f t="shared" si="940"/>
        <v>2025</v>
      </c>
      <c r="D3737" s="105" t="s">
        <v>3505</v>
      </c>
      <c r="E3737" s="5" t="str">
        <f>VLOOKUP(F3737,'Set up'!$A$2:$C$70,2,FALSE)</f>
        <v>C00000013a</v>
      </c>
      <c r="F3737" s="99" t="s">
        <v>1453</v>
      </c>
      <c r="G3737" s="99" t="s">
        <v>1637</v>
      </c>
      <c r="H3737" s="137">
        <v>1</v>
      </c>
      <c r="I3737" s="5" t="str">
        <f>VLOOKUP(F3737,'Set up'!$A$2:$C$70,3,FALSE)</f>
        <v>Cash</v>
      </c>
      <c r="J3737" s="5">
        <f>VLOOKUP(F3737,'Set up'!$A$2:$D$70,4,FALSE)</f>
        <v>0</v>
      </c>
      <c r="K3737" s="4">
        <f t="shared" si="941"/>
        <v>45720</v>
      </c>
      <c r="L3737" s="5">
        <f t="shared" si="942"/>
        <v>3</v>
      </c>
      <c r="M3737" s="5">
        <f t="shared" si="943"/>
        <v>2025</v>
      </c>
      <c r="N3737" s="135">
        <v>430</v>
      </c>
      <c r="O3737" s="6">
        <f t="shared" si="946"/>
        <v>-430</v>
      </c>
      <c r="P3737" s="6">
        <f t="shared" si="947"/>
        <v>0</v>
      </c>
      <c r="Q3737" s="7">
        <f t="shared" si="944"/>
        <v>6133917.1500000013</v>
      </c>
      <c r="R3737" s="44" t="str">
        <f>VLOOKUP(F3737,'Set up'!$A$2:$E$70,5,FALSE)</f>
        <v>Chq</v>
      </c>
      <c r="S3737" s="1" t="s">
        <v>3595</v>
      </c>
    </row>
    <row r="3738" spans="1:19" ht="16.2" customHeight="1" x14ac:dyDescent="0.3">
      <c r="A3738" s="140">
        <v>45720</v>
      </c>
      <c r="B3738" s="5">
        <f t="shared" si="939"/>
        <v>3</v>
      </c>
      <c r="C3738" s="5">
        <f t="shared" si="940"/>
        <v>2025</v>
      </c>
      <c r="D3738" s="105" t="s">
        <v>3505</v>
      </c>
      <c r="E3738" s="5" t="str">
        <f>VLOOKUP(F3738,'Set up'!$A$2:$C$70,2,FALSE)</f>
        <v>C00000013a</v>
      </c>
      <c r="F3738" s="99" t="s">
        <v>1453</v>
      </c>
      <c r="G3738" s="99" t="s">
        <v>3515</v>
      </c>
      <c r="H3738" s="137">
        <v>1</v>
      </c>
      <c r="I3738" s="5" t="str">
        <f>VLOOKUP(F3738,'Set up'!$A$2:$C$70,3,FALSE)</f>
        <v>Cash</v>
      </c>
      <c r="J3738" s="5">
        <f>VLOOKUP(F3738,'Set up'!$A$2:$D$70,4,FALSE)</f>
        <v>0</v>
      </c>
      <c r="K3738" s="4">
        <f t="shared" si="941"/>
        <v>45720</v>
      </c>
      <c r="L3738" s="5">
        <f t="shared" si="942"/>
        <v>3</v>
      </c>
      <c r="M3738" s="5">
        <f t="shared" si="943"/>
        <v>2025</v>
      </c>
      <c r="N3738" s="135">
        <v>280</v>
      </c>
      <c r="O3738" s="6">
        <f t="shared" si="946"/>
        <v>-280</v>
      </c>
      <c r="P3738" s="6">
        <f t="shared" si="947"/>
        <v>0</v>
      </c>
      <c r="Q3738" s="7">
        <f t="shared" si="944"/>
        <v>6134197.1500000013</v>
      </c>
      <c r="R3738" s="44" t="str">
        <f>VLOOKUP(F3738,'Set up'!$A$2:$E$70,5,FALSE)</f>
        <v>Chq</v>
      </c>
      <c r="S3738" s="1" t="s">
        <v>3595</v>
      </c>
    </row>
    <row r="3739" spans="1:19" ht="16.2" customHeight="1" x14ac:dyDescent="0.3">
      <c r="A3739" s="140">
        <v>45720</v>
      </c>
      <c r="B3739" s="5">
        <f t="shared" si="939"/>
        <v>3</v>
      </c>
      <c r="C3739" s="5">
        <f t="shared" si="940"/>
        <v>2025</v>
      </c>
      <c r="D3739" s="105" t="s">
        <v>3516</v>
      </c>
      <c r="E3739" s="5" t="str">
        <f>VLOOKUP(F3739,'Set up'!$A$2:$C$70,2,FALSE)</f>
        <v>C00000042</v>
      </c>
      <c r="F3739" s="99" t="s">
        <v>2012</v>
      </c>
      <c r="G3739" s="99" t="s">
        <v>2646</v>
      </c>
      <c r="H3739" s="137">
        <v>5</v>
      </c>
      <c r="I3739" s="5" t="str">
        <f>VLOOKUP(F3739,'Set up'!$A$2:$C$70,3,FALSE)</f>
        <v>Cash</v>
      </c>
      <c r="J3739" s="5">
        <f>VLOOKUP(F3739,'Set up'!$A$2:$D$70,4,FALSE)</f>
        <v>0</v>
      </c>
      <c r="K3739" s="4">
        <f t="shared" si="941"/>
        <v>45720</v>
      </c>
      <c r="L3739" s="5">
        <f t="shared" si="942"/>
        <v>3</v>
      </c>
      <c r="M3739" s="5">
        <f t="shared" si="943"/>
        <v>2025</v>
      </c>
      <c r="N3739" s="135">
        <v>312.5</v>
      </c>
      <c r="O3739" s="6">
        <f t="shared" si="946"/>
        <v>-312.5</v>
      </c>
      <c r="P3739" s="12">
        <f t="shared" si="947"/>
        <v>0</v>
      </c>
      <c r="Q3739" s="7">
        <f t="shared" si="944"/>
        <v>6134509.6500000013</v>
      </c>
      <c r="R3739" s="44" t="str">
        <f>VLOOKUP(F3739,'Set up'!$A$2:$E$70,5,FALSE)</f>
        <v>Trsf</v>
      </c>
      <c r="S3739" s="1" t="s">
        <v>3974</v>
      </c>
    </row>
    <row r="3740" spans="1:19" ht="16.2" customHeight="1" x14ac:dyDescent="0.3">
      <c r="A3740" s="140">
        <v>45720</v>
      </c>
      <c r="B3740" s="5">
        <f t="shared" si="939"/>
        <v>3</v>
      </c>
      <c r="C3740" s="5">
        <f t="shared" si="940"/>
        <v>2025</v>
      </c>
      <c r="D3740" s="105" t="s">
        <v>3517</v>
      </c>
      <c r="E3740" s="5" t="str">
        <f>VLOOKUP(F3740,'Set up'!$A$2:$C$70,2,FALSE)</f>
        <v>C00000042</v>
      </c>
      <c r="F3740" s="99" t="s">
        <v>2012</v>
      </c>
      <c r="G3740" s="99" t="s">
        <v>3217</v>
      </c>
      <c r="H3740" s="137">
        <v>10</v>
      </c>
      <c r="I3740" s="5" t="str">
        <f>VLOOKUP(F3740,'Set up'!$A$2:$C$70,3,FALSE)</f>
        <v>Cash</v>
      </c>
      <c r="J3740" s="5">
        <f>VLOOKUP(F3740,'Set up'!$A$2:$D$70,4,FALSE)</f>
        <v>0</v>
      </c>
      <c r="K3740" s="4">
        <f t="shared" si="941"/>
        <v>45720</v>
      </c>
      <c r="L3740" s="5">
        <f t="shared" si="942"/>
        <v>3</v>
      </c>
      <c r="M3740" s="5">
        <f t="shared" si="943"/>
        <v>2025</v>
      </c>
      <c r="N3740" s="135">
        <v>16200</v>
      </c>
      <c r="O3740" s="141">
        <f>-5171.6-11028.4</f>
        <v>-16200</v>
      </c>
      <c r="P3740" s="12">
        <f t="shared" si="947"/>
        <v>0</v>
      </c>
      <c r="Q3740" s="7">
        <f t="shared" si="944"/>
        <v>6150709.6500000013</v>
      </c>
      <c r="R3740" s="44" t="str">
        <f>VLOOKUP(F3740,'Set up'!$A$2:$E$70,5,FALSE)</f>
        <v>Trsf</v>
      </c>
      <c r="S3740" s="1" t="s">
        <v>3975</v>
      </c>
    </row>
    <row r="3741" spans="1:19" ht="16.2" customHeight="1" x14ac:dyDescent="0.3">
      <c r="A3741" s="140">
        <v>45720</v>
      </c>
      <c r="B3741" s="5">
        <f t="shared" si="939"/>
        <v>3</v>
      </c>
      <c r="C3741" s="5">
        <f t="shared" si="940"/>
        <v>2025</v>
      </c>
      <c r="D3741" s="105" t="s">
        <v>3517</v>
      </c>
      <c r="E3741" s="5" t="str">
        <f>VLOOKUP(F3741,'Set up'!$A$2:$C$70,2,FALSE)</f>
        <v>C00000042</v>
      </c>
      <c r="F3741" s="99" t="s">
        <v>2012</v>
      </c>
      <c r="G3741" s="99" t="s">
        <v>2129</v>
      </c>
      <c r="H3741" s="137">
        <v>30</v>
      </c>
      <c r="I3741" s="5" t="str">
        <f>VLOOKUP(F3741,'Set up'!$A$2:$C$70,3,FALSE)</f>
        <v>Cash</v>
      </c>
      <c r="J3741" s="5">
        <f>VLOOKUP(F3741,'Set up'!$A$2:$D$70,4,FALSE)</f>
        <v>0</v>
      </c>
      <c r="K3741" s="4">
        <f t="shared" si="941"/>
        <v>45720</v>
      </c>
      <c r="L3741" s="5">
        <f t="shared" si="942"/>
        <v>3</v>
      </c>
      <c r="M3741" s="5">
        <f t="shared" si="943"/>
        <v>2025</v>
      </c>
      <c r="N3741" s="135">
        <v>6438</v>
      </c>
      <c r="O3741" s="141">
        <f>-5971.6-466.4</f>
        <v>-6438</v>
      </c>
      <c r="P3741" s="12">
        <f t="shared" si="947"/>
        <v>0</v>
      </c>
      <c r="Q3741" s="7">
        <f t="shared" si="944"/>
        <v>6157147.6500000013</v>
      </c>
      <c r="R3741" s="44" t="str">
        <f>VLOOKUP(F3741,'Set up'!$A$2:$E$70,5,FALSE)</f>
        <v>Trsf</v>
      </c>
      <c r="S3741" s="1" t="s">
        <v>3976</v>
      </c>
    </row>
    <row r="3742" spans="1:19" ht="16.2" customHeight="1" x14ac:dyDescent="0.3">
      <c r="A3742" s="140">
        <v>45720</v>
      </c>
      <c r="B3742" s="5">
        <f t="shared" si="939"/>
        <v>3</v>
      </c>
      <c r="C3742" s="5">
        <f t="shared" si="940"/>
        <v>2025</v>
      </c>
      <c r="D3742" s="105" t="s">
        <v>3517</v>
      </c>
      <c r="E3742" s="5" t="str">
        <f>VLOOKUP(F3742,'Set up'!$A$2:$C$70,2,FALSE)</f>
        <v>C00000042</v>
      </c>
      <c r="F3742" s="99" t="s">
        <v>2012</v>
      </c>
      <c r="G3742" s="99" t="s">
        <v>1922</v>
      </c>
      <c r="H3742" s="137">
        <v>15</v>
      </c>
      <c r="I3742" s="5" t="str">
        <f>VLOOKUP(F3742,'Set up'!$A$2:$C$70,3,FALSE)</f>
        <v>Cash</v>
      </c>
      <c r="J3742" s="5">
        <f>VLOOKUP(F3742,'Set up'!$A$2:$D$70,4,FALSE)</f>
        <v>0</v>
      </c>
      <c r="K3742" s="4">
        <f t="shared" si="941"/>
        <v>45720</v>
      </c>
      <c r="L3742" s="5">
        <f t="shared" si="942"/>
        <v>3</v>
      </c>
      <c r="M3742" s="5">
        <f t="shared" si="943"/>
        <v>2025</v>
      </c>
      <c r="N3742" s="135">
        <v>3712.5</v>
      </c>
      <c r="O3742" s="6">
        <f t="shared" ref="O3742:O3744" si="948">-N3742</f>
        <v>-3712.5</v>
      </c>
      <c r="P3742" s="12">
        <f t="shared" si="947"/>
        <v>0</v>
      </c>
      <c r="Q3742" s="7">
        <f t="shared" si="944"/>
        <v>6160860.1500000013</v>
      </c>
      <c r="R3742" s="44" t="str">
        <f>VLOOKUP(F3742,'Set up'!$A$2:$E$70,5,FALSE)</f>
        <v>Trsf</v>
      </c>
      <c r="S3742" s="1" t="s">
        <v>3977</v>
      </c>
    </row>
    <row r="3743" spans="1:19" ht="16.2" customHeight="1" x14ac:dyDescent="0.3">
      <c r="A3743" s="140">
        <v>45720</v>
      </c>
      <c r="B3743" s="5">
        <f t="shared" si="939"/>
        <v>3</v>
      </c>
      <c r="C3743" s="5">
        <f t="shared" si="940"/>
        <v>2025</v>
      </c>
      <c r="D3743" s="105" t="s">
        <v>3517</v>
      </c>
      <c r="E3743" s="5" t="str">
        <f>VLOOKUP(F3743,'Set up'!$A$2:$C$70,2,FALSE)</f>
        <v>C00000042</v>
      </c>
      <c r="F3743" s="99" t="s">
        <v>2012</v>
      </c>
      <c r="G3743" s="99" t="s">
        <v>46</v>
      </c>
      <c r="H3743" s="137">
        <v>4</v>
      </c>
      <c r="I3743" s="5" t="str">
        <f>VLOOKUP(F3743,'Set up'!$A$2:$C$70,3,FALSE)</f>
        <v>Cash</v>
      </c>
      <c r="J3743" s="5">
        <f>VLOOKUP(F3743,'Set up'!$A$2:$D$70,4,FALSE)</f>
        <v>0</v>
      </c>
      <c r="K3743" s="4">
        <f t="shared" si="941"/>
        <v>45720</v>
      </c>
      <c r="L3743" s="5">
        <f t="shared" si="942"/>
        <v>3</v>
      </c>
      <c r="M3743" s="5">
        <f t="shared" si="943"/>
        <v>2025</v>
      </c>
      <c r="N3743" s="135">
        <v>460</v>
      </c>
      <c r="O3743" s="6">
        <f t="shared" si="948"/>
        <v>-460</v>
      </c>
      <c r="P3743" s="12">
        <f t="shared" si="947"/>
        <v>0</v>
      </c>
      <c r="Q3743" s="7">
        <f t="shared" si="944"/>
        <v>6161320.1500000013</v>
      </c>
      <c r="R3743" s="44" t="str">
        <f>VLOOKUP(F3743,'Set up'!$A$2:$E$70,5,FALSE)</f>
        <v>Trsf</v>
      </c>
      <c r="S3743" s="1" t="s">
        <v>3978</v>
      </c>
    </row>
    <row r="3744" spans="1:19" ht="16.2" customHeight="1" x14ac:dyDescent="0.3">
      <c r="A3744" s="140">
        <v>45720</v>
      </c>
      <c r="B3744" s="5">
        <f t="shared" si="939"/>
        <v>3</v>
      </c>
      <c r="C3744" s="5">
        <f t="shared" si="940"/>
        <v>2025</v>
      </c>
      <c r="D3744" s="105" t="s">
        <v>3517</v>
      </c>
      <c r="E3744" s="5" t="str">
        <f>VLOOKUP(F3744,'Set up'!$A$2:$C$70,2,FALSE)</f>
        <v>C00000042</v>
      </c>
      <c r="F3744" s="99" t="s">
        <v>2012</v>
      </c>
      <c r="G3744" s="99" t="s">
        <v>1073</v>
      </c>
      <c r="H3744" s="137">
        <v>2</v>
      </c>
      <c r="I3744" s="5" t="str">
        <f>VLOOKUP(F3744,'Set up'!$A$2:$C$70,3,FALSE)</f>
        <v>Cash</v>
      </c>
      <c r="J3744" s="5">
        <f>VLOOKUP(F3744,'Set up'!$A$2:$D$70,4,FALSE)</f>
        <v>0</v>
      </c>
      <c r="K3744" s="4">
        <f t="shared" si="941"/>
        <v>45720</v>
      </c>
      <c r="L3744" s="5">
        <f t="shared" si="942"/>
        <v>3</v>
      </c>
      <c r="M3744" s="5">
        <f t="shared" si="943"/>
        <v>2025</v>
      </c>
      <c r="N3744" s="135">
        <v>2000</v>
      </c>
      <c r="O3744" s="6">
        <f t="shared" si="948"/>
        <v>-2000</v>
      </c>
      <c r="P3744" s="12">
        <f t="shared" si="947"/>
        <v>0</v>
      </c>
      <c r="Q3744" s="7">
        <f t="shared" si="944"/>
        <v>6163320.1500000013</v>
      </c>
      <c r="R3744" s="44" t="str">
        <f>VLOOKUP(F3744,'Set up'!$A$2:$E$70,5,FALSE)</f>
        <v>Trsf</v>
      </c>
      <c r="S3744" s="1" t="s">
        <v>3979</v>
      </c>
    </row>
    <row r="3745" spans="1:19" ht="16.2" customHeight="1" x14ac:dyDescent="0.3">
      <c r="A3745" s="140">
        <v>45722</v>
      </c>
      <c r="B3745" s="5">
        <f t="shared" si="939"/>
        <v>3</v>
      </c>
      <c r="C3745" s="5">
        <f t="shared" si="940"/>
        <v>2025</v>
      </c>
      <c r="D3745" s="105" t="s">
        <v>3518</v>
      </c>
      <c r="E3745" s="5" t="str">
        <f>VLOOKUP(F3745,'Set up'!$A$2:$C$70,2,FALSE)</f>
        <v>C00000019</v>
      </c>
      <c r="F3745" s="99" t="s">
        <v>400</v>
      </c>
      <c r="G3745" s="99" t="s">
        <v>1469</v>
      </c>
      <c r="H3745" s="137">
        <v>1</v>
      </c>
      <c r="I3745" s="5" t="str">
        <f>VLOOKUP(F3745,'Set up'!$A$2:$C$70,3,FALSE)</f>
        <v>Cash</v>
      </c>
      <c r="J3745" s="5">
        <f>VLOOKUP(F3745,'Set up'!$A$2:$D$70,4,FALSE)</f>
        <v>0</v>
      </c>
      <c r="K3745" s="4">
        <f t="shared" si="941"/>
        <v>45722</v>
      </c>
      <c r="L3745" s="5">
        <f t="shared" si="942"/>
        <v>3</v>
      </c>
      <c r="M3745" s="5">
        <f t="shared" si="943"/>
        <v>2025</v>
      </c>
      <c r="N3745" s="135">
        <v>390</v>
      </c>
      <c r="O3745" s="141"/>
      <c r="P3745" s="12">
        <f t="shared" si="947"/>
        <v>390</v>
      </c>
      <c r="Q3745" s="7">
        <f t="shared" si="944"/>
        <v>6163710.1500000013</v>
      </c>
      <c r="R3745" s="44" t="str">
        <f>VLOOKUP(F3745,'Set up'!$A$2:$E$70,5,FALSE)</f>
        <v>Trsf</v>
      </c>
    </row>
    <row r="3746" spans="1:19" ht="16.2" customHeight="1" x14ac:dyDescent="0.3">
      <c r="A3746" s="140">
        <v>45722</v>
      </c>
      <c r="B3746" s="5">
        <f t="shared" si="939"/>
        <v>3</v>
      </c>
      <c r="C3746" s="5">
        <f t="shared" si="940"/>
        <v>2025</v>
      </c>
      <c r="D3746" s="105" t="s">
        <v>3518</v>
      </c>
      <c r="E3746" s="5" t="str">
        <f>VLOOKUP(F3746,'Set up'!$A$2:$C$70,2,FALSE)</f>
        <v>C00000019</v>
      </c>
      <c r="F3746" s="99" t="s">
        <v>400</v>
      </c>
      <c r="G3746" s="99" t="s">
        <v>3122</v>
      </c>
      <c r="H3746" s="137">
        <v>1</v>
      </c>
      <c r="I3746" s="5" t="str">
        <f>VLOOKUP(F3746,'Set up'!$A$2:$C$70,3,FALSE)</f>
        <v>Cash</v>
      </c>
      <c r="J3746" s="5">
        <f>VLOOKUP(F3746,'Set up'!$A$2:$D$70,4,FALSE)</f>
        <v>0</v>
      </c>
      <c r="K3746" s="4">
        <f t="shared" si="941"/>
        <v>45722</v>
      </c>
      <c r="L3746" s="5">
        <f t="shared" si="942"/>
        <v>3</v>
      </c>
      <c r="M3746" s="5">
        <f t="shared" si="943"/>
        <v>2025</v>
      </c>
      <c r="N3746" s="135">
        <v>1755</v>
      </c>
      <c r="O3746" s="141"/>
      <c r="P3746" s="12">
        <f t="shared" si="947"/>
        <v>1755</v>
      </c>
      <c r="Q3746" s="7">
        <f t="shared" si="944"/>
        <v>6165465.1500000013</v>
      </c>
      <c r="R3746" s="44" t="str">
        <f>VLOOKUP(F3746,'Set up'!$A$2:$E$70,5,FALSE)</f>
        <v>Trsf</v>
      </c>
    </row>
    <row r="3747" spans="1:19" ht="16.2" customHeight="1" x14ac:dyDescent="0.3">
      <c r="A3747" s="140">
        <v>45722</v>
      </c>
      <c r="B3747" s="5">
        <f t="shared" si="939"/>
        <v>3</v>
      </c>
      <c r="C3747" s="5">
        <f t="shared" si="940"/>
        <v>2025</v>
      </c>
      <c r="D3747" s="105" t="s">
        <v>3518</v>
      </c>
      <c r="E3747" s="5" t="str">
        <f>VLOOKUP(F3747,'Set up'!$A$2:$C$70,2,FALSE)</f>
        <v>C00000019</v>
      </c>
      <c r="F3747" s="99" t="s">
        <v>400</v>
      </c>
      <c r="G3747" s="99" t="s">
        <v>1411</v>
      </c>
      <c r="H3747" s="137">
        <v>1</v>
      </c>
      <c r="I3747" s="5" t="str">
        <f>VLOOKUP(F3747,'Set up'!$A$2:$C$70,3,FALSE)</f>
        <v>Cash</v>
      </c>
      <c r="J3747" s="5">
        <f>VLOOKUP(F3747,'Set up'!$A$2:$D$70,4,FALSE)</f>
        <v>0</v>
      </c>
      <c r="K3747" s="4">
        <f t="shared" si="941"/>
        <v>45722</v>
      </c>
      <c r="L3747" s="5">
        <f t="shared" si="942"/>
        <v>3</v>
      </c>
      <c r="M3747" s="5">
        <f t="shared" si="943"/>
        <v>2025</v>
      </c>
      <c r="N3747" s="135">
        <v>405</v>
      </c>
      <c r="O3747" s="141"/>
      <c r="P3747" s="12">
        <f t="shared" si="947"/>
        <v>405</v>
      </c>
      <c r="Q3747" s="7">
        <f t="shared" si="944"/>
        <v>6165870.1500000013</v>
      </c>
      <c r="R3747" s="44" t="str">
        <f>VLOOKUP(F3747,'Set up'!$A$2:$E$70,5,FALSE)</f>
        <v>Trsf</v>
      </c>
    </row>
    <row r="3748" spans="1:19" ht="16.2" customHeight="1" x14ac:dyDescent="0.3">
      <c r="A3748" s="140">
        <v>45722</v>
      </c>
      <c r="B3748" s="5">
        <f t="shared" si="939"/>
        <v>3</v>
      </c>
      <c r="C3748" s="5">
        <f t="shared" si="940"/>
        <v>2025</v>
      </c>
      <c r="D3748" s="105" t="s">
        <v>3518</v>
      </c>
      <c r="E3748" s="5" t="str">
        <f>VLOOKUP(F3748,'Set up'!$A$2:$C$70,2,FALSE)</f>
        <v>C00000019</v>
      </c>
      <c r="F3748" s="99" t="s">
        <v>400</v>
      </c>
      <c r="G3748" s="99" t="s">
        <v>2635</v>
      </c>
      <c r="H3748" s="137">
        <v>3</v>
      </c>
      <c r="I3748" s="5" t="str">
        <f>VLOOKUP(F3748,'Set up'!$A$2:$C$70,3,FALSE)</f>
        <v>Cash</v>
      </c>
      <c r="J3748" s="5">
        <f>VLOOKUP(F3748,'Set up'!$A$2:$D$70,4,FALSE)</f>
        <v>0</v>
      </c>
      <c r="K3748" s="4">
        <f t="shared" si="941"/>
        <v>45722</v>
      </c>
      <c r="L3748" s="5">
        <f t="shared" si="942"/>
        <v>3</v>
      </c>
      <c r="M3748" s="5">
        <f t="shared" si="943"/>
        <v>2025</v>
      </c>
      <c r="N3748" s="135">
        <v>187.5</v>
      </c>
      <c r="O3748" s="141"/>
      <c r="P3748" s="12">
        <f t="shared" si="947"/>
        <v>187.5</v>
      </c>
      <c r="Q3748" s="7">
        <f t="shared" si="944"/>
        <v>6166057.6500000013</v>
      </c>
      <c r="R3748" s="44" t="str">
        <f>VLOOKUP(F3748,'Set up'!$A$2:$E$70,5,FALSE)</f>
        <v>Trsf</v>
      </c>
    </row>
    <row r="3749" spans="1:19" ht="16.2" customHeight="1" x14ac:dyDescent="0.3">
      <c r="A3749" s="140">
        <v>45722</v>
      </c>
      <c r="B3749" s="5">
        <f t="shared" si="939"/>
        <v>3</v>
      </c>
      <c r="C3749" s="5">
        <f t="shared" si="940"/>
        <v>2025</v>
      </c>
      <c r="D3749" s="105" t="s">
        <v>3518</v>
      </c>
      <c r="E3749" s="5" t="str">
        <f>VLOOKUP(F3749,'Set up'!$A$2:$C$70,2,FALSE)</f>
        <v>C00000019</v>
      </c>
      <c r="F3749" s="99" t="s">
        <v>400</v>
      </c>
      <c r="G3749" s="99" t="s">
        <v>894</v>
      </c>
      <c r="H3749" s="137">
        <v>1</v>
      </c>
      <c r="I3749" s="5" t="str">
        <f>VLOOKUP(F3749,'Set up'!$A$2:$C$70,3,FALSE)</f>
        <v>Cash</v>
      </c>
      <c r="J3749" s="5">
        <f>VLOOKUP(F3749,'Set up'!$A$2:$D$70,4,FALSE)</f>
        <v>0</v>
      </c>
      <c r="K3749" s="4">
        <f t="shared" si="941"/>
        <v>45722</v>
      </c>
      <c r="L3749" s="5">
        <f t="shared" si="942"/>
        <v>3</v>
      </c>
      <c r="M3749" s="5">
        <f t="shared" si="943"/>
        <v>2025</v>
      </c>
      <c r="N3749" s="135">
        <v>150</v>
      </c>
      <c r="O3749" s="141"/>
      <c r="P3749" s="12">
        <f t="shared" si="947"/>
        <v>150</v>
      </c>
      <c r="Q3749" s="7">
        <f t="shared" si="944"/>
        <v>6166207.6500000013</v>
      </c>
      <c r="R3749" s="44" t="str">
        <f>VLOOKUP(F3749,'Set up'!$A$2:$E$70,5,FALSE)</f>
        <v>Trsf</v>
      </c>
    </row>
    <row r="3750" spans="1:19" ht="16.2" customHeight="1" x14ac:dyDescent="0.3">
      <c r="A3750" s="140">
        <v>45722</v>
      </c>
      <c r="B3750" s="5">
        <f t="shared" si="939"/>
        <v>3</v>
      </c>
      <c r="C3750" s="5">
        <f t="shared" si="940"/>
        <v>2025</v>
      </c>
      <c r="D3750" s="105" t="s">
        <v>3518</v>
      </c>
      <c r="E3750" s="5" t="str">
        <f>VLOOKUP(F3750,'Set up'!$A$2:$C$70,2,FALSE)</f>
        <v>C00000019</v>
      </c>
      <c r="F3750" s="99" t="s">
        <v>400</v>
      </c>
      <c r="G3750" s="99" t="s">
        <v>3519</v>
      </c>
      <c r="H3750" s="137">
        <v>1</v>
      </c>
      <c r="I3750" s="5" t="str">
        <f>VLOOKUP(F3750,'Set up'!$A$2:$C$70,3,FALSE)</f>
        <v>Cash</v>
      </c>
      <c r="J3750" s="5">
        <f>VLOOKUP(F3750,'Set up'!$A$2:$D$70,4,FALSE)</f>
        <v>0</v>
      </c>
      <c r="K3750" s="4">
        <f t="shared" si="941"/>
        <v>45722</v>
      </c>
      <c r="L3750" s="5">
        <f t="shared" si="942"/>
        <v>3</v>
      </c>
      <c r="M3750" s="5">
        <f t="shared" si="943"/>
        <v>2025</v>
      </c>
      <c r="N3750" s="135">
        <v>260</v>
      </c>
      <c r="O3750" s="141"/>
      <c r="P3750" s="12">
        <f t="shared" si="947"/>
        <v>260</v>
      </c>
      <c r="Q3750" s="7">
        <f t="shared" si="944"/>
        <v>6166467.6500000013</v>
      </c>
      <c r="R3750" s="44" t="str">
        <f>VLOOKUP(F3750,'Set up'!$A$2:$E$70,5,FALSE)</f>
        <v>Trsf</v>
      </c>
    </row>
    <row r="3751" spans="1:19" ht="16.2" customHeight="1" x14ac:dyDescent="0.3">
      <c r="A3751" s="140">
        <v>45722</v>
      </c>
      <c r="B3751" s="5">
        <f t="shared" si="939"/>
        <v>3</v>
      </c>
      <c r="C3751" s="5">
        <f t="shared" si="940"/>
        <v>2025</v>
      </c>
      <c r="D3751" s="105" t="s">
        <v>3518</v>
      </c>
      <c r="E3751" s="5" t="str">
        <f>VLOOKUP(F3751,'Set up'!$A$2:$C$70,2,FALSE)</f>
        <v>C00000019</v>
      </c>
      <c r="F3751" s="99" t="s">
        <v>400</v>
      </c>
      <c r="G3751" s="99" t="s">
        <v>46</v>
      </c>
      <c r="H3751" s="137">
        <v>1</v>
      </c>
      <c r="I3751" s="5" t="str">
        <f>VLOOKUP(F3751,'Set up'!$A$2:$C$70,3,FALSE)</f>
        <v>Cash</v>
      </c>
      <c r="J3751" s="5">
        <f>VLOOKUP(F3751,'Set up'!$A$2:$D$70,4,FALSE)</f>
        <v>0</v>
      </c>
      <c r="K3751" s="4">
        <f t="shared" si="941"/>
        <v>45722</v>
      </c>
      <c r="L3751" s="5">
        <f t="shared" si="942"/>
        <v>3</v>
      </c>
      <c r="M3751" s="5">
        <f t="shared" si="943"/>
        <v>2025</v>
      </c>
      <c r="N3751" s="135">
        <v>110</v>
      </c>
      <c r="O3751" s="141"/>
      <c r="P3751" s="12">
        <f t="shared" si="947"/>
        <v>110</v>
      </c>
      <c r="Q3751" s="7">
        <f t="shared" si="944"/>
        <v>6166577.6500000013</v>
      </c>
      <c r="R3751" s="44" t="str">
        <f>VLOOKUP(F3751,'Set up'!$A$2:$E$70,5,FALSE)</f>
        <v>Trsf</v>
      </c>
    </row>
    <row r="3752" spans="1:19" ht="16.2" customHeight="1" x14ac:dyDescent="0.3">
      <c r="A3752" s="140">
        <v>45723</v>
      </c>
      <c r="B3752" s="5">
        <f t="shared" si="939"/>
        <v>3</v>
      </c>
      <c r="C3752" s="5">
        <f t="shared" si="940"/>
        <v>2025</v>
      </c>
      <c r="D3752" s="105" t="s">
        <v>3520</v>
      </c>
      <c r="E3752" s="5" t="str">
        <f>VLOOKUP(F3752,'Set up'!$A$2:$C$70,2,FALSE)</f>
        <v>C00000037</v>
      </c>
      <c r="F3752" s="99" t="s">
        <v>1309</v>
      </c>
      <c r="G3752" s="99" t="s">
        <v>1405</v>
      </c>
      <c r="H3752" s="137">
        <v>3</v>
      </c>
      <c r="I3752" s="5">
        <f>VLOOKUP(F3752,'Set up'!$A$2:$C$70,3,FALSE)</f>
        <v>30</v>
      </c>
      <c r="J3752" s="5">
        <f>VLOOKUP(F3752,'Set up'!$A$2:$D$70,4,FALSE)</f>
        <v>30</v>
      </c>
      <c r="K3752" s="4">
        <f t="shared" si="941"/>
        <v>45753</v>
      </c>
      <c r="L3752" s="5">
        <f t="shared" si="942"/>
        <v>4</v>
      </c>
      <c r="M3752" s="5">
        <f t="shared" si="943"/>
        <v>2025</v>
      </c>
      <c r="N3752" s="135">
        <v>144</v>
      </c>
      <c r="O3752" s="6">
        <f t="shared" ref="O3752:O3754" si="949">-N3752</f>
        <v>-144</v>
      </c>
      <c r="P3752" s="12">
        <f t="shared" si="947"/>
        <v>0</v>
      </c>
      <c r="Q3752" s="7">
        <f t="shared" si="944"/>
        <v>6166721.6500000013</v>
      </c>
      <c r="R3752" s="44" t="str">
        <f>VLOOKUP(F3752,'Set up'!$A$2:$E$70,5,FALSE)</f>
        <v>Chq</v>
      </c>
      <c r="S3752" s="1" t="s">
        <v>3598</v>
      </c>
    </row>
    <row r="3753" spans="1:19" ht="16.2" customHeight="1" x14ac:dyDescent="0.3">
      <c r="A3753" s="140">
        <v>45723</v>
      </c>
      <c r="B3753" s="5">
        <f t="shared" si="939"/>
        <v>3</v>
      </c>
      <c r="C3753" s="5">
        <f t="shared" si="940"/>
        <v>2025</v>
      </c>
      <c r="D3753" s="105" t="s">
        <v>3521</v>
      </c>
      <c r="E3753" s="5" t="str">
        <f>VLOOKUP(F3753,'Set up'!$A$2:$C$70,2,FALSE)</f>
        <v>C00000042</v>
      </c>
      <c r="F3753" s="99" t="s">
        <v>2012</v>
      </c>
      <c r="G3753" s="99" t="s">
        <v>46</v>
      </c>
      <c r="H3753" s="137">
        <v>4</v>
      </c>
      <c r="I3753" s="5" t="str">
        <f>VLOOKUP(F3753,'Set up'!$A$2:$C$70,3,FALSE)</f>
        <v>Cash</v>
      </c>
      <c r="J3753" s="5">
        <f>VLOOKUP(F3753,'Set up'!$A$2:$D$70,4,FALSE)</f>
        <v>0</v>
      </c>
      <c r="K3753" s="4">
        <f t="shared" si="941"/>
        <v>45723</v>
      </c>
      <c r="L3753" s="5">
        <f t="shared" si="942"/>
        <v>3</v>
      </c>
      <c r="M3753" s="5">
        <f t="shared" si="943"/>
        <v>2025</v>
      </c>
      <c r="N3753" s="135">
        <v>460</v>
      </c>
      <c r="O3753" s="6">
        <f t="shared" si="949"/>
        <v>-460</v>
      </c>
      <c r="P3753" s="12">
        <f t="shared" si="947"/>
        <v>0</v>
      </c>
      <c r="Q3753" s="7">
        <f t="shared" si="944"/>
        <v>6167181.6500000013</v>
      </c>
      <c r="R3753" s="44" t="str">
        <f>VLOOKUP(F3753,'Set up'!$A$2:$E$70,5,FALSE)</f>
        <v>Trsf</v>
      </c>
      <c r="S3753" s="1" t="s">
        <v>3978</v>
      </c>
    </row>
    <row r="3754" spans="1:19" ht="16.2" customHeight="1" x14ac:dyDescent="0.3">
      <c r="A3754" s="140">
        <v>45726</v>
      </c>
      <c r="B3754" s="5">
        <f t="shared" si="939"/>
        <v>3</v>
      </c>
      <c r="C3754" s="5">
        <f t="shared" si="940"/>
        <v>2025</v>
      </c>
      <c r="D3754" s="105" t="s">
        <v>3522</v>
      </c>
      <c r="E3754" s="5" t="str">
        <f>VLOOKUP(F3754,'Set up'!$A$2:$C$70,2,FALSE)</f>
        <v>C00000042</v>
      </c>
      <c r="F3754" s="99" t="s">
        <v>2012</v>
      </c>
      <c r="G3754" s="99" t="s">
        <v>2646</v>
      </c>
      <c r="H3754" s="137">
        <v>2</v>
      </c>
      <c r="I3754" s="5" t="str">
        <f>VLOOKUP(F3754,'Set up'!$A$2:$C$70,3,FALSE)</f>
        <v>Cash</v>
      </c>
      <c r="J3754" s="5">
        <f>VLOOKUP(F3754,'Set up'!$A$2:$D$70,4,FALSE)</f>
        <v>0</v>
      </c>
      <c r="K3754" s="4">
        <f t="shared" si="941"/>
        <v>45726</v>
      </c>
      <c r="L3754" s="5">
        <f t="shared" si="942"/>
        <v>3</v>
      </c>
      <c r="M3754" s="5">
        <f t="shared" si="943"/>
        <v>2025</v>
      </c>
      <c r="N3754" s="135">
        <v>125</v>
      </c>
      <c r="O3754" s="6">
        <f t="shared" si="949"/>
        <v>-125</v>
      </c>
      <c r="P3754" s="12">
        <f t="shared" si="947"/>
        <v>0</v>
      </c>
      <c r="Q3754" s="7">
        <f t="shared" si="944"/>
        <v>6167306.6500000013</v>
      </c>
      <c r="R3754" s="44" t="str">
        <f>VLOOKUP(F3754,'Set up'!$A$2:$E$70,5,FALSE)</f>
        <v>Trsf</v>
      </c>
      <c r="S3754" s="1" t="s">
        <v>3980</v>
      </c>
    </row>
    <row r="3755" spans="1:19" ht="16.2" customHeight="1" x14ac:dyDescent="0.3">
      <c r="A3755" s="140">
        <v>45726</v>
      </c>
      <c r="B3755" s="5">
        <f t="shared" si="939"/>
        <v>3</v>
      </c>
      <c r="C3755" s="5">
        <f t="shared" si="940"/>
        <v>2025</v>
      </c>
      <c r="D3755" s="105" t="s">
        <v>3523</v>
      </c>
      <c r="E3755" s="5" t="str">
        <f>VLOOKUP(F3755,'Set up'!$A$2:$C$70,2,FALSE)</f>
        <v>C00000042</v>
      </c>
      <c r="F3755" s="99" t="s">
        <v>2012</v>
      </c>
      <c r="G3755" s="99" t="s">
        <v>3217</v>
      </c>
      <c r="H3755" s="137">
        <v>5</v>
      </c>
      <c r="I3755" s="5" t="str">
        <f>VLOOKUP(F3755,'Set up'!$A$2:$C$70,3,FALSE)</f>
        <v>Cash</v>
      </c>
      <c r="J3755" s="5">
        <f>VLOOKUP(F3755,'Set up'!$A$2:$D$70,4,FALSE)</f>
        <v>0</v>
      </c>
      <c r="K3755" s="4">
        <f t="shared" si="941"/>
        <v>45726</v>
      </c>
      <c r="L3755" s="5">
        <f t="shared" si="942"/>
        <v>3</v>
      </c>
      <c r="M3755" s="5">
        <f t="shared" si="943"/>
        <v>2025</v>
      </c>
      <c r="N3755" s="135">
        <v>8100</v>
      </c>
      <c r="O3755" s="141">
        <f>-7776.1-323.9</f>
        <v>-8100</v>
      </c>
      <c r="P3755" s="12">
        <f t="shared" si="947"/>
        <v>0</v>
      </c>
      <c r="Q3755" s="7">
        <f t="shared" si="944"/>
        <v>6175406.6500000013</v>
      </c>
      <c r="R3755" s="44" t="str">
        <f>VLOOKUP(F3755,'Set up'!$A$2:$E$70,5,FALSE)</f>
        <v>Trsf</v>
      </c>
      <c r="S3755" s="1" t="s">
        <v>3981</v>
      </c>
    </row>
    <row r="3756" spans="1:19" ht="16.2" customHeight="1" x14ac:dyDescent="0.3">
      <c r="A3756" s="140">
        <v>45726</v>
      </c>
      <c r="B3756" s="5">
        <f t="shared" si="939"/>
        <v>3</v>
      </c>
      <c r="C3756" s="5">
        <f t="shared" si="940"/>
        <v>2025</v>
      </c>
      <c r="D3756" s="105" t="s">
        <v>3523</v>
      </c>
      <c r="E3756" s="5" t="str">
        <f>VLOOKUP(F3756,'Set up'!$A$2:$C$70,2,FALSE)</f>
        <v>C00000042</v>
      </c>
      <c r="F3756" s="99" t="s">
        <v>2012</v>
      </c>
      <c r="G3756" s="99" t="s">
        <v>2129</v>
      </c>
      <c r="H3756" s="137">
        <v>15</v>
      </c>
      <c r="I3756" s="5" t="str">
        <f>VLOOKUP(F3756,'Set up'!$A$2:$C$70,3,FALSE)</f>
        <v>Cash</v>
      </c>
      <c r="J3756" s="5">
        <f>VLOOKUP(F3756,'Set up'!$A$2:$D$70,4,FALSE)</f>
        <v>0</v>
      </c>
      <c r="K3756" s="4">
        <f t="shared" si="941"/>
        <v>45726</v>
      </c>
      <c r="L3756" s="5">
        <f t="shared" si="942"/>
        <v>3</v>
      </c>
      <c r="M3756" s="5">
        <f t="shared" si="943"/>
        <v>2025</v>
      </c>
      <c r="N3756" s="135">
        <v>3219</v>
      </c>
      <c r="O3756" s="6">
        <f t="shared" ref="O3756:O3759" si="950">-N3756</f>
        <v>-3219</v>
      </c>
      <c r="P3756" s="12">
        <f t="shared" si="947"/>
        <v>0</v>
      </c>
      <c r="Q3756" s="7">
        <f t="shared" si="944"/>
        <v>6178625.6500000013</v>
      </c>
      <c r="R3756" s="44" t="str">
        <f>VLOOKUP(F3756,'Set up'!$A$2:$E$70,5,FALSE)</f>
        <v>Trsf</v>
      </c>
      <c r="S3756" s="1" t="s">
        <v>3982</v>
      </c>
    </row>
    <row r="3757" spans="1:19" ht="16.2" customHeight="1" x14ac:dyDescent="0.3">
      <c r="A3757" s="140">
        <v>45726</v>
      </c>
      <c r="B3757" s="5">
        <f t="shared" si="939"/>
        <v>3</v>
      </c>
      <c r="C3757" s="5">
        <f t="shared" si="940"/>
        <v>2025</v>
      </c>
      <c r="D3757" s="105" t="s">
        <v>3523</v>
      </c>
      <c r="E3757" s="5" t="str">
        <f>VLOOKUP(F3757,'Set up'!$A$2:$C$70,2,FALSE)</f>
        <v>C00000042</v>
      </c>
      <c r="F3757" s="99" t="s">
        <v>2012</v>
      </c>
      <c r="G3757" s="99" t="s">
        <v>1922</v>
      </c>
      <c r="H3757" s="137">
        <v>8</v>
      </c>
      <c r="I3757" s="5" t="str">
        <f>VLOOKUP(F3757,'Set up'!$A$2:$C$70,3,FALSE)</f>
        <v>Cash</v>
      </c>
      <c r="J3757" s="5">
        <f>VLOOKUP(F3757,'Set up'!$A$2:$D$70,4,FALSE)</f>
        <v>0</v>
      </c>
      <c r="K3757" s="4">
        <f t="shared" si="941"/>
        <v>45726</v>
      </c>
      <c r="L3757" s="5">
        <f t="shared" si="942"/>
        <v>3</v>
      </c>
      <c r="M3757" s="5">
        <f t="shared" si="943"/>
        <v>2025</v>
      </c>
      <c r="N3757" s="135">
        <v>1980</v>
      </c>
      <c r="O3757" s="6">
        <f t="shared" si="950"/>
        <v>-1980</v>
      </c>
      <c r="P3757" s="12">
        <f t="shared" si="947"/>
        <v>0</v>
      </c>
      <c r="Q3757" s="7">
        <f t="shared" si="944"/>
        <v>6180605.6500000013</v>
      </c>
      <c r="R3757" s="44" t="str">
        <f>VLOOKUP(F3757,'Set up'!$A$2:$E$70,5,FALSE)</f>
        <v>Trsf</v>
      </c>
      <c r="S3757" s="1" t="s">
        <v>3983</v>
      </c>
    </row>
    <row r="3758" spans="1:19" ht="16.2" customHeight="1" x14ac:dyDescent="0.3">
      <c r="A3758" s="140">
        <v>45726</v>
      </c>
      <c r="B3758" s="5">
        <f t="shared" si="939"/>
        <v>3</v>
      </c>
      <c r="C3758" s="5">
        <f t="shared" si="940"/>
        <v>2025</v>
      </c>
      <c r="D3758" s="105" t="s">
        <v>3523</v>
      </c>
      <c r="E3758" s="5" t="str">
        <f>VLOOKUP(F3758,'Set up'!$A$2:$C$70,2,FALSE)</f>
        <v>C00000042</v>
      </c>
      <c r="F3758" s="99" t="s">
        <v>2012</v>
      </c>
      <c r="G3758" s="99" t="s">
        <v>46</v>
      </c>
      <c r="H3758" s="137">
        <v>4</v>
      </c>
      <c r="I3758" s="5" t="str">
        <f>VLOOKUP(F3758,'Set up'!$A$2:$C$70,3,FALSE)</f>
        <v>Cash</v>
      </c>
      <c r="J3758" s="5">
        <f>VLOOKUP(F3758,'Set up'!$A$2:$D$70,4,FALSE)</f>
        <v>0</v>
      </c>
      <c r="K3758" s="4">
        <f t="shared" si="941"/>
        <v>45726</v>
      </c>
      <c r="L3758" s="5">
        <f t="shared" si="942"/>
        <v>3</v>
      </c>
      <c r="M3758" s="5">
        <f t="shared" si="943"/>
        <v>2025</v>
      </c>
      <c r="N3758" s="135">
        <v>460</v>
      </c>
      <c r="O3758" s="6">
        <f t="shared" si="950"/>
        <v>-460</v>
      </c>
      <c r="P3758" s="12">
        <f t="shared" si="947"/>
        <v>0</v>
      </c>
      <c r="Q3758" s="7">
        <f t="shared" si="944"/>
        <v>6181065.6500000013</v>
      </c>
      <c r="R3758" s="44" t="str">
        <f>VLOOKUP(F3758,'Set up'!$A$2:$E$70,5,FALSE)</f>
        <v>Trsf</v>
      </c>
      <c r="S3758" s="1" t="s">
        <v>3984</v>
      </c>
    </row>
    <row r="3759" spans="1:19" ht="16.2" customHeight="1" x14ac:dyDescent="0.3">
      <c r="A3759" s="140">
        <v>45726</v>
      </c>
      <c r="B3759" s="5">
        <f t="shared" si="939"/>
        <v>3</v>
      </c>
      <c r="C3759" s="5">
        <f t="shared" si="940"/>
        <v>2025</v>
      </c>
      <c r="D3759" s="105" t="s">
        <v>3523</v>
      </c>
      <c r="E3759" s="5" t="str">
        <f>VLOOKUP(F3759,'Set up'!$A$2:$C$70,2,FALSE)</f>
        <v>C00000042</v>
      </c>
      <c r="F3759" s="99" t="s">
        <v>2012</v>
      </c>
      <c r="G3759" s="99" t="s">
        <v>1073</v>
      </c>
      <c r="H3759" s="137">
        <v>1</v>
      </c>
      <c r="I3759" s="5" t="str">
        <f>VLOOKUP(F3759,'Set up'!$A$2:$C$70,3,FALSE)</f>
        <v>Cash</v>
      </c>
      <c r="J3759" s="5">
        <f>VLOOKUP(F3759,'Set up'!$A$2:$D$70,4,FALSE)</f>
        <v>0</v>
      </c>
      <c r="K3759" s="4">
        <f t="shared" si="941"/>
        <v>45726</v>
      </c>
      <c r="L3759" s="5">
        <f t="shared" si="942"/>
        <v>3</v>
      </c>
      <c r="M3759" s="5">
        <f t="shared" si="943"/>
        <v>2025</v>
      </c>
      <c r="N3759" s="135">
        <v>1000</v>
      </c>
      <c r="O3759" s="6">
        <f t="shared" si="950"/>
        <v>-1000</v>
      </c>
      <c r="P3759" s="12">
        <f t="shared" si="947"/>
        <v>0</v>
      </c>
      <c r="Q3759" s="7">
        <f t="shared" si="944"/>
        <v>6182065.6500000013</v>
      </c>
      <c r="R3759" s="44" t="str">
        <f>VLOOKUP(F3759,'Set up'!$A$2:$E$70,5,FALSE)</f>
        <v>Trsf</v>
      </c>
      <c r="S3759" s="1" t="s">
        <v>3985</v>
      </c>
    </row>
    <row r="3760" spans="1:19" ht="16.2" customHeight="1" x14ac:dyDescent="0.3">
      <c r="A3760" s="140">
        <v>45728</v>
      </c>
      <c r="B3760" s="5">
        <f t="shared" si="939"/>
        <v>3</v>
      </c>
      <c r="C3760" s="5">
        <f t="shared" si="940"/>
        <v>2025</v>
      </c>
      <c r="D3760" s="105" t="s">
        <v>3524</v>
      </c>
      <c r="E3760" s="5" t="str">
        <f>VLOOKUP(F3760,'Set up'!$A$2:$C$70,2,FALSE)</f>
        <v>C00000006</v>
      </c>
      <c r="F3760" s="99" t="s">
        <v>43</v>
      </c>
      <c r="G3760" s="99" t="s">
        <v>3122</v>
      </c>
      <c r="H3760" s="137">
        <v>2</v>
      </c>
      <c r="I3760" s="5" t="str">
        <f>VLOOKUP(F3760,'Set up'!$A$2:$C$70,3,FALSE)</f>
        <v>Cash</v>
      </c>
      <c r="J3760" s="5">
        <f>VLOOKUP(F3760,'Set up'!$A$2:$D$70,4,FALSE)</f>
        <v>0</v>
      </c>
      <c r="K3760" s="4">
        <f t="shared" si="941"/>
        <v>45728</v>
      </c>
      <c r="L3760" s="5">
        <f t="shared" si="942"/>
        <v>3</v>
      </c>
      <c r="M3760" s="5">
        <f t="shared" si="943"/>
        <v>2025</v>
      </c>
      <c r="N3760" s="135">
        <v>3420</v>
      </c>
      <c r="O3760" s="6">
        <f t="shared" ref="O3760:O3763" si="951">-N3760</f>
        <v>-3420</v>
      </c>
      <c r="P3760" s="12">
        <f t="shared" si="947"/>
        <v>0</v>
      </c>
      <c r="Q3760" s="7">
        <f t="shared" si="944"/>
        <v>6185485.6500000013</v>
      </c>
      <c r="R3760" s="44" t="str">
        <f>VLOOKUP(F3760,'Set up'!$A$2:$E$70,5,FALSE)</f>
        <v>Chq</v>
      </c>
      <c r="S3760" s="1" t="s">
        <v>3947</v>
      </c>
    </row>
    <row r="3761" spans="1:19" ht="16.2" customHeight="1" x14ac:dyDescent="0.3">
      <c r="A3761" s="140">
        <v>45728</v>
      </c>
      <c r="B3761" s="5">
        <f t="shared" si="939"/>
        <v>3</v>
      </c>
      <c r="C3761" s="5">
        <f t="shared" si="940"/>
        <v>2025</v>
      </c>
      <c r="D3761" s="105" t="s">
        <v>3524</v>
      </c>
      <c r="E3761" s="5" t="str">
        <f>VLOOKUP(F3761,'Set up'!$A$2:$C$70,2,FALSE)</f>
        <v>C00000006</v>
      </c>
      <c r="F3761" s="99" t="s">
        <v>43</v>
      </c>
      <c r="G3761" s="99" t="s">
        <v>1796</v>
      </c>
      <c r="H3761" s="137">
        <v>3</v>
      </c>
      <c r="I3761" s="5" t="str">
        <f>VLOOKUP(F3761,'Set up'!$A$2:$C$70,3,FALSE)</f>
        <v>Cash</v>
      </c>
      <c r="J3761" s="5">
        <f>VLOOKUP(F3761,'Set up'!$A$2:$D$70,4,FALSE)</f>
        <v>0</v>
      </c>
      <c r="K3761" s="4">
        <f t="shared" si="941"/>
        <v>45728</v>
      </c>
      <c r="L3761" s="5">
        <f t="shared" si="942"/>
        <v>3</v>
      </c>
      <c r="M3761" s="5">
        <f t="shared" si="943"/>
        <v>2025</v>
      </c>
      <c r="N3761" s="135">
        <v>648</v>
      </c>
      <c r="O3761" s="6">
        <f t="shared" si="951"/>
        <v>-648</v>
      </c>
      <c r="P3761" s="12">
        <f t="shared" si="947"/>
        <v>0</v>
      </c>
      <c r="Q3761" s="7">
        <f t="shared" si="944"/>
        <v>6186133.6500000013</v>
      </c>
      <c r="R3761" s="44" t="str">
        <f>VLOOKUP(F3761,'Set up'!$A$2:$E$70,5,FALSE)</f>
        <v>Chq</v>
      </c>
      <c r="S3761" s="1" t="s">
        <v>3947</v>
      </c>
    </row>
    <row r="3762" spans="1:19" ht="16.2" customHeight="1" x14ac:dyDescent="0.3">
      <c r="A3762" s="140">
        <v>45728</v>
      </c>
      <c r="B3762" s="5">
        <f t="shared" si="939"/>
        <v>3</v>
      </c>
      <c r="C3762" s="5">
        <f t="shared" si="940"/>
        <v>2025</v>
      </c>
      <c r="D3762" s="105" t="s">
        <v>3524</v>
      </c>
      <c r="E3762" s="5" t="str">
        <f>VLOOKUP(F3762,'Set up'!$A$2:$C$70,2,FALSE)</f>
        <v>C00000006</v>
      </c>
      <c r="F3762" s="99" t="s">
        <v>43</v>
      </c>
      <c r="G3762" s="99" t="s">
        <v>17</v>
      </c>
      <c r="H3762" s="137">
        <v>2</v>
      </c>
      <c r="I3762" s="5" t="str">
        <f>VLOOKUP(F3762,'Set up'!$A$2:$C$70,3,FALSE)</f>
        <v>Cash</v>
      </c>
      <c r="J3762" s="5">
        <f>VLOOKUP(F3762,'Set up'!$A$2:$D$70,4,FALSE)</f>
        <v>0</v>
      </c>
      <c r="K3762" s="4">
        <f t="shared" si="941"/>
        <v>45728</v>
      </c>
      <c r="L3762" s="5">
        <f t="shared" si="942"/>
        <v>3</v>
      </c>
      <c r="M3762" s="5">
        <f t="shared" si="943"/>
        <v>2025</v>
      </c>
      <c r="N3762" s="135">
        <v>230</v>
      </c>
      <c r="O3762" s="6">
        <f t="shared" si="951"/>
        <v>-230</v>
      </c>
      <c r="P3762" s="12">
        <f t="shared" si="947"/>
        <v>0</v>
      </c>
      <c r="Q3762" s="7">
        <f t="shared" si="944"/>
        <v>6186363.6500000013</v>
      </c>
      <c r="R3762" s="44" t="str">
        <f>VLOOKUP(F3762,'Set up'!$A$2:$E$70,5,FALSE)</f>
        <v>Chq</v>
      </c>
      <c r="S3762" s="1" t="s">
        <v>3947</v>
      </c>
    </row>
    <row r="3763" spans="1:19" ht="16.2" customHeight="1" x14ac:dyDescent="0.3">
      <c r="A3763" s="140">
        <v>45728</v>
      </c>
      <c r="B3763" s="5">
        <f t="shared" si="939"/>
        <v>3</v>
      </c>
      <c r="C3763" s="5">
        <f t="shared" si="940"/>
        <v>2025</v>
      </c>
      <c r="D3763" s="105" t="s">
        <v>3524</v>
      </c>
      <c r="E3763" s="5" t="str">
        <f>VLOOKUP(F3763,'Set up'!$A$2:$C$70,2,FALSE)</f>
        <v>C00000006</v>
      </c>
      <c r="F3763" s="99" t="s">
        <v>43</v>
      </c>
      <c r="G3763" s="99" t="s">
        <v>3525</v>
      </c>
      <c r="H3763" s="137">
        <v>1</v>
      </c>
      <c r="I3763" s="5" t="str">
        <f>VLOOKUP(F3763,'Set up'!$A$2:$C$70,3,FALSE)</f>
        <v>Cash</v>
      </c>
      <c r="J3763" s="5">
        <f>VLOOKUP(F3763,'Set up'!$A$2:$D$70,4,FALSE)</f>
        <v>0</v>
      </c>
      <c r="K3763" s="4">
        <f t="shared" si="941"/>
        <v>45728</v>
      </c>
      <c r="L3763" s="5">
        <f t="shared" si="942"/>
        <v>3</v>
      </c>
      <c r="M3763" s="5">
        <f t="shared" si="943"/>
        <v>2025</v>
      </c>
      <c r="N3763" s="135">
        <v>325</v>
      </c>
      <c r="O3763" s="6">
        <f t="shared" si="951"/>
        <v>-325</v>
      </c>
      <c r="P3763" s="12">
        <f t="shared" si="947"/>
        <v>0</v>
      </c>
      <c r="Q3763" s="7">
        <f t="shared" si="944"/>
        <v>6186688.6500000013</v>
      </c>
      <c r="R3763" s="44" t="str">
        <f>VLOOKUP(F3763,'Set up'!$A$2:$E$70,5,FALSE)</f>
        <v>Chq</v>
      </c>
      <c r="S3763" s="1" t="s">
        <v>3947</v>
      </c>
    </row>
    <row r="3764" spans="1:19" ht="16.2" customHeight="1" x14ac:dyDescent="0.3">
      <c r="A3764" s="140">
        <v>45729</v>
      </c>
      <c r="B3764" s="5">
        <f t="shared" si="939"/>
        <v>3</v>
      </c>
      <c r="C3764" s="5">
        <f t="shared" si="940"/>
        <v>2025</v>
      </c>
      <c r="D3764" s="105" t="s">
        <v>3526</v>
      </c>
      <c r="E3764" s="5" t="str">
        <f>VLOOKUP(F3764,'Set up'!$A$2:$C$70,2,FALSE)</f>
        <v>C00000050</v>
      </c>
      <c r="F3764" s="99" t="s">
        <v>2656</v>
      </c>
      <c r="G3764" s="99" t="s">
        <v>3122</v>
      </c>
      <c r="H3764" s="137">
        <v>1</v>
      </c>
      <c r="I3764" s="5" t="str">
        <f>VLOOKUP(F3764,'Set up'!$A$2:$C$70,3,FALSE)</f>
        <v>Cash</v>
      </c>
      <c r="J3764" s="5">
        <f>VLOOKUP(F3764,'Set up'!$A$2:$D$70,4,FALSE)</f>
        <v>0</v>
      </c>
      <c r="K3764" s="4">
        <f t="shared" si="941"/>
        <v>45729</v>
      </c>
      <c r="L3764" s="5">
        <f t="shared" si="942"/>
        <v>3</v>
      </c>
      <c r="M3764" s="5">
        <f t="shared" si="943"/>
        <v>2025</v>
      </c>
      <c r="N3764" s="135">
        <v>1755</v>
      </c>
      <c r="O3764" s="6">
        <f t="shared" ref="O3764:O3767" si="952">-N3764</f>
        <v>-1755</v>
      </c>
      <c r="P3764" s="12">
        <f t="shared" si="947"/>
        <v>0</v>
      </c>
      <c r="Q3764" s="7">
        <f t="shared" si="944"/>
        <v>6188443.6500000013</v>
      </c>
      <c r="R3764" s="44" t="str">
        <f>VLOOKUP(F3764,'Set up'!$A$2:$E$70,5,FALSE)</f>
        <v>Cash</v>
      </c>
      <c r="S3764" s="1" t="s">
        <v>3674</v>
      </c>
    </row>
    <row r="3765" spans="1:19" ht="16.2" customHeight="1" x14ac:dyDescent="0.3">
      <c r="A3765" s="140">
        <v>45729</v>
      </c>
      <c r="B3765" s="5">
        <f t="shared" si="939"/>
        <v>3</v>
      </c>
      <c r="C3765" s="5">
        <f t="shared" si="940"/>
        <v>2025</v>
      </c>
      <c r="D3765" s="105" t="s">
        <v>3526</v>
      </c>
      <c r="E3765" s="5" t="str">
        <f>VLOOKUP(F3765,'Set up'!$A$2:$C$70,2,FALSE)</f>
        <v>C00000050</v>
      </c>
      <c r="F3765" s="99" t="s">
        <v>2656</v>
      </c>
      <c r="G3765" s="99" t="s">
        <v>2434</v>
      </c>
      <c r="H3765" s="137">
        <v>2</v>
      </c>
      <c r="I3765" s="5" t="str">
        <f>VLOOKUP(F3765,'Set up'!$A$2:$C$70,3,FALSE)</f>
        <v>Cash</v>
      </c>
      <c r="J3765" s="5">
        <f>VLOOKUP(F3765,'Set up'!$A$2:$D$70,4,FALSE)</f>
        <v>0</v>
      </c>
      <c r="K3765" s="4">
        <f t="shared" si="941"/>
        <v>45729</v>
      </c>
      <c r="L3765" s="5">
        <f t="shared" si="942"/>
        <v>3</v>
      </c>
      <c r="M3765" s="5">
        <f t="shared" si="943"/>
        <v>2025</v>
      </c>
      <c r="N3765" s="135">
        <v>555</v>
      </c>
      <c r="O3765" s="6">
        <f t="shared" si="952"/>
        <v>-555</v>
      </c>
      <c r="P3765" s="12">
        <f t="shared" si="947"/>
        <v>0</v>
      </c>
      <c r="Q3765" s="7">
        <f t="shared" si="944"/>
        <v>6188998.6500000013</v>
      </c>
      <c r="R3765" s="44" t="str">
        <f>VLOOKUP(F3765,'Set up'!$A$2:$E$70,5,FALSE)</f>
        <v>Cash</v>
      </c>
      <c r="S3765" s="1" t="s">
        <v>3674</v>
      </c>
    </row>
    <row r="3766" spans="1:19" ht="16.2" customHeight="1" x14ac:dyDescent="0.3">
      <c r="A3766" s="140">
        <v>45729</v>
      </c>
      <c r="B3766" s="5">
        <f t="shared" si="939"/>
        <v>3</v>
      </c>
      <c r="C3766" s="5">
        <f t="shared" si="940"/>
        <v>2025</v>
      </c>
      <c r="D3766" s="105" t="s">
        <v>3526</v>
      </c>
      <c r="E3766" s="5" t="str">
        <f>VLOOKUP(F3766,'Set up'!$A$2:$C$70,2,FALSE)</f>
        <v>C00000050</v>
      </c>
      <c r="F3766" s="99" t="s">
        <v>2656</v>
      </c>
      <c r="G3766" s="99" t="s">
        <v>1061</v>
      </c>
      <c r="H3766" s="137">
        <v>1</v>
      </c>
      <c r="I3766" s="5" t="str">
        <f>VLOOKUP(F3766,'Set up'!$A$2:$C$70,3,FALSE)</f>
        <v>Cash</v>
      </c>
      <c r="J3766" s="5">
        <f>VLOOKUP(F3766,'Set up'!$A$2:$D$70,4,FALSE)</f>
        <v>0</v>
      </c>
      <c r="K3766" s="4">
        <f t="shared" si="941"/>
        <v>45729</v>
      </c>
      <c r="L3766" s="5">
        <f t="shared" si="942"/>
        <v>3</v>
      </c>
      <c r="M3766" s="5">
        <f t="shared" si="943"/>
        <v>2025</v>
      </c>
      <c r="N3766" s="135">
        <v>95</v>
      </c>
      <c r="O3766" s="6">
        <f t="shared" si="952"/>
        <v>-95</v>
      </c>
      <c r="P3766" s="12">
        <f t="shared" si="947"/>
        <v>0</v>
      </c>
      <c r="Q3766" s="7">
        <f t="shared" si="944"/>
        <v>6189093.6500000013</v>
      </c>
      <c r="R3766" s="44" t="str">
        <f>VLOOKUP(F3766,'Set up'!$A$2:$E$70,5,FALSE)</f>
        <v>Cash</v>
      </c>
      <c r="S3766" s="1" t="s">
        <v>3674</v>
      </c>
    </row>
    <row r="3767" spans="1:19" ht="16.2" customHeight="1" x14ac:dyDescent="0.3">
      <c r="A3767" s="140">
        <v>45729</v>
      </c>
      <c r="B3767" s="5">
        <f t="shared" si="939"/>
        <v>3</v>
      </c>
      <c r="C3767" s="5">
        <f t="shared" si="940"/>
        <v>2025</v>
      </c>
      <c r="D3767" s="105" t="s">
        <v>3526</v>
      </c>
      <c r="E3767" s="5" t="str">
        <f>VLOOKUP(F3767,'Set up'!$A$2:$C$70,2,FALSE)</f>
        <v>C00000050</v>
      </c>
      <c r="F3767" s="99" t="s">
        <v>2656</v>
      </c>
      <c r="G3767" s="99" t="s">
        <v>2646</v>
      </c>
      <c r="H3767" s="137">
        <v>10</v>
      </c>
      <c r="I3767" s="5" t="str">
        <f>VLOOKUP(F3767,'Set up'!$A$2:$C$70,3,FALSE)</f>
        <v>Cash</v>
      </c>
      <c r="J3767" s="5">
        <f>VLOOKUP(F3767,'Set up'!$A$2:$D$70,4,FALSE)</f>
        <v>0</v>
      </c>
      <c r="K3767" s="4">
        <f t="shared" si="941"/>
        <v>45729</v>
      </c>
      <c r="L3767" s="5">
        <f t="shared" si="942"/>
        <v>3</v>
      </c>
      <c r="M3767" s="5">
        <f t="shared" si="943"/>
        <v>2025</v>
      </c>
      <c r="N3767" s="135">
        <v>625</v>
      </c>
      <c r="O3767" s="6">
        <f t="shared" si="952"/>
        <v>-625</v>
      </c>
      <c r="P3767" s="12">
        <f t="shared" si="947"/>
        <v>0</v>
      </c>
      <c r="Q3767" s="7">
        <f t="shared" si="944"/>
        <v>6189718.6500000013</v>
      </c>
      <c r="R3767" s="44" t="str">
        <f>VLOOKUP(F3767,'Set up'!$A$2:$E$70,5,FALSE)</f>
        <v>Cash</v>
      </c>
      <c r="S3767" s="1" t="s">
        <v>3674</v>
      </c>
    </row>
    <row r="3768" spans="1:19" ht="16.2" customHeight="1" x14ac:dyDescent="0.3">
      <c r="A3768" s="140">
        <v>45729</v>
      </c>
      <c r="B3768" s="5">
        <f t="shared" si="939"/>
        <v>3</v>
      </c>
      <c r="C3768" s="5">
        <f t="shared" si="940"/>
        <v>2025</v>
      </c>
      <c r="D3768" s="105" t="s">
        <v>3527</v>
      </c>
      <c r="E3768" s="5" t="str">
        <f>VLOOKUP(F3768,'Set up'!$A$2:$C$70,2,FALSE)</f>
        <v>C00000045</v>
      </c>
      <c r="F3768" s="99" t="s">
        <v>2271</v>
      </c>
      <c r="G3768" s="99" t="s">
        <v>3122</v>
      </c>
      <c r="H3768" s="137">
        <v>1</v>
      </c>
      <c r="I3768" s="5" t="str">
        <f>VLOOKUP(F3768,'Set up'!$A$2:$C$70,3,FALSE)</f>
        <v>Cash</v>
      </c>
      <c r="J3768" s="5">
        <f>VLOOKUP(F3768,'Set up'!$A$2:$D$70,4,FALSE)</f>
        <v>0</v>
      </c>
      <c r="K3768" s="4">
        <f t="shared" si="941"/>
        <v>45729</v>
      </c>
      <c r="L3768" s="5">
        <f t="shared" si="942"/>
        <v>3</v>
      </c>
      <c r="M3768" s="5">
        <f t="shared" si="943"/>
        <v>2025</v>
      </c>
      <c r="N3768" s="135">
        <v>1575</v>
      </c>
      <c r="O3768" s="6">
        <f t="shared" ref="O3768:O3769" si="953">-N3768</f>
        <v>-1575</v>
      </c>
      <c r="P3768" s="12">
        <f t="shared" si="947"/>
        <v>0</v>
      </c>
      <c r="Q3768" s="7">
        <f t="shared" si="944"/>
        <v>6191293.6500000013</v>
      </c>
      <c r="R3768" s="44" t="str">
        <f>VLOOKUP(F3768,'Set up'!$A$2:$E$70,5,FALSE)</f>
        <v>Trsf</v>
      </c>
      <c r="S3768" s="1" t="s">
        <v>3605</v>
      </c>
    </row>
    <row r="3769" spans="1:19" ht="16.2" customHeight="1" x14ac:dyDescent="0.3">
      <c r="A3769" s="140">
        <v>45729</v>
      </c>
      <c r="B3769" s="5">
        <f t="shared" si="939"/>
        <v>3</v>
      </c>
      <c r="C3769" s="5">
        <f t="shared" si="940"/>
        <v>2025</v>
      </c>
      <c r="D3769" s="105" t="s">
        <v>3527</v>
      </c>
      <c r="E3769" s="5" t="str">
        <f>VLOOKUP(F3769,'Set up'!$A$2:$C$70,2,FALSE)</f>
        <v>C00000045</v>
      </c>
      <c r="F3769" s="99" t="s">
        <v>2271</v>
      </c>
      <c r="G3769" s="99" t="s">
        <v>2434</v>
      </c>
      <c r="H3769" s="137">
        <v>4</v>
      </c>
      <c r="I3769" s="5" t="str">
        <f>VLOOKUP(F3769,'Set up'!$A$2:$C$70,3,FALSE)</f>
        <v>Cash</v>
      </c>
      <c r="J3769" s="5">
        <f>VLOOKUP(F3769,'Set up'!$A$2:$D$70,4,FALSE)</f>
        <v>0</v>
      </c>
      <c r="K3769" s="4">
        <f t="shared" si="941"/>
        <v>45729</v>
      </c>
      <c r="L3769" s="5">
        <f t="shared" si="942"/>
        <v>3</v>
      </c>
      <c r="M3769" s="5">
        <f t="shared" si="943"/>
        <v>2025</v>
      </c>
      <c r="N3769" s="135">
        <v>858.4</v>
      </c>
      <c r="O3769" s="6">
        <f t="shared" si="953"/>
        <v>-858.4</v>
      </c>
      <c r="P3769" s="12">
        <f t="shared" si="947"/>
        <v>0</v>
      </c>
      <c r="Q3769" s="7">
        <f t="shared" si="944"/>
        <v>6192152.0500000017</v>
      </c>
      <c r="R3769" s="44" t="str">
        <f>VLOOKUP(F3769,'Set up'!$A$2:$E$70,5,FALSE)</f>
        <v>Trsf</v>
      </c>
      <c r="S3769" s="1" t="s">
        <v>3606</v>
      </c>
    </row>
    <row r="3770" spans="1:19" ht="16.2" customHeight="1" x14ac:dyDescent="0.3">
      <c r="A3770" s="143">
        <v>45730</v>
      </c>
      <c r="B3770" s="5">
        <f t="shared" si="939"/>
        <v>3</v>
      </c>
      <c r="C3770" s="5">
        <f t="shared" si="940"/>
        <v>2025</v>
      </c>
      <c r="D3770" s="144" t="s">
        <v>3528</v>
      </c>
      <c r="E3770" s="5" t="str">
        <f>VLOOKUP(F3770,'Set up'!$A$2:$C$70,2,FALSE)</f>
        <v>C00000013a</v>
      </c>
      <c r="F3770" s="142" t="s">
        <v>1453</v>
      </c>
      <c r="G3770" s="142" t="s">
        <v>3529</v>
      </c>
      <c r="H3770" s="145">
        <v>2</v>
      </c>
      <c r="I3770" s="5" t="str">
        <f>VLOOKUP(F3770,'Set up'!$A$2:$C$70,3,FALSE)</f>
        <v>Cash</v>
      </c>
      <c r="J3770" s="5">
        <f>VLOOKUP(F3770,'Set up'!$A$2:$D$70,4,FALSE)</f>
        <v>0</v>
      </c>
      <c r="K3770" s="4">
        <f t="shared" si="941"/>
        <v>45730</v>
      </c>
      <c r="L3770" s="5">
        <f t="shared" si="942"/>
        <v>3</v>
      </c>
      <c r="M3770" s="5">
        <f t="shared" si="943"/>
        <v>2025</v>
      </c>
      <c r="N3770" s="146">
        <v>0</v>
      </c>
      <c r="O3770" s="147"/>
      <c r="P3770" s="34">
        <f t="shared" si="947"/>
        <v>0</v>
      </c>
      <c r="Q3770" s="7">
        <f t="shared" si="944"/>
        <v>6192152.0500000017</v>
      </c>
      <c r="R3770" s="44" t="str">
        <f>VLOOKUP(F3770,'Set up'!$A$2:$E$70,5,FALSE)</f>
        <v>Chq</v>
      </c>
    </row>
    <row r="3771" spans="1:19" ht="16.2" customHeight="1" x14ac:dyDescent="0.3">
      <c r="A3771" s="140">
        <v>45730</v>
      </c>
      <c r="B3771" s="5">
        <f t="shared" si="939"/>
        <v>3</v>
      </c>
      <c r="C3771" s="5">
        <f t="shared" si="940"/>
        <v>2025</v>
      </c>
      <c r="D3771" s="105" t="s">
        <v>3530</v>
      </c>
      <c r="E3771" s="5" t="str">
        <f>VLOOKUP(F3771,'Set up'!$A$2:$C$70,2,FALSE)</f>
        <v>C00000061</v>
      </c>
      <c r="F3771" s="99" t="s">
        <v>3532</v>
      </c>
      <c r="G3771" s="99" t="s">
        <v>3533</v>
      </c>
      <c r="H3771" s="137">
        <v>1</v>
      </c>
      <c r="I3771" s="5" t="str">
        <f>VLOOKUP(F3771,'Set up'!$A$2:$C$70,3,FALSE)</f>
        <v>Cash</v>
      </c>
      <c r="J3771" s="5">
        <f>VLOOKUP(F3771,'Set up'!$A$2:$D$70,4,FALSE)</f>
        <v>0</v>
      </c>
      <c r="K3771" s="4">
        <f t="shared" si="941"/>
        <v>45730</v>
      </c>
      <c r="L3771" s="5">
        <f t="shared" si="942"/>
        <v>3</v>
      </c>
      <c r="M3771" s="5">
        <f t="shared" si="943"/>
        <v>2025</v>
      </c>
      <c r="N3771" s="135">
        <v>1710</v>
      </c>
      <c r="O3771" s="6">
        <f t="shared" ref="O3771:O3775" si="954">-N3771</f>
        <v>-1710</v>
      </c>
      <c r="P3771" s="12">
        <f t="shared" si="947"/>
        <v>0</v>
      </c>
      <c r="Q3771" s="7">
        <f t="shared" si="944"/>
        <v>6193862.0500000017</v>
      </c>
      <c r="R3771" s="44" t="str">
        <f>VLOOKUP(F3771,'Set up'!$A$2:$E$70,5,FALSE)</f>
        <v>Cash</v>
      </c>
      <c r="S3771" s="1" t="s">
        <v>3600</v>
      </c>
    </row>
    <row r="3772" spans="1:19" ht="16.2" customHeight="1" x14ac:dyDescent="0.3">
      <c r="A3772" s="140">
        <v>45730</v>
      </c>
      <c r="B3772" s="5">
        <f t="shared" si="939"/>
        <v>3</v>
      </c>
      <c r="C3772" s="5">
        <f t="shared" si="940"/>
        <v>2025</v>
      </c>
      <c r="D3772" s="105" t="s">
        <v>3530</v>
      </c>
      <c r="E3772" s="5" t="str">
        <f>VLOOKUP(F3772,'Set up'!$A$2:$C$70,2,FALSE)</f>
        <v>C00000061</v>
      </c>
      <c r="F3772" s="99" t="s">
        <v>3532</v>
      </c>
      <c r="G3772" s="99" t="s">
        <v>1411</v>
      </c>
      <c r="H3772" s="137">
        <v>1</v>
      </c>
      <c r="I3772" s="5" t="str">
        <f>VLOOKUP(F3772,'Set up'!$A$2:$C$70,3,FALSE)</f>
        <v>Cash</v>
      </c>
      <c r="J3772" s="5">
        <f>VLOOKUP(F3772,'Set up'!$A$2:$D$70,4,FALSE)</f>
        <v>0</v>
      </c>
      <c r="K3772" s="4">
        <f t="shared" si="941"/>
        <v>45730</v>
      </c>
      <c r="L3772" s="5">
        <f t="shared" si="942"/>
        <v>3</v>
      </c>
      <c r="M3772" s="5">
        <f t="shared" si="943"/>
        <v>2025</v>
      </c>
      <c r="N3772" s="135">
        <v>313.2</v>
      </c>
      <c r="O3772" s="6">
        <f t="shared" si="954"/>
        <v>-313.2</v>
      </c>
      <c r="P3772" s="12">
        <f t="shared" si="947"/>
        <v>0</v>
      </c>
      <c r="Q3772" s="7">
        <f t="shared" si="944"/>
        <v>6194175.2500000019</v>
      </c>
      <c r="R3772" s="44" t="str">
        <f>VLOOKUP(F3772,'Set up'!$A$2:$E$70,5,FALSE)</f>
        <v>Cash</v>
      </c>
      <c r="S3772" s="1" t="s">
        <v>3600</v>
      </c>
    </row>
    <row r="3773" spans="1:19" ht="16.2" customHeight="1" x14ac:dyDescent="0.3">
      <c r="A3773" s="140">
        <v>45731</v>
      </c>
      <c r="B3773" s="5">
        <f t="shared" si="939"/>
        <v>3</v>
      </c>
      <c r="C3773" s="5">
        <f t="shared" si="940"/>
        <v>2025</v>
      </c>
      <c r="D3773" s="105" t="s">
        <v>3534</v>
      </c>
      <c r="E3773" s="5" t="str">
        <f>VLOOKUP(F3773,'Set up'!$A$2:$C$70,2,FALSE)</f>
        <v>C00000042</v>
      </c>
      <c r="F3773" s="99" t="s">
        <v>2012</v>
      </c>
      <c r="G3773" s="99" t="s">
        <v>2646</v>
      </c>
      <c r="H3773" s="137">
        <v>3</v>
      </c>
      <c r="I3773" s="5" t="str">
        <f>VLOOKUP(F3773,'Set up'!$A$2:$C$70,3,FALSE)</f>
        <v>Cash</v>
      </c>
      <c r="J3773" s="5">
        <f>VLOOKUP(F3773,'Set up'!$A$2:$D$70,4,FALSE)</f>
        <v>0</v>
      </c>
      <c r="K3773" s="4">
        <f t="shared" si="941"/>
        <v>45731</v>
      </c>
      <c r="L3773" s="5">
        <f t="shared" si="942"/>
        <v>3</v>
      </c>
      <c r="M3773" s="5">
        <f t="shared" si="943"/>
        <v>2025</v>
      </c>
      <c r="N3773" s="135">
        <v>187.5</v>
      </c>
      <c r="O3773" s="6">
        <f t="shared" si="954"/>
        <v>-187.5</v>
      </c>
      <c r="P3773" s="12">
        <f t="shared" si="947"/>
        <v>0</v>
      </c>
      <c r="Q3773" s="7">
        <f t="shared" si="944"/>
        <v>6194362.7500000019</v>
      </c>
      <c r="R3773" s="44" t="str">
        <f>VLOOKUP(F3773,'Set up'!$A$2:$E$70,5,FALSE)</f>
        <v>Trsf</v>
      </c>
      <c r="S3773" s="1" t="s">
        <v>3986</v>
      </c>
    </row>
    <row r="3774" spans="1:19" ht="16.2" customHeight="1" x14ac:dyDescent="0.3">
      <c r="A3774" s="140">
        <v>45731</v>
      </c>
      <c r="B3774" s="5">
        <f t="shared" si="939"/>
        <v>3</v>
      </c>
      <c r="C3774" s="5">
        <f t="shared" si="940"/>
        <v>2025</v>
      </c>
      <c r="D3774" s="105" t="s">
        <v>3535</v>
      </c>
      <c r="E3774" s="5" t="str">
        <f>VLOOKUP(F3774,'Set up'!$A$2:$C$70,2,FALSE)</f>
        <v>C00000042</v>
      </c>
      <c r="F3774" s="99" t="s">
        <v>2012</v>
      </c>
      <c r="G3774" s="99" t="s">
        <v>3217</v>
      </c>
      <c r="H3774" s="137">
        <v>5</v>
      </c>
      <c r="I3774" s="5" t="str">
        <f>VLOOKUP(F3774,'Set up'!$A$2:$C$70,3,FALSE)</f>
        <v>Cash</v>
      </c>
      <c r="J3774" s="5">
        <f>VLOOKUP(F3774,'Set up'!$A$2:$D$70,4,FALSE)</f>
        <v>0</v>
      </c>
      <c r="K3774" s="4">
        <f t="shared" si="941"/>
        <v>45731</v>
      </c>
      <c r="L3774" s="5">
        <f t="shared" si="942"/>
        <v>3</v>
      </c>
      <c r="M3774" s="5">
        <f t="shared" si="943"/>
        <v>2025</v>
      </c>
      <c r="N3774" s="135">
        <v>8100</v>
      </c>
      <c r="O3774" s="6">
        <f t="shared" si="954"/>
        <v>-8100</v>
      </c>
      <c r="P3774" s="12">
        <f t="shared" si="947"/>
        <v>0</v>
      </c>
      <c r="Q3774" s="7">
        <f t="shared" si="944"/>
        <v>6202462.7500000019</v>
      </c>
      <c r="R3774" s="44" t="str">
        <f>VLOOKUP(F3774,'Set up'!$A$2:$E$70,5,FALSE)</f>
        <v>Trsf</v>
      </c>
      <c r="S3774" s="1" t="s">
        <v>3987</v>
      </c>
    </row>
    <row r="3775" spans="1:19" ht="16.2" customHeight="1" x14ac:dyDescent="0.3">
      <c r="A3775" s="140">
        <v>45731</v>
      </c>
      <c r="B3775" s="5">
        <f t="shared" si="939"/>
        <v>3</v>
      </c>
      <c r="C3775" s="5">
        <f t="shared" si="940"/>
        <v>2025</v>
      </c>
      <c r="D3775" s="105" t="s">
        <v>3535</v>
      </c>
      <c r="E3775" s="5" t="str">
        <f>VLOOKUP(F3775,'Set up'!$A$2:$C$70,2,FALSE)</f>
        <v>C00000042</v>
      </c>
      <c r="F3775" s="99" t="s">
        <v>2012</v>
      </c>
      <c r="G3775" s="99" t="s">
        <v>2744</v>
      </c>
      <c r="H3775" s="137">
        <v>1</v>
      </c>
      <c r="I3775" s="5" t="str">
        <f>VLOOKUP(F3775,'Set up'!$A$2:$C$70,3,FALSE)</f>
        <v>Cash</v>
      </c>
      <c r="J3775" s="5">
        <f>VLOOKUP(F3775,'Set up'!$A$2:$D$70,4,FALSE)</f>
        <v>0</v>
      </c>
      <c r="K3775" s="4">
        <f t="shared" si="941"/>
        <v>45731</v>
      </c>
      <c r="L3775" s="5">
        <f t="shared" si="942"/>
        <v>3</v>
      </c>
      <c r="M3775" s="5">
        <f t="shared" si="943"/>
        <v>2025</v>
      </c>
      <c r="N3775" s="135">
        <v>975</v>
      </c>
      <c r="O3775" s="6">
        <f t="shared" si="954"/>
        <v>-975</v>
      </c>
      <c r="P3775" s="12">
        <f t="shared" si="947"/>
        <v>0</v>
      </c>
      <c r="Q3775" s="7">
        <f t="shared" si="944"/>
        <v>6203437.7500000019</v>
      </c>
      <c r="R3775" s="44" t="str">
        <f>VLOOKUP(F3775,'Set up'!$A$2:$E$70,5,FALSE)</f>
        <v>Trsf</v>
      </c>
      <c r="S3775" s="1" t="s">
        <v>3988</v>
      </c>
    </row>
    <row r="3776" spans="1:19" ht="16.2" customHeight="1" x14ac:dyDescent="0.3">
      <c r="A3776" s="140">
        <v>45733</v>
      </c>
      <c r="B3776" s="5">
        <f t="shared" si="939"/>
        <v>3</v>
      </c>
      <c r="C3776" s="5">
        <f t="shared" si="940"/>
        <v>2025</v>
      </c>
      <c r="D3776" s="105" t="s">
        <v>3536</v>
      </c>
      <c r="E3776" s="5" t="str">
        <f>VLOOKUP(F3776,'Set up'!$A$2:$C$70,2,FALSE)</f>
        <v>C00000003</v>
      </c>
      <c r="F3776" s="99" t="s">
        <v>20</v>
      </c>
      <c r="G3776" s="99" t="s">
        <v>3217</v>
      </c>
      <c r="H3776" s="137">
        <v>1</v>
      </c>
      <c r="I3776" s="5">
        <f>VLOOKUP(F3776,'Set up'!$A$2:$C$70,3,FALSE)</f>
        <v>45</v>
      </c>
      <c r="J3776" s="5">
        <f>VLOOKUP(F3776,'Set up'!$A$2:$D$70,4,FALSE)</f>
        <v>45</v>
      </c>
      <c r="K3776" s="4">
        <f t="shared" si="941"/>
        <v>45778</v>
      </c>
      <c r="L3776" s="5">
        <f t="shared" si="942"/>
        <v>5</v>
      </c>
      <c r="M3776" s="5">
        <f t="shared" si="943"/>
        <v>2025</v>
      </c>
      <c r="N3776" s="135">
        <v>1755</v>
      </c>
      <c r="O3776" s="141">
        <f>-1000-755</f>
        <v>-1755</v>
      </c>
      <c r="P3776" s="12">
        <f t="shared" si="947"/>
        <v>0</v>
      </c>
      <c r="Q3776" s="7">
        <f t="shared" si="944"/>
        <v>6205192.7500000019</v>
      </c>
      <c r="R3776" s="44" t="str">
        <f>VLOOKUP(F3776,'Set up'!$A$2:$E$70,5,FALSE)</f>
        <v>PD Chq</v>
      </c>
      <c r="S3776" s="1" t="s">
        <v>3826</v>
      </c>
    </row>
    <row r="3777" spans="1:19" ht="16.2" customHeight="1" x14ac:dyDescent="0.3">
      <c r="A3777" s="140">
        <v>45733</v>
      </c>
      <c r="B3777" s="5">
        <f t="shared" si="939"/>
        <v>3</v>
      </c>
      <c r="C3777" s="5">
        <f t="shared" si="940"/>
        <v>2025</v>
      </c>
      <c r="D3777" s="105" t="s">
        <v>3536</v>
      </c>
      <c r="E3777" s="5" t="str">
        <f>VLOOKUP(F3777,'Set up'!$A$2:$C$70,2,FALSE)</f>
        <v>C00000003</v>
      </c>
      <c r="F3777" s="99" t="s">
        <v>20</v>
      </c>
      <c r="G3777" s="99" t="s">
        <v>17</v>
      </c>
      <c r="H3777" s="137">
        <v>2</v>
      </c>
      <c r="I3777" s="5">
        <f>VLOOKUP(F3777,'Set up'!$A$2:$C$70,3,FALSE)</f>
        <v>45</v>
      </c>
      <c r="J3777" s="5">
        <f>VLOOKUP(F3777,'Set up'!$A$2:$D$70,4,FALSE)</f>
        <v>45</v>
      </c>
      <c r="K3777" s="4">
        <f t="shared" si="941"/>
        <v>45778</v>
      </c>
      <c r="L3777" s="5">
        <f t="shared" si="942"/>
        <v>5</v>
      </c>
      <c r="M3777" s="5">
        <f t="shared" si="943"/>
        <v>2025</v>
      </c>
      <c r="N3777" s="135">
        <v>220</v>
      </c>
      <c r="O3777" s="6">
        <f>-N3777</f>
        <v>-220</v>
      </c>
      <c r="P3777" s="12">
        <f t="shared" si="947"/>
        <v>0</v>
      </c>
      <c r="Q3777" s="7">
        <f t="shared" si="944"/>
        <v>6205412.7500000019</v>
      </c>
      <c r="R3777" s="44" t="str">
        <f>VLOOKUP(F3777,'Set up'!$A$2:$E$70,5,FALSE)</f>
        <v>PD Chq</v>
      </c>
      <c r="S3777" s="1" t="s">
        <v>3828</v>
      </c>
    </row>
    <row r="3778" spans="1:19" ht="16.2" customHeight="1" x14ac:dyDescent="0.3">
      <c r="A3778" s="140">
        <v>45733</v>
      </c>
      <c r="B3778" s="5">
        <f t="shared" si="939"/>
        <v>3</v>
      </c>
      <c r="C3778" s="5">
        <f t="shared" si="940"/>
        <v>2025</v>
      </c>
      <c r="D3778" s="105" t="s">
        <v>3536</v>
      </c>
      <c r="E3778" s="5" t="str">
        <f>VLOOKUP(F3778,'Set up'!$A$2:$C$70,2,FALSE)</f>
        <v>C00000003</v>
      </c>
      <c r="F3778" s="99" t="s">
        <v>20</v>
      </c>
      <c r="G3778" s="99" t="s">
        <v>2635</v>
      </c>
      <c r="H3778" s="137">
        <v>3</v>
      </c>
      <c r="I3778" s="5">
        <f>VLOOKUP(F3778,'Set up'!$A$2:$C$70,3,FALSE)</f>
        <v>45</v>
      </c>
      <c r="J3778" s="5">
        <f>VLOOKUP(F3778,'Set up'!$A$2:$D$70,4,FALSE)</f>
        <v>45</v>
      </c>
      <c r="K3778" s="4">
        <f t="shared" si="941"/>
        <v>45778</v>
      </c>
      <c r="L3778" s="5">
        <f t="shared" si="942"/>
        <v>5</v>
      </c>
      <c r="M3778" s="5">
        <f t="shared" si="943"/>
        <v>2025</v>
      </c>
      <c r="N3778" s="135">
        <v>195</v>
      </c>
      <c r="O3778" s="6">
        <f>-N3778</f>
        <v>-195</v>
      </c>
      <c r="P3778" s="12">
        <f t="shared" si="947"/>
        <v>0</v>
      </c>
      <c r="Q3778" s="7">
        <f t="shared" si="944"/>
        <v>6205607.7500000019</v>
      </c>
      <c r="R3778" s="44" t="str">
        <f>VLOOKUP(F3778,'Set up'!$A$2:$E$70,5,FALSE)</f>
        <v>PD Chq</v>
      </c>
      <c r="S3778" s="1" t="s">
        <v>3827</v>
      </c>
    </row>
    <row r="3779" spans="1:19" ht="16.2" customHeight="1" x14ac:dyDescent="0.3">
      <c r="A3779" s="140">
        <v>45735</v>
      </c>
      <c r="B3779" s="5">
        <f t="shared" ref="B3779:B3842" si="955">MONTH(A3779)</f>
        <v>3</v>
      </c>
      <c r="C3779" s="5">
        <f t="shared" ref="C3779:C3842" si="956">YEAR(A3779)</f>
        <v>2025</v>
      </c>
      <c r="D3779" s="105" t="s">
        <v>3537</v>
      </c>
      <c r="E3779" s="5" t="str">
        <f>VLOOKUP(F3779,'Set up'!$A$2:$C$70,2,FALSE)</f>
        <v>C00000019</v>
      </c>
      <c r="F3779" s="99" t="s">
        <v>400</v>
      </c>
      <c r="G3779" s="99" t="s">
        <v>3122</v>
      </c>
      <c r="H3779" s="137">
        <v>1</v>
      </c>
      <c r="I3779" s="5" t="str">
        <f>VLOOKUP(F3779,'Set up'!$A$2:$C$70,3,FALSE)</f>
        <v>Cash</v>
      </c>
      <c r="J3779" s="5">
        <f>VLOOKUP(F3779,'Set up'!$A$2:$D$70,4,FALSE)</f>
        <v>0</v>
      </c>
      <c r="K3779" s="4">
        <f t="shared" ref="K3779:K3842" si="957">A3779+J3779</f>
        <v>45735</v>
      </c>
      <c r="L3779" s="5">
        <f t="shared" ref="L3779:L3842" si="958">MONTH(K3779)</f>
        <v>3</v>
      </c>
      <c r="M3779" s="5">
        <f t="shared" ref="M3779:M3842" si="959">YEAR(K3779)</f>
        <v>2025</v>
      </c>
      <c r="N3779" s="135">
        <v>1755</v>
      </c>
      <c r="O3779" s="141"/>
      <c r="P3779" s="12">
        <f t="shared" si="947"/>
        <v>1755</v>
      </c>
      <c r="Q3779" s="7">
        <f t="shared" ref="Q3779:Q3842" si="960">SUM(Q3778+N3779)</f>
        <v>6207362.7500000019</v>
      </c>
      <c r="R3779" s="44" t="str">
        <f>VLOOKUP(F3779,'Set up'!$A$2:$E$70,5,FALSE)</f>
        <v>Trsf</v>
      </c>
    </row>
    <row r="3780" spans="1:19" ht="16.2" customHeight="1" x14ac:dyDescent="0.3">
      <c r="A3780" s="140">
        <v>45735</v>
      </c>
      <c r="B3780" s="5">
        <f t="shared" si="955"/>
        <v>3</v>
      </c>
      <c r="C3780" s="5">
        <f t="shared" si="956"/>
        <v>2025</v>
      </c>
      <c r="D3780" s="105" t="s">
        <v>3537</v>
      </c>
      <c r="E3780" s="5" t="str">
        <f>VLOOKUP(F3780,'Set up'!$A$2:$C$70,2,FALSE)</f>
        <v>C00000019</v>
      </c>
      <c r="F3780" s="99" t="s">
        <v>400</v>
      </c>
      <c r="G3780" s="99" t="s">
        <v>1411</v>
      </c>
      <c r="H3780" s="137">
        <v>1</v>
      </c>
      <c r="I3780" s="5" t="str">
        <f>VLOOKUP(F3780,'Set up'!$A$2:$C$70,3,FALSE)</f>
        <v>Cash</v>
      </c>
      <c r="J3780" s="5">
        <f>VLOOKUP(F3780,'Set up'!$A$2:$D$70,4,FALSE)</f>
        <v>0</v>
      </c>
      <c r="K3780" s="4">
        <f t="shared" si="957"/>
        <v>45735</v>
      </c>
      <c r="L3780" s="5">
        <f t="shared" si="958"/>
        <v>3</v>
      </c>
      <c r="M3780" s="5">
        <f t="shared" si="959"/>
        <v>2025</v>
      </c>
      <c r="N3780" s="135">
        <v>405</v>
      </c>
      <c r="O3780" s="141"/>
      <c r="P3780" s="12">
        <f t="shared" si="947"/>
        <v>405</v>
      </c>
      <c r="Q3780" s="7">
        <f t="shared" si="960"/>
        <v>6207767.7500000019</v>
      </c>
      <c r="R3780" s="44" t="str">
        <f>VLOOKUP(F3780,'Set up'!$A$2:$E$70,5,FALSE)</f>
        <v>Trsf</v>
      </c>
    </row>
    <row r="3781" spans="1:19" ht="16.2" customHeight="1" x14ac:dyDescent="0.3">
      <c r="A3781" s="140">
        <v>45735</v>
      </c>
      <c r="B3781" s="5">
        <f t="shared" si="955"/>
        <v>3</v>
      </c>
      <c r="C3781" s="5">
        <f t="shared" si="956"/>
        <v>2025</v>
      </c>
      <c r="D3781" s="105" t="s">
        <v>3537</v>
      </c>
      <c r="E3781" s="5" t="str">
        <f>VLOOKUP(F3781,'Set up'!$A$2:$C$70,2,FALSE)</f>
        <v>C00000019</v>
      </c>
      <c r="F3781" s="99" t="s">
        <v>400</v>
      </c>
      <c r="G3781" s="99" t="s">
        <v>46</v>
      </c>
      <c r="H3781" s="137">
        <v>1</v>
      </c>
      <c r="I3781" s="5" t="str">
        <f>VLOOKUP(F3781,'Set up'!$A$2:$C$70,3,FALSE)</f>
        <v>Cash</v>
      </c>
      <c r="J3781" s="5">
        <f>VLOOKUP(F3781,'Set up'!$A$2:$D$70,4,FALSE)</f>
        <v>0</v>
      </c>
      <c r="K3781" s="4">
        <f t="shared" si="957"/>
        <v>45735</v>
      </c>
      <c r="L3781" s="5">
        <f t="shared" si="958"/>
        <v>3</v>
      </c>
      <c r="M3781" s="5">
        <f t="shared" si="959"/>
        <v>2025</v>
      </c>
      <c r="N3781" s="135">
        <v>110</v>
      </c>
      <c r="O3781" s="141"/>
      <c r="P3781" s="12">
        <f t="shared" si="947"/>
        <v>110</v>
      </c>
      <c r="Q3781" s="7">
        <f t="shared" si="960"/>
        <v>6207877.7500000019</v>
      </c>
      <c r="R3781" s="44" t="str">
        <f>VLOOKUP(F3781,'Set up'!$A$2:$E$70,5,FALSE)</f>
        <v>Trsf</v>
      </c>
    </row>
    <row r="3782" spans="1:19" ht="16.2" customHeight="1" x14ac:dyDescent="0.3">
      <c r="A3782" s="140">
        <v>45735</v>
      </c>
      <c r="B3782" s="5">
        <f t="shared" si="955"/>
        <v>3</v>
      </c>
      <c r="C3782" s="5">
        <f t="shared" si="956"/>
        <v>2025</v>
      </c>
      <c r="D3782" s="105" t="s">
        <v>3537</v>
      </c>
      <c r="E3782" s="5" t="str">
        <f>VLOOKUP(F3782,'Set up'!$A$2:$C$70,2,FALSE)</f>
        <v>C00000019</v>
      </c>
      <c r="F3782" s="99" t="s">
        <v>400</v>
      </c>
      <c r="G3782" s="99" t="s">
        <v>1469</v>
      </c>
      <c r="H3782" s="137">
        <v>1</v>
      </c>
      <c r="I3782" s="5" t="str">
        <f>VLOOKUP(F3782,'Set up'!$A$2:$C$70,3,FALSE)</f>
        <v>Cash</v>
      </c>
      <c r="J3782" s="5">
        <f>VLOOKUP(F3782,'Set up'!$A$2:$D$70,4,FALSE)</f>
        <v>0</v>
      </c>
      <c r="K3782" s="4">
        <f t="shared" si="957"/>
        <v>45735</v>
      </c>
      <c r="L3782" s="5">
        <f t="shared" si="958"/>
        <v>3</v>
      </c>
      <c r="M3782" s="5">
        <f t="shared" si="959"/>
        <v>2025</v>
      </c>
      <c r="N3782" s="135">
        <v>390</v>
      </c>
      <c r="O3782" s="141"/>
      <c r="P3782" s="12">
        <f t="shared" si="947"/>
        <v>390</v>
      </c>
      <c r="Q3782" s="7">
        <f t="shared" si="960"/>
        <v>6208267.7500000019</v>
      </c>
      <c r="R3782" s="44" t="str">
        <f>VLOOKUP(F3782,'Set up'!$A$2:$E$70,5,FALSE)</f>
        <v>Trsf</v>
      </c>
    </row>
    <row r="3783" spans="1:19" ht="16.2" customHeight="1" x14ac:dyDescent="0.3">
      <c r="A3783" s="140">
        <v>45735</v>
      </c>
      <c r="B3783" s="5">
        <f t="shared" si="955"/>
        <v>3</v>
      </c>
      <c r="C3783" s="5">
        <f t="shared" si="956"/>
        <v>2025</v>
      </c>
      <c r="D3783" s="105" t="s">
        <v>3537</v>
      </c>
      <c r="E3783" s="5" t="str">
        <f>VLOOKUP(F3783,'Set up'!$A$2:$C$70,2,FALSE)</f>
        <v>C00000019</v>
      </c>
      <c r="F3783" s="99" t="s">
        <v>400</v>
      </c>
      <c r="G3783" s="99" t="s">
        <v>2635</v>
      </c>
      <c r="H3783" s="137">
        <v>2</v>
      </c>
      <c r="I3783" s="5" t="str">
        <f>VLOOKUP(F3783,'Set up'!$A$2:$C$70,3,FALSE)</f>
        <v>Cash</v>
      </c>
      <c r="J3783" s="5">
        <f>VLOOKUP(F3783,'Set up'!$A$2:$D$70,4,FALSE)</f>
        <v>0</v>
      </c>
      <c r="K3783" s="4">
        <f t="shared" si="957"/>
        <v>45735</v>
      </c>
      <c r="L3783" s="5">
        <f t="shared" si="958"/>
        <v>3</v>
      </c>
      <c r="M3783" s="5">
        <f t="shared" si="959"/>
        <v>2025</v>
      </c>
      <c r="N3783" s="135">
        <v>125</v>
      </c>
      <c r="O3783" s="141"/>
      <c r="P3783" s="12">
        <f t="shared" si="947"/>
        <v>125</v>
      </c>
      <c r="Q3783" s="7">
        <f t="shared" si="960"/>
        <v>6208392.7500000019</v>
      </c>
      <c r="R3783" s="44" t="str">
        <f>VLOOKUP(F3783,'Set up'!$A$2:$E$70,5,FALSE)</f>
        <v>Trsf</v>
      </c>
    </row>
    <row r="3784" spans="1:19" ht="16.2" customHeight="1" x14ac:dyDescent="0.3">
      <c r="A3784" s="140">
        <v>45735</v>
      </c>
      <c r="B3784" s="5">
        <f t="shared" si="955"/>
        <v>3</v>
      </c>
      <c r="C3784" s="5">
        <f t="shared" si="956"/>
        <v>2025</v>
      </c>
      <c r="D3784" s="105" t="s">
        <v>3537</v>
      </c>
      <c r="E3784" s="5" t="str">
        <f>VLOOKUP(F3784,'Set up'!$A$2:$C$70,2,FALSE)</f>
        <v>C00000019</v>
      </c>
      <c r="F3784" s="99" t="s">
        <v>400</v>
      </c>
      <c r="G3784" s="99" t="s">
        <v>2449</v>
      </c>
      <c r="H3784" s="137">
        <v>1</v>
      </c>
      <c r="I3784" s="5" t="str">
        <f>VLOOKUP(F3784,'Set up'!$A$2:$C$70,3,FALSE)</f>
        <v>Cash</v>
      </c>
      <c r="J3784" s="5">
        <f>VLOOKUP(F3784,'Set up'!$A$2:$D$70,4,FALSE)</f>
        <v>0</v>
      </c>
      <c r="K3784" s="4">
        <f t="shared" si="957"/>
        <v>45735</v>
      </c>
      <c r="L3784" s="5">
        <f t="shared" si="958"/>
        <v>3</v>
      </c>
      <c r="M3784" s="5">
        <f t="shared" si="959"/>
        <v>2025</v>
      </c>
      <c r="N3784" s="135">
        <v>420</v>
      </c>
      <c r="O3784" s="141"/>
      <c r="P3784" s="12">
        <f t="shared" si="947"/>
        <v>420</v>
      </c>
      <c r="Q3784" s="7">
        <f t="shared" si="960"/>
        <v>6208812.7500000019</v>
      </c>
      <c r="R3784" s="44" t="str">
        <f>VLOOKUP(F3784,'Set up'!$A$2:$E$70,5,FALSE)</f>
        <v>Trsf</v>
      </c>
    </row>
    <row r="3785" spans="1:19" ht="16.2" customHeight="1" x14ac:dyDescent="0.3">
      <c r="A3785" s="143">
        <v>45735</v>
      </c>
      <c r="B3785" s="5">
        <f t="shared" si="955"/>
        <v>3</v>
      </c>
      <c r="C3785" s="5">
        <f t="shared" si="956"/>
        <v>2025</v>
      </c>
      <c r="D3785" s="144" t="s">
        <v>3538</v>
      </c>
      <c r="E3785" s="5" t="str">
        <f>VLOOKUP(F3785,'Set up'!$A$2:$C$70,2,FALSE)</f>
        <v>C00000026</v>
      </c>
      <c r="F3785" s="142" t="s">
        <v>784</v>
      </c>
      <c r="G3785" s="142" t="s">
        <v>3539</v>
      </c>
      <c r="H3785" s="145">
        <v>2</v>
      </c>
      <c r="I3785" s="5" t="str">
        <f>VLOOKUP(F3785,'Set up'!$A$2:$C$70,3,FALSE)</f>
        <v>Cash</v>
      </c>
      <c r="J3785" s="5">
        <f>VLOOKUP(F3785,'Set up'!$A$2:$D$70,4,FALSE)</f>
        <v>0</v>
      </c>
      <c r="K3785" s="4">
        <f t="shared" si="957"/>
        <v>45735</v>
      </c>
      <c r="L3785" s="5">
        <f t="shared" si="958"/>
        <v>3</v>
      </c>
      <c r="M3785" s="5">
        <f t="shared" si="959"/>
        <v>2025</v>
      </c>
      <c r="N3785" s="146">
        <v>0</v>
      </c>
      <c r="O3785" s="147"/>
      <c r="P3785" s="34">
        <f t="shared" si="947"/>
        <v>0</v>
      </c>
      <c r="Q3785" s="7">
        <f t="shared" si="960"/>
        <v>6208812.7500000019</v>
      </c>
      <c r="R3785" s="44" t="str">
        <f>VLOOKUP(F3785,'Set up'!$A$2:$E$70,5,FALSE)</f>
        <v>Trsf</v>
      </c>
    </row>
    <row r="3786" spans="1:19" ht="16.2" customHeight="1" x14ac:dyDescent="0.3">
      <c r="A3786" s="140">
        <v>45736</v>
      </c>
      <c r="B3786" s="5">
        <f t="shared" si="955"/>
        <v>3</v>
      </c>
      <c r="C3786" s="5">
        <f t="shared" si="956"/>
        <v>2025</v>
      </c>
      <c r="D3786" s="105" t="s">
        <v>3540</v>
      </c>
      <c r="E3786" s="5" t="str">
        <f>VLOOKUP(F3786,'Set up'!$A$2:$C$70,2,FALSE)</f>
        <v>C00000061</v>
      </c>
      <c r="F3786" s="99" t="s">
        <v>3532</v>
      </c>
      <c r="G3786" s="99" t="s">
        <v>3541</v>
      </c>
      <c r="H3786" s="137">
        <v>1</v>
      </c>
      <c r="I3786" s="5" t="str">
        <f>VLOOKUP(F3786,'Set up'!$A$2:$C$70,3,FALSE)</f>
        <v>Cash</v>
      </c>
      <c r="J3786" s="5">
        <f>VLOOKUP(F3786,'Set up'!$A$2:$D$70,4,FALSE)</f>
        <v>0</v>
      </c>
      <c r="K3786" s="4">
        <f t="shared" si="957"/>
        <v>45736</v>
      </c>
      <c r="L3786" s="5">
        <f t="shared" si="958"/>
        <v>3</v>
      </c>
      <c r="M3786" s="5">
        <f t="shared" si="959"/>
        <v>2025</v>
      </c>
      <c r="N3786" s="135">
        <v>1597.5</v>
      </c>
      <c r="O3786" s="6">
        <f t="shared" ref="O3786:O3791" si="961">-N3786</f>
        <v>-1597.5</v>
      </c>
      <c r="P3786" s="12">
        <f t="shared" si="947"/>
        <v>0</v>
      </c>
      <c r="Q3786" s="7">
        <f t="shared" si="960"/>
        <v>6210410.2500000019</v>
      </c>
      <c r="R3786" s="44" t="str">
        <f>VLOOKUP(F3786,'Set up'!$A$2:$E$70,5,FALSE)</f>
        <v>Cash</v>
      </c>
      <c r="S3786" s="1" t="s">
        <v>3601</v>
      </c>
    </row>
    <row r="3787" spans="1:19" ht="16.2" customHeight="1" x14ac:dyDescent="0.3">
      <c r="A3787" s="140">
        <v>45736</v>
      </c>
      <c r="B3787" s="5">
        <f t="shared" si="955"/>
        <v>3</v>
      </c>
      <c r="C3787" s="5">
        <f t="shared" si="956"/>
        <v>2025</v>
      </c>
      <c r="D3787" s="105" t="s">
        <v>3540</v>
      </c>
      <c r="E3787" s="5" t="str">
        <f>VLOOKUP(F3787,'Set up'!$A$2:$C$70,2,FALSE)</f>
        <v>C00000061</v>
      </c>
      <c r="F3787" s="99" t="s">
        <v>3532</v>
      </c>
      <c r="G3787" s="99" t="s">
        <v>1411</v>
      </c>
      <c r="H3787" s="137">
        <v>1</v>
      </c>
      <c r="I3787" s="5" t="str">
        <f>VLOOKUP(F3787,'Set up'!$A$2:$C$70,3,FALSE)</f>
        <v>Cash</v>
      </c>
      <c r="J3787" s="5">
        <f>VLOOKUP(F3787,'Set up'!$A$2:$D$70,4,FALSE)</f>
        <v>0</v>
      </c>
      <c r="K3787" s="4">
        <f t="shared" si="957"/>
        <v>45736</v>
      </c>
      <c r="L3787" s="5">
        <f t="shared" si="958"/>
        <v>3</v>
      </c>
      <c r="M3787" s="5">
        <f t="shared" si="959"/>
        <v>2025</v>
      </c>
      <c r="N3787" s="135">
        <v>313.2</v>
      </c>
      <c r="O3787" s="141">
        <f>-303.2-10</f>
        <v>-313.2</v>
      </c>
      <c r="P3787" s="12">
        <f t="shared" si="947"/>
        <v>0</v>
      </c>
      <c r="Q3787" s="7">
        <f t="shared" si="960"/>
        <v>6210723.450000002</v>
      </c>
      <c r="R3787" s="44" t="str">
        <f>VLOOKUP(F3787,'Set up'!$A$2:$E$70,5,FALSE)</f>
        <v>Cash</v>
      </c>
      <c r="S3787" s="1" t="s">
        <v>3676</v>
      </c>
    </row>
    <row r="3788" spans="1:19" ht="16.2" customHeight="1" x14ac:dyDescent="0.3">
      <c r="A3788" s="140">
        <v>45736</v>
      </c>
      <c r="B3788" s="5">
        <f t="shared" si="955"/>
        <v>3</v>
      </c>
      <c r="C3788" s="5">
        <f t="shared" si="956"/>
        <v>2025</v>
      </c>
      <c r="D3788" s="105" t="s">
        <v>3540</v>
      </c>
      <c r="E3788" s="5" t="str">
        <f>VLOOKUP(F3788,'Set up'!$A$2:$C$70,2,FALSE)</f>
        <v>C00000061</v>
      </c>
      <c r="F3788" s="99" t="s">
        <v>3532</v>
      </c>
      <c r="G3788" s="99" t="s">
        <v>46</v>
      </c>
      <c r="H3788" s="137">
        <v>1</v>
      </c>
      <c r="I3788" s="5" t="str">
        <f>VLOOKUP(F3788,'Set up'!$A$2:$C$70,3,FALSE)</f>
        <v>Cash</v>
      </c>
      <c r="J3788" s="5">
        <f>VLOOKUP(F3788,'Set up'!$A$2:$D$70,4,FALSE)</f>
        <v>0</v>
      </c>
      <c r="K3788" s="4">
        <f t="shared" si="957"/>
        <v>45736</v>
      </c>
      <c r="L3788" s="5">
        <f t="shared" si="958"/>
        <v>3</v>
      </c>
      <c r="M3788" s="5">
        <f t="shared" si="959"/>
        <v>2025</v>
      </c>
      <c r="N3788" s="135">
        <v>115</v>
      </c>
      <c r="O3788" s="6">
        <f t="shared" si="961"/>
        <v>-115</v>
      </c>
      <c r="P3788" s="12">
        <f t="shared" si="947"/>
        <v>0</v>
      </c>
      <c r="Q3788" s="7">
        <f t="shared" si="960"/>
        <v>6210838.450000002</v>
      </c>
      <c r="R3788" s="44" t="str">
        <f>VLOOKUP(F3788,'Set up'!$A$2:$E$70,5,FALSE)</f>
        <v>Cash</v>
      </c>
      <c r="S3788" s="1" t="s">
        <v>3677</v>
      </c>
    </row>
    <row r="3789" spans="1:19" ht="16.2" customHeight="1" x14ac:dyDescent="0.3">
      <c r="A3789" s="140">
        <v>45736</v>
      </c>
      <c r="B3789" s="5">
        <f t="shared" si="955"/>
        <v>3</v>
      </c>
      <c r="C3789" s="5">
        <f t="shared" si="956"/>
        <v>2025</v>
      </c>
      <c r="D3789" s="105" t="s">
        <v>3540</v>
      </c>
      <c r="E3789" s="5" t="str">
        <f>VLOOKUP(F3789,'Set up'!$A$2:$C$70,2,FALSE)</f>
        <v>C00000061</v>
      </c>
      <c r="F3789" s="99" t="s">
        <v>3532</v>
      </c>
      <c r="G3789" s="99" t="s">
        <v>2635</v>
      </c>
      <c r="H3789" s="137">
        <v>2</v>
      </c>
      <c r="I3789" s="5" t="str">
        <f>VLOOKUP(F3789,'Set up'!$A$2:$C$70,3,FALSE)</f>
        <v>Cash</v>
      </c>
      <c r="J3789" s="5">
        <f>VLOOKUP(F3789,'Set up'!$A$2:$D$70,4,FALSE)</f>
        <v>0</v>
      </c>
      <c r="K3789" s="4">
        <f t="shared" si="957"/>
        <v>45736</v>
      </c>
      <c r="L3789" s="5">
        <f t="shared" si="958"/>
        <v>3</v>
      </c>
      <c r="M3789" s="5">
        <f t="shared" si="959"/>
        <v>2025</v>
      </c>
      <c r="N3789" s="135">
        <v>115</v>
      </c>
      <c r="O3789" s="6">
        <f t="shared" si="961"/>
        <v>-115</v>
      </c>
      <c r="P3789" s="12">
        <f t="shared" si="947"/>
        <v>0</v>
      </c>
      <c r="Q3789" s="7">
        <f t="shared" si="960"/>
        <v>6210953.450000002</v>
      </c>
      <c r="R3789" s="44" t="str">
        <f>VLOOKUP(F3789,'Set up'!$A$2:$E$70,5,FALSE)</f>
        <v>Cash</v>
      </c>
      <c r="S3789" s="1" t="s">
        <v>3677</v>
      </c>
    </row>
    <row r="3790" spans="1:19" ht="16.2" customHeight="1" x14ac:dyDescent="0.3">
      <c r="A3790" s="140">
        <v>45736</v>
      </c>
      <c r="B3790" s="5">
        <f t="shared" si="955"/>
        <v>3</v>
      </c>
      <c r="C3790" s="5">
        <f t="shared" si="956"/>
        <v>2025</v>
      </c>
      <c r="D3790" s="105" t="s">
        <v>3540</v>
      </c>
      <c r="E3790" s="5" t="str">
        <f>VLOOKUP(F3790,'Set up'!$A$2:$C$70,2,FALSE)</f>
        <v>C00000061</v>
      </c>
      <c r="F3790" s="99" t="s">
        <v>3532</v>
      </c>
      <c r="G3790" s="99" t="s">
        <v>949</v>
      </c>
      <c r="H3790" s="137">
        <v>1</v>
      </c>
      <c r="I3790" s="5" t="str">
        <f>VLOOKUP(F3790,'Set up'!$A$2:$C$70,3,FALSE)</f>
        <v>Cash</v>
      </c>
      <c r="J3790" s="5">
        <f>VLOOKUP(F3790,'Set up'!$A$2:$D$70,4,FALSE)</f>
        <v>0</v>
      </c>
      <c r="K3790" s="4">
        <f t="shared" si="957"/>
        <v>45736</v>
      </c>
      <c r="L3790" s="5">
        <f t="shared" si="958"/>
        <v>3</v>
      </c>
      <c r="M3790" s="5">
        <f t="shared" si="959"/>
        <v>2025</v>
      </c>
      <c r="N3790" s="135">
        <v>60</v>
      </c>
      <c r="O3790" s="6">
        <f t="shared" si="961"/>
        <v>-60</v>
      </c>
      <c r="P3790" s="12">
        <f t="shared" si="947"/>
        <v>0</v>
      </c>
      <c r="Q3790" s="7">
        <f t="shared" si="960"/>
        <v>6211013.450000002</v>
      </c>
      <c r="R3790" s="44" t="str">
        <f>VLOOKUP(F3790,'Set up'!$A$2:$E$70,5,FALSE)</f>
        <v>Cash</v>
      </c>
      <c r="S3790" s="1" t="s">
        <v>3678</v>
      </c>
    </row>
    <row r="3791" spans="1:19" ht="16.2" customHeight="1" x14ac:dyDescent="0.3">
      <c r="A3791" s="140">
        <v>45736</v>
      </c>
      <c r="B3791" s="5">
        <f t="shared" si="955"/>
        <v>3</v>
      </c>
      <c r="C3791" s="5">
        <f t="shared" si="956"/>
        <v>2025</v>
      </c>
      <c r="D3791" s="105" t="s">
        <v>3542</v>
      </c>
      <c r="E3791" s="5" t="str">
        <f>VLOOKUP(F3791,'Set up'!$A$2:$C$70,2,FALSE)</f>
        <v>C00000042</v>
      </c>
      <c r="F3791" s="99" t="s">
        <v>2012</v>
      </c>
      <c r="G3791" s="99" t="s">
        <v>2646</v>
      </c>
      <c r="H3791" s="137">
        <v>3</v>
      </c>
      <c r="I3791" s="5" t="str">
        <f>VLOOKUP(F3791,'Set up'!$A$2:$C$70,3,FALSE)</f>
        <v>Cash</v>
      </c>
      <c r="J3791" s="5">
        <f>VLOOKUP(F3791,'Set up'!$A$2:$D$70,4,FALSE)</f>
        <v>0</v>
      </c>
      <c r="K3791" s="4">
        <f t="shared" si="957"/>
        <v>45736</v>
      </c>
      <c r="L3791" s="5">
        <f t="shared" si="958"/>
        <v>3</v>
      </c>
      <c r="M3791" s="5">
        <f t="shared" si="959"/>
        <v>2025</v>
      </c>
      <c r="N3791" s="135">
        <v>187.5</v>
      </c>
      <c r="O3791" s="6">
        <f t="shared" si="961"/>
        <v>-187.5</v>
      </c>
      <c r="P3791" s="12">
        <f t="shared" si="947"/>
        <v>0</v>
      </c>
      <c r="Q3791" s="7">
        <f t="shared" si="960"/>
        <v>6211200.950000002</v>
      </c>
      <c r="R3791" s="44" t="str">
        <f>VLOOKUP(F3791,'Set up'!$A$2:$E$70,5,FALSE)</f>
        <v>Trsf</v>
      </c>
      <c r="S3791" s="1" t="s">
        <v>3986</v>
      </c>
    </row>
    <row r="3792" spans="1:19" ht="16.2" customHeight="1" x14ac:dyDescent="0.3">
      <c r="A3792" s="140">
        <v>45736</v>
      </c>
      <c r="B3792" s="5">
        <f t="shared" si="955"/>
        <v>3</v>
      </c>
      <c r="C3792" s="5">
        <f t="shared" si="956"/>
        <v>2025</v>
      </c>
      <c r="D3792" s="105" t="s">
        <v>3543</v>
      </c>
      <c r="E3792" s="5" t="str">
        <f>VLOOKUP(F3792,'Set up'!$A$2:$C$70,2,FALSE)</f>
        <v>C00000042</v>
      </c>
      <c r="F3792" s="99" t="s">
        <v>2012</v>
      </c>
      <c r="G3792" s="99" t="s">
        <v>3217</v>
      </c>
      <c r="H3792" s="137">
        <v>7</v>
      </c>
      <c r="I3792" s="5" t="str">
        <f>VLOOKUP(F3792,'Set up'!$A$2:$C$70,3,FALSE)</f>
        <v>Cash</v>
      </c>
      <c r="J3792" s="5">
        <f>VLOOKUP(F3792,'Set up'!$A$2:$D$70,4,FALSE)</f>
        <v>0</v>
      </c>
      <c r="K3792" s="4">
        <f t="shared" si="957"/>
        <v>45736</v>
      </c>
      <c r="L3792" s="5">
        <f t="shared" si="958"/>
        <v>3</v>
      </c>
      <c r="M3792" s="5">
        <f t="shared" si="959"/>
        <v>2025</v>
      </c>
      <c r="N3792" s="135">
        <v>11340</v>
      </c>
      <c r="O3792" s="141">
        <f>-567.1-10772.9</f>
        <v>-11340</v>
      </c>
      <c r="P3792" s="12">
        <f t="shared" si="947"/>
        <v>0</v>
      </c>
      <c r="Q3792" s="7">
        <f t="shared" si="960"/>
        <v>6222540.950000002</v>
      </c>
      <c r="R3792" s="44" t="str">
        <f>VLOOKUP(F3792,'Set up'!$A$2:$E$70,5,FALSE)</f>
        <v>Trsf</v>
      </c>
      <c r="S3792" s="1" t="s">
        <v>3989</v>
      </c>
    </row>
    <row r="3793" spans="1:19" ht="16.2" customHeight="1" x14ac:dyDescent="0.3">
      <c r="A3793" s="140">
        <v>45736</v>
      </c>
      <c r="B3793" s="5">
        <f t="shared" si="955"/>
        <v>3</v>
      </c>
      <c r="C3793" s="5">
        <f t="shared" si="956"/>
        <v>2025</v>
      </c>
      <c r="D3793" s="105" t="s">
        <v>3543</v>
      </c>
      <c r="E3793" s="5" t="str">
        <f>VLOOKUP(F3793,'Set up'!$A$2:$C$70,2,FALSE)</f>
        <v>C00000042</v>
      </c>
      <c r="F3793" s="99" t="s">
        <v>2012</v>
      </c>
      <c r="G3793" s="99" t="s">
        <v>2129</v>
      </c>
      <c r="H3793" s="137">
        <v>18</v>
      </c>
      <c r="I3793" s="5" t="str">
        <f>VLOOKUP(F3793,'Set up'!$A$2:$C$70,3,FALSE)</f>
        <v>Cash</v>
      </c>
      <c r="J3793" s="5">
        <f>VLOOKUP(F3793,'Set up'!$A$2:$D$70,4,FALSE)</f>
        <v>0</v>
      </c>
      <c r="K3793" s="4">
        <f t="shared" si="957"/>
        <v>45736</v>
      </c>
      <c r="L3793" s="5">
        <f t="shared" si="958"/>
        <v>3</v>
      </c>
      <c r="M3793" s="5">
        <f t="shared" si="959"/>
        <v>2025</v>
      </c>
      <c r="N3793" s="135">
        <v>3862.8</v>
      </c>
      <c r="O3793" s="6">
        <f t="shared" ref="O3793" si="962">-N3793</f>
        <v>-3862.8</v>
      </c>
      <c r="P3793" s="12">
        <f t="shared" si="947"/>
        <v>0</v>
      </c>
      <c r="Q3793" s="7">
        <f t="shared" si="960"/>
        <v>6226403.7500000019</v>
      </c>
      <c r="R3793" s="44" t="str">
        <f>VLOOKUP(F3793,'Set up'!$A$2:$E$70,5,FALSE)</f>
        <v>Trsf</v>
      </c>
      <c r="S3793" s="1" t="s">
        <v>3990</v>
      </c>
    </row>
    <row r="3794" spans="1:19" ht="16.2" customHeight="1" x14ac:dyDescent="0.3">
      <c r="A3794" s="140">
        <v>45736</v>
      </c>
      <c r="B3794" s="5">
        <f t="shared" si="955"/>
        <v>3</v>
      </c>
      <c r="C3794" s="5">
        <f t="shared" si="956"/>
        <v>2025</v>
      </c>
      <c r="D3794" s="105" t="s">
        <v>3543</v>
      </c>
      <c r="E3794" s="5" t="str">
        <f>VLOOKUP(F3794,'Set up'!$A$2:$C$70,2,FALSE)</f>
        <v>C00000042</v>
      </c>
      <c r="F3794" s="99" t="s">
        <v>2012</v>
      </c>
      <c r="G3794" s="99" t="s">
        <v>1922</v>
      </c>
      <c r="H3794" s="137">
        <v>9</v>
      </c>
      <c r="I3794" s="5" t="str">
        <f>VLOOKUP(F3794,'Set up'!$A$2:$C$70,3,FALSE)</f>
        <v>Cash</v>
      </c>
      <c r="J3794" s="5">
        <f>VLOOKUP(F3794,'Set up'!$A$2:$D$70,4,FALSE)</f>
        <v>0</v>
      </c>
      <c r="K3794" s="4">
        <f t="shared" si="957"/>
        <v>45736</v>
      </c>
      <c r="L3794" s="5">
        <f t="shared" si="958"/>
        <v>3</v>
      </c>
      <c r="M3794" s="5">
        <f t="shared" si="959"/>
        <v>2025</v>
      </c>
      <c r="N3794" s="135">
        <v>2227.5</v>
      </c>
      <c r="O3794" s="141">
        <f>-364.3-1863.2</f>
        <v>-2227.5</v>
      </c>
      <c r="P3794" s="12">
        <f t="shared" si="947"/>
        <v>0</v>
      </c>
      <c r="Q3794" s="7">
        <f t="shared" si="960"/>
        <v>6228631.2500000019</v>
      </c>
      <c r="R3794" s="44" t="str">
        <f>VLOOKUP(F3794,'Set up'!$A$2:$E$70,5,FALSE)</f>
        <v>Trsf</v>
      </c>
      <c r="S3794" s="1" t="s">
        <v>3993</v>
      </c>
    </row>
    <row r="3795" spans="1:19" ht="16.2" customHeight="1" x14ac:dyDescent="0.3">
      <c r="A3795" s="140">
        <v>45736</v>
      </c>
      <c r="B3795" s="5">
        <f t="shared" si="955"/>
        <v>3</v>
      </c>
      <c r="C3795" s="5">
        <f t="shared" si="956"/>
        <v>2025</v>
      </c>
      <c r="D3795" s="105" t="s">
        <v>3543</v>
      </c>
      <c r="E3795" s="5" t="str">
        <f>VLOOKUP(F3795,'Set up'!$A$2:$C$70,2,FALSE)</f>
        <v>C00000042</v>
      </c>
      <c r="F3795" s="99" t="s">
        <v>2012</v>
      </c>
      <c r="G3795" s="99" t="s">
        <v>46</v>
      </c>
      <c r="H3795" s="137">
        <v>4</v>
      </c>
      <c r="I3795" s="5" t="str">
        <f>VLOOKUP(F3795,'Set up'!$A$2:$C$70,3,FALSE)</f>
        <v>Cash</v>
      </c>
      <c r="J3795" s="5">
        <f>VLOOKUP(F3795,'Set up'!$A$2:$D$70,4,FALSE)</f>
        <v>0</v>
      </c>
      <c r="K3795" s="4">
        <f t="shared" si="957"/>
        <v>45736</v>
      </c>
      <c r="L3795" s="5">
        <f t="shared" si="958"/>
        <v>3</v>
      </c>
      <c r="M3795" s="5">
        <f t="shared" si="959"/>
        <v>2025</v>
      </c>
      <c r="N3795" s="135">
        <v>460</v>
      </c>
      <c r="O3795" s="6">
        <f t="shared" ref="O3795:O3797" si="963">-N3795</f>
        <v>-460</v>
      </c>
      <c r="P3795" s="12">
        <f t="shared" si="947"/>
        <v>0</v>
      </c>
      <c r="Q3795" s="7">
        <f t="shared" si="960"/>
        <v>6229091.2500000019</v>
      </c>
      <c r="R3795" s="44" t="str">
        <f>VLOOKUP(F3795,'Set up'!$A$2:$E$70,5,FALSE)</f>
        <v>Trsf</v>
      </c>
      <c r="S3795" s="1" t="s">
        <v>3991</v>
      </c>
    </row>
    <row r="3796" spans="1:19" ht="16.2" customHeight="1" x14ac:dyDescent="0.3">
      <c r="A3796" s="140">
        <v>45738</v>
      </c>
      <c r="B3796" s="5">
        <f t="shared" si="955"/>
        <v>3</v>
      </c>
      <c r="C3796" s="5">
        <f t="shared" si="956"/>
        <v>2025</v>
      </c>
      <c r="D3796" s="105" t="s">
        <v>3544</v>
      </c>
      <c r="E3796" s="5" t="str">
        <f>VLOOKUP(F3796,'Set up'!$A$2:$C$70,2,FALSE)</f>
        <v>C00000042</v>
      </c>
      <c r="F3796" s="99" t="s">
        <v>2012</v>
      </c>
      <c r="G3796" s="99" t="s">
        <v>1922</v>
      </c>
      <c r="H3796" s="137">
        <v>4</v>
      </c>
      <c r="I3796" s="5" t="str">
        <f>VLOOKUP(F3796,'Set up'!$A$2:$C$70,3,FALSE)</f>
        <v>Cash</v>
      </c>
      <c r="J3796" s="5">
        <f>VLOOKUP(F3796,'Set up'!$A$2:$D$70,4,FALSE)</f>
        <v>0</v>
      </c>
      <c r="K3796" s="4">
        <f t="shared" si="957"/>
        <v>45738</v>
      </c>
      <c r="L3796" s="5">
        <f t="shared" si="958"/>
        <v>3</v>
      </c>
      <c r="M3796" s="5">
        <f t="shared" si="959"/>
        <v>2025</v>
      </c>
      <c r="N3796" s="135">
        <v>990</v>
      </c>
      <c r="O3796" s="6">
        <f t="shared" si="963"/>
        <v>-990</v>
      </c>
      <c r="P3796" s="12">
        <f t="shared" si="947"/>
        <v>0</v>
      </c>
      <c r="Q3796" s="7">
        <f t="shared" si="960"/>
        <v>6230081.2500000019</v>
      </c>
      <c r="R3796" s="44" t="str">
        <f>VLOOKUP(F3796,'Set up'!$A$2:$E$70,5,FALSE)</f>
        <v>Trsf</v>
      </c>
      <c r="S3796" s="1" t="s">
        <v>3994</v>
      </c>
    </row>
    <row r="3797" spans="1:19" ht="16.2" customHeight="1" x14ac:dyDescent="0.3">
      <c r="A3797" s="140">
        <v>45738</v>
      </c>
      <c r="B3797" s="5">
        <f t="shared" si="955"/>
        <v>3</v>
      </c>
      <c r="C3797" s="5">
        <f t="shared" si="956"/>
        <v>2025</v>
      </c>
      <c r="D3797" s="105" t="s">
        <v>3544</v>
      </c>
      <c r="E3797" s="5" t="str">
        <f>VLOOKUP(F3797,'Set up'!$A$2:$C$70,2,FALSE)</f>
        <v>C00000042</v>
      </c>
      <c r="F3797" s="99" t="s">
        <v>2012</v>
      </c>
      <c r="G3797" s="99" t="s">
        <v>1073</v>
      </c>
      <c r="H3797" s="137">
        <v>1</v>
      </c>
      <c r="I3797" s="5" t="str">
        <f>VLOOKUP(F3797,'Set up'!$A$2:$C$70,3,FALSE)</f>
        <v>Cash</v>
      </c>
      <c r="J3797" s="5">
        <f>VLOOKUP(F3797,'Set up'!$A$2:$D$70,4,FALSE)</f>
        <v>0</v>
      </c>
      <c r="K3797" s="4">
        <f t="shared" si="957"/>
        <v>45738</v>
      </c>
      <c r="L3797" s="5">
        <f t="shared" si="958"/>
        <v>3</v>
      </c>
      <c r="M3797" s="5">
        <f t="shared" si="959"/>
        <v>2025</v>
      </c>
      <c r="N3797" s="135">
        <v>1000</v>
      </c>
      <c r="O3797" s="6">
        <f t="shared" si="963"/>
        <v>-1000</v>
      </c>
      <c r="P3797" s="12">
        <f t="shared" si="947"/>
        <v>0</v>
      </c>
      <c r="Q3797" s="7">
        <f t="shared" si="960"/>
        <v>6231081.2500000019</v>
      </c>
      <c r="R3797" s="44" t="str">
        <f>VLOOKUP(F3797,'Set up'!$A$2:$E$70,5,FALSE)</f>
        <v>Trsf</v>
      </c>
      <c r="S3797" s="1" t="s">
        <v>3995</v>
      </c>
    </row>
    <row r="3798" spans="1:19" ht="16.2" customHeight="1" x14ac:dyDescent="0.3">
      <c r="A3798" s="140">
        <v>45740</v>
      </c>
      <c r="B3798" s="5">
        <f t="shared" si="955"/>
        <v>3</v>
      </c>
      <c r="C3798" s="5">
        <f t="shared" si="956"/>
        <v>2025</v>
      </c>
      <c r="D3798" s="105" t="s">
        <v>3545</v>
      </c>
      <c r="E3798" s="5" t="str">
        <f>VLOOKUP(F3798,'Set up'!$A$2:$C$70,2,FALSE)</f>
        <v>C00000061</v>
      </c>
      <c r="F3798" s="99" t="s">
        <v>3532</v>
      </c>
      <c r="G3798" s="99" t="s">
        <v>3122</v>
      </c>
      <c r="H3798" s="137">
        <v>1</v>
      </c>
      <c r="I3798" s="5" t="str">
        <f>VLOOKUP(F3798,'Set up'!$A$2:$C$70,3,FALSE)</f>
        <v>Cash</v>
      </c>
      <c r="J3798" s="5">
        <f>VLOOKUP(F3798,'Set up'!$A$2:$D$70,4,FALSE)</f>
        <v>0</v>
      </c>
      <c r="K3798" s="4">
        <f t="shared" si="957"/>
        <v>45740</v>
      </c>
      <c r="L3798" s="5">
        <f t="shared" si="958"/>
        <v>3</v>
      </c>
      <c r="M3798" s="5">
        <f t="shared" si="959"/>
        <v>2025</v>
      </c>
      <c r="N3798" s="135">
        <v>1642.5</v>
      </c>
      <c r="O3798" s="6">
        <f t="shared" ref="O3798:O3802" si="964">-N3798</f>
        <v>-1642.5</v>
      </c>
      <c r="P3798" s="12">
        <f t="shared" si="947"/>
        <v>0</v>
      </c>
      <c r="Q3798" s="7">
        <f t="shared" si="960"/>
        <v>6232723.7500000019</v>
      </c>
      <c r="R3798" s="44" t="str">
        <f>VLOOKUP(F3798,'Set up'!$A$2:$E$70,5,FALSE)</f>
        <v>Cash</v>
      </c>
      <c r="S3798" s="1" t="s">
        <v>3602</v>
      </c>
    </row>
    <row r="3799" spans="1:19" ht="16.2" customHeight="1" x14ac:dyDescent="0.3">
      <c r="A3799" s="140">
        <v>45740</v>
      </c>
      <c r="B3799" s="5">
        <f t="shared" si="955"/>
        <v>3</v>
      </c>
      <c r="C3799" s="5">
        <f t="shared" si="956"/>
        <v>2025</v>
      </c>
      <c r="D3799" s="105" t="s">
        <v>3545</v>
      </c>
      <c r="E3799" s="5" t="str">
        <f>VLOOKUP(F3799,'Set up'!$A$2:$C$70,2,FALSE)</f>
        <v>C00000061</v>
      </c>
      <c r="F3799" s="99" t="s">
        <v>3532</v>
      </c>
      <c r="G3799" s="99" t="s">
        <v>1411</v>
      </c>
      <c r="H3799" s="137">
        <v>1</v>
      </c>
      <c r="I3799" s="5" t="str">
        <f>VLOOKUP(F3799,'Set up'!$A$2:$C$70,3,FALSE)</f>
        <v>Cash</v>
      </c>
      <c r="J3799" s="5">
        <f>VLOOKUP(F3799,'Set up'!$A$2:$D$70,4,FALSE)</f>
        <v>0</v>
      </c>
      <c r="K3799" s="4">
        <f t="shared" si="957"/>
        <v>45740</v>
      </c>
      <c r="L3799" s="5">
        <f t="shared" si="958"/>
        <v>3</v>
      </c>
      <c r="M3799" s="5">
        <f t="shared" si="959"/>
        <v>2025</v>
      </c>
      <c r="N3799" s="135">
        <v>313.2</v>
      </c>
      <c r="O3799" s="6">
        <f t="shared" si="964"/>
        <v>-313.2</v>
      </c>
      <c r="P3799" s="12">
        <f t="shared" si="947"/>
        <v>0</v>
      </c>
      <c r="Q3799" s="7">
        <f t="shared" si="960"/>
        <v>6233036.950000002</v>
      </c>
      <c r="R3799" s="44" t="str">
        <f>VLOOKUP(F3799,'Set up'!$A$2:$E$70,5,FALSE)</f>
        <v>Cash</v>
      </c>
      <c r="S3799" s="1" t="s">
        <v>3602</v>
      </c>
    </row>
    <row r="3800" spans="1:19" ht="16.2" customHeight="1" x14ac:dyDescent="0.3">
      <c r="A3800" s="140">
        <v>45740</v>
      </c>
      <c r="B3800" s="5">
        <f t="shared" si="955"/>
        <v>3</v>
      </c>
      <c r="C3800" s="5">
        <f t="shared" si="956"/>
        <v>2025</v>
      </c>
      <c r="D3800" s="105" t="s">
        <v>3545</v>
      </c>
      <c r="E3800" s="5" t="str">
        <f>VLOOKUP(F3800,'Set up'!$A$2:$C$70,2,FALSE)</f>
        <v>C00000061</v>
      </c>
      <c r="F3800" s="99" t="s">
        <v>3532</v>
      </c>
      <c r="G3800" s="99" t="s">
        <v>46</v>
      </c>
      <c r="H3800" s="137">
        <v>1</v>
      </c>
      <c r="I3800" s="5" t="str">
        <f>VLOOKUP(F3800,'Set up'!$A$2:$C$70,3,FALSE)</f>
        <v>Cash</v>
      </c>
      <c r="J3800" s="5">
        <f>VLOOKUP(F3800,'Set up'!$A$2:$D$70,4,FALSE)</f>
        <v>0</v>
      </c>
      <c r="K3800" s="4">
        <f t="shared" si="957"/>
        <v>45740</v>
      </c>
      <c r="L3800" s="5">
        <f t="shared" si="958"/>
        <v>3</v>
      </c>
      <c r="M3800" s="5">
        <f t="shared" si="959"/>
        <v>2025</v>
      </c>
      <c r="N3800" s="135">
        <v>115</v>
      </c>
      <c r="O3800" s="6">
        <f t="shared" si="964"/>
        <v>-115</v>
      </c>
      <c r="P3800" s="12">
        <f t="shared" si="947"/>
        <v>0</v>
      </c>
      <c r="Q3800" s="7">
        <f t="shared" si="960"/>
        <v>6233151.950000002</v>
      </c>
      <c r="R3800" s="44" t="str">
        <f>VLOOKUP(F3800,'Set up'!$A$2:$E$70,5,FALSE)</f>
        <v>Cash</v>
      </c>
      <c r="S3800" s="1" t="s">
        <v>3602</v>
      </c>
    </row>
    <row r="3801" spans="1:19" ht="16.2" customHeight="1" x14ac:dyDescent="0.3">
      <c r="A3801" s="140">
        <v>45740</v>
      </c>
      <c r="B3801" s="5">
        <f t="shared" si="955"/>
        <v>3</v>
      </c>
      <c r="C3801" s="5">
        <f t="shared" si="956"/>
        <v>2025</v>
      </c>
      <c r="D3801" s="105" t="s">
        <v>3545</v>
      </c>
      <c r="E3801" s="5" t="str">
        <f>VLOOKUP(F3801,'Set up'!$A$2:$C$70,2,FALSE)</f>
        <v>C00000061</v>
      </c>
      <c r="F3801" s="99" t="s">
        <v>3532</v>
      </c>
      <c r="G3801" s="99" t="s">
        <v>2635</v>
      </c>
      <c r="H3801" s="137">
        <v>3</v>
      </c>
      <c r="I3801" s="5" t="str">
        <f>VLOOKUP(F3801,'Set up'!$A$2:$C$70,3,FALSE)</f>
        <v>Cash</v>
      </c>
      <c r="J3801" s="5">
        <f>VLOOKUP(F3801,'Set up'!$A$2:$D$70,4,FALSE)</f>
        <v>0</v>
      </c>
      <c r="K3801" s="4">
        <f t="shared" si="957"/>
        <v>45740</v>
      </c>
      <c r="L3801" s="5">
        <f t="shared" si="958"/>
        <v>3</v>
      </c>
      <c r="M3801" s="5">
        <f t="shared" si="959"/>
        <v>2025</v>
      </c>
      <c r="N3801" s="135">
        <v>172.5</v>
      </c>
      <c r="O3801" s="6">
        <f t="shared" si="964"/>
        <v>-172.5</v>
      </c>
      <c r="P3801" s="12">
        <f t="shared" si="947"/>
        <v>0</v>
      </c>
      <c r="Q3801" s="7">
        <f t="shared" si="960"/>
        <v>6233324.450000002</v>
      </c>
      <c r="R3801" s="44" t="str">
        <f>VLOOKUP(F3801,'Set up'!$A$2:$E$70,5,FALSE)</f>
        <v>Cash</v>
      </c>
      <c r="S3801" s="1" t="s">
        <v>3602</v>
      </c>
    </row>
    <row r="3802" spans="1:19" ht="16.2" customHeight="1" x14ac:dyDescent="0.3">
      <c r="A3802" s="140">
        <v>45740</v>
      </c>
      <c r="B3802" s="5">
        <f t="shared" si="955"/>
        <v>3</v>
      </c>
      <c r="C3802" s="5">
        <f t="shared" si="956"/>
        <v>2025</v>
      </c>
      <c r="D3802" s="105" t="s">
        <v>3546</v>
      </c>
      <c r="E3802" s="5" t="str">
        <f>VLOOKUP(F3802,'Set up'!$A$2:$C$70,2,FALSE)</f>
        <v>C00000042</v>
      </c>
      <c r="F3802" s="99" t="s">
        <v>2012</v>
      </c>
      <c r="G3802" s="99" t="s">
        <v>2646</v>
      </c>
      <c r="H3802" s="137">
        <v>6</v>
      </c>
      <c r="I3802" s="5" t="str">
        <f>VLOOKUP(F3802,'Set up'!$A$2:$C$70,3,FALSE)</f>
        <v>Cash</v>
      </c>
      <c r="J3802" s="5">
        <f>VLOOKUP(F3802,'Set up'!$A$2:$D$70,4,FALSE)</f>
        <v>0</v>
      </c>
      <c r="K3802" s="4">
        <f t="shared" si="957"/>
        <v>45740</v>
      </c>
      <c r="L3802" s="5">
        <f t="shared" si="958"/>
        <v>3</v>
      </c>
      <c r="M3802" s="5">
        <f t="shared" si="959"/>
        <v>2025</v>
      </c>
      <c r="N3802" s="135">
        <v>375</v>
      </c>
      <c r="O3802" s="6">
        <f t="shared" si="964"/>
        <v>-375</v>
      </c>
      <c r="P3802" s="12">
        <f t="shared" si="947"/>
        <v>0</v>
      </c>
      <c r="Q3802" s="7">
        <f t="shared" si="960"/>
        <v>6233699.450000002</v>
      </c>
      <c r="R3802" s="44" t="str">
        <f>VLOOKUP(F3802,'Set up'!$A$2:$E$70,5,FALSE)</f>
        <v>Trsf</v>
      </c>
      <c r="S3802" s="1" t="s">
        <v>3992</v>
      </c>
    </row>
    <row r="3803" spans="1:19" ht="16.2" customHeight="1" x14ac:dyDescent="0.3">
      <c r="A3803" s="140">
        <v>45740</v>
      </c>
      <c r="B3803" s="5">
        <f t="shared" si="955"/>
        <v>3</v>
      </c>
      <c r="C3803" s="5">
        <f t="shared" si="956"/>
        <v>2025</v>
      </c>
      <c r="D3803" s="105" t="s">
        <v>3547</v>
      </c>
      <c r="E3803" s="5" t="str">
        <f>VLOOKUP(F3803,'Set up'!$A$2:$C$70,2,FALSE)</f>
        <v>C00000042</v>
      </c>
      <c r="F3803" s="99" t="s">
        <v>2012</v>
      </c>
      <c r="G3803" s="99" t="s">
        <v>3217</v>
      </c>
      <c r="H3803" s="137">
        <v>12</v>
      </c>
      <c r="I3803" s="5" t="str">
        <f>VLOOKUP(F3803,'Set up'!$A$2:$C$70,3,FALSE)</f>
        <v>Cash</v>
      </c>
      <c r="J3803" s="5">
        <f>VLOOKUP(F3803,'Set up'!$A$2:$D$70,4,FALSE)</f>
        <v>0</v>
      </c>
      <c r="K3803" s="4">
        <f t="shared" si="957"/>
        <v>45740</v>
      </c>
      <c r="L3803" s="5">
        <f t="shared" si="958"/>
        <v>3</v>
      </c>
      <c r="M3803" s="5">
        <f t="shared" si="959"/>
        <v>2025</v>
      </c>
      <c r="N3803" s="135">
        <v>19440</v>
      </c>
      <c r="O3803" s="141">
        <f>-5311.8</f>
        <v>-5311.8</v>
      </c>
      <c r="P3803" s="12">
        <f t="shared" si="947"/>
        <v>14128.2</v>
      </c>
      <c r="Q3803" s="7">
        <f t="shared" si="960"/>
        <v>6253139.450000002</v>
      </c>
      <c r="R3803" s="44" t="str">
        <f>VLOOKUP(F3803,'Set up'!$A$2:$E$70,5,FALSE)</f>
        <v>Trsf</v>
      </c>
      <c r="S3803" s="1" t="s">
        <v>3996</v>
      </c>
    </row>
    <row r="3804" spans="1:19" ht="16.2" customHeight="1" x14ac:dyDescent="0.3">
      <c r="A3804" s="140">
        <v>45740</v>
      </c>
      <c r="B3804" s="5">
        <f t="shared" si="955"/>
        <v>3</v>
      </c>
      <c r="C3804" s="5">
        <f t="shared" si="956"/>
        <v>2025</v>
      </c>
      <c r="D3804" s="105" t="s">
        <v>3547</v>
      </c>
      <c r="E3804" s="5" t="str">
        <f>VLOOKUP(F3804,'Set up'!$A$2:$C$70,2,FALSE)</f>
        <v>C00000042</v>
      </c>
      <c r="F3804" s="99" t="s">
        <v>2012</v>
      </c>
      <c r="G3804" s="99" t="s">
        <v>2129</v>
      </c>
      <c r="H3804" s="137">
        <v>40</v>
      </c>
      <c r="I3804" s="5" t="str">
        <f>VLOOKUP(F3804,'Set up'!$A$2:$C$70,3,FALSE)</f>
        <v>Cash</v>
      </c>
      <c r="J3804" s="5">
        <f>VLOOKUP(F3804,'Set up'!$A$2:$D$70,4,FALSE)</f>
        <v>0</v>
      </c>
      <c r="K3804" s="4">
        <f t="shared" si="957"/>
        <v>45740</v>
      </c>
      <c r="L3804" s="5">
        <f t="shared" si="958"/>
        <v>3</v>
      </c>
      <c r="M3804" s="5">
        <f t="shared" si="959"/>
        <v>2025</v>
      </c>
      <c r="N3804" s="135">
        <v>8584</v>
      </c>
      <c r="O3804" s="141"/>
      <c r="P3804" s="12">
        <f t="shared" si="947"/>
        <v>8584</v>
      </c>
      <c r="Q3804" s="7">
        <f t="shared" si="960"/>
        <v>6261723.450000002</v>
      </c>
      <c r="R3804" s="44" t="str">
        <f>VLOOKUP(F3804,'Set up'!$A$2:$E$70,5,FALSE)</f>
        <v>Trsf</v>
      </c>
    </row>
    <row r="3805" spans="1:19" ht="16.2" customHeight="1" x14ac:dyDescent="0.3">
      <c r="A3805" s="140">
        <v>45740</v>
      </c>
      <c r="B3805" s="5">
        <f t="shared" si="955"/>
        <v>3</v>
      </c>
      <c r="C3805" s="5">
        <f t="shared" si="956"/>
        <v>2025</v>
      </c>
      <c r="D3805" s="105" t="s">
        <v>3547</v>
      </c>
      <c r="E3805" s="5" t="str">
        <f>VLOOKUP(F3805,'Set up'!$A$2:$C$70,2,FALSE)</f>
        <v>C00000042</v>
      </c>
      <c r="F3805" s="99" t="s">
        <v>2012</v>
      </c>
      <c r="G3805" s="99" t="s">
        <v>1922</v>
      </c>
      <c r="H3805" s="137">
        <v>20</v>
      </c>
      <c r="I3805" s="5" t="str">
        <f>VLOOKUP(F3805,'Set up'!$A$2:$C$70,3,FALSE)</f>
        <v>Cash</v>
      </c>
      <c r="J3805" s="5">
        <f>VLOOKUP(F3805,'Set up'!$A$2:$D$70,4,FALSE)</f>
        <v>0</v>
      </c>
      <c r="K3805" s="4">
        <f t="shared" si="957"/>
        <v>45740</v>
      </c>
      <c r="L3805" s="5">
        <f t="shared" si="958"/>
        <v>3</v>
      </c>
      <c r="M3805" s="5">
        <f t="shared" si="959"/>
        <v>2025</v>
      </c>
      <c r="N3805" s="135">
        <v>4950</v>
      </c>
      <c r="O3805" s="141"/>
      <c r="P3805" s="12">
        <f t="shared" si="947"/>
        <v>4950</v>
      </c>
      <c r="Q3805" s="7">
        <f t="shared" si="960"/>
        <v>6266673.450000002</v>
      </c>
      <c r="R3805" s="44" t="str">
        <f>VLOOKUP(F3805,'Set up'!$A$2:$E$70,5,FALSE)</f>
        <v>Trsf</v>
      </c>
    </row>
    <row r="3806" spans="1:19" ht="16.2" customHeight="1" x14ac:dyDescent="0.3">
      <c r="A3806" s="140">
        <v>45740</v>
      </c>
      <c r="B3806" s="5">
        <f t="shared" si="955"/>
        <v>3</v>
      </c>
      <c r="C3806" s="5">
        <f t="shared" si="956"/>
        <v>2025</v>
      </c>
      <c r="D3806" s="105" t="s">
        <v>3547</v>
      </c>
      <c r="E3806" s="5" t="str">
        <f>VLOOKUP(F3806,'Set up'!$A$2:$C$70,2,FALSE)</f>
        <v>C00000042</v>
      </c>
      <c r="F3806" s="99" t="s">
        <v>2012</v>
      </c>
      <c r="G3806" s="99" t="s">
        <v>46</v>
      </c>
      <c r="H3806" s="137">
        <v>4</v>
      </c>
      <c r="I3806" s="5" t="str">
        <f>VLOOKUP(F3806,'Set up'!$A$2:$C$70,3,FALSE)</f>
        <v>Cash</v>
      </c>
      <c r="J3806" s="5">
        <f>VLOOKUP(F3806,'Set up'!$A$2:$D$70,4,FALSE)</f>
        <v>0</v>
      </c>
      <c r="K3806" s="4">
        <f t="shared" si="957"/>
        <v>45740</v>
      </c>
      <c r="L3806" s="5">
        <f t="shared" si="958"/>
        <v>3</v>
      </c>
      <c r="M3806" s="5">
        <f t="shared" si="959"/>
        <v>2025</v>
      </c>
      <c r="N3806" s="135">
        <v>460</v>
      </c>
      <c r="O3806" s="141"/>
      <c r="P3806" s="12">
        <f t="shared" si="947"/>
        <v>460</v>
      </c>
      <c r="Q3806" s="7">
        <f t="shared" si="960"/>
        <v>6267133.450000002</v>
      </c>
      <c r="R3806" s="44" t="str">
        <f>VLOOKUP(F3806,'Set up'!$A$2:$E$70,5,FALSE)</f>
        <v>Trsf</v>
      </c>
    </row>
    <row r="3807" spans="1:19" ht="16.2" customHeight="1" x14ac:dyDescent="0.3">
      <c r="A3807" s="140">
        <v>45740</v>
      </c>
      <c r="B3807" s="5">
        <f t="shared" si="955"/>
        <v>3</v>
      </c>
      <c r="C3807" s="5">
        <f t="shared" si="956"/>
        <v>2025</v>
      </c>
      <c r="D3807" s="105" t="s">
        <v>3547</v>
      </c>
      <c r="E3807" s="5" t="str">
        <f>VLOOKUP(F3807,'Set up'!$A$2:$C$70,2,FALSE)</f>
        <v>C00000042</v>
      </c>
      <c r="F3807" s="99" t="s">
        <v>2012</v>
      </c>
      <c r="G3807" s="99" t="s">
        <v>2744</v>
      </c>
      <c r="H3807" s="137">
        <v>1</v>
      </c>
      <c r="I3807" s="5" t="str">
        <f>VLOOKUP(F3807,'Set up'!$A$2:$C$70,3,FALSE)</f>
        <v>Cash</v>
      </c>
      <c r="J3807" s="5">
        <f>VLOOKUP(F3807,'Set up'!$A$2:$D$70,4,FALSE)</f>
        <v>0</v>
      </c>
      <c r="K3807" s="4">
        <f t="shared" si="957"/>
        <v>45740</v>
      </c>
      <c r="L3807" s="5">
        <f t="shared" si="958"/>
        <v>3</v>
      </c>
      <c r="M3807" s="5">
        <f t="shared" si="959"/>
        <v>2025</v>
      </c>
      <c r="N3807" s="135">
        <v>975</v>
      </c>
      <c r="O3807" s="141"/>
      <c r="P3807" s="12">
        <f t="shared" si="947"/>
        <v>975</v>
      </c>
      <c r="Q3807" s="7">
        <f t="shared" si="960"/>
        <v>6268108.450000002</v>
      </c>
      <c r="R3807" s="44" t="str">
        <f>VLOOKUP(F3807,'Set up'!$A$2:$E$70,5,FALSE)</f>
        <v>Trsf</v>
      </c>
    </row>
    <row r="3808" spans="1:19" ht="16.2" customHeight="1" x14ac:dyDescent="0.3">
      <c r="A3808" s="140">
        <v>45743</v>
      </c>
      <c r="B3808" s="5">
        <f t="shared" si="955"/>
        <v>3</v>
      </c>
      <c r="C3808" s="5">
        <f t="shared" si="956"/>
        <v>2025</v>
      </c>
      <c r="D3808" s="105" t="s">
        <v>3548</v>
      </c>
      <c r="E3808" s="5" t="str">
        <f>VLOOKUP(F3808,'Set up'!$A$2:$C$70,2,FALSE)</f>
        <v>C00000013</v>
      </c>
      <c r="F3808" s="99" t="s">
        <v>3549</v>
      </c>
      <c r="G3808" s="99" t="s">
        <v>2133</v>
      </c>
      <c r="H3808" s="137">
        <v>2</v>
      </c>
      <c r="I3808" s="5" t="str">
        <f>VLOOKUP(F3808,'Set up'!$A$2:$C$70,3,FALSE)</f>
        <v>Cash</v>
      </c>
      <c r="J3808" s="5">
        <f>VLOOKUP(F3808,'Set up'!$A$2:$D$70,4,FALSE)</f>
        <v>0</v>
      </c>
      <c r="K3808" s="4">
        <f t="shared" si="957"/>
        <v>45743</v>
      </c>
      <c r="L3808" s="5">
        <f t="shared" si="958"/>
        <v>3</v>
      </c>
      <c r="M3808" s="5">
        <f t="shared" si="959"/>
        <v>2025</v>
      </c>
      <c r="N3808" s="135">
        <v>810</v>
      </c>
      <c r="O3808" s="6">
        <f t="shared" ref="O3808:O3812" si="965">-N3808</f>
        <v>-810</v>
      </c>
      <c r="P3808" s="6">
        <f t="shared" ref="P3808:P3871" si="966">SUM(N3808+O3808)</f>
        <v>0</v>
      </c>
      <c r="Q3808" s="7">
        <f t="shared" si="960"/>
        <v>6268918.450000002</v>
      </c>
      <c r="R3808" s="44" t="str">
        <f>VLOOKUP(F3808,'Set up'!$A$2:$E$70,5,FALSE)</f>
        <v>Chq</v>
      </c>
      <c r="S3808" s="1" t="s">
        <v>3596</v>
      </c>
    </row>
    <row r="3809" spans="1:19" ht="16.2" customHeight="1" x14ac:dyDescent="0.3">
      <c r="A3809" s="140">
        <v>45743</v>
      </c>
      <c r="B3809" s="5">
        <f t="shared" si="955"/>
        <v>3</v>
      </c>
      <c r="C3809" s="5">
        <f t="shared" si="956"/>
        <v>2025</v>
      </c>
      <c r="D3809" s="105" t="s">
        <v>3548</v>
      </c>
      <c r="E3809" s="5" t="str">
        <f>VLOOKUP(F3809,'Set up'!$A$2:$C$70,2,FALSE)</f>
        <v>C00000013</v>
      </c>
      <c r="F3809" s="99" t="s">
        <v>3549</v>
      </c>
      <c r="G3809" s="99" t="s">
        <v>1013</v>
      </c>
      <c r="H3809" s="137">
        <v>5</v>
      </c>
      <c r="I3809" s="5" t="str">
        <f>VLOOKUP(F3809,'Set up'!$A$2:$C$70,3,FALSE)</f>
        <v>Cash</v>
      </c>
      <c r="J3809" s="5">
        <f>VLOOKUP(F3809,'Set up'!$A$2:$D$70,4,FALSE)</f>
        <v>0</v>
      </c>
      <c r="K3809" s="4">
        <f t="shared" si="957"/>
        <v>45743</v>
      </c>
      <c r="L3809" s="5">
        <f t="shared" si="958"/>
        <v>3</v>
      </c>
      <c r="M3809" s="5">
        <f t="shared" si="959"/>
        <v>2025</v>
      </c>
      <c r="N3809" s="135">
        <v>1400</v>
      </c>
      <c r="O3809" s="6">
        <f t="shared" si="965"/>
        <v>-1400</v>
      </c>
      <c r="P3809" s="6">
        <f t="shared" si="966"/>
        <v>0</v>
      </c>
      <c r="Q3809" s="7">
        <f t="shared" si="960"/>
        <v>6270318.450000002</v>
      </c>
      <c r="R3809" s="44" t="str">
        <f>VLOOKUP(F3809,'Set up'!$A$2:$E$70,5,FALSE)</f>
        <v>Chq</v>
      </c>
      <c r="S3809" s="1" t="s">
        <v>3596</v>
      </c>
    </row>
    <row r="3810" spans="1:19" ht="16.2" customHeight="1" x14ac:dyDescent="0.3">
      <c r="A3810" s="140">
        <v>45743</v>
      </c>
      <c r="B3810" s="5">
        <f t="shared" si="955"/>
        <v>3</v>
      </c>
      <c r="C3810" s="5">
        <f t="shared" si="956"/>
        <v>2025</v>
      </c>
      <c r="D3810" s="105" t="s">
        <v>3548</v>
      </c>
      <c r="E3810" s="5" t="str">
        <f>VLOOKUP(F3810,'Set up'!$A$2:$C$70,2,FALSE)</f>
        <v>C00000013</v>
      </c>
      <c r="F3810" s="99" t="s">
        <v>3549</v>
      </c>
      <c r="G3810" s="99" t="s">
        <v>1743</v>
      </c>
      <c r="H3810" s="137">
        <v>1</v>
      </c>
      <c r="I3810" s="5" t="str">
        <f>VLOOKUP(F3810,'Set up'!$A$2:$C$70,3,FALSE)</f>
        <v>Cash</v>
      </c>
      <c r="J3810" s="5">
        <f>VLOOKUP(F3810,'Set up'!$A$2:$D$70,4,FALSE)</f>
        <v>0</v>
      </c>
      <c r="K3810" s="4">
        <f t="shared" si="957"/>
        <v>45743</v>
      </c>
      <c r="L3810" s="5">
        <f t="shared" si="958"/>
        <v>3</v>
      </c>
      <c r="M3810" s="5">
        <f t="shared" si="959"/>
        <v>2025</v>
      </c>
      <c r="N3810" s="135">
        <v>55.2</v>
      </c>
      <c r="O3810" s="6">
        <f t="shared" si="965"/>
        <v>-55.2</v>
      </c>
      <c r="P3810" s="6">
        <f t="shared" si="966"/>
        <v>0</v>
      </c>
      <c r="Q3810" s="7">
        <f t="shared" si="960"/>
        <v>6270373.6500000022</v>
      </c>
      <c r="R3810" s="44" t="str">
        <f>VLOOKUP(F3810,'Set up'!$A$2:$E$70,5,FALSE)</f>
        <v>Chq</v>
      </c>
      <c r="S3810" s="1" t="s">
        <v>3596</v>
      </c>
    </row>
    <row r="3811" spans="1:19" ht="16.2" customHeight="1" x14ac:dyDescent="0.3">
      <c r="A3811" s="140">
        <v>45743</v>
      </c>
      <c r="B3811" s="5">
        <f t="shared" si="955"/>
        <v>3</v>
      </c>
      <c r="C3811" s="5">
        <f t="shared" si="956"/>
        <v>2025</v>
      </c>
      <c r="D3811" s="105" t="s">
        <v>3548</v>
      </c>
      <c r="E3811" s="5" t="str">
        <f>VLOOKUP(F3811,'Set up'!$A$2:$C$70,2,FALSE)</f>
        <v>C00000013</v>
      </c>
      <c r="F3811" s="99" t="s">
        <v>3549</v>
      </c>
      <c r="G3811" s="99" t="s">
        <v>1469</v>
      </c>
      <c r="H3811" s="137">
        <v>4</v>
      </c>
      <c r="I3811" s="5" t="str">
        <f>VLOOKUP(F3811,'Set up'!$A$2:$C$70,3,FALSE)</f>
        <v>Cash</v>
      </c>
      <c r="J3811" s="5">
        <f>VLOOKUP(F3811,'Set up'!$A$2:$D$70,4,FALSE)</f>
        <v>0</v>
      </c>
      <c r="K3811" s="4">
        <f t="shared" si="957"/>
        <v>45743</v>
      </c>
      <c r="L3811" s="5">
        <f t="shared" si="958"/>
        <v>3</v>
      </c>
      <c r="M3811" s="5">
        <f t="shared" si="959"/>
        <v>2025</v>
      </c>
      <c r="N3811" s="135">
        <v>1720</v>
      </c>
      <c r="O3811" s="6">
        <f t="shared" si="965"/>
        <v>-1720</v>
      </c>
      <c r="P3811" s="6">
        <f t="shared" si="966"/>
        <v>0</v>
      </c>
      <c r="Q3811" s="7">
        <f t="shared" si="960"/>
        <v>6272093.6500000022</v>
      </c>
      <c r="R3811" s="44" t="str">
        <f>VLOOKUP(F3811,'Set up'!$A$2:$E$70,5,FALSE)</f>
        <v>Chq</v>
      </c>
      <c r="S3811" s="1" t="s">
        <v>3596</v>
      </c>
    </row>
    <row r="3812" spans="1:19" ht="16.2" customHeight="1" x14ac:dyDescent="0.3">
      <c r="A3812" s="140">
        <v>45743</v>
      </c>
      <c r="B3812" s="5">
        <f t="shared" si="955"/>
        <v>3</v>
      </c>
      <c r="C3812" s="5">
        <f t="shared" si="956"/>
        <v>2025</v>
      </c>
      <c r="D3812" s="105" t="s">
        <v>3548</v>
      </c>
      <c r="E3812" s="5" t="str">
        <f>VLOOKUP(F3812,'Set up'!$A$2:$C$70,2,FALSE)</f>
        <v>C00000013</v>
      </c>
      <c r="F3812" s="99" t="s">
        <v>3549</v>
      </c>
      <c r="G3812" s="99" t="s">
        <v>3539</v>
      </c>
      <c r="H3812" s="137">
        <v>10</v>
      </c>
      <c r="I3812" s="5" t="str">
        <f>VLOOKUP(F3812,'Set up'!$A$2:$C$70,3,FALSE)</f>
        <v>Cash</v>
      </c>
      <c r="J3812" s="5">
        <f>VLOOKUP(F3812,'Set up'!$A$2:$D$70,4,FALSE)</f>
        <v>0</v>
      </c>
      <c r="K3812" s="4">
        <f t="shared" si="957"/>
        <v>45743</v>
      </c>
      <c r="L3812" s="5">
        <f t="shared" si="958"/>
        <v>3</v>
      </c>
      <c r="M3812" s="5">
        <f t="shared" si="959"/>
        <v>2025</v>
      </c>
      <c r="N3812" s="135">
        <v>2838</v>
      </c>
      <c r="O3812" s="6">
        <f t="shared" si="965"/>
        <v>-2838</v>
      </c>
      <c r="P3812" s="6">
        <f t="shared" si="966"/>
        <v>0</v>
      </c>
      <c r="Q3812" s="7">
        <f t="shared" si="960"/>
        <v>6274931.6500000022</v>
      </c>
      <c r="R3812" s="44" t="str">
        <f>VLOOKUP(F3812,'Set up'!$A$2:$E$70,5,FALSE)</f>
        <v>Chq</v>
      </c>
      <c r="S3812" s="1" t="s">
        <v>3596</v>
      </c>
    </row>
    <row r="3813" spans="1:19" ht="16.2" customHeight="1" x14ac:dyDescent="0.3">
      <c r="A3813" s="140">
        <v>45744</v>
      </c>
      <c r="B3813" s="5">
        <f t="shared" si="955"/>
        <v>3</v>
      </c>
      <c r="C3813" s="5">
        <f t="shared" si="956"/>
        <v>2025</v>
      </c>
      <c r="D3813" s="105" t="s">
        <v>3550</v>
      </c>
      <c r="E3813" s="5" t="str">
        <f>VLOOKUP(F3813,'Set up'!$A$2:$C$70,2,FALSE)</f>
        <v>C00000042</v>
      </c>
      <c r="F3813" s="99" t="s">
        <v>2012</v>
      </c>
      <c r="G3813" s="99" t="s">
        <v>2646</v>
      </c>
      <c r="H3813" s="137">
        <v>6</v>
      </c>
      <c r="I3813" s="5" t="str">
        <f>VLOOKUP(F3813,'Set up'!$A$2:$C$70,3,FALSE)</f>
        <v>Cash</v>
      </c>
      <c r="J3813" s="5">
        <f>VLOOKUP(F3813,'Set up'!$A$2:$D$70,4,FALSE)</f>
        <v>0</v>
      </c>
      <c r="K3813" s="4">
        <f t="shared" si="957"/>
        <v>45744</v>
      </c>
      <c r="L3813" s="5">
        <f t="shared" si="958"/>
        <v>3</v>
      </c>
      <c r="M3813" s="5">
        <f t="shared" si="959"/>
        <v>2025</v>
      </c>
      <c r="N3813" s="135">
        <v>375</v>
      </c>
      <c r="O3813" s="141"/>
      <c r="P3813" s="12">
        <f t="shared" si="966"/>
        <v>375</v>
      </c>
      <c r="Q3813" s="7">
        <f t="shared" si="960"/>
        <v>6275306.6500000022</v>
      </c>
      <c r="R3813" s="44" t="str">
        <f>VLOOKUP(F3813,'Set up'!$A$2:$E$70,5,FALSE)</f>
        <v>Trsf</v>
      </c>
    </row>
    <row r="3814" spans="1:19" ht="16.2" customHeight="1" x14ac:dyDescent="0.3">
      <c r="A3814" s="140">
        <v>45744</v>
      </c>
      <c r="B3814" s="5">
        <f t="shared" si="955"/>
        <v>3</v>
      </c>
      <c r="C3814" s="5">
        <f t="shared" si="956"/>
        <v>2025</v>
      </c>
      <c r="D3814" s="105" t="s">
        <v>3551</v>
      </c>
      <c r="E3814" s="5" t="str">
        <f>VLOOKUP(F3814,'Set up'!$A$2:$C$70,2,FALSE)</f>
        <v>C00000042</v>
      </c>
      <c r="F3814" s="99" t="s">
        <v>2012</v>
      </c>
      <c r="G3814" s="99" t="s">
        <v>3122</v>
      </c>
      <c r="H3814" s="137">
        <v>12</v>
      </c>
      <c r="I3814" s="5" t="str">
        <f>VLOOKUP(F3814,'Set up'!$A$2:$C$70,3,FALSE)</f>
        <v>Cash</v>
      </c>
      <c r="J3814" s="5">
        <f>VLOOKUP(F3814,'Set up'!$A$2:$D$70,4,FALSE)</f>
        <v>0</v>
      </c>
      <c r="K3814" s="4">
        <f t="shared" si="957"/>
        <v>45744</v>
      </c>
      <c r="L3814" s="5">
        <f t="shared" si="958"/>
        <v>3</v>
      </c>
      <c r="M3814" s="5">
        <f t="shared" si="959"/>
        <v>2025</v>
      </c>
      <c r="N3814" s="135">
        <v>19440</v>
      </c>
      <c r="O3814" s="141"/>
      <c r="P3814" s="12">
        <f t="shared" si="966"/>
        <v>19440</v>
      </c>
      <c r="Q3814" s="7">
        <f t="shared" si="960"/>
        <v>6294746.6500000022</v>
      </c>
      <c r="R3814" s="44" t="str">
        <f>VLOOKUP(F3814,'Set up'!$A$2:$E$70,5,FALSE)</f>
        <v>Trsf</v>
      </c>
    </row>
    <row r="3815" spans="1:19" ht="16.2" customHeight="1" x14ac:dyDescent="0.3">
      <c r="A3815" s="140">
        <v>45744</v>
      </c>
      <c r="B3815" s="5">
        <f t="shared" si="955"/>
        <v>3</v>
      </c>
      <c r="C3815" s="5">
        <f t="shared" si="956"/>
        <v>2025</v>
      </c>
      <c r="D3815" s="105" t="s">
        <v>3551</v>
      </c>
      <c r="E3815" s="5" t="str">
        <f>VLOOKUP(F3815,'Set up'!$A$2:$C$70,2,FALSE)</f>
        <v>C00000042</v>
      </c>
      <c r="F3815" s="99" t="s">
        <v>2012</v>
      </c>
      <c r="G3815" s="99" t="s">
        <v>2129</v>
      </c>
      <c r="H3815" s="137">
        <v>36</v>
      </c>
      <c r="I3815" s="5" t="str">
        <f>VLOOKUP(F3815,'Set up'!$A$2:$C$70,3,FALSE)</f>
        <v>Cash</v>
      </c>
      <c r="J3815" s="5">
        <f>VLOOKUP(F3815,'Set up'!$A$2:$D$70,4,FALSE)</f>
        <v>0</v>
      </c>
      <c r="K3815" s="4">
        <f t="shared" si="957"/>
        <v>45744</v>
      </c>
      <c r="L3815" s="5">
        <f t="shared" si="958"/>
        <v>3</v>
      </c>
      <c r="M3815" s="5">
        <f t="shared" si="959"/>
        <v>2025</v>
      </c>
      <c r="N3815" s="135">
        <v>7725.6</v>
      </c>
      <c r="O3815" s="141"/>
      <c r="P3815" s="12">
        <f t="shared" si="966"/>
        <v>7725.6</v>
      </c>
      <c r="Q3815" s="7">
        <f t="shared" si="960"/>
        <v>6302472.2500000019</v>
      </c>
      <c r="R3815" s="44" t="str">
        <f>VLOOKUP(F3815,'Set up'!$A$2:$E$70,5,FALSE)</f>
        <v>Trsf</v>
      </c>
    </row>
    <row r="3816" spans="1:19" ht="16.2" customHeight="1" x14ac:dyDescent="0.3">
      <c r="A3816" s="140">
        <v>45744</v>
      </c>
      <c r="B3816" s="5">
        <f t="shared" si="955"/>
        <v>3</v>
      </c>
      <c r="C3816" s="5">
        <f t="shared" si="956"/>
        <v>2025</v>
      </c>
      <c r="D3816" s="105" t="s">
        <v>3551</v>
      </c>
      <c r="E3816" s="5" t="str">
        <f>VLOOKUP(F3816,'Set up'!$A$2:$C$70,2,FALSE)</f>
        <v>C00000042</v>
      </c>
      <c r="F3816" s="99" t="s">
        <v>2012</v>
      </c>
      <c r="G3816" s="99" t="s">
        <v>1922</v>
      </c>
      <c r="H3816" s="137">
        <v>10</v>
      </c>
      <c r="I3816" s="5" t="str">
        <f>VLOOKUP(F3816,'Set up'!$A$2:$C$70,3,FALSE)</f>
        <v>Cash</v>
      </c>
      <c r="J3816" s="5">
        <f>VLOOKUP(F3816,'Set up'!$A$2:$D$70,4,FALSE)</f>
        <v>0</v>
      </c>
      <c r="K3816" s="4">
        <f t="shared" si="957"/>
        <v>45744</v>
      </c>
      <c r="L3816" s="5">
        <f t="shared" si="958"/>
        <v>3</v>
      </c>
      <c r="M3816" s="5">
        <f t="shared" si="959"/>
        <v>2025</v>
      </c>
      <c r="N3816" s="135">
        <v>2475</v>
      </c>
      <c r="O3816" s="141"/>
      <c r="P3816" s="12">
        <f t="shared" si="966"/>
        <v>2475</v>
      </c>
      <c r="Q3816" s="7">
        <f t="shared" si="960"/>
        <v>6304947.2500000019</v>
      </c>
      <c r="R3816" s="44" t="str">
        <f>VLOOKUP(F3816,'Set up'!$A$2:$E$70,5,FALSE)</f>
        <v>Trsf</v>
      </c>
    </row>
    <row r="3817" spans="1:19" ht="16.2" customHeight="1" x14ac:dyDescent="0.3">
      <c r="A3817" s="140">
        <v>45744</v>
      </c>
      <c r="B3817" s="5">
        <f t="shared" si="955"/>
        <v>3</v>
      </c>
      <c r="C3817" s="5">
        <f t="shared" si="956"/>
        <v>2025</v>
      </c>
      <c r="D3817" s="105" t="s">
        <v>3551</v>
      </c>
      <c r="E3817" s="5" t="str">
        <f>VLOOKUP(F3817,'Set up'!$A$2:$C$70,2,FALSE)</f>
        <v>C00000042</v>
      </c>
      <c r="F3817" s="99" t="s">
        <v>2012</v>
      </c>
      <c r="G3817" s="99" t="s">
        <v>2029</v>
      </c>
      <c r="H3817" s="137">
        <v>8</v>
      </c>
      <c r="I3817" s="5" t="str">
        <f>VLOOKUP(F3817,'Set up'!$A$2:$C$70,3,FALSE)</f>
        <v>Cash</v>
      </c>
      <c r="J3817" s="5">
        <f>VLOOKUP(F3817,'Set up'!$A$2:$D$70,4,FALSE)</f>
        <v>0</v>
      </c>
      <c r="K3817" s="4">
        <f t="shared" si="957"/>
        <v>45744</v>
      </c>
      <c r="L3817" s="5">
        <f t="shared" si="958"/>
        <v>3</v>
      </c>
      <c r="M3817" s="5">
        <f t="shared" si="959"/>
        <v>2025</v>
      </c>
      <c r="N3817" s="135">
        <v>1760</v>
      </c>
      <c r="O3817" s="141"/>
      <c r="P3817" s="12">
        <f t="shared" si="966"/>
        <v>1760</v>
      </c>
      <c r="Q3817" s="7">
        <f t="shared" si="960"/>
        <v>6306707.2500000019</v>
      </c>
      <c r="R3817" s="44" t="str">
        <f>VLOOKUP(F3817,'Set up'!$A$2:$E$70,5,FALSE)</f>
        <v>Trsf</v>
      </c>
    </row>
    <row r="3818" spans="1:19" ht="16.2" customHeight="1" x14ac:dyDescent="0.3">
      <c r="A3818" s="140">
        <v>45744</v>
      </c>
      <c r="B3818" s="5">
        <f t="shared" si="955"/>
        <v>3</v>
      </c>
      <c r="C3818" s="5">
        <f t="shared" si="956"/>
        <v>2025</v>
      </c>
      <c r="D3818" s="105" t="s">
        <v>3551</v>
      </c>
      <c r="E3818" s="5" t="str">
        <f>VLOOKUP(F3818,'Set up'!$A$2:$C$70,2,FALSE)</f>
        <v>C00000042</v>
      </c>
      <c r="F3818" s="99" t="s">
        <v>2012</v>
      </c>
      <c r="G3818" s="99" t="s">
        <v>46</v>
      </c>
      <c r="H3818" s="137">
        <v>8</v>
      </c>
      <c r="I3818" s="5" t="str">
        <f>VLOOKUP(F3818,'Set up'!$A$2:$C$70,3,FALSE)</f>
        <v>Cash</v>
      </c>
      <c r="J3818" s="5">
        <f>VLOOKUP(F3818,'Set up'!$A$2:$D$70,4,FALSE)</f>
        <v>0</v>
      </c>
      <c r="K3818" s="4">
        <f t="shared" si="957"/>
        <v>45744</v>
      </c>
      <c r="L3818" s="5">
        <f t="shared" si="958"/>
        <v>3</v>
      </c>
      <c r="M3818" s="5">
        <f t="shared" si="959"/>
        <v>2025</v>
      </c>
      <c r="N3818" s="135">
        <v>920</v>
      </c>
      <c r="O3818" s="141"/>
      <c r="P3818" s="12">
        <f t="shared" si="966"/>
        <v>920</v>
      </c>
      <c r="Q3818" s="7">
        <f t="shared" si="960"/>
        <v>6307627.2500000019</v>
      </c>
      <c r="R3818" s="44" t="str">
        <f>VLOOKUP(F3818,'Set up'!$A$2:$E$70,5,FALSE)</f>
        <v>Trsf</v>
      </c>
    </row>
    <row r="3819" spans="1:19" ht="16.2" customHeight="1" x14ac:dyDescent="0.3">
      <c r="A3819" s="140">
        <v>45744</v>
      </c>
      <c r="B3819" s="5">
        <f t="shared" si="955"/>
        <v>3</v>
      </c>
      <c r="C3819" s="5">
        <f t="shared" si="956"/>
        <v>2025</v>
      </c>
      <c r="D3819" s="105" t="s">
        <v>3551</v>
      </c>
      <c r="E3819" s="5" t="str">
        <f>VLOOKUP(F3819,'Set up'!$A$2:$C$70,2,FALSE)</f>
        <v>C00000042</v>
      </c>
      <c r="F3819" s="99" t="s">
        <v>2012</v>
      </c>
      <c r="G3819" s="99" t="s">
        <v>2744</v>
      </c>
      <c r="H3819" s="137">
        <v>1</v>
      </c>
      <c r="I3819" s="5" t="str">
        <f>VLOOKUP(F3819,'Set up'!$A$2:$C$70,3,FALSE)</f>
        <v>Cash</v>
      </c>
      <c r="J3819" s="5">
        <f>VLOOKUP(F3819,'Set up'!$A$2:$D$70,4,FALSE)</f>
        <v>0</v>
      </c>
      <c r="K3819" s="4">
        <f t="shared" si="957"/>
        <v>45744</v>
      </c>
      <c r="L3819" s="5">
        <f t="shared" si="958"/>
        <v>3</v>
      </c>
      <c r="M3819" s="5">
        <f t="shared" si="959"/>
        <v>2025</v>
      </c>
      <c r="N3819" s="135">
        <v>975</v>
      </c>
      <c r="O3819" s="141"/>
      <c r="P3819" s="12">
        <f t="shared" si="966"/>
        <v>975</v>
      </c>
      <c r="Q3819" s="7">
        <f t="shared" si="960"/>
        <v>6308602.2500000019</v>
      </c>
      <c r="R3819" s="44" t="str">
        <f>VLOOKUP(F3819,'Set up'!$A$2:$E$70,5,FALSE)</f>
        <v>Trsf</v>
      </c>
    </row>
    <row r="3820" spans="1:19" ht="16.2" customHeight="1" x14ac:dyDescent="0.3">
      <c r="A3820" s="140">
        <v>45744</v>
      </c>
      <c r="B3820" s="5">
        <f t="shared" si="955"/>
        <v>3</v>
      </c>
      <c r="C3820" s="5">
        <f t="shared" si="956"/>
        <v>2025</v>
      </c>
      <c r="D3820" s="105" t="s">
        <v>3551</v>
      </c>
      <c r="E3820" s="5" t="str">
        <f>VLOOKUP(F3820,'Set up'!$A$2:$C$70,2,FALSE)</f>
        <v>C00000042</v>
      </c>
      <c r="F3820" s="99" t="s">
        <v>2012</v>
      </c>
      <c r="G3820" s="99" t="s">
        <v>1073</v>
      </c>
      <c r="H3820" s="137">
        <v>1</v>
      </c>
      <c r="I3820" s="5" t="str">
        <f>VLOOKUP(F3820,'Set up'!$A$2:$C$70,3,FALSE)</f>
        <v>Cash</v>
      </c>
      <c r="J3820" s="5">
        <f>VLOOKUP(F3820,'Set up'!$A$2:$D$70,4,FALSE)</f>
        <v>0</v>
      </c>
      <c r="K3820" s="4">
        <f t="shared" si="957"/>
        <v>45744</v>
      </c>
      <c r="L3820" s="5">
        <f t="shared" si="958"/>
        <v>3</v>
      </c>
      <c r="M3820" s="5">
        <f t="shared" si="959"/>
        <v>2025</v>
      </c>
      <c r="N3820" s="135">
        <v>1000</v>
      </c>
      <c r="O3820" s="141"/>
      <c r="P3820" s="12">
        <f t="shared" si="966"/>
        <v>1000</v>
      </c>
      <c r="Q3820" s="7">
        <f t="shared" si="960"/>
        <v>6309602.2500000019</v>
      </c>
      <c r="R3820" s="44" t="str">
        <f>VLOOKUP(F3820,'Set up'!$A$2:$E$70,5,FALSE)</f>
        <v>Trsf</v>
      </c>
    </row>
    <row r="3821" spans="1:19" ht="16.2" customHeight="1" x14ac:dyDescent="0.3">
      <c r="A3821" s="140">
        <v>45744</v>
      </c>
      <c r="B3821" s="5">
        <f t="shared" si="955"/>
        <v>3</v>
      </c>
      <c r="C3821" s="5">
        <f t="shared" si="956"/>
        <v>2025</v>
      </c>
      <c r="D3821" s="105" t="s">
        <v>3551</v>
      </c>
      <c r="E3821" s="5" t="str">
        <f>VLOOKUP(F3821,'Set up'!$A$2:$C$70,2,FALSE)</f>
        <v>C00000042</v>
      </c>
      <c r="F3821" s="99" t="s">
        <v>2012</v>
      </c>
      <c r="G3821" s="99" t="s">
        <v>2002</v>
      </c>
      <c r="H3821" s="137">
        <v>1</v>
      </c>
      <c r="I3821" s="5" t="str">
        <f>VLOOKUP(F3821,'Set up'!$A$2:$C$70,3,FALSE)</f>
        <v>Cash</v>
      </c>
      <c r="J3821" s="5">
        <f>VLOOKUP(F3821,'Set up'!$A$2:$D$70,4,FALSE)</f>
        <v>0</v>
      </c>
      <c r="K3821" s="4">
        <f t="shared" si="957"/>
        <v>45744</v>
      </c>
      <c r="L3821" s="5">
        <f t="shared" si="958"/>
        <v>3</v>
      </c>
      <c r="M3821" s="5">
        <f t="shared" si="959"/>
        <v>2025</v>
      </c>
      <c r="N3821" s="135">
        <v>900</v>
      </c>
      <c r="O3821" s="141"/>
      <c r="P3821" s="12">
        <f t="shared" si="966"/>
        <v>900</v>
      </c>
      <c r="Q3821" s="7">
        <f t="shared" si="960"/>
        <v>6310502.2500000019</v>
      </c>
      <c r="R3821" s="44" t="str">
        <f>VLOOKUP(F3821,'Set up'!$A$2:$E$70,5,FALSE)</f>
        <v>Trsf</v>
      </c>
    </row>
    <row r="3822" spans="1:19" ht="16.2" customHeight="1" x14ac:dyDescent="0.3">
      <c r="A3822" s="140">
        <v>45745</v>
      </c>
      <c r="B3822" s="5">
        <f t="shared" si="955"/>
        <v>3</v>
      </c>
      <c r="C3822" s="5">
        <f t="shared" si="956"/>
        <v>2025</v>
      </c>
      <c r="D3822" s="105" t="s">
        <v>3552</v>
      </c>
      <c r="E3822" s="5" t="str">
        <f>VLOOKUP(F3822,'Set up'!$A$2:$C$70,2,FALSE)</f>
        <v>C00000019</v>
      </c>
      <c r="F3822" s="99" t="s">
        <v>400</v>
      </c>
      <c r="G3822" s="99" t="s">
        <v>3122</v>
      </c>
      <c r="H3822" s="137">
        <v>1</v>
      </c>
      <c r="I3822" s="5" t="str">
        <f>VLOOKUP(F3822,'Set up'!$A$2:$C$70,3,FALSE)</f>
        <v>Cash</v>
      </c>
      <c r="J3822" s="5">
        <f>VLOOKUP(F3822,'Set up'!$A$2:$D$70,4,FALSE)</f>
        <v>0</v>
      </c>
      <c r="K3822" s="4">
        <f t="shared" si="957"/>
        <v>45745</v>
      </c>
      <c r="L3822" s="5">
        <f t="shared" si="958"/>
        <v>3</v>
      </c>
      <c r="M3822" s="5">
        <f t="shared" si="959"/>
        <v>2025</v>
      </c>
      <c r="N3822" s="135">
        <v>1755</v>
      </c>
      <c r="O3822" s="141"/>
      <c r="P3822" s="12">
        <f t="shared" si="966"/>
        <v>1755</v>
      </c>
      <c r="Q3822" s="7">
        <f t="shared" si="960"/>
        <v>6312257.2500000019</v>
      </c>
      <c r="R3822" s="44" t="str">
        <f>VLOOKUP(F3822,'Set up'!$A$2:$E$70,5,FALSE)</f>
        <v>Trsf</v>
      </c>
    </row>
    <row r="3823" spans="1:19" ht="16.2" customHeight="1" x14ac:dyDescent="0.3">
      <c r="A3823" s="140">
        <v>45745</v>
      </c>
      <c r="B3823" s="5">
        <f t="shared" si="955"/>
        <v>3</v>
      </c>
      <c r="C3823" s="5">
        <f t="shared" si="956"/>
        <v>2025</v>
      </c>
      <c r="D3823" s="105" t="s">
        <v>3552</v>
      </c>
      <c r="E3823" s="5" t="str">
        <f>VLOOKUP(F3823,'Set up'!$A$2:$C$70,2,FALSE)</f>
        <v>C00000019</v>
      </c>
      <c r="F3823" s="99" t="s">
        <v>400</v>
      </c>
      <c r="G3823" s="99" t="s">
        <v>2144</v>
      </c>
      <c r="H3823" s="137">
        <v>1</v>
      </c>
      <c r="I3823" s="5" t="str">
        <f>VLOOKUP(F3823,'Set up'!$A$2:$C$70,3,FALSE)</f>
        <v>Cash</v>
      </c>
      <c r="J3823" s="5">
        <f>VLOOKUP(F3823,'Set up'!$A$2:$D$70,4,FALSE)</f>
        <v>0</v>
      </c>
      <c r="K3823" s="4">
        <f t="shared" si="957"/>
        <v>45745</v>
      </c>
      <c r="L3823" s="5">
        <f t="shared" si="958"/>
        <v>3</v>
      </c>
      <c r="M3823" s="5">
        <f t="shared" si="959"/>
        <v>2025</v>
      </c>
      <c r="N3823" s="135">
        <v>283.8</v>
      </c>
      <c r="O3823" s="141"/>
      <c r="P3823" s="12">
        <f t="shared" si="966"/>
        <v>283.8</v>
      </c>
      <c r="Q3823" s="7">
        <f t="shared" si="960"/>
        <v>6312541.0500000017</v>
      </c>
      <c r="R3823" s="44" t="str">
        <f>VLOOKUP(F3823,'Set up'!$A$2:$E$70,5,FALSE)</f>
        <v>Trsf</v>
      </c>
    </row>
    <row r="3824" spans="1:19" ht="16.2" customHeight="1" x14ac:dyDescent="0.3">
      <c r="A3824" s="140">
        <v>45745</v>
      </c>
      <c r="B3824" s="5">
        <f t="shared" si="955"/>
        <v>3</v>
      </c>
      <c r="C3824" s="5">
        <f t="shared" si="956"/>
        <v>2025</v>
      </c>
      <c r="D3824" s="105" t="s">
        <v>3552</v>
      </c>
      <c r="E3824" s="5" t="str">
        <f>VLOOKUP(F3824,'Set up'!$A$2:$C$70,2,FALSE)</f>
        <v>C00000019</v>
      </c>
      <c r="F3824" s="99" t="s">
        <v>400</v>
      </c>
      <c r="G3824" s="99" t="s">
        <v>46</v>
      </c>
      <c r="H3824" s="137">
        <v>1</v>
      </c>
      <c r="I3824" s="5" t="str">
        <f>VLOOKUP(F3824,'Set up'!$A$2:$C$70,3,FALSE)</f>
        <v>Cash</v>
      </c>
      <c r="J3824" s="5">
        <f>VLOOKUP(F3824,'Set up'!$A$2:$D$70,4,FALSE)</f>
        <v>0</v>
      </c>
      <c r="K3824" s="4">
        <f t="shared" si="957"/>
        <v>45745</v>
      </c>
      <c r="L3824" s="5">
        <f t="shared" si="958"/>
        <v>3</v>
      </c>
      <c r="M3824" s="5">
        <f t="shared" si="959"/>
        <v>2025</v>
      </c>
      <c r="N3824" s="135">
        <v>110</v>
      </c>
      <c r="O3824" s="141"/>
      <c r="P3824" s="12">
        <f t="shared" si="966"/>
        <v>110</v>
      </c>
      <c r="Q3824" s="7">
        <f t="shared" si="960"/>
        <v>6312651.0500000017</v>
      </c>
      <c r="R3824" s="44" t="str">
        <f>VLOOKUP(F3824,'Set up'!$A$2:$E$70,5,FALSE)</f>
        <v>Trsf</v>
      </c>
    </row>
    <row r="3825" spans="1:19" ht="16.2" customHeight="1" x14ac:dyDescent="0.3">
      <c r="A3825" s="140">
        <v>45745</v>
      </c>
      <c r="B3825" s="5">
        <f t="shared" si="955"/>
        <v>3</v>
      </c>
      <c r="C3825" s="5">
        <f t="shared" si="956"/>
        <v>2025</v>
      </c>
      <c r="D3825" s="105" t="s">
        <v>3552</v>
      </c>
      <c r="E3825" s="5" t="str">
        <f>VLOOKUP(F3825,'Set up'!$A$2:$C$70,2,FALSE)</f>
        <v>C00000019</v>
      </c>
      <c r="F3825" s="99" t="s">
        <v>400</v>
      </c>
      <c r="G3825" s="99" t="s">
        <v>2635</v>
      </c>
      <c r="H3825" s="137">
        <v>3</v>
      </c>
      <c r="I3825" s="5" t="str">
        <f>VLOOKUP(F3825,'Set up'!$A$2:$C$70,3,FALSE)</f>
        <v>Cash</v>
      </c>
      <c r="J3825" s="5">
        <f>VLOOKUP(F3825,'Set up'!$A$2:$D$70,4,FALSE)</f>
        <v>0</v>
      </c>
      <c r="K3825" s="4">
        <f t="shared" si="957"/>
        <v>45745</v>
      </c>
      <c r="L3825" s="5">
        <f t="shared" si="958"/>
        <v>3</v>
      </c>
      <c r="M3825" s="5">
        <f t="shared" si="959"/>
        <v>2025</v>
      </c>
      <c r="N3825" s="135">
        <v>187.5</v>
      </c>
      <c r="O3825" s="141"/>
      <c r="P3825" s="12">
        <f t="shared" si="966"/>
        <v>187.5</v>
      </c>
      <c r="Q3825" s="7">
        <f t="shared" si="960"/>
        <v>6312838.5500000017</v>
      </c>
      <c r="R3825" s="44" t="str">
        <f>VLOOKUP(F3825,'Set up'!$A$2:$E$70,5,FALSE)</f>
        <v>Trsf</v>
      </c>
    </row>
    <row r="3826" spans="1:19" ht="16.2" customHeight="1" x14ac:dyDescent="0.3">
      <c r="A3826" s="140">
        <v>45745</v>
      </c>
      <c r="B3826" s="5">
        <f t="shared" si="955"/>
        <v>3</v>
      </c>
      <c r="C3826" s="5">
        <f t="shared" si="956"/>
        <v>2025</v>
      </c>
      <c r="D3826" s="105" t="s">
        <v>3552</v>
      </c>
      <c r="E3826" s="5" t="str">
        <f>VLOOKUP(F3826,'Set up'!$A$2:$C$70,2,FALSE)</f>
        <v>C00000019</v>
      </c>
      <c r="F3826" s="99" t="s">
        <v>400</v>
      </c>
      <c r="G3826" s="99" t="s">
        <v>949</v>
      </c>
      <c r="H3826" s="137">
        <v>2</v>
      </c>
      <c r="I3826" s="5" t="str">
        <f>VLOOKUP(F3826,'Set up'!$A$2:$C$70,3,FALSE)</f>
        <v>Cash</v>
      </c>
      <c r="J3826" s="5">
        <f>VLOOKUP(F3826,'Set up'!$A$2:$D$70,4,FALSE)</f>
        <v>0</v>
      </c>
      <c r="K3826" s="4">
        <f t="shared" si="957"/>
        <v>45745</v>
      </c>
      <c r="L3826" s="5">
        <f t="shared" si="958"/>
        <v>3</v>
      </c>
      <c r="M3826" s="5">
        <f t="shared" si="959"/>
        <v>2025</v>
      </c>
      <c r="N3826" s="135">
        <v>120</v>
      </c>
      <c r="O3826" s="141"/>
      <c r="P3826" s="12">
        <f t="shared" si="966"/>
        <v>120</v>
      </c>
      <c r="Q3826" s="7">
        <f t="shared" si="960"/>
        <v>6312958.5500000017</v>
      </c>
      <c r="R3826" s="44" t="str">
        <f>VLOOKUP(F3826,'Set up'!$A$2:$E$70,5,FALSE)</f>
        <v>Trsf</v>
      </c>
    </row>
    <row r="3827" spans="1:19" ht="16.2" customHeight="1" x14ac:dyDescent="0.3">
      <c r="A3827" s="140">
        <v>45745</v>
      </c>
      <c r="B3827" s="5">
        <f t="shared" si="955"/>
        <v>3</v>
      </c>
      <c r="C3827" s="5">
        <f t="shared" si="956"/>
        <v>2025</v>
      </c>
      <c r="D3827" s="105" t="s">
        <v>3553</v>
      </c>
      <c r="E3827" s="5" t="str">
        <f>VLOOKUP(F3827,'Set up'!$A$2:$C$70,2,FALSE)</f>
        <v>C00000061</v>
      </c>
      <c r="F3827" s="99" t="s">
        <v>3532</v>
      </c>
      <c r="G3827" s="99" t="s">
        <v>3541</v>
      </c>
      <c r="H3827" s="137">
        <v>1</v>
      </c>
      <c r="I3827" s="5" t="str">
        <f>VLOOKUP(F3827,'Set up'!$A$2:$C$70,3,FALSE)</f>
        <v>Cash</v>
      </c>
      <c r="J3827" s="5">
        <f>VLOOKUP(F3827,'Set up'!$A$2:$D$70,4,FALSE)</f>
        <v>0</v>
      </c>
      <c r="K3827" s="4">
        <f t="shared" si="957"/>
        <v>45745</v>
      </c>
      <c r="L3827" s="5">
        <f t="shared" si="958"/>
        <v>3</v>
      </c>
      <c r="M3827" s="5">
        <f t="shared" si="959"/>
        <v>2025</v>
      </c>
      <c r="N3827" s="135">
        <v>1597.5</v>
      </c>
      <c r="O3827" s="6">
        <f t="shared" ref="O3827:O3830" si="967">-N3827</f>
        <v>-1597.5</v>
      </c>
      <c r="P3827" s="12">
        <f t="shared" si="966"/>
        <v>0</v>
      </c>
      <c r="Q3827" s="7">
        <f t="shared" si="960"/>
        <v>6314556.0500000017</v>
      </c>
      <c r="R3827" s="44" t="str">
        <f>VLOOKUP(F3827,'Set up'!$A$2:$E$70,5,FALSE)</f>
        <v>Cash</v>
      </c>
      <c r="S3827" s="1" t="s">
        <v>3679</v>
      </c>
    </row>
    <row r="3828" spans="1:19" ht="16.2" customHeight="1" x14ac:dyDescent="0.3">
      <c r="A3828" s="140">
        <v>45745</v>
      </c>
      <c r="B3828" s="5">
        <f t="shared" si="955"/>
        <v>3</v>
      </c>
      <c r="C3828" s="5">
        <f t="shared" si="956"/>
        <v>2025</v>
      </c>
      <c r="D3828" s="105" t="s">
        <v>3553</v>
      </c>
      <c r="E3828" s="5" t="str">
        <f>VLOOKUP(F3828,'Set up'!$A$2:$C$70,2,FALSE)</f>
        <v>C00000061</v>
      </c>
      <c r="F3828" s="99" t="s">
        <v>3532</v>
      </c>
      <c r="G3828" s="99" t="s">
        <v>1411</v>
      </c>
      <c r="H3828" s="137">
        <v>1</v>
      </c>
      <c r="I3828" s="5" t="str">
        <f>VLOOKUP(F3828,'Set up'!$A$2:$C$70,3,FALSE)</f>
        <v>Cash</v>
      </c>
      <c r="J3828" s="5">
        <f>VLOOKUP(F3828,'Set up'!$A$2:$D$70,4,FALSE)</f>
        <v>0</v>
      </c>
      <c r="K3828" s="4">
        <f t="shared" si="957"/>
        <v>45745</v>
      </c>
      <c r="L3828" s="5">
        <f t="shared" si="958"/>
        <v>3</v>
      </c>
      <c r="M3828" s="5">
        <f t="shared" si="959"/>
        <v>2025</v>
      </c>
      <c r="N3828" s="135">
        <v>313.2</v>
      </c>
      <c r="O3828" s="6">
        <f t="shared" si="967"/>
        <v>-313.2</v>
      </c>
      <c r="P3828" s="12">
        <f t="shared" si="966"/>
        <v>0</v>
      </c>
      <c r="Q3828" s="7">
        <f t="shared" si="960"/>
        <v>6314869.2500000019</v>
      </c>
      <c r="R3828" s="44" t="str">
        <f>VLOOKUP(F3828,'Set up'!$A$2:$E$70,5,FALSE)</f>
        <v>Cash</v>
      </c>
      <c r="S3828" s="1" t="s">
        <v>3679</v>
      </c>
    </row>
    <row r="3829" spans="1:19" ht="16.2" customHeight="1" x14ac:dyDescent="0.3">
      <c r="A3829" s="140">
        <v>45745</v>
      </c>
      <c r="B3829" s="5">
        <f t="shared" si="955"/>
        <v>3</v>
      </c>
      <c r="C3829" s="5">
        <f t="shared" si="956"/>
        <v>2025</v>
      </c>
      <c r="D3829" s="105" t="s">
        <v>3553</v>
      </c>
      <c r="E3829" s="5" t="str">
        <f>VLOOKUP(F3829,'Set up'!$A$2:$C$70,2,FALSE)</f>
        <v>C00000061</v>
      </c>
      <c r="F3829" s="99" t="s">
        <v>3532</v>
      </c>
      <c r="G3829" s="99" t="s">
        <v>46</v>
      </c>
      <c r="H3829" s="137">
        <v>1</v>
      </c>
      <c r="I3829" s="5" t="str">
        <f>VLOOKUP(F3829,'Set up'!$A$2:$C$70,3,FALSE)</f>
        <v>Cash</v>
      </c>
      <c r="J3829" s="5">
        <f>VLOOKUP(F3829,'Set up'!$A$2:$D$70,4,FALSE)</f>
        <v>0</v>
      </c>
      <c r="K3829" s="4">
        <f t="shared" si="957"/>
        <v>45745</v>
      </c>
      <c r="L3829" s="5">
        <f t="shared" si="958"/>
        <v>3</v>
      </c>
      <c r="M3829" s="5">
        <f t="shared" si="959"/>
        <v>2025</v>
      </c>
      <c r="N3829" s="135">
        <v>115</v>
      </c>
      <c r="O3829" s="6">
        <f t="shared" si="967"/>
        <v>-115</v>
      </c>
      <c r="P3829" s="12">
        <f t="shared" si="966"/>
        <v>0</v>
      </c>
      <c r="Q3829" s="7">
        <f t="shared" si="960"/>
        <v>6314984.2500000019</v>
      </c>
      <c r="R3829" s="44" t="str">
        <f>VLOOKUP(F3829,'Set up'!$A$2:$E$70,5,FALSE)</f>
        <v>Cash</v>
      </c>
      <c r="S3829" s="1" t="s">
        <v>3679</v>
      </c>
    </row>
    <row r="3830" spans="1:19" ht="15" customHeight="1" x14ac:dyDescent="0.3">
      <c r="A3830" s="140">
        <v>45745</v>
      </c>
      <c r="B3830" s="5">
        <f t="shared" si="955"/>
        <v>3</v>
      </c>
      <c r="C3830" s="5">
        <f t="shared" si="956"/>
        <v>2025</v>
      </c>
      <c r="D3830" s="105" t="s">
        <v>3553</v>
      </c>
      <c r="E3830" s="5" t="str">
        <f>VLOOKUP(F3830,'Set up'!$A$2:$C$70,2,FALSE)</f>
        <v>C00000061</v>
      </c>
      <c r="F3830" s="99" t="s">
        <v>3532</v>
      </c>
      <c r="G3830" s="99" t="s">
        <v>2635</v>
      </c>
      <c r="H3830" s="137">
        <v>3</v>
      </c>
      <c r="I3830" s="5" t="str">
        <f>VLOOKUP(F3830,'Set up'!$A$2:$C$70,3,FALSE)</f>
        <v>Cash</v>
      </c>
      <c r="J3830" s="5">
        <f>VLOOKUP(F3830,'Set up'!$A$2:$D$70,4,FALSE)</f>
        <v>0</v>
      </c>
      <c r="K3830" s="4">
        <f t="shared" si="957"/>
        <v>45745</v>
      </c>
      <c r="L3830" s="5">
        <f t="shared" si="958"/>
        <v>3</v>
      </c>
      <c r="M3830" s="5">
        <f t="shared" si="959"/>
        <v>2025</v>
      </c>
      <c r="N3830" s="135">
        <v>172.5</v>
      </c>
      <c r="O3830" s="6">
        <f t="shared" si="967"/>
        <v>-172.5</v>
      </c>
      <c r="P3830" s="12">
        <f t="shared" si="966"/>
        <v>0</v>
      </c>
      <c r="Q3830" s="7">
        <f t="shared" si="960"/>
        <v>6315156.7500000019</v>
      </c>
      <c r="R3830" s="44" t="str">
        <f>VLOOKUP(F3830,'Set up'!$A$2:$E$70,5,FALSE)</f>
        <v>Cash</v>
      </c>
      <c r="S3830" s="1" t="s">
        <v>3679</v>
      </c>
    </row>
    <row r="3831" spans="1:19" ht="16.2" customHeight="1" x14ac:dyDescent="0.3">
      <c r="A3831" s="140" t="s">
        <v>3613</v>
      </c>
      <c r="B3831" s="5">
        <f t="shared" si="955"/>
        <v>4</v>
      </c>
      <c r="C3831" s="5">
        <f t="shared" si="956"/>
        <v>2025</v>
      </c>
      <c r="D3831" s="105" t="s">
        <v>3614</v>
      </c>
      <c r="E3831" s="5" t="str">
        <f>VLOOKUP(F3831,'Set up'!$A$2:$C$70,2,FALSE)</f>
        <v>C00000050</v>
      </c>
      <c r="F3831" s="99" t="s">
        <v>2656</v>
      </c>
      <c r="G3831" s="99" t="s">
        <v>3615</v>
      </c>
      <c r="H3831" s="137">
        <v>1</v>
      </c>
      <c r="I3831" s="5" t="str">
        <f>VLOOKUP(F3831,'Set up'!$A$2:$C$70,3,FALSE)</f>
        <v>Cash</v>
      </c>
      <c r="J3831" s="5">
        <f>VLOOKUP(F3831,'Set up'!$A$2:$D$70,4,FALSE)</f>
        <v>0</v>
      </c>
      <c r="K3831" s="4">
        <f t="shared" si="957"/>
        <v>45750</v>
      </c>
      <c r="L3831" s="5">
        <f t="shared" si="958"/>
        <v>4</v>
      </c>
      <c r="M3831" s="5">
        <f t="shared" si="959"/>
        <v>2025</v>
      </c>
      <c r="N3831" s="135">
        <v>1710</v>
      </c>
      <c r="O3831" s="6">
        <f t="shared" ref="O3831:O3832" si="968">-N3831</f>
        <v>-1710</v>
      </c>
      <c r="P3831" s="12">
        <f t="shared" si="966"/>
        <v>0</v>
      </c>
      <c r="Q3831" s="7">
        <f t="shared" si="960"/>
        <v>6316866.7500000019</v>
      </c>
      <c r="R3831" s="44" t="str">
        <f>VLOOKUP(F3831,'Set up'!$A$2:$E$70,5,FALSE)</f>
        <v>Cash</v>
      </c>
      <c r="S3831" s="1" t="s">
        <v>3675</v>
      </c>
    </row>
    <row r="3832" spans="1:19" ht="16.2" customHeight="1" x14ac:dyDescent="0.3">
      <c r="A3832" s="140" t="s">
        <v>3613</v>
      </c>
      <c r="B3832" s="5">
        <f t="shared" si="955"/>
        <v>4</v>
      </c>
      <c r="C3832" s="5">
        <f t="shared" si="956"/>
        <v>2025</v>
      </c>
      <c r="D3832" s="105" t="s">
        <v>3614</v>
      </c>
      <c r="E3832" s="5" t="str">
        <f>VLOOKUP(F3832,'Set up'!$A$2:$C$70,2,FALSE)</f>
        <v>C00000050</v>
      </c>
      <c r="F3832" s="99" t="s">
        <v>2656</v>
      </c>
      <c r="G3832" s="99" t="s">
        <v>2129</v>
      </c>
      <c r="H3832" s="137">
        <v>2</v>
      </c>
      <c r="I3832" s="5" t="str">
        <f>VLOOKUP(F3832,'Set up'!$A$2:$C$70,3,FALSE)</f>
        <v>Cash</v>
      </c>
      <c r="J3832" s="5">
        <f>VLOOKUP(F3832,'Set up'!$A$2:$D$70,4,FALSE)</f>
        <v>0</v>
      </c>
      <c r="K3832" s="4">
        <f t="shared" si="957"/>
        <v>45750</v>
      </c>
      <c r="L3832" s="5">
        <f t="shared" si="958"/>
        <v>4</v>
      </c>
      <c r="M3832" s="5">
        <f t="shared" si="959"/>
        <v>2025</v>
      </c>
      <c r="N3832" s="135">
        <v>555</v>
      </c>
      <c r="O3832" s="6">
        <f t="shared" si="968"/>
        <v>-555</v>
      </c>
      <c r="P3832" s="12">
        <f t="shared" si="966"/>
        <v>0</v>
      </c>
      <c r="Q3832" s="7">
        <f t="shared" si="960"/>
        <v>6317421.7500000019</v>
      </c>
      <c r="R3832" s="44" t="str">
        <f>VLOOKUP(F3832,'Set up'!$A$2:$E$70,5,FALSE)</f>
        <v>Cash</v>
      </c>
      <c r="S3832" s="1" t="s">
        <v>3675</v>
      </c>
    </row>
    <row r="3833" spans="1:19" ht="16.2" customHeight="1" x14ac:dyDescent="0.3">
      <c r="A3833" s="140" t="s">
        <v>3616</v>
      </c>
      <c r="B3833" s="5">
        <f t="shared" si="955"/>
        <v>4</v>
      </c>
      <c r="C3833" s="5">
        <f t="shared" si="956"/>
        <v>2025</v>
      </c>
      <c r="D3833" s="105" t="s">
        <v>3617</v>
      </c>
      <c r="E3833" s="5" t="str">
        <f>VLOOKUP(F3833,'Set up'!$A$2:$C$70,2,FALSE)</f>
        <v>C00000042</v>
      </c>
      <c r="F3833" s="99" t="s">
        <v>2012</v>
      </c>
      <c r="G3833" s="99" t="s">
        <v>2646</v>
      </c>
      <c r="H3833" s="137">
        <v>10</v>
      </c>
      <c r="I3833" s="5" t="str">
        <f>VLOOKUP(F3833,'Set up'!$A$2:$C$70,3,FALSE)</f>
        <v>Cash</v>
      </c>
      <c r="J3833" s="5">
        <f>VLOOKUP(F3833,'Set up'!$A$2:$D$70,4,FALSE)</f>
        <v>0</v>
      </c>
      <c r="K3833" s="4">
        <f t="shared" si="957"/>
        <v>45752</v>
      </c>
      <c r="L3833" s="5">
        <f t="shared" si="958"/>
        <v>4</v>
      </c>
      <c r="M3833" s="5">
        <f t="shared" si="959"/>
        <v>2025</v>
      </c>
      <c r="N3833" s="135">
        <v>625</v>
      </c>
      <c r="O3833" s="141"/>
      <c r="P3833" s="12">
        <f t="shared" si="966"/>
        <v>625</v>
      </c>
      <c r="Q3833" s="7">
        <f t="shared" si="960"/>
        <v>6318046.7500000019</v>
      </c>
      <c r="R3833" s="44" t="str">
        <f>VLOOKUP(F3833,'Set up'!$A$2:$E$70,5,FALSE)</f>
        <v>Trsf</v>
      </c>
    </row>
    <row r="3834" spans="1:19" ht="16.2" customHeight="1" x14ac:dyDescent="0.3">
      <c r="A3834" s="140" t="s">
        <v>3616</v>
      </c>
      <c r="B3834" s="5">
        <f t="shared" si="955"/>
        <v>4</v>
      </c>
      <c r="C3834" s="5">
        <f t="shared" si="956"/>
        <v>2025</v>
      </c>
      <c r="D3834" s="105" t="s">
        <v>3618</v>
      </c>
      <c r="E3834" s="5" t="str">
        <f>VLOOKUP(F3834,'Set up'!$A$2:$C$70,2,FALSE)</f>
        <v>C00000042</v>
      </c>
      <c r="F3834" s="99" t="s">
        <v>2012</v>
      </c>
      <c r="G3834" s="99" t="s">
        <v>3217</v>
      </c>
      <c r="H3834" s="137">
        <v>10</v>
      </c>
      <c r="I3834" s="5" t="str">
        <f>VLOOKUP(F3834,'Set up'!$A$2:$C$70,3,FALSE)</f>
        <v>Cash</v>
      </c>
      <c r="J3834" s="5">
        <f>VLOOKUP(F3834,'Set up'!$A$2:$D$70,4,FALSE)</f>
        <v>0</v>
      </c>
      <c r="K3834" s="4">
        <f t="shared" si="957"/>
        <v>45752</v>
      </c>
      <c r="L3834" s="5">
        <f t="shared" si="958"/>
        <v>4</v>
      </c>
      <c r="M3834" s="5">
        <f t="shared" si="959"/>
        <v>2025</v>
      </c>
      <c r="N3834" s="135">
        <v>16200</v>
      </c>
      <c r="O3834" s="141"/>
      <c r="P3834" s="12">
        <f t="shared" si="966"/>
        <v>16200</v>
      </c>
      <c r="Q3834" s="7">
        <f t="shared" si="960"/>
        <v>6334246.7500000019</v>
      </c>
      <c r="R3834" s="44" t="str">
        <f>VLOOKUP(F3834,'Set up'!$A$2:$E$70,5,FALSE)</f>
        <v>Trsf</v>
      </c>
    </row>
    <row r="3835" spans="1:19" ht="16.2" customHeight="1" x14ac:dyDescent="0.3">
      <c r="A3835" s="140" t="s">
        <v>3616</v>
      </c>
      <c r="B3835" s="5">
        <f t="shared" si="955"/>
        <v>4</v>
      </c>
      <c r="C3835" s="5">
        <f t="shared" si="956"/>
        <v>2025</v>
      </c>
      <c r="D3835" s="105" t="s">
        <v>3618</v>
      </c>
      <c r="E3835" s="5" t="str">
        <f>VLOOKUP(F3835,'Set up'!$A$2:$C$70,2,FALSE)</f>
        <v>C00000042</v>
      </c>
      <c r="F3835" s="99" t="s">
        <v>2012</v>
      </c>
      <c r="G3835" s="99" t="s">
        <v>2744</v>
      </c>
      <c r="H3835" s="137">
        <v>1</v>
      </c>
      <c r="I3835" s="5" t="str">
        <f>VLOOKUP(F3835,'Set up'!$A$2:$C$70,3,FALSE)</f>
        <v>Cash</v>
      </c>
      <c r="J3835" s="5">
        <f>VLOOKUP(F3835,'Set up'!$A$2:$D$70,4,FALSE)</f>
        <v>0</v>
      </c>
      <c r="K3835" s="4">
        <f t="shared" si="957"/>
        <v>45752</v>
      </c>
      <c r="L3835" s="5">
        <f t="shared" si="958"/>
        <v>4</v>
      </c>
      <c r="M3835" s="5">
        <f t="shared" si="959"/>
        <v>2025</v>
      </c>
      <c r="N3835" s="135">
        <v>975</v>
      </c>
      <c r="O3835" s="141"/>
      <c r="P3835" s="12">
        <f t="shared" si="966"/>
        <v>975</v>
      </c>
      <c r="Q3835" s="7">
        <f t="shared" si="960"/>
        <v>6335221.7500000019</v>
      </c>
      <c r="R3835" s="44" t="str">
        <f>VLOOKUP(F3835,'Set up'!$A$2:$E$70,5,FALSE)</f>
        <v>Trsf</v>
      </c>
    </row>
    <row r="3836" spans="1:19" ht="16.2" customHeight="1" x14ac:dyDescent="0.3">
      <c r="A3836" s="140" t="s">
        <v>3616</v>
      </c>
      <c r="B3836" s="5">
        <f t="shared" si="955"/>
        <v>4</v>
      </c>
      <c r="C3836" s="5">
        <f t="shared" si="956"/>
        <v>2025</v>
      </c>
      <c r="D3836" s="105" t="s">
        <v>3618</v>
      </c>
      <c r="E3836" s="5" t="str">
        <f>VLOOKUP(F3836,'Set up'!$A$2:$C$70,2,FALSE)</f>
        <v>C00000042</v>
      </c>
      <c r="F3836" s="99" t="s">
        <v>2012</v>
      </c>
      <c r="G3836" s="99" t="s">
        <v>1073</v>
      </c>
      <c r="H3836" s="137">
        <v>1</v>
      </c>
      <c r="I3836" s="5" t="str">
        <f>VLOOKUP(F3836,'Set up'!$A$2:$C$70,3,FALSE)</f>
        <v>Cash</v>
      </c>
      <c r="J3836" s="5">
        <f>VLOOKUP(F3836,'Set up'!$A$2:$D$70,4,FALSE)</f>
        <v>0</v>
      </c>
      <c r="K3836" s="4">
        <f t="shared" si="957"/>
        <v>45752</v>
      </c>
      <c r="L3836" s="5">
        <f t="shared" si="958"/>
        <v>4</v>
      </c>
      <c r="M3836" s="5">
        <f t="shared" si="959"/>
        <v>2025</v>
      </c>
      <c r="N3836" s="135">
        <v>1000</v>
      </c>
      <c r="O3836" s="141"/>
      <c r="P3836" s="12">
        <f t="shared" si="966"/>
        <v>1000</v>
      </c>
      <c r="Q3836" s="7">
        <f t="shared" si="960"/>
        <v>6336221.7500000019</v>
      </c>
      <c r="R3836" s="44" t="str">
        <f>VLOOKUP(F3836,'Set up'!$A$2:$E$70,5,FALSE)</f>
        <v>Trsf</v>
      </c>
    </row>
    <row r="3837" spans="1:19" ht="16.2" customHeight="1" x14ac:dyDescent="0.3">
      <c r="A3837" s="140" t="s">
        <v>3616</v>
      </c>
      <c r="B3837" s="5">
        <f t="shared" si="955"/>
        <v>4</v>
      </c>
      <c r="C3837" s="5">
        <f t="shared" si="956"/>
        <v>2025</v>
      </c>
      <c r="D3837" s="105" t="s">
        <v>3618</v>
      </c>
      <c r="E3837" s="5" t="str">
        <f>VLOOKUP(F3837,'Set up'!$A$2:$C$70,2,FALSE)</f>
        <v>C00000042</v>
      </c>
      <c r="F3837" s="99" t="s">
        <v>2012</v>
      </c>
      <c r="G3837" s="99" t="s">
        <v>2029</v>
      </c>
      <c r="H3837" s="137">
        <v>8</v>
      </c>
      <c r="I3837" s="5" t="str">
        <f>VLOOKUP(F3837,'Set up'!$A$2:$C$70,3,FALSE)</f>
        <v>Cash</v>
      </c>
      <c r="J3837" s="5">
        <f>VLOOKUP(F3837,'Set up'!$A$2:$D$70,4,FALSE)</f>
        <v>0</v>
      </c>
      <c r="K3837" s="4">
        <f t="shared" si="957"/>
        <v>45752</v>
      </c>
      <c r="L3837" s="5">
        <f t="shared" si="958"/>
        <v>4</v>
      </c>
      <c r="M3837" s="5">
        <f t="shared" si="959"/>
        <v>2025</v>
      </c>
      <c r="N3837" s="135">
        <v>1760</v>
      </c>
      <c r="O3837" s="141"/>
      <c r="P3837" s="12">
        <f t="shared" si="966"/>
        <v>1760</v>
      </c>
      <c r="Q3837" s="7">
        <f t="shared" si="960"/>
        <v>6337981.7500000019</v>
      </c>
      <c r="R3837" s="44" t="str">
        <f>VLOOKUP(F3837,'Set up'!$A$2:$E$70,5,FALSE)</f>
        <v>Trsf</v>
      </c>
    </row>
    <row r="3838" spans="1:19" ht="16.2" customHeight="1" x14ac:dyDescent="0.3">
      <c r="A3838" s="140" t="s">
        <v>3616</v>
      </c>
      <c r="B3838" s="5">
        <f t="shared" si="955"/>
        <v>4</v>
      </c>
      <c r="C3838" s="5">
        <f t="shared" si="956"/>
        <v>2025</v>
      </c>
      <c r="D3838" s="105" t="s">
        <v>3618</v>
      </c>
      <c r="E3838" s="5" t="str">
        <f>VLOOKUP(F3838,'Set up'!$A$2:$C$70,2,FALSE)</f>
        <v>C00000042</v>
      </c>
      <c r="F3838" s="99" t="s">
        <v>2012</v>
      </c>
      <c r="G3838" s="99" t="s">
        <v>46</v>
      </c>
      <c r="H3838" s="137">
        <v>8</v>
      </c>
      <c r="I3838" s="5" t="str">
        <f>VLOOKUP(F3838,'Set up'!$A$2:$C$70,3,FALSE)</f>
        <v>Cash</v>
      </c>
      <c r="J3838" s="5">
        <f>VLOOKUP(F3838,'Set up'!$A$2:$D$70,4,FALSE)</f>
        <v>0</v>
      </c>
      <c r="K3838" s="4">
        <f t="shared" si="957"/>
        <v>45752</v>
      </c>
      <c r="L3838" s="5">
        <f t="shared" si="958"/>
        <v>4</v>
      </c>
      <c r="M3838" s="5">
        <f t="shared" si="959"/>
        <v>2025</v>
      </c>
      <c r="N3838" s="135">
        <v>920</v>
      </c>
      <c r="O3838" s="141"/>
      <c r="P3838" s="12">
        <f t="shared" si="966"/>
        <v>920</v>
      </c>
      <c r="Q3838" s="7">
        <f t="shared" si="960"/>
        <v>6338901.7500000019</v>
      </c>
      <c r="R3838" s="44" t="str">
        <f>VLOOKUP(F3838,'Set up'!$A$2:$E$70,5,FALSE)</f>
        <v>Trsf</v>
      </c>
    </row>
    <row r="3839" spans="1:19" ht="16.2" customHeight="1" x14ac:dyDescent="0.3">
      <c r="A3839" s="140" t="s">
        <v>3619</v>
      </c>
      <c r="B3839" s="5">
        <f t="shared" si="955"/>
        <v>4</v>
      </c>
      <c r="C3839" s="5">
        <f t="shared" si="956"/>
        <v>2025</v>
      </c>
      <c r="D3839" s="105" t="s">
        <v>3620</v>
      </c>
      <c r="E3839" s="5" t="str">
        <f>VLOOKUP(F3839,'Set up'!$A$2:$C$70,2,FALSE)</f>
        <v>C00000044</v>
      </c>
      <c r="F3839" s="99" t="s">
        <v>2929</v>
      </c>
      <c r="G3839" s="99" t="s">
        <v>3621</v>
      </c>
      <c r="H3839" s="137">
        <v>2</v>
      </c>
      <c r="I3839" s="5" t="str">
        <f>VLOOKUP(F3839,'Set up'!$A$2:$C$70,3,FALSE)</f>
        <v>Cash</v>
      </c>
      <c r="J3839" s="5">
        <f>VLOOKUP(F3839,'Set up'!$A$2:$D$70,4,FALSE)</f>
        <v>0</v>
      </c>
      <c r="K3839" s="4">
        <f t="shared" si="957"/>
        <v>45754</v>
      </c>
      <c r="L3839" s="5">
        <f t="shared" si="958"/>
        <v>4</v>
      </c>
      <c r="M3839" s="5">
        <f t="shared" si="959"/>
        <v>2025</v>
      </c>
      <c r="N3839" s="135">
        <v>500</v>
      </c>
      <c r="O3839" s="6">
        <f t="shared" ref="O3839:O3849" si="969">-N3839</f>
        <v>-500</v>
      </c>
      <c r="P3839" s="12">
        <f t="shared" si="966"/>
        <v>0</v>
      </c>
      <c r="Q3839" s="7">
        <f t="shared" si="960"/>
        <v>6339401.7500000019</v>
      </c>
      <c r="R3839" s="44" t="str">
        <f>VLOOKUP(F3839,'Set up'!$A$2:$E$70,5,FALSE)</f>
        <v>Cash</v>
      </c>
      <c r="S3839" s="1" t="s">
        <v>3682</v>
      </c>
    </row>
    <row r="3840" spans="1:19" ht="16.2" customHeight="1" x14ac:dyDescent="0.3">
      <c r="A3840" s="140" t="s">
        <v>3619</v>
      </c>
      <c r="B3840" s="5">
        <f t="shared" si="955"/>
        <v>4</v>
      </c>
      <c r="C3840" s="5">
        <f t="shared" si="956"/>
        <v>2025</v>
      </c>
      <c r="D3840" s="105" t="s">
        <v>3620</v>
      </c>
      <c r="E3840" s="5" t="str">
        <f>VLOOKUP(F3840,'Set up'!$A$2:$C$70,2,FALSE)</f>
        <v>C00000044</v>
      </c>
      <c r="F3840" s="99" t="s">
        <v>2929</v>
      </c>
      <c r="G3840" s="99" t="s">
        <v>2570</v>
      </c>
      <c r="H3840" s="137">
        <v>2</v>
      </c>
      <c r="I3840" s="5" t="str">
        <f>VLOOKUP(F3840,'Set up'!$A$2:$C$70,3,FALSE)</f>
        <v>Cash</v>
      </c>
      <c r="J3840" s="5">
        <f>VLOOKUP(F3840,'Set up'!$A$2:$D$70,4,FALSE)</f>
        <v>0</v>
      </c>
      <c r="K3840" s="4">
        <f t="shared" si="957"/>
        <v>45754</v>
      </c>
      <c r="L3840" s="5">
        <f t="shared" si="958"/>
        <v>4</v>
      </c>
      <c r="M3840" s="5">
        <f t="shared" si="959"/>
        <v>2025</v>
      </c>
      <c r="N3840" s="135">
        <v>432</v>
      </c>
      <c r="O3840" s="6">
        <f t="shared" si="969"/>
        <v>-432</v>
      </c>
      <c r="P3840" s="12">
        <f t="shared" si="966"/>
        <v>0</v>
      </c>
      <c r="Q3840" s="7">
        <f t="shared" si="960"/>
        <v>6339833.7500000019</v>
      </c>
      <c r="R3840" s="44" t="str">
        <f>VLOOKUP(F3840,'Set up'!$A$2:$E$70,5,FALSE)</f>
        <v>Cash</v>
      </c>
      <c r="S3840" s="1" t="s">
        <v>3682</v>
      </c>
    </row>
    <row r="3841" spans="1:19" ht="16.2" customHeight="1" x14ac:dyDescent="0.3">
      <c r="A3841" s="140" t="s">
        <v>3619</v>
      </c>
      <c r="B3841" s="5">
        <f t="shared" si="955"/>
        <v>4</v>
      </c>
      <c r="C3841" s="5">
        <f t="shared" si="956"/>
        <v>2025</v>
      </c>
      <c r="D3841" s="105" t="s">
        <v>3620</v>
      </c>
      <c r="E3841" s="5" t="str">
        <f>VLOOKUP(F3841,'Set up'!$A$2:$C$70,2,FALSE)</f>
        <v>C00000044</v>
      </c>
      <c r="F3841" s="99" t="s">
        <v>2929</v>
      </c>
      <c r="G3841" s="99" t="s">
        <v>46</v>
      </c>
      <c r="H3841" s="137">
        <v>1</v>
      </c>
      <c r="I3841" s="5" t="str">
        <f>VLOOKUP(F3841,'Set up'!$A$2:$C$70,3,FALSE)</f>
        <v>Cash</v>
      </c>
      <c r="J3841" s="5">
        <f>VLOOKUP(F3841,'Set up'!$A$2:$D$70,4,FALSE)</f>
        <v>0</v>
      </c>
      <c r="K3841" s="4">
        <f t="shared" si="957"/>
        <v>45754</v>
      </c>
      <c r="L3841" s="5">
        <f t="shared" si="958"/>
        <v>4</v>
      </c>
      <c r="M3841" s="5">
        <f t="shared" si="959"/>
        <v>2025</v>
      </c>
      <c r="N3841" s="135">
        <v>110</v>
      </c>
      <c r="O3841" s="6">
        <f t="shared" si="969"/>
        <v>-110</v>
      </c>
      <c r="P3841" s="12">
        <f t="shared" si="966"/>
        <v>0</v>
      </c>
      <c r="Q3841" s="7">
        <f t="shared" si="960"/>
        <v>6339943.7500000019</v>
      </c>
      <c r="R3841" s="44" t="str">
        <f>VLOOKUP(F3841,'Set up'!$A$2:$E$70,5,FALSE)</f>
        <v>Cash</v>
      </c>
      <c r="S3841" s="1" t="s">
        <v>3682</v>
      </c>
    </row>
    <row r="3842" spans="1:19" ht="16.2" customHeight="1" x14ac:dyDescent="0.3">
      <c r="A3842" s="140" t="s">
        <v>3619</v>
      </c>
      <c r="B3842" s="5">
        <f t="shared" si="955"/>
        <v>4</v>
      </c>
      <c r="C3842" s="5">
        <f t="shared" si="956"/>
        <v>2025</v>
      </c>
      <c r="D3842" s="105" t="s">
        <v>3620</v>
      </c>
      <c r="E3842" s="5" t="str">
        <f>VLOOKUP(F3842,'Set up'!$A$2:$C$70,2,FALSE)</f>
        <v>C00000044</v>
      </c>
      <c r="F3842" s="99" t="s">
        <v>2929</v>
      </c>
      <c r="G3842" s="99" t="s">
        <v>1715</v>
      </c>
      <c r="H3842" s="137">
        <v>1</v>
      </c>
      <c r="I3842" s="5" t="str">
        <f>VLOOKUP(F3842,'Set up'!$A$2:$C$70,3,FALSE)</f>
        <v>Cash</v>
      </c>
      <c r="J3842" s="5">
        <f>VLOOKUP(F3842,'Set up'!$A$2:$D$70,4,FALSE)</f>
        <v>0</v>
      </c>
      <c r="K3842" s="4">
        <f t="shared" si="957"/>
        <v>45754</v>
      </c>
      <c r="L3842" s="5">
        <f t="shared" si="958"/>
        <v>4</v>
      </c>
      <c r="M3842" s="5">
        <f t="shared" si="959"/>
        <v>2025</v>
      </c>
      <c r="N3842" s="135">
        <v>165</v>
      </c>
      <c r="O3842" s="6">
        <f t="shared" si="969"/>
        <v>-165</v>
      </c>
      <c r="P3842" s="12">
        <f t="shared" si="966"/>
        <v>0</v>
      </c>
      <c r="Q3842" s="7">
        <f t="shared" si="960"/>
        <v>6340108.7500000019</v>
      </c>
      <c r="R3842" s="44" t="str">
        <f>VLOOKUP(F3842,'Set up'!$A$2:$E$70,5,FALSE)</f>
        <v>Cash</v>
      </c>
      <c r="S3842" s="1" t="s">
        <v>3682</v>
      </c>
    </row>
    <row r="3843" spans="1:19" ht="16.2" customHeight="1" x14ac:dyDescent="0.3">
      <c r="A3843" s="140" t="s">
        <v>3619</v>
      </c>
      <c r="B3843" s="5">
        <f t="shared" ref="B3843:B3906" si="970">MONTH(A3843)</f>
        <v>4</v>
      </c>
      <c r="C3843" s="5">
        <f t="shared" ref="C3843:C3906" si="971">YEAR(A3843)</f>
        <v>2025</v>
      </c>
      <c r="D3843" s="105" t="s">
        <v>3620</v>
      </c>
      <c r="E3843" s="5" t="str">
        <f>VLOOKUP(F3843,'Set up'!$A$2:$C$70,2,FALSE)</f>
        <v>C00000044</v>
      </c>
      <c r="F3843" s="99" t="s">
        <v>2929</v>
      </c>
      <c r="G3843" s="99" t="s">
        <v>3255</v>
      </c>
      <c r="H3843" s="137">
        <v>1</v>
      </c>
      <c r="I3843" s="5" t="str">
        <f>VLOOKUP(F3843,'Set up'!$A$2:$C$70,3,FALSE)</f>
        <v>Cash</v>
      </c>
      <c r="J3843" s="5">
        <f>VLOOKUP(F3843,'Set up'!$A$2:$D$70,4,FALSE)</f>
        <v>0</v>
      </c>
      <c r="K3843" s="4">
        <f t="shared" ref="K3843:K3906" si="972">A3843+J3843</f>
        <v>45754</v>
      </c>
      <c r="L3843" s="5">
        <f t="shared" ref="L3843:L3906" si="973">MONTH(K3843)</f>
        <v>4</v>
      </c>
      <c r="M3843" s="5">
        <f t="shared" ref="M3843:M3906" si="974">YEAR(K3843)</f>
        <v>2025</v>
      </c>
      <c r="N3843" s="135">
        <v>175</v>
      </c>
      <c r="O3843" s="6">
        <f t="shared" si="969"/>
        <v>-175</v>
      </c>
      <c r="P3843" s="12">
        <f t="shared" si="966"/>
        <v>0</v>
      </c>
      <c r="Q3843" s="7">
        <f t="shared" ref="Q3843:Q3906" si="975">SUM(Q3842+N3843)</f>
        <v>6340283.7500000019</v>
      </c>
      <c r="R3843" s="44" t="str">
        <f>VLOOKUP(F3843,'Set up'!$A$2:$E$70,5,FALSE)</f>
        <v>Cash</v>
      </c>
      <c r="S3843" s="1" t="s">
        <v>3682</v>
      </c>
    </row>
    <row r="3844" spans="1:19" ht="16.2" customHeight="1" x14ac:dyDescent="0.3">
      <c r="A3844" s="140" t="s">
        <v>3619</v>
      </c>
      <c r="B3844" s="5">
        <f t="shared" si="970"/>
        <v>4</v>
      </c>
      <c r="C3844" s="5">
        <f t="shared" si="971"/>
        <v>2025</v>
      </c>
      <c r="D3844" s="105" t="s">
        <v>3620</v>
      </c>
      <c r="E3844" s="5" t="str">
        <f>VLOOKUP(F3844,'Set up'!$A$2:$C$70,2,FALSE)</f>
        <v>C00000044</v>
      </c>
      <c r="F3844" s="99" t="s">
        <v>2929</v>
      </c>
      <c r="G3844" s="99" t="s">
        <v>1242</v>
      </c>
      <c r="H3844" s="137">
        <v>1</v>
      </c>
      <c r="I3844" s="5" t="str">
        <f>VLOOKUP(F3844,'Set up'!$A$2:$C$70,3,FALSE)</f>
        <v>Cash</v>
      </c>
      <c r="J3844" s="5">
        <f>VLOOKUP(F3844,'Set up'!$A$2:$D$70,4,FALSE)</f>
        <v>0</v>
      </c>
      <c r="K3844" s="4">
        <f t="shared" si="972"/>
        <v>45754</v>
      </c>
      <c r="L3844" s="5">
        <f t="shared" si="973"/>
        <v>4</v>
      </c>
      <c r="M3844" s="5">
        <f t="shared" si="974"/>
        <v>2025</v>
      </c>
      <c r="N3844" s="135">
        <v>140</v>
      </c>
      <c r="O3844" s="6">
        <f t="shared" si="969"/>
        <v>-140</v>
      </c>
      <c r="P3844" s="12">
        <f t="shared" si="966"/>
        <v>0</v>
      </c>
      <c r="Q3844" s="7">
        <f t="shared" si="975"/>
        <v>6340423.7500000019</v>
      </c>
      <c r="R3844" s="44" t="str">
        <f>VLOOKUP(F3844,'Set up'!$A$2:$E$70,5,FALSE)</f>
        <v>Cash</v>
      </c>
      <c r="S3844" s="1" t="s">
        <v>3682</v>
      </c>
    </row>
    <row r="3845" spans="1:19" ht="16.2" customHeight="1" x14ac:dyDescent="0.3">
      <c r="A3845" s="140" t="s">
        <v>3622</v>
      </c>
      <c r="B3845" s="5">
        <f t="shared" si="970"/>
        <v>4</v>
      </c>
      <c r="C3845" s="5">
        <f t="shared" si="971"/>
        <v>2025</v>
      </c>
      <c r="D3845" s="105" t="s">
        <v>3623</v>
      </c>
      <c r="E3845" s="5" t="str">
        <f>VLOOKUP(F3845,'Set up'!$A$2:$C$70,2,FALSE)</f>
        <v>C00000013</v>
      </c>
      <c r="F3845" s="99" t="s">
        <v>3549</v>
      </c>
      <c r="G3845" s="99" t="s">
        <v>3533</v>
      </c>
      <c r="H3845" s="137">
        <v>7</v>
      </c>
      <c r="I3845" s="5" t="str">
        <f>VLOOKUP(F3845,'Set up'!$A$2:$C$70,3,FALSE)</f>
        <v>Cash</v>
      </c>
      <c r="J3845" s="5">
        <f>VLOOKUP(F3845,'Set up'!$A$2:$D$70,4,FALSE)</f>
        <v>0</v>
      </c>
      <c r="K3845" s="4">
        <f t="shared" si="972"/>
        <v>45755</v>
      </c>
      <c r="L3845" s="5">
        <f t="shared" si="973"/>
        <v>4</v>
      </c>
      <c r="M3845" s="5">
        <f t="shared" si="974"/>
        <v>2025</v>
      </c>
      <c r="N3845" s="135">
        <v>12127.5</v>
      </c>
      <c r="O3845" s="6">
        <f t="shared" si="969"/>
        <v>-12127.5</v>
      </c>
      <c r="P3845" s="12">
        <f t="shared" si="966"/>
        <v>0</v>
      </c>
      <c r="Q3845" s="7">
        <f t="shared" si="975"/>
        <v>6352551.2500000019</v>
      </c>
      <c r="R3845" s="44" t="str">
        <f>VLOOKUP(F3845,'Set up'!$A$2:$E$70,5,FALSE)</f>
        <v>Chq</v>
      </c>
      <c r="S3845" s="1" t="s">
        <v>3693</v>
      </c>
    </row>
    <row r="3846" spans="1:19" ht="16.2" customHeight="1" x14ac:dyDescent="0.3">
      <c r="A3846" s="140" t="s">
        <v>3622</v>
      </c>
      <c r="B3846" s="5">
        <f t="shared" si="970"/>
        <v>4</v>
      </c>
      <c r="C3846" s="5">
        <f t="shared" si="971"/>
        <v>2025</v>
      </c>
      <c r="D3846" s="105" t="s">
        <v>3623</v>
      </c>
      <c r="E3846" s="5" t="str">
        <f>VLOOKUP(F3846,'Set up'!$A$2:$C$70,2,FALSE)</f>
        <v>C00000013</v>
      </c>
      <c r="F3846" s="99" t="s">
        <v>3549</v>
      </c>
      <c r="G3846" s="99" t="s">
        <v>1739</v>
      </c>
      <c r="H3846" s="137">
        <v>3</v>
      </c>
      <c r="I3846" s="5" t="str">
        <f>VLOOKUP(F3846,'Set up'!$A$2:$C$70,3,FALSE)</f>
        <v>Cash</v>
      </c>
      <c r="J3846" s="5">
        <f>VLOOKUP(F3846,'Set up'!$A$2:$D$70,4,FALSE)</f>
        <v>0</v>
      </c>
      <c r="K3846" s="4">
        <f t="shared" si="972"/>
        <v>45755</v>
      </c>
      <c r="L3846" s="5">
        <f t="shared" si="973"/>
        <v>4</v>
      </c>
      <c r="M3846" s="5">
        <f t="shared" si="974"/>
        <v>2025</v>
      </c>
      <c r="N3846" s="135">
        <v>1215</v>
      </c>
      <c r="O3846" s="6">
        <f t="shared" si="969"/>
        <v>-1215</v>
      </c>
      <c r="P3846" s="12">
        <f t="shared" si="966"/>
        <v>0</v>
      </c>
      <c r="Q3846" s="7">
        <f t="shared" si="975"/>
        <v>6353766.2500000019</v>
      </c>
      <c r="R3846" s="44" t="str">
        <f>VLOOKUP(F3846,'Set up'!$A$2:$E$70,5,FALSE)</f>
        <v>Chq</v>
      </c>
      <c r="S3846" s="1" t="s">
        <v>3693</v>
      </c>
    </row>
    <row r="3847" spans="1:19" ht="16.2" customHeight="1" x14ac:dyDescent="0.3">
      <c r="A3847" s="140" t="s">
        <v>3622</v>
      </c>
      <c r="B3847" s="5">
        <f t="shared" si="970"/>
        <v>4</v>
      </c>
      <c r="C3847" s="5">
        <f t="shared" si="971"/>
        <v>2025</v>
      </c>
      <c r="D3847" s="105" t="s">
        <v>3623</v>
      </c>
      <c r="E3847" s="5" t="str">
        <f>VLOOKUP(F3847,'Set up'!$A$2:$C$70,2,FALSE)</f>
        <v>C00000013</v>
      </c>
      <c r="F3847" s="99" t="s">
        <v>3549</v>
      </c>
      <c r="G3847" s="99" t="s">
        <v>1740</v>
      </c>
      <c r="H3847" s="137">
        <v>6</v>
      </c>
      <c r="I3847" s="5" t="str">
        <f>VLOOKUP(F3847,'Set up'!$A$2:$C$70,3,FALSE)</f>
        <v>Cash</v>
      </c>
      <c r="J3847" s="5">
        <f>VLOOKUP(F3847,'Set up'!$A$2:$D$70,4,FALSE)</f>
        <v>0</v>
      </c>
      <c r="K3847" s="4">
        <f t="shared" si="972"/>
        <v>45755</v>
      </c>
      <c r="L3847" s="5">
        <f t="shared" si="973"/>
        <v>4</v>
      </c>
      <c r="M3847" s="5">
        <f t="shared" si="974"/>
        <v>2025</v>
      </c>
      <c r="N3847" s="135">
        <v>2430</v>
      </c>
      <c r="O3847" s="6">
        <f t="shared" si="969"/>
        <v>-2430</v>
      </c>
      <c r="P3847" s="12">
        <f t="shared" si="966"/>
        <v>0</v>
      </c>
      <c r="Q3847" s="7">
        <f t="shared" si="975"/>
        <v>6356196.2500000019</v>
      </c>
      <c r="R3847" s="44" t="str">
        <f>VLOOKUP(F3847,'Set up'!$A$2:$E$70,5,FALSE)</f>
        <v>Chq</v>
      </c>
      <c r="S3847" s="1" t="s">
        <v>3693</v>
      </c>
    </row>
    <row r="3848" spans="1:19" ht="16.2" customHeight="1" x14ac:dyDescent="0.3">
      <c r="A3848" s="140" t="s">
        <v>3622</v>
      </c>
      <c r="B3848" s="5">
        <f t="shared" si="970"/>
        <v>4</v>
      </c>
      <c r="C3848" s="5">
        <f t="shared" si="971"/>
        <v>2025</v>
      </c>
      <c r="D3848" s="105" t="s">
        <v>3623</v>
      </c>
      <c r="E3848" s="5" t="str">
        <f>VLOOKUP(F3848,'Set up'!$A$2:$C$70,2,FALSE)</f>
        <v>C00000013</v>
      </c>
      <c r="F3848" s="99" t="s">
        <v>3549</v>
      </c>
      <c r="G3848" s="99" t="s">
        <v>3539</v>
      </c>
      <c r="H3848" s="137">
        <v>10</v>
      </c>
      <c r="I3848" s="5" t="str">
        <f>VLOOKUP(F3848,'Set up'!$A$2:$C$70,3,FALSE)</f>
        <v>Cash</v>
      </c>
      <c r="J3848" s="5">
        <f>VLOOKUP(F3848,'Set up'!$A$2:$D$70,4,FALSE)</f>
        <v>0</v>
      </c>
      <c r="K3848" s="4">
        <f t="shared" si="972"/>
        <v>45755</v>
      </c>
      <c r="L3848" s="5">
        <f t="shared" si="973"/>
        <v>4</v>
      </c>
      <c r="M3848" s="5">
        <f t="shared" si="974"/>
        <v>2025</v>
      </c>
      <c r="N3848" s="135">
        <v>2838</v>
      </c>
      <c r="O3848" s="6">
        <f t="shared" si="969"/>
        <v>-2838</v>
      </c>
      <c r="P3848" s="12">
        <f t="shared" si="966"/>
        <v>0</v>
      </c>
      <c r="Q3848" s="7">
        <f t="shared" si="975"/>
        <v>6359034.2500000019</v>
      </c>
      <c r="R3848" s="44" t="str">
        <f>VLOOKUP(F3848,'Set up'!$A$2:$E$70,5,FALSE)</f>
        <v>Chq</v>
      </c>
      <c r="S3848" s="1" t="s">
        <v>3693</v>
      </c>
    </row>
    <row r="3849" spans="1:19" ht="16.2" customHeight="1" x14ac:dyDescent="0.3">
      <c r="A3849" s="140" t="s">
        <v>3622</v>
      </c>
      <c r="B3849" s="5">
        <f t="shared" si="970"/>
        <v>4</v>
      </c>
      <c r="C3849" s="5">
        <f t="shared" si="971"/>
        <v>2025</v>
      </c>
      <c r="D3849" s="105" t="s">
        <v>3623</v>
      </c>
      <c r="E3849" s="5" t="str">
        <f>VLOOKUP(F3849,'Set up'!$A$2:$C$70,2,FALSE)</f>
        <v>C00000013</v>
      </c>
      <c r="F3849" s="99" t="s">
        <v>3549</v>
      </c>
      <c r="G3849" s="99" t="s">
        <v>1746</v>
      </c>
      <c r="H3849" s="137">
        <v>1</v>
      </c>
      <c r="I3849" s="5" t="str">
        <f>VLOOKUP(F3849,'Set up'!$A$2:$C$70,3,FALSE)</f>
        <v>Cash</v>
      </c>
      <c r="J3849" s="5">
        <f>VLOOKUP(F3849,'Set up'!$A$2:$D$70,4,FALSE)</f>
        <v>0</v>
      </c>
      <c r="K3849" s="4">
        <f t="shared" si="972"/>
        <v>45755</v>
      </c>
      <c r="L3849" s="5">
        <f t="shared" si="973"/>
        <v>4</v>
      </c>
      <c r="M3849" s="5">
        <f t="shared" si="974"/>
        <v>2025</v>
      </c>
      <c r="N3849" s="135">
        <v>260</v>
      </c>
      <c r="O3849" s="6">
        <f t="shared" si="969"/>
        <v>-260</v>
      </c>
      <c r="P3849" s="12">
        <f t="shared" si="966"/>
        <v>0</v>
      </c>
      <c r="Q3849" s="7">
        <f t="shared" si="975"/>
        <v>6359294.2500000019</v>
      </c>
      <c r="R3849" s="44" t="str">
        <f>VLOOKUP(F3849,'Set up'!$A$2:$E$70,5,FALSE)</f>
        <v>Chq</v>
      </c>
      <c r="S3849" s="1" t="s">
        <v>3693</v>
      </c>
    </row>
    <row r="3850" spans="1:19" ht="16.2" customHeight="1" x14ac:dyDescent="0.3">
      <c r="A3850" s="140" t="s">
        <v>3622</v>
      </c>
      <c r="B3850" s="5">
        <f t="shared" si="970"/>
        <v>4</v>
      </c>
      <c r="C3850" s="5">
        <f t="shared" si="971"/>
        <v>2025</v>
      </c>
      <c r="D3850" s="105" t="s">
        <v>3623</v>
      </c>
      <c r="E3850" s="5" t="str">
        <f>VLOOKUP(F3850,'Set up'!$A$2:$C$70,2,FALSE)</f>
        <v>C00000013</v>
      </c>
      <c r="F3850" s="99" t="s">
        <v>3549</v>
      </c>
      <c r="G3850" s="99" t="s">
        <v>46</v>
      </c>
      <c r="H3850" s="137">
        <v>7</v>
      </c>
      <c r="I3850" s="5" t="str">
        <f>VLOOKUP(F3850,'Set up'!$A$2:$C$70,3,FALSE)</f>
        <v>Cash</v>
      </c>
      <c r="J3850" s="5">
        <f>VLOOKUP(F3850,'Set up'!$A$2:$D$70,4,FALSE)</f>
        <v>0</v>
      </c>
      <c r="K3850" s="4">
        <f t="shared" si="972"/>
        <v>45755</v>
      </c>
      <c r="L3850" s="5">
        <f t="shared" si="973"/>
        <v>4</v>
      </c>
      <c r="M3850" s="5">
        <f t="shared" si="974"/>
        <v>2025</v>
      </c>
      <c r="N3850" s="135">
        <v>805</v>
      </c>
      <c r="O3850" s="141">
        <f>-804.5</f>
        <v>-804.5</v>
      </c>
      <c r="P3850" s="12">
        <f t="shared" si="966"/>
        <v>0.5</v>
      </c>
      <c r="Q3850" s="7">
        <f t="shared" si="975"/>
        <v>6360099.2500000019</v>
      </c>
      <c r="R3850" s="44" t="str">
        <f>VLOOKUP(F3850,'Set up'!$A$2:$E$70,5,FALSE)</f>
        <v>Chq</v>
      </c>
      <c r="S3850" s="1" t="s">
        <v>3693</v>
      </c>
    </row>
    <row r="3851" spans="1:19" ht="16.2" customHeight="1" x14ac:dyDescent="0.3">
      <c r="A3851" s="140" t="s">
        <v>3622</v>
      </c>
      <c r="B3851" s="5">
        <f t="shared" si="970"/>
        <v>4</v>
      </c>
      <c r="C3851" s="5">
        <f t="shared" si="971"/>
        <v>2025</v>
      </c>
      <c r="D3851" s="105" t="s">
        <v>3624</v>
      </c>
      <c r="E3851" s="5" t="str">
        <f>VLOOKUP(F3851,'Set up'!$A$2:$C$70,2,FALSE)</f>
        <v>C00000037</v>
      </c>
      <c r="F3851" s="99" t="s">
        <v>1309</v>
      </c>
      <c r="G3851" s="99" t="s">
        <v>1405</v>
      </c>
      <c r="H3851" s="137">
        <v>2</v>
      </c>
      <c r="I3851" s="5">
        <f>VLOOKUP(F3851,'Set up'!$A$2:$C$70,3,FALSE)</f>
        <v>30</v>
      </c>
      <c r="J3851" s="5">
        <f>VLOOKUP(F3851,'Set up'!$A$2:$D$70,4,FALSE)</f>
        <v>30</v>
      </c>
      <c r="K3851" s="4">
        <f t="shared" si="972"/>
        <v>45785</v>
      </c>
      <c r="L3851" s="5">
        <f t="shared" si="973"/>
        <v>5</v>
      </c>
      <c r="M3851" s="5">
        <f t="shared" si="974"/>
        <v>2025</v>
      </c>
      <c r="N3851" s="135">
        <v>96</v>
      </c>
      <c r="O3851" s="141"/>
      <c r="P3851" s="12">
        <f t="shared" si="966"/>
        <v>96</v>
      </c>
      <c r="Q3851" s="7">
        <f t="shared" si="975"/>
        <v>6360195.2500000019</v>
      </c>
      <c r="R3851" s="44" t="str">
        <f>VLOOKUP(F3851,'Set up'!$A$2:$E$70,5,FALSE)</f>
        <v>Chq</v>
      </c>
    </row>
    <row r="3852" spans="1:19" ht="16.2" customHeight="1" x14ac:dyDescent="0.3">
      <c r="A3852" s="140" t="s">
        <v>3625</v>
      </c>
      <c r="B3852" s="5">
        <f t="shared" si="970"/>
        <v>4</v>
      </c>
      <c r="C3852" s="5">
        <f t="shared" si="971"/>
        <v>2025</v>
      </c>
      <c r="D3852" s="105" t="s">
        <v>3626</v>
      </c>
      <c r="E3852" s="5" t="str">
        <f>VLOOKUP(F3852,'Set up'!$A$2:$C$70,2,FALSE)</f>
        <v>C00000042</v>
      </c>
      <c r="F3852" s="99" t="s">
        <v>2012</v>
      </c>
      <c r="G3852" s="99" t="s">
        <v>3217</v>
      </c>
      <c r="H3852" s="137">
        <v>9</v>
      </c>
      <c r="I3852" s="5" t="str">
        <f>VLOOKUP(F3852,'Set up'!$A$2:$C$70,3,FALSE)</f>
        <v>Cash</v>
      </c>
      <c r="J3852" s="5">
        <f>VLOOKUP(F3852,'Set up'!$A$2:$D$70,4,FALSE)</f>
        <v>0</v>
      </c>
      <c r="K3852" s="4">
        <f t="shared" si="972"/>
        <v>45756</v>
      </c>
      <c r="L3852" s="5">
        <f t="shared" si="973"/>
        <v>4</v>
      </c>
      <c r="M3852" s="5">
        <f t="shared" si="974"/>
        <v>2025</v>
      </c>
      <c r="N3852" s="135">
        <v>14580</v>
      </c>
      <c r="O3852" s="141"/>
      <c r="P3852" s="12">
        <f t="shared" si="966"/>
        <v>14580</v>
      </c>
      <c r="Q3852" s="7">
        <f t="shared" si="975"/>
        <v>6374775.2500000019</v>
      </c>
      <c r="R3852" s="44" t="str">
        <f>VLOOKUP(F3852,'Set up'!$A$2:$E$70,5,FALSE)</f>
        <v>Trsf</v>
      </c>
    </row>
    <row r="3853" spans="1:19" ht="16.2" customHeight="1" x14ac:dyDescent="0.3">
      <c r="A3853" s="140" t="s">
        <v>3625</v>
      </c>
      <c r="B3853" s="5">
        <f t="shared" si="970"/>
        <v>4</v>
      </c>
      <c r="C3853" s="5">
        <f t="shared" si="971"/>
        <v>2025</v>
      </c>
      <c r="D3853" s="105" t="s">
        <v>3626</v>
      </c>
      <c r="E3853" s="5" t="str">
        <f>VLOOKUP(F3853,'Set up'!$A$2:$C$70,2,FALSE)</f>
        <v>C00000042</v>
      </c>
      <c r="F3853" s="99" t="s">
        <v>2012</v>
      </c>
      <c r="G3853" s="99" t="s">
        <v>2129</v>
      </c>
      <c r="H3853" s="137">
        <v>20</v>
      </c>
      <c r="I3853" s="5" t="str">
        <f>VLOOKUP(F3853,'Set up'!$A$2:$C$70,3,FALSE)</f>
        <v>Cash</v>
      </c>
      <c r="J3853" s="5">
        <f>VLOOKUP(F3853,'Set up'!$A$2:$D$70,4,FALSE)</f>
        <v>0</v>
      </c>
      <c r="K3853" s="4">
        <f t="shared" si="972"/>
        <v>45756</v>
      </c>
      <c r="L3853" s="5">
        <f t="shared" si="973"/>
        <v>4</v>
      </c>
      <c r="M3853" s="5">
        <f t="shared" si="974"/>
        <v>2025</v>
      </c>
      <c r="N3853" s="135">
        <v>4366</v>
      </c>
      <c r="O3853" s="141"/>
      <c r="P3853" s="12">
        <f t="shared" si="966"/>
        <v>4366</v>
      </c>
      <c r="Q3853" s="7">
        <f t="shared" si="975"/>
        <v>6379141.2500000019</v>
      </c>
      <c r="R3853" s="44" t="str">
        <f>VLOOKUP(F3853,'Set up'!$A$2:$E$70,5,FALSE)</f>
        <v>Trsf</v>
      </c>
    </row>
    <row r="3854" spans="1:19" ht="16.2" customHeight="1" x14ac:dyDescent="0.3">
      <c r="A3854" s="140" t="s">
        <v>3625</v>
      </c>
      <c r="B3854" s="5">
        <f t="shared" si="970"/>
        <v>4</v>
      </c>
      <c r="C3854" s="5">
        <f t="shared" si="971"/>
        <v>2025</v>
      </c>
      <c r="D3854" s="105" t="s">
        <v>3626</v>
      </c>
      <c r="E3854" s="5" t="str">
        <f>VLOOKUP(F3854,'Set up'!$A$2:$C$70,2,FALSE)</f>
        <v>C00000042</v>
      </c>
      <c r="F3854" s="99" t="s">
        <v>2012</v>
      </c>
      <c r="G3854" s="99" t="s">
        <v>1922</v>
      </c>
      <c r="H3854" s="137">
        <v>15</v>
      </c>
      <c r="I3854" s="5" t="str">
        <f>VLOOKUP(F3854,'Set up'!$A$2:$C$70,3,FALSE)</f>
        <v>Cash</v>
      </c>
      <c r="J3854" s="5">
        <f>VLOOKUP(F3854,'Set up'!$A$2:$D$70,4,FALSE)</f>
        <v>0</v>
      </c>
      <c r="K3854" s="4">
        <f t="shared" si="972"/>
        <v>45756</v>
      </c>
      <c r="L3854" s="5">
        <f t="shared" si="973"/>
        <v>4</v>
      </c>
      <c r="M3854" s="5">
        <f t="shared" si="974"/>
        <v>2025</v>
      </c>
      <c r="N3854" s="135">
        <v>3712.5</v>
      </c>
      <c r="O3854" s="141"/>
      <c r="P3854" s="12">
        <f t="shared" si="966"/>
        <v>3712.5</v>
      </c>
      <c r="Q3854" s="7">
        <f t="shared" si="975"/>
        <v>6382853.7500000019</v>
      </c>
      <c r="R3854" s="44" t="str">
        <f>VLOOKUP(F3854,'Set up'!$A$2:$E$70,5,FALSE)</f>
        <v>Trsf</v>
      </c>
    </row>
    <row r="3855" spans="1:19" ht="16.2" customHeight="1" x14ac:dyDescent="0.3">
      <c r="A3855" s="140" t="s">
        <v>3625</v>
      </c>
      <c r="B3855" s="5">
        <f t="shared" si="970"/>
        <v>4</v>
      </c>
      <c r="C3855" s="5">
        <f t="shared" si="971"/>
        <v>2025</v>
      </c>
      <c r="D3855" s="105" t="s">
        <v>3626</v>
      </c>
      <c r="E3855" s="5" t="str">
        <f>VLOOKUP(F3855,'Set up'!$A$2:$C$70,2,FALSE)</f>
        <v>C00000042</v>
      </c>
      <c r="F3855" s="99" t="s">
        <v>2012</v>
      </c>
      <c r="G3855" s="99" t="s">
        <v>46</v>
      </c>
      <c r="H3855" s="137">
        <v>4</v>
      </c>
      <c r="I3855" s="5" t="str">
        <f>VLOOKUP(F3855,'Set up'!$A$2:$C$70,3,FALSE)</f>
        <v>Cash</v>
      </c>
      <c r="J3855" s="5">
        <f>VLOOKUP(F3855,'Set up'!$A$2:$D$70,4,FALSE)</f>
        <v>0</v>
      </c>
      <c r="K3855" s="4">
        <f t="shared" si="972"/>
        <v>45756</v>
      </c>
      <c r="L3855" s="5">
        <f t="shared" si="973"/>
        <v>4</v>
      </c>
      <c r="M3855" s="5">
        <f t="shared" si="974"/>
        <v>2025</v>
      </c>
      <c r="N3855" s="135">
        <v>460</v>
      </c>
      <c r="O3855" s="141"/>
      <c r="P3855" s="12">
        <f t="shared" si="966"/>
        <v>460</v>
      </c>
      <c r="Q3855" s="7">
        <f t="shared" si="975"/>
        <v>6383313.7500000019</v>
      </c>
      <c r="R3855" s="44" t="str">
        <f>VLOOKUP(F3855,'Set up'!$A$2:$E$70,5,FALSE)</f>
        <v>Trsf</v>
      </c>
    </row>
    <row r="3856" spans="1:19" ht="16.2" customHeight="1" x14ac:dyDescent="0.3">
      <c r="A3856" s="140" t="s">
        <v>3625</v>
      </c>
      <c r="B3856" s="5">
        <f t="shared" si="970"/>
        <v>4</v>
      </c>
      <c r="C3856" s="5">
        <f t="shared" si="971"/>
        <v>2025</v>
      </c>
      <c r="D3856" s="105" t="s">
        <v>3627</v>
      </c>
      <c r="E3856" s="5" t="str">
        <f>VLOOKUP(F3856,'Set up'!$A$2:$C$70,2,FALSE)</f>
        <v>C00000044</v>
      </c>
      <c r="F3856" s="99" t="s">
        <v>2929</v>
      </c>
      <c r="G3856" s="99" t="s">
        <v>3621</v>
      </c>
      <c r="H3856" s="137">
        <v>2</v>
      </c>
      <c r="I3856" s="5" t="str">
        <f>VLOOKUP(F3856,'Set up'!$A$2:$C$70,3,FALSE)</f>
        <v>Cash</v>
      </c>
      <c r="J3856" s="5">
        <f>VLOOKUP(F3856,'Set up'!$A$2:$D$70,4,FALSE)</f>
        <v>0</v>
      </c>
      <c r="K3856" s="4">
        <f t="shared" si="972"/>
        <v>45756</v>
      </c>
      <c r="L3856" s="5">
        <f t="shared" si="973"/>
        <v>4</v>
      </c>
      <c r="M3856" s="5">
        <f t="shared" si="974"/>
        <v>2025</v>
      </c>
      <c r="N3856" s="135">
        <v>500</v>
      </c>
      <c r="O3856" s="6">
        <f>-N3856</f>
        <v>-500</v>
      </c>
      <c r="P3856" s="12">
        <f t="shared" si="966"/>
        <v>0</v>
      </c>
      <c r="Q3856" s="7">
        <f t="shared" si="975"/>
        <v>6383813.7500000019</v>
      </c>
      <c r="R3856" s="44" t="str">
        <f>VLOOKUP(F3856,'Set up'!$A$2:$E$70,5,FALSE)</f>
        <v>Cash</v>
      </c>
      <c r="S3856" s="1" t="s">
        <v>3683</v>
      </c>
    </row>
    <row r="3857" spans="1:19" ht="16.2" customHeight="1" x14ac:dyDescent="0.3">
      <c r="A3857" s="140" t="s">
        <v>3625</v>
      </c>
      <c r="B3857" s="5">
        <f t="shared" si="970"/>
        <v>4</v>
      </c>
      <c r="C3857" s="5">
        <f t="shared" si="971"/>
        <v>2025</v>
      </c>
      <c r="D3857" s="105" t="s">
        <v>3627</v>
      </c>
      <c r="E3857" s="5" t="str">
        <f>VLOOKUP(F3857,'Set up'!$A$2:$C$70,2,FALSE)</f>
        <v>C00000044</v>
      </c>
      <c r="F3857" s="99" t="s">
        <v>2929</v>
      </c>
      <c r="G3857" s="99" t="s">
        <v>2570</v>
      </c>
      <c r="H3857" s="137">
        <v>1</v>
      </c>
      <c r="I3857" s="5" t="str">
        <f>VLOOKUP(F3857,'Set up'!$A$2:$C$70,3,FALSE)</f>
        <v>Cash</v>
      </c>
      <c r="J3857" s="5">
        <f>VLOOKUP(F3857,'Set up'!$A$2:$D$70,4,FALSE)</f>
        <v>0</v>
      </c>
      <c r="K3857" s="4">
        <f t="shared" si="972"/>
        <v>45756</v>
      </c>
      <c r="L3857" s="5">
        <f t="shared" si="973"/>
        <v>4</v>
      </c>
      <c r="M3857" s="5">
        <f t="shared" si="974"/>
        <v>2025</v>
      </c>
      <c r="N3857" s="135">
        <v>216</v>
      </c>
      <c r="O3857" s="6">
        <f>-N3857</f>
        <v>-216</v>
      </c>
      <c r="P3857" s="12">
        <f t="shared" si="966"/>
        <v>0</v>
      </c>
      <c r="Q3857" s="7">
        <f t="shared" si="975"/>
        <v>6384029.7500000019</v>
      </c>
      <c r="R3857" s="44" t="str">
        <f>VLOOKUP(F3857,'Set up'!$A$2:$E$70,5,FALSE)</f>
        <v>Cash</v>
      </c>
      <c r="S3857" s="1" t="s">
        <v>3683</v>
      </c>
    </row>
    <row r="3858" spans="1:19" ht="16.2" customHeight="1" x14ac:dyDescent="0.3">
      <c r="A3858" s="140" t="s">
        <v>3628</v>
      </c>
      <c r="B3858" s="5">
        <f t="shared" si="970"/>
        <v>4</v>
      </c>
      <c r="C3858" s="5">
        <f t="shared" si="971"/>
        <v>2025</v>
      </c>
      <c r="D3858" s="105" t="s">
        <v>3629</v>
      </c>
      <c r="E3858" s="5" t="str">
        <f>VLOOKUP(F3858,'Set up'!$A$2:$C$70,2,FALSE)</f>
        <v>C00000061</v>
      </c>
      <c r="F3858" s="99" t="s">
        <v>3532</v>
      </c>
      <c r="G3858" s="99" t="s">
        <v>3122</v>
      </c>
      <c r="H3858" s="137">
        <v>1</v>
      </c>
      <c r="I3858" s="5" t="str">
        <f>VLOOKUP(F3858,'Set up'!$A$2:$C$70,3,FALSE)</f>
        <v>Cash</v>
      </c>
      <c r="J3858" s="5">
        <f>VLOOKUP(F3858,'Set up'!$A$2:$D$70,4,FALSE)</f>
        <v>0</v>
      </c>
      <c r="K3858" s="4">
        <f t="shared" si="972"/>
        <v>45757</v>
      </c>
      <c r="L3858" s="5">
        <f t="shared" si="973"/>
        <v>4</v>
      </c>
      <c r="M3858" s="5">
        <f t="shared" si="974"/>
        <v>2025</v>
      </c>
      <c r="N3858" s="135">
        <v>1642.5</v>
      </c>
      <c r="O3858" s="6">
        <f t="shared" ref="O3858:O3863" si="976">-N3858</f>
        <v>-1642.5</v>
      </c>
      <c r="P3858" s="12">
        <f t="shared" si="966"/>
        <v>0</v>
      </c>
      <c r="Q3858" s="7">
        <f t="shared" si="975"/>
        <v>6385672.2500000019</v>
      </c>
      <c r="R3858" s="44" t="str">
        <f>VLOOKUP(F3858,'Set up'!$A$2:$E$70,5,FALSE)</f>
        <v>Cash</v>
      </c>
      <c r="S3858" s="1" t="s">
        <v>3680</v>
      </c>
    </row>
    <row r="3859" spans="1:19" ht="16.2" customHeight="1" x14ac:dyDescent="0.3">
      <c r="A3859" s="140" t="s">
        <v>3628</v>
      </c>
      <c r="B3859" s="5">
        <f t="shared" si="970"/>
        <v>4</v>
      </c>
      <c r="C3859" s="5">
        <f t="shared" si="971"/>
        <v>2025</v>
      </c>
      <c r="D3859" s="105" t="s">
        <v>3629</v>
      </c>
      <c r="E3859" s="5" t="str">
        <f>VLOOKUP(F3859,'Set up'!$A$2:$C$70,2,FALSE)</f>
        <v>C00000061</v>
      </c>
      <c r="F3859" s="99" t="s">
        <v>3532</v>
      </c>
      <c r="G3859" s="99" t="s">
        <v>1411</v>
      </c>
      <c r="H3859" s="137">
        <v>1</v>
      </c>
      <c r="I3859" s="5" t="str">
        <f>VLOOKUP(F3859,'Set up'!$A$2:$C$70,3,FALSE)</f>
        <v>Cash</v>
      </c>
      <c r="J3859" s="5">
        <f>VLOOKUP(F3859,'Set up'!$A$2:$D$70,4,FALSE)</f>
        <v>0</v>
      </c>
      <c r="K3859" s="4">
        <f t="shared" si="972"/>
        <v>45757</v>
      </c>
      <c r="L3859" s="5">
        <f t="shared" si="973"/>
        <v>4</v>
      </c>
      <c r="M3859" s="5">
        <f t="shared" si="974"/>
        <v>2025</v>
      </c>
      <c r="N3859" s="135">
        <v>313.2</v>
      </c>
      <c r="O3859" s="6">
        <f t="shared" si="976"/>
        <v>-313.2</v>
      </c>
      <c r="P3859" s="12">
        <f t="shared" si="966"/>
        <v>0</v>
      </c>
      <c r="Q3859" s="7">
        <f t="shared" si="975"/>
        <v>6385985.450000002</v>
      </c>
      <c r="R3859" s="44" t="str">
        <f>VLOOKUP(F3859,'Set up'!$A$2:$E$70,5,FALSE)</f>
        <v>Cash</v>
      </c>
      <c r="S3859" s="1" t="s">
        <v>3680</v>
      </c>
    </row>
    <row r="3860" spans="1:19" ht="16.2" customHeight="1" x14ac:dyDescent="0.3">
      <c r="A3860" s="140" t="s">
        <v>3628</v>
      </c>
      <c r="B3860" s="5">
        <f t="shared" si="970"/>
        <v>4</v>
      </c>
      <c r="C3860" s="5">
        <f t="shared" si="971"/>
        <v>2025</v>
      </c>
      <c r="D3860" s="105" t="s">
        <v>3629</v>
      </c>
      <c r="E3860" s="5" t="str">
        <f>VLOOKUP(F3860,'Set up'!$A$2:$C$70,2,FALSE)</f>
        <v>C00000061</v>
      </c>
      <c r="F3860" s="99" t="s">
        <v>3532</v>
      </c>
      <c r="G3860" s="99" t="s">
        <v>2635</v>
      </c>
      <c r="H3860" s="137">
        <v>4</v>
      </c>
      <c r="I3860" s="5" t="str">
        <f>VLOOKUP(F3860,'Set up'!$A$2:$C$70,3,FALSE)</f>
        <v>Cash</v>
      </c>
      <c r="J3860" s="5">
        <f>VLOOKUP(F3860,'Set up'!$A$2:$D$70,4,FALSE)</f>
        <v>0</v>
      </c>
      <c r="K3860" s="4">
        <f t="shared" si="972"/>
        <v>45757</v>
      </c>
      <c r="L3860" s="5">
        <f t="shared" si="973"/>
        <v>4</v>
      </c>
      <c r="M3860" s="5">
        <f t="shared" si="974"/>
        <v>2025</v>
      </c>
      <c r="N3860" s="135">
        <v>230</v>
      </c>
      <c r="O3860" s="6">
        <f t="shared" si="976"/>
        <v>-230</v>
      </c>
      <c r="P3860" s="12">
        <f t="shared" si="966"/>
        <v>0</v>
      </c>
      <c r="Q3860" s="7">
        <f t="shared" si="975"/>
        <v>6386215.450000002</v>
      </c>
      <c r="R3860" s="44" t="str">
        <f>VLOOKUP(F3860,'Set up'!$A$2:$E$70,5,FALSE)</f>
        <v>Cash</v>
      </c>
      <c r="S3860" s="1" t="s">
        <v>3680</v>
      </c>
    </row>
    <row r="3861" spans="1:19" ht="16.2" customHeight="1" x14ac:dyDescent="0.3">
      <c r="A3861" s="140" t="s">
        <v>3630</v>
      </c>
      <c r="B3861" s="5">
        <f t="shared" si="970"/>
        <v>4</v>
      </c>
      <c r="C3861" s="5">
        <f t="shared" si="971"/>
        <v>2025</v>
      </c>
      <c r="D3861" s="105" t="s">
        <v>3631</v>
      </c>
      <c r="E3861" s="5" t="str">
        <f>VLOOKUP(F3861,'Set up'!$A$2:$C$70,2,FALSE)</f>
        <v>C00000050</v>
      </c>
      <c r="F3861" s="99" t="s">
        <v>2656</v>
      </c>
      <c r="G3861" s="99" t="s">
        <v>3615</v>
      </c>
      <c r="H3861" s="137">
        <v>1</v>
      </c>
      <c r="I3861" s="5" t="str">
        <f>VLOOKUP(F3861,'Set up'!$A$2:$C$70,3,FALSE)</f>
        <v>Cash</v>
      </c>
      <c r="J3861" s="5">
        <f>VLOOKUP(F3861,'Set up'!$A$2:$D$70,4,FALSE)</f>
        <v>0</v>
      </c>
      <c r="K3861" s="4">
        <f t="shared" si="972"/>
        <v>45758</v>
      </c>
      <c r="L3861" s="5">
        <f t="shared" si="973"/>
        <v>4</v>
      </c>
      <c r="M3861" s="5">
        <f t="shared" si="974"/>
        <v>2025</v>
      </c>
      <c r="N3861" s="135">
        <v>1710</v>
      </c>
      <c r="O3861" s="6">
        <f t="shared" si="976"/>
        <v>-1710</v>
      </c>
      <c r="P3861" s="12">
        <f t="shared" si="966"/>
        <v>0</v>
      </c>
      <c r="Q3861" s="7">
        <f t="shared" si="975"/>
        <v>6387925.450000002</v>
      </c>
      <c r="R3861" s="44" t="str">
        <f>VLOOKUP(F3861,'Set up'!$A$2:$E$70,5,FALSE)</f>
        <v>Cash</v>
      </c>
      <c r="S3861" s="1" t="s">
        <v>3831</v>
      </c>
    </row>
    <row r="3862" spans="1:19" ht="16.2" customHeight="1" x14ac:dyDescent="0.3">
      <c r="A3862" s="140" t="s">
        <v>3630</v>
      </c>
      <c r="B3862" s="5">
        <f t="shared" si="970"/>
        <v>4</v>
      </c>
      <c r="C3862" s="5">
        <f t="shared" si="971"/>
        <v>2025</v>
      </c>
      <c r="D3862" s="105" t="s">
        <v>3631</v>
      </c>
      <c r="E3862" s="5" t="str">
        <f>VLOOKUP(F3862,'Set up'!$A$2:$C$70,2,FALSE)</f>
        <v>C00000050</v>
      </c>
      <c r="F3862" s="99" t="s">
        <v>2656</v>
      </c>
      <c r="G3862" s="99" t="s">
        <v>2129</v>
      </c>
      <c r="H3862" s="137">
        <v>2</v>
      </c>
      <c r="I3862" s="5" t="str">
        <f>VLOOKUP(F3862,'Set up'!$A$2:$C$70,3,FALSE)</f>
        <v>Cash</v>
      </c>
      <c r="J3862" s="5">
        <f>VLOOKUP(F3862,'Set up'!$A$2:$D$70,4,FALSE)</f>
        <v>0</v>
      </c>
      <c r="K3862" s="4">
        <f t="shared" si="972"/>
        <v>45758</v>
      </c>
      <c r="L3862" s="5">
        <f t="shared" si="973"/>
        <v>4</v>
      </c>
      <c r="M3862" s="5">
        <f t="shared" si="974"/>
        <v>2025</v>
      </c>
      <c r="N3862" s="135">
        <v>555</v>
      </c>
      <c r="O3862" s="6">
        <f t="shared" si="976"/>
        <v>-555</v>
      </c>
      <c r="P3862" s="12">
        <f t="shared" si="966"/>
        <v>0</v>
      </c>
      <c r="Q3862" s="7">
        <f t="shared" si="975"/>
        <v>6388480.450000002</v>
      </c>
      <c r="R3862" s="44" t="str">
        <f>VLOOKUP(F3862,'Set up'!$A$2:$E$70,5,FALSE)</f>
        <v>Cash</v>
      </c>
      <c r="S3862" s="1" t="s">
        <v>3831</v>
      </c>
    </row>
    <row r="3863" spans="1:19" ht="16.2" customHeight="1" x14ac:dyDescent="0.3">
      <c r="A3863" s="140" t="s">
        <v>3630</v>
      </c>
      <c r="B3863" s="5">
        <f t="shared" si="970"/>
        <v>4</v>
      </c>
      <c r="C3863" s="5">
        <f t="shared" si="971"/>
        <v>2025</v>
      </c>
      <c r="D3863" s="105" t="s">
        <v>3631</v>
      </c>
      <c r="E3863" s="5" t="str">
        <f>VLOOKUP(F3863,'Set up'!$A$2:$C$70,2,FALSE)</f>
        <v>C00000050</v>
      </c>
      <c r="F3863" s="99" t="s">
        <v>2656</v>
      </c>
      <c r="G3863" s="99" t="s">
        <v>1061</v>
      </c>
      <c r="H3863" s="137">
        <v>1</v>
      </c>
      <c r="I3863" s="5" t="str">
        <f>VLOOKUP(F3863,'Set up'!$A$2:$C$70,3,FALSE)</f>
        <v>Cash</v>
      </c>
      <c r="J3863" s="5">
        <f>VLOOKUP(F3863,'Set up'!$A$2:$D$70,4,FALSE)</f>
        <v>0</v>
      </c>
      <c r="K3863" s="4">
        <f t="shared" si="972"/>
        <v>45758</v>
      </c>
      <c r="L3863" s="5">
        <f t="shared" si="973"/>
        <v>4</v>
      </c>
      <c r="M3863" s="5">
        <f t="shared" si="974"/>
        <v>2025</v>
      </c>
      <c r="N3863" s="135">
        <v>95</v>
      </c>
      <c r="O3863" s="6">
        <f t="shared" si="976"/>
        <v>-95</v>
      </c>
      <c r="P3863" s="12">
        <f t="shared" si="966"/>
        <v>0</v>
      </c>
      <c r="Q3863" s="7">
        <f t="shared" si="975"/>
        <v>6388575.450000002</v>
      </c>
      <c r="R3863" s="44" t="str">
        <f>VLOOKUP(F3863,'Set up'!$A$2:$E$70,5,FALSE)</f>
        <v>Cash</v>
      </c>
      <c r="S3863" s="1" t="s">
        <v>3831</v>
      </c>
    </row>
    <row r="3864" spans="1:19" ht="16.2" customHeight="1" x14ac:dyDescent="0.3">
      <c r="A3864" s="140" t="s">
        <v>3630</v>
      </c>
      <c r="B3864" s="5">
        <f t="shared" si="970"/>
        <v>4</v>
      </c>
      <c r="C3864" s="5">
        <f t="shared" si="971"/>
        <v>2025</v>
      </c>
      <c r="D3864" s="105" t="s">
        <v>3632</v>
      </c>
      <c r="E3864" s="5" t="str">
        <f>VLOOKUP(F3864,'Set up'!$A$2:$C$70,2,FALSE)</f>
        <v>C00000019</v>
      </c>
      <c r="F3864" s="99" t="s">
        <v>400</v>
      </c>
      <c r="G3864" s="99" t="s">
        <v>3122</v>
      </c>
      <c r="H3864" s="137">
        <v>1</v>
      </c>
      <c r="I3864" s="5" t="str">
        <f>VLOOKUP(F3864,'Set up'!$A$2:$C$70,3,FALSE)</f>
        <v>Cash</v>
      </c>
      <c r="J3864" s="5">
        <f>VLOOKUP(F3864,'Set up'!$A$2:$D$70,4,FALSE)</f>
        <v>0</v>
      </c>
      <c r="K3864" s="4">
        <f t="shared" si="972"/>
        <v>45758</v>
      </c>
      <c r="L3864" s="5">
        <f t="shared" si="973"/>
        <v>4</v>
      </c>
      <c r="M3864" s="5">
        <f t="shared" si="974"/>
        <v>2025</v>
      </c>
      <c r="N3864" s="135">
        <v>1755</v>
      </c>
      <c r="O3864" s="141"/>
      <c r="P3864" s="12">
        <f t="shared" si="966"/>
        <v>1755</v>
      </c>
      <c r="Q3864" s="7">
        <f t="shared" si="975"/>
        <v>6390330.450000002</v>
      </c>
      <c r="R3864" s="44" t="str">
        <f>VLOOKUP(F3864,'Set up'!$A$2:$E$70,5,FALSE)</f>
        <v>Trsf</v>
      </c>
    </row>
    <row r="3865" spans="1:19" ht="16.2" customHeight="1" x14ac:dyDescent="0.3">
      <c r="A3865" s="140" t="s">
        <v>3630</v>
      </c>
      <c r="B3865" s="5">
        <f t="shared" si="970"/>
        <v>4</v>
      </c>
      <c r="C3865" s="5">
        <f t="shared" si="971"/>
        <v>2025</v>
      </c>
      <c r="D3865" s="105" t="s">
        <v>3632</v>
      </c>
      <c r="E3865" s="5" t="str">
        <f>VLOOKUP(F3865,'Set up'!$A$2:$C$70,2,FALSE)</f>
        <v>C00000019</v>
      </c>
      <c r="F3865" s="99" t="s">
        <v>400</v>
      </c>
      <c r="G3865" s="99" t="s">
        <v>1411</v>
      </c>
      <c r="H3865" s="137">
        <v>1</v>
      </c>
      <c r="I3865" s="5" t="str">
        <f>VLOOKUP(F3865,'Set up'!$A$2:$C$70,3,FALSE)</f>
        <v>Cash</v>
      </c>
      <c r="J3865" s="5">
        <f>VLOOKUP(F3865,'Set up'!$A$2:$D$70,4,FALSE)</f>
        <v>0</v>
      </c>
      <c r="K3865" s="4">
        <f t="shared" si="972"/>
        <v>45758</v>
      </c>
      <c r="L3865" s="5">
        <f t="shared" si="973"/>
        <v>4</v>
      </c>
      <c r="M3865" s="5">
        <f t="shared" si="974"/>
        <v>2025</v>
      </c>
      <c r="N3865" s="135">
        <v>405</v>
      </c>
      <c r="O3865" s="141"/>
      <c r="P3865" s="12">
        <f t="shared" si="966"/>
        <v>405</v>
      </c>
      <c r="Q3865" s="7">
        <f t="shared" si="975"/>
        <v>6390735.450000002</v>
      </c>
      <c r="R3865" s="44" t="str">
        <f>VLOOKUP(F3865,'Set up'!$A$2:$E$70,5,FALSE)</f>
        <v>Trsf</v>
      </c>
    </row>
    <row r="3866" spans="1:19" ht="16.2" customHeight="1" x14ac:dyDescent="0.3">
      <c r="A3866" s="140" t="s">
        <v>3630</v>
      </c>
      <c r="B3866" s="5">
        <f t="shared" si="970"/>
        <v>4</v>
      </c>
      <c r="C3866" s="5">
        <f t="shared" si="971"/>
        <v>2025</v>
      </c>
      <c r="D3866" s="105" t="s">
        <v>3632</v>
      </c>
      <c r="E3866" s="5" t="str">
        <f>VLOOKUP(F3866,'Set up'!$A$2:$C$70,2,FALSE)</f>
        <v>C00000019</v>
      </c>
      <c r="F3866" s="99" t="s">
        <v>400</v>
      </c>
      <c r="G3866" s="99" t="s">
        <v>46</v>
      </c>
      <c r="H3866" s="137">
        <v>1</v>
      </c>
      <c r="I3866" s="5" t="str">
        <f>VLOOKUP(F3866,'Set up'!$A$2:$C$70,3,FALSE)</f>
        <v>Cash</v>
      </c>
      <c r="J3866" s="5">
        <f>VLOOKUP(F3866,'Set up'!$A$2:$D$70,4,FALSE)</f>
        <v>0</v>
      </c>
      <c r="K3866" s="4">
        <f t="shared" si="972"/>
        <v>45758</v>
      </c>
      <c r="L3866" s="5">
        <f t="shared" si="973"/>
        <v>4</v>
      </c>
      <c r="M3866" s="5">
        <f t="shared" si="974"/>
        <v>2025</v>
      </c>
      <c r="N3866" s="135">
        <v>110</v>
      </c>
      <c r="O3866" s="141"/>
      <c r="P3866" s="12">
        <f t="shared" si="966"/>
        <v>110</v>
      </c>
      <c r="Q3866" s="7">
        <f t="shared" si="975"/>
        <v>6390845.450000002</v>
      </c>
      <c r="R3866" s="44" t="str">
        <f>VLOOKUP(F3866,'Set up'!$A$2:$E$70,5,FALSE)</f>
        <v>Trsf</v>
      </c>
    </row>
    <row r="3867" spans="1:19" ht="16.2" customHeight="1" x14ac:dyDescent="0.3">
      <c r="A3867" s="140" t="s">
        <v>3633</v>
      </c>
      <c r="B3867" s="5">
        <f t="shared" si="970"/>
        <v>4</v>
      </c>
      <c r="C3867" s="5">
        <f t="shared" si="971"/>
        <v>2025</v>
      </c>
      <c r="D3867" s="105" t="s">
        <v>3634</v>
      </c>
      <c r="E3867" s="5" t="str">
        <f>VLOOKUP(F3867,'Set up'!$A$2:$C$70,2,FALSE)</f>
        <v>C00000061</v>
      </c>
      <c r="F3867" s="99" t="s">
        <v>3532</v>
      </c>
      <c r="G3867" s="99" t="s">
        <v>3122</v>
      </c>
      <c r="H3867" s="137">
        <v>2</v>
      </c>
      <c r="I3867" s="5" t="str">
        <f>VLOOKUP(F3867,'Set up'!$A$2:$C$70,3,FALSE)</f>
        <v>Cash</v>
      </c>
      <c r="J3867" s="5">
        <f>VLOOKUP(F3867,'Set up'!$A$2:$D$70,4,FALSE)</f>
        <v>0</v>
      </c>
      <c r="K3867" s="4">
        <f t="shared" si="972"/>
        <v>45759</v>
      </c>
      <c r="L3867" s="5">
        <f t="shared" si="973"/>
        <v>4</v>
      </c>
      <c r="M3867" s="5">
        <f t="shared" si="974"/>
        <v>2025</v>
      </c>
      <c r="N3867" s="135">
        <v>3285</v>
      </c>
      <c r="O3867" s="6">
        <f t="shared" ref="O3867:O3876" si="977">-N3867</f>
        <v>-3285</v>
      </c>
      <c r="P3867" s="12">
        <f t="shared" si="966"/>
        <v>0</v>
      </c>
      <c r="Q3867" s="7">
        <f t="shared" si="975"/>
        <v>6394130.450000002</v>
      </c>
      <c r="R3867" s="44" t="str">
        <f>VLOOKUP(F3867,'Set up'!$A$2:$E$70,5,FALSE)</f>
        <v>Cash</v>
      </c>
      <c r="S3867" s="1" t="s">
        <v>3681</v>
      </c>
    </row>
    <row r="3868" spans="1:19" ht="16.2" customHeight="1" x14ac:dyDescent="0.3">
      <c r="A3868" s="140" t="s">
        <v>3633</v>
      </c>
      <c r="B3868" s="5">
        <f t="shared" si="970"/>
        <v>4</v>
      </c>
      <c r="C3868" s="5">
        <f t="shared" si="971"/>
        <v>2025</v>
      </c>
      <c r="D3868" s="105" t="s">
        <v>3634</v>
      </c>
      <c r="E3868" s="5" t="str">
        <f>VLOOKUP(F3868,'Set up'!$A$2:$C$70,2,FALSE)</f>
        <v>C00000061</v>
      </c>
      <c r="F3868" s="99" t="s">
        <v>3532</v>
      </c>
      <c r="G3868" s="99" t="s">
        <v>2141</v>
      </c>
      <c r="H3868" s="137">
        <v>2</v>
      </c>
      <c r="I3868" s="5" t="str">
        <f>VLOOKUP(F3868,'Set up'!$A$2:$C$70,3,FALSE)</f>
        <v>Cash</v>
      </c>
      <c r="J3868" s="5">
        <f>VLOOKUP(F3868,'Set up'!$A$2:$D$70,4,FALSE)</f>
        <v>0</v>
      </c>
      <c r="K3868" s="4">
        <f t="shared" si="972"/>
        <v>45759</v>
      </c>
      <c r="L3868" s="5">
        <f t="shared" si="973"/>
        <v>4</v>
      </c>
      <c r="M3868" s="5">
        <f t="shared" si="974"/>
        <v>2025</v>
      </c>
      <c r="N3868" s="135">
        <v>626.4</v>
      </c>
      <c r="O3868" s="6">
        <f t="shared" si="977"/>
        <v>-626.4</v>
      </c>
      <c r="P3868" s="12">
        <f t="shared" si="966"/>
        <v>0</v>
      </c>
      <c r="Q3868" s="7">
        <f t="shared" si="975"/>
        <v>6394756.8500000024</v>
      </c>
      <c r="R3868" s="44" t="str">
        <f>VLOOKUP(F3868,'Set up'!$A$2:$E$70,5,FALSE)</f>
        <v>Cash</v>
      </c>
      <c r="S3868" s="1" t="s">
        <v>3681</v>
      </c>
    </row>
    <row r="3869" spans="1:19" ht="16.2" customHeight="1" x14ac:dyDescent="0.3">
      <c r="A3869" s="140" t="s">
        <v>3633</v>
      </c>
      <c r="B3869" s="5">
        <f t="shared" si="970"/>
        <v>4</v>
      </c>
      <c r="C3869" s="5">
        <f t="shared" si="971"/>
        <v>2025</v>
      </c>
      <c r="D3869" s="105" t="s">
        <v>3634</v>
      </c>
      <c r="E3869" s="5" t="str">
        <f>VLOOKUP(F3869,'Set up'!$A$2:$C$70,2,FALSE)</f>
        <v>C00000061</v>
      </c>
      <c r="F3869" s="99" t="s">
        <v>3532</v>
      </c>
      <c r="G3869" s="99" t="s">
        <v>46</v>
      </c>
      <c r="H3869" s="137">
        <v>1</v>
      </c>
      <c r="I3869" s="5" t="str">
        <f>VLOOKUP(F3869,'Set up'!$A$2:$C$70,3,FALSE)</f>
        <v>Cash</v>
      </c>
      <c r="J3869" s="5">
        <f>VLOOKUP(F3869,'Set up'!$A$2:$D$70,4,FALSE)</f>
        <v>0</v>
      </c>
      <c r="K3869" s="4">
        <f t="shared" si="972"/>
        <v>45759</v>
      </c>
      <c r="L3869" s="5">
        <f t="shared" si="973"/>
        <v>4</v>
      </c>
      <c r="M3869" s="5">
        <f t="shared" si="974"/>
        <v>2025</v>
      </c>
      <c r="N3869" s="135">
        <v>115</v>
      </c>
      <c r="O3869" s="6">
        <f t="shared" si="977"/>
        <v>-115</v>
      </c>
      <c r="P3869" s="12">
        <f t="shared" si="966"/>
        <v>0</v>
      </c>
      <c r="Q3869" s="7">
        <f t="shared" si="975"/>
        <v>6394871.8500000024</v>
      </c>
      <c r="R3869" s="44" t="str">
        <f>VLOOKUP(F3869,'Set up'!$A$2:$E$70,5,FALSE)</f>
        <v>Cash</v>
      </c>
      <c r="S3869" s="1" t="s">
        <v>3681</v>
      </c>
    </row>
    <row r="3870" spans="1:19" ht="16.2" customHeight="1" x14ac:dyDescent="0.3">
      <c r="A3870" s="140" t="s">
        <v>3633</v>
      </c>
      <c r="B3870" s="5">
        <f t="shared" si="970"/>
        <v>4</v>
      </c>
      <c r="C3870" s="5">
        <f t="shared" si="971"/>
        <v>2025</v>
      </c>
      <c r="D3870" s="105" t="s">
        <v>3634</v>
      </c>
      <c r="E3870" s="5" t="str">
        <f>VLOOKUP(F3870,'Set up'!$A$2:$C$70,2,FALSE)</f>
        <v>C00000061</v>
      </c>
      <c r="F3870" s="99" t="s">
        <v>3532</v>
      </c>
      <c r="G3870" s="99" t="s">
        <v>2635</v>
      </c>
      <c r="H3870" s="137">
        <v>6</v>
      </c>
      <c r="I3870" s="5" t="str">
        <f>VLOOKUP(F3870,'Set up'!$A$2:$C$70,3,FALSE)</f>
        <v>Cash</v>
      </c>
      <c r="J3870" s="5">
        <f>VLOOKUP(F3870,'Set up'!$A$2:$D$70,4,FALSE)</f>
        <v>0</v>
      </c>
      <c r="K3870" s="4">
        <f t="shared" si="972"/>
        <v>45759</v>
      </c>
      <c r="L3870" s="5">
        <f t="shared" si="973"/>
        <v>4</v>
      </c>
      <c r="M3870" s="5">
        <f t="shared" si="974"/>
        <v>2025</v>
      </c>
      <c r="N3870" s="135">
        <v>345</v>
      </c>
      <c r="O3870" s="6">
        <f t="shared" si="977"/>
        <v>-345</v>
      </c>
      <c r="P3870" s="12">
        <f t="shared" si="966"/>
        <v>0</v>
      </c>
      <c r="Q3870" s="7">
        <f t="shared" si="975"/>
        <v>6395216.8500000024</v>
      </c>
      <c r="R3870" s="44" t="str">
        <f>VLOOKUP(F3870,'Set up'!$A$2:$E$70,5,FALSE)</f>
        <v>Cash</v>
      </c>
      <c r="S3870" s="1" t="s">
        <v>3681</v>
      </c>
    </row>
    <row r="3871" spans="1:19" ht="16.2" customHeight="1" x14ac:dyDescent="0.3">
      <c r="A3871" s="140" t="s">
        <v>3635</v>
      </c>
      <c r="B3871" s="5">
        <f t="shared" si="970"/>
        <v>4</v>
      </c>
      <c r="C3871" s="5">
        <f t="shared" si="971"/>
        <v>2025</v>
      </c>
      <c r="D3871" s="105" t="s">
        <v>3636</v>
      </c>
      <c r="E3871" s="5" t="str">
        <f>VLOOKUP(F3871,'Set up'!$A$2:$C$70,2,FALSE)</f>
        <v>C00000042</v>
      </c>
      <c r="F3871" s="99" t="s">
        <v>2012</v>
      </c>
      <c r="G3871" s="99" t="s">
        <v>46</v>
      </c>
      <c r="H3871" s="137">
        <v>4</v>
      </c>
      <c r="I3871" s="5" t="str">
        <f>VLOOKUP(F3871,'Set up'!$A$2:$C$70,3,FALSE)</f>
        <v>Cash</v>
      </c>
      <c r="J3871" s="5">
        <f>VLOOKUP(F3871,'Set up'!$A$2:$D$70,4,FALSE)</f>
        <v>0</v>
      </c>
      <c r="K3871" s="4">
        <f t="shared" si="972"/>
        <v>45761</v>
      </c>
      <c r="L3871" s="5">
        <f t="shared" si="973"/>
        <v>4</v>
      </c>
      <c r="M3871" s="5">
        <f t="shared" si="974"/>
        <v>2025</v>
      </c>
      <c r="N3871" s="135">
        <v>460</v>
      </c>
      <c r="O3871" s="141"/>
      <c r="P3871" s="12">
        <f t="shared" si="966"/>
        <v>460</v>
      </c>
      <c r="Q3871" s="7">
        <f t="shared" si="975"/>
        <v>6395676.8500000024</v>
      </c>
      <c r="R3871" s="44" t="str">
        <f>VLOOKUP(F3871,'Set up'!$A$2:$E$70,5,FALSE)</f>
        <v>Trsf</v>
      </c>
    </row>
    <row r="3872" spans="1:19" ht="16.2" customHeight="1" x14ac:dyDescent="0.3">
      <c r="A3872" s="140" t="s">
        <v>3637</v>
      </c>
      <c r="B3872" s="5">
        <f t="shared" si="970"/>
        <v>4</v>
      </c>
      <c r="C3872" s="5">
        <f t="shared" si="971"/>
        <v>2025</v>
      </c>
      <c r="D3872" s="105" t="s">
        <v>3638</v>
      </c>
      <c r="E3872" s="5" t="str">
        <f>VLOOKUP(F3872,'Set up'!$A$2:$C$70,2,FALSE)</f>
        <v>C00000061</v>
      </c>
      <c r="F3872" s="99" t="s">
        <v>3532</v>
      </c>
      <c r="G3872" s="99" t="s">
        <v>3122</v>
      </c>
      <c r="H3872" s="137">
        <v>2</v>
      </c>
      <c r="I3872" s="5" t="str">
        <f>VLOOKUP(F3872,'Set up'!$A$2:$C$70,3,FALSE)</f>
        <v>Cash</v>
      </c>
      <c r="J3872" s="5">
        <f>VLOOKUP(F3872,'Set up'!$A$2:$D$70,4,FALSE)</f>
        <v>0</v>
      </c>
      <c r="K3872" s="4">
        <f t="shared" si="972"/>
        <v>45762</v>
      </c>
      <c r="L3872" s="5">
        <f t="shared" si="973"/>
        <v>4</v>
      </c>
      <c r="M3872" s="5">
        <f t="shared" si="974"/>
        <v>2025</v>
      </c>
      <c r="N3872" s="135">
        <v>3285</v>
      </c>
      <c r="O3872" s="6">
        <f t="shared" si="977"/>
        <v>-3285</v>
      </c>
      <c r="P3872" s="12">
        <f t="shared" ref="P3872:P3935" si="978">SUM(N3872+O3872)</f>
        <v>0</v>
      </c>
      <c r="Q3872" s="7">
        <f t="shared" si="975"/>
        <v>6398961.8500000024</v>
      </c>
      <c r="R3872" s="44" t="str">
        <f>VLOOKUP(F3872,'Set up'!$A$2:$E$70,5,FALSE)</f>
        <v>Cash</v>
      </c>
      <c r="S3872" s="1" t="s">
        <v>3822</v>
      </c>
    </row>
    <row r="3873" spans="1:19" ht="16.2" customHeight="1" x14ac:dyDescent="0.3">
      <c r="A3873" s="140" t="s">
        <v>3637</v>
      </c>
      <c r="B3873" s="5">
        <f t="shared" si="970"/>
        <v>4</v>
      </c>
      <c r="C3873" s="5">
        <f t="shared" si="971"/>
        <v>2025</v>
      </c>
      <c r="D3873" s="105" t="s">
        <v>3638</v>
      </c>
      <c r="E3873" s="5" t="str">
        <f>VLOOKUP(F3873,'Set up'!$A$2:$C$70,2,FALSE)</f>
        <v>C00000061</v>
      </c>
      <c r="F3873" s="99" t="s">
        <v>3532</v>
      </c>
      <c r="G3873" s="99" t="s">
        <v>3639</v>
      </c>
      <c r="H3873" s="137">
        <v>2</v>
      </c>
      <c r="I3873" s="5" t="str">
        <f>VLOOKUP(F3873,'Set up'!$A$2:$C$70,3,FALSE)</f>
        <v>Cash</v>
      </c>
      <c r="J3873" s="5">
        <f>VLOOKUP(F3873,'Set up'!$A$2:$D$70,4,FALSE)</f>
        <v>0</v>
      </c>
      <c r="K3873" s="4">
        <f t="shared" si="972"/>
        <v>45762</v>
      </c>
      <c r="L3873" s="5">
        <f t="shared" si="973"/>
        <v>4</v>
      </c>
      <c r="M3873" s="5">
        <f t="shared" si="974"/>
        <v>2025</v>
      </c>
      <c r="N3873" s="135">
        <v>817.4</v>
      </c>
      <c r="O3873" s="6">
        <f t="shared" si="977"/>
        <v>-817.4</v>
      </c>
      <c r="P3873" s="12">
        <f t="shared" si="978"/>
        <v>0</v>
      </c>
      <c r="Q3873" s="7">
        <f t="shared" si="975"/>
        <v>6399779.2500000028</v>
      </c>
      <c r="R3873" s="44" t="str">
        <f>VLOOKUP(F3873,'Set up'!$A$2:$E$70,5,FALSE)</f>
        <v>Cash</v>
      </c>
      <c r="S3873" s="1" t="s">
        <v>3822</v>
      </c>
    </row>
    <row r="3874" spans="1:19" ht="16.2" customHeight="1" x14ac:dyDescent="0.3">
      <c r="A3874" s="140" t="s">
        <v>3637</v>
      </c>
      <c r="B3874" s="5">
        <f t="shared" si="970"/>
        <v>4</v>
      </c>
      <c r="C3874" s="5">
        <f t="shared" si="971"/>
        <v>2025</v>
      </c>
      <c r="D3874" s="105" t="s">
        <v>3638</v>
      </c>
      <c r="E3874" s="5" t="str">
        <f>VLOOKUP(F3874,'Set up'!$A$2:$C$70,2,FALSE)</f>
        <v>C00000061</v>
      </c>
      <c r="F3874" s="99" t="s">
        <v>3532</v>
      </c>
      <c r="G3874" s="99" t="s">
        <v>46</v>
      </c>
      <c r="H3874" s="137">
        <v>1</v>
      </c>
      <c r="I3874" s="5" t="str">
        <f>VLOOKUP(F3874,'Set up'!$A$2:$C$70,3,FALSE)</f>
        <v>Cash</v>
      </c>
      <c r="J3874" s="5">
        <f>VLOOKUP(F3874,'Set up'!$A$2:$D$70,4,FALSE)</f>
        <v>0</v>
      </c>
      <c r="K3874" s="4">
        <f t="shared" si="972"/>
        <v>45762</v>
      </c>
      <c r="L3874" s="5">
        <f t="shared" si="973"/>
        <v>4</v>
      </c>
      <c r="M3874" s="5">
        <f t="shared" si="974"/>
        <v>2025</v>
      </c>
      <c r="N3874" s="135">
        <v>115</v>
      </c>
      <c r="O3874" s="6">
        <f t="shared" si="977"/>
        <v>-115</v>
      </c>
      <c r="P3874" s="12">
        <f t="shared" si="978"/>
        <v>0</v>
      </c>
      <c r="Q3874" s="7">
        <f t="shared" si="975"/>
        <v>6399894.2500000028</v>
      </c>
      <c r="R3874" s="44" t="str">
        <f>VLOOKUP(F3874,'Set up'!$A$2:$E$70,5,FALSE)</f>
        <v>Cash</v>
      </c>
      <c r="S3874" s="1" t="s">
        <v>3822</v>
      </c>
    </row>
    <row r="3875" spans="1:19" ht="16.2" customHeight="1" x14ac:dyDescent="0.3">
      <c r="A3875" s="140" t="s">
        <v>3637</v>
      </c>
      <c r="B3875" s="5">
        <f t="shared" si="970"/>
        <v>4</v>
      </c>
      <c r="C3875" s="5">
        <f t="shared" si="971"/>
        <v>2025</v>
      </c>
      <c r="D3875" s="105" t="s">
        <v>3638</v>
      </c>
      <c r="E3875" s="5" t="str">
        <f>VLOOKUP(F3875,'Set up'!$A$2:$C$70,2,FALSE)</f>
        <v>C00000061</v>
      </c>
      <c r="F3875" s="99" t="s">
        <v>3532</v>
      </c>
      <c r="G3875" s="99" t="s">
        <v>2635</v>
      </c>
      <c r="H3875" s="137">
        <v>6</v>
      </c>
      <c r="I3875" s="5" t="str">
        <f>VLOOKUP(F3875,'Set up'!$A$2:$C$70,3,FALSE)</f>
        <v>Cash</v>
      </c>
      <c r="J3875" s="5">
        <f>VLOOKUP(F3875,'Set up'!$A$2:$D$70,4,FALSE)</f>
        <v>0</v>
      </c>
      <c r="K3875" s="4">
        <f t="shared" si="972"/>
        <v>45762</v>
      </c>
      <c r="L3875" s="5">
        <f t="shared" si="973"/>
        <v>4</v>
      </c>
      <c r="M3875" s="5">
        <f t="shared" si="974"/>
        <v>2025</v>
      </c>
      <c r="N3875" s="135">
        <v>345</v>
      </c>
      <c r="O3875" s="6">
        <f t="shared" si="977"/>
        <v>-345</v>
      </c>
      <c r="P3875" s="12">
        <f t="shared" si="978"/>
        <v>0</v>
      </c>
      <c r="Q3875" s="7">
        <f t="shared" si="975"/>
        <v>6400239.2500000028</v>
      </c>
      <c r="R3875" s="44" t="str">
        <f>VLOOKUP(F3875,'Set up'!$A$2:$E$70,5,FALSE)</f>
        <v>Cash</v>
      </c>
      <c r="S3875" s="1" t="s">
        <v>3822</v>
      </c>
    </row>
    <row r="3876" spans="1:19" ht="16.2" customHeight="1" x14ac:dyDescent="0.3">
      <c r="A3876" s="140" t="s">
        <v>3637</v>
      </c>
      <c r="B3876" s="5">
        <f t="shared" si="970"/>
        <v>4</v>
      </c>
      <c r="C3876" s="5">
        <f t="shared" si="971"/>
        <v>2025</v>
      </c>
      <c r="D3876" s="105" t="s">
        <v>3638</v>
      </c>
      <c r="E3876" s="5" t="str">
        <f>VLOOKUP(F3876,'Set up'!$A$2:$C$70,2,FALSE)</f>
        <v>C00000061</v>
      </c>
      <c r="F3876" s="99" t="s">
        <v>3532</v>
      </c>
      <c r="G3876" s="99" t="s">
        <v>949</v>
      </c>
      <c r="H3876" s="137">
        <v>1</v>
      </c>
      <c r="I3876" s="5" t="str">
        <f>VLOOKUP(F3876,'Set up'!$A$2:$C$70,3,FALSE)</f>
        <v>Cash</v>
      </c>
      <c r="J3876" s="5">
        <f>VLOOKUP(F3876,'Set up'!$A$2:$D$70,4,FALSE)</f>
        <v>0</v>
      </c>
      <c r="K3876" s="4">
        <f t="shared" si="972"/>
        <v>45762</v>
      </c>
      <c r="L3876" s="5">
        <f t="shared" si="973"/>
        <v>4</v>
      </c>
      <c r="M3876" s="5">
        <f t="shared" si="974"/>
        <v>2025</v>
      </c>
      <c r="N3876" s="135">
        <v>60</v>
      </c>
      <c r="O3876" s="6">
        <f t="shared" si="977"/>
        <v>-60</v>
      </c>
      <c r="P3876" s="12">
        <f t="shared" si="978"/>
        <v>0</v>
      </c>
      <c r="Q3876" s="7">
        <f t="shared" si="975"/>
        <v>6400299.2500000028</v>
      </c>
      <c r="R3876" s="44" t="str">
        <f>VLOOKUP(F3876,'Set up'!$A$2:$E$70,5,FALSE)</f>
        <v>Cash</v>
      </c>
      <c r="S3876" s="1" t="s">
        <v>3822</v>
      </c>
    </row>
    <row r="3877" spans="1:19" ht="16.2" customHeight="1" x14ac:dyDescent="0.3">
      <c r="A3877" s="140" t="s">
        <v>3640</v>
      </c>
      <c r="B3877" s="5">
        <f t="shared" si="970"/>
        <v>4</v>
      </c>
      <c r="C3877" s="5">
        <f t="shared" si="971"/>
        <v>2025</v>
      </c>
      <c r="D3877" s="105" t="s">
        <v>3641</v>
      </c>
      <c r="E3877" s="5" t="str">
        <f>VLOOKUP(F3877,'Set up'!$A$2:$C$70,2,FALSE)</f>
        <v>C00000042</v>
      </c>
      <c r="F3877" s="99" t="s">
        <v>2012</v>
      </c>
      <c r="G3877" s="99" t="s">
        <v>2646</v>
      </c>
      <c r="H3877" s="137">
        <v>1</v>
      </c>
      <c r="I3877" s="5" t="str">
        <f>VLOOKUP(F3877,'Set up'!$A$2:$C$70,3,FALSE)</f>
        <v>Cash</v>
      </c>
      <c r="J3877" s="5">
        <f>VLOOKUP(F3877,'Set up'!$A$2:$D$70,4,FALSE)</f>
        <v>0</v>
      </c>
      <c r="K3877" s="4">
        <f t="shared" si="972"/>
        <v>45764</v>
      </c>
      <c r="L3877" s="5">
        <f t="shared" si="973"/>
        <v>4</v>
      </c>
      <c r="M3877" s="5">
        <f t="shared" si="974"/>
        <v>2025</v>
      </c>
      <c r="N3877" s="135">
        <v>62.5</v>
      </c>
      <c r="O3877" s="141"/>
      <c r="P3877" s="12">
        <f t="shared" si="978"/>
        <v>62.5</v>
      </c>
      <c r="Q3877" s="7">
        <f t="shared" si="975"/>
        <v>6400361.7500000028</v>
      </c>
      <c r="R3877" s="44" t="str">
        <f>VLOOKUP(F3877,'Set up'!$A$2:$E$70,5,FALSE)</f>
        <v>Trsf</v>
      </c>
    </row>
    <row r="3878" spans="1:19" ht="16.2" customHeight="1" x14ac:dyDescent="0.3">
      <c r="A3878" s="140" t="s">
        <v>3640</v>
      </c>
      <c r="B3878" s="5">
        <f t="shared" si="970"/>
        <v>4</v>
      </c>
      <c r="C3878" s="5">
        <f t="shared" si="971"/>
        <v>2025</v>
      </c>
      <c r="D3878" s="105" t="s">
        <v>3642</v>
      </c>
      <c r="E3878" s="5" t="str">
        <f>VLOOKUP(F3878,'Set up'!$A$2:$C$70,2,FALSE)</f>
        <v>C00000042</v>
      </c>
      <c r="F3878" s="99" t="s">
        <v>2012</v>
      </c>
      <c r="G3878" s="99" t="s">
        <v>3217</v>
      </c>
      <c r="H3878" s="137">
        <v>3</v>
      </c>
      <c r="I3878" s="5" t="str">
        <f>VLOOKUP(F3878,'Set up'!$A$2:$C$70,3,FALSE)</f>
        <v>Cash</v>
      </c>
      <c r="J3878" s="5">
        <f>VLOOKUP(F3878,'Set up'!$A$2:$D$70,4,FALSE)</f>
        <v>0</v>
      </c>
      <c r="K3878" s="4">
        <f t="shared" si="972"/>
        <v>45764</v>
      </c>
      <c r="L3878" s="5">
        <f t="shared" si="973"/>
        <v>4</v>
      </c>
      <c r="M3878" s="5">
        <f t="shared" si="974"/>
        <v>2025</v>
      </c>
      <c r="N3878" s="135">
        <v>4860</v>
      </c>
      <c r="O3878" s="141"/>
      <c r="P3878" s="12">
        <f t="shared" si="978"/>
        <v>4860</v>
      </c>
      <c r="Q3878" s="7">
        <f t="shared" si="975"/>
        <v>6405221.7500000028</v>
      </c>
      <c r="R3878" s="44" t="str">
        <f>VLOOKUP(F3878,'Set up'!$A$2:$E$70,5,FALSE)</f>
        <v>Trsf</v>
      </c>
    </row>
    <row r="3879" spans="1:19" ht="16.2" customHeight="1" x14ac:dyDescent="0.3">
      <c r="A3879" s="140" t="s">
        <v>3640</v>
      </c>
      <c r="B3879" s="5">
        <f t="shared" si="970"/>
        <v>4</v>
      </c>
      <c r="C3879" s="5">
        <f t="shared" si="971"/>
        <v>2025</v>
      </c>
      <c r="D3879" s="105" t="s">
        <v>3642</v>
      </c>
      <c r="E3879" s="5" t="str">
        <f>VLOOKUP(F3879,'Set up'!$A$2:$C$70,2,FALSE)</f>
        <v>C00000042</v>
      </c>
      <c r="F3879" s="99" t="s">
        <v>2012</v>
      </c>
      <c r="G3879" s="99" t="s">
        <v>2129</v>
      </c>
      <c r="H3879" s="137">
        <v>2</v>
      </c>
      <c r="I3879" s="5" t="str">
        <f>VLOOKUP(F3879,'Set up'!$A$2:$C$70,3,FALSE)</f>
        <v>Cash</v>
      </c>
      <c r="J3879" s="5">
        <f>VLOOKUP(F3879,'Set up'!$A$2:$D$70,4,FALSE)</f>
        <v>0</v>
      </c>
      <c r="K3879" s="4">
        <f t="shared" si="972"/>
        <v>45764</v>
      </c>
      <c r="L3879" s="5">
        <f t="shared" si="973"/>
        <v>4</v>
      </c>
      <c r="M3879" s="5">
        <f t="shared" si="974"/>
        <v>2025</v>
      </c>
      <c r="N3879" s="135">
        <v>436.6</v>
      </c>
      <c r="O3879" s="141"/>
      <c r="P3879" s="12">
        <f t="shared" si="978"/>
        <v>436.6</v>
      </c>
      <c r="Q3879" s="7">
        <f t="shared" si="975"/>
        <v>6405658.3500000024</v>
      </c>
      <c r="R3879" s="44" t="str">
        <f>VLOOKUP(F3879,'Set up'!$A$2:$E$70,5,FALSE)</f>
        <v>Trsf</v>
      </c>
    </row>
    <row r="3880" spans="1:19" ht="16.2" customHeight="1" x14ac:dyDescent="0.3">
      <c r="A3880" s="140" t="s">
        <v>3640</v>
      </c>
      <c r="B3880" s="5">
        <f t="shared" si="970"/>
        <v>4</v>
      </c>
      <c r="C3880" s="5">
        <f t="shared" si="971"/>
        <v>2025</v>
      </c>
      <c r="D3880" s="105" t="s">
        <v>3642</v>
      </c>
      <c r="E3880" s="5" t="str">
        <f>VLOOKUP(F3880,'Set up'!$A$2:$C$70,2,FALSE)</f>
        <v>C00000042</v>
      </c>
      <c r="F3880" s="99" t="s">
        <v>2012</v>
      </c>
      <c r="G3880" s="99" t="s">
        <v>1922</v>
      </c>
      <c r="H3880" s="137">
        <v>6</v>
      </c>
      <c r="I3880" s="5" t="str">
        <f>VLOOKUP(F3880,'Set up'!$A$2:$C$70,3,FALSE)</f>
        <v>Cash</v>
      </c>
      <c r="J3880" s="5">
        <f>VLOOKUP(F3880,'Set up'!$A$2:$D$70,4,FALSE)</f>
        <v>0</v>
      </c>
      <c r="K3880" s="4">
        <f t="shared" si="972"/>
        <v>45764</v>
      </c>
      <c r="L3880" s="5">
        <f t="shared" si="973"/>
        <v>4</v>
      </c>
      <c r="M3880" s="5">
        <f t="shared" si="974"/>
        <v>2025</v>
      </c>
      <c r="N3880" s="135">
        <v>1485</v>
      </c>
      <c r="O3880" s="141"/>
      <c r="P3880" s="12">
        <f t="shared" si="978"/>
        <v>1485</v>
      </c>
      <c r="Q3880" s="7">
        <f t="shared" si="975"/>
        <v>6407143.3500000024</v>
      </c>
      <c r="R3880" s="44" t="str">
        <f>VLOOKUP(F3880,'Set up'!$A$2:$E$70,5,FALSE)</f>
        <v>Trsf</v>
      </c>
    </row>
    <row r="3881" spans="1:19" ht="16.2" customHeight="1" x14ac:dyDescent="0.3">
      <c r="A3881" s="140" t="s">
        <v>3643</v>
      </c>
      <c r="B3881" s="5">
        <f t="shared" si="970"/>
        <v>4</v>
      </c>
      <c r="C3881" s="5">
        <f t="shared" si="971"/>
        <v>2025</v>
      </c>
      <c r="D3881" s="105" t="s">
        <v>3644</v>
      </c>
      <c r="E3881" s="5" t="str">
        <f>VLOOKUP(F3881,'Set up'!$A$2:$C$70,2,FALSE)</f>
        <v>C00000010</v>
      </c>
      <c r="F3881" s="99" t="s">
        <v>62</v>
      </c>
      <c r="G3881" s="99" t="s">
        <v>3645</v>
      </c>
      <c r="H3881" s="137">
        <v>2</v>
      </c>
      <c r="I3881" s="5">
        <f>VLOOKUP(F3881,'Set up'!$A$2:$C$70,3,FALSE)</f>
        <v>120</v>
      </c>
      <c r="J3881" s="5">
        <f>VLOOKUP(F3881,'Set up'!$A$2:$D$70,4,FALSE)</f>
        <v>120</v>
      </c>
      <c r="K3881" s="4">
        <f t="shared" si="972"/>
        <v>45885</v>
      </c>
      <c r="L3881" s="5">
        <f t="shared" si="973"/>
        <v>8</v>
      </c>
      <c r="M3881" s="5">
        <f t="shared" si="974"/>
        <v>2025</v>
      </c>
      <c r="N3881" s="135">
        <v>3195</v>
      </c>
      <c r="O3881" s="6">
        <f t="shared" ref="O3881" si="979">-N3881</f>
        <v>-3195</v>
      </c>
      <c r="P3881" s="12">
        <f t="shared" si="978"/>
        <v>0</v>
      </c>
      <c r="Q3881" s="7">
        <f t="shared" si="975"/>
        <v>6410338.3500000024</v>
      </c>
      <c r="R3881" s="44" t="str">
        <f>VLOOKUP(F3881,'Set up'!$A$2:$E$70,5,FALSE)</f>
        <v>Trsf</v>
      </c>
      <c r="S3881" s="1" t="s">
        <v>4076</v>
      </c>
    </row>
    <row r="3882" spans="1:19" ht="16.2" customHeight="1" x14ac:dyDescent="0.3">
      <c r="A3882" s="140" t="s">
        <v>3646</v>
      </c>
      <c r="B3882" s="5">
        <f t="shared" si="970"/>
        <v>4</v>
      </c>
      <c r="C3882" s="5">
        <f t="shared" si="971"/>
        <v>2025</v>
      </c>
      <c r="D3882" s="105" t="s">
        <v>3647</v>
      </c>
      <c r="E3882" s="5" t="str">
        <f>VLOOKUP(F3882,'Set up'!$A$2:$C$70,2,FALSE)</f>
        <v>C00000042</v>
      </c>
      <c r="F3882" s="99" t="s">
        <v>2012</v>
      </c>
      <c r="G3882" s="99" t="s">
        <v>2646</v>
      </c>
      <c r="H3882" s="137">
        <v>5</v>
      </c>
      <c r="I3882" s="5" t="str">
        <f>VLOOKUP(F3882,'Set up'!$A$2:$C$70,3,FALSE)</f>
        <v>Cash</v>
      </c>
      <c r="J3882" s="5">
        <f>VLOOKUP(F3882,'Set up'!$A$2:$D$70,4,FALSE)</f>
        <v>0</v>
      </c>
      <c r="K3882" s="4">
        <f t="shared" si="972"/>
        <v>45766</v>
      </c>
      <c r="L3882" s="5">
        <f t="shared" si="973"/>
        <v>4</v>
      </c>
      <c r="M3882" s="5">
        <f t="shared" si="974"/>
        <v>2025</v>
      </c>
      <c r="N3882" s="135">
        <v>312.5</v>
      </c>
      <c r="O3882" s="141"/>
      <c r="P3882" s="12">
        <f t="shared" si="978"/>
        <v>312.5</v>
      </c>
      <c r="Q3882" s="7">
        <f t="shared" si="975"/>
        <v>6410650.8500000024</v>
      </c>
      <c r="R3882" s="44" t="str">
        <f>VLOOKUP(F3882,'Set up'!$A$2:$E$70,5,FALSE)</f>
        <v>Trsf</v>
      </c>
    </row>
    <row r="3883" spans="1:19" ht="16.2" customHeight="1" x14ac:dyDescent="0.3">
      <c r="A3883" s="140" t="s">
        <v>3646</v>
      </c>
      <c r="B3883" s="5">
        <f t="shared" si="970"/>
        <v>4</v>
      </c>
      <c r="C3883" s="5">
        <f t="shared" si="971"/>
        <v>2025</v>
      </c>
      <c r="D3883" s="105" t="s">
        <v>3648</v>
      </c>
      <c r="E3883" s="5" t="str">
        <f>VLOOKUP(F3883,'Set up'!$A$2:$C$70,2,FALSE)</f>
        <v>C00000042</v>
      </c>
      <c r="F3883" s="99" t="s">
        <v>2012</v>
      </c>
      <c r="G3883" s="99" t="s">
        <v>3217</v>
      </c>
      <c r="H3883" s="137">
        <v>6</v>
      </c>
      <c r="I3883" s="5" t="str">
        <f>VLOOKUP(F3883,'Set up'!$A$2:$C$70,3,FALSE)</f>
        <v>Cash</v>
      </c>
      <c r="J3883" s="5">
        <f>VLOOKUP(F3883,'Set up'!$A$2:$D$70,4,FALSE)</f>
        <v>0</v>
      </c>
      <c r="K3883" s="4">
        <f t="shared" si="972"/>
        <v>45766</v>
      </c>
      <c r="L3883" s="5">
        <f t="shared" si="973"/>
        <v>4</v>
      </c>
      <c r="M3883" s="5">
        <f t="shared" si="974"/>
        <v>2025</v>
      </c>
      <c r="N3883" s="135">
        <v>9720</v>
      </c>
      <c r="O3883" s="141"/>
      <c r="P3883" s="12">
        <f t="shared" si="978"/>
        <v>9720</v>
      </c>
      <c r="Q3883" s="7">
        <f t="shared" si="975"/>
        <v>6420370.8500000024</v>
      </c>
      <c r="R3883" s="44" t="str">
        <f>VLOOKUP(F3883,'Set up'!$A$2:$E$70,5,FALSE)</f>
        <v>Trsf</v>
      </c>
    </row>
    <row r="3884" spans="1:19" ht="16.2" customHeight="1" x14ac:dyDescent="0.3">
      <c r="A3884" s="140" t="s">
        <v>3646</v>
      </c>
      <c r="B3884" s="5">
        <f t="shared" si="970"/>
        <v>4</v>
      </c>
      <c r="C3884" s="5">
        <f t="shared" si="971"/>
        <v>2025</v>
      </c>
      <c r="D3884" s="105" t="s">
        <v>3648</v>
      </c>
      <c r="E3884" s="5" t="str">
        <f>VLOOKUP(F3884,'Set up'!$A$2:$C$70,2,FALSE)</f>
        <v>C00000042</v>
      </c>
      <c r="F3884" s="99" t="s">
        <v>2012</v>
      </c>
      <c r="G3884" s="99" t="s">
        <v>2129</v>
      </c>
      <c r="H3884" s="137">
        <v>20</v>
      </c>
      <c r="I3884" s="5" t="str">
        <f>VLOOKUP(F3884,'Set up'!$A$2:$C$70,3,FALSE)</f>
        <v>Cash</v>
      </c>
      <c r="J3884" s="5">
        <f>VLOOKUP(F3884,'Set up'!$A$2:$D$70,4,FALSE)</f>
        <v>0</v>
      </c>
      <c r="K3884" s="4">
        <f t="shared" si="972"/>
        <v>45766</v>
      </c>
      <c r="L3884" s="5">
        <f t="shared" si="973"/>
        <v>4</v>
      </c>
      <c r="M3884" s="5">
        <f t="shared" si="974"/>
        <v>2025</v>
      </c>
      <c r="N3884" s="135">
        <v>4366</v>
      </c>
      <c r="O3884" s="141"/>
      <c r="P3884" s="12">
        <f t="shared" si="978"/>
        <v>4366</v>
      </c>
      <c r="Q3884" s="7">
        <f t="shared" si="975"/>
        <v>6424736.8500000024</v>
      </c>
      <c r="R3884" s="44" t="str">
        <f>VLOOKUP(F3884,'Set up'!$A$2:$E$70,5,FALSE)</f>
        <v>Trsf</v>
      </c>
    </row>
    <row r="3885" spans="1:19" ht="16.2" customHeight="1" x14ac:dyDescent="0.3">
      <c r="A3885" s="140" t="s">
        <v>3646</v>
      </c>
      <c r="B3885" s="5">
        <f t="shared" si="970"/>
        <v>4</v>
      </c>
      <c r="C3885" s="5">
        <f t="shared" si="971"/>
        <v>2025</v>
      </c>
      <c r="D3885" s="105" t="s">
        <v>3648</v>
      </c>
      <c r="E3885" s="5" t="str">
        <f>VLOOKUP(F3885,'Set up'!$A$2:$C$70,2,FALSE)</f>
        <v>C00000042</v>
      </c>
      <c r="F3885" s="99" t="s">
        <v>2012</v>
      </c>
      <c r="G3885" s="99" t="s">
        <v>1922</v>
      </c>
      <c r="H3885" s="137">
        <v>10</v>
      </c>
      <c r="I3885" s="5" t="str">
        <f>VLOOKUP(F3885,'Set up'!$A$2:$C$70,3,FALSE)</f>
        <v>Cash</v>
      </c>
      <c r="J3885" s="5">
        <f>VLOOKUP(F3885,'Set up'!$A$2:$D$70,4,FALSE)</f>
        <v>0</v>
      </c>
      <c r="K3885" s="4">
        <f t="shared" si="972"/>
        <v>45766</v>
      </c>
      <c r="L3885" s="5">
        <f t="shared" si="973"/>
        <v>4</v>
      </c>
      <c r="M3885" s="5">
        <f t="shared" si="974"/>
        <v>2025</v>
      </c>
      <c r="N3885" s="135">
        <v>2475</v>
      </c>
      <c r="O3885" s="141"/>
      <c r="P3885" s="12">
        <f t="shared" si="978"/>
        <v>2475</v>
      </c>
      <c r="Q3885" s="7">
        <f t="shared" si="975"/>
        <v>6427211.8500000024</v>
      </c>
      <c r="R3885" s="44" t="str">
        <f>VLOOKUP(F3885,'Set up'!$A$2:$E$70,5,FALSE)</f>
        <v>Trsf</v>
      </c>
    </row>
    <row r="3886" spans="1:19" ht="16.2" customHeight="1" x14ac:dyDescent="0.3">
      <c r="A3886" s="140" t="s">
        <v>3646</v>
      </c>
      <c r="B3886" s="5">
        <f t="shared" si="970"/>
        <v>4</v>
      </c>
      <c r="C3886" s="5">
        <f t="shared" si="971"/>
        <v>2025</v>
      </c>
      <c r="D3886" s="105" t="s">
        <v>3648</v>
      </c>
      <c r="E3886" s="5" t="str">
        <f>VLOOKUP(F3886,'Set up'!$A$2:$C$70,2,FALSE)</f>
        <v>C00000042</v>
      </c>
      <c r="F3886" s="99" t="s">
        <v>2012</v>
      </c>
      <c r="G3886" s="99" t="s">
        <v>46</v>
      </c>
      <c r="H3886" s="137">
        <v>4</v>
      </c>
      <c r="I3886" s="5" t="str">
        <f>VLOOKUP(F3886,'Set up'!$A$2:$C$70,3,FALSE)</f>
        <v>Cash</v>
      </c>
      <c r="J3886" s="5">
        <f>VLOOKUP(F3886,'Set up'!$A$2:$D$70,4,FALSE)</f>
        <v>0</v>
      </c>
      <c r="K3886" s="4">
        <f t="shared" si="972"/>
        <v>45766</v>
      </c>
      <c r="L3886" s="5">
        <f t="shared" si="973"/>
        <v>4</v>
      </c>
      <c r="M3886" s="5">
        <f t="shared" si="974"/>
        <v>2025</v>
      </c>
      <c r="N3886" s="135">
        <v>460</v>
      </c>
      <c r="O3886" s="141"/>
      <c r="P3886" s="12">
        <f t="shared" si="978"/>
        <v>460</v>
      </c>
      <c r="Q3886" s="7">
        <f t="shared" si="975"/>
        <v>6427671.8500000024</v>
      </c>
      <c r="R3886" s="44" t="str">
        <f>VLOOKUP(F3886,'Set up'!$A$2:$E$70,5,FALSE)</f>
        <v>Trsf</v>
      </c>
    </row>
    <row r="3887" spans="1:19" ht="16.2" customHeight="1" x14ac:dyDescent="0.3">
      <c r="A3887" s="140" t="s">
        <v>3646</v>
      </c>
      <c r="B3887" s="5">
        <f t="shared" si="970"/>
        <v>4</v>
      </c>
      <c r="C3887" s="5">
        <f t="shared" si="971"/>
        <v>2025</v>
      </c>
      <c r="D3887" s="105" t="s">
        <v>3648</v>
      </c>
      <c r="E3887" s="5" t="str">
        <f>VLOOKUP(F3887,'Set up'!$A$2:$C$70,2,FALSE)</f>
        <v>C00000042</v>
      </c>
      <c r="F3887" s="99" t="s">
        <v>2012</v>
      </c>
      <c r="G3887" s="99" t="s">
        <v>2744</v>
      </c>
      <c r="H3887" s="137">
        <v>1</v>
      </c>
      <c r="I3887" s="5" t="str">
        <f>VLOOKUP(F3887,'Set up'!$A$2:$C$70,3,FALSE)</f>
        <v>Cash</v>
      </c>
      <c r="J3887" s="5">
        <f>VLOOKUP(F3887,'Set up'!$A$2:$D$70,4,FALSE)</f>
        <v>0</v>
      </c>
      <c r="K3887" s="4">
        <f t="shared" si="972"/>
        <v>45766</v>
      </c>
      <c r="L3887" s="5">
        <f t="shared" si="973"/>
        <v>4</v>
      </c>
      <c r="M3887" s="5">
        <f t="shared" si="974"/>
        <v>2025</v>
      </c>
      <c r="N3887" s="135">
        <v>975</v>
      </c>
      <c r="O3887" s="141"/>
      <c r="P3887" s="12">
        <f t="shared" si="978"/>
        <v>975</v>
      </c>
      <c r="Q3887" s="7">
        <f t="shared" si="975"/>
        <v>6428646.8500000024</v>
      </c>
      <c r="R3887" s="44" t="str">
        <f>VLOOKUP(F3887,'Set up'!$A$2:$E$70,5,FALSE)</f>
        <v>Trsf</v>
      </c>
    </row>
    <row r="3888" spans="1:19" ht="16.2" customHeight="1" x14ac:dyDescent="0.3">
      <c r="A3888" s="140" t="s">
        <v>3646</v>
      </c>
      <c r="B3888" s="5">
        <f t="shared" si="970"/>
        <v>4</v>
      </c>
      <c r="C3888" s="5">
        <f t="shared" si="971"/>
        <v>2025</v>
      </c>
      <c r="D3888" s="105" t="s">
        <v>3648</v>
      </c>
      <c r="E3888" s="5" t="str">
        <f>VLOOKUP(F3888,'Set up'!$A$2:$C$70,2,FALSE)</f>
        <v>C00000042</v>
      </c>
      <c r="F3888" s="99" t="s">
        <v>2012</v>
      </c>
      <c r="G3888" s="99" t="s">
        <v>1073</v>
      </c>
      <c r="H3888" s="137">
        <v>1</v>
      </c>
      <c r="I3888" s="5" t="str">
        <f>VLOOKUP(F3888,'Set up'!$A$2:$C$70,3,FALSE)</f>
        <v>Cash</v>
      </c>
      <c r="J3888" s="5">
        <f>VLOOKUP(F3888,'Set up'!$A$2:$D$70,4,FALSE)</f>
        <v>0</v>
      </c>
      <c r="K3888" s="4">
        <f t="shared" si="972"/>
        <v>45766</v>
      </c>
      <c r="L3888" s="5">
        <f t="shared" si="973"/>
        <v>4</v>
      </c>
      <c r="M3888" s="5">
        <f t="shared" si="974"/>
        <v>2025</v>
      </c>
      <c r="N3888" s="135">
        <v>1000</v>
      </c>
      <c r="O3888" s="141"/>
      <c r="P3888" s="12">
        <f t="shared" si="978"/>
        <v>1000</v>
      </c>
      <c r="Q3888" s="7">
        <f t="shared" si="975"/>
        <v>6429646.8500000024</v>
      </c>
      <c r="R3888" s="44" t="str">
        <f>VLOOKUP(F3888,'Set up'!$A$2:$E$70,5,FALSE)</f>
        <v>Trsf</v>
      </c>
    </row>
    <row r="3889" spans="1:19" ht="16.2" customHeight="1" x14ac:dyDescent="0.3">
      <c r="A3889" s="140" t="s">
        <v>3649</v>
      </c>
      <c r="B3889" s="5">
        <f t="shared" si="970"/>
        <v>4</v>
      </c>
      <c r="C3889" s="5">
        <f t="shared" si="971"/>
        <v>2025</v>
      </c>
      <c r="D3889" s="105" t="s">
        <v>3650</v>
      </c>
      <c r="E3889" s="5" t="str">
        <f>VLOOKUP(F3889,'Set up'!$A$2:$C$70,2,FALSE)</f>
        <v>C00000042</v>
      </c>
      <c r="F3889" s="99" t="s">
        <v>2012</v>
      </c>
      <c r="G3889" s="99" t="s">
        <v>3217</v>
      </c>
      <c r="H3889" s="137">
        <v>3</v>
      </c>
      <c r="I3889" s="5" t="str">
        <f>VLOOKUP(F3889,'Set up'!$A$2:$C$70,3,FALSE)</f>
        <v>Cash</v>
      </c>
      <c r="J3889" s="5">
        <f>VLOOKUP(F3889,'Set up'!$A$2:$D$70,4,FALSE)</f>
        <v>0</v>
      </c>
      <c r="K3889" s="4">
        <f t="shared" si="972"/>
        <v>45770</v>
      </c>
      <c r="L3889" s="5">
        <f t="shared" si="973"/>
        <v>4</v>
      </c>
      <c r="M3889" s="5">
        <f t="shared" si="974"/>
        <v>2025</v>
      </c>
      <c r="N3889" s="135">
        <v>4860</v>
      </c>
      <c r="O3889" s="141"/>
      <c r="P3889" s="12">
        <f t="shared" si="978"/>
        <v>4860</v>
      </c>
      <c r="Q3889" s="7">
        <f t="shared" si="975"/>
        <v>6434506.8500000024</v>
      </c>
      <c r="R3889" s="44" t="str">
        <f>VLOOKUP(F3889,'Set up'!$A$2:$E$70,5,FALSE)</f>
        <v>Trsf</v>
      </c>
    </row>
    <row r="3890" spans="1:19" ht="16.2" customHeight="1" x14ac:dyDescent="0.3">
      <c r="A3890" s="140" t="s">
        <v>3649</v>
      </c>
      <c r="B3890" s="5">
        <f t="shared" si="970"/>
        <v>4</v>
      </c>
      <c r="C3890" s="5">
        <f t="shared" si="971"/>
        <v>2025</v>
      </c>
      <c r="D3890" s="105" t="s">
        <v>3650</v>
      </c>
      <c r="E3890" s="5" t="str">
        <f>VLOOKUP(F3890,'Set up'!$A$2:$C$70,2,FALSE)</f>
        <v>C00000042</v>
      </c>
      <c r="F3890" s="99" t="s">
        <v>2012</v>
      </c>
      <c r="G3890" s="99" t="s">
        <v>2129</v>
      </c>
      <c r="H3890" s="137">
        <v>1</v>
      </c>
      <c r="I3890" s="5" t="str">
        <f>VLOOKUP(F3890,'Set up'!$A$2:$C$70,3,FALSE)</f>
        <v>Cash</v>
      </c>
      <c r="J3890" s="5">
        <f>VLOOKUP(F3890,'Set up'!$A$2:$D$70,4,FALSE)</f>
        <v>0</v>
      </c>
      <c r="K3890" s="4">
        <f t="shared" si="972"/>
        <v>45770</v>
      </c>
      <c r="L3890" s="5">
        <f t="shared" si="973"/>
        <v>4</v>
      </c>
      <c r="M3890" s="5">
        <f t="shared" si="974"/>
        <v>2025</v>
      </c>
      <c r="N3890" s="135">
        <v>218.3</v>
      </c>
      <c r="O3890" s="141"/>
      <c r="P3890" s="12">
        <f t="shared" si="978"/>
        <v>218.3</v>
      </c>
      <c r="Q3890" s="7">
        <f t="shared" si="975"/>
        <v>6434725.1500000022</v>
      </c>
      <c r="R3890" s="44" t="str">
        <f>VLOOKUP(F3890,'Set up'!$A$2:$E$70,5,FALSE)</f>
        <v>Trsf</v>
      </c>
    </row>
    <row r="3891" spans="1:19" ht="16.2" customHeight="1" x14ac:dyDescent="0.3">
      <c r="A3891" s="140" t="s">
        <v>3649</v>
      </c>
      <c r="B3891" s="5">
        <f t="shared" si="970"/>
        <v>4</v>
      </c>
      <c r="C3891" s="5">
        <f t="shared" si="971"/>
        <v>2025</v>
      </c>
      <c r="D3891" s="105" t="s">
        <v>3650</v>
      </c>
      <c r="E3891" s="5" t="str">
        <f>VLOOKUP(F3891,'Set up'!$A$2:$C$70,2,FALSE)</f>
        <v>C00000042</v>
      </c>
      <c r="F3891" s="99" t="s">
        <v>2012</v>
      </c>
      <c r="G3891" s="99" t="s">
        <v>1922</v>
      </c>
      <c r="H3891" s="137">
        <v>3</v>
      </c>
      <c r="I3891" s="5" t="str">
        <f>VLOOKUP(F3891,'Set up'!$A$2:$C$70,3,FALSE)</f>
        <v>Cash</v>
      </c>
      <c r="J3891" s="5">
        <f>VLOOKUP(F3891,'Set up'!$A$2:$D$70,4,FALSE)</f>
        <v>0</v>
      </c>
      <c r="K3891" s="4">
        <f t="shared" si="972"/>
        <v>45770</v>
      </c>
      <c r="L3891" s="5">
        <f t="shared" si="973"/>
        <v>4</v>
      </c>
      <c r="M3891" s="5">
        <f t="shared" si="974"/>
        <v>2025</v>
      </c>
      <c r="N3891" s="135">
        <v>742.5</v>
      </c>
      <c r="O3891" s="141"/>
      <c r="P3891" s="12">
        <f t="shared" si="978"/>
        <v>742.5</v>
      </c>
      <c r="Q3891" s="7">
        <f t="shared" si="975"/>
        <v>6435467.6500000022</v>
      </c>
      <c r="R3891" s="44" t="str">
        <f>VLOOKUP(F3891,'Set up'!$A$2:$E$70,5,FALSE)</f>
        <v>Trsf</v>
      </c>
    </row>
    <row r="3892" spans="1:19" ht="16.2" customHeight="1" x14ac:dyDescent="0.3">
      <c r="A3892" s="140" t="s">
        <v>3649</v>
      </c>
      <c r="B3892" s="5">
        <f t="shared" si="970"/>
        <v>4</v>
      </c>
      <c r="C3892" s="5">
        <f t="shared" si="971"/>
        <v>2025</v>
      </c>
      <c r="D3892" s="105" t="s">
        <v>3650</v>
      </c>
      <c r="E3892" s="5" t="str">
        <f>VLOOKUP(F3892,'Set up'!$A$2:$C$70,2,FALSE)</f>
        <v>C00000042</v>
      </c>
      <c r="F3892" s="99" t="s">
        <v>2012</v>
      </c>
      <c r="G3892" s="99" t="s">
        <v>46</v>
      </c>
      <c r="H3892" s="137">
        <v>4</v>
      </c>
      <c r="I3892" s="5" t="str">
        <f>VLOOKUP(F3892,'Set up'!$A$2:$C$70,3,FALSE)</f>
        <v>Cash</v>
      </c>
      <c r="J3892" s="5">
        <f>VLOOKUP(F3892,'Set up'!$A$2:$D$70,4,FALSE)</f>
        <v>0</v>
      </c>
      <c r="K3892" s="4">
        <f t="shared" si="972"/>
        <v>45770</v>
      </c>
      <c r="L3892" s="5">
        <f t="shared" si="973"/>
        <v>4</v>
      </c>
      <c r="M3892" s="5">
        <f t="shared" si="974"/>
        <v>2025</v>
      </c>
      <c r="N3892" s="135">
        <v>460</v>
      </c>
      <c r="O3892" s="141"/>
      <c r="P3892" s="12">
        <f t="shared" si="978"/>
        <v>460</v>
      </c>
      <c r="Q3892" s="7">
        <f t="shared" si="975"/>
        <v>6435927.6500000022</v>
      </c>
      <c r="R3892" s="44" t="str">
        <f>VLOOKUP(F3892,'Set up'!$A$2:$E$70,5,FALSE)</f>
        <v>Trsf</v>
      </c>
    </row>
    <row r="3893" spans="1:19" ht="16.2" customHeight="1" x14ac:dyDescent="0.3">
      <c r="A3893" s="140" t="s">
        <v>3649</v>
      </c>
      <c r="B3893" s="5">
        <f t="shared" si="970"/>
        <v>4</v>
      </c>
      <c r="C3893" s="5">
        <f t="shared" si="971"/>
        <v>2025</v>
      </c>
      <c r="D3893" s="105" t="s">
        <v>3650</v>
      </c>
      <c r="E3893" s="5" t="str">
        <f>VLOOKUP(F3893,'Set up'!$A$2:$C$70,2,FALSE)</f>
        <v>C00000042</v>
      </c>
      <c r="F3893" s="99" t="s">
        <v>2012</v>
      </c>
      <c r="G3893" s="99" t="s">
        <v>2744</v>
      </c>
      <c r="H3893" s="137">
        <v>1</v>
      </c>
      <c r="I3893" s="5" t="str">
        <f>VLOOKUP(F3893,'Set up'!$A$2:$C$70,3,FALSE)</f>
        <v>Cash</v>
      </c>
      <c r="J3893" s="5">
        <f>VLOOKUP(F3893,'Set up'!$A$2:$D$70,4,FALSE)</f>
        <v>0</v>
      </c>
      <c r="K3893" s="4">
        <f t="shared" si="972"/>
        <v>45770</v>
      </c>
      <c r="L3893" s="5">
        <f t="shared" si="973"/>
        <v>4</v>
      </c>
      <c r="M3893" s="5">
        <f t="shared" si="974"/>
        <v>2025</v>
      </c>
      <c r="N3893" s="135">
        <v>975</v>
      </c>
      <c r="O3893" s="141"/>
      <c r="P3893" s="12">
        <f t="shared" si="978"/>
        <v>975</v>
      </c>
      <c r="Q3893" s="7">
        <f t="shared" si="975"/>
        <v>6436902.6500000022</v>
      </c>
      <c r="R3893" s="44" t="str">
        <f>VLOOKUP(F3893,'Set up'!$A$2:$E$70,5,FALSE)</f>
        <v>Trsf</v>
      </c>
    </row>
    <row r="3894" spans="1:19" ht="16.2" customHeight="1" x14ac:dyDescent="0.3">
      <c r="A3894" s="140" t="s">
        <v>3649</v>
      </c>
      <c r="B3894" s="5">
        <f t="shared" si="970"/>
        <v>4</v>
      </c>
      <c r="C3894" s="5">
        <f t="shared" si="971"/>
        <v>2025</v>
      </c>
      <c r="D3894" s="105" t="s">
        <v>3651</v>
      </c>
      <c r="E3894" s="5" t="str">
        <f>VLOOKUP(F3894,'Set up'!$A$2:$C$70,2,FALSE)</f>
        <v>C00000019</v>
      </c>
      <c r="F3894" s="99" t="s">
        <v>400</v>
      </c>
      <c r="G3894" s="99" t="s">
        <v>3122</v>
      </c>
      <c r="H3894" s="137">
        <v>1</v>
      </c>
      <c r="I3894" s="5" t="str">
        <f>VLOOKUP(F3894,'Set up'!$A$2:$C$70,3,FALSE)</f>
        <v>Cash</v>
      </c>
      <c r="J3894" s="5">
        <f>VLOOKUP(F3894,'Set up'!$A$2:$D$70,4,FALSE)</f>
        <v>0</v>
      </c>
      <c r="K3894" s="4">
        <f t="shared" si="972"/>
        <v>45770</v>
      </c>
      <c r="L3894" s="5">
        <f t="shared" si="973"/>
        <v>4</v>
      </c>
      <c r="M3894" s="5">
        <f t="shared" si="974"/>
        <v>2025</v>
      </c>
      <c r="N3894" s="135">
        <v>1755</v>
      </c>
      <c r="O3894" s="141"/>
      <c r="P3894" s="12">
        <f t="shared" si="978"/>
        <v>1755</v>
      </c>
      <c r="Q3894" s="7">
        <f t="shared" si="975"/>
        <v>6438657.6500000022</v>
      </c>
      <c r="R3894" s="44" t="str">
        <f>VLOOKUP(F3894,'Set up'!$A$2:$E$70,5,FALSE)</f>
        <v>Trsf</v>
      </c>
    </row>
    <row r="3895" spans="1:19" ht="16.2" customHeight="1" x14ac:dyDescent="0.3">
      <c r="A3895" s="140" t="s">
        <v>3649</v>
      </c>
      <c r="B3895" s="5">
        <f t="shared" si="970"/>
        <v>4</v>
      </c>
      <c r="C3895" s="5">
        <f t="shared" si="971"/>
        <v>2025</v>
      </c>
      <c r="D3895" s="105" t="s">
        <v>3651</v>
      </c>
      <c r="E3895" s="5" t="str">
        <f>VLOOKUP(F3895,'Set up'!$A$2:$C$70,2,FALSE)</f>
        <v>C00000019</v>
      </c>
      <c r="F3895" s="99" t="s">
        <v>400</v>
      </c>
      <c r="G3895" s="99" t="s">
        <v>1411</v>
      </c>
      <c r="H3895" s="137">
        <v>1</v>
      </c>
      <c r="I3895" s="5" t="str">
        <f>VLOOKUP(F3895,'Set up'!$A$2:$C$70,3,FALSE)</f>
        <v>Cash</v>
      </c>
      <c r="J3895" s="5">
        <f>VLOOKUP(F3895,'Set up'!$A$2:$D$70,4,FALSE)</f>
        <v>0</v>
      </c>
      <c r="K3895" s="4">
        <f t="shared" si="972"/>
        <v>45770</v>
      </c>
      <c r="L3895" s="5">
        <f t="shared" si="973"/>
        <v>4</v>
      </c>
      <c r="M3895" s="5">
        <f t="shared" si="974"/>
        <v>2025</v>
      </c>
      <c r="N3895" s="135">
        <v>405</v>
      </c>
      <c r="O3895" s="141"/>
      <c r="P3895" s="12">
        <f t="shared" si="978"/>
        <v>405</v>
      </c>
      <c r="Q3895" s="7">
        <f t="shared" si="975"/>
        <v>6439062.6500000022</v>
      </c>
      <c r="R3895" s="44" t="str">
        <f>VLOOKUP(F3895,'Set up'!$A$2:$E$70,5,FALSE)</f>
        <v>Trsf</v>
      </c>
    </row>
    <row r="3896" spans="1:19" ht="16.2" customHeight="1" x14ac:dyDescent="0.3">
      <c r="A3896" s="140" t="s">
        <v>3649</v>
      </c>
      <c r="B3896" s="5">
        <f t="shared" si="970"/>
        <v>4</v>
      </c>
      <c r="C3896" s="5">
        <f t="shared" si="971"/>
        <v>2025</v>
      </c>
      <c r="D3896" s="105" t="s">
        <v>3651</v>
      </c>
      <c r="E3896" s="5" t="str">
        <f>VLOOKUP(F3896,'Set up'!$A$2:$C$70,2,FALSE)</f>
        <v>C00000019</v>
      </c>
      <c r="F3896" s="99" t="s">
        <v>400</v>
      </c>
      <c r="G3896" s="99" t="s">
        <v>46</v>
      </c>
      <c r="H3896" s="137">
        <v>1</v>
      </c>
      <c r="I3896" s="5" t="str">
        <f>VLOOKUP(F3896,'Set up'!$A$2:$C$70,3,FALSE)</f>
        <v>Cash</v>
      </c>
      <c r="J3896" s="5">
        <f>VLOOKUP(F3896,'Set up'!$A$2:$D$70,4,FALSE)</f>
        <v>0</v>
      </c>
      <c r="K3896" s="4">
        <f t="shared" si="972"/>
        <v>45770</v>
      </c>
      <c r="L3896" s="5">
        <f t="shared" si="973"/>
        <v>4</v>
      </c>
      <c r="M3896" s="5">
        <f t="shared" si="974"/>
        <v>2025</v>
      </c>
      <c r="N3896" s="135">
        <v>110</v>
      </c>
      <c r="O3896" s="141"/>
      <c r="P3896" s="12">
        <f t="shared" si="978"/>
        <v>110</v>
      </c>
      <c r="Q3896" s="7">
        <f t="shared" si="975"/>
        <v>6439172.6500000022</v>
      </c>
      <c r="R3896" s="44" t="str">
        <f>VLOOKUP(F3896,'Set up'!$A$2:$E$70,5,FALSE)</f>
        <v>Trsf</v>
      </c>
    </row>
    <row r="3897" spans="1:19" ht="16.2" customHeight="1" x14ac:dyDescent="0.3">
      <c r="A3897" s="140" t="s">
        <v>3649</v>
      </c>
      <c r="B3897" s="5">
        <f t="shared" si="970"/>
        <v>4</v>
      </c>
      <c r="C3897" s="5">
        <f t="shared" si="971"/>
        <v>2025</v>
      </c>
      <c r="D3897" s="105" t="s">
        <v>3651</v>
      </c>
      <c r="E3897" s="5" t="str">
        <f>VLOOKUP(F3897,'Set up'!$A$2:$C$70,2,FALSE)</f>
        <v>C00000019</v>
      </c>
      <c r="F3897" s="99" t="s">
        <v>400</v>
      </c>
      <c r="G3897" s="99" t="s">
        <v>1469</v>
      </c>
      <c r="H3897" s="137">
        <v>1</v>
      </c>
      <c r="I3897" s="5" t="str">
        <f>VLOOKUP(F3897,'Set up'!$A$2:$C$70,3,FALSE)</f>
        <v>Cash</v>
      </c>
      <c r="J3897" s="5">
        <f>VLOOKUP(F3897,'Set up'!$A$2:$D$70,4,FALSE)</f>
        <v>0</v>
      </c>
      <c r="K3897" s="4">
        <f t="shared" si="972"/>
        <v>45770</v>
      </c>
      <c r="L3897" s="5">
        <f t="shared" si="973"/>
        <v>4</v>
      </c>
      <c r="M3897" s="5">
        <f t="shared" si="974"/>
        <v>2025</v>
      </c>
      <c r="N3897" s="135">
        <v>390</v>
      </c>
      <c r="O3897" s="141"/>
      <c r="P3897" s="12">
        <f t="shared" si="978"/>
        <v>390</v>
      </c>
      <c r="Q3897" s="7">
        <f t="shared" si="975"/>
        <v>6439562.6500000022</v>
      </c>
      <c r="R3897" s="44" t="str">
        <f>VLOOKUP(F3897,'Set up'!$A$2:$E$70,5,FALSE)</f>
        <v>Trsf</v>
      </c>
    </row>
    <row r="3898" spans="1:19" ht="16.2" customHeight="1" x14ac:dyDescent="0.3">
      <c r="A3898" s="140" t="s">
        <v>3649</v>
      </c>
      <c r="B3898" s="5">
        <f t="shared" si="970"/>
        <v>4</v>
      </c>
      <c r="C3898" s="5">
        <f t="shared" si="971"/>
        <v>2025</v>
      </c>
      <c r="D3898" s="105" t="s">
        <v>3651</v>
      </c>
      <c r="E3898" s="5" t="str">
        <f>VLOOKUP(F3898,'Set up'!$A$2:$C$70,2,FALSE)</f>
        <v>C00000019</v>
      </c>
      <c r="F3898" s="99" t="s">
        <v>400</v>
      </c>
      <c r="G3898" s="99" t="s">
        <v>2635</v>
      </c>
      <c r="H3898" s="137">
        <v>3</v>
      </c>
      <c r="I3898" s="5" t="str">
        <f>VLOOKUP(F3898,'Set up'!$A$2:$C$70,3,FALSE)</f>
        <v>Cash</v>
      </c>
      <c r="J3898" s="5">
        <f>VLOOKUP(F3898,'Set up'!$A$2:$D$70,4,FALSE)</f>
        <v>0</v>
      </c>
      <c r="K3898" s="4">
        <f t="shared" si="972"/>
        <v>45770</v>
      </c>
      <c r="L3898" s="5">
        <f t="shared" si="973"/>
        <v>4</v>
      </c>
      <c r="M3898" s="5">
        <f t="shared" si="974"/>
        <v>2025</v>
      </c>
      <c r="N3898" s="135">
        <v>187.5</v>
      </c>
      <c r="O3898" s="141"/>
      <c r="P3898" s="12">
        <f t="shared" si="978"/>
        <v>187.5</v>
      </c>
      <c r="Q3898" s="7">
        <f t="shared" si="975"/>
        <v>6439750.1500000022</v>
      </c>
      <c r="R3898" s="44" t="str">
        <f>VLOOKUP(F3898,'Set up'!$A$2:$E$70,5,FALSE)</f>
        <v>Trsf</v>
      </c>
    </row>
    <row r="3899" spans="1:19" ht="16.2" customHeight="1" x14ac:dyDescent="0.3">
      <c r="A3899" s="140" t="s">
        <v>3652</v>
      </c>
      <c r="B3899" s="5">
        <f t="shared" si="970"/>
        <v>4</v>
      </c>
      <c r="C3899" s="5">
        <f t="shared" si="971"/>
        <v>2025</v>
      </c>
      <c r="D3899" s="105" t="s">
        <v>3653</v>
      </c>
      <c r="E3899" s="5" t="str">
        <f>VLOOKUP(F3899,'Set up'!$A$2:$C$70,2,FALSE)</f>
        <v>C00000061</v>
      </c>
      <c r="F3899" s="99" t="s">
        <v>3532</v>
      </c>
      <c r="G3899" s="99" t="s">
        <v>46</v>
      </c>
      <c r="H3899" s="137">
        <v>2</v>
      </c>
      <c r="I3899" s="5" t="str">
        <f>VLOOKUP(F3899,'Set up'!$A$2:$C$70,3,FALSE)</f>
        <v>Cash</v>
      </c>
      <c r="J3899" s="5">
        <f>VLOOKUP(F3899,'Set up'!$A$2:$D$70,4,FALSE)</f>
        <v>0</v>
      </c>
      <c r="K3899" s="4">
        <f t="shared" si="972"/>
        <v>45771</v>
      </c>
      <c r="L3899" s="5">
        <f t="shared" si="973"/>
        <v>4</v>
      </c>
      <c r="M3899" s="5">
        <f t="shared" si="974"/>
        <v>2025</v>
      </c>
      <c r="N3899" s="135">
        <v>230</v>
      </c>
      <c r="O3899" s="6">
        <f t="shared" ref="O3899:O3900" si="980">-N3899</f>
        <v>-230</v>
      </c>
      <c r="P3899" s="12">
        <f t="shared" si="978"/>
        <v>0</v>
      </c>
      <c r="Q3899" s="7">
        <f t="shared" si="975"/>
        <v>6439980.1500000022</v>
      </c>
      <c r="R3899" s="44" t="str">
        <f>VLOOKUP(F3899,'Set up'!$A$2:$E$70,5,FALSE)</f>
        <v>Cash</v>
      </c>
      <c r="S3899" s="1" t="s">
        <v>3822</v>
      </c>
    </row>
    <row r="3900" spans="1:19" ht="16.2" customHeight="1" x14ac:dyDescent="0.3">
      <c r="A3900" s="140" t="s">
        <v>3652</v>
      </c>
      <c r="B3900" s="5">
        <f t="shared" si="970"/>
        <v>4</v>
      </c>
      <c r="C3900" s="5">
        <f t="shared" si="971"/>
        <v>2025</v>
      </c>
      <c r="D3900" s="105" t="s">
        <v>3653</v>
      </c>
      <c r="E3900" s="5" t="str">
        <f>VLOOKUP(F3900,'Set up'!$A$2:$C$70,2,FALSE)</f>
        <v>C00000061</v>
      </c>
      <c r="F3900" s="99" t="s">
        <v>3532</v>
      </c>
      <c r="G3900" s="99" t="s">
        <v>2635</v>
      </c>
      <c r="H3900" s="137">
        <v>2</v>
      </c>
      <c r="I3900" s="5" t="str">
        <f>VLOOKUP(F3900,'Set up'!$A$2:$C$70,3,FALSE)</f>
        <v>Cash</v>
      </c>
      <c r="J3900" s="5">
        <f>VLOOKUP(F3900,'Set up'!$A$2:$D$70,4,FALSE)</f>
        <v>0</v>
      </c>
      <c r="K3900" s="4">
        <f t="shared" si="972"/>
        <v>45771</v>
      </c>
      <c r="L3900" s="5">
        <f t="shared" si="973"/>
        <v>4</v>
      </c>
      <c r="M3900" s="5">
        <f t="shared" si="974"/>
        <v>2025</v>
      </c>
      <c r="N3900" s="135">
        <v>115</v>
      </c>
      <c r="O3900" s="6">
        <f t="shared" si="980"/>
        <v>-115</v>
      </c>
      <c r="P3900" s="12">
        <f t="shared" si="978"/>
        <v>0</v>
      </c>
      <c r="Q3900" s="7">
        <f t="shared" si="975"/>
        <v>6440095.1500000022</v>
      </c>
      <c r="R3900" s="44" t="str">
        <f>VLOOKUP(F3900,'Set up'!$A$2:$E$70,5,FALSE)</f>
        <v>Cash</v>
      </c>
      <c r="S3900" s="1" t="s">
        <v>3822</v>
      </c>
    </row>
    <row r="3901" spans="1:19" ht="16.2" customHeight="1" x14ac:dyDescent="0.3">
      <c r="A3901" s="140" t="s">
        <v>3654</v>
      </c>
      <c r="B3901" s="5">
        <f t="shared" si="970"/>
        <v>4</v>
      </c>
      <c r="C3901" s="5">
        <f t="shared" si="971"/>
        <v>2025</v>
      </c>
      <c r="D3901" s="105" t="s">
        <v>3655</v>
      </c>
      <c r="E3901" s="5" t="str">
        <f>VLOOKUP(F3901,'Set up'!$A$2:$C$70,2,FALSE)</f>
        <v>C00000042</v>
      </c>
      <c r="F3901" s="99" t="s">
        <v>2012</v>
      </c>
      <c r="G3901" s="99" t="s">
        <v>2646</v>
      </c>
      <c r="H3901" s="137">
        <v>5</v>
      </c>
      <c r="I3901" s="5" t="str">
        <f>VLOOKUP(F3901,'Set up'!$A$2:$C$70,3,FALSE)</f>
        <v>Cash</v>
      </c>
      <c r="J3901" s="5">
        <f>VLOOKUP(F3901,'Set up'!$A$2:$D$70,4,FALSE)</f>
        <v>0</v>
      </c>
      <c r="K3901" s="4">
        <f t="shared" si="972"/>
        <v>45772</v>
      </c>
      <c r="L3901" s="5">
        <f t="shared" si="973"/>
        <v>4</v>
      </c>
      <c r="M3901" s="5">
        <f t="shared" si="974"/>
        <v>2025</v>
      </c>
      <c r="N3901" s="135">
        <v>312.5</v>
      </c>
      <c r="O3901" s="141"/>
      <c r="P3901" s="12">
        <f t="shared" si="978"/>
        <v>312.5</v>
      </c>
      <c r="Q3901" s="7">
        <f t="shared" si="975"/>
        <v>6440407.6500000022</v>
      </c>
      <c r="R3901" s="44" t="str">
        <f>VLOOKUP(F3901,'Set up'!$A$2:$E$70,5,FALSE)</f>
        <v>Trsf</v>
      </c>
    </row>
    <row r="3902" spans="1:19" ht="16.2" customHeight="1" x14ac:dyDescent="0.3">
      <c r="A3902" s="140" t="s">
        <v>3654</v>
      </c>
      <c r="B3902" s="5">
        <f t="shared" si="970"/>
        <v>4</v>
      </c>
      <c r="C3902" s="5">
        <f t="shared" si="971"/>
        <v>2025</v>
      </c>
      <c r="D3902" s="105" t="s">
        <v>3656</v>
      </c>
      <c r="E3902" s="5" t="str">
        <f>VLOOKUP(F3902,'Set up'!$A$2:$C$70,2,FALSE)</f>
        <v>C00000042</v>
      </c>
      <c r="F3902" s="99" t="s">
        <v>2012</v>
      </c>
      <c r="G3902" s="99" t="s">
        <v>3217</v>
      </c>
      <c r="H3902" s="137">
        <v>9</v>
      </c>
      <c r="I3902" s="5" t="str">
        <f>VLOOKUP(F3902,'Set up'!$A$2:$C$70,3,FALSE)</f>
        <v>Cash</v>
      </c>
      <c r="J3902" s="5">
        <f>VLOOKUP(F3902,'Set up'!$A$2:$D$70,4,FALSE)</f>
        <v>0</v>
      </c>
      <c r="K3902" s="4">
        <f t="shared" si="972"/>
        <v>45772</v>
      </c>
      <c r="L3902" s="5">
        <f t="shared" si="973"/>
        <v>4</v>
      </c>
      <c r="M3902" s="5">
        <f t="shared" si="974"/>
        <v>2025</v>
      </c>
      <c r="N3902" s="135">
        <v>14580</v>
      </c>
      <c r="O3902" s="141"/>
      <c r="P3902" s="12">
        <f t="shared" si="978"/>
        <v>14580</v>
      </c>
      <c r="Q3902" s="7">
        <f t="shared" si="975"/>
        <v>6454987.6500000022</v>
      </c>
      <c r="R3902" s="44" t="str">
        <f>VLOOKUP(F3902,'Set up'!$A$2:$E$70,5,FALSE)</f>
        <v>Trsf</v>
      </c>
    </row>
    <row r="3903" spans="1:19" ht="16.2" customHeight="1" x14ac:dyDescent="0.3">
      <c r="A3903" s="140" t="s">
        <v>3654</v>
      </c>
      <c r="B3903" s="5">
        <f t="shared" si="970"/>
        <v>4</v>
      </c>
      <c r="C3903" s="5">
        <f t="shared" si="971"/>
        <v>2025</v>
      </c>
      <c r="D3903" s="105" t="s">
        <v>3656</v>
      </c>
      <c r="E3903" s="5" t="str">
        <f>VLOOKUP(F3903,'Set up'!$A$2:$C$70,2,FALSE)</f>
        <v>C00000042</v>
      </c>
      <c r="F3903" s="99" t="s">
        <v>2012</v>
      </c>
      <c r="G3903" s="99" t="s">
        <v>2129</v>
      </c>
      <c r="H3903" s="137">
        <v>27</v>
      </c>
      <c r="I3903" s="5" t="str">
        <f>VLOOKUP(F3903,'Set up'!$A$2:$C$70,3,FALSE)</f>
        <v>Cash</v>
      </c>
      <c r="J3903" s="5">
        <f>VLOOKUP(F3903,'Set up'!$A$2:$D$70,4,FALSE)</f>
        <v>0</v>
      </c>
      <c r="K3903" s="4">
        <f t="shared" si="972"/>
        <v>45772</v>
      </c>
      <c r="L3903" s="5">
        <f t="shared" si="973"/>
        <v>4</v>
      </c>
      <c r="M3903" s="5">
        <f t="shared" si="974"/>
        <v>2025</v>
      </c>
      <c r="N3903" s="135">
        <v>5894.1</v>
      </c>
      <c r="O3903" s="141"/>
      <c r="P3903" s="12">
        <f t="shared" si="978"/>
        <v>5894.1</v>
      </c>
      <c r="Q3903" s="7">
        <f t="shared" si="975"/>
        <v>6460881.7500000019</v>
      </c>
      <c r="R3903" s="44" t="str">
        <f>VLOOKUP(F3903,'Set up'!$A$2:$E$70,5,FALSE)</f>
        <v>Trsf</v>
      </c>
    </row>
    <row r="3904" spans="1:19" ht="16.2" customHeight="1" x14ac:dyDescent="0.3">
      <c r="A3904" s="140" t="s">
        <v>3654</v>
      </c>
      <c r="B3904" s="5">
        <f t="shared" si="970"/>
        <v>4</v>
      </c>
      <c r="C3904" s="5">
        <f t="shared" si="971"/>
        <v>2025</v>
      </c>
      <c r="D3904" s="105" t="s">
        <v>3656</v>
      </c>
      <c r="E3904" s="5" t="str">
        <f>VLOOKUP(F3904,'Set up'!$A$2:$C$70,2,FALSE)</f>
        <v>C00000042</v>
      </c>
      <c r="F3904" s="99" t="s">
        <v>2012</v>
      </c>
      <c r="G3904" s="99" t="s">
        <v>1922</v>
      </c>
      <c r="H3904" s="137">
        <v>14</v>
      </c>
      <c r="I3904" s="5" t="str">
        <f>VLOOKUP(F3904,'Set up'!$A$2:$C$70,3,FALSE)</f>
        <v>Cash</v>
      </c>
      <c r="J3904" s="5">
        <f>VLOOKUP(F3904,'Set up'!$A$2:$D$70,4,FALSE)</f>
        <v>0</v>
      </c>
      <c r="K3904" s="4">
        <f t="shared" si="972"/>
        <v>45772</v>
      </c>
      <c r="L3904" s="5">
        <f t="shared" si="973"/>
        <v>4</v>
      </c>
      <c r="M3904" s="5">
        <f t="shared" si="974"/>
        <v>2025</v>
      </c>
      <c r="N3904" s="135">
        <v>3465</v>
      </c>
      <c r="O3904" s="141"/>
      <c r="P3904" s="12">
        <f t="shared" si="978"/>
        <v>3465</v>
      </c>
      <c r="Q3904" s="7">
        <f t="shared" si="975"/>
        <v>6464346.7500000019</v>
      </c>
      <c r="R3904" s="44" t="str">
        <f>VLOOKUP(F3904,'Set up'!$A$2:$E$70,5,FALSE)</f>
        <v>Trsf</v>
      </c>
    </row>
    <row r="3905" spans="1:19" ht="16.2" customHeight="1" x14ac:dyDescent="0.3">
      <c r="A3905" s="140" t="s">
        <v>3654</v>
      </c>
      <c r="B3905" s="5">
        <f t="shared" si="970"/>
        <v>4</v>
      </c>
      <c r="C3905" s="5">
        <f t="shared" si="971"/>
        <v>2025</v>
      </c>
      <c r="D3905" s="105" t="s">
        <v>3656</v>
      </c>
      <c r="E3905" s="5" t="str">
        <f>VLOOKUP(F3905,'Set up'!$A$2:$C$70,2,FALSE)</f>
        <v>C00000042</v>
      </c>
      <c r="F3905" s="99" t="s">
        <v>2012</v>
      </c>
      <c r="G3905" s="99" t="s">
        <v>46</v>
      </c>
      <c r="H3905" s="137">
        <v>4</v>
      </c>
      <c r="I3905" s="5" t="str">
        <f>VLOOKUP(F3905,'Set up'!$A$2:$C$70,3,FALSE)</f>
        <v>Cash</v>
      </c>
      <c r="J3905" s="5">
        <f>VLOOKUP(F3905,'Set up'!$A$2:$D$70,4,FALSE)</f>
        <v>0</v>
      </c>
      <c r="K3905" s="4">
        <f t="shared" si="972"/>
        <v>45772</v>
      </c>
      <c r="L3905" s="5">
        <f t="shared" si="973"/>
        <v>4</v>
      </c>
      <c r="M3905" s="5">
        <f t="shared" si="974"/>
        <v>2025</v>
      </c>
      <c r="N3905" s="135">
        <v>460</v>
      </c>
      <c r="O3905" s="141"/>
      <c r="P3905" s="12">
        <f t="shared" si="978"/>
        <v>460</v>
      </c>
      <c r="Q3905" s="7">
        <f t="shared" si="975"/>
        <v>6464806.7500000019</v>
      </c>
      <c r="R3905" s="44" t="str">
        <f>VLOOKUP(F3905,'Set up'!$A$2:$E$70,5,FALSE)</f>
        <v>Trsf</v>
      </c>
    </row>
    <row r="3906" spans="1:19" ht="16.2" customHeight="1" x14ac:dyDescent="0.3">
      <c r="A3906" s="140" t="s">
        <v>3654</v>
      </c>
      <c r="B3906" s="5">
        <f t="shared" si="970"/>
        <v>4</v>
      </c>
      <c r="C3906" s="5">
        <f t="shared" si="971"/>
        <v>2025</v>
      </c>
      <c r="D3906" s="105" t="s">
        <v>3656</v>
      </c>
      <c r="E3906" s="5" t="str">
        <f>VLOOKUP(F3906,'Set up'!$A$2:$C$70,2,FALSE)</f>
        <v>C00000042</v>
      </c>
      <c r="F3906" s="99" t="s">
        <v>2012</v>
      </c>
      <c r="G3906" s="99" t="s">
        <v>2744</v>
      </c>
      <c r="H3906" s="137">
        <v>1</v>
      </c>
      <c r="I3906" s="5" t="str">
        <f>VLOOKUP(F3906,'Set up'!$A$2:$C$70,3,FALSE)</f>
        <v>Cash</v>
      </c>
      <c r="J3906" s="5">
        <f>VLOOKUP(F3906,'Set up'!$A$2:$D$70,4,FALSE)</f>
        <v>0</v>
      </c>
      <c r="K3906" s="4">
        <f t="shared" si="972"/>
        <v>45772</v>
      </c>
      <c r="L3906" s="5">
        <f t="shared" si="973"/>
        <v>4</v>
      </c>
      <c r="M3906" s="5">
        <f t="shared" si="974"/>
        <v>2025</v>
      </c>
      <c r="N3906" s="135">
        <v>975</v>
      </c>
      <c r="O3906" s="141"/>
      <c r="P3906" s="12">
        <f t="shared" si="978"/>
        <v>975</v>
      </c>
      <c r="Q3906" s="7">
        <f t="shared" si="975"/>
        <v>6465781.7500000019</v>
      </c>
      <c r="R3906" s="44" t="str">
        <f>VLOOKUP(F3906,'Set up'!$A$2:$E$70,5,FALSE)</f>
        <v>Trsf</v>
      </c>
    </row>
    <row r="3907" spans="1:19" ht="16.2" customHeight="1" x14ac:dyDescent="0.3">
      <c r="A3907" s="140" t="s">
        <v>3657</v>
      </c>
      <c r="B3907" s="5">
        <f t="shared" ref="B3907:B3970" si="981">MONTH(A3907)</f>
        <v>4</v>
      </c>
      <c r="C3907" s="5">
        <f t="shared" ref="C3907:C3970" si="982">YEAR(A3907)</f>
        <v>2025</v>
      </c>
      <c r="D3907" s="105" t="s">
        <v>3658</v>
      </c>
      <c r="E3907" s="5" t="str">
        <f>VLOOKUP(F3907,'Set up'!$A$2:$C$70,2,FALSE)</f>
        <v>C00000044</v>
      </c>
      <c r="F3907" s="99" t="s">
        <v>2929</v>
      </c>
      <c r="G3907" s="99" t="s">
        <v>3621</v>
      </c>
      <c r="H3907" s="137">
        <v>2</v>
      </c>
      <c r="I3907" s="5" t="str">
        <f>VLOOKUP(F3907,'Set up'!$A$2:$C$70,3,FALSE)</f>
        <v>Cash</v>
      </c>
      <c r="J3907" s="5">
        <f>VLOOKUP(F3907,'Set up'!$A$2:$D$70,4,FALSE)</f>
        <v>0</v>
      </c>
      <c r="K3907" s="4">
        <f t="shared" ref="K3907:K3970" si="983">A3907+J3907</f>
        <v>45776</v>
      </c>
      <c r="L3907" s="5">
        <f t="shared" ref="L3907:L3970" si="984">MONTH(K3907)</f>
        <v>4</v>
      </c>
      <c r="M3907" s="5">
        <f t="shared" ref="M3907:M3970" si="985">YEAR(K3907)</f>
        <v>2025</v>
      </c>
      <c r="N3907" s="135">
        <v>500</v>
      </c>
      <c r="O3907" s="6">
        <f>-N3907</f>
        <v>-500</v>
      </c>
      <c r="P3907" s="12">
        <f t="shared" si="978"/>
        <v>0</v>
      </c>
      <c r="Q3907" s="7">
        <f t="shared" ref="Q3907:Q3970" si="986">SUM(Q3906+N3907)</f>
        <v>6466281.7500000019</v>
      </c>
      <c r="R3907" s="44" t="str">
        <f>VLOOKUP(F3907,'Set up'!$A$2:$E$70,5,FALSE)</f>
        <v>Cash</v>
      </c>
      <c r="S3907" s="1" t="s">
        <v>3819</v>
      </c>
    </row>
    <row r="3908" spans="1:19" ht="16.2" customHeight="1" x14ac:dyDescent="0.3">
      <c r="A3908" s="140" t="s">
        <v>3657</v>
      </c>
      <c r="B3908" s="5">
        <f t="shared" si="981"/>
        <v>4</v>
      </c>
      <c r="C3908" s="5">
        <f t="shared" si="982"/>
        <v>2025</v>
      </c>
      <c r="D3908" s="105" t="s">
        <v>3658</v>
      </c>
      <c r="E3908" s="5" t="str">
        <f>VLOOKUP(F3908,'Set up'!$A$2:$C$70,2,FALSE)</f>
        <v>C00000044</v>
      </c>
      <c r="F3908" s="99" t="s">
        <v>2929</v>
      </c>
      <c r="G3908" s="99" t="s">
        <v>2570</v>
      </c>
      <c r="H3908" s="137">
        <v>1</v>
      </c>
      <c r="I3908" s="5" t="str">
        <f>VLOOKUP(F3908,'Set up'!$A$2:$C$70,3,FALSE)</f>
        <v>Cash</v>
      </c>
      <c r="J3908" s="5">
        <f>VLOOKUP(F3908,'Set up'!$A$2:$D$70,4,FALSE)</f>
        <v>0</v>
      </c>
      <c r="K3908" s="4">
        <f t="shared" si="983"/>
        <v>45776</v>
      </c>
      <c r="L3908" s="5">
        <f t="shared" si="984"/>
        <v>4</v>
      </c>
      <c r="M3908" s="5">
        <f t="shared" si="985"/>
        <v>2025</v>
      </c>
      <c r="N3908" s="135">
        <v>216</v>
      </c>
      <c r="O3908" s="6">
        <f>-N3908</f>
        <v>-216</v>
      </c>
      <c r="P3908" s="12">
        <f t="shared" si="978"/>
        <v>0</v>
      </c>
      <c r="Q3908" s="7">
        <f t="shared" si="986"/>
        <v>6466497.7500000019</v>
      </c>
      <c r="R3908" s="44" t="str">
        <f>VLOOKUP(F3908,'Set up'!$A$2:$E$70,5,FALSE)</f>
        <v>Cash</v>
      </c>
      <c r="S3908" s="1" t="s">
        <v>3819</v>
      </c>
    </row>
    <row r="3909" spans="1:19" ht="16.2" customHeight="1" x14ac:dyDescent="0.3">
      <c r="A3909" s="140" t="s">
        <v>3657</v>
      </c>
      <c r="B3909" s="5">
        <f t="shared" si="981"/>
        <v>4</v>
      </c>
      <c r="C3909" s="5">
        <f t="shared" si="982"/>
        <v>2025</v>
      </c>
      <c r="D3909" s="105" t="s">
        <v>3659</v>
      </c>
      <c r="E3909" s="5" t="str">
        <f>VLOOKUP(F3909,'Set up'!$A$2:$C$70,2,FALSE)</f>
        <v>C00000039</v>
      </c>
      <c r="F3909" s="99" t="s">
        <v>1620</v>
      </c>
      <c r="G3909" s="99" t="s">
        <v>3621</v>
      </c>
      <c r="H3909" s="137">
        <v>1</v>
      </c>
      <c r="I3909" s="5" t="str">
        <f>VLOOKUP(F3909,'Set up'!$A$2:$C$70,3,FALSE)</f>
        <v>Cash</v>
      </c>
      <c r="J3909" s="5">
        <f>VLOOKUP(F3909,'Set up'!$A$2:$D$70,4,FALSE)</f>
        <v>0</v>
      </c>
      <c r="K3909" s="4">
        <f t="shared" si="983"/>
        <v>45776</v>
      </c>
      <c r="L3909" s="5">
        <f t="shared" si="984"/>
        <v>4</v>
      </c>
      <c r="M3909" s="5">
        <f t="shared" si="985"/>
        <v>2025</v>
      </c>
      <c r="N3909" s="135">
        <v>250</v>
      </c>
      <c r="O3909" s="6">
        <f t="shared" ref="O3909:O3913" si="987">-N3909</f>
        <v>-250</v>
      </c>
      <c r="P3909" s="12">
        <f t="shared" si="978"/>
        <v>0</v>
      </c>
      <c r="Q3909" s="7">
        <f t="shared" si="986"/>
        <v>6466747.7500000019</v>
      </c>
      <c r="R3909" s="44" t="str">
        <f>VLOOKUP(F3909,'Set up'!$A$2:$E$70,5,FALSE)</f>
        <v>Trsf</v>
      </c>
      <c r="S3909" s="1" t="s">
        <v>3691</v>
      </c>
    </row>
    <row r="3910" spans="1:19" ht="16.2" customHeight="1" x14ac:dyDescent="0.3">
      <c r="A3910" s="105" t="s">
        <v>3700</v>
      </c>
      <c r="B3910" s="5">
        <f t="shared" si="981"/>
        <v>5</v>
      </c>
      <c r="C3910" s="5">
        <f t="shared" si="982"/>
        <v>2025</v>
      </c>
      <c r="D3910" s="105" t="s">
        <v>3701</v>
      </c>
      <c r="E3910" s="5" t="str">
        <f>VLOOKUP(F3910,'Set up'!$A$2:$C$70,2,FALSE)</f>
        <v>C00000050</v>
      </c>
      <c r="F3910" s="99" t="s">
        <v>2656</v>
      </c>
      <c r="G3910" s="99" t="s">
        <v>3615</v>
      </c>
      <c r="H3910" s="105">
        <v>1</v>
      </c>
      <c r="I3910" s="5" t="str">
        <f>VLOOKUP(F3910,'Set up'!$A$2:$C$70,3,FALSE)</f>
        <v>Cash</v>
      </c>
      <c r="J3910" s="5">
        <f>VLOOKUP(F3910,'Set up'!$A$2:$D$70,4,FALSE)</f>
        <v>0</v>
      </c>
      <c r="K3910" s="4">
        <f t="shared" si="983"/>
        <v>45779</v>
      </c>
      <c r="L3910" s="5">
        <f t="shared" si="984"/>
        <v>5</v>
      </c>
      <c r="M3910" s="5">
        <f t="shared" si="985"/>
        <v>2025</v>
      </c>
      <c r="N3910" s="135">
        <v>1710</v>
      </c>
      <c r="O3910" s="6">
        <f t="shared" si="987"/>
        <v>-1710</v>
      </c>
      <c r="P3910" s="12">
        <f t="shared" si="978"/>
        <v>0</v>
      </c>
      <c r="Q3910" s="7">
        <f t="shared" si="986"/>
        <v>6468457.7500000019</v>
      </c>
      <c r="R3910" s="44" t="str">
        <f>VLOOKUP(F3910,'Set up'!$A$2:$E$70,5,FALSE)</f>
        <v>Cash</v>
      </c>
      <c r="S3910" s="1" t="s">
        <v>3829</v>
      </c>
    </row>
    <row r="3911" spans="1:19" ht="16.2" customHeight="1" x14ac:dyDescent="0.3">
      <c r="A3911" s="105" t="s">
        <v>3700</v>
      </c>
      <c r="B3911" s="5">
        <f t="shared" si="981"/>
        <v>5</v>
      </c>
      <c r="C3911" s="5">
        <f t="shared" si="982"/>
        <v>2025</v>
      </c>
      <c r="D3911" s="105" t="s">
        <v>3701</v>
      </c>
      <c r="E3911" s="5" t="str">
        <f>VLOOKUP(F3911,'Set up'!$A$2:$C$70,2,FALSE)</f>
        <v>C00000050</v>
      </c>
      <c r="F3911" s="99" t="s">
        <v>2656</v>
      </c>
      <c r="G3911" s="99" t="s">
        <v>2434</v>
      </c>
      <c r="H3911" s="105">
        <v>1</v>
      </c>
      <c r="I3911" s="5" t="str">
        <f>VLOOKUP(F3911,'Set up'!$A$2:$C$70,3,FALSE)</f>
        <v>Cash</v>
      </c>
      <c r="J3911" s="5">
        <f>VLOOKUP(F3911,'Set up'!$A$2:$D$70,4,FALSE)</f>
        <v>0</v>
      </c>
      <c r="K3911" s="4">
        <f t="shared" si="983"/>
        <v>45779</v>
      </c>
      <c r="L3911" s="5">
        <f t="shared" si="984"/>
        <v>5</v>
      </c>
      <c r="M3911" s="5">
        <f t="shared" si="985"/>
        <v>2025</v>
      </c>
      <c r="N3911" s="135">
        <v>277.5</v>
      </c>
      <c r="O3911" s="6">
        <f t="shared" si="987"/>
        <v>-277.5</v>
      </c>
      <c r="P3911" s="12">
        <f t="shared" si="978"/>
        <v>0</v>
      </c>
      <c r="Q3911" s="7">
        <f t="shared" si="986"/>
        <v>6468735.2500000019</v>
      </c>
      <c r="R3911" s="44" t="str">
        <f>VLOOKUP(F3911,'Set up'!$A$2:$E$70,5,FALSE)</f>
        <v>Cash</v>
      </c>
      <c r="S3911" s="1" t="s">
        <v>3829</v>
      </c>
    </row>
    <row r="3912" spans="1:19" ht="16.2" customHeight="1" x14ac:dyDescent="0.3">
      <c r="A3912" s="105" t="s">
        <v>3700</v>
      </c>
      <c r="B3912" s="5">
        <f t="shared" si="981"/>
        <v>5</v>
      </c>
      <c r="C3912" s="5">
        <f t="shared" si="982"/>
        <v>2025</v>
      </c>
      <c r="D3912" s="105" t="s">
        <v>3701</v>
      </c>
      <c r="E3912" s="5" t="str">
        <f>VLOOKUP(F3912,'Set up'!$A$2:$C$70,2,FALSE)</f>
        <v>C00000050</v>
      </c>
      <c r="F3912" s="99" t="s">
        <v>2656</v>
      </c>
      <c r="G3912" s="99" t="s">
        <v>1061</v>
      </c>
      <c r="H3912" s="105">
        <v>1</v>
      </c>
      <c r="I3912" s="5" t="str">
        <f>VLOOKUP(F3912,'Set up'!$A$2:$C$70,3,FALSE)</f>
        <v>Cash</v>
      </c>
      <c r="J3912" s="5">
        <f>VLOOKUP(F3912,'Set up'!$A$2:$D$70,4,FALSE)</f>
        <v>0</v>
      </c>
      <c r="K3912" s="4">
        <f t="shared" si="983"/>
        <v>45779</v>
      </c>
      <c r="L3912" s="5">
        <f t="shared" si="984"/>
        <v>5</v>
      </c>
      <c r="M3912" s="5">
        <f t="shared" si="985"/>
        <v>2025</v>
      </c>
      <c r="N3912" s="135">
        <v>95</v>
      </c>
      <c r="O3912" s="6">
        <f t="shared" si="987"/>
        <v>-95</v>
      </c>
      <c r="P3912" s="12">
        <f t="shared" si="978"/>
        <v>0</v>
      </c>
      <c r="Q3912" s="7">
        <f t="shared" si="986"/>
        <v>6468830.2500000019</v>
      </c>
      <c r="R3912" s="44" t="str">
        <f>VLOOKUP(F3912,'Set up'!$A$2:$E$70,5,FALSE)</f>
        <v>Cash</v>
      </c>
      <c r="S3912" s="1" t="s">
        <v>3829</v>
      </c>
    </row>
    <row r="3913" spans="1:19" ht="16.2" customHeight="1" x14ac:dyDescent="0.3">
      <c r="A3913" s="105" t="s">
        <v>3700</v>
      </c>
      <c r="B3913" s="5">
        <f t="shared" si="981"/>
        <v>5</v>
      </c>
      <c r="C3913" s="5">
        <f t="shared" si="982"/>
        <v>2025</v>
      </c>
      <c r="D3913" s="105" t="s">
        <v>3701</v>
      </c>
      <c r="E3913" s="5" t="str">
        <f>VLOOKUP(F3913,'Set up'!$A$2:$C$70,2,FALSE)</f>
        <v>C00000050</v>
      </c>
      <c r="F3913" s="99" t="s">
        <v>2656</v>
      </c>
      <c r="G3913" s="99" t="s">
        <v>2646</v>
      </c>
      <c r="H3913" s="105">
        <v>10</v>
      </c>
      <c r="I3913" s="5" t="str">
        <f>VLOOKUP(F3913,'Set up'!$A$2:$C$70,3,FALSE)</f>
        <v>Cash</v>
      </c>
      <c r="J3913" s="5">
        <f>VLOOKUP(F3913,'Set up'!$A$2:$D$70,4,FALSE)</f>
        <v>0</v>
      </c>
      <c r="K3913" s="4">
        <f t="shared" si="983"/>
        <v>45779</v>
      </c>
      <c r="L3913" s="5">
        <f t="shared" si="984"/>
        <v>5</v>
      </c>
      <c r="M3913" s="5">
        <f t="shared" si="985"/>
        <v>2025</v>
      </c>
      <c r="N3913" s="135">
        <v>625</v>
      </c>
      <c r="O3913" s="6">
        <f t="shared" si="987"/>
        <v>-625</v>
      </c>
      <c r="P3913" s="12">
        <f t="shared" si="978"/>
        <v>0</v>
      </c>
      <c r="Q3913" s="7">
        <f t="shared" si="986"/>
        <v>6469455.2500000019</v>
      </c>
      <c r="R3913" s="44" t="str">
        <f>VLOOKUP(F3913,'Set up'!$A$2:$E$70,5,FALSE)</f>
        <v>Cash</v>
      </c>
      <c r="S3913" s="1" t="s">
        <v>3829</v>
      </c>
    </row>
    <row r="3914" spans="1:19" ht="16.2" customHeight="1" x14ac:dyDescent="0.3">
      <c r="A3914" s="105" t="s">
        <v>3702</v>
      </c>
      <c r="B3914" s="5">
        <f t="shared" si="981"/>
        <v>5</v>
      </c>
      <c r="C3914" s="5">
        <f t="shared" si="982"/>
        <v>2025</v>
      </c>
      <c r="D3914" s="105" t="s">
        <v>3703</v>
      </c>
      <c r="E3914" s="5" t="str">
        <f>VLOOKUP(F3914,'Set up'!$A$2:$C$70,2,FALSE)</f>
        <v>C00000061</v>
      </c>
      <c r="F3914" s="99" t="s">
        <v>3532</v>
      </c>
      <c r="G3914" s="99" t="s">
        <v>3122</v>
      </c>
      <c r="H3914" s="105">
        <v>1</v>
      </c>
      <c r="I3914" s="5" t="str">
        <f>VLOOKUP(F3914,'Set up'!$A$2:$C$70,3,FALSE)</f>
        <v>Cash</v>
      </c>
      <c r="J3914" s="5">
        <f>VLOOKUP(F3914,'Set up'!$A$2:$D$70,4,FALSE)</f>
        <v>0</v>
      </c>
      <c r="K3914" s="4">
        <f t="shared" si="983"/>
        <v>45780</v>
      </c>
      <c r="L3914" s="5">
        <f t="shared" si="984"/>
        <v>5</v>
      </c>
      <c r="M3914" s="5">
        <f t="shared" si="985"/>
        <v>2025</v>
      </c>
      <c r="N3914" s="135">
        <v>1642.5</v>
      </c>
      <c r="O3914" s="6">
        <f t="shared" ref="O3914:O3916" si="988">-N3914</f>
        <v>-1642.5</v>
      </c>
      <c r="P3914" s="12">
        <f t="shared" si="978"/>
        <v>0</v>
      </c>
      <c r="Q3914" s="7">
        <f t="shared" si="986"/>
        <v>6471097.7500000019</v>
      </c>
      <c r="R3914" s="44" t="str">
        <f>VLOOKUP(F3914,'Set up'!$A$2:$E$70,5,FALSE)</f>
        <v>Cash</v>
      </c>
      <c r="S3914" s="1" t="s">
        <v>3823</v>
      </c>
    </row>
    <row r="3915" spans="1:19" ht="16.2" customHeight="1" x14ac:dyDescent="0.3">
      <c r="A3915" s="105" t="s">
        <v>3702</v>
      </c>
      <c r="B3915" s="5">
        <f t="shared" si="981"/>
        <v>5</v>
      </c>
      <c r="C3915" s="5">
        <f t="shared" si="982"/>
        <v>2025</v>
      </c>
      <c r="D3915" s="105" t="s">
        <v>3703</v>
      </c>
      <c r="E3915" s="5" t="str">
        <f>VLOOKUP(F3915,'Set up'!$A$2:$C$70,2,FALSE)</f>
        <v>C00000061</v>
      </c>
      <c r="F3915" s="99" t="s">
        <v>3532</v>
      </c>
      <c r="G3915" s="99" t="s">
        <v>3639</v>
      </c>
      <c r="H3915" s="105">
        <v>1</v>
      </c>
      <c r="I3915" s="5" t="str">
        <f>VLOOKUP(F3915,'Set up'!$A$2:$C$70,3,FALSE)</f>
        <v>Cash</v>
      </c>
      <c r="J3915" s="5">
        <f>VLOOKUP(F3915,'Set up'!$A$2:$D$70,4,FALSE)</f>
        <v>0</v>
      </c>
      <c r="K3915" s="4">
        <f t="shared" si="983"/>
        <v>45780</v>
      </c>
      <c r="L3915" s="5">
        <f t="shared" si="984"/>
        <v>5</v>
      </c>
      <c r="M3915" s="5">
        <f t="shared" si="985"/>
        <v>2025</v>
      </c>
      <c r="N3915" s="135">
        <v>408.7</v>
      </c>
      <c r="O3915" s="6">
        <f t="shared" si="988"/>
        <v>-408.7</v>
      </c>
      <c r="P3915" s="12">
        <f t="shared" si="978"/>
        <v>0</v>
      </c>
      <c r="Q3915" s="7">
        <f t="shared" si="986"/>
        <v>6471506.450000002</v>
      </c>
      <c r="R3915" s="44" t="str">
        <f>VLOOKUP(F3915,'Set up'!$A$2:$E$70,5,FALSE)</f>
        <v>Cash</v>
      </c>
      <c r="S3915" s="1" t="s">
        <v>3823</v>
      </c>
    </row>
    <row r="3916" spans="1:19" ht="16.2" customHeight="1" x14ac:dyDescent="0.3">
      <c r="A3916" s="105" t="s">
        <v>3702</v>
      </c>
      <c r="B3916" s="5">
        <f t="shared" si="981"/>
        <v>5</v>
      </c>
      <c r="C3916" s="5">
        <f t="shared" si="982"/>
        <v>2025</v>
      </c>
      <c r="D3916" s="105" t="s">
        <v>3703</v>
      </c>
      <c r="E3916" s="5" t="str">
        <f>VLOOKUP(F3916,'Set up'!$A$2:$C$70,2,FALSE)</f>
        <v>C00000061</v>
      </c>
      <c r="F3916" s="99" t="s">
        <v>3532</v>
      </c>
      <c r="G3916" s="99" t="s">
        <v>2635</v>
      </c>
      <c r="H3916" s="105">
        <v>2</v>
      </c>
      <c r="I3916" s="5" t="str">
        <f>VLOOKUP(F3916,'Set up'!$A$2:$C$70,3,FALSE)</f>
        <v>Cash</v>
      </c>
      <c r="J3916" s="5">
        <f>VLOOKUP(F3916,'Set up'!$A$2:$D$70,4,FALSE)</f>
        <v>0</v>
      </c>
      <c r="K3916" s="4">
        <f t="shared" si="983"/>
        <v>45780</v>
      </c>
      <c r="L3916" s="5">
        <f t="shared" si="984"/>
        <v>5</v>
      </c>
      <c r="M3916" s="5">
        <f t="shared" si="985"/>
        <v>2025</v>
      </c>
      <c r="N3916" s="135">
        <v>115</v>
      </c>
      <c r="O3916" s="6">
        <f t="shared" si="988"/>
        <v>-115</v>
      </c>
      <c r="P3916" s="12">
        <f t="shared" si="978"/>
        <v>0</v>
      </c>
      <c r="Q3916" s="7">
        <f t="shared" si="986"/>
        <v>6471621.450000002</v>
      </c>
      <c r="R3916" s="44" t="str">
        <f>VLOOKUP(F3916,'Set up'!$A$2:$E$70,5,FALSE)</f>
        <v>Cash</v>
      </c>
      <c r="S3916" s="1" t="s">
        <v>3823</v>
      </c>
    </row>
    <row r="3917" spans="1:19" ht="16.2" customHeight="1" x14ac:dyDescent="0.3">
      <c r="A3917" s="105" t="s">
        <v>3700</v>
      </c>
      <c r="B3917" s="5">
        <f t="shared" si="981"/>
        <v>5</v>
      </c>
      <c r="C3917" s="5">
        <f t="shared" si="982"/>
        <v>2025</v>
      </c>
      <c r="D3917" s="105" t="s">
        <v>3704</v>
      </c>
      <c r="E3917" s="5" t="str">
        <f>VLOOKUP(F3917,'Set up'!$A$2:$C$70,2,FALSE)</f>
        <v>C00000042</v>
      </c>
      <c r="F3917" s="99" t="s">
        <v>2012</v>
      </c>
      <c r="G3917" s="99" t="s">
        <v>2646</v>
      </c>
      <c r="H3917" s="105">
        <v>3</v>
      </c>
      <c r="I3917" s="5" t="str">
        <f>VLOOKUP(F3917,'Set up'!$A$2:$C$70,3,FALSE)</f>
        <v>Cash</v>
      </c>
      <c r="J3917" s="5">
        <f>VLOOKUP(F3917,'Set up'!$A$2:$D$70,4,FALSE)</f>
        <v>0</v>
      </c>
      <c r="K3917" s="4">
        <f t="shared" si="983"/>
        <v>45779</v>
      </c>
      <c r="L3917" s="5">
        <f t="shared" si="984"/>
        <v>5</v>
      </c>
      <c r="M3917" s="5">
        <f t="shared" si="985"/>
        <v>2025</v>
      </c>
      <c r="N3917" s="135">
        <v>187.5</v>
      </c>
      <c r="P3917" s="12">
        <f t="shared" si="978"/>
        <v>187.5</v>
      </c>
      <c r="Q3917" s="7">
        <f t="shared" si="986"/>
        <v>6471808.950000002</v>
      </c>
      <c r="R3917" s="44" t="str">
        <f>VLOOKUP(F3917,'Set up'!$A$2:$E$70,5,FALSE)</f>
        <v>Trsf</v>
      </c>
    </row>
    <row r="3918" spans="1:19" ht="16.2" customHeight="1" x14ac:dyDescent="0.3">
      <c r="A3918" s="105" t="s">
        <v>3700</v>
      </c>
      <c r="B3918" s="5">
        <f t="shared" si="981"/>
        <v>5</v>
      </c>
      <c r="C3918" s="5">
        <f t="shared" si="982"/>
        <v>2025</v>
      </c>
      <c r="D3918" s="105" t="s">
        <v>3705</v>
      </c>
      <c r="E3918" s="5" t="str">
        <f>VLOOKUP(F3918,'Set up'!$A$2:$C$70,2,FALSE)</f>
        <v>C00000042</v>
      </c>
      <c r="F3918" s="99" t="s">
        <v>2012</v>
      </c>
      <c r="G3918" s="99" t="s">
        <v>3217</v>
      </c>
      <c r="H3918" s="105">
        <v>6</v>
      </c>
      <c r="I3918" s="5" t="str">
        <f>VLOOKUP(F3918,'Set up'!$A$2:$C$70,3,FALSE)</f>
        <v>Cash</v>
      </c>
      <c r="J3918" s="5">
        <f>VLOOKUP(F3918,'Set up'!$A$2:$D$70,4,FALSE)</f>
        <v>0</v>
      </c>
      <c r="K3918" s="4">
        <f t="shared" si="983"/>
        <v>45779</v>
      </c>
      <c r="L3918" s="5">
        <f t="shared" si="984"/>
        <v>5</v>
      </c>
      <c r="M3918" s="5">
        <f t="shared" si="985"/>
        <v>2025</v>
      </c>
      <c r="N3918" s="135">
        <v>9720</v>
      </c>
      <c r="P3918" s="12">
        <f t="shared" si="978"/>
        <v>9720</v>
      </c>
      <c r="Q3918" s="7">
        <f t="shared" si="986"/>
        <v>6481528.950000002</v>
      </c>
      <c r="R3918" s="44" t="str">
        <f>VLOOKUP(F3918,'Set up'!$A$2:$E$70,5,FALSE)</f>
        <v>Trsf</v>
      </c>
    </row>
    <row r="3919" spans="1:19" ht="16.2" customHeight="1" x14ac:dyDescent="0.3">
      <c r="A3919" s="105" t="s">
        <v>3700</v>
      </c>
      <c r="B3919" s="5">
        <f t="shared" si="981"/>
        <v>5</v>
      </c>
      <c r="C3919" s="5">
        <f t="shared" si="982"/>
        <v>2025</v>
      </c>
      <c r="D3919" s="105" t="s">
        <v>3705</v>
      </c>
      <c r="E3919" s="5" t="str">
        <f>VLOOKUP(F3919,'Set up'!$A$2:$C$70,2,FALSE)</f>
        <v>C00000042</v>
      </c>
      <c r="F3919" s="99" t="s">
        <v>2012</v>
      </c>
      <c r="G3919" s="99" t="s">
        <v>2129</v>
      </c>
      <c r="H3919" s="105">
        <v>10</v>
      </c>
      <c r="I3919" s="5" t="str">
        <f>VLOOKUP(F3919,'Set up'!$A$2:$C$70,3,FALSE)</f>
        <v>Cash</v>
      </c>
      <c r="J3919" s="5">
        <f>VLOOKUP(F3919,'Set up'!$A$2:$D$70,4,FALSE)</f>
        <v>0</v>
      </c>
      <c r="K3919" s="4">
        <f t="shared" si="983"/>
        <v>45779</v>
      </c>
      <c r="L3919" s="5">
        <f t="shared" si="984"/>
        <v>5</v>
      </c>
      <c r="M3919" s="5">
        <f t="shared" si="985"/>
        <v>2025</v>
      </c>
      <c r="N3919" s="135">
        <v>2183</v>
      </c>
      <c r="P3919" s="12">
        <f t="shared" si="978"/>
        <v>2183</v>
      </c>
      <c r="Q3919" s="7">
        <f t="shared" si="986"/>
        <v>6483711.950000002</v>
      </c>
      <c r="R3919" s="44" t="str">
        <f>VLOOKUP(F3919,'Set up'!$A$2:$E$70,5,FALSE)</f>
        <v>Trsf</v>
      </c>
    </row>
    <row r="3920" spans="1:19" ht="16.2" customHeight="1" x14ac:dyDescent="0.3">
      <c r="A3920" s="105" t="s">
        <v>3700</v>
      </c>
      <c r="B3920" s="5">
        <f t="shared" si="981"/>
        <v>5</v>
      </c>
      <c r="C3920" s="5">
        <f t="shared" si="982"/>
        <v>2025</v>
      </c>
      <c r="D3920" s="105" t="s">
        <v>3705</v>
      </c>
      <c r="E3920" s="5" t="str">
        <f>VLOOKUP(F3920,'Set up'!$A$2:$C$70,2,FALSE)</f>
        <v>C00000042</v>
      </c>
      <c r="F3920" s="99" t="s">
        <v>2012</v>
      </c>
      <c r="G3920" s="99" t="s">
        <v>1922</v>
      </c>
      <c r="H3920" s="105">
        <v>7</v>
      </c>
      <c r="I3920" s="5" t="str">
        <f>VLOOKUP(F3920,'Set up'!$A$2:$C$70,3,FALSE)</f>
        <v>Cash</v>
      </c>
      <c r="J3920" s="5">
        <f>VLOOKUP(F3920,'Set up'!$A$2:$D$70,4,FALSE)</f>
        <v>0</v>
      </c>
      <c r="K3920" s="4">
        <f t="shared" si="983"/>
        <v>45779</v>
      </c>
      <c r="L3920" s="5">
        <f t="shared" si="984"/>
        <v>5</v>
      </c>
      <c r="M3920" s="5">
        <f t="shared" si="985"/>
        <v>2025</v>
      </c>
      <c r="N3920" s="135">
        <v>1732.5</v>
      </c>
      <c r="P3920" s="12">
        <f t="shared" si="978"/>
        <v>1732.5</v>
      </c>
      <c r="Q3920" s="7">
        <f t="shared" si="986"/>
        <v>6485444.450000002</v>
      </c>
      <c r="R3920" s="44" t="str">
        <f>VLOOKUP(F3920,'Set up'!$A$2:$E$70,5,FALSE)</f>
        <v>Trsf</v>
      </c>
    </row>
    <row r="3921" spans="1:19" ht="16.2" customHeight="1" x14ac:dyDescent="0.3">
      <c r="A3921" s="105" t="s">
        <v>3700</v>
      </c>
      <c r="B3921" s="5">
        <f t="shared" si="981"/>
        <v>5</v>
      </c>
      <c r="C3921" s="5">
        <f t="shared" si="982"/>
        <v>2025</v>
      </c>
      <c r="D3921" s="105" t="s">
        <v>3705</v>
      </c>
      <c r="E3921" s="5" t="str">
        <f>VLOOKUP(F3921,'Set up'!$A$2:$C$70,2,FALSE)</f>
        <v>C00000042</v>
      </c>
      <c r="F3921" s="99" t="s">
        <v>2012</v>
      </c>
      <c r="G3921" s="99" t="s">
        <v>46</v>
      </c>
      <c r="H3921" s="105">
        <v>4</v>
      </c>
      <c r="I3921" s="5" t="str">
        <f>VLOOKUP(F3921,'Set up'!$A$2:$C$70,3,FALSE)</f>
        <v>Cash</v>
      </c>
      <c r="J3921" s="5">
        <f>VLOOKUP(F3921,'Set up'!$A$2:$D$70,4,FALSE)</f>
        <v>0</v>
      </c>
      <c r="K3921" s="4">
        <f t="shared" si="983"/>
        <v>45779</v>
      </c>
      <c r="L3921" s="5">
        <f t="shared" si="984"/>
        <v>5</v>
      </c>
      <c r="M3921" s="5">
        <f t="shared" si="985"/>
        <v>2025</v>
      </c>
      <c r="N3921" s="135">
        <v>460</v>
      </c>
      <c r="P3921" s="12">
        <f t="shared" si="978"/>
        <v>460</v>
      </c>
      <c r="Q3921" s="7">
        <f t="shared" si="986"/>
        <v>6485904.450000002</v>
      </c>
      <c r="R3921" s="44" t="str">
        <f>VLOOKUP(F3921,'Set up'!$A$2:$E$70,5,FALSE)</f>
        <v>Trsf</v>
      </c>
    </row>
    <row r="3922" spans="1:19" ht="16.2" customHeight="1" x14ac:dyDescent="0.3">
      <c r="A3922" s="105" t="s">
        <v>3702</v>
      </c>
      <c r="B3922" s="5">
        <f t="shared" si="981"/>
        <v>5</v>
      </c>
      <c r="C3922" s="5">
        <f t="shared" si="982"/>
        <v>2025</v>
      </c>
      <c r="D3922" s="105" t="s">
        <v>3706</v>
      </c>
      <c r="E3922" s="5" t="str">
        <f>VLOOKUP(F3922,'Set up'!$A$2:$C$70,2,FALSE)</f>
        <v>C00000019</v>
      </c>
      <c r="F3922" s="99" t="s">
        <v>400</v>
      </c>
      <c r="G3922" s="99" t="s">
        <v>3122</v>
      </c>
      <c r="H3922" s="105">
        <v>1</v>
      </c>
      <c r="I3922" s="5" t="str">
        <f>VLOOKUP(F3922,'Set up'!$A$2:$C$70,3,FALSE)</f>
        <v>Cash</v>
      </c>
      <c r="J3922" s="5">
        <f>VLOOKUP(F3922,'Set up'!$A$2:$D$70,4,FALSE)</f>
        <v>0</v>
      </c>
      <c r="K3922" s="4">
        <f t="shared" si="983"/>
        <v>45780</v>
      </c>
      <c r="L3922" s="5">
        <f t="shared" si="984"/>
        <v>5</v>
      </c>
      <c r="M3922" s="5">
        <f t="shared" si="985"/>
        <v>2025</v>
      </c>
      <c r="N3922" s="135">
        <v>1755</v>
      </c>
      <c r="P3922" s="12">
        <f t="shared" si="978"/>
        <v>1755</v>
      </c>
      <c r="Q3922" s="7">
        <f t="shared" si="986"/>
        <v>6487659.450000002</v>
      </c>
      <c r="R3922" s="44" t="str">
        <f>VLOOKUP(F3922,'Set up'!$A$2:$E$70,5,FALSE)</f>
        <v>Trsf</v>
      </c>
    </row>
    <row r="3923" spans="1:19" ht="16.2" customHeight="1" x14ac:dyDescent="0.3">
      <c r="A3923" s="105" t="s">
        <v>3702</v>
      </c>
      <c r="B3923" s="5">
        <f t="shared" si="981"/>
        <v>5</v>
      </c>
      <c r="C3923" s="5">
        <f t="shared" si="982"/>
        <v>2025</v>
      </c>
      <c r="D3923" s="105" t="s">
        <v>3706</v>
      </c>
      <c r="E3923" s="5" t="str">
        <f>VLOOKUP(F3923,'Set up'!$A$2:$C$70,2,FALSE)</f>
        <v>C00000019</v>
      </c>
      <c r="F3923" s="99" t="s">
        <v>400</v>
      </c>
      <c r="G3923" s="99" t="s">
        <v>1411</v>
      </c>
      <c r="H3923" s="105">
        <v>1</v>
      </c>
      <c r="I3923" s="5" t="str">
        <f>VLOOKUP(F3923,'Set up'!$A$2:$C$70,3,FALSE)</f>
        <v>Cash</v>
      </c>
      <c r="J3923" s="5">
        <f>VLOOKUP(F3923,'Set up'!$A$2:$D$70,4,FALSE)</f>
        <v>0</v>
      </c>
      <c r="K3923" s="4">
        <f t="shared" si="983"/>
        <v>45780</v>
      </c>
      <c r="L3923" s="5">
        <f t="shared" si="984"/>
        <v>5</v>
      </c>
      <c r="M3923" s="5">
        <f t="shared" si="985"/>
        <v>2025</v>
      </c>
      <c r="N3923" s="135">
        <v>405</v>
      </c>
      <c r="P3923" s="12">
        <f t="shared" si="978"/>
        <v>405</v>
      </c>
      <c r="Q3923" s="7">
        <f t="shared" si="986"/>
        <v>6488064.450000002</v>
      </c>
      <c r="R3923" s="44" t="str">
        <f>VLOOKUP(F3923,'Set up'!$A$2:$E$70,5,FALSE)</f>
        <v>Trsf</v>
      </c>
    </row>
    <row r="3924" spans="1:19" ht="16.2" customHeight="1" x14ac:dyDescent="0.3">
      <c r="A3924" s="105" t="s">
        <v>3702</v>
      </c>
      <c r="B3924" s="5">
        <f t="shared" si="981"/>
        <v>5</v>
      </c>
      <c r="C3924" s="5">
        <f t="shared" si="982"/>
        <v>2025</v>
      </c>
      <c r="D3924" s="105" t="s">
        <v>3706</v>
      </c>
      <c r="E3924" s="5" t="str">
        <f>VLOOKUP(F3924,'Set up'!$A$2:$C$70,2,FALSE)</f>
        <v>C00000019</v>
      </c>
      <c r="F3924" s="99" t="s">
        <v>400</v>
      </c>
      <c r="G3924" s="99" t="s">
        <v>894</v>
      </c>
      <c r="H3924" s="105">
        <v>1</v>
      </c>
      <c r="I3924" s="5" t="str">
        <f>VLOOKUP(F3924,'Set up'!$A$2:$C$70,3,FALSE)</f>
        <v>Cash</v>
      </c>
      <c r="J3924" s="5">
        <f>VLOOKUP(F3924,'Set up'!$A$2:$D$70,4,FALSE)</f>
        <v>0</v>
      </c>
      <c r="K3924" s="4">
        <f t="shared" si="983"/>
        <v>45780</v>
      </c>
      <c r="L3924" s="5">
        <f t="shared" si="984"/>
        <v>5</v>
      </c>
      <c r="M3924" s="5">
        <f t="shared" si="985"/>
        <v>2025</v>
      </c>
      <c r="N3924" s="135">
        <v>150</v>
      </c>
      <c r="P3924" s="12">
        <f t="shared" si="978"/>
        <v>150</v>
      </c>
      <c r="Q3924" s="7">
        <f t="shared" si="986"/>
        <v>6488214.450000002</v>
      </c>
      <c r="R3924" s="44" t="str">
        <f>VLOOKUP(F3924,'Set up'!$A$2:$E$70,5,FALSE)</f>
        <v>Trsf</v>
      </c>
    </row>
    <row r="3925" spans="1:19" ht="16.2" customHeight="1" x14ac:dyDescent="0.3">
      <c r="A3925" s="105" t="s">
        <v>3702</v>
      </c>
      <c r="B3925" s="5">
        <f t="shared" si="981"/>
        <v>5</v>
      </c>
      <c r="C3925" s="5">
        <f t="shared" si="982"/>
        <v>2025</v>
      </c>
      <c r="D3925" s="105" t="s">
        <v>3706</v>
      </c>
      <c r="E3925" s="5" t="str">
        <f>VLOOKUP(F3925,'Set up'!$A$2:$C$70,2,FALSE)</f>
        <v>C00000019</v>
      </c>
      <c r="F3925" s="99" t="s">
        <v>400</v>
      </c>
      <c r="G3925" s="99" t="s">
        <v>1660</v>
      </c>
      <c r="H3925" s="105">
        <v>1</v>
      </c>
      <c r="I3925" s="5" t="str">
        <f>VLOOKUP(F3925,'Set up'!$A$2:$C$70,3,FALSE)</f>
        <v>Cash</v>
      </c>
      <c r="J3925" s="5">
        <f>VLOOKUP(F3925,'Set up'!$A$2:$D$70,4,FALSE)</f>
        <v>0</v>
      </c>
      <c r="K3925" s="4">
        <f t="shared" si="983"/>
        <v>45780</v>
      </c>
      <c r="L3925" s="5">
        <f t="shared" si="984"/>
        <v>5</v>
      </c>
      <c r="M3925" s="5">
        <f t="shared" si="985"/>
        <v>2025</v>
      </c>
      <c r="N3925" s="135">
        <v>160</v>
      </c>
      <c r="P3925" s="12">
        <f t="shared" si="978"/>
        <v>160</v>
      </c>
      <c r="Q3925" s="7">
        <f t="shared" si="986"/>
        <v>6488374.450000002</v>
      </c>
      <c r="R3925" s="44" t="str">
        <f>VLOOKUP(F3925,'Set up'!$A$2:$E$70,5,FALSE)</f>
        <v>Trsf</v>
      </c>
    </row>
    <row r="3926" spans="1:19" ht="16.2" customHeight="1" x14ac:dyDescent="0.3">
      <c r="A3926" s="105" t="s">
        <v>3702</v>
      </c>
      <c r="B3926" s="5">
        <f t="shared" si="981"/>
        <v>5</v>
      </c>
      <c r="C3926" s="5">
        <f t="shared" si="982"/>
        <v>2025</v>
      </c>
      <c r="D3926" s="105" t="s">
        <v>3706</v>
      </c>
      <c r="E3926" s="5" t="str">
        <f>VLOOKUP(F3926,'Set up'!$A$2:$C$70,2,FALSE)</f>
        <v>C00000019</v>
      </c>
      <c r="F3926" s="99" t="s">
        <v>400</v>
      </c>
      <c r="G3926" s="99" t="s">
        <v>2635</v>
      </c>
      <c r="H3926" s="105">
        <v>2</v>
      </c>
      <c r="I3926" s="5" t="str">
        <f>VLOOKUP(F3926,'Set up'!$A$2:$C$70,3,FALSE)</f>
        <v>Cash</v>
      </c>
      <c r="J3926" s="5">
        <f>VLOOKUP(F3926,'Set up'!$A$2:$D$70,4,FALSE)</f>
        <v>0</v>
      </c>
      <c r="K3926" s="4">
        <f t="shared" si="983"/>
        <v>45780</v>
      </c>
      <c r="L3926" s="5">
        <f t="shared" si="984"/>
        <v>5</v>
      </c>
      <c r="M3926" s="5">
        <f t="shared" si="985"/>
        <v>2025</v>
      </c>
      <c r="N3926" s="135">
        <v>125</v>
      </c>
      <c r="P3926" s="12">
        <f t="shared" si="978"/>
        <v>125</v>
      </c>
      <c r="Q3926" s="7">
        <f t="shared" si="986"/>
        <v>6488499.450000002</v>
      </c>
      <c r="R3926" s="44" t="str">
        <f>VLOOKUP(F3926,'Set up'!$A$2:$E$70,5,FALSE)</f>
        <v>Trsf</v>
      </c>
    </row>
    <row r="3927" spans="1:19" ht="16.2" customHeight="1" x14ac:dyDescent="0.3">
      <c r="A3927" s="105" t="s">
        <v>3707</v>
      </c>
      <c r="B3927" s="5">
        <f t="shared" si="981"/>
        <v>5</v>
      </c>
      <c r="C3927" s="5">
        <f t="shared" si="982"/>
        <v>2025</v>
      </c>
      <c r="D3927" s="105" t="s">
        <v>3708</v>
      </c>
      <c r="E3927" s="5" t="str">
        <f>VLOOKUP(F3927,'Set up'!$A$2:$C$70,2,FALSE)</f>
        <v>C00000044</v>
      </c>
      <c r="F3927" s="99" t="s">
        <v>2929</v>
      </c>
      <c r="G3927" s="99" t="s">
        <v>3621</v>
      </c>
      <c r="H3927" s="105">
        <v>1</v>
      </c>
      <c r="I3927" s="5" t="str">
        <f>VLOOKUP(F3927,'Set up'!$A$2:$C$70,3,FALSE)</f>
        <v>Cash</v>
      </c>
      <c r="J3927" s="5">
        <f>VLOOKUP(F3927,'Set up'!$A$2:$D$70,4,FALSE)</f>
        <v>0</v>
      </c>
      <c r="K3927" s="4">
        <f t="shared" si="983"/>
        <v>45781</v>
      </c>
      <c r="L3927" s="5">
        <f t="shared" si="984"/>
        <v>5</v>
      </c>
      <c r="M3927" s="5">
        <f t="shared" si="985"/>
        <v>2025</v>
      </c>
      <c r="N3927" s="135">
        <v>250</v>
      </c>
      <c r="O3927" s="6">
        <f>-N3927</f>
        <v>-250</v>
      </c>
      <c r="P3927" s="12">
        <f t="shared" si="978"/>
        <v>0</v>
      </c>
      <c r="Q3927" s="7">
        <f t="shared" si="986"/>
        <v>6488749.450000002</v>
      </c>
      <c r="R3927" s="44" t="str">
        <f>VLOOKUP(F3927,'Set up'!$A$2:$E$70,5,FALSE)</f>
        <v>Cash</v>
      </c>
      <c r="S3927" s="1" t="s">
        <v>3820</v>
      </c>
    </row>
    <row r="3928" spans="1:19" ht="16.2" customHeight="1" x14ac:dyDescent="0.3">
      <c r="A3928" s="105" t="s">
        <v>3707</v>
      </c>
      <c r="B3928" s="5">
        <f t="shared" si="981"/>
        <v>5</v>
      </c>
      <c r="C3928" s="5">
        <f t="shared" si="982"/>
        <v>2025</v>
      </c>
      <c r="D3928" s="105" t="s">
        <v>3708</v>
      </c>
      <c r="E3928" s="5" t="str">
        <f>VLOOKUP(F3928,'Set up'!$A$2:$C$70,2,FALSE)</f>
        <v>C00000044</v>
      </c>
      <c r="F3928" s="99" t="s">
        <v>2929</v>
      </c>
      <c r="G3928" s="99" t="s">
        <v>3255</v>
      </c>
      <c r="H3928" s="105">
        <v>3</v>
      </c>
      <c r="I3928" s="5" t="str">
        <f>VLOOKUP(F3928,'Set up'!$A$2:$C$70,3,FALSE)</f>
        <v>Cash</v>
      </c>
      <c r="J3928" s="5">
        <f>VLOOKUP(F3928,'Set up'!$A$2:$D$70,4,FALSE)</f>
        <v>0</v>
      </c>
      <c r="K3928" s="4">
        <f t="shared" si="983"/>
        <v>45781</v>
      </c>
      <c r="L3928" s="5">
        <f t="shared" si="984"/>
        <v>5</v>
      </c>
      <c r="M3928" s="5">
        <f t="shared" si="985"/>
        <v>2025</v>
      </c>
      <c r="N3928" s="135">
        <v>525</v>
      </c>
      <c r="O3928" s="6">
        <f>-N3928</f>
        <v>-525</v>
      </c>
      <c r="P3928" s="12">
        <f t="shared" si="978"/>
        <v>0</v>
      </c>
      <c r="Q3928" s="7">
        <f t="shared" si="986"/>
        <v>6489274.450000002</v>
      </c>
      <c r="R3928" s="44" t="str">
        <f>VLOOKUP(F3928,'Set up'!$A$2:$E$70,5,FALSE)</f>
        <v>Cash</v>
      </c>
      <c r="S3928" s="1" t="s">
        <v>3820</v>
      </c>
    </row>
    <row r="3929" spans="1:19" ht="16.2" customHeight="1" x14ac:dyDescent="0.3">
      <c r="A3929" s="105" t="s">
        <v>3709</v>
      </c>
      <c r="B3929" s="5">
        <f t="shared" si="981"/>
        <v>5</v>
      </c>
      <c r="C3929" s="5">
        <f t="shared" si="982"/>
        <v>2025</v>
      </c>
      <c r="D3929" s="105" t="s">
        <v>3710</v>
      </c>
      <c r="E3929" s="5" t="str">
        <f>VLOOKUP(F3929,'Set up'!$A$2:$C$70,2,FALSE)</f>
        <v>C00000042</v>
      </c>
      <c r="F3929" s="99" t="s">
        <v>2012</v>
      </c>
      <c r="G3929" s="99" t="s">
        <v>2646</v>
      </c>
      <c r="H3929" s="105">
        <v>3</v>
      </c>
      <c r="I3929" s="5" t="str">
        <f>VLOOKUP(F3929,'Set up'!$A$2:$C$70,3,FALSE)</f>
        <v>Cash</v>
      </c>
      <c r="J3929" s="5">
        <f>VLOOKUP(F3929,'Set up'!$A$2:$D$70,4,FALSE)</f>
        <v>0</v>
      </c>
      <c r="K3929" s="4">
        <f t="shared" si="983"/>
        <v>45783</v>
      </c>
      <c r="L3929" s="5">
        <f t="shared" si="984"/>
        <v>5</v>
      </c>
      <c r="M3929" s="5">
        <f t="shared" si="985"/>
        <v>2025</v>
      </c>
      <c r="N3929" s="135">
        <v>187.5</v>
      </c>
      <c r="P3929" s="12">
        <f t="shared" si="978"/>
        <v>187.5</v>
      </c>
      <c r="Q3929" s="7">
        <f t="shared" si="986"/>
        <v>6489461.950000002</v>
      </c>
      <c r="R3929" s="44" t="str">
        <f>VLOOKUP(F3929,'Set up'!$A$2:$E$70,5,FALSE)</f>
        <v>Trsf</v>
      </c>
    </row>
    <row r="3930" spans="1:19" ht="16.2" customHeight="1" x14ac:dyDescent="0.3">
      <c r="A3930" s="105" t="s">
        <v>3709</v>
      </c>
      <c r="B3930" s="5">
        <f t="shared" si="981"/>
        <v>5</v>
      </c>
      <c r="C3930" s="5">
        <f t="shared" si="982"/>
        <v>2025</v>
      </c>
      <c r="D3930" s="105" t="s">
        <v>3711</v>
      </c>
      <c r="E3930" s="5" t="str">
        <f>VLOOKUP(F3930,'Set up'!$A$2:$C$70,2,FALSE)</f>
        <v>C00000042</v>
      </c>
      <c r="F3930" s="99" t="s">
        <v>2012</v>
      </c>
      <c r="G3930" s="99" t="s">
        <v>3217</v>
      </c>
      <c r="H3930" s="105">
        <v>6</v>
      </c>
      <c r="I3930" s="5" t="str">
        <f>VLOOKUP(F3930,'Set up'!$A$2:$C$70,3,FALSE)</f>
        <v>Cash</v>
      </c>
      <c r="J3930" s="5">
        <f>VLOOKUP(F3930,'Set up'!$A$2:$D$70,4,FALSE)</f>
        <v>0</v>
      </c>
      <c r="K3930" s="4">
        <f t="shared" si="983"/>
        <v>45783</v>
      </c>
      <c r="L3930" s="5">
        <f t="shared" si="984"/>
        <v>5</v>
      </c>
      <c r="M3930" s="5">
        <f t="shared" si="985"/>
        <v>2025</v>
      </c>
      <c r="N3930" s="135">
        <v>9720</v>
      </c>
      <c r="P3930" s="12">
        <f t="shared" si="978"/>
        <v>9720</v>
      </c>
      <c r="Q3930" s="7">
        <f t="shared" si="986"/>
        <v>6499181.950000002</v>
      </c>
      <c r="R3930" s="44" t="str">
        <f>VLOOKUP(F3930,'Set up'!$A$2:$E$70,5,FALSE)</f>
        <v>Trsf</v>
      </c>
    </row>
    <row r="3931" spans="1:19" ht="16.2" customHeight="1" x14ac:dyDescent="0.3">
      <c r="A3931" s="105" t="s">
        <v>3709</v>
      </c>
      <c r="B3931" s="5">
        <f t="shared" si="981"/>
        <v>5</v>
      </c>
      <c r="C3931" s="5">
        <f t="shared" si="982"/>
        <v>2025</v>
      </c>
      <c r="D3931" s="105" t="s">
        <v>3711</v>
      </c>
      <c r="E3931" s="5" t="str">
        <f>VLOOKUP(F3931,'Set up'!$A$2:$C$70,2,FALSE)</f>
        <v>C00000042</v>
      </c>
      <c r="F3931" s="99" t="s">
        <v>2012</v>
      </c>
      <c r="G3931" s="99" t="s">
        <v>2129</v>
      </c>
      <c r="H3931" s="105">
        <v>15</v>
      </c>
      <c r="I3931" s="5" t="str">
        <f>VLOOKUP(F3931,'Set up'!$A$2:$C$70,3,FALSE)</f>
        <v>Cash</v>
      </c>
      <c r="J3931" s="5">
        <f>VLOOKUP(F3931,'Set up'!$A$2:$D$70,4,FALSE)</f>
        <v>0</v>
      </c>
      <c r="K3931" s="4">
        <f t="shared" si="983"/>
        <v>45783</v>
      </c>
      <c r="L3931" s="5">
        <f t="shared" si="984"/>
        <v>5</v>
      </c>
      <c r="M3931" s="5">
        <f t="shared" si="985"/>
        <v>2025</v>
      </c>
      <c r="N3931" s="135">
        <v>3274.5</v>
      </c>
      <c r="P3931" s="12">
        <f t="shared" si="978"/>
        <v>3274.5</v>
      </c>
      <c r="Q3931" s="7">
        <f t="shared" si="986"/>
        <v>6502456.450000002</v>
      </c>
      <c r="R3931" s="44" t="str">
        <f>VLOOKUP(F3931,'Set up'!$A$2:$E$70,5,FALSE)</f>
        <v>Trsf</v>
      </c>
    </row>
    <row r="3932" spans="1:19" ht="16.2" customHeight="1" x14ac:dyDescent="0.3">
      <c r="A3932" s="105" t="s">
        <v>3709</v>
      </c>
      <c r="B3932" s="5">
        <f t="shared" si="981"/>
        <v>5</v>
      </c>
      <c r="C3932" s="5">
        <f t="shared" si="982"/>
        <v>2025</v>
      </c>
      <c r="D3932" s="105" t="s">
        <v>3711</v>
      </c>
      <c r="E3932" s="5" t="str">
        <f>VLOOKUP(F3932,'Set up'!$A$2:$C$70,2,FALSE)</f>
        <v>C00000042</v>
      </c>
      <c r="F3932" s="99" t="s">
        <v>2012</v>
      </c>
      <c r="G3932" s="99" t="s">
        <v>1922</v>
      </c>
      <c r="H3932" s="105">
        <v>8</v>
      </c>
      <c r="I3932" s="5" t="str">
        <f>VLOOKUP(F3932,'Set up'!$A$2:$C$70,3,FALSE)</f>
        <v>Cash</v>
      </c>
      <c r="J3932" s="5">
        <f>VLOOKUP(F3932,'Set up'!$A$2:$D$70,4,FALSE)</f>
        <v>0</v>
      </c>
      <c r="K3932" s="4">
        <f t="shared" si="983"/>
        <v>45783</v>
      </c>
      <c r="L3932" s="5">
        <f t="shared" si="984"/>
        <v>5</v>
      </c>
      <c r="M3932" s="5">
        <f t="shared" si="985"/>
        <v>2025</v>
      </c>
      <c r="N3932" s="135">
        <v>1980</v>
      </c>
      <c r="P3932" s="12">
        <f t="shared" si="978"/>
        <v>1980</v>
      </c>
      <c r="Q3932" s="7">
        <f t="shared" si="986"/>
        <v>6504436.450000002</v>
      </c>
      <c r="R3932" s="44" t="str">
        <f>VLOOKUP(F3932,'Set up'!$A$2:$E$70,5,FALSE)</f>
        <v>Trsf</v>
      </c>
    </row>
    <row r="3933" spans="1:19" ht="16.2" customHeight="1" x14ac:dyDescent="0.3">
      <c r="A3933" s="105" t="s">
        <v>3709</v>
      </c>
      <c r="B3933" s="5">
        <f t="shared" si="981"/>
        <v>5</v>
      </c>
      <c r="C3933" s="5">
        <f t="shared" si="982"/>
        <v>2025</v>
      </c>
      <c r="D3933" s="105" t="s">
        <v>3711</v>
      </c>
      <c r="E3933" s="5" t="str">
        <f>VLOOKUP(F3933,'Set up'!$A$2:$C$70,2,FALSE)</f>
        <v>C00000042</v>
      </c>
      <c r="F3933" s="99" t="s">
        <v>2012</v>
      </c>
      <c r="G3933" s="99" t="s">
        <v>46</v>
      </c>
      <c r="H3933" s="105">
        <v>4</v>
      </c>
      <c r="I3933" s="5" t="str">
        <f>VLOOKUP(F3933,'Set up'!$A$2:$C$70,3,FALSE)</f>
        <v>Cash</v>
      </c>
      <c r="J3933" s="5">
        <f>VLOOKUP(F3933,'Set up'!$A$2:$D$70,4,FALSE)</f>
        <v>0</v>
      </c>
      <c r="K3933" s="4">
        <f t="shared" si="983"/>
        <v>45783</v>
      </c>
      <c r="L3933" s="5">
        <f t="shared" si="984"/>
        <v>5</v>
      </c>
      <c r="M3933" s="5">
        <f t="shared" si="985"/>
        <v>2025</v>
      </c>
      <c r="N3933" s="135">
        <v>460</v>
      </c>
      <c r="P3933" s="12">
        <f t="shared" si="978"/>
        <v>460</v>
      </c>
      <c r="Q3933" s="7">
        <f t="shared" si="986"/>
        <v>6504896.450000002</v>
      </c>
      <c r="R3933" s="44" t="str">
        <f>VLOOKUP(F3933,'Set up'!$A$2:$E$70,5,FALSE)</f>
        <v>Trsf</v>
      </c>
    </row>
    <row r="3934" spans="1:19" ht="16.2" customHeight="1" x14ac:dyDescent="0.3">
      <c r="A3934" s="105" t="s">
        <v>3709</v>
      </c>
      <c r="B3934" s="5">
        <f t="shared" si="981"/>
        <v>5</v>
      </c>
      <c r="C3934" s="5">
        <f t="shared" si="982"/>
        <v>2025</v>
      </c>
      <c r="D3934" s="105" t="s">
        <v>3711</v>
      </c>
      <c r="E3934" s="5" t="str">
        <f>VLOOKUP(F3934,'Set up'!$A$2:$C$70,2,FALSE)</f>
        <v>C00000042</v>
      </c>
      <c r="F3934" s="99" t="s">
        <v>2012</v>
      </c>
      <c r="G3934" s="99" t="s">
        <v>1073</v>
      </c>
      <c r="H3934" s="105">
        <v>1</v>
      </c>
      <c r="I3934" s="5" t="str">
        <f>VLOOKUP(F3934,'Set up'!$A$2:$C$70,3,FALSE)</f>
        <v>Cash</v>
      </c>
      <c r="J3934" s="5">
        <f>VLOOKUP(F3934,'Set up'!$A$2:$D$70,4,FALSE)</f>
        <v>0</v>
      </c>
      <c r="K3934" s="4">
        <f t="shared" si="983"/>
        <v>45783</v>
      </c>
      <c r="L3934" s="5">
        <f t="shared" si="984"/>
        <v>5</v>
      </c>
      <c r="M3934" s="5">
        <f t="shared" si="985"/>
        <v>2025</v>
      </c>
      <c r="N3934" s="135">
        <v>1000</v>
      </c>
      <c r="P3934" s="12">
        <f t="shared" si="978"/>
        <v>1000</v>
      </c>
      <c r="Q3934" s="7">
        <f t="shared" si="986"/>
        <v>6505896.450000002</v>
      </c>
      <c r="R3934" s="44" t="str">
        <f>VLOOKUP(F3934,'Set up'!$A$2:$E$70,5,FALSE)</f>
        <v>Trsf</v>
      </c>
    </row>
    <row r="3935" spans="1:19" ht="16.2" customHeight="1" x14ac:dyDescent="0.3">
      <c r="A3935" s="105" t="s">
        <v>3709</v>
      </c>
      <c r="B3935" s="5">
        <f t="shared" si="981"/>
        <v>5</v>
      </c>
      <c r="C3935" s="5">
        <f t="shared" si="982"/>
        <v>2025</v>
      </c>
      <c r="D3935" s="105" t="s">
        <v>3712</v>
      </c>
      <c r="E3935" s="5" t="str">
        <f>VLOOKUP(F3935,'Set up'!$A$2:$C$70,2,FALSE)</f>
        <v>C00000061</v>
      </c>
      <c r="F3935" s="99" t="s">
        <v>3532</v>
      </c>
      <c r="G3935" s="99" t="s">
        <v>3122</v>
      </c>
      <c r="H3935" s="105">
        <v>3</v>
      </c>
      <c r="I3935" s="5" t="str">
        <f>VLOOKUP(F3935,'Set up'!$A$2:$C$70,3,FALSE)</f>
        <v>Cash</v>
      </c>
      <c r="J3935" s="5">
        <f>VLOOKUP(F3935,'Set up'!$A$2:$D$70,4,FALSE)</f>
        <v>0</v>
      </c>
      <c r="K3935" s="4">
        <f t="shared" si="983"/>
        <v>45783</v>
      </c>
      <c r="L3935" s="5">
        <f t="shared" si="984"/>
        <v>5</v>
      </c>
      <c r="M3935" s="5">
        <f t="shared" si="985"/>
        <v>2025</v>
      </c>
      <c r="N3935" s="135">
        <v>4927.5</v>
      </c>
      <c r="O3935" s="6">
        <f t="shared" ref="O3935:O3938" si="989">-N3935</f>
        <v>-4927.5</v>
      </c>
      <c r="P3935" s="12">
        <f t="shared" si="978"/>
        <v>0</v>
      </c>
      <c r="Q3935" s="7">
        <f t="shared" si="986"/>
        <v>6510823.950000002</v>
      </c>
      <c r="R3935" s="44" t="str">
        <f>VLOOKUP(F3935,'Set up'!$A$2:$E$70,5,FALSE)</f>
        <v>Cash</v>
      </c>
      <c r="S3935" s="1" t="s">
        <v>3824</v>
      </c>
    </row>
    <row r="3936" spans="1:19" ht="16.2" customHeight="1" x14ac:dyDescent="0.3">
      <c r="A3936" s="105" t="s">
        <v>3709</v>
      </c>
      <c r="B3936" s="5">
        <f t="shared" si="981"/>
        <v>5</v>
      </c>
      <c r="C3936" s="5">
        <f t="shared" si="982"/>
        <v>2025</v>
      </c>
      <c r="D3936" s="105" t="s">
        <v>3712</v>
      </c>
      <c r="E3936" s="5" t="str">
        <f>VLOOKUP(F3936,'Set up'!$A$2:$C$70,2,FALSE)</f>
        <v>C00000061</v>
      </c>
      <c r="F3936" s="99" t="s">
        <v>3532</v>
      </c>
      <c r="G3936" s="99" t="s">
        <v>3639</v>
      </c>
      <c r="H3936" s="105">
        <v>3</v>
      </c>
      <c r="I3936" s="5" t="str">
        <f>VLOOKUP(F3936,'Set up'!$A$2:$C$70,3,FALSE)</f>
        <v>Cash</v>
      </c>
      <c r="J3936" s="5">
        <f>VLOOKUP(F3936,'Set up'!$A$2:$D$70,4,FALSE)</f>
        <v>0</v>
      </c>
      <c r="K3936" s="4">
        <f t="shared" si="983"/>
        <v>45783</v>
      </c>
      <c r="L3936" s="5">
        <f t="shared" si="984"/>
        <v>5</v>
      </c>
      <c r="M3936" s="5">
        <f t="shared" si="985"/>
        <v>2025</v>
      </c>
      <c r="N3936" s="135">
        <v>1226.0999999999999</v>
      </c>
      <c r="O3936" s="6">
        <f t="shared" si="989"/>
        <v>-1226.0999999999999</v>
      </c>
      <c r="P3936" s="12">
        <f t="shared" ref="P3936:P3999" si="990">SUM(N3936+O3936)</f>
        <v>0</v>
      </c>
      <c r="Q3936" s="7">
        <f t="shared" si="986"/>
        <v>6512050.0500000017</v>
      </c>
      <c r="R3936" s="44" t="str">
        <f>VLOOKUP(F3936,'Set up'!$A$2:$E$70,5,FALSE)</f>
        <v>Cash</v>
      </c>
      <c r="S3936" s="1" t="s">
        <v>3824</v>
      </c>
    </row>
    <row r="3937" spans="1:19" ht="16.2" customHeight="1" x14ac:dyDescent="0.3">
      <c r="A3937" s="105" t="s">
        <v>3709</v>
      </c>
      <c r="B3937" s="5">
        <f t="shared" si="981"/>
        <v>5</v>
      </c>
      <c r="C3937" s="5">
        <f t="shared" si="982"/>
        <v>2025</v>
      </c>
      <c r="D3937" s="105" t="s">
        <v>3712</v>
      </c>
      <c r="E3937" s="5" t="str">
        <f>VLOOKUP(F3937,'Set up'!$A$2:$C$70,2,FALSE)</f>
        <v>C00000061</v>
      </c>
      <c r="F3937" s="99" t="s">
        <v>3532</v>
      </c>
      <c r="G3937" s="99" t="s">
        <v>46</v>
      </c>
      <c r="H3937" s="105">
        <v>2</v>
      </c>
      <c r="I3937" s="5" t="str">
        <f>VLOOKUP(F3937,'Set up'!$A$2:$C$70,3,FALSE)</f>
        <v>Cash</v>
      </c>
      <c r="J3937" s="5">
        <f>VLOOKUP(F3937,'Set up'!$A$2:$D$70,4,FALSE)</f>
        <v>0</v>
      </c>
      <c r="K3937" s="4">
        <f t="shared" si="983"/>
        <v>45783</v>
      </c>
      <c r="L3937" s="5">
        <f t="shared" si="984"/>
        <v>5</v>
      </c>
      <c r="M3937" s="5">
        <f t="shared" si="985"/>
        <v>2025</v>
      </c>
      <c r="N3937" s="135">
        <v>230</v>
      </c>
      <c r="O3937" s="6">
        <f t="shared" si="989"/>
        <v>-230</v>
      </c>
      <c r="P3937" s="12">
        <f t="shared" si="990"/>
        <v>0</v>
      </c>
      <c r="Q3937" s="7">
        <f t="shared" si="986"/>
        <v>6512280.0500000017</v>
      </c>
      <c r="R3937" s="44" t="str">
        <f>VLOOKUP(F3937,'Set up'!$A$2:$E$70,5,FALSE)</f>
        <v>Cash</v>
      </c>
      <c r="S3937" s="1" t="s">
        <v>3824</v>
      </c>
    </row>
    <row r="3938" spans="1:19" ht="16.2" customHeight="1" x14ac:dyDescent="0.3">
      <c r="A3938" s="105" t="s">
        <v>3709</v>
      </c>
      <c r="B3938" s="5">
        <f t="shared" si="981"/>
        <v>5</v>
      </c>
      <c r="C3938" s="5">
        <f t="shared" si="982"/>
        <v>2025</v>
      </c>
      <c r="D3938" s="105" t="s">
        <v>3712</v>
      </c>
      <c r="E3938" s="5" t="str">
        <f>VLOOKUP(F3938,'Set up'!$A$2:$C$70,2,FALSE)</f>
        <v>C00000061</v>
      </c>
      <c r="F3938" s="99" t="s">
        <v>3532</v>
      </c>
      <c r="G3938" s="99" t="s">
        <v>2635</v>
      </c>
      <c r="H3938" s="105">
        <v>10</v>
      </c>
      <c r="I3938" s="5" t="str">
        <f>VLOOKUP(F3938,'Set up'!$A$2:$C$70,3,FALSE)</f>
        <v>Cash</v>
      </c>
      <c r="J3938" s="5">
        <f>VLOOKUP(F3938,'Set up'!$A$2:$D$70,4,FALSE)</f>
        <v>0</v>
      </c>
      <c r="K3938" s="4">
        <f t="shared" si="983"/>
        <v>45783</v>
      </c>
      <c r="L3938" s="5">
        <f t="shared" si="984"/>
        <v>5</v>
      </c>
      <c r="M3938" s="5">
        <f t="shared" si="985"/>
        <v>2025</v>
      </c>
      <c r="N3938" s="135">
        <v>575</v>
      </c>
      <c r="O3938" s="6">
        <f t="shared" si="989"/>
        <v>-575</v>
      </c>
      <c r="P3938" s="12">
        <f t="shared" si="990"/>
        <v>0</v>
      </c>
      <c r="Q3938" s="7">
        <f t="shared" si="986"/>
        <v>6512855.0500000017</v>
      </c>
      <c r="R3938" s="44" t="str">
        <f>VLOOKUP(F3938,'Set up'!$A$2:$E$70,5,FALSE)</f>
        <v>Cash</v>
      </c>
      <c r="S3938" s="1" t="s">
        <v>3824</v>
      </c>
    </row>
    <row r="3939" spans="1:19" ht="16.2" customHeight="1" x14ac:dyDescent="0.3">
      <c r="A3939" s="105" t="s">
        <v>3713</v>
      </c>
      <c r="B3939" s="5">
        <f t="shared" si="981"/>
        <v>5</v>
      </c>
      <c r="C3939" s="5">
        <f t="shared" si="982"/>
        <v>2025</v>
      </c>
      <c r="D3939" s="105" t="s">
        <v>3714</v>
      </c>
      <c r="E3939" s="5" t="str">
        <f>VLOOKUP(F3939,'Set up'!$A$2:$C$70,2,FALSE)</f>
        <v>C00000042</v>
      </c>
      <c r="F3939" s="99" t="s">
        <v>2012</v>
      </c>
      <c r="G3939" s="99" t="s">
        <v>2646</v>
      </c>
      <c r="H3939" s="105">
        <v>2</v>
      </c>
      <c r="I3939" s="5" t="str">
        <f>VLOOKUP(F3939,'Set up'!$A$2:$C$70,3,FALSE)</f>
        <v>Cash</v>
      </c>
      <c r="J3939" s="5">
        <f>VLOOKUP(F3939,'Set up'!$A$2:$D$70,4,FALSE)</f>
        <v>0</v>
      </c>
      <c r="K3939" s="4">
        <f t="shared" si="983"/>
        <v>45785</v>
      </c>
      <c r="L3939" s="5">
        <f t="shared" si="984"/>
        <v>5</v>
      </c>
      <c r="M3939" s="5">
        <f t="shared" si="985"/>
        <v>2025</v>
      </c>
      <c r="N3939" s="135">
        <v>125</v>
      </c>
      <c r="P3939" s="12">
        <f t="shared" si="990"/>
        <v>125</v>
      </c>
      <c r="Q3939" s="7">
        <f t="shared" si="986"/>
        <v>6512980.0500000017</v>
      </c>
      <c r="R3939" s="44" t="str">
        <f>VLOOKUP(F3939,'Set up'!$A$2:$E$70,5,FALSE)</f>
        <v>Trsf</v>
      </c>
    </row>
    <row r="3940" spans="1:19" ht="16.2" customHeight="1" x14ac:dyDescent="0.3">
      <c r="A3940" s="105" t="s">
        <v>3713</v>
      </c>
      <c r="B3940" s="5">
        <f t="shared" si="981"/>
        <v>5</v>
      </c>
      <c r="C3940" s="5">
        <f t="shared" si="982"/>
        <v>2025</v>
      </c>
      <c r="D3940" s="105" t="s">
        <v>3715</v>
      </c>
      <c r="E3940" s="5" t="str">
        <f>VLOOKUP(F3940,'Set up'!$A$2:$C$70,2,FALSE)</f>
        <v>C00000042</v>
      </c>
      <c r="F3940" s="99" t="s">
        <v>2012</v>
      </c>
      <c r="G3940" s="99" t="s">
        <v>3217</v>
      </c>
      <c r="H3940" s="105">
        <v>6</v>
      </c>
      <c r="I3940" s="5" t="str">
        <f>VLOOKUP(F3940,'Set up'!$A$2:$C$70,3,FALSE)</f>
        <v>Cash</v>
      </c>
      <c r="J3940" s="5">
        <f>VLOOKUP(F3940,'Set up'!$A$2:$D$70,4,FALSE)</f>
        <v>0</v>
      </c>
      <c r="K3940" s="4">
        <f t="shared" si="983"/>
        <v>45785</v>
      </c>
      <c r="L3940" s="5">
        <f t="shared" si="984"/>
        <v>5</v>
      </c>
      <c r="M3940" s="5">
        <f t="shared" si="985"/>
        <v>2025</v>
      </c>
      <c r="N3940" s="135">
        <v>9720</v>
      </c>
      <c r="P3940" s="12">
        <f t="shared" si="990"/>
        <v>9720</v>
      </c>
      <c r="Q3940" s="7">
        <f t="shared" si="986"/>
        <v>6522700.0500000017</v>
      </c>
      <c r="R3940" s="44" t="str">
        <f>VLOOKUP(F3940,'Set up'!$A$2:$E$70,5,FALSE)</f>
        <v>Trsf</v>
      </c>
    </row>
    <row r="3941" spans="1:19" ht="16.2" customHeight="1" x14ac:dyDescent="0.3">
      <c r="A3941" s="105" t="s">
        <v>3713</v>
      </c>
      <c r="B3941" s="5">
        <f t="shared" si="981"/>
        <v>5</v>
      </c>
      <c r="C3941" s="5">
        <f t="shared" si="982"/>
        <v>2025</v>
      </c>
      <c r="D3941" s="105" t="s">
        <v>3715</v>
      </c>
      <c r="E3941" s="5" t="str">
        <f>VLOOKUP(F3941,'Set up'!$A$2:$C$70,2,FALSE)</f>
        <v>C00000042</v>
      </c>
      <c r="F3941" s="99" t="s">
        <v>2012</v>
      </c>
      <c r="G3941" s="99" t="s">
        <v>1543</v>
      </c>
      <c r="H3941" s="105">
        <v>12</v>
      </c>
      <c r="I3941" s="5" t="str">
        <f>VLOOKUP(F3941,'Set up'!$A$2:$C$70,3,FALSE)</f>
        <v>Cash</v>
      </c>
      <c r="J3941" s="5">
        <f>VLOOKUP(F3941,'Set up'!$A$2:$D$70,4,FALSE)</f>
        <v>0</v>
      </c>
      <c r="K3941" s="4">
        <f t="shared" si="983"/>
        <v>45785</v>
      </c>
      <c r="L3941" s="5">
        <f t="shared" si="984"/>
        <v>5</v>
      </c>
      <c r="M3941" s="5">
        <f t="shared" si="985"/>
        <v>2025</v>
      </c>
      <c r="N3941" s="135">
        <v>2124</v>
      </c>
      <c r="P3941" s="12">
        <f t="shared" si="990"/>
        <v>2124</v>
      </c>
      <c r="Q3941" s="7">
        <f t="shared" si="986"/>
        <v>6524824.0500000017</v>
      </c>
      <c r="R3941" s="44" t="str">
        <f>VLOOKUP(F3941,'Set up'!$A$2:$E$70,5,FALSE)</f>
        <v>Trsf</v>
      </c>
    </row>
    <row r="3942" spans="1:19" ht="16.2" customHeight="1" x14ac:dyDescent="0.3">
      <c r="A3942" s="105" t="s">
        <v>3713</v>
      </c>
      <c r="B3942" s="5">
        <f t="shared" si="981"/>
        <v>5</v>
      </c>
      <c r="C3942" s="5">
        <f t="shared" si="982"/>
        <v>2025</v>
      </c>
      <c r="D3942" s="105" t="s">
        <v>3715</v>
      </c>
      <c r="E3942" s="5" t="str">
        <f>VLOOKUP(F3942,'Set up'!$A$2:$C$70,2,FALSE)</f>
        <v>C00000042</v>
      </c>
      <c r="F3942" s="99" t="s">
        <v>2012</v>
      </c>
      <c r="G3942" s="99" t="s">
        <v>1922</v>
      </c>
      <c r="H3942" s="105">
        <v>9</v>
      </c>
      <c r="I3942" s="5" t="str">
        <f>VLOOKUP(F3942,'Set up'!$A$2:$C$70,3,FALSE)</f>
        <v>Cash</v>
      </c>
      <c r="J3942" s="5">
        <f>VLOOKUP(F3942,'Set up'!$A$2:$D$70,4,FALSE)</f>
        <v>0</v>
      </c>
      <c r="K3942" s="4">
        <f t="shared" si="983"/>
        <v>45785</v>
      </c>
      <c r="L3942" s="5">
        <f t="shared" si="984"/>
        <v>5</v>
      </c>
      <c r="M3942" s="5">
        <f t="shared" si="985"/>
        <v>2025</v>
      </c>
      <c r="N3942" s="135">
        <v>2227.5</v>
      </c>
      <c r="P3942" s="12">
        <f t="shared" si="990"/>
        <v>2227.5</v>
      </c>
      <c r="Q3942" s="7">
        <f t="shared" si="986"/>
        <v>6527051.5500000017</v>
      </c>
      <c r="R3942" s="44" t="str">
        <f>VLOOKUP(F3942,'Set up'!$A$2:$E$70,5,FALSE)</f>
        <v>Trsf</v>
      </c>
    </row>
    <row r="3943" spans="1:19" ht="16.2" customHeight="1" x14ac:dyDescent="0.3">
      <c r="A3943" s="105" t="s">
        <v>3713</v>
      </c>
      <c r="B3943" s="5">
        <f t="shared" si="981"/>
        <v>5</v>
      </c>
      <c r="C3943" s="5">
        <f t="shared" si="982"/>
        <v>2025</v>
      </c>
      <c r="D3943" s="105" t="s">
        <v>3715</v>
      </c>
      <c r="E3943" s="5" t="str">
        <f>VLOOKUP(F3943,'Set up'!$A$2:$C$70,2,FALSE)</f>
        <v>C00000042</v>
      </c>
      <c r="F3943" s="99" t="s">
        <v>2012</v>
      </c>
      <c r="G3943" s="99" t="s">
        <v>46</v>
      </c>
      <c r="H3943" s="105">
        <v>4</v>
      </c>
      <c r="I3943" s="5" t="str">
        <f>VLOOKUP(F3943,'Set up'!$A$2:$C$70,3,FALSE)</f>
        <v>Cash</v>
      </c>
      <c r="J3943" s="5">
        <f>VLOOKUP(F3943,'Set up'!$A$2:$D$70,4,FALSE)</f>
        <v>0</v>
      </c>
      <c r="K3943" s="4">
        <f t="shared" si="983"/>
        <v>45785</v>
      </c>
      <c r="L3943" s="5">
        <f t="shared" si="984"/>
        <v>5</v>
      </c>
      <c r="M3943" s="5">
        <f t="shared" si="985"/>
        <v>2025</v>
      </c>
      <c r="N3943" s="135">
        <v>460</v>
      </c>
      <c r="P3943" s="12">
        <f t="shared" si="990"/>
        <v>460</v>
      </c>
      <c r="Q3943" s="7">
        <f t="shared" si="986"/>
        <v>6527511.5500000017</v>
      </c>
      <c r="R3943" s="44" t="str">
        <f>VLOOKUP(F3943,'Set up'!$A$2:$E$70,5,FALSE)</f>
        <v>Trsf</v>
      </c>
    </row>
    <row r="3944" spans="1:19" ht="16.2" customHeight="1" x14ac:dyDescent="0.3">
      <c r="A3944" s="105" t="s">
        <v>3713</v>
      </c>
      <c r="B3944" s="5">
        <f t="shared" si="981"/>
        <v>5</v>
      </c>
      <c r="C3944" s="5">
        <f t="shared" si="982"/>
        <v>2025</v>
      </c>
      <c r="D3944" s="105" t="s">
        <v>3715</v>
      </c>
      <c r="E3944" s="5" t="str">
        <f>VLOOKUP(F3944,'Set up'!$A$2:$C$70,2,FALSE)</f>
        <v>C00000042</v>
      </c>
      <c r="F3944" s="99" t="s">
        <v>2012</v>
      </c>
      <c r="G3944" s="99" t="s">
        <v>2132</v>
      </c>
      <c r="H3944" s="105">
        <v>5</v>
      </c>
      <c r="I3944" s="5" t="str">
        <f>VLOOKUP(F3944,'Set up'!$A$2:$C$70,3,FALSE)</f>
        <v>Cash</v>
      </c>
      <c r="J3944" s="5">
        <f>VLOOKUP(F3944,'Set up'!$A$2:$D$70,4,FALSE)</f>
        <v>0</v>
      </c>
      <c r="K3944" s="4">
        <f t="shared" si="983"/>
        <v>45785</v>
      </c>
      <c r="L3944" s="5">
        <f t="shared" si="984"/>
        <v>5</v>
      </c>
      <c r="M3944" s="5">
        <f t="shared" si="985"/>
        <v>2025</v>
      </c>
      <c r="N3944" s="135">
        <v>975</v>
      </c>
      <c r="P3944" s="12">
        <f t="shared" si="990"/>
        <v>975</v>
      </c>
      <c r="Q3944" s="7">
        <f t="shared" si="986"/>
        <v>6528486.5500000017</v>
      </c>
      <c r="R3944" s="44" t="str">
        <f>VLOOKUP(F3944,'Set up'!$A$2:$E$70,5,FALSE)</f>
        <v>Trsf</v>
      </c>
    </row>
    <row r="3945" spans="1:19" ht="16.2" customHeight="1" x14ac:dyDescent="0.3">
      <c r="A3945" s="105" t="s">
        <v>3716</v>
      </c>
      <c r="B3945" s="5">
        <f t="shared" si="981"/>
        <v>5</v>
      </c>
      <c r="C3945" s="5">
        <f t="shared" si="982"/>
        <v>2025</v>
      </c>
      <c r="D3945" s="105" t="s">
        <v>3717</v>
      </c>
      <c r="E3945" s="5" t="str">
        <f>VLOOKUP(F3945,'Set up'!$A$2:$C$70,2,FALSE)</f>
        <v>C00000042</v>
      </c>
      <c r="F3945" s="99" t="s">
        <v>2012</v>
      </c>
      <c r="G3945" s="99" t="s">
        <v>2646</v>
      </c>
      <c r="H3945" s="105">
        <v>2</v>
      </c>
      <c r="I3945" s="5" t="str">
        <f>VLOOKUP(F3945,'Set up'!$A$2:$C$70,3,FALSE)</f>
        <v>Cash</v>
      </c>
      <c r="J3945" s="5">
        <f>VLOOKUP(F3945,'Set up'!$A$2:$D$70,4,FALSE)</f>
        <v>0</v>
      </c>
      <c r="K3945" s="4">
        <f t="shared" si="983"/>
        <v>45787</v>
      </c>
      <c r="L3945" s="5">
        <f t="shared" si="984"/>
        <v>5</v>
      </c>
      <c r="M3945" s="5">
        <f t="shared" si="985"/>
        <v>2025</v>
      </c>
      <c r="N3945" s="135">
        <v>125</v>
      </c>
      <c r="P3945" s="12">
        <f t="shared" si="990"/>
        <v>125</v>
      </c>
      <c r="Q3945" s="7">
        <f t="shared" si="986"/>
        <v>6528611.5500000017</v>
      </c>
      <c r="R3945" s="44" t="str">
        <f>VLOOKUP(F3945,'Set up'!$A$2:$E$70,5,FALSE)</f>
        <v>Trsf</v>
      </c>
    </row>
    <row r="3946" spans="1:19" ht="16.2" customHeight="1" x14ac:dyDescent="0.3">
      <c r="A3946" s="105" t="s">
        <v>3716</v>
      </c>
      <c r="B3946" s="5">
        <f t="shared" si="981"/>
        <v>5</v>
      </c>
      <c r="C3946" s="5">
        <f t="shared" si="982"/>
        <v>2025</v>
      </c>
      <c r="D3946" s="105" t="s">
        <v>3718</v>
      </c>
      <c r="E3946" s="5" t="str">
        <f>VLOOKUP(F3946,'Set up'!$A$2:$C$70,2,FALSE)</f>
        <v>C00000042</v>
      </c>
      <c r="F3946" s="99" t="s">
        <v>2012</v>
      </c>
      <c r="G3946" s="99" t="s">
        <v>3217</v>
      </c>
      <c r="H3946" s="105">
        <v>2</v>
      </c>
      <c r="I3946" s="5" t="str">
        <f>VLOOKUP(F3946,'Set up'!$A$2:$C$70,3,FALSE)</f>
        <v>Cash</v>
      </c>
      <c r="J3946" s="5">
        <f>VLOOKUP(F3946,'Set up'!$A$2:$D$70,4,FALSE)</f>
        <v>0</v>
      </c>
      <c r="K3946" s="4">
        <f t="shared" si="983"/>
        <v>45787</v>
      </c>
      <c r="L3946" s="5">
        <f t="shared" si="984"/>
        <v>5</v>
      </c>
      <c r="M3946" s="5">
        <f t="shared" si="985"/>
        <v>2025</v>
      </c>
      <c r="N3946" s="135">
        <v>3240</v>
      </c>
      <c r="P3946" s="12">
        <f t="shared" si="990"/>
        <v>3240</v>
      </c>
      <c r="Q3946" s="7">
        <f t="shared" si="986"/>
        <v>6531851.5500000017</v>
      </c>
      <c r="R3946" s="44" t="str">
        <f>VLOOKUP(F3946,'Set up'!$A$2:$E$70,5,FALSE)</f>
        <v>Trsf</v>
      </c>
    </row>
    <row r="3947" spans="1:19" ht="16.2" customHeight="1" x14ac:dyDescent="0.3">
      <c r="A3947" s="105" t="s">
        <v>3716</v>
      </c>
      <c r="B3947" s="5">
        <f t="shared" si="981"/>
        <v>5</v>
      </c>
      <c r="C3947" s="5">
        <f t="shared" si="982"/>
        <v>2025</v>
      </c>
      <c r="D3947" s="105" t="s">
        <v>3718</v>
      </c>
      <c r="E3947" s="5" t="str">
        <f>VLOOKUP(F3947,'Set up'!$A$2:$C$70,2,FALSE)</f>
        <v>C00000042</v>
      </c>
      <c r="F3947" s="99" t="s">
        <v>2012</v>
      </c>
      <c r="G3947" s="99" t="s">
        <v>2129</v>
      </c>
      <c r="H3947" s="105">
        <v>9</v>
      </c>
      <c r="I3947" s="5" t="str">
        <f>VLOOKUP(F3947,'Set up'!$A$2:$C$70,3,FALSE)</f>
        <v>Cash</v>
      </c>
      <c r="J3947" s="5">
        <f>VLOOKUP(F3947,'Set up'!$A$2:$D$70,4,FALSE)</f>
        <v>0</v>
      </c>
      <c r="K3947" s="4">
        <f t="shared" si="983"/>
        <v>45787</v>
      </c>
      <c r="L3947" s="5">
        <f t="shared" si="984"/>
        <v>5</v>
      </c>
      <c r="M3947" s="5">
        <f t="shared" si="985"/>
        <v>2025</v>
      </c>
      <c r="N3947" s="135">
        <v>1964.7</v>
      </c>
      <c r="P3947" s="12">
        <f t="shared" si="990"/>
        <v>1964.7</v>
      </c>
      <c r="Q3947" s="7">
        <f t="shared" si="986"/>
        <v>6533816.2500000019</v>
      </c>
      <c r="R3947" s="44" t="str">
        <f>VLOOKUP(F3947,'Set up'!$A$2:$E$70,5,FALSE)</f>
        <v>Trsf</v>
      </c>
    </row>
    <row r="3948" spans="1:19" ht="16.2" customHeight="1" x14ac:dyDescent="0.3">
      <c r="A3948" s="105" t="s">
        <v>3716</v>
      </c>
      <c r="B3948" s="5">
        <f t="shared" si="981"/>
        <v>5</v>
      </c>
      <c r="C3948" s="5">
        <f t="shared" si="982"/>
        <v>2025</v>
      </c>
      <c r="D3948" s="105" t="s">
        <v>3718</v>
      </c>
      <c r="E3948" s="5" t="str">
        <f>VLOOKUP(F3948,'Set up'!$A$2:$C$70,2,FALSE)</f>
        <v>C00000042</v>
      </c>
      <c r="F3948" s="99" t="s">
        <v>2012</v>
      </c>
      <c r="G3948" s="99" t="s">
        <v>1922</v>
      </c>
      <c r="H3948" s="105">
        <v>5</v>
      </c>
      <c r="I3948" s="5" t="str">
        <f>VLOOKUP(F3948,'Set up'!$A$2:$C$70,3,FALSE)</f>
        <v>Cash</v>
      </c>
      <c r="J3948" s="5">
        <f>VLOOKUP(F3948,'Set up'!$A$2:$D$70,4,FALSE)</f>
        <v>0</v>
      </c>
      <c r="K3948" s="4">
        <f t="shared" si="983"/>
        <v>45787</v>
      </c>
      <c r="L3948" s="5">
        <f t="shared" si="984"/>
        <v>5</v>
      </c>
      <c r="M3948" s="5">
        <f t="shared" si="985"/>
        <v>2025</v>
      </c>
      <c r="N3948" s="135">
        <v>1237.5</v>
      </c>
      <c r="P3948" s="12">
        <f t="shared" si="990"/>
        <v>1237.5</v>
      </c>
      <c r="Q3948" s="7">
        <f t="shared" si="986"/>
        <v>6535053.7500000019</v>
      </c>
      <c r="R3948" s="44" t="str">
        <f>VLOOKUP(F3948,'Set up'!$A$2:$E$70,5,FALSE)</f>
        <v>Trsf</v>
      </c>
    </row>
    <row r="3949" spans="1:19" ht="16.2" customHeight="1" x14ac:dyDescent="0.3">
      <c r="A3949" s="105" t="s">
        <v>3716</v>
      </c>
      <c r="B3949" s="5">
        <f t="shared" si="981"/>
        <v>5</v>
      </c>
      <c r="C3949" s="5">
        <f t="shared" si="982"/>
        <v>2025</v>
      </c>
      <c r="D3949" s="105" t="s">
        <v>3718</v>
      </c>
      <c r="E3949" s="5" t="str">
        <f>VLOOKUP(F3949,'Set up'!$A$2:$C$70,2,FALSE)</f>
        <v>C00000042</v>
      </c>
      <c r="F3949" s="99" t="s">
        <v>2012</v>
      </c>
      <c r="G3949" s="99" t="s">
        <v>2744</v>
      </c>
      <c r="H3949" s="105">
        <v>1</v>
      </c>
      <c r="I3949" s="5" t="str">
        <f>VLOOKUP(F3949,'Set up'!$A$2:$C$70,3,FALSE)</f>
        <v>Cash</v>
      </c>
      <c r="J3949" s="5">
        <f>VLOOKUP(F3949,'Set up'!$A$2:$D$70,4,FALSE)</f>
        <v>0</v>
      </c>
      <c r="K3949" s="4">
        <f t="shared" si="983"/>
        <v>45787</v>
      </c>
      <c r="L3949" s="5">
        <f t="shared" si="984"/>
        <v>5</v>
      </c>
      <c r="M3949" s="5">
        <f t="shared" si="985"/>
        <v>2025</v>
      </c>
      <c r="N3949" s="135">
        <v>975</v>
      </c>
      <c r="P3949" s="12">
        <f t="shared" si="990"/>
        <v>975</v>
      </c>
      <c r="Q3949" s="7">
        <f t="shared" si="986"/>
        <v>6536028.7500000019</v>
      </c>
      <c r="R3949" s="44" t="str">
        <f>VLOOKUP(F3949,'Set up'!$A$2:$E$70,5,FALSE)</f>
        <v>Trsf</v>
      </c>
    </row>
    <row r="3950" spans="1:19" ht="16.2" customHeight="1" x14ac:dyDescent="0.3">
      <c r="A3950" s="105" t="s">
        <v>3719</v>
      </c>
      <c r="B3950" s="5">
        <f t="shared" si="981"/>
        <v>5</v>
      </c>
      <c r="C3950" s="5">
        <f t="shared" si="982"/>
        <v>2025</v>
      </c>
      <c r="D3950" s="105" t="s">
        <v>3720</v>
      </c>
      <c r="E3950" s="5" t="str">
        <f>VLOOKUP(F3950,'Set up'!$A$2:$C$70,2,FALSE)</f>
        <v>C00000019</v>
      </c>
      <c r="F3950" s="99" t="s">
        <v>400</v>
      </c>
      <c r="G3950" s="99" t="s">
        <v>3122</v>
      </c>
      <c r="H3950" s="105">
        <v>1</v>
      </c>
      <c r="I3950" s="5" t="str">
        <f>VLOOKUP(F3950,'Set up'!$A$2:$C$70,3,FALSE)</f>
        <v>Cash</v>
      </c>
      <c r="J3950" s="5">
        <f>VLOOKUP(F3950,'Set up'!$A$2:$D$70,4,FALSE)</f>
        <v>0</v>
      </c>
      <c r="K3950" s="4">
        <f t="shared" si="983"/>
        <v>45791</v>
      </c>
      <c r="L3950" s="5">
        <f t="shared" si="984"/>
        <v>5</v>
      </c>
      <c r="M3950" s="5">
        <f t="shared" si="985"/>
        <v>2025</v>
      </c>
      <c r="N3950" s="135">
        <v>1755</v>
      </c>
      <c r="P3950" s="12">
        <f t="shared" si="990"/>
        <v>1755</v>
      </c>
      <c r="Q3950" s="7">
        <f t="shared" si="986"/>
        <v>6537783.7500000019</v>
      </c>
      <c r="R3950" s="44" t="str">
        <f>VLOOKUP(F3950,'Set up'!$A$2:$E$70,5,FALSE)</f>
        <v>Trsf</v>
      </c>
    </row>
    <row r="3951" spans="1:19" ht="16.2" customHeight="1" x14ac:dyDescent="0.3">
      <c r="A3951" s="105" t="s">
        <v>3719</v>
      </c>
      <c r="B3951" s="5">
        <f t="shared" si="981"/>
        <v>5</v>
      </c>
      <c r="C3951" s="5">
        <f t="shared" si="982"/>
        <v>2025</v>
      </c>
      <c r="D3951" s="105" t="s">
        <v>3720</v>
      </c>
      <c r="E3951" s="5" t="str">
        <f>VLOOKUP(F3951,'Set up'!$A$2:$C$70,2,FALSE)</f>
        <v>C00000019</v>
      </c>
      <c r="F3951" s="99" t="s">
        <v>400</v>
      </c>
      <c r="G3951" s="99" t="s">
        <v>1411</v>
      </c>
      <c r="H3951" s="105">
        <v>1</v>
      </c>
      <c r="I3951" s="5" t="str">
        <f>VLOOKUP(F3951,'Set up'!$A$2:$C$70,3,FALSE)</f>
        <v>Cash</v>
      </c>
      <c r="J3951" s="5">
        <f>VLOOKUP(F3951,'Set up'!$A$2:$D$70,4,FALSE)</f>
        <v>0</v>
      </c>
      <c r="K3951" s="4">
        <f t="shared" si="983"/>
        <v>45791</v>
      </c>
      <c r="L3951" s="5">
        <f t="shared" si="984"/>
        <v>5</v>
      </c>
      <c r="M3951" s="5">
        <f t="shared" si="985"/>
        <v>2025</v>
      </c>
      <c r="N3951" s="135">
        <v>405</v>
      </c>
      <c r="P3951" s="12">
        <f t="shared" si="990"/>
        <v>405</v>
      </c>
      <c r="Q3951" s="7">
        <f t="shared" si="986"/>
        <v>6538188.7500000019</v>
      </c>
      <c r="R3951" s="44" t="str">
        <f>VLOOKUP(F3951,'Set up'!$A$2:$E$70,5,FALSE)</f>
        <v>Trsf</v>
      </c>
    </row>
    <row r="3952" spans="1:19" ht="16.2" customHeight="1" x14ac:dyDescent="0.3">
      <c r="A3952" s="105" t="s">
        <v>3719</v>
      </c>
      <c r="B3952" s="5">
        <f t="shared" si="981"/>
        <v>5</v>
      </c>
      <c r="C3952" s="5">
        <f t="shared" si="982"/>
        <v>2025</v>
      </c>
      <c r="D3952" s="105" t="s">
        <v>3720</v>
      </c>
      <c r="E3952" s="5" t="str">
        <f>VLOOKUP(F3952,'Set up'!$A$2:$C$70,2,FALSE)</f>
        <v>C00000019</v>
      </c>
      <c r="F3952" s="99" t="s">
        <v>400</v>
      </c>
      <c r="G3952" s="99" t="s">
        <v>2144</v>
      </c>
      <c r="H3952" s="105">
        <v>1</v>
      </c>
      <c r="I3952" s="5" t="str">
        <f>VLOOKUP(F3952,'Set up'!$A$2:$C$70,3,FALSE)</f>
        <v>Cash</v>
      </c>
      <c r="J3952" s="5">
        <f>VLOOKUP(F3952,'Set up'!$A$2:$D$70,4,FALSE)</f>
        <v>0</v>
      </c>
      <c r="K3952" s="4">
        <f t="shared" si="983"/>
        <v>45791</v>
      </c>
      <c r="L3952" s="5">
        <f t="shared" si="984"/>
        <v>5</v>
      </c>
      <c r="M3952" s="5">
        <f t="shared" si="985"/>
        <v>2025</v>
      </c>
      <c r="N3952" s="135">
        <v>283.8</v>
      </c>
      <c r="P3952" s="12">
        <f t="shared" si="990"/>
        <v>283.8</v>
      </c>
      <c r="Q3952" s="7">
        <f t="shared" si="986"/>
        <v>6538472.5500000017</v>
      </c>
      <c r="R3952" s="44" t="str">
        <f>VLOOKUP(F3952,'Set up'!$A$2:$E$70,5,FALSE)</f>
        <v>Trsf</v>
      </c>
    </row>
    <row r="3953" spans="1:19" ht="16.2" customHeight="1" x14ac:dyDescent="0.3">
      <c r="A3953" s="105" t="s">
        <v>3719</v>
      </c>
      <c r="B3953" s="5">
        <f t="shared" si="981"/>
        <v>5</v>
      </c>
      <c r="C3953" s="5">
        <f t="shared" si="982"/>
        <v>2025</v>
      </c>
      <c r="D3953" s="105" t="s">
        <v>3720</v>
      </c>
      <c r="E3953" s="5" t="str">
        <f>VLOOKUP(F3953,'Set up'!$A$2:$C$70,2,FALSE)</f>
        <v>C00000019</v>
      </c>
      <c r="F3953" s="99" t="s">
        <v>400</v>
      </c>
      <c r="G3953" s="99" t="s">
        <v>46</v>
      </c>
      <c r="H3953" s="105">
        <v>1</v>
      </c>
      <c r="I3953" s="5" t="str">
        <f>VLOOKUP(F3953,'Set up'!$A$2:$C$70,3,FALSE)</f>
        <v>Cash</v>
      </c>
      <c r="J3953" s="5">
        <f>VLOOKUP(F3953,'Set up'!$A$2:$D$70,4,FALSE)</f>
        <v>0</v>
      </c>
      <c r="K3953" s="4">
        <f t="shared" si="983"/>
        <v>45791</v>
      </c>
      <c r="L3953" s="5">
        <f t="shared" si="984"/>
        <v>5</v>
      </c>
      <c r="M3953" s="5">
        <f t="shared" si="985"/>
        <v>2025</v>
      </c>
      <c r="N3953" s="135">
        <v>110</v>
      </c>
      <c r="P3953" s="12">
        <f t="shared" si="990"/>
        <v>110</v>
      </c>
      <c r="Q3953" s="7">
        <f t="shared" si="986"/>
        <v>6538582.5500000017</v>
      </c>
      <c r="R3953" s="44" t="str">
        <f>VLOOKUP(F3953,'Set up'!$A$2:$E$70,5,FALSE)</f>
        <v>Trsf</v>
      </c>
    </row>
    <row r="3954" spans="1:19" ht="16.2" customHeight="1" x14ac:dyDescent="0.3">
      <c r="A3954" s="105" t="s">
        <v>3719</v>
      </c>
      <c r="B3954" s="5">
        <f t="shared" si="981"/>
        <v>5</v>
      </c>
      <c r="C3954" s="5">
        <f t="shared" si="982"/>
        <v>2025</v>
      </c>
      <c r="D3954" s="105" t="s">
        <v>3720</v>
      </c>
      <c r="E3954" s="5" t="str">
        <f>VLOOKUP(F3954,'Set up'!$A$2:$C$70,2,FALSE)</f>
        <v>C00000019</v>
      </c>
      <c r="F3954" s="99" t="s">
        <v>400</v>
      </c>
      <c r="G3954" s="99" t="s">
        <v>1469</v>
      </c>
      <c r="H3954" s="105">
        <v>1</v>
      </c>
      <c r="I3954" s="5" t="str">
        <f>VLOOKUP(F3954,'Set up'!$A$2:$C$70,3,FALSE)</f>
        <v>Cash</v>
      </c>
      <c r="J3954" s="5">
        <f>VLOOKUP(F3954,'Set up'!$A$2:$D$70,4,FALSE)</f>
        <v>0</v>
      </c>
      <c r="K3954" s="4">
        <f t="shared" si="983"/>
        <v>45791</v>
      </c>
      <c r="L3954" s="5">
        <f t="shared" si="984"/>
        <v>5</v>
      </c>
      <c r="M3954" s="5">
        <f t="shared" si="985"/>
        <v>2025</v>
      </c>
      <c r="N3954" s="135">
        <v>390</v>
      </c>
      <c r="P3954" s="12">
        <f t="shared" si="990"/>
        <v>390</v>
      </c>
      <c r="Q3954" s="7">
        <f t="shared" si="986"/>
        <v>6538972.5500000017</v>
      </c>
      <c r="R3954" s="44" t="str">
        <f>VLOOKUP(F3954,'Set up'!$A$2:$E$70,5,FALSE)</f>
        <v>Trsf</v>
      </c>
    </row>
    <row r="3955" spans="1:19" ht="16.2" customHeight="1" x14ac:dyDescent="0.3">
      <c r="A3955" s="105" t="s">
        <v>3719</v>
      </c>
      <c r="B3955" s="5">
        <f t="shared" si="981"/>
        <v>5</v>
      </c>
      <c r="C3955" s="5">
        <f t="shared" si="982"/>
        <v>2025</v>
      </c>
      <c r="D3955" s="105" t="s">
        <v>3721</v>
      </c>
      <c r="E3955" s="5" t="str">
        <f>VLOOKUP(F3955,'Set up'!$A$2:$C$70,2,FALSE)</f>
        <v>C00000050</v>
      </c>
      <c r="F3955" s="99" t="s">
        <v>2656</v>
      </c>
      <c r="G3955" s="99" t="s">
        <v>3615</v>
      </c>
      <c r="H3955" s="105">
        <v>1</v>
      </c>
      <c r="I3955" s="5" t="str">
        <f>VLOOKUP(F3955,'Set up'!$A$2:$C$70,3,FALSE)</f>
        <v>Cash</v>
      </c>
      <c r="J3955" s="5">
        <f>VLOOKUP(F3955,'Set up'!$A$2:$D$70,4,FALSE)</f>
        <v>0</v>
      </c>
      <c r="K3955" s="4">
        <f t="shared" si="983"/>
        <v>45791</v>
      </c>
      <c r="L3955" s="5">
        <f t="shared" si="984"/>
        <v>5</v>
      </c>
      <c r="M3955" s="5">
        <f t="shared" si="985"/>
        <v>2025</v>
      </c>
      <c r="N3955" s="135">
        <v>1710</v>
      </c>
      <c r="O3955" s="6">
        <f t="shared" ref="O3955:O3958" si="991">-N3955</f>
        <v>-1710</v>
      </c>
      <c r="P3955" s="12">
        <f t="shared" si="990"/>
        <v>0</v>
      </c>
      <c r="Q3955" s="7">
        <f t="shared" si="986"/>
        <v>6540682.5500000017</v>
      </c>
      <c r="R3955" s="44" t="str">
        <f>VLOOKUP(F3955,'Set up'!$A$2:$E$70,5,FALSE)</f>
        <v>Cash</v>
      </c>
      <c r="S3955" s="1" t="s">
        <v>3949</v>
      </c>
    </row>
    <row r="3956" spans="1:19" ht="16.2" customHeight="1" x14ac:dyDescent="0.3">
      <c r="A3956" s="105" t="s">
        <v>3719</v>
      </c>
      <c r="B3956" s="5">
        <f t="shared" si="981"/>
        <v>5</v>
      </c>
      <c r="C3956" s="5">
        <f t="shared" si="982"/>
        <v>2025</v>
      </c>
      <c r="D3956" s="105" t="s">
        <v>3721</v>
      </c>
      <c r="E3956" s="5" t="str">
        <f>VLOOKUP(F3956,'Set up'!$A$2:$C$70,2,FALSE)</f>
        <v>C00000050</v>
      </c>
      <c r="F3956" s="99" t="s">
        <v>2656</v>
      </c>
      <c r="G3956" s="99" t="s">
        <v>2434</v>
      </c>
      <c r="H3956" s="105">
        <v>1</v>
      </c>
      <c r="I3956" s="5" t="str">
        <f>VLOOKUP(F3956,'Set up'!$A$2:$C$70,3,FALSE)</f>
        <v>Cash</v>
      </c>
      <c r="J3956" s="5">
        <f>VLOOKUP(F3956,'Set up'!$A$2:$D$70,4,FALSE)</f>
        <v>0</v>
      </c>
      <c r="K3956" s="4">
        <f t="shared" si="983"/>
        <v>45791</v>
      </c>
      <c r="L3956" s="5">
        <f t="shared" si="984"/>
        <v>5</v>
      </c>
      <c r="M3956" s="5">
        <f t="shared" si="985"/>
        <v>2025</v>
      </c>
      <c r="N3956" s="135">
        <v>277.5</v>
      </c>
      <c r="O3956" s="6">
        <f t="shared" si="991"/>
        <v>-277.5</v>
      </c>
      <c r="P3956" s="12">
        <f t="shared" si="990"/>
        <v>0</v>
      </c>
      <c r="Q3956" s="7">
        <f t="shared" si="986"/>
        <v>6540960.0500000017</v>
      </c>
      <c r="R3956" s="44" t="str">
        <f>VLOOKUP(F3956,'Set up'!$A$2:$E$70,5,FALSE)</f>
        <v>Cash</v>
      </c>
      <c r="S3956" s="1" t="s">
        <v>3949</v>
      </c>
    </row>
    <row r="3957" spans="1:19" ht="16.2" customHeight="1" x14ac:dyDescent="0.3">
      <c r="A3957" s="105" t="s">
        <v>3719</v>
      </c>
      <c r="B3957" s="5">
        <f t="shared" si="981"/>
        <v>5</v>
      </c>
      <c r="C3957" s="5">
        <f t="shared" si="982"/>
        <v>2025</v>
      </c>
      <c r="D3957" s="105" t="s">
        <v>3721</v>
      </c>
      <c r="E3957" s="5" t="str">
        <f>VLOOKUP(F3957,'Set up'!$A$2:$C$70,2,FALSE)</f>
        <v>C00000050</v>
      </c>
      <c r="F3957" s="99" t="s">
        <v>2656</v>
      </c>
      <c r="G3957" s="99" t="s">
        <v>1061</v>
      </c>
      <c r="H3957" s="105">
        <v>1</v>
      </c>
      <c r="I3957" s="5" t="str">
        <f>VLOOKUP(F3957,'Set up'!$A$2:$C$70,3,FALSE)</f>
        <v>Cash</v>
      </c>
      <c r="J3957" s="5">
        <f>VLOOKUP(F3957,'Set up'!$A$2:$D$70,4,FALSE)</f>
        <v>0</v>
      </c>
      <c r="K3957" s="4">
        <f t="shared" si="983"/>
        <v>45791</v>
      </c>
      <c r="L3957" s="5">
        <f t="shared" si="984"/>
        <v>5</v>
      </c>
      <c r="M3957" s="5">
        <f t="shared" si="985"/>
        <v>2025</v>
      </c>
      <c r="N3957" s="135">
        <v>95</v>
      </c>
      <c r="O3957" s="6">
        <f t="shared" si="991"/>
        <v>-95</v>
      </c>
      <c r="P3957" s="12">
        <f t="shared" si="990"/>
        <v>0</v>
      </c>
      <c r="Q3957" s="7">
        <f t="shared" si="986"/>
        <v>6541055.0500000017</v>
      </c>
      <c r="R3957" s="44" t="str">
        <f>VLOOKUP(F3957,'Set up'!$A$2:$E$70,5,FALSE)</f>
        <v>Cash</v>
      </c>
      <c r="S3957" s="1" t="s">
        <v>3949</v>
      </c>
    </row>
    <row r="3958" spans="1:19" ht="16.2" customHeight="1" x14ac:dyDescent="0.3">
      <c r="A3958" s="105" t="s">
        <v>3719</v>
      </c>
      <c r="B3958" s="5">
        <f t="shared" si="981"/>
        <v>5</v>
      </c>
      <c r="C3958" s="5">
        <f t="shared" si="982"/>
        <v>2025</v>
      </c>
      <c r="D3958" s="105" t="s">
        <v>3721</v>
      </c>
      <c r="E3958" s="5" t="str">
        <f>VLOOKUP(F3958,'Set up'!$A$2:$C$70,2,FALSE)</f>
        <v>C00000050</v>
      </c>
      <c r="F3958" s="99" t="s">
        <v>2656</v>
      </c>
      <c r="G3958" s="99" t="s">
        <v>800</v>
      </c>
      <c r="H3958" s="105">
        <v>1</v>
      </c>
      <c r="I3958" s="5" t="str">
        <f>VLOOKUP(F3958,'Set up'!$A$2:$C$70,3,FALSE)</f>
        <v>Cash</v>
      </c>
      <c r="J3958" s="5">
        <f>VLOOKUP(F3958,'Set up'!$A$2:$D$70,4,FALSE)</f>
        <v>0</v>
      </c>
      <c r="K3958" s="4">
        <f t="shared" si="983"/>
        <v>45791</v>
      </c>
      <c r="L3958" s="5">
        <f t="shared" si="984"/>
        <v>5</v>
      </c>
      <c r="M3958" s="5">
        <f t="shared" si="985"/>
        <v>2025</v>
      </c>
      <c r="N3958" s="135">
        <v>225</v>
      </c>
      <c r="O3958" s="6">
        <f t="shared" si="991"/>
        <v>-225</v>
      </c>
      <c r="P3958" s="12">
        <f t="shared" si="990"/>
        <v>0</v>
      </c>
      <c r="Q3958" s="7">
        <f t="shared" si="986"/>
        <v>6541280.0500000017</v>
      </c>
      <c r="R3958" s="44" t="str">
        <f>VLOOKUP(F3958,'Set up'!$A$2:$E$70,5,FALSE)</f>
        <v>Cash</v>
      </c>
      <c r="S3958" s="1" t="s">
        <v>3949</v>
      </c>
    </row>
    <row r="3959" spans="1:19" ht="16.2" customHeight="1" x14ac:dyDescent="0.3">
      <c r="A3959" s="105" t="s">
        <v>3719</v>
      </c>
      <c r="B3959" s="5">
        <f t="shared" si="981"/>
        <v>5</v>
      </c>
      <c r="C3959" s="5">
        <f t="shared" si="982"/>
        <v>2025</v>
      </c>
      <c r="D3959" s="105" t="s">
        <v>3722</v>
      </c>
      <c r="E3959" s="5" t="str">
        <f>VLOOKUP(F3959,'Set up'!$A$2:$C$70,2,FALSE)</f>
        <v>C00000042</v>
      </c>
      <c r="F3959" s="99" t="s">
        <v>2012</v>
      </c>
      <c r="G3959" s="99" t="s">
        <v>3217</v>
      </c>
      <c r="H3959" s="105">
        <v>2</v>
      </c>
      <c r="I3959" s="5" t="str">
        <f>VLOOKUP(F3959,'Set up'!$A$2:$C$70,3,FALSE)</f>
        <v>Cash</v>
      </c>
      <c r="J3959" s="5">
        <f>VLOOKUP(F3959,'Set up'!$A$2:$D$70,4,FALSE)</f>
        <v>0</v>
      </c>
      <c r="K3959" s="4">
        <f t="shared" si="983"/>
        <v>45791</v>
      </c>
      <c r="L3959" s="5">
        <f t="shared" si="984"/>
        <v>5</v>
      </c>
      <c r="M3959" s="5">
        <f t="shared" si="985"/>
        <v>2025</v>
      </c>
      <c r="N3959" s="135">
        <v>3240</v>
      </c>
      <c r="P3959" s="12">
        <f t="shared" si="990"/>
        <v>3240</v>
      </c>
      <c r="Q3959" s="7">
        <f t="shared" si="986"/>
        <v>6544520.0500000017</v>
      </c>
      <c r="R3959" s="44" t="str">
        <f>VLOOKUP(F3959,'Set up'!$A$2:$E$70,5,FALSE)</f>
        <v>Trsf</v>
      </c>
    </row>
    <row r="3960" spans="1:19" ht="16.2" customHeight="1" x14ac:dyDescent="0.3">
      <c r="A3960" s="105" t="s">
        <v>3719</v>
      </c>
      <c r="B3960" s="5">
        <f t="shared" si="981"/>
        <v>5</v>
      </c>
      <c r="C3960" s="5">
        <f t="shared" si="982"/>
        <v>2025</v>
      </c>
      <c r="D3960" s="105" t="s">
        <v>3722</v>
      </c>
      <c r="E3960" s="5" t="str">
        <f>VLOOKUP(F3960,'Set up'!$A$2:$C$70,2,FALSE)</f>
        <v>C00000042</v>
      </c>
      <c r="F3960" s="99" t="s">
        <v>2012</v>
      </c>
      <c r="G3960" s="99" t="s">
        <v>2129</v>
      </c>
      <c r="H3960" s="105">
        <v>3</v>
      </c>
      <c r="I3960" s="5" t="str">
        <f>VLOOKUP(F3960,'Set up'!$A$2:$C$70,3,FALSE)</f>
        <v>Cash</v>
      </c>
      <c r="J3960" s="5">
        <f>VLOOKUP(F3960,'Set up'!$A$2:$D$70,4,FALSE)</f>
        <v>0</v>
      </c>
      <c r="K3960" s="4">
        <f t="shared" si="983"/>
        <v>45791</v>
      </c>
      <c r="L3960" s="5">
        <f t="shared" si="984"/>
        <v>5</v>
      </c>
      <c r="M3960" s="5">
        <f t="shared" si="985"/>
        <v>2025</v>
      </c>
      <c r="N3960" s="135">
        <v>654.9</v>
      </c>
      <c r="P3960" s="12">
        <f t="shared" si="990"/>
        <v>654.9</v>
      </c>
      <c r="Q3960" s="7">
        <f t="shared" si="986"/>
        <v>6545174.950000002</v>
      </c>
      <c r="R3960" s="44" t="str">
        <f>VLOOKUP(F3960,'Set up'!$A$2:$E$70,5,FALSE)</f>
        <v>Trsf</v>
      </c>
    </row>
    <row r="3961" spans="1:19" ht="16.2" customHeight="1" x14ac:dyDescent="0.3">
      <c r="A3961" s="105" t="s">
        <v>3719</v>
      </c>
      <c r="B3961" s="5">
        <f t="shared" si="981"/>
        <v>5</v>
      </c>
      <c r="C3961" s="5">
        <f t="shared" si="982"/>
        <v>2025</v>
      </c>
      <c r="D3961" s="105" t="s">
        <v>3722</v>
      </c>
      <c r="E3961" s="5" t="str">
        <f>VLOOKUP(F3961,'Set up'!$A$2:$C$70,2,FALSE)</f>
        <v>C00000042</v>
      </c>
      <c r="F3961" s="99" t="s">
        <v>2012</v>
      </c>
      <c r="G3961" s="99" t="s">
        <v>1922</v>
      </c>
      <c r="H3961" s="105">
        <v>2</v>
      </c>
      <c r="I3961" s="5" t="str">
        <f>VLOOKUP(F3961,'Set up'!$A$2:$C$70,3,FALSE)</f>
        <v>Cash</v>
      </c>
      <c r="J3961" s="5">
        <f>VLOOKUP(F3961,'Set up'!$A$2:$D$70,4,FALSE)</f>
        <v>0</v>
      </c>
      <c r="K3961" s="4">
        <f t="shared" si="983"/>
        <v>45791</v>
      </c>
      <c r="L3961" s="5">
        <f t="shared" si="984"/>
        <v>5</v>
      </c>
      <c r="M3961" s="5">
        <f t="shared" si="985"/>
        <v>2025</v>
      </c>
      <c r="N3961" s="135">
        <v>495</v>
      </c>
      <c r="P3961" s="12">
        <f t="shared" si="990"/>
        <v>495</v>
      </c>
      <c r="Q3961" s="7">
        <f t="shared" si="986"/>
        <v>6545669.950000002</v>
      </c>
      <c r="R3961" s="44" t="str">
        <f>VLOOKUP(F3961,'Set up'!$A$2:$E$70,5,FALSE)</f>
        <v>Trsf</v>
      </c>
    </row>
    <row r="3962" spans="1:19" ht="16.2" customHeight="1" x14ac:dyDescent="0.3">
      <c r="A3962" s="105" t="s">
        <v>3723</v>
      </c>
      <c r="B3962" s="5">
        <f t="shared" si="981"/>
        <v>5</v>
      </c>
      <c r="C3962" s="5">
        <f t="shared" si="982"/>
        <v>2025</v>
      </c>
      <c r="D3962" s="105" t="s">
        <v>3724</v>
      </c>
      <c r="E3962" s="5" t="str">
        <f>VLOOKUP(F3962,'Set up'!$A$2:$C$70,2,FALSE)</f>
        <v>C00000013</v>
      </c>
      <c r="F3962" s="99" t="s">
        <v>3549</v>
      </c>
      <c r="G3962" s="99" t="s">
        <v>3533</v>
      </c>
      <c r="H3962" s="105">
        <v>9</v>
      </c>
      <c r="I3962" s="5" t="str">
        <f>VLOOKUP(F3962,'Set up'!$A$2:$C$70,3,FALSE)</f>
        <v>Cash</v>
      </c>
      <c r="J3962" s="5">
        <f>VLOOKUP(F3962,'Set up'!$A$2:$D$70,4,FALSE)</f>
        <v>0</v>
      </c>
      <c r="K3962" s="4">
        <f t="shared" si="983"/>
        <v>45792</v>
      </c>
      <c r="L3962" s="5">
        <f t="shared" si="984"/>
        <v>5</v>
      </c>
      <c r="M3962" s="5">
        <f t="shared" si="985"/>
        <v>2025</v>
      </c>
      <c r="N3962" s="135">
        <v>15592.5</v>
      </c>
      <c r="O3962" s="6">
        <f t="shared" ref="O3962:O3969" si="992">-N3962</f>
        <v>-15592.5</v>
      </c>
      <c r="P3962" s="12">
        <f t="shared" si="990"/>
        <v>0</v>
      </c>
      <c r="Q3962" s="7">
        <f t="shared" si="986"/>
        <v>6561262.450000002</v>
      </c>
      <c r="R3962" s="44" t="str">
        <f>VLOOKUP(F3962,'Set up'!$A$2:$E$70,5,FALSE)</f>
        <v>Chq</v>
      </c>
      <c r="S3962" s="1" t="s">
        <v>3825</v>
      </c>
    </row>
    <row r="3963" spans="1:19" ht="16.2" customHeight="1" x14ac:dyDescent="0.3">
      <c r="A3963" s="105" t="s">
        <v>3723</v>
      </c>
      <c r="B3963" s="5">
        <f t="shared" si="981"/>
        <v>5</v>
      </c>
      <c r="C3963" s="5">
        <f t="shared" si="982"/>
        <v>2025</v>
      </c>
      <c r="D3963" s="105" t="s">
        <v>3724</v>
      </c>
      <c r="E3963" s="5" t="str">
        <f>VLOOKUP(F3963,'Set up'!$A$2:$C$70,2,FALSE)</f>
        <v>C00000013</v>
      </c>
      <c r="F3963" s="99" t="s">
        <v>3549</v>
      </c>
      <c r="G3963" s="99" t="s">
        <v>1739</v>
      </c>
      <c r="H3963" s="105">
        <v>7</v>
      </c>
      <c r="I3963" s="5" t="str">
        <f>VLOOKUP(F3963,'Set up'!$A$2:$C$70,3,FALSE)</f>
        <v>Cash</v>
      </c>
      <c r="J3963" s="5">
        <f>VLOOKUP(F3963,'Set up'!$A$2:$D$70,4,FALSE)</f>
        <v>0</v>
      </c>
      <c r="K3963" s="4">
        <f t="shared" si="983"/>
        <v>45792</v>
      </c>
      <c r="L3963" s="5">
        <f t="shared" si="984"/>
        <v>5</v>
      </c>
      <c r="M3963" s="5">
        <f t="shared" si="985"/>
        <v>2025</v>
      </c>
      <c r="N3963" s="135">
        <v>2835</v>
      </c>
      <c r="O3963" s="6">
        <f t="shared" si="992"/>
        <v>-2835</v>
      </c>
      <c r="P3963" s="12">
        <f t="shared" si="990"/>
        <v>0</v>
      </c>
      <c r="Q3963" s="7">
        <f t="shared" si="986"/>
        <v>6564097.450000002</v>
      </c>
      <c r="R3963" s="44" t="str">
        <f>VLOOKUP(F3963,'Set up'!$A$2:$E$70,5,FALSE)</f>
        <v>Chq</v>
      </c>
      <c r="S3963" s="1" t="s">
        <v>3825</v>
      </c>
    </row>
    <row r="3964" spans="1:19" ht="16.2" customHeight="1" x14ac:dyDescent="0.3">
      <c r="A3964" s="105" t="s">
        <v>3723</v>
      </c>
      <c r="B3964" s="5">
        <f t="shared" si="981"/>
        <v>5</v>
      </c>
      <c r="C3964" s="5">
        <f t="shared" si="982"/>
        <v>2025</v>
      </c>
      <c r="D3964" s="105" t="s">
        <v>3724</v>
      </c>
      <c r="E3964" s="5" t="str">
        <f>VLOOKUP(F3964,'Set up'!$A$2:$C$70,2,FALSE)</f>
        <v>C00000013</v>
      </c>
      <c r="F3964" s="99" t="s">
        <v>3549</v>
      </c>
      <c r="G3964" s="99" t="s">
        <v>1740</v>
      </c>
      <c r="H3964" s="105">
        <v>7</v>
      </c>
      <c r="I3964" s="5" t="str">
        <f>VLOOKUP(F3964,'Set up'!$A$2:$C$70,3,FALSE)</f>
        <v>Cash</v>
      </c>
      <c r="J3964" s="5">
        <f>VLOOKUP(F3964,'Set up'!$A$2:$D$70,4,FALSE)</f>
        <v>0</v>
      </c>
      <c r="K3964" s="4">
        <f t="shared" si="983"/>
        <v>45792</v>
      </c>
      <c r="L3964" s="5">
        <f t="shared" si="984"/>
        <v>5</v>
      </c>
      <c r="M3964" s="5">
        <f t="shared" si="985"/>
        <v>2025</v>
      </c>
      <c r="N3964" s="135">
        <v>2835</v>
      </c>
      <c r="O3964" s="6">
        <f t="shared" si="992"/>
        <v>-2835</v>
      </c>
      <c r="P3964" s="12">
        <f t="shared" si="990"/>
        <v>0</v>
      </c>
      <c r="Q3964" s="7">
        <f t="shared" si="986"/>
        <v>6566932.450000002</v>
      </c>
      <c r="R3964" s="44" t="str">
        <f>VLOOKUP(F3964,'Set up'!$A$2:$E$70,5,FALSE)</f>
        <v>Chq</v>
      </c>
      <c r="S3964" s="1" t="s">
        <v>3825</v>
      </c>
    </row>
    <row r="3965" spans="1:19" ht="16.2" customHeight="1" x14ac:dyDescent="0.3">
      <c r="A3965" s="105" t="s">
        <v>3723</v>
      </c>
      <c r="B3965" s="5">
        <f t="shared" si="981"/>
        <v>5</v>
      </c>
      <c r="C3965" s="5">
        <f t="shared" si="982"/>
        <v>2025</v>
      </c>
      <c r="D3965" s="105" t="s">
        <v>3724</v>
      </c>
      <c r="E3965" s="5" t="str">
        <f>VLOOKUP(F3965,'Set up'!$A$2:$C$70,2,FALSE)</f>
        <v>C00000013</v>
      </c>
      <c r="F3965" s="99" t="s">
        <v>3549</v>
      </c>
      <c r="G3965" s="99" t="s">
        <v>3725</v>
      </c>
      <c r="H3965" s="105">
        <v>21</v>
      </c>
      <c r="I3965" s="5" t="str">
        <f>VLOOKUP(F3965,'Set up'!$A$2:$C$70,3,FALSE)</f>
        <v>Cash</v>
      </c>
      <c r="J3965" s="5">
        <f>VLOOKUP(F3965,'Set up'!$A$2:$D$70,4,FALSE)</f>
        <v>0</v>
      </c>
      <c r="K3965" s="4">
        <f t="shared" si="983"/>
        <v>45792</v>
      </c>
      <c r="L3965" s="5">
        <f t="shared" si="984"/>
        <v>5</v>
      </c>
      <c r="M3965" s="5">
        <f t="shared" si="985"/>
        <v>2025</v>
      </c>
      <c r="N3965" s="135">
        <v>5959.8</v>
      </c>
      <c r="O3965" s="6">
        <f t="shared" si="992"/>
        <v>-5959.8</v>
      </c>
      <c r="P3965" s="12">
        <f t="shared" si="990"/>
        <v>0</v>
      </c>
      <c r="Q3965" s="7">
        <f t="shared" si="986"/>
        <v>6572892.2500000019</v>
      </c>
      <c r="R3965" s="44" t="str">
        <f>VLOOKUP(F3965,'Set up'!$A$2:$E$70,5,FALSE)</f>
        <v>Chq</v>
      </c>
      <c r="S3965" s="1" t="s">
        <v>3825</v>
      </c>
    </row>
    <row r="3966" spans="1:19" ht="16.2" customHeight="1" x14ac:dyDescent="0.3">
      <c r="A3966" s="105" t="s">
        <v>3723</v>
      </c>
      <c r="B3966" s="5">
        <f t="shared" si="981"/>
        <v>5</v>
      </c>
      <c r="C3966" s="5">
        <f t="shared" si="982"/>
        <v>2025</v>
      </c>
      <c r="D3966" s="105" t="s">
        <v>3724</v>
      </c>
      <c r="E3966" s="5" t="str">
        <f>VLOOKUP(F3966,'Set up'!$A$2:$C$70,2,FALSE)</f>
        <v>C00000013</v>
      </c>
      <c r="F3966" s="99" t="s">
        <v>3549</v>
      </c>
      <c r="G3966" s="99" t="s">
        <v>1741</v>
      </c>
      <c r="H3966" s="105">
        <v>2</v>
      </c>
      <c r="I3966" s="5" t="str">
        <f>VLOOKUP(F3966,'Set up'!$A$2:$C$70,3,FALSE)</f>
        <v>Cash</v>
      </c>
      <c r="J3966" s="5">
        <f>VLOOKUP(F3966,'Set up'!$A$2:$D$70,4,FALSE)</f>
        <v>0</v>
      </c>
      <c r="K3966" s="4">
        <f t="shared" si="983"/>
        <v>45792</v>
      </c>
      <c r="L3966" s="5">
        <f t="shared" si="984"/>
        <v>5</v>
      </c>
      <c r="M3966" s="5">
        <f t="shared" si="985"/>
        <v>2025</v>
      </c>
      <c r="N3966" s="135">
        <v>1750</v>
      </c>
      <c r="O3966" s="6">
        <f t="shared" si="992"/>
        <v>-1750</v>
      </c>
      <c r="P3966" s="12">
        <f t="shared" si="990"/>
        <v>0</v>
      </c>
      <c r="Q3966" s="7">
        <f t="shared" si="986"/>
        <v>6574642.2500000019</v>
      </c>
      <c r="R3966" s="44" t="str">
        <f>VLOOKUP(F3966,'Set up'!$A$2:$E$70,5,FALSE)</f>
        <v>Chq</v>
      </c>
      <c r="S3966" s="1" t="s">
        <v>3825</v>
      </c>
    </row>
    <row r="3967" spans="1:19" ht="16.2" customHeight="1" x14ac:dyDescent="0.3">
      <c r="A3967" s="105" t="s">
        <v>3723</v>
      </c>
      <c r="B3967" s="5">
        <f t="shared" si="981"/>
        <v>5</v>
      </c>
      <c r="C3967" s="5">
        <f t="shared" si="982"/>
        <v>2025</v>
      </c>
      <c r="D3967" s="105" t="s">
        <v>3724</v>
      </c>
      <c r="E3967" s="5" t="str">
        <f>VLOOKUP(F3967,'Set up'!$A$2:$C$70,2,FALSE)</f>
        <v>C00000013</v>
      </c>
      <c r="F3967" s="99" t="s">
        <v>3549</v>
      </c>
      <c r="G3967" s="99" t="s">
        <v>1743</v>
      </c>
      <c r="H3967" s="105">
        <v>2</v>
      </c>
      <c r="I3967" s="5" t="str">
        <f>VLOOKUP(F3967,'Set up'!$A$2:$C$70,3,FALSE)</f>
        <v>Cash</v>
      </c>
      <c r="J3967" s="5">
        <f>VLOOKUP(F3967,'Set up'!$A$2:$D$70,4,FALSE)</f>
        <v>0</v>
      </c>
      <c r="K3967" s="4">
        <f t="shared" si="983"/>
        <v>45792</v>
      </c>
      <c r="L3967" s="5">
        <f t="shared" si="984"/>
        <v>5</v>
      </c>
      <c r="M3967" s="5">
        <f t="shared" si="985"/>
        <v>2025</v>
      </c>
      <c r="N3967" s="135">
        <v>110.4</v>
      </c>
      <c r="O3967" s="6">
        <f t="shared" si="992"/>
        <v>-110.4</v>
      </c>
      <c r="P3967" s="12">
        <f t="shared" si="990"/>
        <v>0</v>
      </c>
      <c r="Q3967" s="7">
        <f t="shared" si="986"/>
        <v>6574752.6500000022</v>
      </c>
      <c r="R3967" s="44" t="str">
        <f>VLOOKUP(F3967,'Set up'!$A$2:$E$70,5,FALSE)</f>
        <v>Chq</v>
      </c>
      <c r="S3967" s="1" t="s">
        <v>3825</v>
      </c>
    </row>
    <row r="3968" spans="1:19" ht="16.2" customHeight="1" x14ac:dyDescent="0.3">
      <c r="A3968" s="105" t="s">
        <v>3723</v>
      </c>
      <c r="B3968" s="5">
        <f t="shared" si="981"/>
        <v>5</v>
      </c>
      <c r="C3968" s="5">
        <f t="shared" si="982"/>
        <v>2025</v>
      </c>
      <c r="D3968" s="105" t="s">
        <v>3724</v>
      </c>
      <c r="E3968" s="5" t="str">
        <f>VLOOKUP(F3968,'Set up'!$A$2:$C$70,2,FALSE)</f>
        <v>C00000013</v>
      </c>
      <c r="F3968" s="99" t="s">
        <v>3549</v>
      </c>
      <c r="G3968" s="99" t="s">
        <v>1744</v>
      </c>
      <c r="H3968" s="105">
        <v>1</v>
      </c>
      <c r="I3968" s="5" t="str">
        <f>VLOOKUP(F3968,'Set up'!$A$2:$C$70,3,FALSE)</f>
        <v>Cash</v>
      </c>
      <c r="J3968" s="5">
        <f>VLOOKUP(F3968,'Set up'!$A$2:$D$70,4,FALSE)</f>
        <v>0</v>
      </c>
      <c r="K3968" s="4">
        <f t="shared" si="983"/>
        <v>45792</v>
      </c>
      <c r="L3968" s="5">
        <f t="shared" si="984"/>
        <v>5</v>
      </c>
      <c r="M3968" s="5">
        <f t="shared" si="985"/>
        <v>2025</v>
      </c>
      <c r="N3968" s="135">
        <v>1108.4000000000001</v>
      </c>
      <c r="O3968" s="6">
        <f t="shared" si="992"/>
        <v>-1108.4000000000001</v>
      </c>
      <c r="P3968" s="12">
        <f t="shared" si="990"/>
        <v>0</v>
      </c>
      <c r="Q3968" s="7">
        <f t="shared" si="986"/>
        <v>6575861.0500000026</v>
      </c>
      <c r="R3968" s="44" t="str">
        <f>VLOOKUP(F3968,'Set up'!$A$2:$E$70,5,FALSE)</f>
        <v>Chq</v>
      </c>
      <c r="S3968" s="1" t="s">
        <v>3825</v>
      </c>
    </row>
    <row r="3969" spans="1:19" ht="16.2" customHeight="1" x14ac:dyDescent="0.3">
      <c r="A3969" s="105" t="s">
        <v>3723</v>
      </c>
      <c r="B3969" s="5">
        <f t="shared" si="981"/>
        <v>5</v>
      </c>
      <c r="C3969" s="5">
        <f t="shared" si="982"/>
        <v>2025</v>
      </c>
      <c r="D3969" s="105" t="s">
        <v>3724</v>
      </c>
      <c r="E3969" s="5" t="str">
        <f>VLOOKUP(F3969,'Set up'!$A$2:$C$70,2,FALSE)</f>
        <v>C00000013</v>
      </c>
      <c r="F3969" s="99" t="s">
        <v>3549</v>
      </c>
      <c r="G3969" s="99" t="s">
        <v>1469</v>
      </c>
      <c r="H3969" s="105">
        <v>5</v>
      </c>
      <c r="I3969" s="5" t="str">
        <f>VLOOKUP(F3969,'Set up'!$A$2:$C$70,3,FALSE)</f>
        <v>Cash</v>
      </c>
      <c r="J3969" s="5">
        <f>VLOOKUP(F3969,'Set up'!$A$2:$D$70,4,FALSE)</f>
        <v>0</v>
      </c>
      <c r="K3969" s="4">
        <f t="shared" si="983"/>
        <v>45792</v>
      </c>
      <c r="L3969" s="5">
        <f t="shared" si="984"/>
        <v>5</v>
      </c>
      <c r="M3969" s="5">
        <f t="shared" si="985"/>
        <v>2025</v>
      </c>
      <c r="N3969" s="135">
        <v>2150</v>
      </c>
      <c r="O3969" s="6">
        <f t="shared" si="992"/>
        <v>-2150</v>
      </c>
      <c r="P3969" s="12">
        <f t="shared" si="990"/>
        <v>0</v>
      </c>
      <c r="Q3969" s="7">
        <f t="shared" si="986"/>
        <v>6578011.0500000026</v>
      </c>
      <c r="R3969" s="44" t="str">
        <f>VLOOKUP(F3969,'Set up'!$A$2:$E$70,5,FALSE)</f>
        <v>Chq</v>
      </c>
      <c r="S3969" s="1" t="s">
        <v>3825</v>
      </c>
    </row>
    <row r="3970" spans="1:19" ht="16.2" customHeight="1" x14ac:dyDescent="0.3">
      <c r="A3970" s="105" t="s">
        <v>3726</v>
      </c>
      <c r="B3970" s="5">
        <f t="shared" si="981"/>
        <v>5</v>
      </c>
      <c r="C3970" s="5">
        <f t="shared" si="982"/>
        <v>2025</v>
      </c>
      <c r="D3970" s="105" t="s">
        <v>3727</v>
      </c>
      <c r="E3970" s="5" t="str">
        <f>VLOOKUP(F3970,'Set up'!$A$2:$C$70,2,FALSE)</f>
        <v>C00000042</v>
      </c>
      <c r="F3970" s="99" t="s">
        <v>2012</v>
      </c>
      <c r="G3970" s="99" t="s">
        <v>2646</v>
      </c>
      <c r="H3970" s="105">
        <v>1</v>
      </c>
      <c r="I3970" s="5" t="str">
        <f>VLOOKUP(F3970,'Set up'!$A$2:$C$70,3,FALSE)</f>
        <v>Cash</v>
      </c>
      <c r="J3970" s="5">
        <f>VLOOKUP(F3970,'Set up'!$A$2:$D$70,4,FALSE)</f>
        <v>0</v>
      </c>
      <c r="K3970" s="4">
        <f t="shared" si="983"/>
        <v>45793</v>
      </c>
      <c r="L3970" s="5">
        <f t="shared" si="984"/>
        <v>5</v>
      </c>
      <c r="M3970" s="5">
        <f t="shared" si="985"/>
        <v>2025</v>
      </c>
      <c r="N3970" s="135">
        <v>62.5</v>
      </c>
      <c r="P3970" s="12">
        <f t="shared" si="990"/>
        <v>62.5</v>
      </c>
      <c r="Q3970" s="7">
        <f t="shared" si="986"/>
        <v>6578073.5500000026</v>
      </c>
      <c r="R3970" s="44" t="str">
        <f>VLOOKUP(F3970,'Set up'!$A$2:$E$70,5,FALSE)</f>
        <v>Trsf</v>
      </c>
    </row>
    <row r="3971" spans="1:19" ht="16.2" customHeight="1" x14ac:dyDescent="0.3">
      <c r="A3971" s="105" t="s">
        <v>3726</v>
      </c>
      <c r="B3971" s="5">
        <f t="shared" ref="B3971:B4034" si="993">MONTH(A3971)</f>
        <v>5</v>
      </c>
      <c r="C3971" s="5">
        <f t="shared" ref="C3971:C4034" si="994">YEAR(A3971)</f>
        <v>2025</v>
      </c>
      <c r="D3971" s="105" t="s">
        <v>3728</v>
      </c>
      <c r="E3971" s="5" t="str">
        <f>VLOOKUP(F3971,'Set up'!$A$2:$C$70,2,FALSE)</f>
        <v>C00000042</v>
      </c>
      <c r="F3971" s="99" t="s">
        <v>2012</v>
      </c>
      <c r="G3971" s="99" t="s">
        <v>3217</v>
      </c>
      <c r="H3971" s="105">
        <v>1</v>
      </c>
      <c r="I3971" s="5" t="str">
        <f>VLOOKUP(F3971,'Set up'!$A$2:$C$70,3,FALSE)</f>
        <v>Cash</v>
      </c>
      <c r="J3971" s="5">
        <f>VLOOKUP(F3971,'Set up'!$A$2:$D$70,4,FALSE)</f>
        <v>0</v>
      </c>
      <c r="K3971" s="4">
        <f t="shared" ref="K3971:K4034" si="995">A3971+J3971</f>
        <v>45793</v>
      </c>
      <c r="L3971" s="5">
        <f t="shared" ref="L3971:L4034" si="996">MONTH(K3971)</f>
        <v>5</v>
      </c>
      <c r="M3971" s="5">
        <f t="shared" ref="M3971:M4034" si="997">YEAR(K3971)</f>
        <v>2025</v>
      </c>
      <c r="N3971" s="135">
        <v>1620</v>
      </c>
      <c r="P3971" s="12">
        <f t="shared" si="990"/>
        <v>1620</v>
      </c>
      <c r="Q3971" s="7">
        <f t="shared" ref="Q3971:Q4034" si="998">SUM(Q3970+N3971)</f>
        <v>6579693.5500000026</v>
      </c>
      <c r="R3971" s="44" t="str">
        <f>VLOOKUP(F3971,'Set up'!$A$2:$E$70,5,FALSE)</f>
        <v>Trsf</v>
      </c>
    </row>
    <row r="3972" spans="1:19" ht="16.2" customHeight="1" x14ac:dyDescent="0.3">
      <c r="A3972" s="105" t="s">
        <v>3726</v>
      </c>
      <c r="B3972" s="5">
        <f t="shared" si="993"/>
        <v>5</v>
      </c>
      <c r="C3972" s="5">
        <f t="shared" si="994"/>
        <v>2025</v>
      </c>
      <c r="D3972" s="105" t="s">
        <v>3728</v>
      </c>
      <c r="E3972" s="5" t="str">
        <f>VLOOKUP(F3972,'Set up'!$A$2:$C$70,2,FALSE)</f>
        <v>C00000042</v>
      </c>
      <c r="F3972" s="99" t="s">
        <v>2012</v>
      </c>
      <c r="G3972" s="99" t="s">
        <v>2129</v>
      </c>
      <c r="H3972" s="105">
        <v>3</v>
      </c>
      <c r="I3972" s="5" t="str">
        <f>VLOOKUP(F3972,'Set up'!$A$2:$C$70,3,FALSE)</f>
        <v>Cash</v>
      </c>
      <c r="J3972" s="5">
        <f>VLOOKUP(F3972,'Set up'!$A$2:$D$70,4,FALSE)</f>
        <v>0</v>
      </c>
      <c r="K3972" s="4">
        <f t="shared" si="995"/>
        <v>45793</v>
      </c>
      <c r="L3972" s="5">
        <f t="shared" si="996"/>
        <v>5</v>
      </c>
      <c r="M3972" s="5">
        <f t="shared" si="997"/>
        <v>2025</v>
      </c>
      <c r="N3972" s="135">
        <v>654.9</v>
      </c>
      <c r="P3972" s="12">
        <f t="shared" si="990"/>
        <v>654.9</v>
      </c>
      <c r="Q3972" s="7">
        <f t="shared" si="998"/>
        <v>6580348.450000003</v>
      </c>
      <c r="R3972" s="44" t="str">
        <f>VLOOKUP(F3972,'Set up'!$A$2:$E$70,5,FALSE)</f>
        <v>Trsf</v>
      </c>
    </row>
    <row r="3973" spans="1:19" ht="16.2" customHeight="1" x14ac:dyDescent="0.3">
      <c r="A3973" s="105" t="s">
        <v>3726</v>
      </c>
      <c r="B3973" s="5">
        <f t="shared" si="993"/>
        <v>5</v>
      </c>
      <c r="C3973" s="5">
        <f t="shared" si="994"/>
        <v>2025</v>
      </c>
      <c r="D3973" s="105" t="s">
        <v>3728</v>
      </c>
      <c r="E3973" s="5" t="str">
        <f>VLOOKUP(F3973,'Set up'!$A$2:$C$70,2,FALSE)</f>
        <v>C00000042</v>
      </c>
      <c r="F3973" s="99" t="s">
        <v>2012</v>
      </c>
      <c r="G3973" s="99" t="s">
        <v>1922</v>
      </c>
      <c r="H3973" s="105">
        <v>2</v>
      </c>
      <c r="I3973" s="5" t="str">
        <f>VLOOKUP(F3973,'Set up'!$A$2:$C$70,3,FALSE)</f>
        <v>Cash</v>
      </c>
      <c r="J3973" s="5">
        <f>VLOOKUP(F3973,'Set up'!$A$2:$D$70,4,FALSE)</f>
        <v>0</v>
      </c>
      <c r="K3973" s="4">
        <f t="shared" si="995"/>
        <v>45793</v>
      </c>
      <c r="L3973" s="5">
        <f t="shared" si="996"/>
        <v>5</v>
      </c>
      <c r="M3973" s="5">
        <f t="shared" si="997"/>
        <v>2025</v>
      </c>
      <c r="N3973" s="135">
        <v>495</v>
      </c>
      <c r="P3973" s="12">
        <f t="shared" si="990"/>
        <v>495</v>
      </c>
      <c r="Q3973" s="7">
        <f t="shared" si="998"/>
        <v>6580843.450000003</v>
      </c>
      <c r="R3973" s="44" t="str">
        <f>VLOOKUP(F3973,'Set up'!$A$2:$E$70,5,FALSE)</f>
        <v>Trsf</v>
      </c>
    </row>
    <row r="3974" spans="1:19" ht="16.2" customHeight="1" x14ac:dyDescent="0.3">
      <c r="A3974" s="105" t="s">
        <v>3726</v>
      </c>
      <c r="B3974" s="5">
        <f t="shared" si="993"/>
        <v>5</v>
      </c>
      <c r="C3974" s="5">
        <f t="shared" si="994"/>
        <v>2025</v>
      </c>
      <c r="D3974" s="105" t="s">
        <v>3728</v>
      </c>
      <c r="E3974" s="5" t="str">
        <f>VLOOKUP(F3974,'Set up'!$A$2:$C$70,2,FALSE)</f>
        <v>C00000042</v>
      </c>
      <c r="F3974" s="99" t="s">
        <v>2012</v>
      </c>
      <c r="G3974" s="99" t="s">
        <v>2744</v>
      </c>
      <c r="H3974" s="105">
        <v>1</v>
      </c>
      <c r="I3974" s="5" t="str">
        <f>VLOOKUP(F3974,'Set up'!$A$2:$C$70,3,FALSE)</f>
        <v>Cash</v>
      </c>
      <c r="J3974" s="5">
        <f>VLOOKUP(F3974,'Set up'!$A$2:$D$70,4,FALSE)</f>
        <v>0</v>
      </c>
      <c r="K3974" s="4">
        <f t="shared" si="995"/>
        <v>45793</v>
      </c>
      <c r="L3974" s="5">
        <f t="shared" si="996"/>
        <v>5</v>
      </c>
      <c r="M3974" s="5">
        <f t="shared" si="997"/>
        <v>2025</v>
      </c>
      <c r="N3974" s="135">
        <v>975</v>
      </c>
      <c r="P3974" s="12">
        <f t="shared" si="990"/>
        <v>975</v>
      </c>
      <c r="Q3974" s="7">
        <f t="shared" si="998"/>
        <v>6581818.450000003</v>
      </c>
      <c r="R3974" s="44" t="str">
        <f>VLOOKUP(F3974,'Set up'!$A$2:$E$70,5,FALSE)</f>
        <v>Trsf</v>
      </c>
    </row>
    <row r="3975" spans="1:19" ht="16.2" customHeight="1" x14ac:dyDescent="0.3">
      <c r="A3975" s="105" t="s">
        <v>3726</v>
      </c>
      <c r="B3975" s="5">
        <f t="shared" si="993"/>
        <v>5</v>
      </c>
      <c r="C3975" s="5">
        <f t="shared" si="994"/>
        <v>2025</v>
      </c>
      <c r="D3975" s="105" t="s">
        <v>3728</v>
      </c>
      <c r="E3975" s="5" t="str">
        <f>VLOOKUP(F3975,'Set up'!$A$2:$C$70,2,FALSE)</f>
        <v>C00000042</v>
      </c>
      <c r="F3975" s="99" t="s">
        <v>2012</v>
      </c>
      <c r="G3975" s="99" t="s">
        <v>46</v>
      </c>
      <c r="H3975" s="105">
        <v>4</v>
      </c>
      <c r="I3975" s="5" t="str">
        <f>VLOOKUP(F3975,'Set up'!$A$2:$C$70,3,FALSE)</f>
        <v>Cash</v>
      </c>
      <c r="J3975" s="5">
        <f>VLOOKUP(F3975,'Set up'!$A$2:$D$70,4,FALSE)</f>
        <v>0</v>
      </c>
      <c r="K3975" s="4">
        <f t="shared" si="995"/>
        <v>45793</v>
      </c>
      <c r="L3975" s="5">
        <f t="shared" si="996"/>
        <v>5</v>
      </c>
      <c r="M3975" s="5">
        <f t="shared" si="997"/>
        <v>2025</v>
      </c>
      <c r="N3975" s="135">
        <v>460</v>
      </c>
      <c r="P3975" s="12">
        <f t="shared" si="990"/>
        <v>460</v>
      </c>
      <c r="Q3975" s="7">
        <f t="shared" si="998"/>
        <v>6582278.450000003</v>
      </c>
      <c r="R3975" s="44" t="str">
        <f>VLOOKUP(F3975,'Set up'!$A$2:$E$70,5,FALSE)</f>
        <v>Trsf</v>
      </c>
    </row>
    <row r="3976" spans="1:19" ht="16.2" customHeight="1" x14ac:dyDescent="0.3">
      <c r="A3976" s="105" t="s">
        <v>3729</v>
      </c>
      <c r="B3976" s="5">
        <f t="shared" si="993"/>
        <v>5</v>
      </c>
      <c r="C3976" s="5">
        <f t="shared" si="994"/>
        <v>2025</v>
      </c>
      <c r="D3976" s="105" t="s">
        <v>3730</v>
      </c>
      <c r="E3976" s="5" t="str">
        <f>VLOOKUP(F3976,'Set up'!$A$2:$C$70,2,FALSE)</f>
        <v>C00000042</v>
      </c>
      <c r="F3976" s="99" t="s">
        <v>2012</v>
      </c>
      <c r="G3976" s="99" t="s">
        <v>2646</v>
      </c>
      <c r="H3976" s="105">
        <v>3</v>
      </c>
      <c r="I3976" s="5" t="str">
        <f>VLOOKUP(F3976,'Set up'!$A$2:$C$70,3,FALSE)</f>
        <v>Cash</v>
      </c>
      <c r="J3976" s="5">
        <f>VLOOKUP(F3976,'Set up'!$A$2:$D$70,4,FALSE)</f>
        <v>0</v>
      </c>
      <c r="K3976" s="4">
        <f t="shared" si="995"/>
        <v>45794</v>
      </c>
      <c r="L3976" s="5">
        <f t="shared" si="996"/>
        <v>5</v>
      </c>
      <c r="M3976" s="5">
        <f t="shared" si="997"/>
        <v>2025</v>
      </c>
      <c r="N3976" s="135">
        <v>187.5</v>
      </c>
      <c r="P3976" s="12">
        <f t="shared" si="990"/>
        <v>187.5</v>
      </c>
      <c r="Q3976" s="7">
        <f t="shared" si="998"/>
        <v>6582465.950000003</v>
      </c>
      <c r="R3976" s="44" t="str">
        <f>VLOOKUP(F3976,'Set up'!$A$2:$E$70,5,FALSE)</f>
        <v>Trsf</v>
      </c>
    </row>
    <row r="3977" spans="1:19" ht="16.2" customHeight="1" x14ac:dyDescent="0.3">
      <c r="A3977" s="105" t="s">
        <v>3729</v>
      </c>
      <c r="B3977" s="5">
        <f t="shared" si="993"/>
        <v>5</v>
      </c>
      <c r="C3977" s="5">
        <f t="shared" si="994"/>
        <v>2025</v>
      </c>
      <c r="D3977" s="105" t="s">
        <v>3731</v>
      </c>
      <c r="E3977" s="5" t="str">
        <f>VLOOKUP(F3977,'Set up'!$A$2:$C$70,2,FALSE)</f>
        <v>C00000042</v>
      </c>
      <c r="F3977" s="99" t="s">
        <v>2012</v>
      </c>
      <c r="G3977" s="99" t="s">
        <v>3217</v>
      </c>
      <c r="H3977" s="105">
        <v>6</v>
      </c>
      <c r="I3977" s="5" t="str">
        <f>VLOOKUP(F3977,'Set up'!$A$2:$C$70,3,FALSE)</f>
        <v>Cash</v>
      </c>
      <c r="J3977" s="5">
        <f>VLOOKUP(F3977,'Set up'!$A$2:$D$70,4,FALSE)</f>
        <v>0</v>
      </c>
      <c r="K3977" s="4">
        <f t="shared" si="995"/>
        <v>45794</v>
      </c>
      <c r="L3977" s="5">
        <f t="shared" si="996"/>
        <v>5</v>
      </c>
      <c r="M3977" s="5">
        <f t="shared" si="997"/>
        <v>2025</v>
      </c>
      <c r="N3977" s="135">
        <v>9720</v>
      </c>
      <c r="P3977" s="12">
        <f t="shared" si="990"/>
        <v>9720</v>
      </c>
      <c r="Q3977" s="7">
        <f t="shared" si="998"/>
        <v>6592185.950000003</v>
      </c>
      <c r="R3977" s="44" t="str">
        <f>VLOOKUP(F3977,'Set up'!$A$2:$E$70,5,FALSE)</f>
        <v>Trsf</v>
      </c>
    </row>
    <row r="3978" spans="1:19" ht="16.2" customHeight="1" x14ac:dyDescent="0.3">
      <c r="A3978" s="105" t="s">
        <v>3729</v>
      </c>
      <c r="B3978" s="5">
        <f t="shared" si="993"/>
        <v>5</v>
      </c>
      <c r="C3978" s="5">
        <f t="shared" si="994"/>
        <v>2025</v>
      </c>
      <c r="D3978" s="105" t="s">
        <v>3731</v>
      </c>
      <c r="E3978" s="5" t="str">
        <f>VLOOKUP(F3978,'Set up'!$A$2:$C$70,2,FALSE)</f>
        <v>C00000042</v>
      </c>
      <c r="F3978" s="99" t="s">
        <v>2012</v>
      </c>
      <c r="G3978" s="99" t="s">
        <v>1392</v>
      </c>
      <c r="H3978" s="105">
        <v>18</v>
      </c>
      <c r="I3978" s="5" t="str">
        <f>VLOOKUP(F3978,'Set up'!$A$2:$C$70,3,FALSE)</f>
        <v>Cash</v>
      </c>
      <c r="J3978" s="5">
        <f>VLOOKUP(F3978,'Set up'!$A$2:$D$70,4,FALSE)</f>
        <v>0</v>
      </c>
      <c r="K3978" s="4">
        <f t="shared" si="995"/>
        <v>45794</v>
      </c>
      <c r="L3978" s="5">
        <f t="shared" si="996"/>
        <v>5</v>
      </c>
      <c r="M3978" s="5">
        <f t="shared" si="997"/>
        <v>2025</v>
      </c>
      <c r="N3978" s="135">
        <v>3186</v>
      </c>
      <c r="P3978" s="12">
        <f t="shared" si="990"/>
        <v>3186</v>
      </c>
      <c r="Q3978" s="7">
        <f t="shared" si="998"/>
        <v>6595371.950000003</v>
      </c>
      <c r="R3978" s="44" t="str">
        <f>VLOOKUP(F3978,'Set up'!$A$2:$E$70,5,FALSE)</f>
        <v>Trsf</v>
      </c>
    </row>
    <row r="3979" spans="1:19" ht="16.2" customHeight="1" x14ac:dyDescent="0.3">
      <c r="A3979" s="105" t="s">
        <v>3729</v>
      </c>
      <c r="B3979" s="5">
        <f t="shared" si="993"/>
        <v>5</v>
      </c>
      <c r="C3979" s="5">
        <f t="shared" si="994"/>
        <v>2025</v>
      </c>
      <c r="D3979" s="105" t="s">
        <v>3731</v>
      </c>
      <c r="E3979" s="5" t="str">
        <f>VLOOKUP(F3979,'Set up'!$A$2:$C$70,2,FALSE)</f>
        <v>C00000042</v>
      </c>
      <c r="F3979" s="99" t="s">
        <v>2012</v>
      </c>
      <c r="G3979" s="99" t="s">
        <v>1922</v>
      </c>
      <c r="H3979" s="105">
        <v>9</v>
      </c>
      <c r="I3979" s="5" t="str">
        <f>VLOOKUP(F3979,'Set up'!$A$2:$C$70,3,FALSE)</f>
        <v>Cash</v>
      </c>
      <c r="J3979" s="5">
        <f>VLOOKUP(F3979,'Set up'!$A$2:$D$70,4,FALSE)</f>
        <v>0</v>
      </c>
      <c r="K3979" s="4">
        <f t="shared" si="995"/>
        <v>45794</v>
      </c>
      <c r="L3979" s="5">
        <f t="shared" si="996"/>
        <v>5</v>
      </c>
      <c r="M3979" s="5">
        <f t="shared" si="997"/>
        <v>2025</v>
      </c>
      <c r="N3979" s="135">
        <v>2227.5</v>
      </c>
      <c r="P3979" s="12">
        <f t="shared" si="990"/>
        <v>2227.5</v>
      </c>
      <c r="Q3979" s="7">
        <f t="shared" si="998"/>
        <v>6597599.450000003</v>
      </c>
      <c r="R3979" s="44" t="str">
        <f>VLOOKUP(F3979,'Set up'!$A$2:$E$70,5,FALSE)</f>
        <v>Trsf</v>
      </c>
    </row>
    <row r="3980" spans="1:19" ht="16.2" customHeight="1" x14ac:dyDescent="0.3">
      <c r="A3980" s="105" t="s">
        <v>3729</v>
      </c>
      <c r="B3980" s="5">
        <f t="shared" si="993"/>
        <v>5</v>
      </c>
      <c r="C3980" s="5">
        <f t="shared" si="994"/>
        <v>2025</v>
      </c>
      <c r="D3980" s="105" t="s">
        <v>3731</v>
      </c>
      <c r="E3980" s="5" t="str">
        <f>VLOOKUP(F3980,'Set up'!$A$2:$C$70,2,FALSE)</f>
        <v>C00000042</v>
      </c>
      <c r="F3980" s="99" t="s">
        <v>2012</v>
      </c>
      <c r="G3980" s="99" t="s">
        <v>1073</v>
      </c>
      <c r="H3980" s="105">
        <v>1</v>
      </c>
      <c r="I3980" s="5" t="str">
        <f>VLOOKUP(F3980,'Set up'!$A$2:$C$70,3,FALSE)</f>
        <v>Cash</v>
      </c>
      <c r="J3980" s="5">
        <f>VLOOKUP(F3980,'Set up'!$A$2:$D$70,4,FALSE)</f>
        <v>0</v>
      </c>
      <c r="K3980" s="4">
        <f t="shared" si="995"/>
        <v>45794</v>
      </c>
      <c r="L3980" s="5">
        <f t="shared" si="996"/>
        <v>5</v>
      </c>
      <c r="M3980" s="5">
        <f t="shared" si="997"/>
        <v>2025</v>
      </c>
      <c r="N3980" s="135">
        <v>1000</v>
      </c>
      <c r="P3980" s="12">
        <f t="shared" si="990"/>
        <v>1000</v>
      </c>
      <c r="Q3980" s="7">
        <f t="shared" si="998"/>
        <v>6598599.450000003</v>
      </c>
      <c r="R3980" s="44" t="str">
        <f>VLOOKUP(F3980,'Set up'!$A$2:$E$70,5,FALSE)</f>
        <v>Trsf</v>
      </c>
    </row>
    <row r="3981" spans="1:19" ht="16.2" customHeight="1" x14ac:dyDescent="0.3">
      <c r="A3981" s="105" t="s">
        <v>3732</v>
      </c>
      <c r="B3981" s="5">
        <f t="shared" si="993"/>
        <v>5</v>
      </c>
      <c r="C3981" s="5">
        <f t="shared" si="994"/>
        <v>2025</v>
      </c>
      <c r="D3981" s="105" t="s">
        <v>3733</v>
      </c>
      <c r="E3981" s="5" t="str">
        <f>VLOOKUP(F3981,'Set up'!$A$2:$C$70,2,FALSE)</f>
        <v>C00000042</v>
      </c>
      <c r="F3981" s="99" t="s">
        <v>2012</v>
      </c>
      <c r="G3981" s="99" t="s">
        <v>3217</v>
      </c>
      <c r="H3981" s="105">
        <v>2</v>
      </c>
      <c r="I3981" s="5" t="str">
        <f>VLOOKUP(F3981,'Set up'!$A$2:$C$70,3,FALSE)</f>
        <v>Cash</v>
      </c>
      <c r="J3981" s="5">
        <f>VLOOKUP(F3981,'Set up'!$A$2:$D$70,4,FALSE)</f>
        <v>0</v>
      </c>
      <c r="K3981" s="4">
        <f t="shared" si="995"/>
        <v>45797</v>
      </c>
      <c r="L3981" s="5">
        <f t="shared" si="996"/>
        <v>5</v>
      </c>
      <c r="M3981" s="5">
        <f t="shared" si="997"/>
        <v>2025</v>
      </c>
      <c r="N3981" s="135">
        <v>3240</v>
      </c>
      <c r="P3981" s="12">
        <f t="shared" si="990"/>
        <v>3240</v>
      </c>
      <c r="Q3981" s="7">
        <f t="shared" si="998"/>
        <v>6601839.450000003</v>
      </c>
      <c r="R3981" s="44" t="str">
        <f>VLOOKUP(F3981,'Set up'!$A$2:$E$70,5,FALSE)</f>
        <v>Trsf</v>
      </c>
    </row>
    <row r="3982" spans="1:19" ht="16.2" customHeight="1" x14ac:dyDescent="0.3">
      <c r="A3982" s="105" t="s">
        <v>3732</v>
      </c>
      <c r="B3982" s="5">
        <f t="shared" si="993"/>
        <v>5</v>
      </c>
      <c r="C3982" s="5">
        <f t="shared" si="994"/>
        <v>2025</v>
      </c>
      <c r="D3982" s="105" t="s">
        <v>3733</v>
      </c>
      <c r="E3982" s="5" t="str">
        <f>VLOOKUP(F3982,'Set up'!$A$2:$C$70,2,FALSE)</f>
        <v>C00000042</v>
      </c>
      <c r="F3982" s="99" t="s">
        <v>2012</v>
      </c>
      <c r="G3982" s="99" t="s">
        <v>1922</v>
      </c>
      <c r="H3982" s="105">
        <v>2</v>
      </c>
      <c r="I3982" s="5" t="str">
        <f>VLOOKUP(F3982,'Set up'!$A$2:$C$70,3,FALSE)</f>
        <v>Cash</v>
      </c>
      <c r="J3982" s="5">
        <f>VLOOKUP(F3982,'Set up'!$A$2:$D$70,4,FALSE)</f>
        <v>0</v>
      </c>
      <c r="K3982" s="4">
        <f t="shared" si="995"/>
        <v>45797</v>
      </c>
      <c r="L3982" s="5">
        <f t="shared" si="996"/>
        <v>5</v>
      </c>
      <c r="M3982" s="5">
        <f t="shared" si="997"/>
        <v>2025</v>
      </c>
      <c r="N3982" s="135">
        <v>495</v>
      </c>
      <c r="P3982" s="12">
        <f t="shared" si="990"/>
        <v>495</v>
      </c>
      <c r="Q3982" s="7">
        <f t="shared" si="998"/>
        <v>6602334.450000003</v>
      </c>
      <c r="R3982" s="44" t="str">
        <f>VLOOKUP(F3982,'Set up'!$A$2:$E$70,5,FALSE)</f>
        <v>Trsf</v>
      </c>
    </row>
    <row r="3983" spans="1:19" ht="16.2" customHeight="1" x14ac:dyDescent="0.3">
      <c r="A3983" s="105" t="s">
        <v>3732</v>
      </c>
      <c r="B3983" s="5">
        <f t="shared" si="993"/>
        <v>5</v>
      </c>
      <c r="C3983" s="5">
        <f t="shared" si="994"/>
        <v>2025</v>
      </c>
      <c r="D3983" s="105" t="s">
        <v>3733</v>
      </c>
      <c r="E3983" s="5" t="str">
        <f>VLOOKUP(F3983,'Set up'!$A$2:$C$70,2,FALSE)</f>
        <v>C00000042</v>
      </c>
      <c r="F3983" s="99" t="s">
        <v>2012</v>
      </c>
      <c r="G3983" s="99" t="s">
        <v>46</v>
      </c>
      <c r="H3983" s="105">
        <v>4</v>
      </c>
      <c r="I3983" s="5" t="str">
        <f>VLOOKUP(F3983,'Set up'!$A$2:$C$70,3,FALSE)</f>
        <v>Cash</v>
      </c>
      <c r="J3983" s="5">
        <f>VLOOKUP(F3983,'Set up'!$A$2:$D$70,4,FALSE)</f>
        <v>0</v>
      </c>
      <c r="K3983" s="4">
        <f t="shared" si="995"/>
        <v>45797</v>
      </c>
      <c r="L3983" s="5">
        <f t="shared" si="996"/>
        <v>5</v>
      </c>
      <c r="M3983" s="5">
        <f t="shared" si="997"/>
        <v>2025</v>
      </c>
      <c r="N3983" s="135">
        <v>460</v>
      </c>
      <c r="P3983" s="12">
        <f t="shared" si="990"/>
        <v>460</v>
      </c>
      <c r="Q3983" s="7">
        <f t="shared" si="998"/>
        <v>6602794.450000003</v>
      </c>
      <c r="R3983" s="44" t="str">
        <f>VLOOKUP(F3983,'Set up'!$A$2:$E$70,5,FALSE)</f>
        <v>Trsf</v>
      </c>
    </row>
    <row r="3984" spans="1:19" ht="16.2" customHeight="1" x14ac:dyDescent="0.3">
      <c r="A3984" s="105" t="s">
        <v>3734</v>
      </c>
      <c r="B3984" s="5">
        <f t="shared" si="993"/>
        <v>5</v>
      </c>
      <c r="C3984" s="5">
        <f t="shared" si="994"/>
        <v>2025</v>
      </c>
      <c r="D3984" s="105" t="s">
        <v>3735</v>
      </c>
      <c r="E3984" s="5" t="str">
        <f>VLOOKUP(F3984,'Set up'!$A$2:$C$70,2,FALSE)</f>
        <v>C00000042</v>
      </c>
      <c r="F3984" s="99" t="s">
        <v>2012</v>
      </c>
      <c r="G3984" s="99" t="s">
        <v>3217</v>
      </c>
      <c r="H3984" s="105">
        <v>3</v>
      </c>
      <c r="I3984" s="5" t="str">
        <f>VLOOKUP(F3984,'Set up'!$A$2:$C$70,3,FALSE)</f>
        <v>Cash</v>
      </c>
      <c r="J3984" s="5">
        <f>VLOOKUP(F3984,'Set up'!$A$2:$D$70,4,FALSE)</f>
        <v>0</v>
      </c>
      <c r="K3984" s="4">
        <f t="shared" si="995"/>
        <v>45799</v>
      </c>
      <c r="L3984" s="5">
        <f t="shared" si="996"/>
        <v>5</v>
      </c>
      <c r="M3984" s="5">
        <f t="shared" si="997"/>
        <v>2025</v>
      </c>
      <c r="N3984" s="135">
        <v>4860</v>
      </c>
      <c r="P3984" s="12">
        <f t="shared" si="990"/>
        <v>4860</v>
      </c>
      <c r="Q3984" s="7">
        <f t="shared" si="998"/>
        <v>6607654.450000003</v>
      </c>
      <c r="R3984" s="44" t="str">
        <f>VLOOKUP(F3984,'Set up'!$A$2:$E$70,5,FALSE)</f>
        <v>Trsf</v>
      </c>
    </row>
    <row r="3985" spans="1:19" ht="16.2" customHeight="1" x14ac:dyDescent="0.3">
      <c r="A3985" s="105" t="s">
        <v>3734</v>
      </c>
      <c r="B3985" s="5">
        <f t="shared" si="993"/>
        <v>5</v>
      </c>
      <c r="C3985" s="5">
        <f t="shared" si="994"/>
        <v>2025</v>
      </c>
      <c r="D3985" s="105" t="s">
        <v>3735</v>
      </c>
      <c r="E3985" s="5" t="str">
        <f>VLOOKUP(F3985,'Set up'!$A$2:$C$70,2,FALSE)</f>
        <v>C00000042</v>
      </c>
      <c r="F3985" s="99" t="s">
        <v>2012</v>
      </c>
      <c r="G3985" s="99" t="s">
        <v>2129</v>
      </c>
      <c r="H3985" s="105">
        <v>6</v>
      </c>
      <c r="I3985" s="5" t="str">
        <f>VLOOKUP(F3985,'Set up'!$A$2:$C$70,3,FALSE)</f>
        <v>Cash</v>
      </c>
      <c r="J3985" s="5">
        <f>VLOOKUP(F3985,'Set up'!$A$2:$D$70,4,FALSE)</f>
        <v>0</v>
      </c>
      <c r="K3985" s="4">
        <f t="shared" si="995"/>
        <v>45799</v>
      </c>
      <c r="L3985" s="5">
        <f t="shared" si="996"/>
        <v>5</v>
      </c>
      <c r="M3985" s="5">
        <f t="shared" si="997"/>
        <v>2025</v>
      </c>
      <c r="N3985" s="135">
        <v>1309.8</v>
      </c>
      <c r="P3985" s="12">
        <f t="shared" si="990"/>
        <v>1309.8</v>
      </c>
      <c r="Q3985" s="7">
        <f t="shared" si="998"/>
        <v>6608964.2500000028</v>
      </c>
      <c r="R3985" s="44" t="str">
        <f>VLOOKUP(F3985,'Set up'!$A$2:$E$70,5,FALSE)</f>
        <v>Trsf</v>
      </c>
    </row>
    <row r="3986" spans="1:19" ht="16.2" customHeight="1" x14ac:dyDescent="0.3">
      <c r="A3986" s="105" t="s">
        <v>3734</v>
      </c>
      <c r="B3986" s="5">
        <f t="shared" si="993"/>
        <v>5</v>
      </c>
      <c r="C3986" s="5">
        <f t="shared" si="994"/>
        <v>2025</v>
      </c>
      <c r="D3986" s="105" t="s">
        <v>3735</v>
      </c>
      <c r="E3986" s="5" t="str">
        <f>VLOOKUP(F3986,'Set up'!$A$2:$C$70,2,FALSE)</f>
        <v>C00000042</v>
      </c>
      <c r="F3986" s="99" t="s">
        <v>2012</v>
      </c>
      <c r="G3986" s="99" t="s">
        <v>1922</v>
      </c>
      <c r="H3986" s="105">
        <v>4</v>
      </c>
      <c r="I3986" s="5" t="str">
        <f>VLOOKUP(F3986,'Set up'!$A$2:$C$70,3,FALSE)</f>
        <v>Cash</v>
      </c>
      <c r="J3986" s="5">
        <f>VLOOKUP(F3986,'Set up'!$A$2:$D$70,4,FALSE)</f>
        <v>0</v>
      </c>
      <c r="K3986" s="4">
        <f t="shared" si="995"/>
        <v>45799</v>
      </c>
      <c r="L3986" s="5">
        <f t="shared" si="996"/>
        <v>5</v>
      </c>
      <c r="M3986" s="5">
        <f t="shared" si="997"/>
        <v>2025</v>
      </c>
      <c r="N3986" s="135">
        <v>990</v>
      </c>
      <c r="P3986" s="12">
        <f t="shared" si="990"/>
        <v>990</v>
      </c>
      <c r="Q3986" s="7">
        <f t="shared" si="998"/>
        <v>6609954.2500000028</v>
      </c>
      <c r="R3986" s="44" t="str">
        <f>VLOOKUP(F3986,'Set up'!$A$2:$E$70,5,FALSE)</f>
        <v>Trsf</v>
      </c>
    </row>
    <row r="3987" spans="1:19" ht="16.2" customHeight="1" x14ac:dyDescent="0.3">
      <c r="A3987" s="105" t="s">
        <v>3736</v>
      </c>
      <c r="B3987" s="5">
        <f t="shared" si="993"/>
        <v>5</v>
      </c>
      <c r="C3987" s="5">
        <f t="shared" si="994"/>
        <v>2025</v>
      </c>
      <c r="D3987" s="105" t="s">
        <v>3737</v>
      </c>
      <c r="E3987" s="5" t="str">
        <f>VLOOKUP(F3987,'Set up'!$A$2:$C$70,2,FALSE)</f>
        <v>C00000042</v>
      </c>
      <c r="F3987" s="99" t="s">
        <v>2012</v>
      </c>
      <c r="G3987" s="99" t="s">
        <v>2646</v>
      </c>
      <c r="H3987" s="105">
        <v>2</v>
      </c>
      <c r="I3987" s="5" t="str">
        <f>VLOOKUP(F3987,'Set up'!$A$2:$C$70,3,FALSE)</f>
        <v>Cash</v>
      </c>
      <c r="J3987" s="5">
        <f>VLOOKUP(F3987,'Set up'!$A$2:$D$70,4,FALSE)</f>
        <v>0</v>
      </c>
      <c r="K3987" s="4">
        <f t="shared" si="995"/>
        <v>45800</v>
      </c>
      <c r="L3987" s="5">
        <f t="shared" si="996"/>
        <v>5</v>
      </c>
      <c r="M3987" s="5">
        <f t="shared" si="997"/>
        <v>2025</v>
      </c>
      <c r="N3987" s="135">
        <v>125</v>
      </c>
      <c r="P3987" s="12">
        <f t="shared" si="990"/>
        <v>125</v>
      </c>
      <c r="Q3987" s="7">
        <f t="shared" si="998"/>
        <v>6610079.2500000028</v>
      </c>
      <c r="R3987" s="44" t="str">
        <f>VLOOKUP(F3987,'Set up'!$A$2:$E$70,5,FALSE)</f>
        <v>Trsf</v>
      </c>
    </row>
    <row r="3988" spans="1:19" ht="16.2" customHeight="1" x14ac:dyDescent="0.3">
      <c r="A3988" s="105" t="s">
        <v>3736</v>
      </c>
      <c r="B3988" s="5">
        <f t="shared" si="993"/>
        <v>5</v>
      </c>
      <c r="C3988" s="5">
        <f t="shared" si="994"/>
        <v>2025</v>
      </c>
      <c r="D3988" s="105" t="s">
        <v>3738</v>
      </c>
      <c r="E3988" s="5" t="str">
        <f>VLOOKUP(F3988,'Set up'!$A$2:$C$70,2,FALSE)</f>
        <v>C00000042</v>
      </c>
      <c r="F3988" s="99" t="s">
        <v>2012</v>
      </c>
      <c r="G3988" s="99" t="s">
        <v>3217</v>
      </c>
      <c r="H3988" s="105">
        <v>3</v>
      </c>
      <c r="I3988" s="5" t="str">
        <f>VLOOKUP(F3988,'Set up'!$A$2:$C$70,3,FALSE)</f>
        <v>Cash</v>
      </c>
      <c r="J3988" s="5">
        <f>VLOOKUP(F3988,'Set up'!$A$2:$D$70,4,FALSE)</f>
        <v>0</v>
      </c>
      <c r="K3988" s="4">
        <f t="shared" si="995"/>
        <v>45800</v>
      </c>
      <c r="L3988" s="5">
        <f t="shared" si="996"/>
        <v>5</v>
      </c>
      <c r="M3988" s="5">
        <f t="shared" si="997"/>
        <v>2025</v>
      </c>
      <c r="N3988" s="135">
        <v>4860</v>
      </c>
      <c r="P3988" s="12">
        <f t="shared" si="990"/>
        <v>4860</v>
      </c>
      <c r="Q3988" s="7">
        <f t="shared" si="998"/>
        <v>6614939.2500000028</v>
      </c>
      <c r="R3988" s="44" t="str">
        <f>VLOOKUP(F3988,'Set up'!$A$2:$E$70,5,FALSE)</f>
        <v>Trsf</v>
      </c>
    </row>
    <row r="3989" spans="1:19" ht="16.2" customHeight="1" x14ac:dyDescent="0.3">
      <c r="A3989" s="105" t="s">
        <v>3736</v>
      </c>
      <c r="B3989" s="5">
        <f t="shared" si="993"/>
        <v>5</v>
      </c>
      <c r="C3989" s="5">
        <f t="shared" si="994"/>
        <v>2025</v>
      </c>
      <c r="D3989" s="105" t="s">
        <v>3738</v>
      </c>
      <c r="E3989" s="5" t="str">
        <f>VLOOKUP(F3989,'Set up'!$A$2:$C$70,2,FALSE)</f>
        <v>C00000042</v>
      </c>
      <c r="F3989" s="99" t="s">
        <v>2012</v>
      </c>
      <c r="G3989" s="99" t="s">
        <v>2129</v>
      </c>
      <c r="H3989" s="105">
        <v>9</v>
      </c>
      <c r="I3989" s="5" t="str">
        <f>VLOOKUP(F3989,'Set up'!$A$2:$C$70,3,FALSE)</f>
        <v>Cash</v>
      </c>
      <c r="J3989" s="5">
        <f>VLOOKUP(F3989,'Set up'!$A$2:$D$70,4,FALSE)</f>
        <v>0</v>
      </c>
      <c r="K3989" s="4">
        <f t="shared" si="995"/>
        <v>45800</v>
      </c>
      <c r="L3989" s="5">
        <f t="shared" si="996"/>
        <v>5</v>
      </c>
      <c r="M3989" s="5">
        <f t="shared" si="997"/>
        <v>2025</v>
      </c>
      <c r="N3989" s="135">
        <v>1964.7</v>
      </c>
      <c r="P3989" s="12">
        <f t="shared" si="990"/>
        <v>1964.7</v>
      </c>
      <c r="Q3989" s="7">
        <f t="shared" si="998"/>
        <v>6616903.950000003</v>
      </c>
      <c r="R3989" s="44" t="str">
        <f>VLOOKUP(F3989,'Set up'!$A$2:$E$70,5,FALSE)</f>
        <v>Trsf</v>
      </c>
    </row>
    <row r="3990" spans="1:19" ht="16.2" customHeight="1" x14ac:dyDescent="0.3">
      <c r="A3990" s="105" t="s">
        <v>3736</v>
      </c>
      <c r="B3990" s="5">
        <f t="shared" si="993"/>
        <v>5</v>
      </c>
      <c r="C3990" s="5">
        <f t="shared" si="994"/>
        <v>2025</v>
      </c>
      <c r="D3990" s="105" t="s">
        <v>3738</v>
      </c>
      <c r="E3990" s="5" t="str">
        <f>VLOOKUP(F3990,'Set up'!$A$2:$C$70,2,FALSE)</f>
        <v>C00000042</v>
      </c>
      <c r="F3990" s="99" t="s">
        <v>2012</v>
      </c>
      <c r="G3990" s="99" t="s">
        <v>1922</v>
      </c>
      <c r="H3990" s="105">
        <v>5</v>
      </c>
      <c r="I3990" s="5" t="str">
        <f>VLOOKUP(F3990,'Set up'!$A$2:$C$70,3,FALSE)</f>
        <v>Cash</v>
      </c>
      <c r="J3990" s="5">
        <f>VLOOKUP(F3990,'Set up'!$A$2:$D$70,4,FALSE)</f>
        <v>0</v>
      </c>
      <c r="K3990" s="4">
        <f t="shared" si="995"/>
        <v>45800</v>
      </c>
      <c r="L3990" s="5">
        <f t="shared" si="996"/>
        <v>5</v>
      </c>
      <c r="M3990" s="5">
        <f t="shared" si="997"/>
        <v>2025</v>
      </c>
      <c r="N3990" s="135">
        <v>1237.5</v>
      </c>
      <c r="P3990" s="12">
        <f t="shared" si="990"/>
        <v>1237.5</v>
      </c>
      <c r="Q3990" s="7">
        <f t="shared" si="998"/>
        <v>6618141.450000003</v>
      </c>
      <c r="R3990" s="44" t="str">
        <f>VLOOKUP(F3990,'Set up'!$A$2:$E$70,5,FALSE)</f>
        <v>Trsf</v>
      </c>
    </row>
    <row r="3991" spans="1:19" ht="16.2" customHeight="1" x14ac:dyDescent="0.3">
      <c r="A3991" s="105" t="s">
        <v>3736</v>
      </c>
      <c r="B3991" s="5">
        <f t="shared" si="993"/>
        <v>5</v>
      </c>
      <c r="C3991" s="5">
        <f t="shared" si="994"/>
        <v>2025</v>
      </c>
      <c r="D3991" s="105" t="s">
        <v>3738</v>
      </c>
      <c r="E3991" s="5" t="str">
        <f>VLOOKUP(F3991,'Set up'!$A$2:$C$70,2,FALSE)</f>
        <v>C00000042</v>
      </c>
      <c r="F3991" s="99" t="s">
        <v>2012</v>
      </c>
      <c r="G3991" s="99" t="s">
        <v>46</v>
      </c>
      <c r="H3991" s="105">
        <v>4</v>
      </c>
      <c r="I3991" s="5" t="str">
        <f>VLOOKUP(F3991,'Set up'!$A$2:$C$70,3,FALSE)</f>
        <v>Cash</v>
      </c>
      <c r="J3991" s="5">
        <f>VLOOKUP(F3991,'Set up'!$A$2:$D$70,4,FALSE)</f>
        <v>0</v>
      </c>
      <c r="K3991" s="4">
        <f t="shared" si="995"/>
        <v>45800</v>
      </c>
      <c r="L3991" s="5">
        <f t="shared" si="996"/>
        <v>5</v>
      </c>
      <c r="M3991" s="5">
        <f t="shared" si="997"/>
        <v>2025</v>
      </c>
      <c r="N3991" s="135">
        <v>460</v>
      </c>
      <c r="P3991" s="12">
        <f t="shared" si="990"/>
        <v>460</v>
      </c>
      <c r="Q3991" s="7">
        <f t="shared" si="998"/>
        <v>6618601.450000003</v>
      </c>
      <c r="R3991" s="44" t="str">
        <f>VLOOKUP(F3991,'Set up'!$A$2:$E$70,5,FALSE)</f>
        <v>Trsf</v>
      </c>
    </row>
    <row r="3992" spans="1:19" ht="16.2" customHeight="1" x14ac:dyDescent="0.3">
      <c r="A3992" s="105" t="s">
        <v>3736</v>
      </c>
      <c r="B3992" s="5">
        <f t="shared" si="993"/>
        <v>5</v>
      </c>
      <c r="C3992" s="5">
        <f t="shared" si="994"/>
        <v>2025</v>
      </c>
      <c r="D3992" s="105" t="s">
        <v>3738</v>
      </c>
      <c r="E3992" s="5" t="str">
        <f>VLOOKUP(F3992,'Set up'!$A$2:$C$70,2,FALSE)</f>
        <v>C00000042</v>
      </c>
      <c r="F3992" s="99" t="s">
        <v>2012</v>
      </c>
      <c r="G3992" s="99" t="s">
        <v>1073</v>
      </c>
      <c r="H3992" s="105">
        <v>1</v>
      </c>
      <c r="I3992" s="5" t="str">
        <f>VLOOKUP(F3992,'Set up'!$A$2:$C$70,3,FALSE)</f>
        <v>Cash</v>
      </c>
      <c r="J3992" s="5">
        <f>VLOOKUP(F3992,'Set up'!$A$2:$D$70,4,FALSE)</f>
        <v>0</v>
      </c>
      <c r="K3992" s="4">
        <f t="shared" si="995"/>
        <v>45800</v>
      </c>
      <c r="L3992" s="5">
        <f t="shared" si="996"/>
        <v>5</v>
      </c>
      <c r="M3992" s="5">
        <f t="shared" si="997"/>
        <v>2025</v>
      </c>
      <c r="N3992" s="135">
        <v>1000</v>
      </c>
      <c r="P3992" s="12">
        <f t="shared" si="990"/>
        <v>1000</v>
      </c>
      <c r="Q3992" s="7">
        <f t="shared" si="998"/>
        <v>6619601.450000003</v>
      </c>
      <c r="R3992" s="44" t="str">
        <f>VLOOKUP(F3992,'Set up'!$A$2:$E$70,5,FALSE)</f>
        <v>Trsf</v>
      </c>
    </row>
    <row r="3993" spans="1:19" ht="16.2" customHeight="1" x14ac:dyDescent="0.3">
      <c r="A3993" s="105" t="s">
        <v>3739</v>
      </c>
      <c r="B3993" s="5">
        <f t="shared" si="993"/>
        <v>5</v>
      </c>
      <c r="C3993" s="5">
        <f t="shared" si="994"/>
        <v>2025</v>
      </c>
      <c r="D3993" s="105" t="s">
        <v>3740</v>
      </c>
      <c r="E3993" s="5" t="str">
        <f>VLOOKUP(F3993,'Set up'!$A$2:$C$70,2,FALSE)</f>
        <v>C00000044</v>
      </c>
      <c r="F3993" s="99" t="s">
        <v>2929</v>
      </c>
      <c r="G3993" s="99" t="s">
        <v>3615</v>
      </c>
      <c r="H3993" s="105">
        <v>1</v>
      </c>
      <c r="I3993" s="5" t="str">
        <f>VLOOKUP(F3993,'Set up'!$A$2:$C$70,3,FALSE)</f>
        <v>Cash</v>
      </c>
      <c r="J3993" s="5">
        <f>VLOOKUP(F3993,'Set up'!$A$2:$D$70,4,FALSE)</f>
        <v>0</v>
      </c>
      <c r="K3993" s="4">
        <f t="shared" si="995"/>
        <v>45803</v>
      </c>
      <c r="L3993" s="5">
        <f t="shared" si="996"/>
        <v>5</v>
      </c>
      <c r="M3993" s="5">
        <f t="shared" si="997"/>
        <v>2025</v>
      </c>
      <c r="N3993" s="135">
        <v>1687.5</v>
      </c>
      <c r="O3993" s="6">
        <f>-N3993</f>
        <v>-1687.5</v>
      </c>
      <c r="P3993" s="12">
        <f t="shared" si="990"/>
        <v>0</v>
      </c>
      <c r="Q3993" s="7">
        <f t="shared" si="998"/>
        <v>6621288.950000003</v>
      </c>
      <c r="R3993" s="44" t="str">
        <f>VLOOKUP(F3993,'Set up'!$A$2:$E$70,5,FALSE)</f>
        <v>Cash</v>
      </c>
      <c r="S3993" s="1" t="s">
        <v>3821</v>
      </c>
    </row>
    <row r="3994" spans="1:19" ht="16.2" customHeight="1" x14ac:dyDescent="0.3">
      <c r="A3994" s="105" t="s">
        <v>3739</v>
      </c>
      <c r="B3994" s="5">
        <f t="shared" si="993"/>
        <v>5</v>
      </c>
      <c r="C3994" s="5">
        <f t="shared" si="994"/>
        <v>2025</v>
      </c>
      <c r="D3994" s="105" t="s">
        <v>3740</v>
      </c>
      <c r="E3994" s="5" t="str">
        <f>VLOOKUP(F3994,'Set up'!$A$2:$C$70,2,FALSE)</f>
        <v>C00000044</v>
      </c>
      <c r="F3994" s="99" t="s">
        <v>2929</v>
      </c>
      <c r="G3994" s="99" t="s">
        <v>2570</v>
      </c>
      <c r="H3994" s="105">
        <v>2</v>
      </c>
      <c r="I3994" s="5" t="str">
        <f>VLOOKUP(F3994,'Set up'!$A$2:$C$70,3,FALSE)</f>
        <v>Cash</v>
      </c>
      <c r="J3994" s="5">
        <f>VLOOKUP(F3994,'Set up'!$A$2:$D$70,4,FALSE)</f>
        <v>0</v>
      </c>
      <c r="K3994" s="4">
        <f t="shared" si="995"/>
        <v>45803</v>
      </c>
      <c r="L3994" s="5">
        <f t="shared" si="996"/>
        <v>5</v>
      </c>
      <c r="M3994" s="5">
        <f t="shared" si="997"/>
        <v>2025</v>
      </c>
      <c r="N3994" s="135">
        <v>432</v>
      </c>
      <c r="O3994" s="6">
        <f>-N3994</f>
        <v>-432</v>
      </c>
      <c r="P3994" s="12">
        <f t="shared" si="990"/>
        <v>0</v>
      </c>
      <c r="Q3994" s="7">
        <f t="shared" si="998"/>
        <v>6621720.950000003</v>
      </c>
      <c r="R3994" s="44" t="str">
        <f>VLOOKUP(F3994,'Set up'!$A$2:$E$70,5,FALSE)</f>
        <v>Cash</v>
      </c>
      <c r="S3994" s="1" t="s">
        <v>3821</v>
      </c>
    </row>
    <row r="3995" spans="1:19" ht="16.2" customHeight="1" x14ac:dyDescent="0.3">
      <c r="A3995" s="105" t="s">
        <v>3739</v>
      </c>
      <c r="B3995" s="5">
        <f t="shared" si="993"/>
        <v>5</v>
      </c>
      <c r="C3995" s="5">
        <f t="shared" si="994"/>
        <v>2025</v>
      </c>
      <c r="D3995" s="105" t="s">
        <v>3740</v>
      </c>
      <c r="E3995" s="5" t="str">
        <f>VLOOKUP(F3995,'Set up'!$A$2:$C$70,2,FALSE)</f>
        <v>C00000044</v>
      </c>
      <c r="F3995" s="99" t="s">
        <v>2929</v>
      </c>
      <c r="G3995" s="99" t="s">
        <v>46</v>
      </c>
      <c r="H3995" s="105">
        <v>1</v>
      </c>
      <c r="I3995" s="5" t="str">
        <f>VLOOKUP(F3995,'Set up'!$A$2:$C$70,3,FALSE)</f>
        <v>Cash</v>
      </c>
      <c r="J3995" s="5">
        <f>VLOOKUP(F3995,'Set up'!$A$2:$D$70,4,FALSE)</f>
        <v>0</v>
      </c>
      <c r="K3995" s="4">
        <f t="shared" si="995"/>
        <v>45803</v>
      </c>
      <c r="L3995" s="5">
        <f t="shared" si="996"/>
        <v>5</v>
      </c>
      <c r="M3995" s="5">
        <f t="shared" si="997"/>
        <v>2025</v>
      </c>
      <c r="N3995" s="135">
        <v>115</v>
      </c>
      <c r="O3995" s="6">
        <f>-N3995</f>
        <v>-115</v>
      </c>
      <c r="P3995" s="12">
        <f t="shared" si="990"/>
        <v>0</v>
      </c>
      <c r="Q3995" s="7">
        <f t="shared" si="998"/>
        <v>6621835.950000003</v>
      </c>
      <c r="R3995" s="44" t="str">
        <f>VLOOKUP(F3995,'Set up'!$A$2:$E$70,5,FALSE)</f>
        <v>Cash</v>
      </c>
      <c r="S3995" s="1" t="s">
        <v>3821</v>
      </c>
    </row>
    <row r="3996" spans="1:19" ht="16.2" customHeight="1" x14ac:dyDescent="0.3">
      <c r="A3996" s="105" t="s">
        <v>3739</v>
      </c>
      <c r="B3996" s="5">
        <f t="shared" si="993"/>
        <v>5</v>
      </c>
      <c r="C3996" s="5">
        <f t="shared" si="994"/>
        <v>2025</v>
      </c>
      <c r="D3996" s="105" t="s">
        <v>3741</v>
      </c>
      <c r="E3996" s="5" t="str">
        <f>VLOOKUP(F3996,'Set up'!$A$2:$C$70,2,FALSE)</f>
        <v>C00000061</v>
      </c>
      <c r="F3996" s="99" t="s">
        <v>3532</v>
      </c>
      <c r="G3996" s="99" t="s">
        <v>3122</v>
      </c>
      <c r="H3996" s="105">
        <v>1</v>
      </c>
      <c r="I3996" s="5" t="str">
        <f>VLOOKUP(F3996,'Set up'!$A$2:$C$70,3,FALSE)</f>
        <v>Cash</v>
      </c>
      <c r="J3996" s="5">
        <f>VLOOKUP(F3996,'Set up'!$A$2:$D$70,4,FALSE)</f>
        <v>0</v>
      </c>
      <c r="K3996" s="4">
        <f t="shared" si="995"/>
        <v>45803</v>
      </c>
      <c r="L3996" s="5">
        <f t="shared" si="996"/>
        <v>5</v>
      </c>
      <c r="M3996" s="5">
        <f t="shared" si="997"/>
        <v>2025</v>
      </c>
      <c r="N3996" s="135">
        <v>1642.5</v>
      </c>
      <c r="O3996" s="6">
        <f t="shared" ref="O3996:O4000" si="999">-N3996</f>
        <v>-1642.5</v>
      </c>
      <c r="P3996" s="12">
        <f t="shared" si="990"/>
        <v>0</v>
      </c>
      <c r="Q3996" s="7">
        <f t="shared" si="998"/>
        <v>6623478.450000003</v>
      </c>
      <c r="R3996" s="44" t="str">
        <f>VLOOKUP(F3996,'Set up'!$A$2:$E$70,5,FALSE)</f>
        <v>Cash</v>
      </c>
      <c r="S3996" s="1" t="s">
        <v>3948</v>
      </c>
    </row>
    <row r="3997" spans="1:19" ht="16.2" customHeight="1" x14ac:dyDescent="0.3">
      <c r="A3997" s="105" t="s">
        <v>3739</v>
      </c>
      <c r="B3997" s="5">
        <f t="shared" si="993"/>
        <v>5</v>
      </c>
      <c r="C3997" s="5">
        <f t="shared" si="994"/>
        <v>2025</v>
      </c>
      <c r="D3997" s="105" t="s">
        <v>3741</v>
      </c>
      <c r="E3997" s="5" t="str">
        <f>VLOOKUP(F3997,'Set up'!$A$2:$C$70,2,FALSE)</f>
        <v>C00000061</v>
      </c>
      <c r="F3997" s="99" t="s">
        <v>3532</v>
      </c>
      <c r="G3997" s="99" t="s">
        <v>3639</v>
      </c>
      <c r="H3997" s="105">
        <v>1</v>
      </c>
      <c r="I3997" s="5" t="str">
        <f>VLOOKUP(F3997,'Set up'!$A$2:$C$70,3,FALSE)</f>
        <v>Cash</v>
      </c>
      <c r="J3997" s="5">
        <f>VLOOKUP(F3997,'Set up'!$A$2:$D$70,4,FALSE)</f>
        <v>0</v>
      </c>
      <c r="K3997" s="4">
        <f t="shared" si="995"/>
        <v>45803</v>
      </c>
      <c r="L3997" s="5">
        <f t="shared" si="996"/>
        <v>5</v>
      </c>
      <c r="M3997" s="5">
        <f t="shared" si="997"/>
        <v>2025</v>
      </c>
      <c r="N3997" s="135">
        <v>408.7</v>
      </c>
      <c r="O3997" s="6">
        <f t="shared" si="999"/>
        <v>-408.7</v>
      </c>
      <c r="P3997" s="12">
        <f t="shared" si="990"/>
        <v>0</v>
      </c>
      <c r="Q3997" s="7">
        <f t="shared" si="998"/>
        <v>6623887.1500000032</v>
      </c>
      <c r="R3997" s="44" t="str">
        <f>VLOOKUP(F3997,'Set up'!$A$2:$E$70,5,FALSE)</f>
        <v>Cash</v>
      </c>
      <c r="S3997" s="1" t="s">
        <v>3948</v>
      </c>
    </row>
    <row r="3998" spans="1:19" ht="16.2" customHeight="1" x14ac:dyDescent="0.3">
      <c r="A3998" s="105" t="s">
        <v>3739</v>
      </c>
      <c r="B3998" s="5">
        <f t="shared" si="993"/>
        <v>5</v>
      </c>
      <c r="C3998" s="5">
        <f t="shared" si="994"/>
        <v>2025</v>
      </c>
      <c r="D3998" s="105" t="s">
        <v>3741</v>
      </c>
      <c r="E3998" s="5" t="str">
        <f>VLOOKUP(F3998,'Set up'!$A$2:$C$70,2,FALSE)</f>
        <v>C00000061</v>
      </c>
      <c r="F3998" s="99" t="s">
        <v>3532</v>
      </c>
      <c r="G3998" s="99" t="s">
        <v>46</v>
      </c>
      <c r="H3998" s="105">
        <v>1</v>
      </c>
      <c r="I3998" s="5" t="str">
        <f>VLOOKUP(F3998,'Set up'!$A$2:$C$70,3,FALSE)</f>
        <v>Cash</v>
      </c>
      <c r="J3998" s="5">
        <f>VLOOKUP(F3998,'Set up'!$A$2:$D$70,4,FALSE)</f>
        <v>0</v>
      </c>
      <c r="K3998" s="4">
        <f t="shared" si="995"/>
        <v>45803</v>
      </c>
      <c r="L3998" s="5">
        <f t="shared" si="996"/>
        <v>5</v>
      </c>
      <c r="M3998" s="5">
        <f t="shared" si="997"/>
        <v>2025</v>
      </c>
      <c r="N3998" s="135">
        <v>115</v>
      </c>
      <c r="O3998" s="6">
        <f t="shared" si="999"/>
        <v>-115</v>
      </c>
      <c r="P3998" s="12">
        <f t="shared" si="990"/>
        <v>0</v>
      </c>
      <c r="Q3998" s="7">
        <f t="shared" si="998"/>
        <v>6624002.1500000032</v>
      </c>
      <c r="R3998" s="44" t="str">
        <f>VLOOKUP(F3998,'Set up'!$A$2:$E$70,5,FALSE)</f>
        <v>Cash</v>
      </c>
      <c r="S3998" s="1" t="s">
        <v>3948</v>
      </c>
    </row>
    <row r="3999" spans="1:19" ht="16.2" customHeight="1" x14ac:dyDescent="0.3">
      <c r="A3999" s="105" t="s">
        <v>3739</v>
      </c>
      <c r="B3999" s="5">
        <f t="shared" si="993"/>
        <v>5</v>
      </c>
      <c r="C3999" s="5">
        <f t="shared" si="994"/>
        <v>2025</v>
      </c>
      <c r="D3999" s="105" t="s">
        <v>3741</v>
      </c>
      <c r="E3999" s="5" t="str">
        <f>VLOOKUP(F3999,'Set up'!$A$2:$C$70,2,FALSE)</f>
        <v>C00000061</v>
      </c>
      <c r="F3999" s="99" t="s">
        <v>3532</v>
      </c>
      <c r="G3999" s="99" t="s">
        <v>2635</v>
      </c>
      <c r="H3999" s="105">
        <v>3</v>
      </c>
      <c r="I3999" s="5" t="str">
        <f>VLOOKUP(F3999,'Set up'!$A$2:$C$70,3,FALSE)</f>
        <v>Cash</v>
      </c>
      <c r="J3999" s="5">
        <f>VLOOKUP(F3999,'Set up'!$A$2:$D$70,4,FALSE)</f>
        <v>0</v>
      </c>
      <c r="K3999" s="4">
        <f t="shared" si="995"/>
        <v>45803</v>
      </c>
      <c r="L3999" s="5">
        <f t="shared" si="996"/>
        <v>5</v>
      </c>
      <c r="M3999" s="5">
        <f t="shared" si="997"/>
        <v>2025</v>
      </c>
      <c r="N3999" s="135">
        <v>172.5</v>
      </c>
      <c r="O3999" s="6">
        <f t="shared" si="999"/>
        <v>-172.5</v>
      </c>
      <c r="P3999" s="12">
        <f t="shared" si="990"/>
        <v>0</v>
      </c>
      <c r="Q3999" s="7">
        <f t="shared" si="998"/>
        <v>6624174.6500000032</v>
      </c>
      <c r="R3999" s="44" t="str">
        <f>VLOOKUP(F3999,'Set up'!$A$2:$E$70,5,FALSE)</f>
        <v>Cash</v>
      </c>
      <c r="S3999" s="1" t="s">
        <v>3948</v>
      </c>
    </row>
    <row r="4000" spans="1:19" ht="16.2" customHeight="1" x14ac:dyDescent="0.3">
      <c r="A4000" s="105" t="s">
        <v>3739</v>
      </c>
      <c r="B4000" s="5">
        <f t="shared" si="993"/>
        <v>5</v>
      </c>
      <c r="C4000" s="5">
        <f t="shared" si="994"/>
        <v>2025</v>
      </c>
      <c r="D4000" s="105" t="s">
        <v>3741</v>
      </c>
      <c r="E4000" s="5" t="str">
        <f>VLOOKUP(F4000,'Set up'!$A$2:$C$70,2,FALSE)</f>
        <v>C00000061</v>
      </c>
      <c r="F4000" s="99" t="s">
        <v>3532</v>
      </c>
      <c r="G4000" s="99" t="s">
        <v>949</v>
      </c>
      <c r="H4000" s="105">
        <v>2</v>
      </c>
      <c r="I4000" s="5" t="str">
        <f>VLOOKUP(F4000,'Set up'!$A$2:$C$70,3,FALSE)</f>
        <v>Cash</v>
      </c>
      <c r="J4000" s="5">
        <f>VLOOKUP(F4000,'Set up'!$A$2:$D$70,4,FALSE)</f>
        <v>0</v>
      </c>
      <c r="K4000" s="4">
        <f t="shared" si="995"/>
        <v>45803</v>
      </c>
      <c r="L4000" s="5">
        <f t="shared" si="996"/>
        <v>5</v>
      </c>
      <c r="M4000" s="5">
        <f t="shared" si="997"/>
        <v>2025</v>
      </c>
      <c r="N4000" s="135">
        <v>120</v>
      </c>
      <c r="O4000" s="6">
        <f t="shared" si="999"/>
        <v>-120</v>
      </c>
      <c r="P4000" s="12">
        <f t="shared" ref="P4000:P4063" si="1000">SUM(N4000+O4000)</f>
        <v>0</v>
      </c>
      <c r="Q4000" s="7">
        <f t="shared" si="998"/>
        <v>6624294.6500000032</v>
      </c>
      <c r="R4000" s="44" t="str">
        <f>VLOOKUP(F4000,'Set up'!$A$2:$E$70,5,FALSE)</f>
        <v>Cash</v>
      </c>
      <c r="S4000" s="1" t="s">
        <v>3948</v>
      </c>
    </row>
    <row r="4001" spans="1:18" ht="16.2" customHeight="1" x14ac:dyDescent="0.3">
      <c r="A4001" s="105" t="s">
        <v>3742</v>
      </c>
      <c r="B4001" s="5">
        <f t="shared" si="993"/>
        <v>5</v>
      </c>
      <c r="C4001" s="5">
        <f t="shared" si="994"/>
        <v>2025</v>
      </c>
      <c r="D4001" s="105" t="s">
        <v>3743</v>
      </c>
      <c r="E4001" s="5" t="str">
        <f>VLOOKUP(F4001,'Set up'!$A$2:$C$70,2,FALSE)</f>
        <v>C00000019</v>
      </c>
      <c r="F4001" s="99" t="s">
        <v>400</v>
      </c>
      <c r="G4001" s="99" t="s">
        <v>3122</v>
      </c>
      <c r="H4001" s="105">
        <v>1</v>
      </c>
      <c r="I4001" s="5" t="str">
        <f>VLOOKUP(F4001,'Set up'!$A$2:$C$70,3,FALSE)</f>
        <v>Cash</v>
      </c>
      <c r="J4001" s="5">
        <f>VLOOKUP(F4001,'Set up'!$A$2:$D$70,4,FALSE)</f>
        <v>0</v>
      </c>
      <c r="K4001" s="4">
        <f t="shared" si="995"/>
        <v>45804</v>
      </c>
      <c r="L4001" s="5">
        <f t="shared" si="996"/>
        <v>5</v>
      </c>
      <c r="M4001" s="5">
        <f t="shared" si="997"/>
        <v>2025</v>
      </c>
      <c r="N4001" s="135">
        <v>1755</v>
      </c>
      <c r="P4001" s="12">
        <f t="shared" si="1000"/>
        <v>1755</v>
      </c>
      <c r="Q4001" s="7">
        <f t="shared" si="998"/>
        <v>6626049.6500000032</v>
      </c>
      <c r="R4001" s="44" t="str">
        <f>VLOOKUP(F4001,'Set up'!$A$2:$E$70,5,FALSE)</f>
        <v>Trsf</v>
      </c>
    </row>
    <row r="4002" spans="1:18" ht="16.2" customHeight="1" x14ac:dyDescent="0.3">
      <c r="A4002" s="105" t="s">
        <v>3742</v>
      </c>
      <c r="B4002" s="5">
        <f t="shared" si="993"/>
        <v>5</v>
      </c>
      <c r="C4002" s="5">
        <f t="shared" si="994"/>
        <v>2025</v>
      </c>
      <c r="D4002" s="105" t="s">
        <v>3743</v>
      </c>
      <c r="E4002" s="5" t="str">
        <f>VLOOKUP(F4002,'Set up'!$A$2:$C$70,2,FALSE)</f>
        <v>C00000019</v>
      </c>
      <c r="F4002" s="99" t="s">
        <v>400</v>
      </c>
      <c r="G4002" s="99" t="s">
        <v>1411</v>
      </c>
      <c r="H4002" s="105">
        <v>1</v>
      </c>
      <c r="I4002" s="5" t="str">
        <f>VLOOKUP(F4002,'Set up'!$A$2:$C$70,3,FALSE)</f>
        <v>Cash</v>
      </c>
      <c r="J4002" s="5">
        <f>VLOOKUP(F4002,'Set up'!$A$2:$D$70,4,FALSE)</f>
        <v>0</v>
      </c>
      <c r="K4002" s="4">
        <f t="shared" si="995"/>
        <v>45804</v>
      </c>
      <c r="L4002" s="5">
        <f t="shared" si="996"/>
        <v>5</v>
      </c>
      <c r="M4002" s="5">
        <f t="shared" si="997"/>
        <v>2025</v>
      </c>
      <c r="N4002" s="135">
        <v>405</v>
      </c>
      <c r="P4002" s="12">
        <f t="shared" si="1000"/>
        <v>405</v>
      </c>
      <c r="Q4002" s="7">
        <f t="shared" si="998"/>
        <v>6626454.6500000032</v>
      </c>
      <c r="R4002" s="44" t="str">
        <f>VLOOKUP(F4002,'Set up'!$A$2:$E$70,5,FALSE)</f>
        <v>Trsf</v>
      </c>
    </row>
    <row r="4003" spans="1:18" ht="16.2" customHeight="1" x14ac:dyDescent="0.3">
      <c r="A4003" s="105" t="s">
        <v>3742</v>
      </c>
      <c r="B4003" s="5">
        <f t="shared" si="993"/>
        <v>5</v>
      </c>
      <c r="C4003" s="5">
        <f t="shared" si="994"/>
        <v>2025</v>
      </c>
      <c r="D4003" s="105" t="s">
        <v>3743</v>
      </c>
      <c r="E4003" s="5" t="str">
        <f>VLOOKUP(F4003,'Set up'!$A$2:$C$70,2,FALSE)</f>
        <v>C00000019</v>
      </c>
      <c r="F4003" s="99" t="s">
        <v>400</v>
      </c>
      <c r="G4003" s="99" t="s">
        <v>2449</v>
      </c>
      <c r="H4003" s="105">
        <v>1</v>
      </c>
      <c r="I4003" s="5" t="str">
        <f>VLOOKUP(F4003,'Set up'!$A$2:$C$70,3,FALSE)</f>
        <v>Cash</v>
      </c>
      <c r="J4003" s="5">
        <f>VLOOKUP(F4003,'Set up'!$A$2:$D$70,4,FALSE)</f>
        <v>0</v>
      </c>
      <c r="K4003" s="4">
        <f t="shared" si="995"/>
        <v>45804</v>
      </c>
      <c r="L4003" s="5">
        <f t="shared" si="996"/>
        <v>5</v>
      </c>
      <c r="M4003" s="5">
        <f t="shared" si="997"/>
        <v>2025</v>
      </c>
      <c r="N4003" s="135">
        <v>420</v>
      </c>
      <c r="P4003" s="12">
        <f t="shared" si="1000"/>
        <v>420</v>
      </c>
      <c r="Q4003" s="7">
        <f t="shared" si="998"/>
        <v>6626874.6500000032</v>
      </c>
      <c r="R4003" s="44" t="str">
        <f>VLOOKUP(F4003,'Set up'!$A$2:$E$70,5,FALSE)</f>
        <v>Trsf</v>
      </c>
    </row>
    <row r="4004" spans="1:18" ht="16.2" customHeight="1" x14ac:dyDescent="0.3">
      <c r="A4004" s="105" t="s">
        <v>3742</v>
      </c>
      <c r="B4004" s="5">
        <f t="shared" si="993"/>
        <v>5</v>
      </c>
      <c r="C4004" s="5">
        <f t="shared" si="994"/>
        <v>2025</v>
      </c>
      <c r="D4004" s="105" t="s">
        <v>3743</v>
      </c>
      <c r="E4004" s="5" t="str">
        <f>VLOOKUP(F4004,'Set up'!$A$2:$C$70,2,FALSE)</f>
        <v>C00000019</v>
      </c>
      <c r="F4004" s="99" t="s">
        <v>400</v>
      </c>
      <c r="G4004" s="99" t="s">
        <v>1469</v>
      </c>
      <c r="H4004" s="105">
        <v>1</v>
      </c>
      <c r="I4004" s="5" t="str">
        <f>VLOOKUP(F4004,'Set up'!$A$2:$C$70,3,FALSE)</f>
        <v>Cash</v>
      </c>
      <c r="J4004" s="5">
        <f>VLOOKUP(F4004,'Set up'!$A$2:$D$70,4,FALSE)</f>
        <v>0</v>
      </c>
      <c r="K4004" s="4">
        <f t="shared" si="995"/>
        <v>45804</v>
      </c>
      <c r="L4004" s="5">
        <f t="shared" si="996"/>
        <v>5</v>
      </c>
      <c r="M4004" s="5">
        <f t="shared" si="997"/>
        <v>2025</v>
      </c>
      <c r="N4004" s="135">
        <v>390</v>
      </c>
      <c r="P4004" s="12">
        <f t="shared" si="1000"/>
        <v>390</v>
      </c>
      <c r="Q4004" s="7">
        <f t="shared" si="998"/>
        <v>6627264.6500000032</v>
      </c>
      <c r="R4004" s="44" t="str">
        <f>VLOOKUP(F4004,'Set up'!$A$2:$E$70,5,FALSE)</f>
        <v>Trsf</v>
      </c>
    </row>
    <row r="4005" spans="1:18" ht="16.2" customHeight="1" x14ac:dyDescent="0.3">
      <c r="A4005" s="105" t="s">
        <v>3742</v>
      </c>
      <c r="B4005" s="5">
        <f t="shared" si="993"/>
        <v>5</v>
      </c>
      <c r="C4005" s="5">
        <f t="shared" si="994"/>
        <v>2025</v>
      </c>
      <c r="D4005" s="105" t="s">
        <v>3743</v>
      </c>
      <c r="E4005" s="5" t="str">
        <f>VLOOKUP(F4005,'Set up'!$A$2:$C$70,2,FALSE)</f>
        <v>C00000019</v>
      </c>
      <c r="F4005" s="99" t="s">
        <v>400</v>
      </c>
      <c r="G4005" s="99" t="s">
        <v>2635</v>
      </c>
      <c r="H4005" s="105">
        <v>3</v>
      </c>
      <c r="I4005" s="5" t="str">
        <f>VLOOKUP(F4005,'Set up'!$A$2:$C$70,3,FALSE)</f>
        <v>Cash</v>
      </c>
      <c r="J4005" s="5">
        <f>VLOOKUP(F4005,'Set up'!$A$2:$D$70,4,FALSE)</f>
        <v>0</v>
      </c>
      <c r="K4005" s="4">
        <f t="shared" si="995"/>
        <v>45804</v>
      </c>
      <c r="L4005" s="5">
        <f t="shared" si="996"/>
        <v>5</v>
      </c>
      <c r="M4005" s="5">
        <f t="shared" si="997"/>
        <v>2025</v>
      </c>
      <c r="N4005" s="135">
        <v>187.5</v>
      </c>
      <c r="P4005" s="12">
        <f t="shared" si="1000"/>
        <v>187.5</v>
      </c>
      <c r="Q4005" s="7">
        <f t="shared" si="998"/>
        <v>6627452.1500000032</v>
      </c>
      <c r="R4005" s="44" t="str">
        <f>VLOOKUP(F4005,'Set up'!$A$2:$E$70,5,FALSE)</f>
        <v>Trsf</v>
      </c>
    </row>
    <row r="4006" spans="1:18" ht="16.2" customHeight="1" x14ac:dyDescent="0.3">
      <c r="A4006" s="105" t="s">
        <v>3742</v>
      </c>
      <c r="B4006" s="5">
        <f t="shared" si="993"/>
        <v>5</v>
      </c>
      <c r="C4006" s="5">
        <f t="shared" si="994"/>
        <v>2025</v>
      </c>
      <c r="D4006" s="105" t="s">
        <v>3744</v>
      </c>
      <c r="E4006" s="5" t="str">
        <f>VLOOKUP(F4006,'Set up'!$A$2:$C$70,2,FALSE)</f>
        <v>C00000042</v>
      </c>
      <c r="F4006" s="99" t="s">
        <v>2012</v>
      </c>
      <c r="G4006" s="99" t="s">
        <v>2646</v>
      </c>
      <c r="H4006" s="105">
        <v>2</v>
      </c>
      <c r="I4006" s="5" t="str">
        <f>VLOOKUP(F4006,'Set up'!$A$2:$C$70,3,FALSE)</f>
        <v>Cash</v>
      </c>
      <c r="J4006" s="5">
        <f>VLOOKUP(F4006,'Set up'!$A$2:$D$70,4,FALSE)</f>
        <v>0</v>
      </c>
      <c r="K4006" s="4">
        <f t="shared" si="995"/>
        <v>45804</v>
      </c>
      <c r="L4006" s="5">
        <f t="shared" si="996"/>
        <v>5</v>
      </c>
      <c r="M4006" s="5">
        <f t="shared" si="997"/>
        <v>2025</v>
      </c>
      <c r="N4006" s="135">
        <v>125</v>
      </c>
      <c r="P4006" s="12">
        <f t="shared" si="1000"/>
        <v>125</v>
      </c>
      <c r="Q4006" s="7">
        <f t="shared" si="998"/>
        <v>6627577.1500000032</v>
      </c>
      <c r="R4006" s="44" t="str">
        <f>VLOOKUP(F4006,'Set up'!$A$2:$E$70,5,FALSE)</f>
        <v>Trsf</v>
      </c>
    </row>
    <row r="4007" spans="1:18" ht="16.2" customHeight="1" x14ac:dyDescent="0.3">
      <c r="A4007" s="105" t="s">
        <v>3742</v>
      </c>
      <c r="B4007" s="5">
        <f t="shared" si="993"/>
        <v>5</v>
      </c>
      <c r="C4007" s="5">
        <f t="shared" si="994"/>
        <v>2025</v>
      </c>
      <c r="D4007" s="105" t="s">
        <v>3745</v>
      </c>
      <c r="E4007" s="5" t="str">
        <f>VLOOKUP(F4007,'Set up'!$A$2:$C$70,2,FALSE)</f>
        <v>C00000042</v>
      </c>
      <c r="F4007" s="99" t="s">
        <v>2012</v>
      </c>
      <c r="G4007" s="99" t="s">
        <v>3217</v>
      </c>
      <c r="H4007" s="105">
        <v>3</v>
      </c>
      <c r="I4007" s="5" t="str">
        <f>VLOOKUP(F4007,'Set up'!$A$2:$C$70,3,FALSE)</f>
        <v>Cash</v>
      </c>
      <c r="J4007" s="5">
        <f>VLOOKUP(F4007,'Set up'!$A$2:$D$70,4,FALSE)</f>
        <v>0</v>
      </c>
      <c r="K4007" s="4">
        <f t="shared" si="995"/>
        <v>45804</v>
      </c>
      <c r="L4007" s="5">
        <f t="shared" si="996"/>
        <v>5</v>
      </c>
      <c r="M4007" s="5">
        <f t="shared" si="997"/>
        <v>2025</v>
      </c>
      <c r="N4007" s="135">
        <v>4860</v>
      </c>
      <c r="P4007" s="12">
        <f t="shared" si="1000"/>
        <v>4860</v>
      </c>
      <c r="Q4007" s="7">
        <f t="shared" si="998"/>
        <v>6632437.1500000032</v>
      </c>
      <c r="R4007" s="44" t="str">
        <f>VLOOKUP(F4007,'Set up'!$A$2:$E$70,5,FALSE)</f>
        <v>Trsf</v>
      </c>
    </row>
    <row r="4008" spans="1:18" ht="16.2" customHeight="1" x14ac:dyDescent="0.3">
      <c r="A4008" s="105" t="s">
        <v>3742</v>
      </c>
      <c r="B4008" s="5">
        <f t="shared" si="993"/>
        <v>5</v>
      </c>
      <c r="C4008" s="5">
        <f t="shared" si="994"/>
        <v>2025</v>
      </c>
      <c r="D4008" s="105" t="s">
        <v>3745</v>
      </c>
      <c r="E4008" s="5" t="str">
        <f>VLOOKUP(F4008,'Set up'!$A$2:$C$70,2,FALSE)</f>
        <v>C00000042</v>
      </c>
      <c r="F4008" s="99" t="s">
        <v>2012</v>
      </c>
      <c r="G4008" s="99" t="s">
        <v>2129</v>
      </c>
      <c r="H4008" s="105">
        <v>9</v>
      </c>
      <c r="I4008" s="5" t="str">
        <f>VLOOKUP(F4008,'Set up'!$A$2:$C$70,3,FALSE)</f>
        <v>Cash</v>
      </c>
      <c r="J4008" s="5">
        <f>VLOOKUP(F4008,'Set up'!$A$2:$D$70,4,FALSE)</f>
        <v>0</v>
      </c>
      <c r="K4008" s="4">
        <f t="shared" si="995"/>
        <v>45804</v>
      </c>
      <c r="L4008" s="5">
        <f t="shared" si="996"/>
        <v>5</v>
      </c>
      <c r="M4008" s="5">
        <f t="shared" si="997"/>
        <v>2025</v>
      </c>
      <c r="N4008" s="135">
        <v>1964.7</v>
      </c>
      <c r="P4008" s="12">
        <f t="shared" si="1000"/>
        <v>1964.7</v>
      </c>
      <c r="Q4008" s="7">
        <f t="shared" si="998"/>
        <v>6634401.8500000034</v>
      </c>
      <c r="R4008" s="44" t="str">
        <f>VLOOKUP(F4008,'Set up'!$A$2:$E$70,5,FALSE)</f>
        <v>Trsf</v>
      </c>
    </row>
    <row r="4009" spans="1:18" ht="16.2" customHeight="1" x14ac:dyDescent="0.3">
      <c r="A4009" s="105" t="s">
        <v>3742</v>
      </c>
      <c r="B4009" s="5">
        <f t="shared" si="993"/>
        <v>5</v>
      </c>
      <c r="C4009" s="5">
        <f t="shared" si="994"/>
        <v>2025</v>
      </c>
      <c r="D4009" s="105" t="s">
        <v>3745</v>
      </c>
      <c r="E4009" s="5" t="str">
        <f>VLOOKUP(F4009,'Set up'!$A$2:$C$70,2,FALSE)</f>
        <v>C00000042</v>
      </c>
      <c r="F4009" s="99" t="s">
        <v>2012</v>
      </c>
      <c r="G4009" s="99" t="s">
        <v>1922</v>
      </c>
      <c r="H4009" s="105">
        <v>4</v>
      </c>
      <c r="I4009" s="5" t="str">
        <f>VLOOKUP(F4009,'Set up'!$A$2:$C$70,3,FALSE)</f>
        <v>Cash</v>
      </c>
      <c r="J4009" s="5">
        <f>VLOOKUP(F4009,'Set up'!$A$2:$D$70,4,FALSE)</f>
        <v>0</v>
      </c>
      <c r="K4009" s="4">
        <f t="shared" si="995"/>
        <v>45804</v>
      </c>
      <c r="L4009" s="5">
        <f t="shared" si="996"/>
        <v>5</v>
      </c>
      <c r="M4009" s="5">
        <f t="shared" si="997"/>
        <v>2025</v>
      </c>
      <c r="N4009" s="135">
        <v>990</v>
      </c>
      <c r="P4009" s="12">
        <f t="shared" si="1000"/>
        <v>990</v>
      </c>
      <c r="Q4009" s="7">
        <f t="shared" si="998"/>
        <v>6635391.8500000034</v>
      </c>
      <c r="R4009" s="44" t="str">
        <f>VLOOKUP(F4009,'Set up'!$A$2:$E$70,5,FALSE)</f>
        <v>Trsf</v>
      </c>
    </row>
    <row r="4010" spans="1:18" ht="16.2" customHeight="1" x14ac:dyDescent="0.3">
      <c r="A4010" s="105" t="s">
        <v>3746</v>
      </c>
      <c r="B4010" s="5">
        <f t="shared" si="993"/>
        <v>5</v>
      </c>
      <c r="C4010" s="5">
        <f t="shared" si="994"/>
        <v>2025</v>
      </c>
      <c r="D4010" s="105" t="s">
        <v>3747</v>
      </c>
      <c r="E4010" s="5" t="str">
        <f>VLOOKUP(F4010,'Set up'!$A$2:$C$70,2,FALSE)</f>
        <v>C00000042</v>
      </c>
      <c r="F4010" s="99" t="s">
        <v>2012</v>
      </c>
      <c r="G4010" s="99" t="s">
        <v>2646</v>
      </c>
      <c r="H4010" s="105">
        <v>2</v>
      </c>
      <c r="I4010" s="5" t="str">
        <f>VLOOKUP(F4010,'Set up'!$A$2:$C$70,3,FALSE)</f>
        <v>Cash</v>
      </c>
      <c r="J4010" s="5">
        <f>VLOOKUP(F4010,'Set up'!$A$2:$D$70,4,FALSE)</f>
        <v>0</v>
      </c>
      <c r="K4010" s="4">
        <f t="shared" si="995"/>
        <v>45806</v>
      </c>
      <c r="L4010" s="5">
        <f t="shared" si="996"/>
        <v>5</v>
      </c>
      <c r="M4010" s="5">
        <f t="shared" si="997"/>
        <v>2025</v>
      </c>
      <c r="N4010" s="135">
        <v>125</v>
      </c>
      <c r="P4010" s="12">
        <f t="shared" si="1000"/>
        <v>125</v>
      </c>
      <c r="Q4010" s="7">
        <f t="shared" si="998"/>
        <v>6635516.8500000034</v>
      </c>
      <c r="R4010" s="44" t="str">
        <f>VLOOKUP(F4010,'Set up'!$A$2:$E$70,5,FALSE)</f>
        <v>Trsf</v>
      </c>
    </row>
    <row r="4011" spans="1:18" ht="16.2" customHeight="1" x14ac:dyDescent="0.3">
      <c r="A4011" s="105" t="s">
        <v>3746</v>
      </c>
      <c r="B4011" s="5">
        <f t="shared" si="993"/>
        <v>5</v>
      </c>
      <c r="C4011" s="5">
        <f t="shared" si="994"/>
        <v>2025</v>
      </c>
      <c r="D4011" s="105" t="s">
        <v>3748</v>
      </c>
      <c r="E4011" s="5" t="str">
        <f>VLOOKUP(F4011,'Set up'!$A$2:$C$70,2,FALSE)</f>
        <v>C00000042</v>
      </c>
      <c r="F4011" s="99" t="s">
        <v>2012</v>
      </c>
      <c r="G4011" s="99" t="s">
        <v>3217</v>
      </c>
      <c r="H4011" s="105">
        <v>5</v>
      </c>
      <c r="I4011" s="5" t="str">
        <f>VLOOKUP(F4011,'Set up'!$A$2:$C$70,3,FALSE)</f>
        <v>Cash</v>
      </c>
      <c r="J4011" s="5">
        <f>VLOOKUP(F4011,'Set up'!$A$2:$D$70,4,FALSE)</f>
        <v>0</v>
      </c>
      <c r="K4011" s="4">
        <f t="shared" si="995"/>
        <v>45806</v>
      </c>
      <c r="L4011" s="5">
        <f t="shared" si="996"/>
        <v>5</v>
      </c>
      <c r="M4011" s="5">
        <f t="shared" si="997"/>
        <v>2025</v>
      </c>
      <c r="N4011" s="135">
        <v>8100</v>
      </c>
      <c r="P4011" s="12">
        <f t="shared" si="1000"/>
        <v>8100</v>
      </c>
      <c r="Q4011" s="7">
        <f t="shared" si="998"/>
        <v>6643616.8500000034</v>
      </c>
      <c r="R4011" s="44" t="str">
        <f>VLOOKUP(F4011,'Set up'!$A$2:$E$70,5,FALSE)</f>
        <v>Trsf</v>
      </c>
    </row>
    <row r="4012" spans="1:18" ht="16.2" customHeight="1" x14ac:dyDescent="0.3">
      <c r="A4012" s="105" t="s">
        <v>3746</v>
      </c>
      <c r="B4012" s="5">
        <f t="shared" si="993"/>
        <v>5</v>
      </c>
      <c r="C4012" s="5">
        <f t="shared" si="994"/>
        <v>2025</v>
      </c>
      <c r="D4012" s="105" t="s">
        <v>3748</v>
      </c>
      <c r="E4012" s="5" t="str">
        <f>VLOOKUP(F4012,'Set up'!$A$2:$C$70,2,FALSE)</f>
        <v>C00000042</v>
      </c>
      <c r="F4012" s="99" t="s">
        <v>2012</v>
      </c>
      <c r="G4012" s="99" t="s">
        <v>2129</v>
      </c>
      <c r="H4012" s="105">
        <v>6</v>
      </c>
      <c r="I4012" s="5" t="str">
        <f>VLOOKUP(F4012,'Set up'!$A$2:$C$70,3,FALSE)</f>
        <v>Cash</v>
      </c>
      <c r="J4012" s="5">
        <f>VLOOKUP(F4012,'Set up'!$A$2:$D$70,4,FALSE)</f>
        <v>0</v>
      </c>
      <c r="K4012" s="4">
        <f t="shared" si="995"/>
        <v>45806</v>
      </c>
      <c r="L4012" s="5">
        <f t="shared" si="996"/>
        <v>5</v>
      </c>
      <c r="M4012" s="5">
        <f t="shared" si="997"/>
        <v>2025</v>
      </c>
      <c r="N4012" s="135">
        <v>1309.8</v>
      </c>
      <c r="P4012" s="12">
        <f t="shared" si="1000"/>
        <v>1309.8</v>
      </c>
      <c r="Q4012" s="7">
        <f t="shared" si="998"/>
        <v>6644926.6500000032</v>
      </c>
      <c r="R4012" s="44" t="str">
        <f>VLOOKUP(F4012,'Set up'!$A$2:$E$70,5,FALSE)</f>
        <v>Trsf</v>
      </c>
    </row>
    <row r="4013" spans="1:18" ht="16.2" customHeight="1" x14ac:dyDescent="0.3">
      <c r="A4013" s="105" t="s">
        <v>3746</v>
      </c>
      <c r="B4013" s="5">
        <f t="shared" si="993"/>
        <v>5</v>
      </c>
      <c r="C4013" s="5">
        <f t="shared" si="994"/>
        <v>2025</v>
      </c>
      <c r="D4013" s="105" t="s">
        <v>3748</v>
      </c>
      <c r="E4013" s="5" t="str">
        <f>VLOOKUP(F4013,'Set up'!$A$2:$C$70,2,FALSE)</f>
        <v>C00000042</v>
      </c>
      <c r="F4013" s="99" t="s">
        <v>2012</v>
      </c>
      <c r="G4013" s="99" t="s">
        <v>1922</v>
      </c>
      <c r="H4013" s="105">
        <v>7</v>
      </c>
      <c r="I4013" s="5" t="str">
        <f>VLOOKUP(F4013,'Set up'!$A$2:$C$70,3,FALSE)</f>
        <v>Cash</v>
      </c>
      <c r="J4013" s="5">
        <f>VLOOKUP(F4013,'Set up'!$A$2:$D$70,4,FALSE)</f>
        <v>0</v>
      </c>
      <c r="K4013" s="4">
        <f t="shared" si="995"/>
        <v>45806</v>
      </c>
      <c r="L4013" s="5">
        <f t="shared" si="996"/>
        <v>5</v>
      </c>
      <c r="M4013" s="5">
        <f t="shared" si="997"/>
        <v>2025</v>
      </c>
      <c r="N4013" s="135">
        <v>1732.5</v>
      </c>
      <c r="P4013" s="12">
        <f t="shared" si="1000"/>
        <v>1732.5</v>
      </c>
      <c r="Q4013" s="7">
        <f t="shared" si="998"/>
        <v>6646659.1500000032</v>
      </c>
      <c r="R4013" s="44" t="str">
        <f>VLOOKUP(F4013,'Set up'!$A$2:$E$70,5,FALSE)</f>
        <v>Trsf</v>
      </c>
    </row>
    <row r="4014" spans="1:18" ht="16.2" customHeight="1" x14ac:dyDescent="0.3">
      <c r="A4014" s="105" t="s">
        <v>3746</v>
      </c>
      <c r="B4014" s="5">
        <f t="shared" si="993"/>
        <v>5</v>
      </c>
      <c r="C4014" s="5">
        <f t="shared" si="994"/>
        <v>2025</v>
      </c>
      <c r="D4014" s="105" t="s">
        <v>3748</v>
      </c>
      <c r="E4014" s="5" t="str">
        <f>VLOOKUP(F4014,'Set up'!$A$2:$C$70,2,FALSE)</f>
        <v>C00000042</v>
      </c>
      <c r="F4014" s="99" t="s">
        <v>2012</v>
      </c>
      <c r="G4014" s="99" t="s">
        <v>46</v>
      </c>
      <c r="H4014" s="105">
        <v>4</v>
      </c>
      <c r="I4014" s="5" t="str">
        <f>VLOOKUP(F4014,'Set up'!$A$2:$C$70,3,FALSE)</f>
        <v>Cash</v>
      </c>
      <c r="J4014" s="5">
        <f>VLOOKUP(F4014,'Set up'!$A$2:$D$70,4,FALSE)</f>
        <v>0</v>
      </c>
      <c r="K4014" s="4">
        <f t="shared" si="995"/>
        <v>45806</v>
      </c>
      <c r="L4014" s="5">
        <f t="shared" si="996"/>
        <v>5</v>
      </c>
      <c r="M4014" s="5">
        <f t="shared" si="997"/>
        <v>2025</v>
      </c>
      <c r="N4014" s="135">
        <v>460</v>
      </c>
      <c r="P4014" s="12">
        <f t="shared" si="1000"/>
        <v>460</v>
      </c>
      <c r="Q4014" s="7">
        <f t="shared" si="998"/>
        <v>6647119.1500000032</v>
      </c>
      <c r="R4014" s="44" t="str">
        <f>VLOOKUP(F4014,'Set up'!$A$2:$E$70,5,FALSE)</f>
        <v>Trsf</v>
      </c>
    </row>
    <row r="4015" spans="1:18" ht="16.2" customHeight="1" x14ac:dyDescent="0.3">
      <c r="A4015" s="105" t="s">
        <v>3746</v>
      </c>
      <c r="B4015" s="5">
        <f t="shared" si="993"/>
        <v>5</v>
      </c>
      <c r="C4015" s="5">
        <f t="shared" si="994"/>
        <v>2025</v>
      </c>
      <c r="D4015" s="105" t="s">
        <v>3748</v>
      </c>
      <c r="E4015" s="5" t="str">
        <f>VLOOKUP(F4015,'Set up'!$A$2:$C$70,2,FALSE)</f>
        <v>C00000042</v>
      </c>
      <c r="F4015" s="99" t="s">
        <v>2012</v>
      </c>
      <c r="G4015" s="99" t="s">
        <v>2744</v>
      </c>
      <c r="H4015" s="105">
        <v>1</v>
      </c>
      <c r="I4015" s="5" t="str">
        <f>VLOOKUP(F4015,'Set up'!$A$2:$C$70,3,FALSE)</f>
        <v>Cash</v>
      </c>
      <c r="J4015" s="5">
        <f>VLOOKUP(F4015,'Set up'!$A$2:$D$70,4,FALSE)</f>
        <v>0</v>
      </c>
      <c r="K4015" s="4">
        <f t="shared" si="995"/>
        <v>45806</v>
      </c>
      <c r="L4015" s="5">
        <f t="shared" si="996"/>
        <v>5</v>
      </c>
      <c r="M4015" s="5">
        <f t="shared" si="997"/>
        <v>2025</v>
      </c>
      <c r="N4015" s="135">
        <v>975</v>
      </c>
      <c r="P4015" s="12">
        <f t="shared" si="1000"/>
        <v>975</v>
      </c>
      <c r="Q4015" s="7">
        <f t="shared" si="998"/>
        <v>6648094.1500000032</v>
      </c>
      <c r="R4015" s="44" t="str">
        <f>VLOOKUP(F4015,'Set up'!$A$2:$E$70,5,FALSE)</f>
        <v>Trsf</v>
      </c>
    </row>
    <row r="4016" spans="1:18" ht="16.2" customHeight="1" x14ac:dyDescent="0.3">
      <c r="A4016" s="105" t="s">
        <v>3749</v>
      </c>
      <c r="B4016" s="5">
        <f t="shared" si="993"/>
        <v>5</v>
      </c>
      <c r="C4016" s="5">
        <f t="shared" si="994"/>
        <v>2025</v>
      </c>
      <c r="D4016" s="105" t="s">
        <v>3750</v>
      </c>
      <c r="E4016" s="5" t="str">
        <f>VLOOKUP(F4016,'Set up'!$A$2:$C$70,2,FALSE)</f>
        <v>C00000010</v>
      </c>
      <c r="F4016" s="99" t="s">
        <v>62</v>
      </c>
      <c r="G4016" s="99" t="s">
        <v>3645</v>
      </c>
      <c r="H4016" s="105">
        <v>10</v>
      </c>
      <c r="I4016" s="5">
        <f>VLOOKUP(F4016,'Set up'!$A$2:$C$70,3,FALSE)</f>
        <v>120</v>
      </c>
      <c r="J4016" s="5">
        <f>VLOOKUP(F4016,'Set up'!$A$2:$D$70,4,FALSE)</f>
        <v>120</v>
      </c>
      <c r="K4016" s="4">
        <f t="shared" si="995"/>
        <v>45927</v>
      </c>
      <c r="L4016" s="5">
        <f t="shared" si="996"/>
        <v>9</v>
      </c>
      <c r="M4016" s="5">
        <f t="shared" si="997"/>
        <v>2025</v>
      </c>
      <c r="N4016" s="135">
        <v>15525</v>
      </c>
      <c r="P4016" s="12">
        <f t="shared" si="1000"/>
        <v>15525</v>
      </c>
      <c r="Q4016" s="7">
        <f t="shared" si="998"/>
        <v>6663619.1500000032</v>
      </c>
      <c r="R4016" s="44" t="str">
        <f>VLOOKUP(F4016,'Set up'!$A$2:$E$70,5,FALSE)</f>
        <v>Trsf</v>
      </c>
    </row>
    <row r="4017" spans="1:19" ht="16.2" customHeight="1" x14ac:dyDescent="0.3">
      <c r="A4017" s="105" t="s">
        <v>3749</v>
      </c>
      <c r="B4017" s="5">
        <f t="shared" si="993"/>
        <v>5</v>
      </c>
      <c r="C4017" s="5">
        <f t="shared" si="994"/>
        <v>2025</v>
      </c>
      <c r="D4017" s="105" t="s">
        <v>3750</v>
      </c>
      <c r="E4017" s="5" t="str">
        <f>VLOOKUP(F4017,'Set up'!$A$2:$C$70,2,FALSE)</f>
        <v>C00000010</v>
      </c>
      <c r="F4017" s="99" t="s">
        <v>62</v>
      </c>
      <c r="G4017" s="99" t="s">
        <v>1543</v>
      </c>
      <c r="H4017" s="105">
        <v>10</v>
      </c>
      <c r="I4017" s="5">
        <f>VLOOKUP(F4017,'Set up'!$A$2:$C$70,3,FALSE)</f>
        <v>120</v>
      </c>
      <c r="J4017" s="5">
        <f>VLOOKUP(F4017,'Set up'!$A$2:$D$70,4,FALSE)</f>
        <v>120</v>
      </c>
      <c r="K4017" s="4">
        <f t="shared" si="995"/>
        <v>45927</v>
      </c>
      <c r="L4017" s="5">
        <f t="shared" si="996"/>
        <v>9</v>
      </c>
      <c r="M4017" s="5">
        <f t="shared" si="997"/>
        <v>2025</v>
      </c>
      <c r="N4017" s="135">
        <v>1740</v>
      </c>
      <c r="P4017" s="12">
        <f t="shared" si="1000"/>
        <v>1740</v>
      </c>
      <c r="Q4017" s="7">
        <f t="shared" si="998"/>
        <v>6665359.1500000032</v>
      </c>
      <c r="R4017" s="44" t="str">
        <f>VLOOKUP(F4017,'Set up'!$A$2:$E$70,5,FALSE)</f>
        <v>Trsf</v>
      </c>
    </row>
    <row r="4018" spans="1:19" ht="16.2" customHeight="1" x14ac:dyDescent="0.3">
      <c r="A4018" s="105" t="s">
        <v>3749</v>
      </c>
      <c r="B4018" s="5">
        <f t="shared" si="993"/>
        <v>5</v>
      </c>
      <c r="C4018" s="5">
        <f t="shared" si="994"/>
        <v>2025</v>
      </c>
      <c r="D4018" s="105" t="s">
        <v>3750</v>
      </c>
      <c r="E4018" s="5" t="str">
        <f>VLOOKUP(F4018,'Set up'!$A$2:$C$70,2,FALSE)</f>
        <v>C00000010</v>
      </c>
      <c r="F4018" s="99" t="s">
        <v>62</v>
      </c>
      <c r="G4018" s="99" t="s">
        <v>2635</v>
      </c>
      <c r="H4018" s="105">
        <v>20</v>
      </c>
      <c r="I4018" s="5">
        <f>VLOOKUP(F4018,'Set up'!$A$2:$C$70,3,FALSE)</f>
        <v>120</v>
      </c>
      <c r="J4018" s="5">
        <f>VLOOKUP(F4018,'Set up'!$A$2:$D$70,4,FALSE)</f>
        <v>120</v>
      </c>
      <c r="K4018" s="4">
        <f t="shared" si="995"/>
        <v>45927</v>
      </c>
      <c r="L4018" s="5">
        <f t="shared" si="996"/>
        <v>9</v>
      </c>
      <c r="M4018" s="5">
        <f t="shared" si="997"/>
        <v>2025</v>
      </c>
      <c r="N4018" s="135">
        <v>1150</v>
      </c>
      <c r="P4018" s="12">
        <f t="shared" si="1000"/>
        <v>1150</v>
      </c>
      <c r="Q4018" s="7">
        <f t="shared" si="998"/>
        <v>6666509.1500000032</v>
      </c>
      <c r="R4018" s="44" t="str">
        <f>VLOOKUP(F4018,'Set up'!$A$2:$E$70,5,FALSE)</f>
        <v>Trsf</v>
      </c>
    </row>
    <row r="4019" spans="1:19" ht="16.2" customHeight="1" x14ac:dyDescent="0.3">
      <c r="A4019" s="105" t="s">
        <v>3749</v>
      </c>
      <c r="B4019" s="5">
        <f t="shared" si="993"/>
        <v>5</v>
      </c>
      <c r="C4019" s="5">
        <f t="shared" si="994"/>
        <v>2025</v>
      </c>
      <c r="D4019" s="105" t="s">
        <v>3750</v>
      </c>
      <c r="E4019" s="5" t="str">
        <f>VLOOKUP(F4019,'Set up'!$A$2:$C$70,2,FALSE)</f>
        <v>C00000010</v>
      </c>
      <c r="F4019" s="99" t="s">
        <v>62</v>
      </c>
      <c r="G4019" s="99" t="s">
        <v>46</v>
      </c>
      <c r="H4019" s="105">
        <v>8</v>
      </c>
      <c r="I4019" s="5">
        <f>VLOOKUP(F4019,'Set up'!$A$2:$C$70,3,FALSE)</f>
        <v>120</v>
      </c>
      <c r="J4019" s="5">
        <f>VLOOKUP(F4019,'Set up'!$A$2:$D$70,4,FALSE)</f>
        <v>120</v>
      </c>
      <c r="K4019" s="4">
        <f t="shared" si="995"/>
        <v>45927</v>
      </c>
      <c r="L4019" s="5">
        <f t="shared" si="996"/>
        <v>9</v>
      </c>
      <c r="M4019" s="5">
        <f t="shared" si="997"/>
        <v>2025</v>
      </c>
      <c r="N4019" s="135">
        <v>880</v>
      </c>
      <c r="P4019" s="12">
        <f t="shared" si="1000"/>
        <v>880</v>
      </c>
      <c r="Q4019" s="7">
        <f t="shared" si="998"/>
        <v>6667389.1500000032</v>
      </c>
      <c r="R4019" s="44" t="str">
        <f>VLOOKUP(F4019,'Set up'!$A$2:$E$70,5,FALSE)</f>
        <v>Trsf</v>
      </c>
    </row>
    <row r="4020" spans="1:19" ht="16.2" customHeight="1" x14ac:dyDescent="0.3">
      <c r="A4020" s="105" t="s">
        <v>3749</v>
      </c>
      <c r="B4020" s="5">
        <f t="shared" si="993"/>
        <v>5</v>
      </c>
      <c r="C4020" s="5">
        <f t="shared" si="994"/>
        <v>2025</v>
      </c>
      <c r="D4020" s="105" t="s">
        <v>3750</v>
      </c>
      <c r="E4020" s="5" t="str">
        <f>VLOOKUP(F4020,'Set up'!$A$2:$C$70,2,FALSE)</f>
        <v>C00000010</v>
      </c>
      <c r="F4020" s="99" t="s">
        <v>62</v>
      </c>
      <c r="G4020" s="99" t="s">
        <v>2449</v>
      </c>
      <c r="H4020" s="105">
        <v>2</v>
      </c>
      <c r="I4020" s="5">
        <f>VLOOKUP(F4020,'Set up'!$A$2:$C$70,3,FALSE)</f>
        <v>120</v>
      </c>
      <c r="J4020" s="5">
        <f>VLOOKUP(F4020,'Set up'!$A$2:$D$70,4,FALSE)</f>
        <v>120</v>
      </c>
      <c r="K4020" s="4">
        <f t="shared" si="995"/>
        <v>45927</v>
      </c>
      <c r="L4020" s="5">
        <f t="shared" si="996"/>
        <v>9</v>
      </c>
      <c r="M4020" s="5">
        <f t="shared" si="997"/>
        <v>2025</v>
      </c>
      <c r="N4020" s="135">
        <v>840</v>
      </c>
      <c r="P4020" s="12">
        <f t="shared" si="1000"/>
        <v>840</v>
      </c>
      <c r="Q4020" s="7">
        <f t="shared" si="998"/>
        <v>6668229.1500000032</v>
      </c>
      <c r="R4020" s="44" t="str">
        <f>VLOOKUP(F4020,'Set up'!$A$2:$E$70,5,FALSE)</f>
        <v>Trsf</v>
      </c>
    </row>
    <row r="4021" spans="1:19" ht="16.2" customHeight="1" x14ac:dyDescent="0.3">
      <c r="A4021" s="105" t="s">
        <v>3749</v>
      </c>
      <c r="B4021" s="5">
        <f t="shared" si="993"/>
        <v>5</v>
      </c>
      <c r="C4021" s="5">
        <f t="shared" si="994"/>
        <v>2025</v>
      </c>
      <c r="D4021" s="105" t="s">
        <v>3750</v>
      </c>
      <c r="E4021" s="5" t="str">
        <f>VLOOKUP(F4021,'Set up'!$A$2:$C$70,2,FALSE)</f>
        <v>C00000010</v>
      </c>
      <c r="F4021" s="99" t="s">
        <v>62</v>
      </c>
      <c r="G4021" s="99" t="s">
        <v>614</v>
      </c>
      <c r="H4021" s="105">
        <v>1</v>
      </c>
      <c r="I4021" s="5">
        <f>VLOOKUP(F4021,'Set up'!$A$2:$C$70,3,FALSE)</f>
        <v>120</v>
      </c>
      <c r="J4021" s="5">
        <f>VLOOKUP(F4021,'Set up'!$A$2:$D$70,4,FALSE)</f>
        <v>120</v>
      </c>
      <c r="K4021" s="4">
        <f t="shared" si="995"/>
        <v>45927</v>
      </c>
      <c r="L4021" s="5">
        <f t="shared" si="996"/>
        <v>9</v>
      </c>
      <c r="M4021" s="5">
        <f t="shared" si="997"/>
        <v>2025</v>
      </c>
      <c r="N4021" s="135">
        <v>395</v>
      </c>
      <c r="P4021" s="12">
        <f t="shared" si="1000"/>
        <v>395</v>
      </c>
      <c r="Q4021" s="7">
        <f t="shared" si="998"/>
        <v>6668624.1500000032</v>
      </c>
      <c r="R4021" s="44" t="str">
        <f>VLOOKUP(F4021,'Set up'!$A$2:$E$70,5,FALSE)</f>
        <v>Trsf</v>
      </c>
    </row>
    <row r="4022" spans="1:19" ht="16.2" customHeight="1" x14ac:dyDescent="0.3">
      <c r="A4022" s="105" t="s">
        <v>3832</v>
      </c>
      <c r="B4022" s="5">
        <f t="shared" si="993"/>
        <v>6</v>
      </c>
      <c r="C4022" s="5">
        <f t="shared" si="994"/>
        <v>2025</v>
      </c>
      <c r="D4022" s="105" t="s">
        <v>3833</v>
      </c>
      <c r="E4022" s="5" t="str">
        <f>VLOOKUP(F4022,'Set up'!$A$2:$C$70,2,FALSE)</f>
        <v>C00000042</v>
      </c>
      <c r="F4022" s="99" t="s">
        <v>2012</v>
      </c>
      <c r="G4022" s="99" t="s">
        <v>2646</v>
      </c>
      <c r="H4022" s="105">
        <v>3</v>
      </c>
      <c r="I4022" s="5" t="str">
        <f>VLOOKUP(F4022,'Set up'!$A$2:$C$70,3,FALSE)</f>
        <v>Cash</v>
      </c>
      <c r="J4022" s="5">
        <f>VLOOKUP(F4022,'Set up'!$A$2:$D$70,4,FALSE)</f>
        <v>0</v>
      </c>
      <c r="K4022" s="4">
        <f t="shared" si="995"/>
        <v>45811</v>
      </c>
      <c r="L4022" s="5">
        <f t="shared" si="996"/>
        <v>6</v>
      </c>
      <c r="M4022" s="5">
        <f t="shared" si="997"/>
        <v>2025</v>
      </c>
      <c r="N4022" s="135">
        <v>187.5</v>
      </c>
      <c r="P4022" s="12">
        <f t="shared" si="1000"/>
        <v>187.5</v>
      </c>
      <c r="Q4022" s="7">
        <f t="shared" si="998"/>
        <v>6668811.6500000032</v>
      </c>
      <c r="R4022" s="44" t="str">
        <f>VLOOKUP(F4022,'Set up'!$A$2:$E$70,5,FALSE)</f>
        <v>Trsf</v>
      </c>
    </row>
    <row r="4023" spans="1:19" ht="16.2" customHeight="1" x14ac:dyDescent="0.3">
      <c r="A4023" s="105" t="s">
        <v>3832</v>
      </c>
      <c r="B4023" s="5">
        <f t="shared" si="993"/>
        <v>6</v>
      </c>
      <c r="C4023" s="5">
        <f t="shared" si="994"/>
        <v>2025</v>
      </c>
      <c r="D4023" s="105" t="s">
        <v>3834</v>
      </c>
      <c r="E4023" s="5" t="str">
        <f>VLOOKUP(F4023,'Set up'!$A$2:$C$70,2,FALSE)</f>
        <v>C00000042</v>
      </c>
      <c r="F4023" s="99" t="s">
        <v>2012</v>
      </c>
      <c r="G4023" s="99" t="s">
        <v>3217</v>
      </c>
      <c r="H4023" s="105">
        <v>5</v>
      </c>
      <c r="I4023" s="5" t="str">
        <f>VLOOKUP(F4023,'Set up'!$A$2:$C$70,3,FALSE)</f>
        <v>Cash</v>
      </c>
      <c r="J4023" s="5">
        <f>VLOOKUP(F4023,'Set up'!$A$2:$D$70,4,FALSE)</f>
        <v>0</v>
      </c>
      <c r="K4023" s="4">
        <f t="shared" si="995"/>
        <v>45811</v>
      </c>
      <c r="L4023" s="5">
        <f t="shared" si="996"/>
        <v>6</v>
      </c>
      <c r="M4023" s="5">
        <f t="shared" si="997"/>
        <v>2025</v>
      </c>
      <c r="N4023" s="135">
        <v>8100</v>
      </c>
      <c r="P4023" s="12">
        <f t="shared" si="1000"/>
        <v>8100</v>
      </c>
      <c r="Q4023" s="7">
        <f t="shared" si="998"/>
        <v>6676911.6500000032</v>
      </c>
      <c r="R4023" s="44" t="str">
        <f>VLOOKUP(F4023,'Set up'!$A$2:$E$70,5,FALSE)</f>
        <v>Trsf</v>
      </c>
    </row>
    <row r="4024" spans="1:19" ht="16.2" customHeight="1" x14ac:dyDescent="0.3">
      <c r="A4024" s="105" t="s">
        <v>3832</v>
      </c>
      <c r="B4024" s="5">
        <f t="shared" si="993"/>
        <v>6</v>
      </c>
      <c r="C4024" s="5">
        <f t="shared" si="994"/>
        <v>2025</v>
      </c>
      <c r="D4024" s="105" t="s">
        <v>3834</v>
      </c>
      <c r="E4024" s="5" t="str">
        <f>VLOOKUP(F4024,'Set up'!$A$2:$C$70,2,FALSE)</f>
        <v>C00000042</v>
      </c>
      <c r="F4024" s="99" t="s">
        <v>2012</v>
      </c>
      <c r="G4024" s="99" t="s">
        <v>2129</v>
      </c>
      <c r="H4024" s="105">
        <v>15</v>
      </c>
      <c r="I4024" s="5" t="str">
        <f>VLOOKUP(F4024,'Set up'!$A$2:$C$70,3,FALSE)</f>
        <v>Cash</v>
      </c>
      <c r="J4024" s="5">
        <f>VLOOKUP(F4024,'Set up'!$A$2:$D$70,4,FALSE)</f>
        <v>0</v>
      </c>
      <c r="K4024" s="4">
        <f t="shared" si="995"/>
        <v>45811</v>
      </c>
      <c r="L4024" s="5">
        <f t="shared" si="996"/>
        <v>6</v>
      </c>
      <c r="M4024" s="5">
        <f t="shared" si="997"/>
        <v>2025</v>
      </c>
      <c r="N4024" s="135">
        <v>3274.5</v>
      </c>
      <c r="P4024" s="12">
        <f t="shared" si="1000"/>
        <v>3274.5</v>
      </c>
      <c r="Q4024" s="7">
        <f t="shared" si="998"/>
        <v>6680186.1500000032</v>
      </c>
      <c r="R4024" s="44" t="str">
        <f>VLOOKUP(F4024,'Set up'!$A$2:$E$70,5,FALSE)</f>
        <v>Trsf</v>
      </c>
    </row>
    <row r="4025" spans="1:19" ht="16.2" customHeight="1" x14ac:dyDescent="0.3">
      <c r="A4025" s="105" t="s">
        <v>3832</v>
      </c>
      <c r="B4025" s="5">
        <f t="shared" si="993"/>
        <v>6</v>
      </c>
      <c r="C4025" s="5">
        <f t="shared" si="994"/>
        <v>2025</v>
      </c>
      <c r="D4025" s="105" t="s">
        <v>3834</v>
      </c>
      <c r="E4025" s="5" t="str">
        <f>VLOOKUP(F4025,'Set up'!$A$2:$C$70,2,FALSE)</f>
        <v>C00000042</v>
      </c>
      <c r="F4025" s="99" t="s">
        <v>2012</v>
      </c>
      <c r="G4025" s="99" t="s">
        <v>1922</v>
      </c>
      <c r="H4025" s="105">
        <v>7</v>
      </c>
      <c r="I4025" s="5" t="str">
        <f>VLOOKUP(F4025,'Set up'!$A$2:$C$70,3,FALSE)</f>
        <v>Cash</v>
      </c>
      <c r="J4025" s="5">
        <f>VLOOKUP(F4025,'Set up'!$A$2:$D$70,4,FALSE)</f>
        <v>0</v>
      </c>
      <c r="K4025" s="4">
        <f t="shared" si="995"/>
        <v>45811</v>
      </c>
      <c r="L4025" s="5">
        <f t="shared" si="996"/>
        <v>6</v>
      </c>
      <c r="M4025" s="5">
        <f t="shared" si="997"/>
        <v>2025</v>
      </c>
      <c r="N4025" s="135">
        <v>1732.5</v>
      </c>
      <c r="P4025" s="12">
        <f t="shared" si="1000"/>
        <v>1732.5</v>
      </c>
      <c r="Q4025" s="7">
        <f t="shared" si="998"/>
        <v>6681918.6500000032</v>
      </c>
      <c r="R4025" s="44" t="str">
        <f>VLOOKUP(F4025,'Set up'!$A$2:$E$70,5,FALSE)</f>
        <v>Trsf</v>
      </c>
    </row>
    <row r="4026" spans="1:19" ht="16.2" customHeight="1" x14ac:dyDescent="0.3">
      <c r="A4026" s="105" t="s">
        <v>3832</v>
      </c>
      <c r="B4026" s="5">
        <f t="shared" si="993"/>
        <v>6</v>
      </c>
      <c r="C4026" s="5">
        <f t="shared" si="994"/>
        <v>2025</v>
      </c>
      <c r="D4026" s="105" t="s">
        <v>3834</v>
      </c>
      <c r="E4026" s="5" t="str">
        <f>VLOOKUP(F4026,'Set up'!$A$2:$C$70,2,FALSE)</f>
        <v>C00000042</v>
      </c>
      <c r="F4026" s="99" t="s">
        <v>2012</v>
      </c>
      <c r="G4026" s="99" t="s">
        <v>2744</v>
      </c>
      <c r="H4026" s="105">
        <v>1</v>
      </c>
      <c r="I4026" s="5" t="str">
        <f>VLOOKUP(F4026,'Set up'!$A$2:$C$70,3,FALSE)</f>
        <v>Cash</v>
      </c>
      <c r="J4026" s="5">
        <f>VLOOKUP(F4026,'Set up'!$A$2:$D$70,4,FALSE)</f>
        <v>0</v>
      </c>
      <c r="K4026" s="4">
        <f t="shared" si="995"/>
        <v>45811</v>
      </c>
      <c r="L4026" s="5">
        <f t="shared" si="996"/>
        <v>6</v>
      </c>
      <c r="M4026" s="5">
        <f t="shared" si="997"/>
        <v>2025</v>
      </c>
      <c r="N4026" s="135">
        <v>975</v>
      </c>
      <c r="P4026" s="12">
        <f t="shared" si="1000"/>
        <v>975</v>
      </c>
      <c r="Q4026" s="7">
        <f t="shared" si="998"/>
        <v>6682893.6500000032</v>
      </c>
      <c r="R4026" s="44" t="str">
        <f>VLOOKUP(F4026,'Set up'!$A$2:$E$70,5,FALSE)</f>
        <v>Trsf</v>
      </c>
    </row>
    <row r="4027" spans="1:19" ht="16.2" customHeight="1" x14ac:dyDescent="0.3">
      <c r="A4027" s="105" t="s">
        <v>3835</v>
      </c>
      <c r="B4027" s="5">
        <f t="shared" si="993"/>
        <v>6</v>
      </c>
      <c r="C4027" s="5">
        <f t="shared" si="994"/>
        <v>2025</v>
      </c>
      <c r="D4027" s="105" t="s">
        <v>3836</v>
      </c>
      <c r="E4027" s="5" t="e">
        <f>VLOOKUP(F4027,'Set up'!$A$2:$C$70,2,FALSE)</f>
        <v>#N/A</v>
      </c>
      <c r="F4027" s="99" t="s">
        <v>3837</v>
      </c>
      <c r="G4027" s="99" t="s">
        <v>1443</v>
      </c>
      <c r="H4027" s="105">
        <v>2</v>
      </c>
      <c r="I4027" s="5" t="e">
        <f>VLOOKUP(F4027,'Set up'!$A$2:$C$70,3,FALSE)</f>
        <v>#N/A</v>
      </c>
      <c r="J4027" s="5" t="e">
        <f>VLOOKUP(F4027,'Set up'!$A$2:$D$70,4,FALSE)</f>
        <v>#N/A</v>
      </c>
      <c r="K4027" s="4" t="e">
        <f t="shared" si="995"/>
        <v>#N/A</v>
      </c>
      <c r="L4027" s="5" t="e">
        <f t="shared" si="996"/>
        <v>#N/A</v>
      </c>
      <c r="M4027" s="5" t="e">
        <f t="shared" si="997"/>
        <v>#N/A</v>
      </c>
      <c r="N4027" s="135">
        <v>777.6</v>
      </c>
      <c r="O4027" s="6">
        <f t="shared" ref="O4027:O4037" si="1001">-N4027</f>
        <v>-777.6</v>
      </c>
      <c r="P4027" s="12">
        <f t="shared" si="1000"/>
        <v>0</v>
      </c>
      <c r="Q4027" s="7">
        <f t="shared" si="998"/>
        <v>6683671.2500000028</v>
      </c>
      <c r="R4027" s="44" t="e">
        <f>VLOOKUP(F4027,'Set up'!$A$2:$E$70,5,FALSE)</f>
        <v>#N/A</v>
      </c>
      <c r="S4027" s="1" t="s">
        <v>3946</v>
      </c>
    </row>
    <row r="4028" spans="1:19" ht="16.2" customHeight="1" x14ac:dyDescent="0.3">
      <c r="A4028" s="105" t="s">
        <v>3835</v>
      </c>
      <c r="B4028" s="5">
        <f t="shared" si="993"/>
        <v>6</v>
      </c>
      <c r="C4028" s="5">
        <f t="shared" si="994"/>
        <v>2025</v>
      </c>
      <c r="D4028" s="105" t="s">
        <v>3836</v>
      </c>
      <c r="E4028" s="5" t="e">
        <f>VLOOKUP(F4028,'Set up'!$A$2:$C$70,2,FALSE)</f>
        <v>#N/A</v>
      </c>
      <c r="F4028" s="99" t="s">
        <v>3837</v>
      </c>
      <c r="G4028" s="99" t="s">
        <v>1444</v>
      </c>
      <c r="H4028" s="105">
        <v>1</v>
      </c>
      <c r="I4028" s="5" t="e">
        <f>VLOOKUP(F4028,'Set up'!$A$2:$C$70,3,FALSE)</f>
        <v>#N/A</v>
      </c>
      <c r="J4028" s="5" t="e">
        <f>VLOOKUP(F4028,'Set up'!$A$2:$D$70,4,FALSE)</f>
        <v>#N/A</v>
      </c>
      <c r="K4028" s="4" t="e">
        <f t="shared" si="995"/>
        <v>#N/A</v>
      </c>
      <c r="L4028" s="5" t="e">
        <f t="shared" si="996"/>
        <v>#N/A</v>
      </c>
      <c r="M4028" s="5" t="e">
        <f t="shared" si="997"/>
        <v>#N/A</v>
      </c>
      <c r="N4028" s="135">
        <v>388.8</v>
      </c>
      <c r="O4028" s="6">
        <f t="shared" si="1001"/>
        <v>-388.8</v>
      </c>
      <c r="P4028" s="12">
        <f t="shared" si="1000"/>
        <v>0</v>
      </c>
      <c r="Q4028" s="7">
        <f t="shared" si="998"/>
        <v>6684060.0500000026</v>
      </c>
      <c r="R4028" s="44" t="e">
        <f>VLOOKUP(F4028,'Set up'!$A$2:$E$70,5,FALSE)</f>
        <v>#N/A</v>
      </c>
      <c r="S4028" s="1" t="s">
        <v>3946</v>
      </c>
    </row>
    <row r="4029" spans="1:19" ht="16.2" customHeight="1" x14ac:dyDescent="0.3">
      <c r="A4029" s="105" t="s">
        <v>3835</v>
      </c>
      <c r="B4029" s="5">
        <f t="shared" si="993"/>
        <v>6</v>
      </c>
      <c r="C4029" s="5">
        <f t="shared" si="994"/>
        <v>2025</v>
      </c>
      <c r="D4029" s="105" t="s">
        <v>3836</v>
      </c>
      <c r="E4029" s="5" t="e">
        <f>VLOOKUP(F4029,'Set up'!$A$2:$C$70,2,FALSE)</f>
        <v>#N/A</v>
      </c>
      <c r="F4029" s="99" t="s">
        <v>3837</v>
      </c>
      <c r="G4029" s="99" t="s">
        <v>3838</v>
      </c>
      <c r="H4029" s="105">
        <v>2</v>
      </c>
      <c r="I4029" s="5" t="e">
        <f>VLOOKUP(F4029,'Set up'!$A$2:$C$70,3,FALSE)</f>
        <v>#N/A</v>
      </c>
      <c r="J4029" s="5" t="e">
        <f>VLOOKUP(F4029,'Set up'!$A$2:$D$70,4,FALSE)</f>
        <v>#N/A</v>
      </c>
      <c r="K4029" s="4" t="e">
        <f t="shared" si="995"/>
        <v>#N/A</v>
      </c>
      <c r="L4029" s="5" t="e">
        <f t="shared" si="996"/>
        <v>#N/A</v>
      </c>
      <c r="M4029" s="5" t="e">
        <f t="shared" si="997"/>
        <v>#N/A</v>
      </c>
      <c r="N4029" s="135">
        <v>640</v>
      </c>
      <c r="O4029" s="6">
        <f t="shared" si="1001"/>
        <v>-640</v>
      </c>
      <c r="P4029" s="12">
        <f t="shared" si="1000"/>
        <v>0</v>
      </c>
      <c r="Q4029" s="7">
        <f t="shared" si="998"/>
        <v>6684700.0500000026</v>
      </c>
      <c r="R4029" s="44" t="e">
        <f>VLOOKUP(F4029,'Set up'!$A$2:$E$70,5,FALSE)</f>
        <v>#N/A</v>
      </c>
      <c r="S4029" s="1" t="s">
        <v>3946</v>
      </c>
    </row>
    <row r="4030" spans="1:19" ht="16.2" customHeight="1" x14ac:dyDescent="0.3">
      <c r="A4030" s="105" t="s">
        <v>3835</v>
      </c>
      <c r="B4030" s="5">
        <f t="shared" si="993"/>
        <v>6</v>
      </c>
      <c r="C4030" s="5">
        <f t="shared" si="994"/>
        <v>2025</v>
      </c>
      <c r="D4030" s="105" t="s">
        <v>3836</v>
      </c>
      <c r="E4030" s="5" t="e">
        <f>VLOOKUP(F4030,'Set up'!$A$2:$C$70,2,FALSE)</f>
        <v>#N/A</v>
      </c>
      <c r="F4030" s="99" t="s">
        <v>3837</v>
      </c>
      <c r="G4030" s="99" t="s">
        <v>1446</v>
      </c>
      <c r="H4030" s="105">
        <v>4</v>
      </c>
      <c r="I4030" s="5" t="e">
        <f>VLOOKUP(F4030,'Set up'!$A$2:$C$70,3,FALSE)</f>
        <v>#N/A</v>
      </c>
      <c r="J4030" s="5" t="e">
        <f>VLOOKUP(F4030,'Set up'!$A$2:$D$70,4,FALSE)</f>
        <v>#N/A</v>
      </c>
      <c r="K4030" s="4" t="e">
        <f t="shared" si="995"/>
        <v>#N/A</v>
      </c>
      <c r="L4030" s="5" t="e">
        <f t="shared" si="996"/>
        <v>#N/A</v>
      </c>
      <c r="M4030" s="5" t="e">
        <f t="shared" si="997"/>
        <v>#N/A</v>
      </c>
      <c r="N4030" s="135">
        <v>240</v>
      </c>
      <c r="O4030" s="6">
        <f t="shared" si="1001"/>
        <v>-240</v>
      </c>
      <c r="P4030" s="12">
        <f t="shared" si="1000"/>
        <v>0</v>
      </c>
      <c r="Q4030" s="7">
        <f t="shared" si="998"/>
        <v>6684940.0500000026</v>
      </c>
      <c r="R4030" s="44" t="e">
        <f>VLOOKUP(F4030,'Set up'!$A$2:$E$70,5,FALSE)</f>
        <v>#N/A</v>
      </c>
      <c r="S4030" s="1" t="s">
        <v>3946</v>
      </c>
    </row>
    <row r="4031" spans="1:19" ht="16.2" customHeight="1" x14ac:dyDescent="0.3">
      <c r="A4031" s="105" t="s">
        <v>3835</v>
      </c>
      <c r="B4031" s="5">
        <f t="shared" si="993"/>
        <v>6</v>
      </c>
      <c r="C4031" s="5">
        <f t="shared" si="994"/>
        <v>2025</v>
      </c>
      <c r="D4031" s="105" t="s">
        <v>3836</v>
      </c>
      <c r="E4031" s="5" t="e">
        <f>VLOOKUP(F4031,'Set up'!$A$2:$C$70,2,FALSE)</f>
        <v>#N/A</v>
      </c>
      <c r="F4031" s="99" t="s">
        <v>3837</v>
      </c>
      <c r="G4031" s="99" t="s">
        <v>3839</v>
      </c>
      <c r="H4031" s="105">
        <v>2</v>
      </c>
      <c r="I4031" s="5" t="e">
        <f>VLOOKUP(F4031,'Set up'!$A$2:$C$70,3,FALSE)</f>
        <v>#N/A</v>
      </c>
      <c r="J4031" s="5" t="e">
        <f>VLOOKUP(F4031,'Set up'!$A$2:$D$70,4,FALSE)</f>
        <v>#N/A</v>
      </c>
      <c r="K4031" s="4" t="e">
        <f t="shared" si="995"/>
        <v>#N/A</v>
      </c>
      <c r="L4031" s="5" t="e">
        <f t="shared" si="996"/>
        <v>#N/A</v>
      </c>
      <c r="M4031" s="5" t="e">
        <f t="shared" si="997"/>
        <v>#N/A</v>
      </c>
      <c r="N4031" s="135">
        <v>320</v>
      </c>
      <c r="O4031" s="6">
        <f t="shared" si="1001"/>
        <v>-320</v>
      </c>
      <c r="P4031" s="12">
        <f t="shared" si="1000"/>
        <v>0</v>
      </c>
      <c r="Q4031" s="7">
        <f t="shared" si="998"/>
        <v>6685260.0500000026</v>
      </c>
      <c r="R4031" s="44" t="e">
        <f>VLOOKUP(F4031,'Set up'!$A$2:$E$70,5,FALSE)</f>
        <v>#N/A</v>
      </c>
      <c r="S4031" s="1" t="s">
        <v>3946</v>
      </c>
    </row>
    <row r="4032" spans="1:19" ht="16.2" customHeight="1" x14ac:dyDescent="0.3">
      <c r="A4032" s="105" t="s">
        <v>3835</v>
      </c>
      <c r="B4032" s="5">
        <f t="shared" si="993"/>
        <v>6</v>
      </c>
      <c r="C4032" s="5">
        <f t="shared" si="994"/>
        <v>2025</v>
      </c>
      <c r="D4032" s="105" t="s">
        <v>3836</v>
      </c>
      <c r="E4032" s="5" t="e">
        <f>VLOOKUP(F4032,'Set up'!$A$2:$C$70,2,FALSE)</f>
        <v>#N/A</v>
      </c>
      <c r="F4032" s="99" t="s">
        <v>3837</v>
      </c>
      <c r="G4032" s="99" t="s">
        <v>1637</v>
      </c>
      <c r="H4032" s="105">
        <v>1</v>
      </c>
      <c r="I4032" s="5" t="e">
        <f>VLOOKUP(F4032,'Set up'!$A$2:$C$70,3,FALSE)</f>
        <v>#N/A</v>
      </c>
      <c r="J4032" s="5" t="e">
        <f>VLOOKUP(F4032,'Set up'!$A$2:$D$70,4,FALSE)</f>
        <v>#N/A</v>
      </c>
      <c r="K4032" s="4" t="e">
        <f t="shared" si="995"/>
        <v>#N/A</v>
      </c>
      <c r="L4032" s="5" t="e">
        <f t="shared" si="996"/>
        <v>#N/A</v>
      </c>
      <c r="M4032" s="5" t="e">
        <f t="shared" si="997"/>
        <v>#N/A</v>
      </c>
      <c r="N4032" s="135">
        <v>390</v>
      </c>
      <c r="O4032" s="6">
        <f t="shared" si="1001"/>
        <v>-390</v>
      </c>
      <c r="P4032" s="12">
        <f t="shared" si="1000"/>
        <v>0</v>
      </c>
      <c r="Q4032" s="7">
        <f t="shared" si="998"/>
        <v>6685650.0500000026</v>
      </c>
      <c r="R4032" s="44" t="e">
        <f>VLOOKUP(F4032,'Set up'!$A$2:$E$70,5,FALSE)</f>
        <v>#N/A</v>
      </c>
      <c r="S4032" s="1" t="s">
        <v>3946</v>
      </c>
    </row>
    <row r="4033" spans="1:19" ht="16.2" customHeight="1" x14ac:dyDescent="0.3">
      <c r="A4033" s="105" t="s">
        <v>3835</v>
      </c>
      <c r="B4033" s="5">
        <f t="shared" si="993"/>
        <v>6</v>
      </c>
      <c r="C4033" s="5">
        <f t="shared" si="994"/>
        <v>2025</v>
      </c>
      <c r="D4033" s="105" t="s">
        <v>3836</v>
      </c>
      <c r="E4033" s="5" t="e">
        <f>VLOOKUP(F4033,'Set up'!$A$2:$C$70,2,FALSE)</f>
        <v>#N/A</v>
      </c>
      <c r="F4033" s="99" t="s">
        <v>3837</v>
      </c>
      <c r="G4033" s="99" t="s">
        <v>1449</v>
      </c>
      <c r="H4033" s="105">
        <v>2</v>
      </c>
      <c r="I4033" s="5" t="e">
        <f>VLOOKUP(F4033,'Set up'!$A$2:$C$70,3,FALSE)</f>
        <v>#N/A</v>
      </c>
      <c r="J4033" s="5" t="e">
        <f>VLOOKUP(F4033,'Set up'!$A$2:$D$70,4,FALSE)</f>
        <v>#N/A</v>
      </c>
      <c r="K4033" s="4" t="e">
        <f t="shared" si="995"/>
        <v>#N/A</v>
      </c>
      <c r="L4033" s="5" t="e">
        <f t="shared" si="996"/>
        <v>#N/A</v>
      </c>
      <c r="M4033" s="5" t="e">
        <f t="shared" si="997"/>
        <v>#N/A</v>
      </c>
      <c r="N4033" s="135">
        <v>230</v>
      </c>
      <c r="O4033" s="6">
        <f t="shared" si="1001"/>
        <v>-230</v>
      </c>
      <c r="P4033" s="12">
        <f t="shared" si="1000"/>
        <v>0</v>
      </c>
      <c r="Q4033" s="7">
        <f t="shared" si="998"/>
        <v>6685880.0500000026</v>
      </c>
      <c r="R4033" s="44" t="e">
        <f>VLOOKUP(F4033,'Set up'!$A$2:$E$70,5,FALSE)</f>
        <v>#N/A</v>
      </c>
      <c r="S4033" s="1" t="s">
        <v>3946</v>
      </c>
    </row>
    <row r="4034" spans="1:19" ht="16.2" customHeight="1" x14ac:dyDescent="0.3">
      <c r="A4034" s="105" t="s">
        <v>3835</v>
      </c>
      <c r="B4034" s="5">
        <f t="shared" si="993"/>
        <v>6</v>
      </c>
      <c r="C4034" s="5">
        <f t="shared" si="994"/>
        <v>2025</v>
      </c>
      <c r="D4034" s="105" t="s">
        <v>3836</v>
      </c>
      <c r="E4034" s="5" t="e">
        <f>VLOOKUP(F4034,'Set up'!$A$2:$C$70,2,FALSE)</f>
        <v>#N/A</v>
      </c>
      <c r="F4034" s="99" t="s">
        <v>3837</v>
      </c>
      <c r="G4034" s="99" t="s">
        <v>1450</v>
      </c>
      <c r="H4034" s="105">
        <v>1</v>
      </c>
      <c r="I4034" s="5" t="e">
        <f>VLOOKUP(F4034,'Set up'!$A$2:$C$70,3,FALSE)</f>
        <v>#N/A</v>
      </c>
      <c r="J4034" s="5" t="e">
        <f>VLOOKUP(F4034,'Set up'!$A$2:$D$70,4,FALSE)</f>
        <v>#N/A</v>
      </c>
      <c r="K4034" s="4" t="e">
        <f t="shared" si="995"/>
        <v>#N/A</v>
      </c>
      <c r="L4034" s="5" t="e">
        <f t="shared" si="996"/>
        <v>#N/A</v>
      </c>
      <c r="M4034" s="5" t="e">
        <f t="shared" si="997"/>
        <v>#N/A</v>
      </c>
      <c r="N4034" s="135">
        <v>60</v>
      </c>
      <c r="O4034" s="6">
        <f t="shared" si="1001"/>
        <v>-60</v>
      </c>
      <c r="P4034" s="12">
        <f t="shared" si="1000"/>
        <v>0</v>
      </c>
      <c r="Q4034" s="7">
        <f t="shared" si="998"/>
        <v>6685940.0500000026</v>
      </c>
      <c r="R4034" s="44" t="e">
        <f>VLOOKUP(F4034,'Set up'!$A$2:$E$70,5,FALSE)</f>
        <v>#N/A</v>
      </c>
      <c r="S4034" s="1" t="s">
        <v>3946</v>
      </c>
    </row>
    <row r="4035" spans="1:19" ht="16.2" customHeight="1" x14ac:dyDescent="0.3">
      <c r="A4035" s="105" t="s">
        <v>3835</v>
      </c>
      <c r="B4035" s="5">
        <f t="shared" ref="B4035:B4098" si="1002">MONTH(A4035)</f>
        <v>6</v>
      </c>
      <c r="C4035" s="5">
        <f t="shared" ref="C4035:C4098" si="1003">YEAR(A4035)</f>
        <v>2025</v>
      </c>
      <c r="D4035" s="105" t="s">
        <v>3836</v>
      </c>
      <c r="E4035" s="5" t="e">
        <f>VLOOKUP(F4035,'Set up'!$A$2:$C$70,2,FALSE)</f>
        <v>#N/A</v>
      </c>
      <c r="F4035" s="99" t="s">
        <v>3837</v>
      </c>
      <c r="G4035" s="99" t="s">
        <v>3840</v>
      </c>
      <c r="H4035" s="105">
        <v>1</v>
      </c>
      <c r="I4035" s="5" t="e">
        <f>VLOOKUP(F4035,'Set up'!$A$2:$C$70,3,FALSE)</f>
        <v>#N/A</v>
      </c>
      <c r="J4035" s="5" t="e">
        <f>VLOOKUP(F4035,'Set up'!$A$2:$D$70,4,FALSE)</f>
        <v>#N/A</v>
      </c>
      <c r="K4035" s="4" t="e">
        <f t="shared" ref="K4035:K4098" si="1004">A4035+J4035</f>
        <v>#N/A</v>
      </c>
      <c r="L4035" s="5" t="e">
        <f t="shared" ref="L4035:L4098" si="1005">MONTH(K4035)</f>
        <v>#N/A</v>
      </c>
      <c r="M4035" s="5" t="e">
        <f t="shared" ref="M4035:M4098" si="1006">YEAR(K4035)</f>
        <v>#N/A</v>
      </c>
      <c r="N4035" s="135">
        <v>240</v>
      </c>
      <c r="O4035" s="6">
        <f t="shared" si="1001"/>
        <v>-240</v>
      </c>
      <c r="P4035" s="12">
        <f t="shared" si="1000"/>
        <v>0</v>
      </c>
      <c r="Q4035" s="7">
        <f t="shared" ref="Q4035:Q4098" si="1007">SUM(Q4034+N4035)</f>
        <v>6686180.0500000026</v>
      </c>
      <c r="R4035" s="44" t="e">
        <f>VLOOKUP(F4035,'Set up'!$A$2:$E$70,5,FALSE)</f>
        <v>#N/A</v>
      </c>
      <c r="S4035" s="1" t="s">
        <v>3946</v>
      </c>
    </row>
    <row r="4036" spans="1:19" ht="16.2" customHeight="1" x14ac:dyDescent="0.3">
      <c r="A4036" s="105" t="s">
        <v>3835</v>
      </c>
      <c r="B4036" s="5">
        <f t="shared" si="1002"/>
        <v>6</v>
      </c>
      <c r="C4036" s="5">
        <f t="shared" si="1003"/>
        <v>2025</v>
      </c>
      <c r="D4036" s="105" t="s">
        <v>3836</v>
      </c>
      <c r="E4036" s="5" t="e">
        <f>VLOOKUP(F4036,'Set up'!$A$2:$C$70,2,FALSE)</f>
        <v>#N/A</v>
      </c>
      <c r="F4036" s="99" t="s">
        <v>3837</v>
      </c>
      <c r="G4036" s="99" t="s">
        <v>3841</v>
      </c>
      <c r="H4036" s="105">
        <v>1</v>
      </c>
      <c r="I4036" s="5" t="e">
        <f>VLOOKUP(F4036,'Set up'!$A$2:$C$70,3,FALSE)</f>
        <v>#N/A</v>
      </c>
      <c r="J4036" s="5" t="e">
        <f>VLOOKUP(F4036,'Set up'!$A$2:$D$70,4,FALSE)</f>
        <v>#N/A</v>
      </c>
      <c r="K4036" s="4" t="e">
        <f t="shared" si="1004"/>
        <v>#N/A</v>
      </c>
      <c r="L4036" s="5" t="e">
        <f t="shared" si="1005"/>
        <v>#N/A</v>
      </c>
      <c r="M4036" s="5" t="e">
        <f t="shared" si="1006"/>
        <v>#N/A</v>
      </c>
      <c r="N4036" s="135">
        <v>300</v>
      </c>
      <c r="O4036" s="6">
        <f t="shared" si="1001"/>
        <v>-300</v>
      </c>
      <c r="P4036" s="12">
        <f t="shared" si="1000"/>
        <v>0</v>
      </c>
      <c r="Q4036" s="7">
        <f t="shared" si="1007"/>
        <v>6686480.0500000026</v>
      </c>
      <c r="R4036" s="44" t="e">
        <f>VLOOKUP(F4036,'Set up'!$A$2:$E$70,5,FALSE)</f>
        <v>#N/A</v>
      </c>
      <c r="S4036" s="1" t="s">
        <v>3946</v>
      </c>
    </row>
    <row r="4037" spans="1:19" ht="16.2" customHeight="1" x14ac:dyDescent="0.3">
      <c r="A4037" s="105" t="s">
        <v>3835</v>
      </c>
      <c r="B4037" s="5">
        <f t="shared" si="1002"/>
        <v>6</v>
      </c>
      <c r="C4037" s="5">
        <f t="shared" si="1003"/>
        <v>2025</v>
      </c>
      <c r="D4037" s="105" t="s">
        <v>3836</v>
      </c>
      <c r="E4037" s="5" t="e">
        <f>VLOOKUP(F4037,'Set up'!$A$2:$C$70,2,FALSE)</f>
        <v>#N/A</v>
      </c>
      <c r="F4037" s="99" t="s">
        <v>3837</v>
      </c>
      <c r="G4037" s="99" t="s">
        <v>3842</v>
      </c>
      <c r="H4037" s="105">
        <v>1</v>
      </c>
      <c r="I4037" s="5" t="e">
        <f>VLOOKUP(F4037,'Set up'!$A$2:$C$70,3,FALSE)</f>
        <v>#N/A</v>
      </c>
      <c r="J4037" s="5" t="e">
        <f>VLOOKUP(F4037,'Set up'!$A$2:$D$70,4,FALSE)</f>
        <v>#N/A</v>
      </c>
      <c r="K4037" s="4" t="e">
        <f t="shared" si="1004"/>
        <v>#N/A</v>
      </c>
      <c r="L4037" s="5" t="e">
        <f t="shared" si="1005"/>
        <v>#N/A</v>
      </c>
      <c r="M4037" s="5" t="e">
        <f t="shared" si="1006"/>
        <v>#N/A</v>
      </c>
      <c r="N4037" s="135">
        <v>170</v>
      </c>
      <c r="O4037" s="6">
        <f t="shared" si="1001"/>
        <v>-170</v>
      </c>
      <c r="P4037" s="12">
        <f t="shared" si="1000"/>
        <v>0</v>
      </c>
      <c r="Q4037" s="7">
        <f t="shared" si="1007"/>
        <v>6686650.0500000026</v>
      </c>
      <c r="R4037" s="44" t="e">
        <f>VLOOKUP(F4037,'Set up'!$A$2:$E$70,5,FALSE)</f>
        <v>#N/A</v>
      </c>
      <c r="S4037" s="1" t="s">
        <v>3946</v>
      </c>
    </row>
    <row r="4038" spans="1:19" ht="16.2" customHeight="1" x14ac:dyDescent="0.3">
      <c r="A4038" s="105" t="s">
        <v>3843</v>
      </c>
      <c r="B4038" s="5">
        <f t="shared" si="1002"/>
        <v>6</v>
      </c>
      <c r="C4038" s="5">
        <f t="shared" si="1003"/>
        <v>2025</v>
      </c>
      <c r="D4038" s="105" t="s">
        <v>3844</v>
      </c>
      <c r="E4038" s="5" t="str">
        <f>VLOOKUP(F4038,'Set up'!$A$2:$C$70,2,FALSE)</f>
        <v>C00000042</v>
      </c>
      <c r="F4038" s="99" t="s">
        <v>2012</v>
      </c>
      <c r="G4038" s="99" t="s">
        <v>2646</v>
      </c>
      <c r="H4038" s="105">
        <v>1</v>
      </c>
      <c r="I4038" s="5" t="str">
        <f>VLOOKUP(F4038,'Set up'!$A$2:$C$70,3,FALSE)</f>
        <v>Cash</v>
      </c>
      <c r="J4038" s="5">
        <f>VLOOKUP(F4038,'Set up'!$A$2:$D$70,4,FALSE)</f>
        <v>0</v>
      </c>
      <c r="K4038" s="4">
        <f t="shared" si="1004"/>
        <v>45813</v>
      </c>
      <c r="L4038" s="5">
        <f t="shared" si="1005"/>
        <v>6</v>
      </c>
      <c r="M4038" s="5">
        <f t="shared" si="1006"/>
        <v>2025</v>
      </c>
      <c r="N4038" s="135">
        <v>62.5</v>
      </c>
      <c r="P4038" s="12">
        <f t="shared" si="1000"/>
        <v>62.5</v>
      </c>
      <c r="Q4038" s="7">
        <f t="shared" si="1007"/>
        <v>6686712.5500000026</v>
      </c>
      <c r="R4038" s="44" t="str">
        <f>VLOOKUP(F4038,'Set up'!$A$2:$E$70,5,FALSE)</f>
        <v>Trsf</v>
      </c>
    </row>
    <row r="4039" spans="1:19" ht="16.2" customHeight="1" x14ac:dyDescent="0.3">
      <c r="A4039" s="144" t="s">
        <v>3843</v>
      </c>
      <c r="B4039" s="5">
        <f t="shared" si="1002"/>
        <v>6</v>
      </c>
      <c r="C4039" s="5">
        <f t="shared" si="1003"/>
        <v>2025</v>
      </c>
      <c r="D4039" s="105" t="s">
        <v>3845</v>
      </c>
      <c r="E4039" s="5" t="str">
        <f>VLOOKUP(F4039,'Set up'!$A$2:$C$70,2,FALSE)</f>
        <v>C00000042</v>
      </c>
      <c r="F4039" s="99" t="s">
        <v>2012</v>
      </c>
      <c r="G4039" s="99" t="s">
        <v>3217</v>
      </c>
      <c r="H4039" s="105">
        <v>3</v>
      </c>
      <c r="I4039" s="5" t="str">
        <f>VLOOKUP(F4039,'Set up'!$A$2:$C$70,3,FALSE)</f>
        <v>Cash</v>
      </c>
      <c r="J4039" s="5">
        <f>VLOOKUP(F4039,'Set up'!$A$2:$D$70,4,FALSE)</f>
        <v>0</v>
      </c>
      <c r="K4039" s="4">
        <f t="shared" si="1004"/>
        <v>45813</v>
      </c>
      <c r="L4039" s="5">
        <f t="shared" si="1005"/>
        <v>6</v>
      </c>
      <c r="M4039" s="5">
        <f t="shared" si="1006"/>
        <v>2025</v>
      </c>
      <c r="N4039" s="135">
        <v>4860</v>
      </c>
      <c r="P4039" s="12">
        <f t="shared" si="1000"/>
        <v>4860</v>
      </c>
      <c r="Q4039" s="7">
        <f t="shared" si="1007"/>
        <v>6691572.5500000026</v>
      </c>
      <c r="R4039" s="44" t="str">
        <f>VLOOKUP(F4039,'Set up'!$A$2:$E$70,5,FALSE)</f>
        <v>Trsf</v>
      </c>
    </row>
    <row r="4040" spans="1:19" ht="16.2" customHeight="1" x14ac:dyDescent="0.3">
      <c r="A4040" s="144" t="s">
        <v>3843</v>
      </c>
      <c r="B4040" s="5">
        <f t="shared" si="1002"/>
        <v>6</v>
      </c>
      <c r="C4040" s="5">
        <f t="shared" si="1003"/>
        <v>2025</v>
      </c>
      <c r="D4040" s="105" t="s">
        <v>3845</v>
      </c>
      <c r="E4040" s="5" t="str">
        <f>VLOOKUP(F4040,'Set up'!$A$2:$C$70,2,FALSE)</f>
        <v>C00000042</v>
      </c>
      <c r="F4040" s="99" t="s">
        <v>2012</v>
      </c>
      <c r="G4040" s="99" t="s">
        <v>2129</v>
      </c>
      <c r="H4040" s="105">
        <v>9</v>
      </c>
      <c r="I4040" s="5" t="str">
        <f>VLOOKUP(F4040,'Set up'!$A$2:$C$70,3,FALSE)</f>
        <v>Cash</v>
      </c>
      <c r="J4040" s="5">
        <f>VLOOKUP(F4040,'Set up'!$A$2:$D$70,4,FALSE)</f>
        <v>0</v>
      </c>
      <c r="K4040" s="4">
        <f t="shared" si="1004"/>
        <v>45813</v>
      </c>
      <c r="L4040" s="5">
        <f t="shared" si="1005"/>
        <v>6</v>
      </c>
      <c r="M4040" s="5">
        <f t="shared" si="1006"/>
        <v>2025</v>
      </c>
      <c r="N4040" s="135">
        <v>1964.7</v>
      </c>
      <c r="P4040" s="12">
        <f t="shared" si="1000"/>
        <v>1964.7</v>
      </c>
      <c r="Q4040" s="7">
        <f t="shared" si="1007"/>
        <v>6693537.2500000028</v>
      </c>
      <c r="R4040" s="44" t="str">
        <f>VLOOKUP(F4040,'Set up'!$A$2:$E$70,5,FALSE)</f>
        <v>Trsf</v>
      </c>
    </row>
    <row r="4041" spans="1:19" ht="16.2" customHeight="1" x14ac:dyDescent="0.3">
      <c r="A4041" s="144" t="s">
        <v>3843</v>
      </c>
      <c r="B4041" s="5">
        <f t="shared" si="1002"/>
        <v>6</v>
      </c>
      <c r="C4041" s="5">
        <f t="shared" si="1003"/>
        <v>2025</v>
      </c>
      <c r="D4041" s="105" t="s">
        <v>3845</v>
      </c>
      <c r="E4041" s="5" t="str">
        <f>VLOOKUP(F4041,'Set up'!$A$2:$C$70,2,FALSE)</f>
        <v>C00000042</v>
      </c>
      <c r="F4041" s="99" t="s">
        <v>2012</v>
      </c>
      <c r="G4041" s="99" t="s">
        <v>1922</v>
      </c>
      <c r="H4041" s="105">
        <v>4</v>
      </c>
      <c r="I4041" s="5" t="str">
        <f>VLOOKUP(F4041,'Set up'!$A$2:$C$70,3,FALSE)</f>
        <v>Cash</v>
      </c>
      <c r="J4041" s="5">
        <f>VLOOKUP(F4041,'Set up'!$A$2:$D$70,4,FALSE)</f>
        <v>0</v>
      </c>
      <c r="K4041" s="4">
        <f t="shared" si="1004"/>
        <v>45813</v>
      </c>
      <c r="L4041" s="5">
        <f t="shared" si="1005"/>
        <v>6</v>
      </c>
      <c r="M4041" s="5">
        <f t="shared" si="1006"/>
        <v>2025</v>
      </c>
      <c r="N4041" s="135">
        <v>990</v>
      </c>
      <c r="P4041" s="12">
        <f t="shared" si="1000"/>
        <v>990</v>
      </c>
      <c r="Q4041" s="7">
        <f t="shared" si="1007"/>
        <v>6694527.2500000028</v>
      </c>
      <c r="R4041" s="44" t="str">
        <f>VLOOKUP(F4041,'Set up'!$A$2:$E$70,5,FALSE)</f>
        <v>Trsf</v>
      </c>
    </row>
    <row r="4042" spans="1:19" ht="16.2" customHeight="1" x14ac:dyDescent="0.3">
      <c r="A4042" s="144" t="s">
        <v>3843</v>
      </c>
      <c r="B4042" s="5">
        <f t="shared" si="1002"/>
        <v>6</v>
      </c>
      <c r="C4042" s="5">
        <f t="shared" si="1003"/>
        <v>2025</v>
      </c>
      <c r="D4042" s="105" t="s">
        <v>3845</v>
      </c>
      <c r="E4042" s="5" t="str">
        <f>VLOOKUP(F4042,'Set up'!$A$2:$C$70,2,FALSE)</f>
        <v>C00000042</v>
      </c>
      <c r="F4042" s="99" t="s">
        <v>2012</v>
      </c>
      <c r="G4042" s="99" t="s">
        <v>46</v>
      </c>
      <c r="H4042" s="105">
        <v>4</v>
      </c>
      <c r="I4042" s="5" t="str">
        <f>VLOOKUP(F4042,'Set up'!$A$2:$C$70,3,FALSE)</f>
        <v>Cash</v>
      </c>
      <c r="J4042" s="5">
        <f>VLOOKUP(F4042,'Set up'!$A$2:$D$70,4,FALSE)</f>
        <v>0</v>
      </c>
      <c r="K4042" s="4">
        <f t="shared" si="1004"/>
        <v>45813</v>
      </c>
      <c r="L4042" s="5">
        <f t="shared" si="1005"/>
        <v>6</v>
      </c>
      <c r="M4042" s="5">
        <f t="shared" si="1006"/>
        <v>2025</v>
      </c>
      <c r="N4042" s="135">
        <v>460</v>
      </c>
      <c r="P4042" s="12">
        <f t="shared" si="1000"/>
        <v>460</v>
      </c>
      <c r="Q4042" s="7">
        <f t="shared" si="1007"/>
        <v>6694987.2500000028</v>
      </c>
      <c r="R4042" s="44" t="str">
        <f>VLOOKUP(F4042,'Set up'!$A$2:$E$70,5,FALSE)</f>
        <v>Trsf</v>
      </c>
    </row>
    <row r="4043" spans="1:19" ht="16.2" customHeight="1" x14ac:dyDescent="0.3">
      <c r="A4043" s="144" t="s">
        <v>3843</v>
      </c>
      <c r="B4043" s="5">
        <f t="shared" si="1002"/>
        <v>6</v>
      </c>
      <c r="C4043" s="5">
        <f t="shared" si="1003"/>
        <v>2025</v>
      </c>
      <c r="D4043" s="105" t="s">
        <v>3845</v>
      </c>
      <c r="E4043" s="5" t="str">
        <f>VLOOKUP(F4043,'Set up'!$A$2:$C$70,2,FALSE)</f>
        <v>C00000042</v>
      </c>
      <c r="F4043" s="99" t="s">
        <v>2012</v>
      </c>
      <c r="G4043" s="99" t="s">
        <v>3645</v>
      </c>
      <c r="H4043" s="105">
        <v>1</v>
      </c>
      <c r="I4043" s="5" t="str">
        <f>VLOOKUP(F4043,'Set up'!$A$2:$C$70,3,FALSE)</f>
        <v>Cash</v>
      </c>
      <c r="J4043" s="5">
        <f>VLOOKUP(F4043,'Set up'!$A$2:$D$70,4,FALSE)</f>
        <v>0</v>
      </c>
      <c r="K4043" s="4">
        <f t="shared" si="1004"/>
        <v>45813</v>
      </c>
      <c r="L4043" s="5">
        <f t="shared" si="1005"/>
        <v>6</v>
      </c>
      <c r="M4043" s="5">
        <f t="shared" si="1006"/>
        <v>2025</v>
      </c>
      <c r="N4043" s="135">
        <v>1620</v>
      </c>
      <c r="P4043" s="12">
        <f t="shared" si="1000"/>
        <v>1620</v>
      </c>
      <c r="Q4043" s="7">
        <f t="shared" si="1007"/>
        <v>6696607.2500000028</v>
      </c>
      <c r="R4043" s="44" t="str">
        <f>VLOOKUP(F4043,'Set up'!$A$2:$E$70,5,FALSE)</f>
        <v>Trsf</v>
      </c>
    </row>
    <row r="4044" spans="1:19" ht="16.2" customHeight="1" x14ac:dyDescent="0.3">
      <c r="A4044" s="105" t="s">
        <v>3846</v>
      </c>
      <c r="B4044" s="5">
        <f t="shared" si="1002"/>
        <v>6</v>
      </c>
      <c r="C4044" s="5">
        <f t="shared" si="1003"/>
        <v>2025</v>
      </c>
      <c r="D4044" s="105" t="s">
        <v>3847</v>
      </c>
      <c r="E4044" s="5" t="str">
        <f>VLOOKUP(F4044,'Set up'!$A$2:$C$70,2,FALSE)</f>
        <v>C00000042</v>
      </c>
      <c r="F4044" s="99" t="s">
        <v>2012</v>
      </c>
      <c r="G4044" s="99" t="s">
        <v>2646</v>
      </c>
      <c r="H4044" s="105">
        <v>1</v>
      </c>
      <c r="I4044" s="5" t="str">
        <f>VLOOKUP(F4044,'Set up'!$A$2:$C$70,3,FALSE)</f>
        <v>Cash</v>
      </c>
      <c r="J4044" s="5">
        <f>VLOOKUP(F4044,'Set up'!$A$2:$D$70,4,FALSE)</f>
        <v>0</v>
      </c>
      <c r="K4044" s="4">
        <f t="shared" si="1004"/>
        <v>45814</v>
      </c>
      <c r="L4044" s="5">
        <f t="shared" si="1005"/>
        <v>6</v>
      </c>
      <c r="M4044" s="5">
        <f t="shared" si="1006"/>
        <v>2025</v>
      </c>
      <c r="N4044" s="135">
        <v>62.5</v>
      </c>
      <c r="P4044" s="12">
        <f t="shared" si="1000"/>
        <v>62.5</v>
      </c>
      <c r="Q4044" s="7">
        <f t="shared" si="1007"/>
        <v>6696669.7500000028</v>
      </c>
      <c r="R4044" s="44" t="str">
        <f>VLOOKUP(F4044,'Set up'!$A$2:$E$70,5,FALSE)</f>
        <v>Trsf</v>
      </c>
    </row>
    <row r="4045" spans="1:19" ht="16.2" customHeight="1" x14ac:dyDescent="0.3">
      <c r="A4045" s="105" t="s">
        <v>3846</v>
      </c>
      <c r="B4045" s="5">
        <f t="shared" si="1002"/>
        <v>6</v>
      </c>
      <c r="C4045" s="5">
        <f t="shared" si="1003"/>
        <v>2025</v>
      </c>
      <c r="D4045" s="105" t="s">
        <v>3848</v>
      </c>
      <c r="E4045" s="5" t="str">
        <f>VLOOKUP(F4045,'Set up'!$A$2:$C$70,2,FALSE)</f>
        <v>C00000042</v>
      </c>
      <c r="F4045" s="99" t="s">
        <v>2012</v>
      </c>
      <c r="G4045" s="99" t="s">
        <v>3217</v>
      </c>
      <c r="H4045" s="105">
        <v>2</v>
      </c>
      <c r="I4045" s="5" t="str">
        <f>VLOOKUP(F4045,'Set up'!$A$2:$C$70,3,FALSE)</f>
        <v>Cash</v>
      </c>
      <c r="J4045" s="5">
        <f>VLOOKUP(F4045,'Set up'!$A$2:$D$70,4,FALSE)</f>
        <v>0</v>
      </c>
      <c r="K4045" s="4">
        <f t="shared" si="1004"/>
        <v>45814</v>
      </c>
      <c r="L4045" s="5">
        <f t="shared" si="1005"/>
        <v>6</v>
      </c>
      <c r="M4045" s="5">
        <f t="shared" si="1006"/>
        <v>2025</v>
      </c>
      <c r="N4045" s="135">
        <v>3240</v>
      </c>
      <c r="P4045" s="12">
        <f t="shared" si="1000"/>
        <v>3240</v>
      </c>
      <c r="Q4045" s="7">
        <f t="shared" si="1007"/>
        <v>6699909.7500000028</v>
      </c>
      <c r="R4045" s="44" t="str">
        <f>VLOOKUP(F4045,'Set up'!$A$2:$E$70,5,FALSE)</f>
        <v>Trsf</v>
      </c>
    </row>
    <row r="4046" spans="1:19" ht="16.2" customHeight="1" x14ac:dyDescent="0.3">
      <c r="A4046" s="105" t="s">
        <v>3846</v>
      </c>
      <c r="B4046" s="5">
        <f t="shared" si="1002"/>
        <v>6</v>
      </c>
      <c r="C4046" s="5">
        <f t="shared" si="1003"/>
        <v>2025</v>
      </c>
      <c r="D4046" s="105" t="s">
        <v>3848</v>
      </c>
      <c r="E4046" s="5" t="str">
        <f>VLOOKUP(F4046,'Set up'!$A$2:$C$70,2,FALSE)</f>
        <v>C00000042</v>
      </c>
      <c r="F4046" s="99" t="s">
        <v>2012</v>
      </c>
      <c r="G4046" s="99" t="s">
        <v>2129</v>
      </c>
      <c r="H4046" s="105">
        <v>6</v>
      </c>
      <c r="I4046" s="5" t="str">
        <f>VLOOKUP(F4046,'Set up'!$A$2:$C$70,3,FALSE)</f>
        <v>Cash</v>
      </c>
      <c r="J4046" s="5">
        <f>VLOOKUP(F4046,'Set up'!$A$2:$D$70,4,FALSE)</f>
        <v>0</v>
      </c>
      <c r="K4046" s="4">
        <f t="shared" si="1004"/>
        <v>45814</v>
      </c>
      <c r="L4046" s="5">
        <f t="shared" si="1005"/>
        <v>6</v>
      </c>
      <c r="M4046" s="5">
        <f t="shared" si="1006"/>
        <v>2025</v>
      </c>
      <c r="N4046" s="135">
        <v>1309.8</v>
      </c>
      <c r="P4046" s="12">
        <f t="shared" si="1000"/>
        <v>1309.8</v>
      </c>
      <c r="Q4046" s="7">
        <f t="shared" si="1007"/>
        <v>6701219.5500000026</v>
      </c>
      <c r="R4046" s="44" t="str">
        <f>VLOOKUP(F4046,'Set up'!$A$2:$E$70,5,FALSE)</f>
        <v>Trsf</v>
      </c>
    </row>
    <row r="4047" spans="1:19" ht="16.2" customHeight="1" x14ac:dyDescent="0.3">
      <c r="A4047" s="105" t="s">
        <v>3846</v>
      </c>
      <c r="B4047" s="5">
        <f t="shared" si="1002"/>
        <v>6</v>
      </c>
      <c r="C4047" s="5">
        <f t="shared" si="1003"/>
        <v>2025</v>
      </c>
      <c r="D4047" s="105" t="s">
        <v>3848</v>
      </c>
      <c r="E4047" s="5" t="str">
        <f>VLOOKUP(F4047,'Set up'!$A$2:$C$70,2,FALSE)</f>
        <v>C00000042</v>
      </c>
      <c r="F4047" s="99" t="s">
        <v>2012</v>
      </c>
      <c r="G4047" s="99" t="s">
        <v>1922</v>
      </c>
      <c r="H4047" s="105">
        <v>3</v>
      </c>
      <c r="I4047" s="5" t="str">
        <f>VLOOKUP(F4047,'Set up'!$A$2:$C$70,3,FALSE)</f>
        <v>Cash</v>
      </c>
      <c r="J4047" s="5">
        <f>VLOOKUP(F4047,'Set up'!$A$2:$D$70,4,FALSE)</f>
        <v>0</v>
      </c>
      <c r="K4047" s="4">
        <f t="shared" si="1004"/>
        <v>45814</v>
      </c>
      <c r="L4047" s="5">
        <f t="shared" si="1005"/>
        <v>6</v>
      </c>
      <c r="M4047" s="5">
        <f t="shared" si="1006"/>
        <v>2025</v>
      </c>
      <c r="N4047" s="135">
        <v>742.5</v>
      </c>
      <c r="P4047" s="12">
        <f t="shared" si="1000"/>
        <v>742.5</v>
      </c>
      <c r="Q4047" s="7">
        <f t="shared" si="1007"/>
        <v>6701962.0500000026</v>
      </c>
      <c r="R4047" s="44" t="str">
        <f>VLOOKUP(F4047,'Set up'!$A$2:$E$70,5,FALSE)</f>
        <v>Trsf</v>
      </c>
    </row>
    <row r="4048" spans="1:19" ht="16.2" customHeight="1" x14ac:dyDescent="0.3">
      <c r="A4048" s="105" t="s">
        <v>3846</v>
      </c>
      <c r="B4048" s="5">
        <f t="shared" si="1002"/>
        <v>6</v>
      </c>
      <c r="C4048" s="5">
        <f t="shared" si="1003"/>
        <v>2025</v>
      </c>
      <c r="D4048" s="105" t="s">
        <v>3848</v>
      </c>
      <c r="E4048" s="5" t="str">
        <f>VLOOKUP(F4048,'Set up'!$A$2:$C$70,2,FALSE)</f>
        <v>C00000042</v>
      </c>
      <c r="F4048" s="99" t="s">
        <v>2012</v>
      </c>
      <c r="G4048" s="99" t="s">
        <v>1073</v>
      </c>
      <c r="H4048" s="105">
        <v>1</v>
      </c>
      <c r="I4048" s="5" t="str">
        <f>VLOOKUP(F4048,'Set up'!$A$2:$C$70,3,FALSE)</f>
        <v>Cash</v>
      </c>
      <c r="J4048" s="5">
        <f>VLOOKUP(F4048,'Set up'!$A$2:$D$70,4,FALSE)</f>
        <v>0</v>
      </c>
      <c r="K4048" s="4">
        <f t="shared" si="1004"/>
        <v>45814</v>
      </c>
      <c r="L4048" s="5">
        <f t="shared" si="1005"/>
        <v>6</v>
      </c>
      <c r="M4048" s="5">
        <f t="shared" si="1006"/>
        <v>2025</v>
      </c>
      <c r="N4048" s="135">
        <v>1000</v>
      </c>
      <c r="P4048" s="12">
        <f t="shared" si="1000"/>
        <v>1000</v>
      </c>
      <c r="Q4048" s="7">
        <f t="shared" si="1007"/>
        <v>6702962.0500000026</v>
      </c>
      <c r="R4048" s="44" t="str">
        <f>VLOOKUP(F4048,'Set up'!$A$2:$E$70,5,FALSE)</f>
        <v>Trsf</v>
      </c>
    </row>
    <row r="4049" spans="1:19" ht="16.2" customHeight="1" x14ac:dyDescent="0.3">
      <c r="A4049" s="105" t="s">
        <v>3846</v>
      </c>
      <c r="B4049" s="5">
        <f t="shared" si="1002"/>
        <v>6</v>
      </c>
      <c r="C4049" s="5">
        <f t="shared" si="1003"/>
        <v>2025</v>
      </c>
      <c r="D4049" s="105" t="s">
        <v>3849</v>
      </c>
      <c r="E4049" s="5" t="str">
        <f>VLOOKUP(F4049,'Set up'!$A$2:$C$70,2,FALSE)</f>
        <v>C00000019</v>
      </c>
      <c r="F4049" s="99" t="s">
        <v>400</v>
      </c>
      <c r="G4049" s="99" t="s">
        <v>3122</v>
      </c>
      <c r="H4049" s="105">
        <v>1</v>
      </c>
      <c r="I4049" s="5" t="str">
        <f>VLOOKUP(F4049,'Set up'!$A$2:$C$70,3,FALSE)</f>
        <v>Cash</v>
      </c>
      <c r="J4049" s="5">
        <f>VLOOKUP(F4049,'Set up'!$A$2:$D$70,4,FALSE)</f>
        <v>0</v>
      </c>
      <c r="K4049" s="4">
        <f t="shared" si="1004"/>
        <v>45814</v>
      </c>
      <c r="L4049" s="5">
        <f t="shared" si="1005"/>
        <v>6</v>
      </c>
      <c r="M4049" s="5">
        <f t="shared" si="1006"/>
        <v>2025</v>
      </c>
      <c r="N4049" s="135">
        <v>1710</v>
      </c>
      <c r="P4049" s="12">
        <f t="shared" si="1000"/>
        <v>1710</v>
      </c>
      <c r="Q4049" s="7">
        <f t="shared" si="1007"/>
        <v>6704672.0500000026</v>
      </c>
      <c r="R4049" s="44" t="str">
        <f>VLOOKUP(F4049,'Set up'!$A$2:$E$70,5,FALSE)</f>
        <v>Trsf</v>
      </c>
    </row>
    <row r="4050" spans="1:19" ht="16.2" customHeight="1" x14ac:dyDescent="0.3">
      <c r="A4050" s="105" t="s">
        <v>3846</v>
      </c>
      <c r="B4050" s="5">
        <f t="shared" si="1002"/>
        <v>6</v>
      </c>
      <c r="C4050" s="5">
        <f t="shared" si="1003"/>
        <v>2025</v>
      </c>
      <c r="D4050" s="105" t="s">
        <v>3849</v>
      </c>
      <c r="E4050" s="5" t="str">
        <f>VLOOKUP(F4050,'Set up'!$A$2:$C$70,2,FALSE)</f>
        <v>C00000019</v>
      </c>
      <c r="F4050" s="99" t="s">
        <v>400</v>
      </c>
      <c r="G4050" s="99" t="s">
        <v>46</v>
      </c>
      <c r="H4050" s="105">
        <v>1</v>
      </c>
      <c r="I4050" s="5" t="str">
        <f>VLOOKUP(F4050,'Set up'!$A$2:$C$70,3,FALSE)</f>
        <v>Cash</v>
      </c>
      <c r="J4050" s="5">
        <f>VLOOKUP(F4050,'Set up'!$A$2:$D$70,4,FALSE)</f>
        <v>0</v>
      </c>
      <c r="K4050" s="4">
        <f t="shared" si="1004"/>
        <v>45814</v>
      </c>
      <c r="L4050" s="5">
        <f t="shared" si="1005"/>
        <v>6</v>
      </c>
      <c r="M4050" s="5">
        <f t="shared" si="1006"/>
        <v>2025</v>
      </c>
      <c r="N4050" s="135">
        <v>110</v>
      </c>
      <c r="P4050" s="12">
        <f t="shared" si="1000"/>
        <v>110</v>
      </c>
      <c r="Q4050" s="7">
        <f t="shared" si="1007"/>
        <v>6704782.0500000026</v>
      </c>
      <c r="R4050" s="44" t="str">
        <f>VLOOKUP(F4050,'Set up'!$A$2:$E$70,5,FALSE)</f>
        <v>Trsf</v>
      </c>
    </row>
    <row r="4051" spans="1:19" ht="16.2" customHeight="1" x14ac:dyDescent="0.3">
      <c r="A4051" s="105" t="s">
        <v>3846</v>
      </c>
      <c r="B4051" s="5">
        <f t="shared" si="1002"/>
        <v>6</v>
      </c>
      <c r="C4051" s="5">
        <f t="shared" si="1003"/>
        <v>2025</v>
      </c>
      <c r="D4051" s="105" t="s">
        <v>3849</v>
      </c>
      <c r="E4051" s="5" t="str">
        <f>VLOOKUP(F4051,'Set up'!$A$2:$C$70,2,FALSE)</f>
        <v>C00000019</v>
      </c>
      <c r="F4051" s="99" t="s">
        <v>400</v>
      </c>
      <c r="G4051" s="99" t="s">
        <v>1469</v>
      </c>
      <c r="H4051" s="105">
        <v>1</v>
      </c>
      <c r="I4051" s="5" t="str">
        <f>VLOOKUP(F4051,'Set up'!$A$2:$C$70,3,FALSE)</f>
        <v>Cash</v>
      </c>
      <c r="J4051" s="5">
        <f>VLOOKUP(F4051,'Set up'!$A$2:$D$70,4,FALSE)</f>
        <v>0</v>
      </c>
      <c r="K4051" s="4">
        <f t="shared" si="1004"/>
        <v>45814</v>
      </c>
      <c r="L4051" s="5">
        <f t="shared" si="1005"/>
        <v>6</v>
      </c>
      <c r="M4051" s="5">
        <f t="shared" si="1006"/>
        <v>2025</v>
      </c>
      <c r="N4051" s="135">
        <v>390</v>
      </c>
      <c r="P4051" s="12">
        <f t="shared" si="1000"/>
        <v>390</v>
      </c>
      <c r="Q4051" s="7">
        <f t="shared" si="1007"/>
        <v>6705172.0500000026</v>
      </c>
      <c r="R4051" s="44" t="str">
        <f>VLOOKUP(F4051,'Set up'!$A$2:$E$70,5,FALSE)</f>
        <v>Trsf</v>
      </c>
    </row>
    <row r="4052" spans="1:19" ht="16.2" customHeight="1" x14ac:dyDescent="0.3">
      <c r="A4052" s="105" t="s">
        <v>3846</v>
      </c>
      <c r="B4052" s="5">
        <f t="shared" si="1002"/>
        <v>6</v>
      </c>
      <c r="C4052" s="5">
        <f t="shared" si="1003"/>
        <v>2025</v>
      </c>
      <c r="D4052" s="105" t="s">
        <v>3849</v>
      </c>
      <c r="E4052" s="5" t="str">
        <f>VLOOKUP(F4052,'Set up'!$A$2:$C$70,2,FALSE)</f>
        <v>C00000019</v>
      </c>
      <c r="F4052" s="99" t="s">
        <v>400</v>
      </c>
      <c r="G4052" s="99" t="s">
        <v>894</v>
      </c>
      <c r="H4052" s="105">
        <v>1</v>
      </c>
      <c r="I4052" s="5" t="str">
        <f>VLOOKUP(F4052,'Set up'!$A$2:$C$70,3,FALSE)</f>
        <v>Cash</v>
      </c>
      <c r="J4052" s="5">
        <f>VLOOKUP(F4052,'Set up'!$A$2:$D$70,4,FALSE)</f>
        <v>0</v>
      </c>
      <c r="K4052" s="4">
        <f t="shared" si="1004"/>
        <v>45814</v>
      </c>
      <c r="L4052" s="5">
        <f t="shared" si="1005"/>
        <v>6</v>
      </c>
      <c r="M4052" s="5">
        <f t="shared" si="1006"/>
        <v>2025</v>
      </c>
      <c r="N4052" s="135">
        <v>150</v>
      </c>
      <c r="P4052" s="12">
        <f t="shared" si="1000"/>
        <v>150</v>
      </c>
      <c r="Q4052" s="7">
        <f t="shared" si="1007"/>
        <v>6705322.0500000026</v>
      </c>
      <c r="R4052" s="44" t="str">
        <f>VLOOKUP(F4052,'Set up'!$A$2:$E$70,5,FALSE)</f>
        <v>Trsf</v>
      </c>
    </row>
    <row r="4053" spans="1:19" ht="16.05" customHeight="1" x14ac:dyDescent="0.3">
      <c r="A4053" s="105" t="s">
        <v>3850</v>
      </c>
      <c r="B4053" s="5">
        <f t="shared" si="1002"/>
        <v>6</v>
      </c>
      <c r="C4053" s="5">
        <f t="shared" si="1003"/>
        <v>2025</v>
      </c>
      <c r="D4053" s="105" t="s">
        <v>3851</v>
      </c>
      <c r="E4053" s="5" t="str">
        <f>VLOOKUP(F4053,'Set up'!$A$2:$C$70,2,FALSE)</f>
        <v>C00000061</v>
      </c>
      <c r="F4053" s="99" t="s">
        <v>3532</v>
      </c>
      <c r="G4053" s="99" t="s">
        <v>3122</v>
      </c>
      <c r="H4053" s="105">
        <v>1</v>
      </c>
      <c r="I4053" s="5" t="str">
        <f>VLOOKUP(F4053,'Set up'!$A$2:$C$70,3,FALSE)</f>
        <v>Cash</v>
      </c>
      <c r="J4053" s="5">
        <f>VLOOKUP(F4053,'Set up'!$A$2:$D$70,4,FALSE)</f>
        <v>0</v>
      </c>
      <c r="K4053" s="4">
        <f t="shared" si="1004"/>
        <v>45815</v>
      </c>
      <c r="L4053" s="5">
        <f t="shared" si="1005"/>
        <v>6</v>
      </c>
      <c r="M4053" s="5">
        <f t="shared" si="1006"/>
        <v>2025</v>
      </c>
      <c r="N4053" s="135">
        <v>1642.5</v>
      </c>
      <c r="P4053" s="12">
        <f t="shared" si="1000"/>
        <v>1642.5</v>
      </c>
      <c r="Q4053" s="7">
        <f t="shared" si="1007"/>
        <v>6706964.5500000026</v>
      </c>
      <c r="R4053" s="44" t="str">
        <f>VLOOKUP(F4053,'Set up'!$A$2:$E$70,5,FALSE)</f>
        <v>Cash</v>
      </c>
    </row>
    <row r="4054" spans="1:19" ht="16.2" customHeight="1" x14ac:dyDescent="0.3">
      <c r="A4054" s="105" t="s">
        <v>3850</v>
      </c>
      <c r="B4054" s="5">
        <f t="shared" si="1002"/>
        <v>6</v>
      </c>
      <c r="C4054" s="5">
        <f t="shared" si="1003"/>
        <v>2025</v>
      </c>
      <c r="D4054" s="105" t="s">
        <v>3851</v>
      </c>
      <c r="E4054" s="5" t="str">
        <f>VLOOKUP(F4054,'Set up'!$A$2:$C$70,2,FALSE)</f>
        <v>C00000061</v>
      </c>
      <c r="F4054" s="99" t="s">
        <v>3532</v>
      </c>
      <c r="G4054" s="99" t="s">
        <v>3639</v>
      </c>
      <c r="H4054" s="105">
        <v>1</v>
      </c>
      <c r="I4054" s="5" t="str">
        <f>VLOOKUP(F4054,'Set up'!$A$2:$C$70,3,FALSE)</f>
        <v>Cash</v>
      </c>
      <c r="J4054" s="5">
        <f>VLOOKUP(F4054,'Set up'!$A$2:$D$70,4,FALSE)</f>
        <v>0</v>
      </c>
      <c r="K4054" s="4">
        <f t="shared" si="1004"/>
        <v>45815</v>
      </c>
      <c r="L4054" s="5">
        <f t="shared" si="1005"/>
        <v>6</v>
      </c>
      <c r="M4054" s="5">
        <f t="shared" si="1006"/>
        <v>2025</v>
      </c>
      <c r="N4054" s="135">
        <v>408.7</v>
      </c>
      <c r="P4054" s="12">
        <f t="shared" si="1000"/>
        <v>408.7</v>
      </c>
      <c r="Q4054" s="7">
        <f t="shared" si="1007"/>
        <v>6707373.2500000028</v>
      </c>
      <c r="R4054" s="44" t="str">
        <f>VLOOKUP(F4054,'Set up'!$A$2:$E$70,5,FALSE)</f>
        <v>Cash</v>
      </c>
    </row>
    <row r="4055" spans="1:19" ht="16.2" customHeight="1" x14ac:dyDescent="0.3">
      <c r="A4055" s="105" t="s">
        <v>3852</v>
      </c>
      <c r="B4055" s="5">
        <f t="shared" si="1002"/>
        <v>6</v>
      </c>
      <c r="C4055" s="5">
        <f t="shared" si="1003"/>
        <v>2025</v>
      </c>
      <c r="D4055" s="105" t="s">
        <v>3853</v>
      </c>
      <c r="E4055" s="5" t="e">
        <f>VLOOKUP(F4055,'Set up'!$A$2:$C$70,2,FALSE)</f>
        <v>#N/A</v>
      </c>
      <c r="F4055" s="99" t="s">
        <v>3837</v>
      </c>
      <c r="G4055" s="99" t="s">
        <v>3854</v>
      </c>
      <c r="H4055" s="105">
        <v>1</v>
      </c>
      <c r="I4055" s="5" t="e">
        <f>VLOOKUP(F4055,'Set up'!$A$2:$C$70,3,FALSE)</f>
        <v>#N/A</v>
      </c>
      <c r="J4055" s="5" t="e">
        <f>VLOOKUP(F4055,'Set up'!$A$2:$D$70,4,FALSE)</f>
        <v>#N/A</v>
      </c>
      <c r="K4055" s="4" t="e">
        <f t="shared" si="1004"/>
        <v>#N/A</v>
      </c>
      <c r="L4055" s="5" t="e">
        <f t="shared" si="1005"/>
        <v>#N/A</v>
      </c>
      <c r="M4055" s="5" t="e">
        <f t="shared" si="1006"/>
        <v>#N/A</v>
      </c>
      <c r="N4055" s="135">
        <v>55</v>
      </c>
      <c r="O4055" s="6">
        <f>-N4055</f>
        <v>-55</v>
      </c>
      <c r="P4055" s="12">
        <f t="shared" si="1000"/>
        <v>0</v>
      </c>
      <c r="Q4055" s="7">
        <f t="shared" si="1007"/>
        <v>6707428.2500000028</v>
      </c>
      <c r="R4055" s="44" t="e">
        <f>VLOOKUP(F4055,'Set up'!$A$2:$E$70,5,FALSE)</f>
        <v>#N/A</v>
      </c>
      <c r="S4055" s="1" t="s">
        <v>3952</v>
      </c>
    </row>
    <row r="4056" spans="1:19" ht="16.2" customHeight="1" x14ac:dyDescent="0.3">
      <c r="A4056" s="105" t="s">
        <v>3855</v>
      </c>
      <c r="B4056" s="5">
        <f t="shared" si="1002"/>
        <v>6</v>
      </c>
      <c r="C4056" s="5">
        <f t="shared" si="1003"/>
        <v>2025</v>
      </c>
      <c r="D4056" s="105" t="s">
        <v>3856</v>
      </c>
      <c r="E4056" s="5" t="str">
        <f>VLOOKUP(F4056,'Set up'!$A$2:$C$70,2,FALSE)</f>
        <v>C00000042</v>
      </c>
      <c r="F4056" s="99" t="s">
        <v>2012</v>
      </c>
      <c r="G4056" s="99" t="s">
        <v>2646</v>
      </c>
      <c r="H4056" s="105">
        <v>2</v>
      </c>
      <c r="I4056" s="5" t="str">
        <f>VLOOKUP(F4056,'Set up'!$A$2:$C$70,3,FALSE)</f>
        <v>Cash</v>
      </c>
      <c r="J4056" s="5">
        <f>VLOOKUP(F4056,'Set up'!$A$2:$D$70,4,FALSE)</f>
        <v>0</v>
      </c>
      <c r="K4056" s="4">
        <f t="shared" si="1004"/>
        <v>45818</v>
      </c>
      <c r="L4056" s="5">
        <f t="shared" si="1005"/>
        <v>6</v>
      </c>
      <c r="M4056" s="5">
        <f t="shared" si="1006"/>
        <v>2025</v>
      </c>
      <c r="N4056" s="135">
        <v>125</v>
      </c>
      <c r="P4056" s="12">
        <f t="shared" si="1000"/>
        <v>125</v>
      </c>
      <c r="Q4056" s="7">
        <f t="shared" si="1007"/>
        <v>6707553.2500000028</v>
      </c>
      <c r="R4056" s="44" t="str">
        <f>VLOOKUP(F4056,'Set up'!$A$2:$E$70,5,FALSE)</f>
        <v>Trsf</v>
      </c>
    </row>
    <row r="4057" spans="1:19" ht="16.2" customHeight="1" x14ac:dyDescent="0.3">
      <c r="A4057" s="105" t="s">
        <v>3855</v>
      </c>
      <c r="B4057" s="5">
        <f t="shared" si="1002"/>
        <v>6</v>
      </c>
      <c r="C4057" s="5">
        <f t="shared" si="1003"/>
        <v>2025</v>
      </c>
      <c r="D4057" s="105" t="s">
        <v>3857</v>
      </c>
      <c r="E4057" s="5" t="str">
        <f>VLOOKUP(F4057,'Set up'!$A$2:$C$70,2,FALSE)</f>
        <v>C00000042</v>
      </c>
      <c r="F4057" s="99" t="s">
        <v>2012</v>
      </c>
      <c r="G4057" s="99" t="s">
        <v>3645</v>
      </c>
      <c r="H4057" s="105">
        <v>5</v>
      </c>
      <c r="I4057" s="5" t="str">
        <f>VLOOKUP(F4057,'Set up'!$A$2:$C$70,3,FALSE)</f>
        <v>Cash</v>
      </c>
      <c r="J4057" s="5">
        <f>VLOOKUP(F4057,'Set up'!$A$2:$D$70,4,FALSE)</f>
        <v>0</v>
      </c>
      <c r="K4057" s="4">
        <f t="shared" si="1004"/>
        <v>45818</v>
      </c>
      <c r="L4057" s="5">
        <f t="shared" si="1005"/>
        <v>6</v>
      </c>
      <c r="M4057" s="5">
        <f t="shared" si="1006"/>
        <v>2025</v>
      </c>
      <c r="N4057" s="135">
        <v>8100</v>
      </c>
      <c r="P4057" s="12">
        <f t="shared" si="1000"/>
        <v>8100</v>
      </c>
      <c r="Q4057" s="7">
        <f t="shared" si="1007"/>
        <v>6715653.2500000028</v>
      </c>
      <c r="R4057" s="44" t="str">
        <f>VLOOKUP(F4057,'Set up'!$A$2:$E$70,5,FALSE)</f>
        <v>Trsf</v>
      </c>
    </row>
    <row r="4058" spans="1:19" ht="16.2" customHeight="1" x14ac:dyDescent="0.3">
      <c r="A4058" s="105" t="s">
        <v>3855</v>
      </c>
      <c r="B4058" s="5">
        <f t="shared" si="1002"/>
        <v>6</v>
      </c>
      <c r="C4058" s="5">
        <f t="shared" si="1003"/>
        <v>2025</v>
      </c>
      <c r="D4058" s="105" t="s">
        <v>3857</v>
      </c>
      <c r="E4058" s="5" t="str">
        <f>VLOOKUP(F4058,'Set up'!$A$2:$C$70,2,FALSE)</f>
        <v>C00000042</v>
      </c>
      <c r="F4058" s="99" t="s">
        <v>2012</v>
      </c>
      <c r="G4058" s="99" t="s">
        <v>2129</v>
      </c>
      <c r="H4058" s="105">
        <v>15</v>
      </c>
      <c r="I4058" s="5" t="str">
        <f>VLOOKUP(F4058,'Set up'!$A$2:$C$70,3,FALSE)</f>
        <v>Cash</v>
      </c>
      <c r="J4058" s="5">
        <f>VLOOKUP(F4058,'Set up'!$A$2:$D$70,4,FALSE)</f>
        <v>0</v>
      </c>
      <c r="K4058" s="4">
        <f t="shared" si="1004"/>
        <v>45818</v>
      </c>
      <c r="L4058" s="5">
        <f t="shared" si="1005"/>
        <v>6</v>
      </c>
      <c r="M4058" s="5">
        <f t="shared" si="1006"/>
        <v>2025</v>
      </c>
      <c r="N4058" s="135">
        <v>3274.5</v>
      </c>
      <c r="P4058" s="12">
        <f t="shared" si="1000"/>
        <v>3274.5</v>
      </c>
      <c r="Q4058" s="7">
        <f t="shared" si="1007"/>
        <v>6718927.7500000028</v>
      </c>
      <c r="R4058" s="44" t="str">
        <f>VLOOKUP(F4058,'Set up'!$A$2:$E$70,5,FALSE)</f>
        <v>Trsf</v>
      </c>
    </row>
    <row r="4059" spans="1:19" ht="16.2" customHeight="1" x14ac:dyDescent="0.3">
      <c r="A4059" s="105" t="s">
        <v>3855</v>
      </c>
      <c r="B4059" s="5">
        <f t="shared" si="1002"/>
        <v>6</v>
      </c>
      <c r="C4059" s="5">
        <f t="shared" si="1003"/>
        <v>2025</v>
      </c>
      <c r="D4059" s="105" t="s">
        <v>3857</v>
      </c>
      <c r="E4059" s="5" t="str">
        <f>VLOOKUP(F4059,'Set up'!$A$2:$C$70,2,FALSE)</f>
        <v>C00000042</v>
      </c>
      <c r="F4059" s="99" t="s">
        <v>2012</v>
      </c>
      <c r="G4059" s="99" t="s">
        <v>1922</v>
      </c>
      <c r="H4059" s="105">
        <v>8</v>
      </c>
      <c r="I4059" s="5" t="str">
        <f>VLOOKUP(F4059,'Set up'!$A$2:$C$70,3,FALSE)</f>
        <v>Cash</v>
      </c>
      <c r="J4059" s="5">
        <f>VLOOKUP(F4059,'Set up'!$A$2:$D$70,4,FALSE)</f>
        <v>0</v>
      </c>
      <c r="K4059" s="4">
        <f t="shared" si="1004"/>
        <v>45818</v>
      </c>
      <c r="L4059" s="5">
        <f t="shared" si="1005"/>
        <v>6</v>
      </c>
      <c r="M4059" s="5">
        <f t="shared" si="1006"/>
        <v>2025</v>
      </c>
      <c r="N4059" s="135">
        <v>1980</v>
      </c>
      <c r="P4059" s="12">
        <f t="shared" si="1000"/>
        <v>1980</v>
      </c>
      <c r="Q4059" s="7">
        <f t="shared" si="1007"/>
        <v>6720907.7500000028</v>
      </c>
      <c r="R4059" s="44" t="str">
        <f>VLOOKUP(F4059,'Set up'!$A$2:$E$70,5,FALSE)</f>
        <v>Trsf</v>
      </c>
    </row>
    <row r="4060" spans="1:19" ht="16.2" customHeight="1" x14ac:dyDescent="0.3">
      <c r="A4060" s="105" t="s">
        <v>3855</v>
      </c>
      <c r="B4060" s="5">
        <f t="shared" si="1002"/>
        <v>6</v>
      </c>
      <c r="C4060" s="5">
        <f t="shared" si="1003"/>
        <v>2025</v>
      </c>
      <c r="D4060" s="105" t="s">
        <v>3857</v>
      </c>
      <c r="E4060" s="5" t="str">
        <f>VLOOKUP(F4060,'Set up'!$A$2:$C$70,2,FALSE)</f>
        <v>C00000042</v>
      </c>
      <c r="F4060" s="99" t="s">
        <v>2012</v>
      </c>
      <c r="G4060" s="99" t="s">
        <v>46</v>
      </c>
      <c r="H4060" s="105">
        <v>4</v>
      </c>
      <c r="I4060" s="5" t="str">
        <f>VLOOKUP(F4060,'Set up'!$A$2:$C$70,3,FALSE)</f>
        <v>Cash</v>
      </c>
      <c r="J4060" s="5">
        <f>VLOOKUP(F4060,'Set up'!$A$2:$D$70,4,FALSE)</f>
        <v>0</v>
      </c>
      <c r="K4060" s="4">
        <f t="shared" si="1004"/>
        <v>45818</v>
      </c>
      <c r="L4060" s="5">
        <f t="shared" si="1005"/>
        <v>6</v>
      </c>
      <c r="M4060" s="5">
        <f t="shared" si="1006"/>
        <v>2025</v>
      </c>
      <c r="N4060" s="135">
        <v>460</v>
      </c>
      <c r="P4060" s="12">
        <f t="shared" si="1000"/>
        <v>460</v>
      </c>
      <c r="Q4060" s="7">
        <f t="shared" si="1007"/>
        <v>6721367.7500000028</v>
      </c>
      <c r="R4060" s="44" t="str">
        <f>VLOOKUP(F4060,'Set up'!$A$2:$E$70,5,FALSE)</f>
        <v>Trsf</v>
      </c>
    </row>
    <row r="4061" spans="1:19" ht="16.2" customHeight="1" x14ac:dyDescent="0.3">
      <c r="A4061" s="105" t="s">
        <v>3855</v>
      </c>
      <c r="B4061" s="5">
        <f t="shared" si="1002"/>
        <v>6</v>
      </c>
      <c r="C4061" s="5">
        <f t="shared" si="1003"/>
        <v>2025</v>
      </c>
      <c r="D4061" s="105" t="s">
        <v>3857</v>
      </c>
      <c r="E4061" s="5" t="str">
        <f>VLOOKUP(F4061,'Set up'!$A$2:$C$70,2,FALSE)</f>
        <v>C00000042</v>
      </c>
      <c r="F4061" s="99" t="s">
        <v>2012</v>
      </c>
      <c r="G4061" s="99" t="s">
        <v>1073</v>
      </c>
      <c r="H4061" s="105">
        <v>1</v>
      </c>
      <c r="I4061" s="5" t="str">
        <f>VLOOKUP(F4061,'Set up'!$A$2:$C$70,3,FALSE)</f>
        <v>Cash</v>
      </c>
      <c r="J4061" s="5">
        <f>VLOOKUP(F4061,'Set up'!$A$2:$D$70,4,FALSE)</f>
        <v>0</v>
      </c>
      <c r="K4061" s="4">
        <f t="shared" si="1004"/>
        <v>45818</v>
      </c>
      <c r="L4061" s="5">
        <f t="shared" si="1005"/>
        <v>6</v>
      </c>
      <c r="M4061" s="5">
        <f t="shared" si="1006"/>
        <v>2025</v>
      </c>
      <c r="N4061" s="135">
        <v>1000</v>
      </c>
      <c r="P4061" s="12">
        <f t="shared" si="1000"/>
        <v>1000</v>
      </c>
      <c r="Q4061" s="7">
        <f t="shared" si="1007"/>
        <v>6722367.7500000028</v>
      </c>
      <c r="R4061" s="44" t="str">
        <f>VLOOKUP(F4061,'Set up'!$A$2:$E$70,5,FALSE)</f>
        <v>Trsf</v>
      </c>
    </row>
    <row r="4062" spans="1:19" ht="16.2" customHeight="1" x14ac:dyDescent="0.3">
      <c r="A4062" s="105" t="s">
        <v>3855</v>
      </c>
      <c r="B4062" s="5">
        <f t="shared" si="1002"/>
        <v>6</v>
      </c>
      <c r="C4062" s="5">
        <f t="shared" si="1003"/>
        <v>2025</v>
      </c>
      <c r="D4062" s="105" t="s">
        <v>3857</v>
      </c>
      <c r="E4062" s="5" t="str">
        <f>VLOOKUP(F4062,'Set up'!$A$2:$C$70,2,FALSE)</f>
        <v>C00000042</v>
      </c>
      <c r="F4062" s="99" t="s">
        <v>2012</v>
      </c>
      <c r="G4062" s="99" t="s">
        <v>1061</v>
      </c>
      <c r="H4062" s="105">
        <v>4</v>
      </c>
      <c r="I4062" s="5" t="str">
        <f>VLOOKUP(F4062,'Set up'!$A$2:$C$70,3,FALSE)</f>
        <v>Cash</v>
      </c>
      <c r="J4062" s="5">
        <f>VLOOKUP(F4062,'Set up'!$A$2:$D$70,4,FALSE)</f>
        <v>0</v>
      </c>
      <c r="K4062" s="4">
        <f t="shared" si="1004"/>
        <v>45818</v>
      </c>
      <c r="L4062" s="5">
        <f t="shared" si="1005"/>
        <v>6</v>
      </c>
      <c r="M4062" s="5">
        <f t="shared" si="1006"/>
        <v>2025</v>
      </c>
      <c r="N4062" s="135">
        <v>380</v>
      </c>
      <c r="P4062" s="12">
        <f t="shared" si="1000"/>
        <v>380</v>
      </c>
      <c r="Q4062" s="7">
        <f t="shared" si="1007"/>
        <v>6722747.7500000028</v>
      </c>
      <c r="R4062" s="44" t="str">
        <f>VLOOKUP(F4062,'Set up'!$A$2:$E$70,5,FALSE)</f>
        <v>Trsf</v>
      </c>
    </row>
    <row r="4063" spans="1:19" ht="16.2" customHeight="1" x14ac:dyDescent="0.3">
      <c r="A4063" s="105" t="s">
        <v>3858</v>
      </c>
      <c r="B4063" s="5">
        <f t="shared" si="1002"/>
        <v>6</v>
      </c>
      <c r="C4063" s="5">
        <f t="shared" si="1003"/>
        <v>2025</v>
      </c>
      <c r="D4063" s="105" t="s">
        <v>3859</v>
      </c>
      <c r="E4063" s="5" t="str">
        <f>VLOOKUP(F4063,'Set up'!$A$2:$C$70,2,FALSE)</f>
        <v>C00000042</v>
      </c>
      <c r="F4063" s="99" t="s">
        <v>2012</v>
      </c>
      <c r="G4063" s="99" t="s">
        <v>2646</v>
      </c>
      <c r="H4063" s="105">
        <v>4</v>
      </c>
      <c r="I4063" s="5" t="str">
        <f>VLOOKUP(F4063,'Set up'!$A$2:$C$70,3,FALSE)</f>
        <v>Cash</v>
      </c>
      <c r="J4063" s="5">
        <f>VLOOKUP(F4063,'Set up'!$A$2:$D$70,4,FALSE)</f>
        <v>0</v>
      </c>
      <c r="K4063" s="4">
        <f t="shared" si="1004"/>
        <v>45820</v>
      </c>
      <c r="L4063" s="5">
        <f t="shared" si="1005"/>
        <v>6</v>
      </c>
      <c r="M4063" s="5">
        <f t="shared" si="1006"/>
        <v>2025</v>
      </c>
      <c r="N4063" s="135">
        <v>250</v>
      </c>
      <c r="P4063" s="12">
        <f t="shared" si="1000"/>
        <v>250</v>
      </c>
      <c r="Q4063" s="7">
        <f t="shared" si="1007"/>
        <v>6722997.7500000028</v>
      </c>
      <c r="R4063" s="44" t="str">
        <f>VLOOKUP(F4063,'Set up'!$A$2:$E$70,5,FALSE)</f>
        <v>Trsf</v>
      </c>
    </row>
    <row r="4064" spans="1:19" ht="16.2" customHeight="1" x14ac:dyDescent="0.3">
      <c r="A4064" s="105" t="s">
        <v>3858</v>
      </c>
      <c r="B4064" s="5">
        <f t="shared" si="1002"/>
        <v>6</v>
      </c>
      <c r="C4064" s="5">
        <f t="shared" si="1003"/>
        <v>2025</v>
      </c>
      <c r="D4064" s="105" t="s">
        <v>3860</v>
      </c>
      <c r="E4064" s="5" t="str">
        <f>VLOOKUP(F4064,'Set up'!$A$2:$C$70,2,FALSE)</f>
        <v>C00000042</v>
      </c>
      <c r="F4064" s="99" t="s">
        <v>2012</v>
      </c>
      <c r="G4064" s="99" t="s">
        <v>3122</v>
      </c>
      <c r="H4064" s="105">
        <v>8</v>
      </c>
      <c r="I4064" s="5" t="str">
        <f>VLOOKUP(F4064,'Set up'!$A$2:$C$70,3,FALSE)</f>
        <v>Cash</v>
      </c>
      <c r="J4064" s="5">
        <f>VLOOKUP(F4064,'Set up'!$A$2:$D$70,4,FALSE)</f>
        <v>0</v>
      </c>
      <c r="K4064" s="4">
        <f t="shared" si="1004"/>
        <v>45820</v>
      </c>
      <c r="L4064" s="5">
        <f t="shared" si="1005"/>
        <v>6</v>
      </c>
      <c r="M4064" s="5">
        <f t="shared" si="1006"/>
        <v>2025</v>
      </c>
      <c r="N4064" s="135">
        <v>12960</v>
      </c>
      <c r="P4064" s="12">
        <f t="shared" ref="P4064:P4125" si="1008">SUM(N4064+O4064)</f>
        <v>12960</v>
      </c>
      <c r="Q4064" s="7">
        <f t="shared" si="1007"/>
        <v>6735957.7500000028</v>
      </c>
      <c r="R4064" s="44" t="str">
        <f>VLOOKUP(F4064,'Set up'!$A$2:$E$70,5,FALSE)</f>
        <v>Trsf</v>
      </c>
    </row>
    <row r="4065" spans="1:19" ht="16.2" customHeight="1" x14ac:dyDescent="0.3">
      <c r="A4065" s="105" t="s">
        <v>3858</v>
      </c>
      <c r="B4065" s="5">
        <f t="shared" si="1002"/>
        <v>6</v>
      </c>
      <c r="C4065" s="5">
        <f t="shared" si="1003"/>
        <v>2025</v>
      </c>
      <c r="D4065" s="105" t="s">
        <v>3860</v>
      </c>
      <c r="E4065" s="5" t="str">
        <f>VLOOKUP(F4065,'Set up'!$A$2:$C$70,2,FALSE)</f>
        <v>C00000042</v>
      </c>
      <c r="F4065" s="99" t="s">
        <v>2012</v>
      </c>
      <c r="G4065" s="99" t="s">
        <v>1392</v>
      </c>
      <c r="H4065" s="105">
        <v>12</v>
      </c>
      <c r="I4065" s="5" t="str">
        <f>VLOOKUP(F4065,'Set up'!$A$2:$C$70,3,FALSE)</f>
        <v>Cash</v>
      </c>
      <c r="J4065" s="5">
        <f>VLOOKUP(F4065,'Set up'!$A$2:$D$70,4,FALSE)</f>
        <v>0</v>
      </c>
      <c r="K4065" s="4">
        <f t="shared" si="1004"/>
        <v>45820</v>
      </c>
      <c r="L4065" s="5">
        <f t="shared" si="1005"/>
        <v>6</v>
      </c>
      <c r="M4065" s="5">
        <f t="shared" si="1006"/>
        <v>2025</v>
      </c>
      <c r="N4065" s="135">
        <v>2124</v>
      </c>
      <c r="P4065" s="12">
        <f t="shared" si="1008"/>
        <v>2124</v>
      </c>
      <c r="Q4065" s="7">
        <f t="shared" si="1007"/>
        <v>6738081.7500000028</v>
      </c>
      <c r="R4065" s="44" t="str">
        <f>VLOOKUP(F4065,'Set up'!$A$2:$E$70,5,FALSE)</f>
        <v>Trsf</v>
      </c>
    </row>
    <row r="4066" spans="1:19" ht="16.2" customHeight="1" x14ac:dyDescent="0.3">
      <c r="A4066" s="105" t="s">
        <v>3858</v>
      </c>
      <c r="B4066" s="5">
        <f t="shared" si="1002"/>
        <v>6</v>
      </c>
      <c r="C4066" s="5">
        <f t="shared" si="1003"/>
        <v>2025</v>
      </c>
      <c r="D4066" s="105" t="s">
        <v>3860</v>
      </c>
      <c r="E4066" s="5" t="str">
        <f>VLOOKUP(F4066,'Set up'!$A$2:$C$70,2,FALSE)</f>
        <v>C00000042</v>
      </c>
      <c r="F4066" s="99" t="s">
        <v>2012</v>
      </c>
      <c r="G4066" s="99" t="s">
        <v>1922</v>
      </c>
      <c r="H4066" s="105">
        <v>15</v>
      </c>
      <c r="I4066" s="5" t="str">
        <f>VLOOKUP(F4066,'Set up'!$A$2:$C$70,3,FALSE)</f>
        <v>Cash</v>
      </c>
      <c r="J4066" s="5">
        <f>VLOOKUP(F4066,'Set up'!$A$2:$D$70,4,FALSE)</f>
        <v>0</v>
      </c>
      <c r="K4066" s="4">
        <f t="shared" si="1004"/>
        <v>45820</v>
      </c>
      <c r="L4066" s="5">
        <f t="shared" si="1005"/>
        <v>6</v>
      </c>
      <c r="M4066" s="5">
        <f t="shared" si="1006"/>
        <v>2025</v>
      </c>
      <c r="N4066" s="135">
        <v>3712.5</v>
      </c>
      <c r="P4066" s="12">
        <f t="shared" si="1008"/>
        <v>3712.5</v>
      </c>
      <c r="Q4066" s="7">
        <f t="shared" si="1007"/>
        <v>6741794.2500000028</v>
      </c>
      <c r="R4066" s="44" t="str">
        <f>VLOOKUP(F4066,'Set up'!$A$2:$E$70,5,FALSE)</f>
        <v>Trsf</v>
      </c>
    </row>
    <row r="4067" spans="1:19" ht="16.2" customHeight="1" x14ac:dyDescent="0.3">
      <c r="A4067" s="105" t="s">
        <v>3861</v>
      </c>
      <c r="B4067" s="5">
        <f t="shared" si="1002"/>
        <v>6</v>
      </c>
      <c r="C4067" s="5">
        <f t="shared" si="1003"/>
        <v>2025</v>
      </c>
      <c r="D4067" s="105" t="s">
        <v>3862</v>
      </c>
      <c r="E4067" s="5" t="str">
        <f>VLOOKUP(F4067,'Set up'!$A$2:$C$70,2,FALSE)</f>
        <v>C00000044</v>
      </c>
      <c r="F4067" s="99" t="s">
        <v>2929</v>
      </c>
      <c r="G4067" s="99" t="s">
        <v>3615</v>
      </c>
      <c r="H4067" s="105">
        <v>1</v>
      </c>
      <c r="I4067" s="5" t="str">
        <f>VLOOKUP(F4067,'Set up'!$A$2:$C$70,3,FALSE)</f>
        <v>Cash</v>
      </c>
      <c r="J4067" s="5">
        <f>VLOOKUP(F4067,'Set up'!$A$2:$D$70,4,FALSE)</f>
        <v>0</v>
      </c>
      <c r="K4067" s="4">
        <f t="shared" si="1004"/>
        <v>45821</v>
      </c>
      <c r="L4067" s="5">
        <f t="shared" si="1005"/>
        <v>6</v>
      </c>
      <c r="M4067" s="5">
        <f t="shared" si="1006"/>
        <v>2025</v>
      </c>
      <c r="N4067" s="135">
        <v>1687.5</v>
      </c>
      <c r="O4067" s="6">
        <f>-N4067</f>
        <v>-1687.5</v>
      </c>
      <c r="P4067" s="12">
        <f t="shared" si="1008"/>
        <v>0</v>
      </c>
      <c r="Q4067" s="7">
        <f t="shared" si="1007"/>
        <v>6743481.7500000028</v>
      </c>
      <c r="R4067" s="44" t="str">
        <f>VLOOKUP(F4067,'Set up'!$A$2:$E$70,5,FALSE)</f>
        <v>Cash</v>
      </c>
      <c r="S4067" s="1" t="s">
        <v>3953</v>
      </c>
    </row>
    <row r="4068" spans="1:19" ht="16.2" customHeight="1" x14ac:dyDescent="0.3">
      <c r="A4068" s="105" t="s">
        <v>3861</v>
      </c>
      <c r="B4068" s="5">
        <f t="shared" si="1002"/>
        <v>6</v>
      </c>
      <c r="C4068" s="5">
        <f t="shared" si="1003"/>
        <v>2025</v>
      </c>
      <c r="D4068" s="105" t="s">
        <v>3862</v>
      </c>
      <c r="E4068" s="5" t="str">
        <f>VLOOKUP(F4068,'Set up'!$A$2:$C$70,2,FALSE)</f>
        <v>C00000044</v>
      </c>
      <c r="F4068" s="99" t="s">
        <v>2929</v>
      </c>
      <c r="G4068" s="99" t="s">
        <v>2570</v>
      </c>
      <c r="H4068" s="105">
        <v>2</v>
      </c>
      <c r="I4068" s="5" t="str">
        <f>VLOOKUP(F4068,'Set up'!$A$2:$C$70,3,FALSE)</f>
        <v>Cash</v>
      </c>
      <c r="J4068" s="5">
        <f>VLOOKUP(F4068,'Set up'!$A$2:$D$70,4,FALSE)</f>
        <v>0</v>
      </c>
      <c r="K4068" s="4">
        <f t="shared" si="1004"/>
        <v>45821</v>
      </c>
      <c r="L4068" s="5">
        <f t="shared" si="1005"/>
        <v>6</v>
      </c>
      <c r="M4068" s="5">
        <f t="shared" si="1006"/>
        <v>2025</v>
      </c>
      <c r="N4068" s="135">
        <v>432</v>
      </c>
      <c r="O4068" s="6">
        <f>-N4068</f>
        <v>-432</v>
      </c>
      <c r="P4068" s="12">
        <f t="shared" si="1008"/>
        <v>0</v>
      </c>
      <c r="Q4068" s="7">
        <f t="shared" si="1007"/>
        <v>6743913.7500000028</v>
      </c>
      <c r="R4068" s="44" t="str">
        <f>VLOOKUP(F4068,'Set up'!$A$2:$E$70,5,FALSE)</f>
        <v>Cash</v>
      </c>
      <c r="S4068" s="1" t="s">
        <v>3953</v>
      </c>
    </row>
    <row r="4069" spans="1:19" ht="16.2" customHeight="1" x14ac:dyDescent="0.3">
      <c r="A4069" s="105" t="s">
        <v>3861</v>
      </c>
      <c r="B4069" s="5">
        <f t="shared" si="1002"/>
        <v>6</v>
      </c>
      <c r="C4069" s="5">
        <f t="shared" si="1003"/>
        <v>2025</v>
      </c>
      <c r="D4069" s="105" t="s">
        <v>3862</v>
      </c>
      <c r="E4069" s="5" t="str">
        <f>VLOOKUP(F4069,'Set up'!$A$2:$C$70,2,FALSE)</f>
        <v>C00000044</v>
      </c>
      <c r="F4069" s="99" t="s">
        <v>2929</v>
      </c>
      <c r="G4069" s="99" t="s">
        <v>1715</v>
      </c>
      <c r="H4069" s="105">
        <v>1</v>
      </c>
      <c r="I4069" s="5" t="str">
        <f>VLOOKUP(F4069,'Set up'!$A$2:$C$70,3,FALSE)</f>
        <v>Cash</v>
      </c>
      <c r="J4069" s="5">
        <f>VLOOKUP(F4069,'Set up'!$A$2:$D$70,4,FALSE)</f>
        <v>0</v>
      </c>
      <c r="K4069" s="4">
        <f t="shared" si="1004"/>
        <v>45821</v>
      </c>
      <c r="L4069" s="5">
        <f t="shared" si="1005"/>
        <v>6</v>
      </c>
      <c r="M4069" s="5">
        <f t="shared" si="1006"/>
        <v>2025</v>
      </c>
      <c r="N4069" s="135">
        <v>165</v>
      </c>
      <c r="O4069" s="6">
        <f>-N4069</f>
        <v>-165</v>
      </c>
      <c r="P4069" s="12">
        <f t="shared" si="1008"/>
        <v>0</v>
      </c>
      <c r="Q4069" s="7">
        <f t="shared" si="1007"/>
        <v>6744078.7500000028</v>
      </c>
      <c r="R4069" s="44" t="str">
        <f>VLOOKUP(F4069,'Set up'!$A$2:$E$70,5,FALSE)</f>
        <v>Cash</v>
      </c>
      <c r="S4069" s="1" t="s">
        <v>3953</v>
      </c>
    </row>
    <row r="4070" spans="1:19" ht="16.2" customHeight="1" x14ac:dyDescent="0.3">
      <c r="A4070" s="105" t="s">
        <v>3861</v>
      </c>
      <c r="B4070" s="5">
        <f t="shared" si="1002"/>
        <v>6</v>
      </c>
      <c r="C4070" s="5">
        <f t="shared" si="1003"/>
        <v>2025</v>
      </c>
      <c r="D4070" s="105" t="s">
        <v>3862</v>
      </c>
      <c r="E4070" s="5" t="str">
        <f>VLOOKUP(F4070,'Set up'!$A$2:$C$70,2,FALSE)</f>
        <v>C00000044</v>
      </c>
      <c r="F4070" s="99" t="s">
        <v>2929</v>
      </c>
      <c r="G4070" s="99" t="s">
        <v>3255</v>
      </c>
      <c r="H4070" s="105">
        <v>2</v>
      </c>
      <c r="I4070" s="5" t="str">
        <f>VLOOKUP(F4070,'Set up'!$A$2:$C$70,3,FALSE)</f>
        <v>Cash</v>
      </c>
      <c r="J4070" s="5">
        <f>VLOOKUP(F4070,'Set up'!$A$2:$D$70,4,FALSE)</f>
        <v>0</v>
      </c>
      <c r="K4070" s="4">
        <f t="shared" si="1004"/>
        <v>45821</v>
      </c>
      <c r="L4070" s="5">
        <f t="shared" si="1005"/>
        <v>6</v>
      </c>
      <c r="M4070" s="5">
        <f t="shared" si="1006"/>
        <v>2025</v>
      </c>
      <c r="N4070" s="135">
        <v>350</v>
      </c>
      <c r="O4070" s="6">
        <f>-N4070</f>
        <v>-350</v>
      </c>
      <c r="P4070" s="12">
        <f t="shared" si="1008"/>
        <v>0</v>
      </c>
      <c r="Q4070" s="7">
        <f t="shared" si="1007"/>
        <v>6744428.7500000028</v>
      </c>
      <c r="R4070" s="44" t="str">
        <f>VLOOKUP(F4070,'Set up'!$A$2:$E$70,5,FALSE)</f>
        <v>Cash</v>
      </c>
      <c r="S4070" s="1" t="s">
        <v>3953</v>
      </c>
    </row>
    <row r="4071" spans="1:19" ht="16.2" customHeight="1" x14ac:dyDescent="0.3">
      <c r="A4071" s="105" t="s">
        <v>3861</v>
      </c>
      <c r="B4071" s="5">
        <f t="shared" si="1002"/>
        <v>6</v>
      </c>
      <c r="C4071" s="5">
        <f t="shared" si="1003"/>
        <v>2025</v>
      </c>
      <c r="D4071" s="105" t="s">
        <v>3862</v>
      </c>
      <c r="E4071" s="5" t="str">
        <f>VLOOKUP(F4071,'Set up'!$A$2:$C$70,2,FALSE)</f>
        <v>C00000044</v>
      </c>
      <c r="F4071" s="99" t="s">
        <v>2929</v>
      </c>
      <c r="G4071" s="99" t="s">
        <v>2646</v>
      </c>
      <c r="H4071" s="105">
        <v>1</v>
      </c>
      <c r="I4071" s="5" t="str">
        <f>VLOOKUP(F4071,'Set up'!$A$2:$C$70,3,FALSE)</f>
        <v>Cash</v>
      </c>
      <c r="J4071" s="5">
        <f>VLOOKUP(F4071,'Set up'!$A$2:$D$70,4,FALSE)</f>
        <v>0</v>
      </c>
      <c r="K4071" s="4">
        <f t="shared" si="1004"/>
        <v>45821</v>
      </c>
      <c r="L4071" s="5">
        <f t="shared" si="1005"/>
        <v>6</v>
      </c>
      <c r="M4071" s="5">
        <f t="shared" si="1006"/>
        <v>2025</v>
      </c>
      <c r="N4071" s="135">
        <v>62.5</v>
      </c>
      <c r="O4071" s="6">
        <f>-N4071</f>
        <v>-62.5</v>
      </c>
      <c r="P4071" s="12">
        <f t="shared" si="1008"/>
        <v>0</v>
      </c>
      <c r="Q4071" s="7">
        <f t="shared" si="1007"/>
        <v>6744491.2500000028</v>
      </c>
      <c r="R4071" s="44" t="str">
        <f>VLOOKUP(F4071,'Set up'!$A$2:$E$70,5,FALSE)</f>
        <v>Cash</v>
      </c>
      <c r="S4071" s="1" t="s">
        <v>3953</v>
      </c>
    </row>
    <row r="4072" spans="1:19" ht="16.2" customHeight="1" x14ac:dyDescent="0.3">
      <c r="A4072" s="105" t="s">
        <v>3861</v>
      </c>
      <c r="B4072" s="5">
        <f t="shared" si="1002"/>
        <v>6</v>
      </c>
      <c r="C4072" s="5">
        <f t="shared" si="1003"/>
        <v>2025</v>
      </c>
      <c r="D4072" s="105" t="s">
        <v>3863</v>
      </c>
      <c r="E4072" s="5" t="str">
        <f>VLOOKUP(F4072,'Set up'!$A$2:$C$70,2,FALSE)</f>
        <v>C00000041</v>
      </c>
      <c r="F4072" s="99" t="s">
        <v>1704</v>
      </c>
      <c r="G4072" s="99" t="s">
        <v>3864</v>
      </c>
      <c r="H4072" s="105">
        <v>1</v>
      </c>
      <c r="I4072" s="5" t="str">
        <f>VLOOKUP(F4072,'Set up'!$A$2:$C$70,3,FALSE)</f>
        <v>Cash</v>
      </c>
      <c r="J4072" s="5">
        <f>VLOOKUP(F4072,'Set up'!$A$2:$D$70,4,FALSE)</f>
        <v>0</v>
      </c>
      <c r="K4072" s="4">
        <f t="shared" si="1004"/>
        <v>45821</v>
      </c>
      <c r="L4072" s="5">
        <f t="shared" si="1005"/>
        <v>6</v>
      </c>
      <c r="M4072" s="5">
        <f t="shared" si="1006"/>
        <v>2025</v>
      </c>
      <c r="N4072" s="135">
        <v>1687.5</v>
      </c>
      <c r="O4072" s="6">
        <f t="shared" ref="O4072:O4077" si="1009">-N4072</f>
        <v>-1687.5</v>
      </c>
      <c r="P4072" s="12">
        <f t="shared" si="1008"/>
        <v>0</v>
      </c>
      <c r="Q4072" s="7">
        <f t="shared" si="1007"/>
        <v>6746178.7500000028</v>
      </c>
      <c r="R4072" s="44" t="str">
        <f>VLOOKUP(F4072,'Set up'!$A$2:$E$70,5,FALSE)</f>
        <v>Trsf</v>
      </c>
      <c r="S4072" s="1" t="s">
        <v>3950</v>
      </c>
    </row>
    <row r="4073" spans="1:19" ht="16.2" customHeight="1" x14ac:dyDescent="0.3">
      <c r="A4073" s="105" t="s">
        <v>3861</v>
      </c>
      <c r="B4073" s="5">
        <f t="shared" si="1002"/>
        <v>6</v>
      </c>
      <c r="C4073" s="5">
        <f t="shared" si="1003"/>
        <v>2025</v>
      </c>
      <c r="D4073" s="105" t="s">
        <v>3863</v>
      </c>
      <c r="E4073" s="5" t="str">
        <f>VLOOKUP(F4073,'Set up'!$A$2:$C$70,2,FALSE)</f>
        <v>C00000041</v>
      </c>
      <c r="F4073" s="99" t="s">
        <v>1704</v>
      </c>
      <c r="G4073" s="99" t="s">
        <v>2652</v>
      </c>
      <c r="H4073" s="105">
        <v>1</v>
      </c>
      <c r="I4073" s="5" t="str">
        <f>VLOOKUP(F4073,'Set up'!$A$2:$C$70,3,FALSE)</f>
        <v>Cash</v>
      </c>
      <c r="J4073" s="5">
        <f>VLOOKUP(F4073,'Set up'!$A$2:$D$70,4,FALSE)</f>
        <v>0</v>
      </c>
      <c r="K4073" s="4">
        <f t="shared" si="1004"/>
        <v>45821</v>
      </c>
      <c r="L4073" s="5">
        <f t="shared" si="1005"/>
        <v>6</v>
      </c>
      <c r="M4073" s="5">
        <f t="shared" si="1006"/>
        <v>2025</v>
      </c>
      <c r="N4073" s="135">
        <v>48</v>
      </c>
      <c r="O4073" s="6">
        <f t="shared" si="1009"/>
        <v>-48</v>
      </c>
      <c r="P4073" s="12">
        <f t="shared" si="1008"/>
        <v>0</v>
      </c>
      <c r="Q4073" s="7">
        <f t="shared" si="1007"/>
        <v>6746226.7500000028</v>
      </c>
      <c r="R4073" s="44" t="str">
        <f>VLOOKUP(F4073,'Set up'!$A$2:$E$70,5,FALSE)</f>
        <v>Trsf</v>
      </c>
      <c r="S4073" s="1" t="s">
        <v>3950</v>
      </c>
    </row>
    <row r="4074" spans="1:19" ht="16.2" customHeight="1" x14ac:dyDescent="0.3">
      <c r="A4074" s="105" t="s">
        <v>3861</v>
      </c>
      <c r="B4074" s="5">
        <f t="shared" si="1002"/>
        <v>6</v>
      </c>
      <c r="C4074" s="5">
        <f t="shared" si="1003"/>
        <v>2025</v>
      </c>
      <c r="D4074" s="105" t="s">
        <v>3863</v>
      </c>
      <c r="E4074" s="5" t="str">
        <f>VLOOKUP(F4074,'Set up'!$A$2:$C$70,2,FALSE)</f>
        <v>C00000041</v>
      </c>
      <c r="F4074" s="99" t="s">
        <v>1704</v>
      </c>
      <c r="G4074" s="99" t="s">
        <v>2523</v>
      </c>
      <c r="H4074" s="105">
        <v>2</v>
      </c>
      <c r="I4074" s="5" t="str">
        <f>VLOOKUP(F4074,'Set up'!$A$2:$C$70,3,FALSE)</f>
        <v>Cash</v>
      </c>
      <c r="J4074" s="5">
        <f>VLOOKUP(F4074,'Set up'!$A$2:$D$70,4,FALSE)</f>
        <v>0</v>
      </c>
      <c r="K4074" s="4">
        <f t="shared" si="1004"/>
        <v>45821</v>
      </c>
      <c r="L4074" s="5">
        <f t="shared" si="1005"/>
        <v>6</v>
      </c>
      <c r="M4074" s="5">
        <f t="shared" si="1006"/>
        <v>2025</v>
      </c>
      <c r="N4074" s="135">
        <v>438</v>
      </c>
      <c r="O4074" s="6">
        <f t="shared" si="1009"/>
        <v>-438</v>
      </c>
      <c r="P4074" s="12">
        <f t="shared" si="1008"/>
        <v>0</v>
      </c>
      <c r="Q4074" s="7">
        <f t="shared" si="1007"/>
        <v>6746664.7500000028</v>
      </c>
      <c r="R4074" s="44" t="str">
        <f>VLOOKUP(F4074,'Set up'!$A$2:$E$70,5,FALSE)</f>
        <v>Trsf</v>
      </c>
      <c r="S4074" s="1" t="s">
        <v>3950</v>
      </c>
    </row>
    <row r="4075" spans="1:19" ht="16.2" customHeight="1" x14ac:dyDescent="0.3">
      <c r="A4075" s="105" t="s">
        <v>3865</v>
      </c>
      <c r="B4075" s="5">
        <f t="shared" si="1002"/>
        <v>6</v>
      </c>
      <c r="C4075" s="5">
        <f t="shared" si="1003"/>
        <v>2025</v>
      </c>
      <c r="D4075" s="105" t="s">
        <v>3866</v>
      </c>
      <c r="E4075" s="5" t="str">
        <f>VLOOKUP(F4075,'Set up'!$A$2:$C$70,2,FALSE)</f>
        <v>C00000062</v>
      </c>
      <c r="F4075" s="99" t="s">
        <v>3867</v>
      </c>
      <c r="G4075" s="99" t="s">
        <v>3533</v>
      </c>
      <c r="H4075" s="105">
        <v>1</v>
      </c>
      <c r="I4075" s="5" t="str">
        <f>VLOOKUP(F4075,'Set up'!$A$2:$C$70,3,FALSE)</f>
        <v>Cash</v>
      </c>
      <c r="J4075" s="5">
        <f>VLOOKUP(F4075,'Set up'!$A$2:$D$70,4,FALSE)</f>
        <v>0</v>
      </c>
      <c r="K4075" s="4">
        <f t="shared" si="1004"/>
        <v>45824</v>
      </c>
      <c r="L4075" s="5">
        <f t="shared" si="1005"/>
        <v>6</v>
      </c>
      <c r="M4075" s="5">
        <f t="shared" si="1006"/>
        <v>2025</v>
      </c>
      <c r="N4075" s="135">
        <v>1732.5</v>
      </c>
      <c r="O4075" s="6">
        <f t="shared" si="1009"/>
        <v>-1732.5</v>
      </c>
      <c r="P4075" s="12">
        <f t="shared" si="1008"/>
        <v>0</v>
      </c>
      <c r="Q4075" s="7">
        <f t="shared" si="1007"/>
        <v>6748397.2500000028</v>
      </c>
      <c r="R4075" s="44" t="str">
        <f>VLOOKUP(F4075,'Set up'!$A$2:$E$70,5,FALSE)</f>
        <v>Cash</v>
      </c>
      <c r="S4075" s="1" t="s">
        <v>3951</v>
      </c>
    </row>
    <row r="4076" spans="1:19" ht="16.2" customHeight="1" x14ac:dyDescent="0.3">
      <c r="A4076" s="105" t="s">
        <v>3865</v>
      </c>
      <c r="B4076" s="5">
        <f t="shared" si="1002"/>
        <v>6</v>
      </c>
      <c r="C4076" s="5">
        <f t="shared" si="1003"/>
        <v>2025</v>
      </c>
      <c r="D4076" s="105" t="s">
        <v>3866</v>
      </c>
      <c r="E4076" s="5" t="str">
        <f>VLOOKUP(F4076,'Set up'!$A$2:$C$70,2,FALSE)</f>
        <v>C00000062</v>
      </c>
      <c r="F4076" s="99" t="s">
        <v>3867</v>
      </c>
      <c r="G4076" s="99" t="s">
        <v>3868</v>
      </c>
      <c r="H4076" s="105">
        <v>1</v>
      </c>
      <c r="I4076" s="5" t="str">
        <f>VLOOKUP(F4076,'Set up'!$A$2:$C$70,3,FALSE)</f>
        <v>Cash</v>
      </c>
      <c r="J4076" s="5">
        <f>VLOOKUP(F4076,'Set up'!$A$2:$D$70,4,FALSE)</f>
        <v>0</v>
      </c>
      <c r="K4076" s="4">
        <f t="shared" si="1004"/>
        <v>45824</v>
      </c>
      <c r="L4076" s="5">
        <f t="shared" si="1005"/>
        <v>6</v>
      </c>
      <c r="M4076" s="5">
        <f t="shared" si="1006"/>
        <v>2025</v>
      </c>
      <c r="N4076" s="135">
        <v>2812.5</v>
      </c>
      <c r="O4076" s="6">
        <f t="shared" si="1009"/>
        <v>-2812.5</v>
      </c>
      <c r="P4076" s="12">
        <f t="shared" si="1008"/>
        <v>0</v>
      </c>
      <c r="Q4076" s="7">
        <f t="shared" si="1007"/>
        <v>6751209.7500000028</v>
      </c>
      <c r="R4076" s="44" t="str">
        <f>VLOOKUP(F4076,'Set up'!$A$2:$E$70,5,FALSE)</f>
        <v>Cash</v>
      </c>
      <c r="S4076" s="1" t="s">
        <v>3951</v>
      </c>
    </row>
    <row r="4077" spans="1:19" ht="16.2" customHeight="1" x14ac:dyDescent="0.3">
      <c r="A4077" s="105" t="s">
        <v>3865</v>
      </c>
      <c r="B4077" s="5">
        <f t="shared" si="1002"/>
        <v>6</v>
      </c>
      <c r="C4077" s="5">
        <f t="shared" si="1003"/>
        <v>2025</v>
      </c>
      <c r="D4077" s="105" t="s">
        <v>3866</v>
      </c>
      <c r="E4077" s="5" t="str">
        <f>VLOOKUP(F4077,'Set up'!$A$2:$C$70,2,FALSE)</f>
        <v>C00000062</v>
      </c>
      <c r="F4077" s="99" t="s">
        <v>3867</v>
      </c>
      <c r="G4077" s="99" t="s">
        <v>46</v>
      </c>
      <c r="H4077" s="105">
        <v>1</v>
      </c>
      <c r="I4077" s="5" t="str">
        <f>VLOOKUP(F4077,'Set up'!$A$2:$C$70,3,FALSE)</f>
        <v>Cash</v>
      </c>
      <c r="J4077" s="5">
        <f>VLOOKUP(F4077,'Set up'!$A$2:$D$70,4,FALSE)</f>
        <v>0</v>
      </c>
      <c r="K4077" s="4">
        <f t="shared" si="1004"/>
        <v>45824</v>
      </c>
      <c r="L4077" s="5">
        <f t="shared" si="1005"/>
        <v>6</v>
      </c>
      <c r="M4077" s="5">
        <f t="shared" si="1006"/>
        <v>2025</v>
      </c>
      <c r="N4077" s="135">
        <v>115</v>
      </c>
      <c r="O4077" s="6">
        <f t="shared" si="1009"/>
        <v>-115</v>
      </c>
      <c r="P4077" s="12">
        <f t="shared" si="1008"/>
        <v>0</v>
      </c>
      <c r="Q4077" s="7">
        <f t="shared" si="1007"/>
        <v>6751324.7500000028</v>
      </c>
      <c r="R4077" s="44" t="str">
        <f>VLOOKUP(F4077,'Set up'!$A$2:$E$70,5,FALSE)</f>
        <v>Cash</v>
      </c>
      <c r="S4077" s="1" t="s">
        <v>3951</v>
      </c>
    </row>
    <row r="4078" spans="1:19" ht="16.2" customHeight="1" x14ac:dyDescent="0.3">
      <c r="A4078" s="105" t="s">
        <v>3869</v>
      </c>
      <c r="B4078" s="5">
        <f t="shared" si="1002"/>
        <v>6</v>
      </c>
      <c r="C4078" s="5">
        <f t="shared" si="1003"/>
        <v>2025</v>
      </c>
      <c r="D4078" s="105" t="s">
        <v>3870</v>
      </c>
      <c r="E4078" s="5" t="str">
        <f>VLOOKUP(F4078,'Set up'!$A$2:$C$70,2,FALSE)</f>
        <v>C00000050</v>
      </c>
      <c r="F4078" s="99" t="s">
        <v>2656</v>
      </c>
      <c r="G4078" s="99" t="s">
        <v>3615</v>
      </c>
      <c r="H4078" s="105">
        <v>1</v>
      </c>
      <c r="I4078" s="5" t="str">
        <f>VLOOKUP(F4078,'Set up'!$A$2:$C$70,3,FALSE)</f>
        <v>Cash</v>
      </c>
      <c r="J4078" s="5">
        <f>VLOOKUP(F4078,'Set up'!$A$2:$D$70,4,FALSE)</f>
        <v>0</v>
      </c>
      <c r="K4078" s="4">
        <f t="shared" si="1004"/>
        <v>45822</v>
      </c>
      <c r="L4078" s="5">
        <f t="shared" si="1005"/>
        <v>6</v>
      </c>
      <c r="M4078" s="5">
        <f t="shared" si="1006"/>
        <v>2025</v>
      </c>
      <c r="N4078" s="135">
        <v>1710</v>
      </c>
      <c r="P4078" s="12">
        <f t="shared" si="1008"/>
        <v>1710</v>
      </c>
      <c r="Q4078" s="7">
        <f t="shared" si="1007"/>
        <v>6753034.7500000028</v>
      </c>
      <c r="R4078" s="44" t="str">
        <f>VLOOKUP(F4078,'Set up'!$A$2:$E$70,5,FALSE)</f>
        <v>Cash</v>
      </c>
    </row>
    <row r="4079" spans="1:19" ht="16.2" customHeight="1" x14ac:dyDescent="0.3">
      <c r="A4079" s="105" t="s">
        <v>3869</v>
      </c>
      <c r="B4079" s="5">
        <f t="shared" si="1002"/>
        <v>6</v>
      </c>
      <c r="C4079" s="5">
        <f t="shared" si="1003"/>
        <v>2025</v>
      </c>
      <c r="D4079" s="105" t="s">
        <v>3870</v>
      </c>
      <c r="E4079" s="5" t="str">
        <f>VLOOKUP(F4079,'Set up'!$A$2:$C$70,2,FALSE)</f>
        <v>C00000050</v>
      </c>
      <c r="F4079" s="99" t="s">
        <v>2656</v>
      </c>
      <c r="G4079" s="99" t="s">
        <v>2434</v>
      </c>
      <c r="H4079" s="105">
        <v>2</v>
      </c>
      <c r="I4079" s="5" t="str">
        <f>VLOOKUP(F4079,'Set up'!$A$2:$C$70,3,FALSE)</f>
        <v>Cash</v>
      </c>
      <c r="J4079" s="5">
        <f>VLOOKUP(F4079,'Set up'!$A$2:$D$70,4,FALSE)</f>
        <v>0</v>
      </c>
      <c r="K4079" s="4">
        <f t="shared" si="1004"/>
        <v>45822</v>
      </c>
      <c r="L4079" s="5">
        <f t="shared" si="1005"/>
        <v>6</v>
      </c>
      <c r="M4079" s="5">
        <f t="shared" si="1006"/>
        <v>2025</v>
      </c>
      <c r="N4079" s="135">
        <v>555</v>
      </c>
      <c r="P4079" s="12">
        <f t="shared" si="1008"/>
        <v>555</v>
      </c>
      <c r="Q4079" s="7">
        <f t="shared" si="1007"/>
        <v>6753589.7500000028</v>
      </c>
      <c r="R4079" s="44" t="str">
        <f>VLOOKUP(F4079,'Set up'!$A$2:$E$70,5,FALSE)</f>
        <v>Cash</v>
      </c>
    </row>
    <row r="4080" spans="1:19" ht="16.2" customHeight="1" x14ac:dyDescent="0.3">
      <c r="A4080" s="105" t="s">
        <v>3869</v>
      </c>
      <c r="B4080" s="5">
        <f t="shared" si="1002"/>
        <v>6</v>
      </c>
      <c r="C4080" s="5">
        <f t="shared" si="1003"/>
        <v>2025</v>
      </c>
      <c r="D4080" s="105" t="s">
        <v>3870</v>
      </c>
      <c r="E4080" s="5" t="str">
        <f>VLOOKUP(F4080,'Set up'!$A$2:$C$70,2,FALSE)</f>
        <v>C00000050</v>
      </c>
      <c r="F4080" s="99" t="s">
        <v>2656</v>
      </c>
      <c r="G4080" s="99" t="s">
        <v>1061</v>
      </c>
      <c r="H4080" s="105">
        <v>1</v>
      </c>
      <c r="I4080" s="5" t="str">
        <f>VLOOKUP(F4080,'Set up'!$A$2:$C$70,3,FALSE)</f>
        <v>Cash</v>
      </c>
      <c r="J4080" s="5">
        <f>VLOOKUP(F4080,'Set up'!$A$2:$D$70,4,FALSE)</f>
        <v>0</v>
      </c>
      <c r="K4080" s="4">
        <f t="shared" si="1004"/>
        <v>45822</v>
      </c>
      <c r="L4080" s="5">
        <f t="shared" si="1005"/>
        <v>6</v>
      </c>
      <c r="M4080" s="5">
        <f t="shared" si="1006"/>
        <v>2025</v>
      </c>
      <c r="N4080" s="135">
        <v>95</v>
      </c>
      <c r="P4080" s="12">
        <f t="shared" si="1008"/>
        <v>95</v>
      </c>
      <c r="Q4080" s="7">
        <f t="shared" si="1007"/>
        <v>6753684.7500000028</v>
      </c>
      <c r="R4080" s="44" t="str">
        <f>VLOOKUP(F4080,'Set up'!$A$2:$E$70,5,FALSE)</f>
        <v>Cash</v>
      </c>
    </row>
    <row r="4081" spans="1:19" ht="16.2" customHeight="1" x14ac:dyDescent="0.3">
      <c r="A4081" s="105" t="s">
        <v>3865</v>
      </c>
      <c r="B4081" s="5">
        <f t="shared" si="1002"/>
        <v>6</v>
      </c>
      <c r="C4081" s="5">
        <f t="shared" si="1003"/>
        <v>2025</v>
      </c>
      <c r="D4081" s="105" t="s">
        <v>3871</v>
      </c>
      <c r="E4081" s="5" t="str">
        <f>VLOOKUP(F4081,'Set up'!$A$2:$C$70,2,FALSE)</f>
        <v>C00000042</v>
      </c>
      <c r="F4081" s="99" t="s">
        <v>2012</v>
      </c>
      <c r="G4081" s="99" t="s">
        <v>2646</v>
      </c>
      <c r="H4081" s="105">
        <v>2</v>
      </c>
      <c r="I4081" s="5" t="str">
        <f>VLOOKUP(F4081,'Set up'!$A$2:$C$70,3,FALSE)</f>
        <v>Cash</v>
      </c>
      <c r="J4081" s="5">
        <f>VLOOKUP(F4081,'Set up'!$A$2:$D$70,4,FALSE)</f>
        <v>0</v>
      </c>
      <c r="K4081" s="4">
        <f t="shared" si="1004"/>
        <v>45824</v>
      </c>
      <c r="L4081" s="5">
        <f t="shared" si="1005"/>
        <v>6</v>
      </c>
      <c r="M4081" s="5">
        <f t="shared" si="1006"/>
        <v>2025</v>
      </c>
      <c r="N4081" s="135">
        <v>125</v>
      </c>
      <c r="P4081" s="12">
        <f t="shared" si="1008"/>
        <v>125</v>
      </c>
      <c r="Q4081" s="7">
        <f t="shared" si="1007"/>
        <v>6753809.7500000028</v>
      </c>
      <c r="R4081" s="44" t="str">
        <f>VLOOKUP(F4081,'Set up'!$A$2:$E$70,5,FALSE)</f>
        <v>Trsf</v>
      </c>
    </row>
    <row r="4082" spans="1:19" ht="16.2" customHeight="1" x14ac:dyDescent="0.3">
      <c r="A4082" s="105" t="s">
        <v>3865</v>
      </c>
      <c r="B4082" s="5">
        <f t="shared" si="1002"/>
        <v>6</v>
      </c>
      <c r="C4082" s="5">
        <f t="shared" si="1003"/>
        <v>2025</v>
      </c>
      <c r="D4082" s="105" t="s">
        <v>3872</v>
      </c>
      <c r="E4082" s="5" t="str">
        <f>VLOOKUP(F4082,'Set up'!$A$2:$C$70,2,FALSE)</f>
        <v>C00000042</v>
      </c>
      <c r="F4082" s="99" t="s">
        <v>2012</v>
      </c>
      <c r="G4082" s="99" t="s">
        <v>3645</v>
      </c>
      <c r="H4082" s="105">
        <v>5</v>
      </c>
      <c r="I4082" s="5" t="str">
        <f>VLOOKUP(F4082,'Set up'!$A$2:$C$70,3,FALSE)</f>
        <v>Cash</v>
      </c>
      <c r="J4082" s="5">
        <f>VLOOKUP(F4082,'Set up'!$A$2:$D$70,4,FALSE)</f>
        <v>0</v>
      </c>
      <c r="K4082" s="4">
        <f t="shared" si="1004"/>
        <v>45824</v>
      </c>
      <c r="L4082" s="5">
        <f t="shared" si="1005"/>
        <v>6</v>
      </c>
      <c r="M4082" s="5">
        <f t="shared" si="1006"/>
        <v>2025</v>
      </c>
      <c r="N4082" s="135">
        <v>8100</v>
      </c>
      <c r="P4082" s="12">
        <f t="shared" si="1008"/>
        <v>8100</v>
      </c>
      <c r="Q4082" s="7">
        <f t="shared" si="1007"/>
        <v>6761909.7500000028</v>
      </c>
      <c r="R4082" s="44" t="str">
        <f>VLOOKUP(F4082,'Set up'!$A$2:$E$70,5,FALSE)</f>
        <v>Trsf</v>
      </c>
    </row>
    <row r="4083" spans="1:19" ht="16.2" customHeight="1" x14ac:dyDescent="0.3">
      <c r="A4083" s="105" t="s">
        <v>3865</v>
      </c>
      <c r="B4083" s="5">
        <f t="shared" si="1002"/>
        <v>6</v>
      </c>
      <c r="C4083" s="5">
        <f t="shared" si="1003"/>
        <v>2025</v>
      </c>
      <c r="D4083" s="105" t="s">
        <v>3872</v>
      </c>
      <c r="E4083" s="5" t="str">
        <f>VLOOKUP(F4083,'Set up'!$A$2:$C$70,2,FALSE)</f>
        <v>C00000042</v>
      </c>
      <c r="F4083" s="99" t="s">
        <v>2012</v>
      </c>
      <c r="G4083" s="99" t="s">
        <v>1392</v>
      </c>
      <c r="H4083" s="105">
        <v>15</v>
      </c>
      <c r="I4083" s="5" t="str">
        <f>VLOOKUP(F4083,'Set up'!$A$2:$C$70,3,FALSE)</f>
        <v>Cash</v>
      </c>
      <c r="J4083" s="5">
        <f>VLOOKUP(F4083,'Set up'!$A$2:$D$70,4,FALSE)</f>
        <v>0</v>
      </c>
      <c r="K4083" s="4">
        <f t="shared" si="1004"/>
        <v>45824</v>
      </c>
      <c r="L4083" s="5">
        <f t="shared" si="1005"/>
        <v>6</v>
      </c>
      <c r="M4083" s="5">
        <f t="shared" si="1006"/>
        <v>2025</v>
      </c>
      <c r="N4083" s="135">
        <v>2655</v>
      </c>
      <c r="P4083" s="12">
        <f t="shared" si="1008"/>
        <v>2655</v>
      </c>
      <c r="Q4083" s="7">
        <f t="shared" si="1007"/>
        <v>6764564.7500000028</v>
      </c>
      <c r="R4083" s="44" t="str">
        <f>VLOOKUP(F4083,'Set up'!$A$2:$E$70,5,FALSE)</f>
        <v>Trsf</v>
      </c>
    </row>
    <row r="4084" spans="1:19" ht="16.2" customHeight="1" x14ac:dyDescent="0.3">
      <c r="A4084" s="105" t="s">
        <v>3865</v>
      </c>
      <c r="B4084" s="5">
        <f t="shared" si="1002"/>
        <v>6</v>
      </c>
      <c r="C4084" s="5">
        <f t="shared" si="1003"/>
        <v>2025</v>
      </c>
      <c r="D4084" s="105" t="s">
        <v>3872</v>
      </c>
      <c r="E4084" s="5" t="str">
        <f>VLOOKUP(F4084,'Set up'!$A$2:$C$70,2,FALSE)</f>
        <v>C00000042</v>
      </c>
      <c r="F4084" s="99" t="s">
        <v>2012</v>
      </c>
      <c r="G4084" s="99" t="s">
        <v>1922</v>
      </c>
      <c r="H4084" s="105">
        <v>8</v>
      </c>
      <c r="I4084" s="5" t="str">
        <f>VLOOKUP(F4084,'Set up'!$A$2:$C$70,3,FALSE)</f>
        <v>Cash</v>
      </c>
      <c r="J4084" s="5">
        <f>VLOOKUP(F4084,'Set up'!$A$2:$D$70,4,FALSE)</f>
        <v>0</v>
      </c>
      <c r="K4084" s="4">
        <f t="shared" si="1004"/>
        <v>45824</v>
      </c>
      <c r="L4084" s="5">
        <f t="shared" si="1005"/>
        <v>6</v>
      </c>
      <c r="M4084" s="5">
        <f t="shared" si="1006"/>
        <v>2025</v>
      </c>
      <c r="N4084" s="135">
        <v>1980</v>
      </c>
      <c r="P4084" s="12">
        <f t="shared" si="1008"/>
        <v>1980</v>
      </c>
      <c r="Q4084" s="7">
        <f t="shared" si="1007"/>
        <v>6766544.7500000028</v>
      </c>
      <c r="R4084" s="44" t="str">
        <f>VLOOKUP(F4084,'Set up'!$A$2:$E$70,5,FALSE)</f>
        <v>Trsf</v>
      </c>
    </row>
    <row r="4085" spans="1:19" ht="16.2" customHeight="1" x14ac:dyDescent="0.3">
      <c r="A4085" s="105" t="s">
        <v>3865</v>
      </c>
      <c r="B4085" s="5">
        <f t="shared" si="1002"/>
        <v>6</v>
      </c>
      <c r="C4085" s="5">
        <f t="shared" si="1003"/>
        <v>2025</v>
      </c>
      <c r="D4085" s="105" t="s">
        <v>3872</v>
      </c>
      <c r="E4085" s="5" t="str">
        <f>VLOOKUP(F4085,'Set up'!$A$2:$C$70,2,FALSE)</f>
        <v>C00000042</v>
      </c>
      <c r="F4085" s="99" t="s">
        <v>2012</v>
      </c>
      <c r="G4085" s="99" t="s">
        <v>1073</v>
      </c>
      <c r="H4085" s="105">
        <v>1</v>
      </c>
      <c r="I4085" s="5" t="str">
        <f>VLOOKUP(F4085,'Set up'!$A$2:$C$70,3,FALSE)</f>
        <v>Cash</v>
      </c>
      <c r="J4085" s="5">
        <f>VLOOKUP(F4085,'Set up'!$A$2:$D$70,4,FALSE)</f>
        <v>0</v>
      </c>
      <c r="K4085" s="4">
        <f t="shared" si="1004"/>
        <v>45824</v>
      </c>
      <c r="L4085" s="5">
        <f t="shared" si="1005"/>
        <v>6</v>
      </c>
      <c r="M4085" s="5">
        <f t="shared" si="1006"/>
        <v>2025</v>
      </c>
      <c r="N4085" s="135">
        <v>1000</v>
      </c>
      <c r="P4085" s="12">
        <f t="shared" si="1008"/>
        <v>1000</v>
      </c>
      <c r="Q4085" s="7">
        <f t="shared" si="1007"/>
        <v>6767544.7500000028</v>
      </c>
      <c r="R4085" s="44" t="str">
        <f>VLOOKUP(F4085,'Set up'!$A$2:$E$70,5,FALSE)</f>
        <v>Trsf</v>
      </c>
    </row>
    <row r="4086" spans="1:19" ht="16.2" customHeight="1" x14ac:dyDescent="0.3">
      <c r="A4086" s="105" t="s">
        <v>3865</v>
      </c>
      <c r="B4086" s="5">
        <f t="shared" si="1002"/>
        <v>6</v>
      </c>
      <c r="C4086" s="5">
        <f t="shared" si="1003"/>
        <v>2025</v>
      </c>
      <c r="D4086" s="105" t="s">
        <v>3872</v>
      </c>
      <c r="E4086" s="5" t="str">
        <f>VLOOKUP(F4086,'Set up'!$A$2:$C$70,2,FALSE)</f>
        <v>C00000042</v>
      </c>
      <c r="F4086" s="99" t="s">
        <v>2012</v>
      </c>
      <c r="G4086" s="99" t="s">
        <v>1061</v>
      </c>
      <c r="H4086" s="105">
        <v>4</v>
      </c>
      <c r="I4086" s="5" t="str">
        <f>VLOOKUP(F4086,'Set up'!$A$2:$C$70,3,FALSE)</f>
        <v>Cash</v>
      </c>
      <c r="J4086" s="5">
        <f>VLOOKUP(F4086,'Set up'!$A$2:$D$70,4,FALSE)</f>
        <v>0</v>
      </c>
      <c r="K4086" s="4">
        <f t="shared" si="1004"/>
        <v>45824</v>
      </c>
      <c r="L4086" s="5">
        <f t="shared" si="1005"/>
        <v>6</v>
      </c>
      <c r="M4086" s="5">
        <f t="shared" si="1006"/>
        <v>2025</v>
      </c>
      <c r="N4086" s="135">
        <v>380</v>
      </c>
      <c r="P4086" s="12">
        <f t="shared" si="1008"/>
        <v>380</v>
      </c>
      <c r="Q4086" s="7">
        <f t="shared" si="1007"/>
        <v>6767924.7500000028</v>
      </c>
      <c r="R4086" s="44" t="str">
        <f>VLOOKUP(F4086,'Set up'!$A$2:$E$70,5,FALSE)</f>
        <v>Trsf</v>
      </c>
    </row>
    <row r="4087" spans="1:19" ht="16.2" customHeight="1" x14ac:dyDescent="0.3">
      <c r="A4087" s="105" t="s">
        <v>3873</v>
      </c>
      <c r="B4087" s="5">
        <f t="shared" si="1002"/>
        <v>6</v>
      </c>
      <c r="C4087" s="5">
        <f t="shared" si="1003"/>
        <v>2025</v>
      </c>
      <c r="D4087" s="105" t="s">
        <v>3874</v>
      </c>
      <c r="E4087" s="5" t="str">
        <f>VLOOKUP(F4087,'Set up'!$A$2:$C$70,2,FALSE)</f>
        <v>C00000003</v>
      </c>
      <c r="F4087" s="99" t="s">
        <v>20</v>
      </c>
      <c r="G4087" s="99" t="s">
        <v>3217</v>
      </c>
      <c r="H4087" s="105">
        <v>1</v>
      </c>
      <c r="I4087" s="5">
        <f>VLOOKUP(F4087,'Set up'!$A$2:$C$70,3,FALSE)</f>
        <v>45</v>
      </c>
      <c r="J4087" s="5">
        <f>VLOOKUP(F4087,'Set up'!$A$2:$D$70,4,FALSE)</f>
        <v>45</v>
      </c>
      <c r="K4087" s="4">
        <f t="shared" si="1004"/>
        <v>45870</v>
      </c>
      <c r="L4087" s="5">
        <f t="shared" si="1005"/>
        <v>8</v>
      </c>
      <c r="M4087" s="5">
        <f t="shared" si="1006"/>
        <v>2025</v>
      </c>
      <c r="N4087" s="135">
        <v>1687.5</v>
      </c>
      <c r="O4087" s="6">
        <f>-1300</f>
        <v>-1300</v>
      </c>
      <c r="P4087" s="12">
        <f t="shared" si="1008"/>
        <v>387.5</v>
      </c>
      <c r="Q4087" s="7">
        <f t="shared" si="1007"/>
        <v>6769612.2500000028</v>
      </c>
      <c r="R4087" s="44" t="str">
        <f>VLOOKUP(F4087,'Set up'!$A$2:$E$70,5,FALSE)</f>
        <v>PD Chq</v>
      </c>
      <c r="S4087" s="1" t="s">
        <v>4074</v>
      </c>
    </row>
    <row r="4088" spans="1:19" ht="16.2" customHeight="1" x14ac:dyDescent="0.3">
      <c r="A4088" s="105" t="s">
        <v>3873</v>
      </c>
      <c r="B4088" s="5">
        <f t="shared" si="1002"/>
        <v>6</v>
      </c>
      <c r="C4088" s="5">
        <f t="shared" si="1003"/>
        <v>2025</v>
      </c>
      <c r="D4088" s="105" t="s">
        <v>3874</v>
      </c>
      <c r="E4088" s="5" t="str">
        <f>VLOOKUP(F4088,'Set up'!$A$2:$C$70,2,FALSE)</f>
        <v>C00000003</v>
      </c>
      <c r="F4088" s="99" t="s">
        <v>20</v>
      </c>
      <c r="G4088" s="99" t="s">
        <v>17</v>
      </c>
      <c r="H4088" s="105">
        <v>2</v>
      </c>
      <c r="I4088" s="5">
        <f>VLOOKUP(F4088,'Set up'!$A$2:$C$70,3,FALSE)</f>
        <v>45</v>
      </c>
      <c r="J4088" s="5">
        <f>VLOOKUP(F4088,'Set up'!$A$2:$D$70,4,FALSE)</f>
        <v>45</v>
      </c>
      <c r="K4088" s="4">
        <f t="shared" si="1004"/>
        <v>45870</v>
      </c>
      <c r="L4088" s="5">
        <f t="shared" si="1005"/>
        <v>8</v>
      </c>
      <c r="M4088" s="5">
        <f t="shared" si="1006"/>
        <v>2025</v>
      </c>
      <c r="N4088" s="135">
        <v>220</v>
      </c>
      <c r="P4088" s="12">
        <f t="shared" si="1008"/>
        <v>220</v>
      </c>
      <c r="Q4088" s="7">
        <f t="shared" si="1007"/>
        <v>6769832.2500000028</v>
      </c>
      <c r="R4088" s="44" t="str">
        <f>VLOOKUP(F4088,'Set up'!$A$2:$E$70,5,FALSE)</f>
        <v>PD Chq</v>
      </c>
    </row>
    <row r="4089" spans="1:19" ht="16.2" customHeight="1" x14ac:dyDescent="0.3">
      <c r="A4089" s="105" t="s">
        <v>3873</v>
      </c>
      <c r="B4089" s="5">
        <f t="shared" si="1002"/>
        <v>6</v>
      </c>
      <c r="C4089" s="5">
        <f t="shared" si="1003"/>
        <v>2025</v>
      </c>
      <c r="D4089" s="105" t="s">
        <v>3874</v>
      </c>
      <c r="E4089" s="5" t="str">
        <f>VLOOKUP(F4089,'Set up'!$A$2:$C$70,2,FALSE)</f>
        <v>C00000003</v>
      </c>
      <c r="F4089" s="99" t="s">
        <v>20</v>
      </c>
      <c r="G4089" s="99" t="s">
        <v>2635</v>
      </c>
      <c r="H4089" s="105">
        <v>2</v>
      </c>
      <c r="I4089" s="5">
        <f>VLOOKUP(F4089,'Set up'!$A$2:$C$70,3,FALSE)</f>
        <v>45</v>
      </c>
      <c r="J4089" s="5">
        <f>VLOOKUP(F4089,'Set up'!$A$2:$D$70,4,FALSE)</f>
        <v>45</v>
      </c>
      <c r="K4089" s="4">
        <f t="shared" si="1004"/>
        <v>45870</v>
      </c>
      <c r="L4089" s="5">
        <f t="shared" si="1005"/>
        <v>8</v>
      </c>
      <c r="M4089" s="5">
        <f t="shared" si="1006"/>
        <v>2025</v>
      </c>
      <c r="N4089" s="135">
        <v>130</v>
      </c>
      <c r="P4089" s="12">
        <f t="shared" si="1008"/>
        <v>130</v>
      </c>
      <c r="Q4089" s="7">
        <f t="shared" si="1007"/>
        <v>6769962.2500000028</v>
      </c>
      <c r="R4089" s="44" t="str">
        <f>VLOOKUP(F4089,'Set up'!$A$2:$E$70,5,FALSE)</f>
        <v>PD Chq</v>
      </c>
    </row>
    <row r="4090" spans="1:19" ht="16.2" customHeight="1" x14ac:dyDescent="0.3">
      <c r="A4090" s="105" t="s">
        <v>3873</v>
      </c>
      <c r="B4090" s="5">
        <f t="shared" si="1002"/>
        <v>6</v>
      </c>
      <c r="C4090" s="5">
        <f t="shared" si="1003"/>
        <v>2025</v>
      </c>
      <c r="D4090" s="105" t="s">
        <v>3874</v>
      </c>
      <c r="E4090" s="5" t="str">
        <f>VLOOKUP(F4090,'Set up'!$A$2:$C$70,2,FALSE)</f>
        <v>C00000003</v>
      </c>
      <c r="F4090" s="99" t="s">
        <v>20</v>
      </c>
      <c r="G4090" s="99" t="s">
        <v>949</v>
      </c>
      <c r="H4090" s="105">
        <v>3</v>
      </c>
      <c r="I4090" s="5">
        <f>VLOOKUP(F4090,'Set up'!$A$2:$C$70,3,FALSE)</f>
        <v>45</v>
      </c>
      <c r="J4090" s="5">
        <f>VLOOKUP(F4090,'Set up'!$A$2:$D$70,4,FALSE)</f>
        <v>45</v>
      </c>
      <c r="K4090" s="4">
        <f t="shared" si="1004"/>
        <v>45870</v>
      </c>
      <c r="L4090" s="5">
        <f t="shared" si="1005"/>
        <v>8</v>
      </c>
      <c r="M4090" s="5">
        <f t="shared" si="1006"/>
        <v>2025</v>
      </c>
      <c r="N4090" s="135">
        <v>540</v>
      </c>
      <c r="P4090" s="12">
        <f t="shared" si="1008"/>
        <v>540</v>
      </c>
      <c r="Q4090" s="7">
        <f t="shared" si="1007"/>
        <v>6770502.2500000028</v>
      </c>
      <c r="R4090" s="44" t="str">
        <f>VLOOKUP(F4090,'Set up'!$A$2:$E$70,5,FALSE)</f>
        <v>PD Chq</v>
      </c>
    </row>
    <row r="4091" spans="1:19" ht="16.2" customHeight="1" x14ac:dyDescent="0.3">
      <c r="A4091" s="105" t="s">
        <v>3875</v>
      </c>
      <c r="B4091" s="5">
        <f t="shared" si="1002"/>
        <v>6</v>
      </c>
      <c r="C4091" s="5">
        <f t="shared" si="1003"/>
        <v>2025</v>
      </c>
      <c r="D4091" s="105" t="s">
        <v>3876</v>
      </c>
      <c r="E4091" s="5" t="str">
        <f>VLOOKUP(F4091,'Set up'!$A$2:$C$70,2,FALSE)</f>
        <v>C00000019</v>
      </c>
      <c r="F4091" s="99" t="s">
        <v>400</v>
      </c>
      <c r="G4091" s="99" t="s">
        <v>3122</v>
      </c>
      <c r="H4091" s="105">
        <v>1</v>
      </c>
      <c r="I4091" s="5" t="str">
        <f>VLOOKUP(F4091,'Set up'!$A$2:$C$70,3,FALSE)</f>
        <v>Cash</v>
      </c>
      <c r="J4091" s="5">
        <f>VLOOKUP(F4091,'Set up'!$A$2:$D$70,4,FALSE)</f>
        <v>0</v>
      </c>
      <c r="K4091" s="4">
        <f t="shared" si="1004"/>
        <v>45827</v>
      </c>
      <c r="L4091" s="5">
        <f t="shared" si="1005"/>
        <v>6</v>
      </c>
      <c r="M4091" s="5">
        <f t="shared" si="1006"/>
        <v>2025</v>
      </c>
      <c r="N4091" s="135">
        <v>1710</v>
      </c>
      <c r="P4091" s="12">
        <f t="shared" si="1008"/>
        <v>1710</v>
      </c>
      <c r="Q4091" s="7">
        <f t="shared" si="1007"/>
        <v>6772212.2500000028</v>
      </c>
      <c r="R4091" s="44" t="str">
        <f>VLOOKUP(F4091,'Set up'!$A$2:$E$70,5,FALSE)</f>
        <v>Trsf</v>
      </c>
    </row>
    <row r="4092" spans="1:19" ht="16.2" customHeight="1" x14ac:dyDescent="0.3">
      <c r="A4092" s="105" t="s">
        <v>3875</v>
      </c>
      <c r="B4092" s="5">
        <f t="shared" si="1002"/>
        <v>6</v>
      </c>
      <c r="C4092" s="5">
        <f t="shared" si="1003"/>
        <v>2025</v>
      </c>
      <c r="D4092" s="105" t="s">
        <v>3876</v>
      </c>
      <c r="E4092" s="5" t="str">
        <f>VLOOKUP(F4092,'Set up'!$A$2:$C$70,2,FALSE)</f>
        <v>C00000019</v>
      </c>
      <c r="F4092" s="99" t="s">
        <v>400</v>
      </c>
      <c r="G4092" s="99" t="s">
        <v>1411</v>
      </c>
      <c r="H4092" s="105">
        <v>1</v>
      </c>
      <c r="I4092" s="5" t="str">
        <f>VLOOKUP(F4092,'Set up'!$A$2:$C$70,3,FALSE)</f>
        <v>Cash</v>
      </c>
      <c r="J4092" s="5">
        <f>VLOOKUP(F4092,'Set up'!$A$2:$D$70,4,FALSE)</f>
        <v>0</v>
      </c>
      <c r="K4092" s="4">
        <f t="shared" si="1004"/>
        <v>45827</v>
      </c>
      <c r="L4092" s="5">
        <f t="shared" si="1005"/>
        <v>6</v>
      </c>
      <c r="M4092" s="5">
        <f t="shared" si="1006"/>
        <v>2025</v>
      </c>
      <c r="N4092" s="135">
        <v>405</v>
      </c>
      <c r="P4092" s="12">
        <f t="shared" si="1008"/>
        <v>405</v>
      </c>
      <c r="Q4092" s="7">
        <f t="shared" si="1007"/>
        <v>6772617.2500000028</v>
      </c>
      <c r="R4092" s="44" t="str">
        <f>VLOOKUP(F4092,'Set up'!$A$2:$E$70,5,FALSE)</f>
        <v>Trsf</v>
      </c>
    </row>
    <row r="4093" spans="1:19" ht="16.2" customHeight="1" x14ac:dyDescent="0.3">
      <c r="A4093" s="105" t="s">
        <v>3875</v>
      </c>
      <c r="B4093" s="5">
        <f t="shared" si="1002"/>
        <v>6</v>
      </c>
      <c r="C4093" s="5">
        <f t="shared" si="1003"/>
        <v>2025</v>
      </c>
      <c r="D4093" s="105" t="s">
        <v>3876</v>
      </c>
      <c r="E4093" s="5" t="str">
        <f>VLOOKUP(F4093,'Set up'!$A$2:$C$70,2,FALSE)</f>
        <v>C00000019</v>
      </c>
      <c r="F4093" s="99" t="s">
        <v>400</v>
      </c>
      <c r="G4093" s="99" t="s">
        <v>46</v>
      </c>
      <c r="H4093" s="105">
        <v>1</v>
      </c>
      <c r="I4093" s="5" t="str">
        <f>VLOOKUP(F4093,'Set up'!$A$2:$C$70,3,FALSE)</f>
        <v>Cash</v>
      </c>
      <c r="J4093" s="5">
        <f>VLOOKUP(F4093,'Set up'!$A$2:$D$70,4,FALSE)</f>
        <v>0</v>
      </c>
      <c r="K4093" s="4">
        <f t="shared" si="1004"/>
        <v>45827</v>
      </c>
      <c r="L4093" s="5">
        <f t="shared" si="1005"/>
        <v>6</v>
      </c>
      <c r="M4093" s="5">
        <f t="shared" si="1006"/>
        <v>2025</v>
      </c>
      <c r="N4093" s="135">
        <v>110</v>
      </c>
      <c r="P4093" s="12">
        <f t="shared" si="1008"/>
        <v>110</v>
      </c>
      <c r="Q4093" s="7">
        <f t="shared" si="1007"/>
        <v>6772727.2500000028</v>
      </c>
      <c r="R4093" s="44" t="str">
        <f>VLOOKUP(F4093,'Set up'!$A$2:$E$70,5,FALSE)</f>
        <v>Trsf</v>
      </c>
    </row>
    <row r="4094" spans="1:19" ht="16.2" customHeight="1" x14ac:dyDescent="0.3">
      <c r="A4094" s="105" t="s">
        <v>3875</v>
      </c>
      <c r="B4094" s="5">
        <f t="shared" si="1002"/>
        <v>6</v>
      </c>
      <c r="C4094" s="5">
        <f t="shared" si="1003"/>
        <v>2025</v>
      </c>
      <c r="D4094" s="105" t="s">
        <v>3876</v>
      </c>
      <c r="E4094" s="5" t="str">
        <f>VLOOKUP(F4094,'Set up'!$A$2:$C$70,2,FALSE)</f>
        <v>C00000019</v>
      </c>
      <c r="F4094" s="99" t="s">
        <v>400</v>
      </c>
      <c r="G4094" s="99" t="s">
        <v>2635</v>
      </c>
      <c r="H4094" s="105">
        <v>3</v>
      </c>
      <c r="I4094" s="5" t="str">
        <f>VLOOKUP(F4094,'Set up'!$A$2:$C$70,3,FALSE)</f>
        <v>Cash</v>
      </c>
      <c r="J4094" s="5">
        <f>VLOOKUP(F4094,'Set up'!$A$2:$D$70,4,FALSE)</f>
        <v>0</v>
      </c>
      <c r="K4094" s="4">
        <f t="shared" si="1004"/>
        <v>45827</v>
      </c>
      <c r="L4094" s="5">
        <f t="shared" si="1005"/>
        <v>6</v>
      </c>
      <c r="M4094" s="5">
        <f t="shared" si="1006"/>
        <v>2025</v>
      </c>
      <c r="N4094" s="135">
        <v>187.5</v>
      </c>
      <c r="P4094" s="12">
        <f t="shared" si="1008"/>
        <v>187.5</v>
      </c>
      <c r="Q4094" s="7">
        <f t="shared" si="1007"/>
        <v>6772914.7500000028</v>
      </c>
      <c r="R4094" s="44" t="str">
        <f>VLOOKUP(F4094,'Set up'!$A$2:$E$70,5,FALSE)</f>
        <v>Trsf</v>
      </c>
    </row>
    <row r="4095" spans="1:19" ht="16.2" customHeight="1" x14ac:dyDescent="0.3">
      <c r="A4095" s="105" t="s">
        <v>3875</v>
      </c>
      <c r="B4095" s="5">
        <f t="shared" si="1002"/>
        <v>6</v>
      </c>
      <c r="C4095" s="5">
        <f t="shared" si="1003"/>
        <v>2025</v>
      </c>
      <c r="D4095" s="105" t="s">
        <v>3876</v>
      </c>
      <c r="E4095" s="5" t="str">
        <f>VLOOKUP(F4095,'Set up'!$A$2:$C$70,2,FALSE)</f>
        <v>C00000019</v>
      </c>
      <c r="F4095" s="99" t="s">
        <v>400</v>
      </c>
      <c r="G4095" s="99" t="s">
        <v>2144</v>
      </c>
      <c r="H4095" s="105">
        <v>1</v>
      </c>
      <c r="I4095" s="5" t="str">
        <f>VLOOKUP(F4095,'Set up'!$A$2:$C$70,3,FALSE)</f>
        <v>Cash</v>
      </c>
      <c r="J4095" s="5">
        <f>VLOOKUP(F4095,'Set up'!$A$2:$D$70,4,FALSE)</f>
        <v>0</v>
      </c>
      <c r="K4095" s="4">
        <f t="shared" si="1004"/>
        <v>45827</v>
      </c>
      <c r="L4095" s="5">
        <f t="shared" si="1005"/>
        <v>6</v>
      </c>
      <c r="M4095" s="5">
        <f t="shared" si="1006"/>
        <v>2025</v>
      </c>
      <c r="N4095" s="135">
        <v>283.8</v>
      </c>
      <c r="P4095" s="12">
        <f t="shared" si="1008"/>
        <v>283.8</v>
      </c>
      <c r="Q4095" s="7">
        <f t="shared" si="1007"/>
        <v>6773198.5500000026</v>
      </c>
      <c r="R4095" s="44" t="str">
        <f>VLOOKUP(F4095,'Set up'!$A$2:$E$70,5,FALSE)</f>
        <v>Trsf</v>
      </c>
    </row>
    <row r="4096" spans="1:19" ht="16.2" customHeight="1" x14ac:dyDescent="0.3">
      <c r="A4096" s="105" t="s">
        <v>3875</v>
      </c>
      <c r="B4096" s="5">
        <f t="shared" si="1002"/>
        <v>6</v>
      </c>
      <c r="C4096" s="5">
        <f t="shared" si="1003"/>
        <v>2025</v>
      </c>
      <c r="D4096" s="105" t="s">
        <v>3877</v>
      </c>
      <c r="E4096" s="5" t="str">
        <f>VLOOKUP(F4096,'Set up'!$A$2:$C$70,2,FALSE)</f>
        <v>C00000042</v>
      </c>
      <c r="F4096" s="99" t="s">
        <v>2012</v>
      </c>
      <c r="G4096" s="99" t="s">
        <v>2646</v>
      </c>
      <c r="H4096" s="105">
        <v>1</v>
      </c>
      <c r="I4096" s="5" t="str">
        <f>VLOOKUP(F4096,'Set up'!$A$2:$C$70,3,FALSE)</f>
        <v>Cash</v>
      </c>
      <c r="J4096" s="5">
        <f>VLOOKUP(F4096,'Set up'!$A$2:$D$70,4,FALSE)</f>
        <v>0</v>
      </c>
      <c r="K4096" s="4">
        <f t="shared" si="1004"/>
        <v>45827</v>
      </c>
      <c r="L4096" s="5">
        <f t="shared" si="1005"/>
        <v>6</v>
      </c>
      <c r="M4096" s="5">
        <f t="shared" si="1006"/>
        <v>2025</v>
      </c>
      <c r="N4096" s="135">
        <v>62.5</v>
      </c>
      <c r="P4096" s="12">
        <f t="shared" si="1008"/>
        <v>62.5</v>
      </c>
      <c r="Q4096" s="7">
        <f t="shared" si="1007"/>
        <v>6773261.0500000026</v>
      </c>
      <c r="R4096" s="44" t="str">
        <f>VLOOKUP(F4096,'Set up'!$A$2:$E$70,5,FALSE)</f>
        <v>Trsf</v>
      </c>
    </row>
    <row r="4097" spans="1:18" ht="16.2" customHeight="1" x14ac:dyDescent="0.3">
      <c r="A4097" s="105" t="s">
        <v>3875</v>
      </c>
      <c r="B4097" s="5">
        <f t="shared" si="1002"/>
        <v>6</v>
      </c>
      <c r="C4097" s="5">
        <f t="shared" si="1003"/>
        <v>2025</v>
      </c>
      <c r="D4097" s="105" t="s">
        <v>3878</v>
      </c>
      <c r="E4097" s="5" t="str">
        <f>VLOOKUP(F4097,'Set up'!$A$2:$C$70,2,FALSE)</f>
        <v>C00000042</v>
      </c>
      <c r="F4097" s="99" t="s">
        <v>2012</v>
      </c>
      <c r="G4097" s="99" t="s">
        <v>3217</v>
      </c>
      <c r="H4097" s="105">
        <v>2</v>
      </c>
      <c r="I4097" s="5" t="str">
        <f>VLOOKUP(F4097,'Set up'!$A$2:$C$70,3,FALSE)</f>
        <v>Cash</v>
      </c>
      <c r="J4097" s="5">
        <f>VLOOKUP(F4097,'Set up'!$A$2:$D$70,4,FALSE)</f>
        <v>0</v>
      </c>
      <c r="K4097" s="4">
        <f t="shared" si="1004"/>
        <v>45827</v>
      </c>
      <c r="L4097" s="5">
        <f t="shared" si="1005"/>
        <v>6</v>
      </c>
      <c r="M4097" s="5">
        <f t="shared" si="1006"/>
        <v>2025</v>
      </c>
      <c r="N4097" s="135">
        <v>3240</v>
      </c>
      <c r="P4097" s="12">
        <f t="shared" si="1008"/>
        <v>3240</v>
      </c>
      <c r="Q4097" s="7">
        <f t="shared" si="1007"/>
        <v>6776501.0500000026</v>
      </c>
      <c r="R4097" s="44" t="str">
        <f>VLOOKUP(F4097,'Set up'!$A$2:$E$70,5,FALSE)</f>
        <v>Trsf</v>
      </c>
    </row>
    <row r="4098" spans="1:18" ht="16.2" customHeight="1" x14ac:dyDescent="0.3">
      <c r="A4098" s="105" t="s">
        <v>3875</v>
      </c>
      <c r="B4098" s="5">
        <f t="shared" si="1002"/>
        <v>6</v>
      </c>
      <c r="C4098" s="5">
        <f t="shared" si="1003"/>
        <v>2025</v>
      </c>
      <c r="D4098" s="105" t="s">
        <v>3878</v>
      </c>
      <c r="E4098" s="5" t="str">
        <f>VLOOKUP(F4098,'Set up'!$A$2:$C$70,2,FALSE)</f>
        <v>C00000042</v>
      </c>
      <c r="F4098" s="99" t="s">
        <v>2012</v>
      </c>
      <c r="G4098" s="99" t="s">
        <v>1392</v>
      </c>
      <c r="H4098" s="105">
        <v>6</v>
      </c>
      <c r="I4098" s="5" t="str">
        <f>VLOOKUP(F4098,'Set up'!$A$2:$C$70,3,FALSE)</f>
        <v>Cash</v>
      </c>
      <c r="J4098" s="5">
        <f>VLOOKUP(F4098,'Set up'!$A$2:$D$70,4,FALSE)</f>
        <v>0</v>
      </c>
      <c r="K4098" s="4">
        <f t="shared" si="1004"/>
        <v>45827</v>
      </c>
      <c r="L4098" s="5">
        <f t="shared" si="1005"/>
        <v>6</v>
      </c>
      <c r="M4098" s="5">
        <f t="shared" si="1006"/>
        <v>2025</v>
      </c>
      <c r="N4098" s="135">
        <v>1062</v>
      </c>
      <c r="P4098" s="12">
        <f t="shared" si="1008"/>
        <v>1062</v>
      </c>
      <c r="Q4098" s="7">
        <f t="shared" si="1007"/>
        <v>6777563.0500000026</v>
      </c>
      <c r="R4098" s="44" t="str">
        <f>VLOOKUP(F4098,'Set up'!$A$2:$E$70,5,FALSE)</f>
        <v>Trsf</v>
      </c>
    </row>
    <row r="4099" spans="1:18" ht="16.2" customHeight="1" x14ac:dyDescent="0.3">
      <c r="A4099" s="105" t="s">
        <v>3875</v>
      </c>
      <c r="B4099" s="5">
        <f t="shared" ref="B4099:B4162" si="1010">MONTH(A4099)</f>
        <v>6</v>
      </c>
      <c r="C4099" s="5">
        <f t="shared" ref="C4099:C4162" si="1011">YEAR(A4099)</f>
        <v>2025</v>
      </c>
      <c r="D4099" s="105" t="s">
        <v>3878</v>
      </c>
      <c r="E4099" s="5" t="str">
        <f>VLOOKUP(F4099,'Set up'!$A$2:$C$70,2,FALSE)</f>
        <v>C00000042</v>
      </c>
      <c r="F4099" s="99" t="s">
        <v>2012</v>
      </c>
      <c r="G4099" s="99" t="s">
        <v>1922</v>
      </c>
      <c r="H4099" s="105">
        <v>2</v>
      </c>
      <c r="I4099" s="5" t="str">
        <f>VLOOKUP(F4099,'Set up'!$A$2:$C$70,3,FALSE)</f>
        <v>Cash</v>
      </c>
      <c r="J4099" s="5">
        <f>VLOOKUP(F4099,'Set up'!$A$2:$D$70,4,FALSE)</f>
        <v>0</v>
      </c>
      <c r="K4099" s="4">
        <f t="shared" ref="K4099:K4162" si="1012">A4099+J4099</f>
        <v>45827</v>
      </c>
      <c r="L4099" s="5">
        <f t="shared" ref="L4099:L4162" si="1013">MONTH(K4099)</f>
        <v>6</v>
      </c>
      <c r="M4099" s="5">
        <f t="shared" ref="M4099:M4162" si="1014">YEAR(K4099)</f>
        <v>2025</v>
      </c>
      <c r="N4099" s="135">
        <v>495</v>
      </c>
      <c r="P4099" s="12">
        <f t="shared" si="1008"/>
        <v>495</v>
      </c>
      <c r="Q4099" s="7">
        <f t="shared" ref="Q4099:Q4162" si="1015">SUM(Q4098+N4099)</f>
        <v>6778058.0500000026</v>
      </c>
      <c r="R4099" s="44" t="str">
        <f>VLOOKUP(F4099,'Set up'!$A$2:$E$70,5,FALSE)</f>
        <v>Trsf</v>
      </c>
    </row>
    <row r="4100" spans="1:18" ht="16.2" customHeight="1" x14ac:dyDescent="0.3">
      <c r="A4100" s="105" t="s">
        <v>3875</v>
      </c>
      <c r="B4100" s="5">
        <f t="shared" si="1010"/>
        <v>6</v>
      </c>
      <c r="C4100" s="5">
        <f t="shared" si="1011"/>
        <v>2025</v>
      </c>
      <c r="D4100" s="105" t="s">
        <v>3878</v>
      </c>
      <c r="E4100" s="5" t="str">
        <f>VLOOKUP(F4100,'Set up'!$A$2:$C$70,2,FALSE)</f>
        <v>C00000042</v>
      </c>
      <c r="F4100" s="99" t="s">
        <v>2012</v>
      </c>
      <c r="G4100" s="99" t="s">
        <v>1061</v>
      </c>
      <c r="H4100" s="105">
        <v>4</v>
      </c>
      <c r="I4100" s="5" t="str">
        <f>VLOOKUP(F4100,'Set up'!$A$2:$C$70,3,FALSE)</f>
        <v>Cash</v>
      </c>
      <c r="J4100" s="5">
        <f>VLOOKUP(F4100,'Set up'!$A$2:$D$70,4,FALSE)</f>
        <v>0</v>
      </c>
      <c r="K4100" s="4">
        <f t="shared" si="1012"/>
        <v>45827</v>
      </c>
      <c r="L4100" s="5">
        <f t="shared" si="1013"/>
        <v>6</v>
      </c>
      <c r="M4100" s="5">
        <f t="shared" si="1014"/>
        <v>2025</v>
      </c>
      <c r="N4100" s="135">
        <v>380</v>
      </c>
      <c r="P4100" s="12">
        <f t="shared" si="1008"/>
        <v>380</v>
      </c>
      <c r="Q4100" s="7">
        <f t="shared" si="1015"/>
        <v>6778438.0500000026</v>
      </c>
      <c r="R4100" s="44" t="str">
        <f>VLOOKUP(F4100,'Set up'!$A$2:$E$70,5,FALSE)</f>
        <v>Trsf</v>
      </c>
    </row>
    <row r="4101" spans="1:18" ht="16.2" customHeight="1" x14ac:dyDescent="0.3">
      <c r="A4101" s="105" t="s">
        <v>3875</v>
      </c>
      <c r="B4101" s="5">
        <f t="shared" si="1010"/>
        <v>6</v>
      </c>
      <c r="C4101" s="5">
        <f t="shared" si="1011"/>
        <v>2025</v>
      </c>
      <c r="D4101" s="105" t="s">
        <v>3878</v>
      </c>
      <c r="E4101" s="5" t="str">
        <f>VLOOKUP(F4101,'Set up'!$A$2:$C$70,2,FALSE)</f>
        <v>C00000042</v>
      </c>
      <c r="F4101" s="99" t="s">
        <v>2012</v>
      </c>
      <c r="G4101" s="99" t="s">
        <v>1073</v>
      </c>
      <c r="H4101" s="105">
        <v>1</v>
      </c>
      <c r="I4101" s="5" t="str">
        <f>VLOOKUP(F4101,'Set up'!$A$2:$C$70,3,FALSE)</f>
        <v>Cash</v>
      </c>
      <c r="J4101" s="5">
        <f>VLOOKUP(F4101,'Set up'!$A$2:$D$70,4,FALSE)</f>
        <v>0</v>
      </c>
      <c r="K4101" s="4">
        <f t="shared" si="1012"/>
        <v>45827</v>
      </c>
      <c r="L4101" s="5">
        <f t="shared" si="1013"/>
        <v>6</v>
      </c>
      <c r="M4101" s="5">
        <f t="shared" si="1014"/>
        <v>2025</v>
      </c>
      <c r="N4101" s="135">
        <v>1000</v>
      </c>
      <c r="P4101" s="12">
        <f t="shared" si="1008"/>
        <v>1000</v>
      </c>
      <c r="Q4101" s="7">
        <f t="shared" si="1015"/>
        <v>6779438.0500000026</v>
      </c>
      <c r="R4101" s="44" t="str">
        <f>VLOOKUP(F4101,'Set up'!$A$2:$E$70,5,FALSE)</f>
        <v>Trsf</v>
      </c>
    </row>
    <row r="4102" spans="1:18" ht="16.2" customHeight="1" x14ac:dyDescent="0.3">
      <c r="A4102" s="105" t="s">
        <v>3879</v>
      </c>
      <c r="B4102" s="5">
        <f t="shared" si="1010"/>
        <v>6</v>
      </c>
      <c r="C4102" s="5">
        <f t="shared" si="1011"/>
        <v>2025</v>
      </c>
      <c r="D4102" s="105" t="s">
        <v>3880</v>
      </c>
      <c r="E4102" s="5" t="str">
        <f>VLOOKUP(F4102,'Set up'!$A$2:$C$70,2,FALSE)</f>
        <v>C00000042</v>
      </c>
      <c r="F4102" s="99" t="s">
        <v>2012</v>
      </c>
      <c r="G4102" s="99" t="s">
        <v>2646</v>
      </c>
      <c r="H4102" s="105">
        <v>3</v>
      </c>
      <c r="I4102" s="5" t="str">
        <f>VLOOKUP(F4102,'Set up'!$A$2:$C$70,3,FALSE)</f>
        <v>Cash</v>
      </c>
      <c r="J4102" s="5">
        <f>VLOOKUP(F4102,'Set up'!$A$2:$D$70,4,FALSE)</f>
        <v>0</v>
      </c>
      <c r="K4102" s="4">
        <f t="shared" si="1012"/>
        <v>45829</v>
      </c>
      <c r="L4102" s="5">
        <f t="shared" si="1013"/>
        <v>6</v>
      </c>
      <c r="M4102" s="5">
        <f t="shared" si="1014"/>
        <v>2025</v>
      </c>
      <c r="N4102" s="135">
        <v>187.5</v>
      </c>
      <c r="P4102" s="12">
        <f t="shared" si="1008"/>
        <v>187.5</v>
      </c>
      <c r="Q4102" s="7">
        <f t="shared" si="1015"/>
        <v>6779625.5500000026</v>
      </c>
      <c r="R4102" s="44" t="str">
        <f>VLOOKUP(F4102,'Set up'!$A$2:$E$70,5,FALSE)</f>
        <v>Trsf</v>
      </c>
    </row>
    <row r="4103" spans="1:18" ht="16.2" customHeight="1" x14ac:dyDescent="0.3">
      <c r="A4103" s="105" t="s">
        <v>3879</v>
      </c>
      <c r="B4103" s="5">
        <f t="shared" si="1010"/>
        <v>6</v>
      </c>
      <c r="C4103" s="5">
        <f t="shared" si="1011"/>
        <v>2025</v>
      </c>
      <c r="D4103" s="105" t="s">
        <v>3881</v>
      </c>
      <c r="E4103" s="5" t="str">
        <f>VLOOKUP(F4103,'Set up'!$A$2:$C$70,2,FALSE)</f>
        <v>C00000042</v>
      </c>
      <c r="F4103" s="99" t="s">
        <v>2012</v>
      </c>
      <c r="G4103" s="99" t="s">
        <v>3217</v>
      </c>
      <c r="H4103" s="105">
        <v>5</v>
      </c>
      <c r="I4103" s="5" t="str">
        <f>VLOOKUP(F4103,'Set up'!$A$2:$C$70,3,FALSE)</f>
        <v>Cash</v>
      </c>
      <c r="J4103" s="5">
        <f>VLOOKUP(F4103,'Set up'!$A$2:$D$70,4,FALSE)</f>
        <v>0</v>
      </c>
      <c r="K4103" s="4">
        <f t="shared" si="1012"/>
        <v>45829</v>
      </c>
      <c r="L4103" s="5">
        <f t="shared" si="1013"/>
        <v>6</v>
      </c>
      <c r="M4103" s="5">
        <f t="shared" si="1014"/>
        <v>2025</v>
      </c>
      <c r="N4103" s="135">
        <v>8100</v>
      </c>
      <c r="P4103" s="12">
        <f t="shared" si="1008"/>
        <v>8100</v>
      </c>
      <c r="Q4103" s="7">
        <f t="shared" si="1015"/>
        <v>6787725.5500000026</v>
      </c>
      <c r="R4103" s="44" t="str">
        <f>VLOOKUP(F4103,'Set up'!$A$2:$E$70,5,FALSE)</f>
        <v>Trsf</v>
      </c>
    </row>
    <row r="4104" spans="1:18" ht="16.2" customHeight="1" x14ac:dyDescent="0.3">
      <c r="A4104" s="105" t="s">
        <v>3879</v>
      </c>
      <c r="B4104" s="5">
        <f t="shared" si="1010"/>
        <v>6</v>
      </c>
      <c r="C4104" s="5">
        <f t="shared" si="1011"/>
        <v>2025</v>
      </c>
      <c r="D4104" s="105" t="s">
        <v>3881</v>
      </c>
      <c r="E4104" s="5" t="str">
        <f>VLOOKUP(F4104,'Set up'!$A$2:$C$70,2,FALSE)</f>
        <v>C00000042</v>
      </c>
      <c r="F4104" s="99" t="s">
        <v>2012</v>
      </c>
      <c r="G4104" s="99" t="s">
        <v>1392</v>
      </c>
      <c r="H4104" s="105">
        <v>15</v>
      </c>
      <c r="I4104" s="5" t="str">
        <f>VLOOKUP(F4104,'Set up'!$A$2:$C$70,3,FALSE)</f>
        <v>Cash</v>
      </c>
      <c r="J4104" s="5">
        <f>VLOOKUP(F4104,'Set up'!$A$2:$D$70,4,FALSE)</f>
        <v>0</v>
      </c>
      <c r="K4104" s="4">
        <f t="shared" si="1012"/>
        <v>45829</v>
      </c>
      <c r="L4104" s="5">
        <f t="shared" si="1013"/>
        <v>6</v>
      </c>
      <c r="M4104" s="5">
        <f t="shared" si="1014"/>
        <v>2025</v>
      </c>
      <c r="N4104" s="135">
        <v>2655</v>
      </c>
      <c r="P4104" s="12">
        <f t="shared" si="1008"/>
        <v>2655</v>
      </c>
      <c r="Q4104" s="7">
        <f t="shared" si="1015"/>
        <v>6790380.5500000026</v>
      </c>
      <c r="R4104" s="44" t="str">
        <f>VLOOKUP(F4104,'Set up'!$A$2:$E$70,5,FALSE)</f>
        <v>Trsf</v>
      </c>
    </row>
    <row r="4105" spans="1:18" ht="16.2" customHeight="1" x14ac:dyDescent="0.3">
      <c r="A4105" s="105" t="s">
        <v>3879</v>
      </c>
      <c r="B4105" s="5">
        <f t="shared" si="1010"/>
        <v>6</v>
      </c>
      <c r="C4105" s="5">
        <f t="shared" si="1011"/>
        <v>2025</v>
      </c>
      <c r="D4105" s="105" t="s">
        <v>3881</v>
      </c>
      <c r="E4105" s="5" t="str">
        <f>VLOOKUP(F4105,'Set up'!$A$2:$C$70,2,FALSE)</f>
        <v>C00000042</v>
      </c>
      <c r="F4105" s="99" t="s">
        <v>2012</v>
      </c>
      <c r="G4105" s="99" t="s">
        <v>1922</v>
      </c>
      <c r="H4105" s="105">
        <v>8</v>
      </c>
      <c r="I4105" s="5" t="str">
        <f>VLOOKUP(F4105,'Set up'!$A$2:$C$70,3,FALSE)</f>
        <v>Cash</v>
      </c>
      <c r="J4105" s="5">
        <f>VLOOKUP(F4105,'Set up'!$A$2:$D$70,4,FALSE)</f>
        <v>0</v>
      </c>
      <c r="K4105" s="4">
        <f t="shared" si="1012"/>
        <v>45829</v>
      </c>
      <c r="L4105" s="5">
        <f t="shared" si="1013"/>
        <v>6</v>
      </c>
      <c r="M4105" s="5">
        <f t="shared" si="1014"/>
        <v>2025</v>
      </c>
      <c r="N4105" s="135">
        <v>1980</v>
      </c>
      <c r="P4105" s="12">
        <f t="shared" si="1008"/>
        <v>1980</v>
      </c>
      <c r="Q4105" s="7">
        <f t="shared" si="1015"/>
        <v>6792360.5500000026</v>
      </c>
      <c r="R4105" s="44" t="str">
        <f>VLOOKUP(F4105,'Set up'!$A$2:$E$70,5,FALSE)</f>
        <v>Trsf</v>
      </c>
    </row>
    <row r="4106" spans="1:18" ht="16.2" customHeight="1" x14ac:dyDescent="0.3">
      <c r="A4106" s="105" t="s">
        <v>3879</v>
      </c>
      <c r="B4106" s="5">
        <f t="shared" si="1010"/>
        <v>6</v>
      </c>
      <c r="C4106" s="5">
        <f t="shared" si="1011"/>
        <v>2025</v>
      </c>
      <c r="D4106" s="105" t="s">
        <v>3881</v>
      </c>
      <c r="E4106" s="5" t="str">
        <f>VLOOKUP(F4106,'Set up'!$A$2:$C$70,2,FALSE)</f>
        <v>C00000042</v>
      </c>
      <c r="F4106" s="99" t="s">
        <v>2012</v>
      </c>
      <c r="G4106" s="99" t="s">
        <v>1061</v>
      </c>
      <c r="H4106" s="105">
        <v>4</v>
      </c>
      <c r="I4106" s="5" t="str">
        <f>VLOOKUP(F4106,'Set up'!$A$2:$C$70,3,FALSE)</f>
        <v>Cash</v>
      </c>
      <c r="J4106" s="5">
        <f>VLOOKUP(F4106,'Set up'!$A$2:$D$70,4,FALSE)</f>
        <v>0</v>
      </c>
      <c r="K4106" s="4">
        <f t="shared" si="1012"/>
        <v>45829</v>
      </c>
      <c r="L4106" s="5">
        <f t="shared" si="1013"/>
        <v>6</v>
      </c>
      <c r="M4106" s="5">
        <f t="shared" si="1014"/>
        <v>2025</v>
      </c>
      <c r="N4106" s="135">
        <v>380</v>
      </c>
      <c r="P4106" s="12">
        <f t="shared" si="1008"/>
        <v>380</v>
      </c>
      <c r="Q4106" s="7">
        <f t="shared" si="1015"/>
        <v>6792740.5500000026</v>
      </c>
      <c r="R4106" s="44" t="str">
        <f>VLOOKUP(F4106,'Set up'!$A$2:$E$70,5,FALSE)</f>
        <v>Trsf</v>
      </c>
    </row>
    <row r="4107" spans="1:18" ht="16.2" customHeight="1" x14ac:dyDescent="0.3">
      <c r="A4107" s="105" t="s">
        <v>3879</v>
      </c>
      <c r="B4107" s="5">
        <f t="shared" si="1010"/>
        <v>6</v>
      </c>
      <c r="C4107" s="5">
        <f t="shared" si="1011"/>
        <v>2025</v>
      </c>
      <c r="D4107" s="105" t="s">
        <v>3881</v>
      </c>
      <c r="E4107" s="5" t="str">
        <f>VLOOKUP(F4107,'Set up'!$A$2:$C$70,2,FALSE)</f>
        <v>C00000042</v>
      </c>
      <c r="F4107" s="99" t="s">
        <v>2012</v>
      </c>
      <c r="G4107" s="99" t="s">
        <v>1073</v>
      </c>
      <c r="H4107" s="105">
        <v>1</v>
      </c>
      <c r="I4107" s="5" t="str">
        <f>VLOOKUP(F4107,'Set up'!$A$2:$C$70,3,FALSE)</f>
        <v>Cash</v>
      </c>
      <c r="J4107" s="5">
        <f>VLOOKUP(F4107,'Set up'!$A$2:$D$70,4,FALSE)</f>
        <v>0</v>
      </c>
      <c r="K4107" s="4">
        <f t="shared" si="1012"/>
        <v>45829</v>
      </c>
      <c r="L4107" s="5">
        <f t="shared" si="1013"/>
        <v>6</v>
      </c>
      <c r="M4107" s="5">
        <f t="shared" si="1014"/>
        <v>2025</v>
      </c>
      <c r="N4107" s="135">
        <v>1000</v>
      </c>
      <c r="P4107" s="12">
        <f t="shared" si="1008"/>
        <v>1000</v>
      </c>
      <c r="Q4107" s="7">
        <f t="shared" si="1015"/>
        <v>6793740.5500000026</v>
      </c>
      <c r="R4107" s="44" t="str">
        <f>VLOOKUP(F4107,'Set up'!$A$2:$E$70,5,FALSE)</f>
        <v>Trsf</v>
      </c>
    </row>
    <row r="4108" spans="1:18" ht="16.2" customHeight="1" x14ac:dyDescent="0.3">
      <c r="A4108" s="105" t="s">
        <v>3882</v>
      </c>
      <c r="B4108" s="5">
        <f t="shared" si="1010"/>
        <v>6</v>
      </c>
      <c r="C4108" s="5">
        <f t="shared" si="1011"/>
        <v>2025</v>
      </c>
      <c r="D4108" s="105" t="s">
        <v>3883</v>
      </c>
      <c r="E4108" s="5" t="str">
        <f>VLOOKUP(F4108,'Set up'!$A$2:$C$70,2,FALSE)</f>
        <v>C00000061</v>
      </c>
      <c r="F4108" s="99" t="s">
        <v>3532</v>
      </c>
      <c r="G4108" s="99" t="s">
        <v>3122</v>
      </c>
      <c r="H4108" s="105">
        <v>1</v>
      </c>
      <c r="I4108" s="5" t="str">
        <f>VLOOKUP(F4108,'Set up'!$A$2:$C$70,3,FALSE)</f>
        <v>Cash</v>
      </c>
      <c r="J4108" s="5">
        <f>VLOOKUP(F4108,'Set up'!$A$2:$D$70,4,FALSE)</f>
        <v>0</v>
      </c>
      <c r="K4108" s="4">
        <f t="shared" si="1012"/>
        <v>45833</v>
      </c>
      <c r="L4108" s="5">
        <f t="shared" si="1013"/>
        <v>6</v>
      </c>
      <c r="M4108" s="5">
        <f t="shared" si="1014"/>
        <v>2025</v>
      </c>
      <c r="N4108" s="135">
        <v>1642.5</v>
      </c>
      <c r="P4108" s="12">
        <f t="shared" si="1008"/>
        <v>1642.5</v>
      </c>
      <c r="Q4108" s="7">
        <f t="shared" si="1015"/>
        <v>6795383.0500000026</v>
      </c>
      <c r="R4108" s="44" t="str">
        <f>VLOOKUP(F4108,'Set up'!$A$2:$E$70,5,FALSE)</f>
        <v>Cash</v>
      </c>
    </row>
    <row r="4109" spans="1:18" ht="16.2" customHeight="1" x14ac:dyDescent="0.3">
      <c r="A4109" s="105" t="s">
        <v>3882</v>
      </c>
      <c r="B4109" s="5">
        <f t="shared" si="1010"/>
        <v>6</v>
      </c>
      <c r="C4109" s="5">
        <f t="shared" si="1011"/>
        <v>2025</v>
      </c>
      <c r="D4109" s="105" t="s">
        <v>3883</v>
      </c>
      <c r="E4109" s="5" t="str">
        <f>VLOOKUP(F4109,'Set up'!$A$2:$C$70,2,FALSE)</f>
        <v>C00000061</v>
      </c>
      <c r="F4109" s="99" t="s">
        <v>3532</v>
      </c>
      <c r="G4109" s="99" t="s">
        <v>2635</v>
      </c>
      <c r="H4109" s="105">
        <v>4</v>
      </c>
      <c r="I4109" s="5" t="str">
        <f>VLOOKUP(F4109,'Set up'!$A$2:$C$70,3,FALSE)</f>
        <v>Cash</v>
      </c>
      <c r="J4109" s="5">
        <f>VLOOKUP(F4109,'Set up'!$A$2:$D$70,4,FALSE)</f>
        <v>0</v>
      </c>
      <c r="K4109" s="4">
        <f t="shared" si="1012"/>
        <v>45833</v>
      </c>
      <c r="L4109" s="5">
        <f t="shared" si="1013"/>
        <v>6</v>
      </c>
      <c r="M4109" s="5">
        <f t="shared" si="1014"/>
        <v>2025</v>
      </c>
      <c r="N4109" s="135">
        <v>230</v>
      </c>
      <c r="P4109" s="12">
        <f t="shared" si="1008"/>
        <v>230</v>
      </c>
      <c r="Q4109" s="7">
        <f t="shared" si="1015"/>
        <v>6795613.0500000026</v>
      </c>
      <c r="R4109" s="44" t="str">
        <f>VLOOKUP(F4109,'Set up'!$A$2:$E$70,5,FALSE)</f>
        <v>Cash</v>
      </c>
    </row>
    <row r="4110" spans="1:18" ht="16.2" customHeight="1" x14ac:dyDescent="0.3">
      <c r="A4110" s="105" t="s">
        <v>3882</v>
      </c>
      <c r="B4110" s="5">
        <f t="shared" si="1010"/>
        <v>6</v>
      </c>
      <c r="C4110" s="5">
        <f t="shared" si="1011"/>
        <v>2025</v>
      </c>
      <c r="D4110" s="105" t="s">
        <v>3884</v>
      </c>
      <c r="E4110" s="5" t="str">
        <f>VLOOKUP(F4110,'Set up'!$A$2:$C$70,2,FALSE)</f>
        <v>C00000042</v>
      </c>
      <c r="F4110" s="99" t="s">
        <v>2012</v>
      </c>
      <c r="G4110" s="99" t="s">
        <v>2646</v>
      </c>
      <c r="H4110" s="105">
        <v>3</v>
      </c>
      <c r="I4110" s="5" t="str">
        <f>VLOOKUP(F4110,'Set up'!$A$2:$C$70,3,FALSE)</f>
        <v>Cash</v>
      </c>
      <c r="J4110" s="5">
        <f>VLOOKUP(F4110,'Set up'!$A$2:$D$70,4,FALSE)</f>
        <v>0</v>
      </c>
      <c r="K4110" s="4">
        <f t="shared" si="1012"/>
        <v>45833</v>
      </c>
      <c r="L4110" s="5">
        <f t="shared" si="1013"/>
        <v>6</v>
      </c>
      <c r="M4110" s="5">
        <f t="shared" si="1014"/>
        <v>2025</v>
      </c>
      <c r="N4110" s="135">
        <v>187.5</v>
      </c>
      <c r="P4110" s="12">
        <f t="shared" si="1008"/>
        <v>187.5</v>
      </c>
      <c r="Q4110" s="7">
        <f t="shared" si="1015"/>
        <v>6795800.5500000026</v>
      </c>
      <c r="R4110" s="44" t="str">
        <f>VLOOKUP(F4110,'Set up'!$A$2:$E$70,5,FALSE)</f>
        <v>Trsf</v>
      </c>
    </row>
    <row r="4111" spans="1:18" ht="16.2" customHeight="1" x14ac:dyDescent="0.3">
      <c r="A4111" s="105" t="s">
        <v>3882</v>
      </c>
      <c r="B4111" s="5">
        <f t="shared" si="1010"/>
        <v>6</v>
      </c>
      <c r="C4111" s="5">
        <f t="shared" si="1011"/>
        <v>2025</v>
      </c>
      <c r="D4111" s="105" t="s">
        <v>3885</v>
      </c>
      <c r="E4111" s="5" t="str">
        <f>VLOOKUP(F4111,'Set up'!$A$2:$C$70,2,FALSE)</f>
        <v>C00000042</v>
      </c>
      <c r="F4111" s="99" t="s">
        <v>2012</v>
      </c>
      <c r="G4111" s="99" t="s">
        <v>3217</v>
      </c>
      <c r="H4111" s="105">
        <v>5</v>
      </c>
      <c r="I4111" s="5" t="str">
        <f>VLOOKUP(F4111,'Set up'!$A$2:$C$70,3,FALSE)</f>
        <v>Cash</v>
      </c>
      <c r="J4111" s="5">
        <f>VLOOKUP(F4111,'Set up'!$A$2:$D$70,4,FALSE)</f>
        <v>0</v>
      </c>
      <c r="K4111" s="4">
        <f t="shared" si="1012"/>
        <v>45833</v>
      </c>
      <c r="L4111" s="5">
        <f t="shared" si="1013"/>
        <v>6</v>
      </c>
      <c r="M4111" s="5">
        <f t="shared" si="1014"/>
        <v>2025</v>
      </c>
      <c r="N4111" s="135">
        <v>8100</v>
      </c>
      <c r="P4111" s="12">
        <f t="shared" si="1008"/>
        <v>8100</v>
      </c>
      <c r="Q4111" s="7">
        <f t="shared" si="1015"/>
        <v>6803900.5500000026</v>
      </c>
      <c r="R4111" s="44" t="str">
        <f>VLOOKUP(F4111,'Set up'!$A$2:$E$70,5,FALSE)</f>
        <v>Trsf</v>
      </c>
    </row>
    <row r="4112" spans="1:18" ht="16.2" customHeight="1" x14ac:dyDescent="0.3">
      <c r="A4112" s="105" t="s">
        <v>3882</v>
      </c>
      <c r="B4112" s="5">
        <f t="shared" si="1010"/>
        <v>6</v>
      </c>
      <c r="C4112" s="5">
        <f t="shared" si="1011"/>
        <v>2025</v>
      </c>
      <c r="D4112" s="105" t="s">
        <v>3885</v>
      </c>
      <c r="E4112" s="5" t="str">
        <f>VLOOKUP(F4112,'Set up'!$A$2:$C$70,2,FALSE)</f>
        <v>C00000042</v>
      </c>
      <c r="F4112" s="99" t="s">
        <v>2012</v>
      </c>
      <c r="G4112" s="99" t="s">
        <v>1392</v>
      </c>
      <c r="H4112" s="105">
        <v>12</v>
      </c>
      <c r="I4112" s="5" t="str">
        <f>VLOOKUP(F4112,'Set up'!$A$2:$C$70,3,FALSE)</f>
        <v>Cash</v>
      </c>
      <c r="J4112" s="5">
        <f>VLOOKUP(F4112,'Set up'!$A$2:$D$70,4,FALSE)</f>
        <v>0</v>
      </c>
      <c r="K4112" s="4">
        <f t="shared" si="1012"/>
        <v>45833</v>
      </c>
      <c r="L4112" s="5">
        <f t="shared" si="1013"/>
        <v>6</v>
      </c>
      <c r="M4112" s="5">
        <f t="shared" si="1014"/>
        <v>2025</v>
      </c>
      <c r="N4112" s="135">
        <v>2124</v>
      </c>
      <c r="P4112" s="12">
        <f t="shared" si="1008"/>
        <v>2124</v>
      </c>
      <c r="Q4112" s="7">
        <f t="shared" si="1015"/>
        <v>6806024.5500000026</v>
      </c>
      <c r="R4112" s="44" t="str">
        <f>VLOOKUP(F4112,'Set up'!$A$2:$E$70,5,FALSE)</f>
        <v>Trsf</v>
      </c>
    </row>
    <row r="4113" spans="1:19" ht="16.2" customHeight="1" x14ac:dyDescent="0.3">
      <c r="A4113" s="105" t="s">
        <v>3882</v>
      </c>
      <c r="B4113" s="5">
        <f t="shared" si="1010"/>
        <v>6</v>
      </c>
      <c r="C4113" s="5">
        <f t="shared" si="1011"/>
        <v>2025</v>
      </c>
      <c r="D4113" s="105" t="s">
        <v>3885</v>
      </c>
      <c r="E4113" s="5" t="str">
        <f>VLOOKUP(F4113,'Set up'!$A$2:$C$70,2,FALSE)</f>
        <v>C00000042</v>
      </c>
      <c r="F4113" s="99" t="s">
        <v>2012</v>
      </c>
      <c r="G4113" s="99" t="s">
        <v>1922</v>
      </c>
      <c r="H4113" s="105">
        <v>7</v>
      </c>
      <c r="I4113" s="5" t="str">
        <f>VLOOKUP(F4113,'Set up'!$A$2:$C$70,3,FALSE)</f>
        <v>Cash</v>
      </c>
      <c r="J4113" s="5">
        <f>VLOOKUP(F4113,'Set up'!$A$2:$D$70,4,FALSE)</f>
        <v>0</v>
      </c>
      <c r="K4113" s="4">
        <f t="shared" si="1012"/>
        <v>45833</v>
      </c>
      <c r="L4113" s="5">
        <f t="shared" si="1013"/>
        <v>6</v>
      </c>
      <c r="M4113" s="5">
        <f t="shared" si="1014"/>
        <v>2025</v>
      </c>
      <c r="N4113" s="135">
        <v>1732.5</v>
      </c>
      <c r="P4113" s="12">
        <f t="shared" si="1008"/>
        <v>1732.5</v>
      </c>
      <c r="Q4113" s="7">
        <f t="shared" si="1015"/>
        <v>6807757.0500000026</v>
      </c>
      <c r="R4113" s="44" t="str">
        <f>VLOOKUP(F4113,'Set up'!$A$2:$E$70,5,FALSE)</f>
        <v>Trsf</v>
      </c>
    </row>
    <row r="4114" spans="1:19" ht="16.2" customHeight="1" x14ac:dyDescent="0.3">
      <c r="A4114" s="105" t="s">
        <v>3882</v>
      </c>
      <c r="B4114" s="5">
        <f t="shared" si="1010"/>
        <v>6</v>
      </c>
      <c r="C4114" s="5">
        <f t="shared" si="1011"/>
        <v>2025</v>
      </c>
      <c r="D4114" s="105" t="s">
        <v>3885</v>
      </c>
      <c r="E4114" s="5" t="str">
        <f>VLOOKUP(F4114,'Set up'!$A$2:$C$70,2,FALSE)</f>
        <v>C00000042</v>
      </c>
      <c r="F4114" s="99" t="s">
        <v>2012</v>
      </c>
      <c r="G4114" s="99" t="s">
        <v>46</v>
      </c>
      <c r="H4114" s="105">
        <v>4</v>
      </c>
      <c r="I4114" s="5" t="str">
        <f>VLOOKUP(F4114,'Set up'!$A$2:$C$70,3,FALSE)</f>
        <v>Cash</v>
      </c>
      <c r="J4114" s="5">
        <f>VLOOKUP(F4114,'Set up'!$A$2:$D$70,4,FALSE)</f>
        <v>0</v>
      </c>
      <c r="K4114" s="4">
        <f t="shared" si="1012"/>
        <v>45833</v>
      </c>
      <c r="L4114" s="5">
        <f t="shared" si="1013"/>
        <v>6</v>
      </c>
      <c r="M4114" s="5">
        <f t="shared" si="1014"/>
        <v>2025</v>
      </c>
      <c r="N4114" s="135">
        <v>460</v>
      </c>
      <c r="P4114" s="12">
        <f t="shared" si="1008"/>
        <v>460</v>
      </c>
      <c r="Q4114" s="7">
        <f t="shared" si="1015"/>
        <v>6808217.0500000026</v>
      </c>
      <c r="R4114" s="44" t="str">
        <f>VLOOKUP(F4114,'Set up'!$A$2:$E$70,5,FALSE)</f>
        <v>Trsf</v>
      </c>
    </row>
    <row r="4115" spans="1:19" ht="16.2" customHeight="1" x14ac:dyDescent="0.3">
      <c r="A4115" s="105" t="s">
        <v>3882</v>
      </c>
      <c r="B4115" s="5">
        <f t="shared" si="1010"/>
        <v>6</v>
      </c>
      <c r="C4115" s="5">
        <f t="shared" si="1011"/>
        <v>2025</v>
      </c>
      <c r="D4115" s="105" t="s">
        <v>3885</v>
      </c>
      <c r="E4115" s="5" t="str">
        <f>VLOOKUP(F4115,'Set up'!$A$2:$C$70,2,FALSE)</f>
        <v>C00000042</v>
      </c>
      <c r="F4115" s="99" t="s">
        <v>2012</v>
      </c>
      <c r="G4115" s="99" t="s">
        <v>2744</v>
      </c>
      <c r="H4115" s="105">
        <v>1</v>
      </c>
      <c r="I4115" s="5" t="str">
        <f>VLOOKUP(F4115,'Set up'!$A$2:$C$70,3,FALSE)</f>
        <v>Cash</v>
      </c>
      <c r="J4115" s="5">
        <f>VLOOKUP(F4115,'Set up'!$A$2:$D$70,4,FALSE)</f>
        <v>0</v>
      </c>
      <c r="K4115" s="4">
        <f t="shared" si="1012"/>
        <v>45833</v>
      </c>
      <c r="L4115" s="5">
        <f t="shared" si="1013"/>
        <v>6</v>
      </c>
      <c r="M4115" s="5">
        <f t="shared" si="1014"/>
        <v>2025</v>
      </c>
      <c r="N4115" s="135">
        <v>975</v>
      </c>
      <c r="P4115" s="12">
        <f t="shared" si="1008"/>
        <v>975</v>
      </c>
      <c r="Q4115" s="7">
        <f t="shared" si="1015"/>
        <v>6809192.0500000026</v>
      </c>
      <c r="R4115" s="44" t="str">
        <f>VLOOKUP(F4115,'Set up'!$A$2:$E$70,5,FALSE)</f>
        <v>Trsf</v>
      </c>
    </row>
    <row r="4116" spans="1:19" ht="16.2" customHeight="1" x14ac:dyDescent="0.3">
      <c r="A4116" s="105" t="s">
        <v>3886</v>
      </c>
      <c r="B4116" s="5">
        <f t="shared" si="1010"/>
        <v>6</v>
      </c>
      <c r="C4116" s="5">
        <f t="shared" si="1011"/>
        <v>2025</v>
      </c>
      <c r="D4116" s="105" t="s">
        <v>3887</v>
      </c>
      <c r="E4116" s="5" t="str">
        <f>VLOOKUP(F4116,'Set up'!$A$2:$C$70,2,FALSE)</f>
        <v>C00000010</v>
      </c>
      <c r="F4116" s="99" t="s">
        <v>62</v>
      </c>
      <c r="G4116" s="99" t="s">
        <v>3645</v>
      </c>
      <c r="H4116" s="105">
        <v>10</v>
      </c>
      <c r="I4116" s="5">
        <f>VLOOKUP(F4116,'Set up'!$A$2:$C$70,3,FALSE)</f>
        <v>120</v>
      </c>
      <c r="J4116" s="5">
        <f>VLOOKUP(F4116,'Set up'!$A$2:$D$70,4,FALSE)</f>
        <v>120</v>
      </c>
      <c r="K4116" s="4">
        <f t="shared" si="1012"/>
        <v>45954</v>
      </c>
      <c r="L4116" s="5">
        <f t="shared" si="1013"/>
        <v>10</v>
      </c>
      <c r="M4116" s="5">
        <f t="shared" si="1014"/>
        <v>2025</v>
      </c>
      <c r="N4116" s="135">
        <v>15525</v>
      </c>
      <c r="P4116" s="12">
        <f t="shared" si="1008"/>
        <v>15525</v>
      </c>
      <c r="Q4116" s="7">
        <f t="shared" si="1015"/>
        <v>6824717.0500000026</v>
      </c>
      <c r="R4116" s="44" t="str">
        <f>VLOOKUP(F4116,'Set up'!$A$2:$E$70,5,FALSE)</f>
        <v>Trsf</v>
      </c>
    </row>
    <row r="4117" spans="1:19" ht="16.2" customHeight="1" x14ac:dyDescent="0.3">
      <c r="A4117" s="105" t="s">
        <v>3886</v>
      </c>
      <c r="B4117" s="5">
        <f t="shared" si="1010"/>
        <v>6</v>
      </c>
      <c r="C4117" s="5">
        <f t="shared" si="1011"/>
        <v>2025</v>
      </c>
      <c r="D4117" s="105" t="s">
        <v>3887</v>
      </c>
      <c r="E4117" s="5" t="str">
        <f>VLOOKUP(F4117,'Set up'!$A$2:$C$70,2,FALSE)</f>
        <v>C00000010</v>
      </c>
      <c r="F4117" s="99" t="s">
        <v>62</v>
      </c>
      <c r="G4117" s="99" t="s">
        <v>1543</v>
      </c>
      <c r="H4117" s="105">
        <v>15</v>
      </c>
      <c r="I4117" s="5">
        <f>VLOOKUP(F4117,'Set up'!$A$2:$C$70,3,FALSE)</f>
        <v>120</v>
      </c>
      <c r="J4117" s="5">
        <f>VLOOKUP(F4117,'Set up'!$A$2:$D$70,4,FALSE)</f>
        <v>120</v>
      </c>
      <c r="K4117" s="4">
        <f t="shared" si="1012"/>
        <v>45954</v>
      </c>
      <c r="L4117" s="5">
        <f t="shared" si="1013"/>
        <v>10</v>
      </c>
      <c r="M4117" s="5">
        <f t="shared" si="1014"/>
        <v>2025</v>
      </c>
      <c r="N4117" s="135">
        <v>2610</v>
      </c>
      <c r="P4117" s="12">
        <f t="shared" si="1008"/>
        <v>2610</v>
      </c>
      <c r="Q4117" s="7">
        <f t="shared" si="1015"/>
        <v>6827327.0500000026</v>
      </c>
      <c r="R4117" s="44" t="str">
        <f>VLOOKUP(F4117,'Set up'!$A$2:$E$70,5,FALSE)</f>
        <v>Trsf</v>
      </c>
    </row>
    <row r="4118" spans="1:19" ht="16.2" customHeight="1" x14ac:dyDescent="0.3">
      <c r="A4118" s="105" t="s">
        <v>3886</v>
      </c>
      <c r="B4118" s="5">
        <f t="shared" si="1010"/>
        <v>6</v>
      </c>
      <c r="C4118" s="5">
        <f t="shared" si="1011"/>
        <v>2025</v>
      </c>
      <c r="D4118" s="105" t="s">
        <v>3887</v>
      </c>
      <c r="E4118" s="5" t="str">
        <f>VLOOKUP(F4118,'Set up'!$A$2:$C$70,2,FALSE)</f>
        <v>C00000010</v>
      </c>
      <c r="F4118" s="99" t="s">
        <v>62</v>
      </c>
      <c r="G4118" s="99" t="s">
        <v>946</v>
      </c>
      <c r="H4118" s="105">
        <v>4</v>
      </c>
      <c r="I4118" s="5">
        <f>VLOOKUP(F4118,'Set up'!$A$2:$C$70,3,FALSE)</f>
        <v>120</v>
      </c>
      <c r="J4118" s="5">
        <f>VLOOKUP(F4118,'Set up'!$A$2:$D$70,4,FALSE)</f>
        <v>120</v>
      </c>
      <c r="K4118" s="4">
        <f t="shared" si="1012"/>
        <v>45954</v>
      </c>
      <c r="L4118" s="5">
        <f t="shared" si="1013"/>
        <v>10</v>
      </c>
      <c r="M4118" s="5">
        <f t="shared" si="1014"/>
        <v>2025</v>
      </c>
      <c r="N4118" s="135">
        <v>230.4</v>
      </c>
      <c r="P4118" s="12">
        <f t="shared" si="1008"/>
        <v>230.4</v>
      </c>
      <c r="Q4118" s="7">
        <f t="shared" si="1015"/>
        <v>6827557.450000003</v>
      </c>
      <c r="R4118" s="44" t="str">
        <f>VLOOKUP(F4118,'Set up'!$A$2:$E$70,5,FALSE)</f>
        <v>Trsf</v>
      </c>
    </row>
    <row r="4119" spans="1:19" ht="16.2" customHeight="1" x14ac:dyDescent="0.3">
      <c r="A4119" s="105" t="s">
        <v>3886</v>
      </c>
      <c r="B4119" s="5">
        <f t="shared" si="1010"/>
        <v>6</v>
      </c>
      <c r="C4119" s="5">
        <f t="shared" si="1011"/>
        <v>2025</v>
      </c>
      <c r="D4119" s="105" t="s">
        <v>3887</v>
      </c>
      <c r="E4119" s="5" t="str">
        <f>VLOOKUP(F4119,'Set up'!$A$2:$C$70,2,FALSE)</f>
        <v>C00000010</v>
      </c>
      <c r="F4119" s="99" t="s">
        <v>62</v>
      </c>
      <c r="G4119" s="99" t="s">
        <v>46</v>
      </c>
      <c r="H4119" s="105">
        <v>8</v>
      </c>
      <c r="I4119" s="5">
        <f>VLOOKUP(F4119,'Set up'!$A$2:$C$70,3,FALSE)</f>
        <v>120</v>
      </c>
      <c r="J4119" s="5">
        <f>VLOOKUP(F4119,'Set up'!$A$2:$D$70,4,FALSE)</f>
        <v>120</v>
      </c>
      <c r="K4119" s="4">
        <f t="shared" si="1012"/>
        <v>45954</v>
      </c>
      <c r="L4119" s="5">
        <f t="shared" si="1013"/>
        <v>10</v>
      </c>
      <c r="M4119" s="5">
        <f t="shared" si="1014"/>
        <v>2025</v>
      </c>
      <c r="N4119" s="135">
        <v>880</v>
      </c>
      <c r="P4119" s="12">
        <f t="shared" si="1008"/>
        <v>880</v>
      </c>
      <c r="Q4119" s="7">
        <f t="shared" si="1015"/>
        <v>6828437.450000003</v>
      </c>
      <c r="R4119" s="44" t="str">
        <f>VLOOKUP(F4119,'Set up'!$A$2:$E$70,5,FALSE)</f>
        <v>Trsf</v>
      </c>
    </row>
    <row r="4120" spans="1:19" ht="16.2" customHeight="1" x14ac:dyDescent="0.3">
      <c r="A4120" s="105" t="s">
        <v>3888</v>
      </c>
      <c r="B4120" s="5">
        <f t="shared" si="1010"/>
        <v>6</v>
      </c>
      <c r="C4120" s="5">
        <f t="shared" si="1011"/>
        <v>2025</v>
      </c>
      <c r="D4120" s="105" t="s">
        <v>3889</v>
      </c>
      <c r="E4120" s="5" t="str">
        <f>VLOOKUP(F4120,'Set up'!$A$2:$C$70,2,FALSE)</f>
        <v>C00000044</v>
      </c>
      <c r="F4120" s="99" t="s">
        <v>2929</v>
      </c>
      <c r="G4120" s="99" t="s">
        <v>3122</v>
      </c>
      <c r="H4120" s="105">
        <v>1</v>
      </c>
      <c r="I4120" s="5" t="str">
        <f>VLOOKUP(F4120,'Set up'!$A$2:$C$70,3,FALSE)</f>
        <v>Cash</v>
      </c>
      <c r="J4120" s="5">
        <f>VLOOKUP(F4120,'Set up'!$A$2:$D$70,4,FALSE)</f>
        <v>0</v>
      </c>
      <c r="K4120" s="4">
        <f t="shared" si="1012"/>
        <v>45836</v>
      </c>
      <c r="L4120" s="5">
        <f t="shared" si="1013"/>
        <v>6</v>
      </c>
      <c r="M4120" s="5">
        <f t="shared" si="1014"/>
        <v>2025</v>
      </c>
      <c r="N4120" s="135">
        <v>1687.5</v>
      </c>
      <c r="O4120" s="6">
        <f>-N4120</f>
        <v>-1687.5</v>
      </c>
      <c r="P4120" s="12">
        <f t="shared" si="1008"/>
        <v>0</v>
      </c>
      <c r="Q4120" s="7">
        <f t="shared" si="1015"/>
        <v>6830124.950000003</v>
      </c>
      <c r="R4120" s="44" t="str">
        <f>VLOOKUP(F4120,'Set up'!$A$2:$E$70,5,FALSE)</f>
        <v>Cash</v>
      </c>
      <c r="S4120" s="1" t="s">
        <v>3954</v>
      </c>
    </row>
    <row r="4121" spans="1:19" ht="16.2" customHeight="1" x14ac:dyDescent="0.3">
      <c r="A4121" s="105" t="s">
        <v>3888</v>
      </c>
      <c r="B4121" s="5">
        <f t="shared" si="1010"/>
        <v>6</v>
      </c>
      <c r="C4121" s="5">
        <f t="shared" si="1011"/>
        <v>2025</v>
      </c>
      <c r="D4121" s="105" t="s">
        <v>3889</v>
      </c>
      <c r="E4121" s="5" t="str">
        <f>VLOOKUP(F4121,'Set up'!$A$2:$C$70,2,FALSE)</f>
        <v>C00000044</v>
      </c>
      <c r="F4121" s="99" t="s">
        <v>2929</v>
      </c>
      <c r="G4121" s="99" t="s">
        <v>2570</v>
      </c>
      <c r="H4121" s="105">
        <v>2</v>
      </c>
      <c r="I4121" s="5" t="str">
        <f>VLOOKUP(F4121,'Set up'!$A$2:$C$70,3,FALSE)</f>
        <v>Cash</v>
      </c>
      <c r="J4121" s="5">
        <f>VLOOKUP(F4121,'Set up'!$A$2:$D$70,4,FALSE)</f>
        <v>0</v>
      </c>
      <c r="K4121" s="4">
        <f t="shared" si="1012"/>
        <v>45836</v>
      </c>
      <c r="L4121" s="5">
        <f t="shared" si="1013"/>
        <v>6</v>
      </c>
      <c r="M4121" s="5">
        <f t="shared" si="1014"/>
        <v>2025</v>
      </c>
      <c r="N4121" s="135">
        <v>432</v>
      </c>
      <c r="O4121" s="6">
        <f>-N4121</f>
        <v>-432</v>
      </c>
      <c r="P4121" s="12">
        <f t="shared" si="1008"/>
        <v>0</v>
      </c>
      <c r="Q4121" s="7">
        <f t="shared" si="1015"/>
        <v>6830556.950000003</v>
      </c>
      <c r="R4121" s="44" t="str">
        <f>VLOOKUP(F4121,'Set up'!$A$2:$E$70,5,FALSE)</f>
        <v>Cash</v>
      </c>
      <c r="S4121" s="1" t="s">
        <v>3954</v>
      </c>
    </row>
    <row r="4122" spans="1:19" ht="16.2" customHeight="1" x14ac:dyDescent="0.3">
      <c r="A4122" s="105" t="s">
        <v>3888</v>
      </c>
      <c r="B4122" s="5">
        <f t="shared" si="1010"/>
        <v>6</v>
      </c>
      <c r="C4122" s="5">
        <f t="shared" si="1011"/>
        <v>2025</v>
      </c>
      <c r="D4122" s="105" t="s">
        <v>3889</v>
      </c>
      <c r="E4122" s="5" t="str">
        <f>VLOOKUP(F4122,'Set up'!$A$2:$C$70,2,FALSE)</f>
        <v>C00000044</v>
      </c>
      <c r="F4122" s="99" t="s">
        <v>2929</v>
      </c>
      <c r="G4122" s="99" t="s">
        <v>3255</v>
      </c>
      <c r="H4122" s="105">
        <v>3</v>
      </c>
      <c r="I4122" s="5" t="str">
        <f>VLOOKUP(F4122,'Set up'!$A$2:$C$70,3,FALSE)</f>
        <v>Cash</v>
      </c>
      <c r="J4122" s="5">
        <f>VLOOKUP(F4122,'Set up'!$A$2:$D$70,4,FALSE)</f>
        <v>0</v>
      </c>
      <c r="K4122" s="4">
        <f t="shared" si="1012"/>
        <v>45836</v>
      </c>
      <c r="L4122" s="5">
        <f t="shared" si="1013"/>
        <v>6</v>
      </c>
      <c r="M4122" s="5">
        <f t="shared" si="1014"/>
        <v>2025</v>
      </c>
      <c r="N4122" s="135">
        <v>525</v>
      </c>
      <c r="O4122" s="6">
        <f>-N4122</f>
        <v>-525</v>
      </c>
      <c r="P4122" s="12">
        <f t="shared" si="1008"/>
        <v>0</v>
      </c>
      <c r="Q4122" s="7">
        <f t="shared" si="1015"/>
        <v>6831081.950000003</v>
      </c>
      <c r="R4122" s="44" t="str">
        <f>VLOOKUP(F4122,'Set up'!$A$2:$E$70,5,FALSE)</f>
        <v>Cash</v>
      </c>
      <c r="S4122" s="1" t="s">
        <v>3954</v>
      </c>
    </row>
    <row r="4123" spans="1:19" ht="16.2" customHeight="1" x14ac:dyDescent="0.3">
      <c r="A4123" s="105" t="s">
        <v>3890</v>
      </c>
      <c r="B4123" s="5">
        <f t="shared" si="1010"/>
        <v>6</v>
      </c>
      <c r="C4123" s="5">
        <f t="shared" si="1011"/>
        <v>2025</v>
      </c>
      <c r="D4123" s="105" t="s">
        <v>3891</v>
      </c>
      <c r="E4123" s="5" t="str">
        <f>VLOOKUP(F4123,'Set up'!$A$2:$C$70,2,FALSE)</f>
        <v>C00000013</v>
      </c>
      <c r="F4123" s="99" t="s">
        <v>3549</v>
      </c>
      <c r="G4123" s="99" t="s">
        <v>3508</v>
      </c>
      <c r="H4123" s="105">
        <v>6</v>
      </c>
      <c r="I4123" s="5" t="str">
        <f>VLOOKUP(F4123,'Set up'!$A$2:$C$70,3,FALSE)</f>
        <v>Cash</v>
      </c>
      <c r="J4123" s="5">
        <f>VLOOKUP(F4123,'Set up'!$A$2:$D$70,4,FALSE)</f>
        <v>0</v>
      </c>
      <c r="K4123" s="4">
        <f t="shared" si="1012"/>
        <v>45838</v>
      </c>
      <c r="L4123" s="5">
        <f t="shared" si="1013"/>
        <v>6</v>
      </c>
      <c r="M4123" s="5">
        <f t="shared" si="1014"/>
        <v>2025</v>
      </c>
      <c r="N4123" s="135">
        <v>1702.8</v>
      </c>
      <c r="O4123" s="6">
        <f t="shared" ref="O4123:O4125" si="1016">-N4123</f>
        <v>-1702.8</v>
      </c>
      <c r="P4123" s="12">
        <f t="shared" si="1008"/>
        <v>0</v>
      </c>
      <c r="Q4123" s="7">
        <f t="shared" si="1015"/>
        <v>6832784.7500000028</v>
      </c>
      <c r="R4123" s="44" t="str">
        <f>VLOOKUP(F4123,'Set up'!$A$2:$E$70,5,FALSE)</f>
        <v>Chq</v>
      </c>
      <c r="S4123" s="1" t="s">
        <v>3955</v>
      </c>
    </row>
    <row r="4124" spans="1:19" ht="16.2" customHeight="1" x14ac:dyDescent="0.3">
      <c r="A4124" s="105" t="s">
        <v>3890</v>
      </c>
      <c r="B4124" s="5">
        <f t="shared" si="1010"/>
        <v>6</v>
      </c>
      <c r="C4124" s="5">
        <f t="shared" si="1011"/>
        <v>2025</v>
      </c>
      <c r="D4124" s="105" t="s">
        <v>3891</v>
      </c>
      <c r="E4124" s="5" t="str">
        <f>VLOOKUP(F4124,'Set up'!$A$2:$C$70,2,FALSE)</f>
        <v>C00000013</v>
      </c>
      <c r="F4124" s="99" t="s">
        <v>3549</v>
      </c>
      <c r="G4124" s="99" t="s">
        <v>3892</v>
      </c>
      <c r="H4124" s="105">
        <v>1</v>
      </c>
      <c r="I4124" s="5" t="str">
        <f>VLOOKUP(F4124,'Set up'!$A$2:$C$70,3,FALSE)</f>
        <v>Cash</v>
      </c>
      <c r="J4124" s="5">
        <f>VLOOKUP(F4124,'Set up'!$A$2:$D$70,4,FALSE)</f>
        <v>0</v>
      </c>
      <c r="K4124" s="4">
        <f t="shared" si="1012"/>
        <v>45838</v>
      </c>
      <c r="L4124" s="5">
        <f t="shared" si="1013"/>
        <v>6</v>
      </c>
      <c r="M4124" s="5">
        <f t="shared" si="1014"/>
        <v>2025</v>
      </c>
      <c r="N4124" s="135">
        <v>525</v>
      </c>
      <c r="O4124" s="6">
        <f t="shared" si="1016"/>
        <v>-525</v>
      </c>
      <c r="P4124" s="12">
        <f t="shared" si="1008"/>
        <v>0</v>
      </c>
      <c r="Q4124" s="7">
        <f t="shared" si="1015"/>
        <v>6833309.7500000028</v>
      </c>
      <c r="R4124" s="44" t="str">
        <f>VLOOKUP(F4124,'Set up'!$A$2:$E$70,5,FALSE)</f>
        <v>Chq</v>
      </c>
      <c r="S4124" s="1" t="s">
        <v>3955</v>
      </c>
    </row>
    <row r="4125" spans="1:19" ht="16.2" customHeight="1" x14ac:dyDescent="0.3">
      <c r="A4125" s="105" t="s">
        <v>3890</v>
      </c>
      <c r="B4125" s="5">
        <f t="shared" si="1010"/>
        <v>6</v>
      </c>
      <c r="C4125" s="5">
        <f t="shared" si="1011"/>
        <v>2025</v>
      </c>
      <c r="D4125" s="105" t="s">
        <v>3891</v>
      </c>
      <c r="E4125" s="5" t="str">
        <f>VLOOKUP(F4125,'Set up'!$A$2:$C$70,2,FALSE)</f>
        <v>C00000013</v>
      </c>
      <c r="F4125" s="99" t="s">
        <v>3549</v>
      </c>
      <c r="G4125" s="99" t="s">
        <v>3510</v>
      </c>
      <c r="H4125" s="105">
        <v>1</v>
      </c>
      <c r="I4125" s="5" t="str">
        <f>VLOOKUP(F4125,'Set up'!$A$2:$C$70,3,FALSE)</f>
        <v>Cash</v>
      </c>
      <c r="J4125" s="5">
        <f>VLOOKUP(F4125,'Set up'!$A$2:$D$70,4,FALSE)</f>
        <v>0</v>
      </c>
      <c r="K4125" s="4">
        <f t="shared" si="1012"/>
        <v>45838</v>
      </c>
      <c r="L4125" s="5">
        <f t="shared" si="1013"/>
        <v>6</v>
      </c>
      <c r="M4125" s="5">
        <f t="shared" si="1014"/>
        <v>2025</v>
      </c>
      <c r="N4125" s="135">
        <v>260</v>
      </c>
      <c r="O4125" s="6">
        <f t="shared" si="1016"/>
        <v>-260</v>
      </c>
      <c r="P4125" s="12">
        <f t="shared" si="1008"/>
        <v>0</v>
      </c>
      <c r="Q4125" s="7">
        <f t="shared" si="1015"/>
        <v>6833569.7500000028</v>
      </c>
      <c r="R4125" s="44" t="str">
        <f>VLOOKUP(F4125,'Set up'!$A$2:$E$70,5,FALSE)</f>
        <v>Chq</v>
      </c>
      <c r="S4125" s="1" t="s">
        <v>3955</v>
      </c>
    </row>
    <row r="4126" spans="1:19" ht="16.2" customHeight="1" x14ac:dyDescent="0.3">
      <c r="A4126" s="105" t="s">
        <v>3997</v>
      </c>
      <c r="B4126" s="5">
        <f t="shared" si="1010"/>
        <v>7</v>
      </c>
      <c r="C4126" s="5">
        <f t="shared" si="1011"/>
        <v>2025</v>
      </c>
      <c r="D4126" s="105" t="s">
        <v>3998</v>
      </c>
      <c r="E4126" s="5" t="str">
        <f>VLOOKUP(F4126,'Set up'!$A$2:$C$70,2,FALSE)</f>
        <v>C00000042</v>
      </c>
      <c r="F4126" s="99" t="s">
        <v>2012</v>
      </c>
      <c r="G4126" s="99" t="s">
        <v>2646</v>
      </c>
      <c r="H4126" s="105">
        <v>1</v>
      </c>
      <c r="I4126" s="5" t="str">
        <f>VLOOKUP(F4126,'Set up'!$A$2:$C$70,3,FALSE)</f>
        <v>Cash</v>
      </c>
      <c r="J4126" s="5">
        <f>VLOOKUP(F4126,'Set up'!$A$2:$D$70,4,FALSE)</f>
        <v>0</v>
      </c>
      <c r="K4126" s="4">
        <f t="shared" si="1012"/>
        <v>45839</v>
      </c>
      <c r="L4126" s="5">
        <f t="shared" si="1013"/>
        <v>7</v>
      </c>
      <c r="M4126" s="5">
        <f t="shared" si="1014"/>
        <v>2025</v>
      </c>
      <c r="N4126" s="135">
        <v>62.5</v>
      </c>
      <c r="P4126" s="12">
        <v>62.5</v>
      </c>
      <c r="Q4126" s="7">
        <f t="shared" si="1015"/>
        <v>6833632.2500000028</v>
      </c>
      <c r="R4126" s="44" t="str">
        <f>VLOOKUP(F4126,'Set up'!$A$2:$E$70,5,FALSE)</f>
        <v>Trsf</v>
      </c>
    </row>
    <row r="4127" spans="1:19" ht="16.2" customHeight="1" x14ac:dyDescent="0.3">
      <c r="A4127" s="105" t="s">
        <v>3997</v>
      </c>
      <c r="B4127" s="5">
        <f t="shared" si="1010"/>
        <v>7</v>
      </c>
      <c r="C4127" s="5">
        <f t="shared" si="1011"/>
        <v>2025</v>
      </c>
      <c r="D4127" s="105" t="s">
        <v>3999</v>
      </c>
      <c r="E4127" s="5" t="str">
        <f>VLOOKUP(F4127,'Set up'!$A$2:$C$70,2,FALSE)</f>
        <v>C00000042</v>
      </c>
      <c r="F4127" s="99" t="s">
        <v>2012</v>
      </c>
      <c r="G4127" s="99" t="s">
        <v>3217</v>
      </c>
      <c r="H4127" s="105">
        <v>2</v>
      </c>
      <c r="I4127" s="5" t="str">
        <f>VLOOKUP(F4127,'Set up'!$A$2:$C$70,3,FALSE)</f>
        <v>Cash</v>
      </c>
      <c r="J4127" s="5">
        <f>VLOOKUP(F4127,'Set up'!$A$2:$D$70,4,FALSE)</f>
        <v>0</v>
      </c>
      <c r="K4127" s="4">
        <f t="shared" si="1012"/>
        <v>45839</v>
      </c>
      <c r="L4127" s="5">
        <f t="shared" si="1013"/>
        <v>7</v>
      </c>
      <c r="M4127" s="5">
        <f t="shared" si="1014"/>
        <v>2025</v>
      </c>
      <c r="N4127" s="135">
        <v>3240</v>
      </c>
      <c r="P4127" s="12">
        <v>3240</v>
      </c>
      <c r="Q4127" s="7">
        <f t="shared" si="1015"/>
        <v>6836872.2500000028</v>
      </c>
      <c r="R4127" s="44" t="str">
        <f>VLOOKUP(F4127,'Set up'!$A$2:$E$70,5,FALSE)</f>
        <v>Trsf</v>
      </c>
    </row>
    <row r="4128" spans="1:19" ht="16.2" customHeight="1" x14ac:dyDescent="0.3">
      <c r="A4128" s="105" t="s">
        <v>3997</v>
      </c>
      <c r="B4128" s="5">
        <f t="shared" si="1010"/>
        <v>7</v>
      </c>
      <c r="C4128" s="5">
        <f t="shared" si="1011"/>
        <v>2025</v>
      </c>
      <c r="D4128" s="105" t="s">
        <v>3999</v>
      </c>
      <c r="E4128" s="5" t="str">
        <f>VLOOKUP(F4128,'Set up'!$A$2:$C$70,2,FALSE)</f>
        <v>C00000042</v>
      </c>
      <c r="F4128" s="99" t="s">
        <v>2012</v>
      </c>
      <c r="G4128" s="99" t="s">
        <v>1392</v>
      </c>
      <c r="H4128" s="105">
        <v>6</v>
      </c>
      <c r="I4128" s="5" t="str">
        <f>VLOOKUP(F4128,'Set up'!$A$2:$C$70,3,FALSE)</f>
        <v>Cash</v>
      </c>
      <c r="J4128" s="5">
        <f>VLOOKUP(F4128,'Set up'!$A$2:$D$70,4,FALSE)</f>
        <v>0</v>
      </c>
      <c r="K4128" s="4">
        <f t="shared" si="1012"/>
        <v>45839</v>
      </c>
      <c r="L4128" s="5">
        <f t="shared" si="1013"/>
        <v>7</v>
      </c>
      <c r="M4128" s="5">
        <f t="shared" si="1014"/>
        <v>2025</v>
      </c>
      <c r="N4128" s="135">
        <v>1062</v>
      </c>
      <c r="P4128" s="12">
        <v>1062</v>
      </c>
      <c r="Q4128" s="7">
        <f t="shared" si="1015"/>
        <v>6837934.2500000028</v>
      </c>
      <c r="R4128" s="44" t="str">
        <f>VLOOKUP(F4128,'Set up'!$A$2:$E$70,5,FALSE)</f>
        <v>Trsf</v>
      </c>
    </row>
    <row r="4129" spans="1:19" ht="16.2" customHeight="1" x14ac:dyDescent="0.3">
      <c r="A4129" s="105" t="s">
        <v>3997</v>
      </c>
      <c r="B4129" s="5">
        <f t="shared" si="1010"/>
        <v>7</v>
      </c>
      <c r="C4129" s="5">
        <f t="shared" si="1011"/>
        <v>2025</v>
      </c>
      <c r="D4129" s="105" t="s">
        <v>3999</v>
      </c>
      <c r="E4129" s="5" t="str">
        <f>VLOOKUP(F4129,'Set up'!$A$2:$C$70,2,FALSE)</f>
        <v>C00000042</v>
      </c>
      <c r="F4129" s="99" t="s">
        <v>2012</v>
      </c>
      <c r="G4129" s="99" t="s">
        <v>1922</v>
      </c>
      <c r="H4129" s="105">
        <v>3</v>
      </c>
      <c r="I4129" s="5" t="str">
        <f>VLOOKUP(F4129,'Set up'!$A$2:$C$70,3,FALSE)</f>
        <v>Cash</v>
      </c>
      <c r="J4129" s="5">
        <f>VLOOKUP(F4129,'Set up'!$A$2:$D$70,4,FALSE)</f>
        <v>0</v>
      </c>
      <c r="K4129" s="4">
        <f t="shared" si="1012"/>
        <v>45839</v>
      </c>
      <c r="L4129" s="5">
        <f t="shared" si="1013"/>
        <v>7</v>
      </c>
      <c r="M4129" s="5">
        <f t="shared" si="1014"/>
        <v>2025</v>
      </c>
      <c r="N4129" s="135">
        <v>742.5</v>
      </c>
      <c r="P4129" s="12">
        <v>742.5</v>
      </c>
      <c r="Q4129" s="7">
        <f t="shared" si="1015"/>
        <v>6838676.7500000028</v>
      </c>
      <c r="R4129" s="44" t="str">
        <f>VLOOKUP(F4129,'Set up'!$A$2:$E$70,5,FALSE)</f>
        <v>Trsf</v>
      </c>
    </row>
    <row r="4130" spans="1:19" ht="16.2" customHeight="1" x14ac:dyDescent="0.3">
      <c r="A4130" s="105" t="s">
        <v>3997</v>
      </c>
      <c r="B4130" s="5">
        <f t="shared" si="1010"/>
        <v>7</v>
      </c>
      <c r="C4130" s="5">
        <f t="shared" si="1011"/>
        <v>2025</v>
      </c>
      <c r="D4130" s="105" t="s">
        <v>4000</v>
      </c>
      <c r="E4130" s="5" t="str">
        <f>VLOOKUP(F4130,'Set up'!$A$2:$C$70,2,FALSE)</f>
        <v>C00000019</v>
      </c>
      <c r="F4130" s="99" t="s">
        <v>400</v>
      </c>
      <c r="G4130" s="99" t="s">
        <v>3122</v>
      </c>
      <c r="H4130" s="105">
        <v>1</v>
      </c>
      <c r="I4130" s="5" t="str">
        <f>VLOOKUP(F4130,'Set up'!$A$2:$C$70,3,FALSE)</f>
        <v>Cash</v>
      </c>
      <c r="J4130" s="5">
        <f>VLOOKUP(F4130,'Set up'!$A$2:$D$70,4,FALSE)</f>
        <v>0</v>
      </c>
      <c r="K4130" s="4">
        <f t="shared" si="1012"/>
        <v>45839</v>
      </c>
      <c r="L4130" s="5">
        <f t="shared" si="1013"/>
        <v>7</v>
      </c>
      <c r="M4130" s="5">
        <f t="shared" si="1014"/>
        <v>2025</v>
      </c>
      <c r="N4130" s="135">
        <v>1710</v>
      </c>
      <c r="P4130" s="12">
        <v>1710</v>
      </c>
      <c r="Q4130" s="7">
        <f t="shared" si="1015"/>
        <v>6840386.7500000028</v>
      </c>
      <c r="R4130" s="44" t="str">
        <f>VLOOKUP(F4130,'Set up'!$A$2:$E$70,5,FALSE)</f>
        <v>Trsf</v>
      </c>
    </row>
    <row r="4131" spans="1:19" ht="16.2" customHeight="1" x14ac:dyDescent="0.3">
      <c r="A4131" s="105" t="s">
        <v>3997</v>
      </c>
      <c r="B4131" s="5">
        <f t="shared" si="1010"/>
        <v>7</v>
      </c>
      <c r="C4131" s="5">
        <f t="shared" si="1011"/>
        <v>2025</v>
      </c>
      <c r="D4131" s="105" t="s">
        <v>4000</v>
      </c>
      <c r="E4131" s="5" t="str">
        <f>VLOOKUP(F4131,'Set up'!$A$2:$C$70,2,FALSE)</f>
        <v>C00000019</v>
      </c>
      <c r="F4131" s="99" t="s">
        <v>400</v>
      </c>
      <c r="G4131" s="99" t="s">
        <v>1411</v>
      </c>
      <c r="H4131" s="105">
        <v>1</v>
      </c>
      <c r="I4131" s="5" t="str">
        <f>VLOOKUP(F4131,'Set up'!$A$2:$C$70,3,FALSE)</f>
        <v>Cash</v>
      </c>
      <c r="J4131" s="5">
        <f>VLOOKUP(F4131,'Set up'!$A$2:$D$70,4,FALSE)</f>
        <v>0</v>
      </c>
      <c r="K4131" s="4">
        <f t="shared" si="1012"/>
        <v>45839</v>
      </c>
      <c r="L4131" s="5">
        <f t="shared" si="1013"/>
        <v>7</v>
      </c>
      <c r="M4131" s="5">
        <f t="shared" si="1014"/>
        <v>2025</v>
      </c>
      <c r="N4131" s="135">
        <v>405</v>
      </c>
      <c r="P4131" s="12">
        <v>405</v>
      </c>
      <c r="Q4131" s="7">
        <f t="shared" si="1015"/>
        <v>6840791.7500000028</v>
      </c>
      <c r="R4131" s="44" t="str">
        <f>VLOOKUP(F4131,'Set up'!$A$2:$E$70,5,FALSE)</f>
        <v>Trsf</v>
      </c>
    </row>
    <row r="4132" spans="1:19" ht="16.2" customHeight="1" x14ac:dyDescent="0.3">
      <c r="A4132" s="105" t="s">
        <v>3997</v>
      </c>
      <c r="B4132" s="5">
        <f t="shared" si="1010"/>
        <v>7</v>
      </c>
      <c r="C4132" s="5">
        <f t="shared" si="1011"/>
        <v>2025</v>
      </c>
      <c r="D4132" s="105" t="s">
        <v>4000</v>
      </c>
      <c r="E4132" s="5" t="str">
        <f>VLOOKUP(F4132,'Set up'!$A$2:$C$70,2,FALSE)</f>
        <v>C00000019</v>
      </c>
      <c r="F4132" s="99" t="s">
        <v>400</v>
      </c>
      <c r="G4132" s="99" t="s">
        <v>1469</v>
      </c>
      <c r="H4132" s="105">
        <v>1</v>
      </c>
      <c r="I4132" s="5" t="str">
        <f>VLOOKUP(F4132,'Set up'!$A$2:$C$70,3,FALSE)</f>
        <v>Cash</v>
      </c>
      <c r="J4132" s="5">
        <f>VLOOKUP(F4132,'Set up'!$A$2:$D$70,4,FALSE)</f>
        <v>0</v>
      </c>
      <c r="K4132" s="4">
        <f t="shared" si="1012"/>
        <v>45839</v>
      </c>
      <c r="L4132" s="5">
        <f t="shared" si="1013"/>
        <v>7</v>
      </c>
      <c r="M4132" s="5">
        <f t="shared" si="1014"/>
        <v>2025</v>
      </c>
      <c r="N4132" s="135">
        <v>390</v>
      </c>
      <c r="P4132" s="12">
        <v>390</v>
      </c>
      <c r="Q4132" s="7">
        <f t="shared" si="1015"/>
        <v>6841181.7500000028</v>
      </c>
      <c r="R4132" s="44" t="str">
        <f>VLOOKUP(F4132,'Set up'!$A$2:$E$70,5,FALSE)</f>
        <v>Trsf</v>
      </c>
    </row>
    <row r="4133" spans="1:19" ht="16.2" customHeight="1" x14ac:dyDescent="0.3">
      <c r="A4133" s="105" t="s">
        <v>4001</v>
      </c>
      <c r="B4133" s="5">
        <f t="shared" si="1010"/>
        <v>7</v>
      </c>
      <c r="C4133" s="5">
        <f t="shared" si="1011"/>
        <v>2025</v>
      </c>
      <c r="D4133" s="105" t="s">
        <v>4002</v>
      </c>
      <c r="E4133" s="5" t="str">
        <f>VLOOKUP(F4133,'Set up'!$A$2:$C$70,2,FALSE)</f>
        <v>C00000042</v>
      </c>
      <c r="F4133" s="99" t="s">
        <v>2012</v>
      </c>
      <c r="G4133" s="99" t="s">
        <v>2646</v>
      </c>
      <c r="H4133" s="105">
        <v>2</v>
      </c>
      <c r="I4133" s="5" t="str">
        <f>VLOOKUP(F4133,'Set up'!$A$2:$C$70,3,FALSE)</f>
        <v>Cash</v>
      </c>
      <c r="J4133" s="5">
        <f>VLOOKUP(F4133,'Set up'!$A$2:$D$70,4,FALSE)</f>
        <v>0</v>
      </c>
      <c r="K4133" s="4">
        <f t="shared" si="1012"/>
        <v>45840</v>
      </c>
      <c r="L4133" s="5">
        <f t="shared" si="1013"/>
        <v>7</v>
      </c>
      <c r="M4133" s="5">
        <f t="shared" si="1014"/>
        <v>2025</v>
      </c>
      <c r="N4133" s="135">
        <v>125</v>
      </c>
      <c r="P4133" s="12">
        <v>125</v>
      </c>
      <c r="Q4133" s="7">
        <f t="shared" si="1015"/>
        <v>6841306.7500000028</v>
      </c>
      <c r="R4133" s="44" t="str">
        <f>VLOOKUP(F4133,'Set up'!$A$2:$E$70,5,FALSE)</f>
        <v>Trsf</v>
      </c>
    </row>
    <row r="4134" spans="1:19" ht="16.2" customHeight="1" x14ac:dyDescent="0.3">
      <c r="A4134" s="105" t="s">
        <v>4001</v>
      </c>
      <c r="B4134" s="5">
        <f t="shared" si="1010"/>
        <v>7</v>
      </c>
      <c r="C4134" s="5">
        <f t="shared" si="1011"/>
        <v>2025</v>
      </c>
      <c r="D4134" s="105" t="s">
        <v>4003</v>
      </c>
      <c r="E4134" s="5" t="str">
        <f>VLOOKUP(F4134,'Set up'!$A$2:$C$70,2,FALSE)</f>
        <v>C00000042</v>
      </c>
      <c r="F4134" s="99" t="s">
        <v>2012</v>
      </c>
      <c r="G4134" s="99" t="s">
        <v>3217</v>
      </c>
      <c r="H4134" s="105">
        <v>3</v>
      </c>
      <c r="I4134" s="5" t="str">
        <f>VLOOKUP(F4134,'Set up'!$A$2:$C$70,3,FALSE)</f>
        <v>Cash</v>
      </c>
      <c r="J4134" s="5">
        <f>VLOOKUP(F4134,'Set up'!$A$2:$D$70,4,FALSE)</f>
        <v>0</v>
      </c>
      <c r="K4134" s="4">
        <f t="shared" si="1012"/>
        <v>45840</v>
      </c>
      <c r="L4134" s="5">
        <f t="shared" si="1013"/>
        <v>7</v>
      </c>
      <c r="M4134" s="5">
        <f t="shared" si="1014"/>
        <v>2025</v>
      </c>
      <c r="N4134" s="135">
        <v>4860</v>
      </c>
      <c r="P4134" s="12">
        <v>4860</v>
      </c>
      <c r="Q4134" s="7">
        <f t="shared" si="1015"/>
        <v>6846166.7500000028</v>
      </c>
      <c r="R4134" s="44" t="str">
        <f>VLOOKUP(F4134,'Set up'!$A$2:$E$70,5,FALSE)</f>
        <v>Trsf</v>
      </c>
    </row>
    <row r="4135" spans="1:19" ht="16.2" customHeight="1" x14ac:dyDescent="0.3">
      <c r="A4135" s="105" t="s">
        <v>4001</v>
      </c>
      <c r="B4135" s="5">
        <f t="shared" si="1010"/>
        <v>7</v>
      </c>
      <c r="C4135" s="5">
        <f t="shared" si="1011"/>
        <v>2025</v>
      </c>
      <c r="D4135" s="105" t="s">
        <v>4003</v>
      </c>
      <c r="E4135" s="5" t="str">
        <f>VLOOKUP(F4135,'Set up'!$A$2:$C$70,2,FALSE)</f>
        <v>C00000042</v>
      </c>
      <c r="F4135" s="99" t="s">
        <v>2012</v>
      </c>
      <c r="G4135" s="99" t="s">
        <v>1392</v>
      </c>
      <c r="H4135" s="105">
        <v>9</v>
      </c>
      <c r="I4135" s="5" t="str">
        <f>VLOOKUP(F4135,'Set up'!$A$2:$C$70,3,FALSE)</f>
        <v>Cash</v>
      </c>
      <c r="J4135" s="5">
        <f>VLOOKUP(F4135,'Set up'!$A$2:$D$70,4,FALSE)</f>
        <v>0</v>
      </c>
      <c r="K4135" s="4">
        <f t="shared" si="1012"/>
        <v>45840</v>
      </c>
      <c r="L4135" s="5">
        <f t="shared" si="1013"/>
        <v>7</v>
      </c>
      <c r="M4135" s="5">
        <f t="shared" si="1014"/>
        <v>2025</v>
      </c>
      <c r="N4135" s="135">
        <v>1593</v>
      </c>
      <c r="P4135" s="12">
        <v>1593</v>
      </c>
      <c r="Q4135" s="7">
        <f t="shared" si="1015"/>
        <v>6847759.7500000028</v>
      </c>
      <c r="R4135" s="44" t="str">
        <f>VLOOKUP(F4135,'Set up'!$A$2:$E$70,5,FALSE)</f>
        <v>Trsf</v>
      </c>
    </row>
    <row r="4136" spans="1:19" ht="16.2" customHeight="1" x14ac:dyDescent="0.3">
      <c r="A4136" s="105" t="s">
        <v>4001</v>
      </c>
      <c r="B4136" s="5">
        <f t="shared" si="1010"/>
        <v>7</v>
      </c>
      <c r="C4136" s="5">
        <f t="shared" si="1011"/>
        <v>2025</v>
      </c>
      <c r="D4136" s="105" t="s">
        <v>4003</v>
      </c>
      <c r="E4136" s="5" t="str">
        <f>VLOOKUP(F4136,'Set up'!$A$2:$C$70,2,FALSE)</f>
        <v>C00000042</v>
      </c>
      <c r="F4136" s="99" t="s">
        <v>2012</v>
      </c>
      <c r="G4136" s="99" t="s">
        <v>1922</v>
      </c>
      <c r="H4136" s="105">
        <v>4</v>
      </c>
      <c r="I4136" s="5" t="str">
        <f>VLOOKUP(F4136,'Set up'!$A$2:$C$70,3,FALSE)</f>
        <v>Cash</v>
      </c>
      <c r="J4136" s="5">
        <f>VLOOKUP(F4136,'Set up'!$A$2:$D$70,4,FALSE)</f>
        <v>0</v>
      </c>
      <c r="K4136" s="4">
        <f t="shared" si="1012"/>
        <v>45840</v>
      </c>
      <c r="L4136" s="5">
        <f t="shared" si="1013"/>
        <v>7</v>
      </c>
      <c r="M4136" s="5">
        <f t="shared" si="1014"/>
        <v>2025</v>
      </c>
      <c r="N4136" s="135">
        <v>990</v>
      </c>
      <c r="P4136" s="12">
        <v>990</v>
      </c>
      <c r="Q4136" s="7">
        <f t="shared" si="1015"/>
        <v>6848749.7500000028</v>
      </c>
      <c r="R4136" s="44" t="str">
        <f>VLOOKUP(F4136,'Set up'!$A$2:$E$70,5,FALSE)</f>
        <v>Trsf</v>
      </c>
    </row>
    <row r="4137" spans="1:19" ht="16.2" customHeight="1" x14ac:dyDescent="0.3">
      <c r="A4137" s="105" t="s">
        <v>4001</v>
      </c>
      <c r="B4137" s="5">
        <f t="shared" si="1010"/>
        <v>7</v>
      </c>
      <c r="C4137" s="5">
        <f t="shared" si="1011"/>
        <v>2025</v>
      </c>
      <c r="D4137" s="105" t="s">
        <v>4003</v>
      </c>
      <c r="E4137" s="5" t="str">
        <f>VLOOKUP(F4137,'Set up'!$A$2:$C$70,2,FALSE)</f>
        <v>C00000042</v>
      </c>
      <c r="F4137" s="99" t="s">
        <v>2012</v>
      </c>
      <c r="G4137" s="99" t="s">
        <v>1073</v>
      </c>
      <c r="H4137" s="105">
        <v>1</v>
      </c>
      <c r="I4137" s="5" t="str">
        <f>VLOOKUP(F4137,'Set up'!$A$2:$C$70,3,FALSE)</f>
        <v>Cash</v>
      </c>
      <c r="J4137" s="5">
        <f>VLOOKUP(F4137,'Set up'!$A$2:$D$70,4,FALSE)</f>
        <v>0</v>
      </c>
      <c r="K4137" s="4">
        <f t="shared" si="1012"/>
        <v>45840</v>
      </c>
      <c r="L4137" s="5">
        <f t="shared" si="1013"/>
        <v>7</v>
      </c>
      <c r="M4137" s="5">
        <f t="shared" si="1014"/>
        <v>2025</v>
      </c>
      <c r="N4137" s="135">
        <v>1000</v>
      </c>
      <c r="P4137" s="12">
        <v>1000</v>
      </c>
      <c r="Q4137" s="7">
        <f t="shared" si="1015"/>
        <v>6849749.7500000028</v>
      </c>
      <c r="R4137" s="44" t="str">
        <f>VLOOKUP(F4137,'Set up'!$A$2:$E$70,5,FALSE)</f>
        <v>Trsf</v>
      </c>
    </row>
    <row r="4138" spans="1:19" ht="16.2" customHeight="1" x14ac:dyDescent="0.3">
      <c r="A4138" s="105" t="s">
        <v>4004</v>
      </c>
      <c r="B4138" s="5">
        <f t="shared" si="1010"/>
        <v>7</v>
      </c>
      <c r="C4138" s="5">
        <f t="shared" si="1011"/>
        <v>2025</v>
      </c>
      <c r="D4138" s="105" t="s">
        <v>4005</v>
      </c>
      <c r="E4138" s="5" t="str">
        <f>VLOOKUP(F4138,'Set up'!$A$2:$C$70,2,FALSE)</f>
        <v>C00000044</v>
      </c>
      <c r="F4138" s="99" t="s">
        <v>2929</v>
      </c>
      <c r="G4138" s="99" t="s">
        <v>4006</v>
      </c>
      <c r="H4138" s="105">
        <v>1</v>
      </c>
      <c r="I4138" s="5" t="str">
        <f>VLOOKUP(F4138,'Set up'!$A$2:$C$70,3,FALSE)</f>
        <v>Cash</v>
      </c>
      <c r="J4138" s="5">
        <f>VLOOKUP(F4138,'Set up'!$A$2:$D$70,4,FALSE)</f>
        <v>0</v>
      </c>
      <c r="K4138" s="4">
        <f t="shared" si="1012"/>
        <v>45842</v>
      </c>
      <c r="L4138" s="5">
        <f t="shared" si="1013"/>
        <v>7</v>
      </c>
      <c r="M4138" s="5">
        <f t="shared" si="1014"/>
        <v>2025</v>
      </c>
      <c r="N4138" s="135">
        <v>1687.5</v>
      </c>
      <c r="O4138" s="6">
        <f>-N4138</f>
        <v>-1687.5</v>
      </c>
      <c r="P4138" s="12">
        <f t="shared" ref="P4138:P4140" si="1017">SUM(N4138+O4138)</f>
        <v>0</v>
      </c>
      <c r="Q4138" s="7">
        <f t="shared" si="1015"/>
        <v>6851437.2500000028</v>
      </c>
      <c r="R4138" s="44" t="str">
        <f>VLOOKUP(F4138,'Set up'!$A$2:$E$70,5,FALSE)</f>
        <v>Cash</v>
      </c>
      <c r="S4138" s="1" t="s">
        <v>4067</v>
      </c>
    </row>
    <row r="4139" spans="1:19" ht="16.2" customHeight="1" x14ac:dyDescent="0.3">
      <c r="A4139" s="105" t="s">
        <v>4004</v>
      </c>
      <c r="B4139" s="5">
        <f t="shared" si="1010"/>
        <v>7</v>
      </c>
      <c r="C4139" s="5">
        <f t="shared" si="1011"/>
        <v>2025</v>
      </c>
      <c r="D4139" s="105" t="s">
        <v>4005</v>
      </c>
      <c r="E4139" s="5" t="str">
        <f>VLOOKUP(F4139,'Set up'!$A$2:$C$70,2,FALSE)</f>
        <v>C00000044</v>
      </c>
      <c r="F4139" s="99" t="s">
        <v>2929</v>
      </c>
      <c r="G4139" s="99" t="s">
        <v>4007</v>
      </c>
      <c r="H4139" s="105">
        <v>2</v>
      </c>
      <c r="I4139" s="5" t="str">
        <f>VLOOKUP(F4139,'Set up'!$A$2:$C$70,3,FALSE)</f>
        <v>Cash</v>
      </c>
      <c r="J4139" s="5">
        <f>VLOOKUP(F4139,'Set up'!$A$2:$D$70,4,FALSE)</f>
        <v>0</v>
      </c>
      <c r="K4139" s="4">
        <f t="shared" si="1012"/>
        <v>45842</v>
      </c>
      <c r="L4139" s="5">
        <f t="shared" si="1013"/>
        <v>7</v>
      </c>
      <c r="M4139" s="5">
        <f t="shared" si="1014"/>
        <v>2025</v>
      </c>
      <c r="N4139" s="135">
        <v>432</v>
      </c>
      <c r="O4139" s="6">
        <f>-N4139</f>
        <v>-432</v>
      </c>
      <c r="P4139" s="12">
        <f t="shared" si="1017"/>
        <v>0</v>
      </c>
      <c r="Q4139" s="7">
        <f t="shared" si="1015"/>
        <v>6851869.2500000028</v>
      </c>
      <c r="R4139" s="44" t="str">
        <f>VLOOKUP(F4139,'Set up'!$A$2:$E$70,5,FALSE)</f>
        <v>Cash</v>
      </c>
      <c r="S4139" s="1" t="s">
        <v>4067</v>
      </c>
    </row>
    <row r="4140" spans="1:19" ht="16.2" customHeight="1" x14ac:dyDescent="0.3">
      <c r="A4140" s="105" t="s">
        <v>4004</v>
      </c>
      <c r="B4140" s="5">
        <f t="shared" si="1010"/>
        <v>7</v>
      </c>
      <c r="C4140" s="5">
        <f t="shared" si="1011"/>
        <v>2025</v>
      </c>
      <c r="D4140" s="105" t="s">
        <v>4005</v>
      </c>
      <c r="E4140" s="5" t="str">
        <f>VLOOKUP(F4140,'Set up'!$A$2:$C$70,2,FALSE)</f>
        <v>C00000044</v>
      </c>
      <c r="F4140" s="99" t="s">
        <v>2929</v>
      </c>
      <c r="G4140" s="99" t="s">
        <v>1660</v>
      </c>
      <c r="H4140" s="105">
        <v>1</v>
      </c>
      <c r="I4140" s="5" t="str">
        <f>VLOOKUP(F4140,'Set up'!$A$2:$C$70,3,FALSE)</f>
        <v>Cash</v>
      </c>
      <c r="J4140" s="5">
        <f>VLOOKUP(F4140,'Set up'!$A$2:$D$70,4,FALSE)</f>
        <v>0</v>
      </c>
      <c r="K4140" s="4">
        <f t="shared" si="1012"/>
        <v>45842</v>
      </c>
      <c r="L4140" s="5">
        <f t="shared" si="1013"/>
        <v>7</v>
      </c>
      <c r="M4140" s="5">
        <f t="shared" si="1014"/>
        <v>2025</v>
      </c>
      <c r="N4140" s="135">
        <v>160</v>
      </c>
      <c r="O4140" s="6">
        <f>-N4140</f>
        <v>-160</v>
      </c>
      <c r="P4140" s="12">
        <f t="shared" si="1017"/>
        <v>0</v>
      </c>
      <c r="Q4140" s="7">
        <f t="shared" si="1015"/>
        <v>6852029.2500000028</v>
      </c>
      <c r="R4140" s="44" t="str">
        <f>VLOOKUP(F4140,'Set up'!$A$2:$E$70,5,FALSE)</f>
        <v>Cash</v>
      </c>
      <c r="S4140" s="1" t="s">
        <v>4067</v>
      </c>
    </row>
    <row r="4141" spans="1:19" ht="16.2" customHeight="1" x14ac:dyDescent="0.3">
      <c r="A4141" s="105" t="s">
        <v>4008</v>
      </c>
      <c r="B4141" s="5">
        <f t="shared" si="1010"/>
        <v>7</v>
      </c>
      <c r="C4141" s="5">
        <f t="shared" si="1011"/>
        <v>2025</v>
      </c>
      <c r="D4141" s="105" t="s">
        <v>4009</v>
      </c>
      <c r="E4141" s="5" t="str">
        <f>VLOOKUP(F4141,'Set up'!$A$2:$C$70,2,FALSE)</f>
        <v>C00000042</v>
      </c>
      <c r="F4141" s="99" t="s">
        <v>2012</v>
      </c>
      <c r="G4141" s="99" t="s">
        <v>2646</v>
      </c>
      <c r="H4141" s="105">
        <v>3</v>
      </c>
      <c r="I4141" s="5" t="str">
        <f>VLOOKUP(F4141,'Set up'!$A$2:$C$70,3,FALSE)</f>
        <v>Cash</v>
      </c>
      <c r="J4141" s="5">
        <f>VLOOKUP(F4141,'Set up'!$A$2:$D$70,4,FALSE)</f>
        <v>0</v>
      </c>
      <c r="K4141" s="4">
        <f t="shared" si="1012"/>
        <v>45843</v>
      </c>
      <c r="L4141" s="5">
        <f t="shared" si="1013"/>
        <v>7</v>
      </c>
      <c r="M4141" s="5">
        <f t="shared" si="1014"/>
        <v>2025</v>
      </c>
      <c r="N4141" s="135">
        <v>187.5</v>
      </c>
      <c r="P4141" s="12">
        <v>187.5</v>
      </c>
      <c r="Q4141" s="7">
        <f t="shared" si="1015"/>
        <v>6852216.7500000028</v>
      </c>
      <c r="R4141" s="44" t="str">
        <f>VLOOKUP(F4141,'Set up'!$A$2:$E$70,5,FALSE)</f>
        <v>Trsf</v>
      </c>
    </row>
    <row r="4142" spans="1:19" ht="16.2" customHeight="1" x14ac:dyDescent="0.3">
      <c r="A4142" s="105" t="s">
        <v>4008</v>
      </c>
      <c r="B4142" s="5">
        <f t="shared" si="1010"/>
        <v>7</v>
      </c>
      <c r="C4142" s="5">
        <f t="shared" si="1011"/>
        <v>2025</v>
      </c>
      <c r="D4142" s="105" t="s">
        <v>4010</v>
      </c>
      <c r="E4142" s="5" t="str">
        <f>VLOOKUP(F4142,'Set up'!$A$2:$C$70,2,FALSE)</f>
        <v>C00000042</v>
      </c>
      <c r="F4142" s="99" t="s">
        <v>2012</v>
      </c>
      <c r="G4142" s="99" t="s">
        <v>3217</v>
      </c>
      <c r="H4142" s="105">
        <v>5</v>
      </c>
      <c r="I4142" s="5" t="str">
        <f>VLOOKUP(F4142,'Set up'!$A$2:$C$70,3,FALSE)</f>
        <v>Cash</v>
      </c>
      <c r="J4142" s="5">
        <f>VLOOKUP(F4142,'Set up'!$A$2:$D$70,4,FALSE)</f>
        <v>0</v>
      </c>
      <c r="K4142" s="4">
        <f t="shared" si="1012"/>
        <v>45843</v>
      </c>
      <c r="L4142" s="5">
        <f t="shared" si="1013"/>
        <v>7</v>
      </c>
      <c r="M4142" s="5">
        <f t="shared" si="1014"/>
        <v>2025</v>
      </c>
      <c r="N4142" s="135">
        <v>8100</v>
      </c>
      <c r="P4142" s="12">
        <v>8100</v>
      </c>
      <c r="Q4142" s="7">
        <f t="shared" si="1015"/>
        <v>6860316.7500000028</v>
      </c>
      <c r="R4142" s="44" t="str">
        <f>VLOOKUP(F4142,'Set up'!$A$2:$E$70,5,FALSE)</f>
        <v>Trsf</v>
      </c>
    </row>
    <row r="4143" spans="1:19" ht="16.2" customHeight="1" x14ac:dyDescent="0.3">
      <c r="A4143" s="105" t="s">
        <v>4008</v>
      </c>
      <c r="B4143" s="5">
        <f t="shared" si="1010"/>
        <v>7</v>
      </c>
      <c r="C4143" s="5">
        <f t="shared" si="1011"/>
        <v>2025</v>
      </c>
      <c r="D4143" s="105" t="s">
        <v>4010</v>
      </c>
      <c r="E4143" s="5" t="str">
        <f>VLOOKUP(F4143,'Set up'!$A$2:$C$70,2,FALSE)</f>
        <v>C00000042</v>
      </c>
      <c r="F4143" s="99" t="s">
        <v>2012</v>
      </c>
      <c r="G4143" s="99" t="s">
        <v>1392</v>
      </c>
      <c r="H4143" s="105">
        <v>15</v>
      </c>
      <c r="I4143" s="5" t="str">
        <f>VLOOKUP(F4143,'Set up'!$A$2:$C$70,3,FALSE)</f>
        <v>Cash</v>
      </c>
      <c r="J4143" s="5">
        <f>VLOOKUP(F4143,'Set up'!$A$2:$D$70,4,FALSE)</f>
        <v>0</v>
      </c>
      <c r="K4143" s="4">
        <f t="shared" si="1012"/>
        <v>45843</v>
      </c>
      <c r="L4143" s="5">
        <f t="shared" si="1013"/>
        <v>7</v>
      </c>
      <c r="M4143" s="5">
        <f t="shared" si="1014"/>
        <v>2025</v>
      </c>
      <c r="N4143" s="135">
        <v>2655</v>
      </c>
      <c r="P4143" s="12">
        <v>2655</v>
      </c>
      <c r="Q4143" s="7">
        <f t="shared" si="1015"/>
        <v>6862971.7500000028</v>
      </c>
      <c r="R4143" s="44" t="str">
        <f>VLOOKUP(F4143,'Set up'!$A$2:$E$70,5,FALSE)</f>
        <v>Trsf</v>
      </c>
    </row>
    <row r="4144" spans="1:19" ht="16.2" customHeight="1" x14ac:dyDescent="0.3">
      <c r="A4144" s="105" t="s">
        <v>4008</v>
      </c>
      <c r="B4144" s="5">
        <f t="shared" si="1010"/>
        <v>7</v>
      </c>
      <c r="C4144" s="5">
        <f t="shared" si="1011"/>
        <v>2025</v>
      </c>
      <c r="D4144" s="105" t="s">
        <v>4010</v>
      </c>
      <c r="E4144" s="5" t="str">
        <f>VLOOKUP(F4144,'Set up'!$A$2:$C$70,2,FALSE)</f>
        <v>C00000042</v>
      </c>
      <c r="F4144" s="99" t="s">
        <v>2012</v>
      </c>
      <c r="G4144" s="99" t="s">
        <v>1922</v>
      </c>
      <c r="H4144" s="105">
        <v>7</v>
      </c>
      <c r="I4144" s="5" t="str">
        <f>VLOOKUP(F4144,'Set up'!$A$2:$C$70,3,FALSE)</f>
        <v>Cash</v>
      </c>
      <c r="J4144" s="5">
        <f>VLOOKUP(F4144,'Set up'!$A$2:$D$70,4,FALSE)</f>
        <v>0</v>
      </c>
      <c r="K4144" s="4">
        <f t="shared" si="1012"/>
        <v>45843</v>
      </c>
      <c r="L4144" s="5">
        <f t="shared" si="1013"/>
        <v>7</v>
      </c>
      <c r="M4144" s="5">
        <f t="shared" si="1014"/>
        <v>2025</v>
      </c>
      <c r="N4144" s="135">
        <v>1732.5</v>
      </c>
      <c r="P4144" s="12">
        <v>1732.5</v>
      </c>
      <c r="Q4144" s="7">
        <f t="shared" si="1015"/>
        <v>6864704.2500000028</v>
      </c>
      <c r="R4144" s="44" t="str">
        <f>VLOOKUP(F4144,'Set up'!$A$2:$E$70,5,FALSE)</f>
        <v>Trsf</v>
      </c>
    </row>
    <row r="4145" spans="1:18" ht="16.2" customHeight="1" x14ac:dyDescent="0.3">
      <c r="A4145" s="105" t="s">
        <v>4008</v>
      </c>
      <c r="B4145" s="5">
        <f t="shared" si="1010"/>
        <v>7</v>
      </c>
      <c r="C4145" s="5">
        <f t="shared" si="1011"/>
        <v>2025</v>
      </c>
      <c r="D4145" s="105" t="s">
        <v>4010</v>
      </c>
      <c r="E4145" s="5" t="str">
        <f>VLOOKUP(F4145,'Set up'!$A$2:$C$70,2,FALSE)</f>
        <v>C00000042</v>
      </c>
      <c r="F4145" s="99" t="s">
        <v>2012</v>
      </c>
      <c r="G4145" s="99" t="s">
        <v>2744</v>
      </c>
      <c r="H4145" s="105">
        <v>1</v>
      </c>
      <c r="I4145" s="5" t="str">
        <f>VLOOKUP(F4145,'Set up'!$A$2:$C$70,3,FALSE)</f>
        <v>Cash</v>
      </c>
      <c r="J4145" s="5">
        <f>VLOOKUP(F4145,'Set up'!$A$2:$D$70,4,FALSE)</f>
        <v>0</v>
      </c>
      <c r="K4145" s="4">
        <f t="shared" si="1012"/>
        <v>45843</v>
      </c>
      <c r="L4145" s="5">
        <f t="shared" si="1013"/>
        <v>7</v>
      </c>
      <c r="M4145" s="5">
        <f t="shared" si="1014"/>
        <v>2025</v>
      </c>
      <c r="N4145" s="135">
        <v>975</v>
      </c>
      <c r="P4145" s="12">
        <v>975</v>
      </c>
      <c r="Q4145" s="7">
        <f t="shared" si="1015"/>
        <v>6865679.2500000028</v>
      </c>
      <c r="R4145" s="44" t="str">
        <f>VLOOKUP(F4145,'Set up'!$A$2:$E$70,5,FALSE)</f>
        <v>Trsf</v>
      </c>
    </row>
    <row r="4146" spans="1:18" ht="16.2" customHeight="1" x14ac:dyDescent="0.3">
      <c r="A4146" s="105" t="s">
        <v>4011</v>
      </c>
      <c r="B4146" s="5">
        <f t="shared" si="1010"/>
        <v>7</v>
      </c>
      <c r="C4146" s="5">
        <f t="shared" si="1011"/>
        <v>2025</v>
      </c>
      <c r="D4146" s="105" t="s">
        <v>4012</v>
      </c>
      <c r="E4146" s="5" t="str">
        <f>VLOOKUP(F4146,'Set up'!$A$2:$C$70,2,FALSE)</f>
        <v>C00000042</v>
      </c>
      <c r="F4146" s="99" t="s">
        <v>2012</v>
      </c>
      <c r="G4146" s="99" t="s">
        <v>2646</v>
      </c>
      <c r="H4146" s="105">
        <v>3</v>
      </c>
      <c r="I4146" s="5" t="str">
        <f>VLOOKUP(F4146,'Set up'!$A$2:$C$70,3,FALSE)</f>
        <v>Cash</v>
      </c>
      <c r="J4146" s="5">
        <f>VLOOKUP(F4146,'Set up'!$A$2:$D$70,4,FALSE)</f>
        <v>0</v>
      </c>
      <c r="K4146" s="4">
        <f t="shared" si="1012"/>
        <v>45846</v>
      </c>
      <c r="L4146" s="5">
        <f t="shared" si="1013"/>
        <v>7</v>
      </c>
      <c r="M4146" s="5">
        <f t="shared" si="1014"/>
        <v>2025</v>
      </c>
      <c r="N4146" s="135">
        <v>187.5</v>
      </c>
      <c r="P4146" s="12">
        <v>187.5</v>
      </c>
      <c r="Q4146" s="7">
        <f t="shared" si="1015"/>
        <v>6865866.7500000028</v>
      </c>
      <c r="R4146" s="44" t="str">
        <f>VLOOKUP(F4146,'Set up'!$A$2:$E$70,5,FALSE)</f>
        <v>Trsf</v>
      </c>
    </row>
    <row r="4147" spans="1:18" ht="16.2" customHeight="1" x14ac:dyDescent="0.3">
      <c r="A4147" s="105" t="s">
        <v>4011</v>
      </c>
      <c r="B4147" s="5">
        <f t="shared" si="1010"/>
        <v>7</v>
      </c>
      <c r="C4147" s="5">
        <f t="shared" si="1011"/>
        <v>2025</v>
      </c>
      <c r="D4147" s="105" t="s">
        <v>4013</v>
      </c>
      <c r="E4147" s="5" t="str">
        <f>VLOOKUP(F4147,'Set up'!$A$2:$C$70,2,FALSE)</f>
        <v>C00000042</v>
      </c>
      <c r="F4147" s="99" t="s">
        <v>2012</v>
      </c>
      <c r="G4147" s="99" t="s">
        <v>3645</v>
      </c>
      <c r="H4147" s="105">
        <v>6</v>
      </c>
      <c r="I4147" s="5" t="str">
        <f>VLOOKUP(F4147,'Set up'!$A$2:$C$70,3,FALSE)</f>
        <v>Cash</v>
      </c>
      <c r="J4147" s="5">
        <f>VLOOKUP(F4147,'Set up'!$A$2:$D$70,4,FALSE)</f>
        <v>0</v>
      </c>
      <c r="K4147" s="4">
        <f t="shared" si="1012"/>
        <v>45846</v>
      </c>
      <c r="L4147" s="5">
        <f t="shared" si="1013"/>
        <v>7</v>
      </c>
      <c r="M4147" s="5">
        <f t="shared" si="1014"/>
        <v>2025</v>
      </c>
      <c r="N4147" s="135">
        <v>9720</v>
      </c>
      <c r="P4147" s="12">
        <v>9720</v>
      </c>
      <c r="Q4147" s="7">
        <f t="shared" si="1015"/>
        <v>6875586.7500000028</v>
      </c>
      <c r="R4147" s="44" t="str">
        <f>VLOOKUP(F4147,'Set up'!$A$2:$E$70,5,FALSE)</f>
        <v>Trsf</v>
      </c>
    </row>
    <row r="4148" spans="1:18" ht="16.2" customHeight="1" x14ac:dyDescent="0.3">
      <c r="A4148" s="105" t="s">
        <v>4011</v>
      </c>
      <c r="B4148" s="5">
        <f t="shared" si="1010"/>
        <v>7</v>
      </c>
      <c r="C4148" s="5">
        <f t="shared" si="1011"/>
        <v>2025</v>
      </c>
      <c r="D4148" s="105" t="s">
        <v>4013</v>
      </c>
      <c r="E4148" s="5" t="str">
        <f>VLOOKUP(F4148,'Set up'!$A$2:$C$70,2,FALSE)</f>
        <v>C00000042</v>
      </c>
      <c r="F4148" s="99" t="s">
        <v>2012</v>
      </c>
      <c r="G4148" s="99" t="s">
        <v>1392</v>
      </c>
      <c r="H4148" s="105">
        <v>18</v>
      </c>
      <c r="I4148" s="5" t="str">
        <f>VLOOKUP(F4148,'Set up'!$A$2:$C$70,3,FALSE)</f>
        <v>Cash</v>
      </c>
      <c r="J4148" s="5">
        <f>VLOOKUP(F4148,'Set up'!$A$2:$D$70,4,FALSE)</f>
        <v>0</v>
      </c>
      <c r="K4148" s="4">
        <f t="shared" si="1012"/>
        <v>45846</v>
      </c>
      <c r="L4148" s="5">
        <f t="shared" si="1013"/>
        <v>7</v>
      </c>
      <c r="M4148" s="5">
        <f t="shared" si="1014"/>
        <v>2025</v>
      </c>
      <c r="N4148" s="135">
        <v>3186</v>
      </c>
      <c r="P4148" s="12">
        <v>3186</v>
      </c>
      <c r="Q4148" s="7">
        <f t="shared" si="1015"/>
        <v>6878772.7500000028</v>
      </c>
      <c r="R4148" s="44" t="str">
        <f>VLOOKUP(F4148,'Set up'!$A$2:$E$70,5,FALSE)</f>
        <v>Trsf</v>
      </c>
    </row>
    <row r="4149" spans="1:18" ht="16.2" customHeight="1" x14ac:dyDescent="0.3">
      <c r="A4149" s="105" t="s">
        <v>4011</v>
      </c>
      <c r="B4149" s="5">
        <f t="shared" si="1010"/>
        <v>7</v>
      </c>
      <c r="C4149" s="5">
        <f t="shared" si="1011"/>
        <v>2025</v>
      </c>
      <c r="D4149" s="105" t="s">
        <v>4013</v>
      </c>
      <c r="E4149" s="5" t="str">
        <f>VLOOKUP(F4149,'Set up'!$A$2:$C$70,2,FALSE)</f>
        <v>C00000042</v>
      </c>
      <c r="F4149" s="99" t="s">
        <v>2012</v>
      </c>
      <c r="G4149" s="99" t="s">
        <v>1922</v>
      </c>
      <c r="H4149" s="105">
        <v>8</v>
      </c>
      <c r="I4149" s="5" t="str">
        <f>VLOOKUP(F4149,'Set up'!$A$2:$C$70,3,FALSE)</f>
        <v>Cash</v>
      </c>
      <c r="J4149" s="5">
        <f>VLOOKUP(F4149,'Set up'!$A$2:$D$70,4,FALSE)</f>
        <v>0</v>
      </c>
      <c r="K4149" s="4">
        <f t="shared" si="1012"/>
        <v>45846</v>
      </c>
      <c r="L4149" s="5">
        <f t="shared" si="1013"/>
        <v>7</v>
      </c>
      <c r="M4149" s="5">
        <f t="shared" si="1014"/>
        <v>2025</v>
      </c>
      <c r="N4149" s="135">
        <v>1980</v>
      </c>
      <c r="P4149" s="12">
        <v>1980</v>
      </c>
      <c r="Q4149" s="7">
        <f t="shared" si="1015"/>
        <v>6880752.7500000028</v>
      </c>
      <c r="R4149" s="44" t="str">
        <f>VLOOKUP(F4149,'Set up'!$A$2:$E$70,5,FALSE)</f>
        <v>Trsf</v>
      </c>
    </row>
    <row r="4150" spans="1:18" ht="16.2" customHeight="1" x14ac:dyDescent="0.3">
      <c r="A4150" s="105" t="s">
        <v>4011</v>
      </c>
      <c r="B4150" s="5">
        <f t="shared" si="1010"/>
        <v>7</v>
      </c>
      <c r="C4150" s="5">
        <f t="shared" si="1011"/>
        <v>2025</v>
      </c>
      <c r="D4150" s="105" t="s">
        <v>4013</v>
      </c>
      <c r="E4150" s="5" t="str">
        <f>VLOOKUP(F4150,'Set up'!$A$2:$C$70,2,FALSE)</f>
        <v>C00000042</v>
      </c>
      <c r="F4150" s="99" t="s">
        <v>2012</v>
      </c>
      <c r="G4150" s="99" t="s">
        <v>2744</v>
      </c>
      <c r="H4150" s="105">
        <v>1</v>
      </c>
      <c r="I4150" s="5" t="str">
        <f>VLOOKUP(F4150,'Set up'!$A$2:$C$70,3,FALSE)</f>
        <v>Cash</v>
      </c>
      <c r="J4150" s="5">
        <f>VLOOKUP(F4150,'Set up'!$A$2:$D$70,4,FALSE)</f>
        <v>0</v>
      </c>
      <c r="K4150" s="4">
        <f t="shared" si="1012"/>
        <v>45846</v>
      </c>
      <c r="L4150" s="5">
        <f t="shared" si="1013"/>
        <v>7</v>
      </c>
      <c r="M4150" s="5">
        <f t="shared" si="1014"/>
        <v>2025</v>
      </c>
      <c r="N4150" s="135">
        <v>975</v>
      </c>
      <c r="P4150" s="12">
        <v>975</v>
      </c>
      <c r="Q4150" s="7">
        <f t="shared" si="1015"/>
        <v>6881727.7500000028</v>
      </c>
      <c r="R4150" s="44" t="str">
        <f>VLOOKUP(F4150,'Set up'!$A$2:$E$70,5,FALSE)</f>
        <v>Trsf</v>
      </c>
    </row>
    <row r="4151" spans="1:18" ht="16.2" customHeight="1" x14ac:dyDescent="0.3">
      <c r="A4151" s="105" t="s">
        <v>4011</v>
      </c>
      <c r="B4151" s="5">
        <f t="shared" si="1010"/>
        <v>7</v>
      </c>
      <c r="C4151" s="5">
        <f t="shared" si="1011"/>
        <v>2025</v>
      </c>
      <c r="D4151" s="105" t="s">
        <v>4013</v>
      </c>
      <c r="E4151" s="5" t="str">
        <f>VLOOKUP(F4151,'Set up'!$A$2:$C$70,2,FALSE)</f>
        <v>C00000042</v>
      </c>
      <c r="F4151" s="99" t="s">
        <v>2012</v>
      </c>
      <c r="G4151" s="99" t="s">
        <v>46</v>
      </c>
      <c r="H4151" s="105">
        <v>4</v>
      </c>
      <c r="I4151" s="5" t="str">
        <f>VLOOKUP(F4151,'Set up'!$A$2:$C$70,3,FALSE)</f>
        <v>Cash</v>
      </c>
      <c r="J4151" s="5">
        <f>VLOOKUP(F4151,'Set up'!$A$2:$D$70,4,FALSE)</f>
        <v>0</v>
      </c>
      <c r="K4151" s="4">
        <f t="shared" si="1012"/>
        <v>45846</v>
      </c>
      <c r="L4151" s="5">
        <f t="shared" si="1013"/>
        <v>7</v>
      </c>
      <c r="M4151" s="5">
        <f t="shared" si="1014"/>
        <v>2025</v>
      </c>
      <c r="N4151" s="135">
        <v>460</v>
      </c>
      <c r="P4151" s="12">
        <v>460</v>
      </c>
      <c r="Q4151" s="7">
        <f t="shared" si="1015"/>
        <v>6882187.7500000028</v>
      </c>
      <c r="R4151" s="44" t="str">
        <f>VLOOKUP(F4151,'Set up'!$A$2:$E$70,5,FALSE)</f>
        <v>Trsf</v>
      </c>
    </row>
    <row r="4152" spans="1:18" ht="16.2" customHeight="1" x14ac:dyDescent="0.3">
      <c r="A4152" s="105" t="s">
        <v>4014</v>
      </c>
      <c r="B4152" s="5">
        <f t="shared" si="1010"/>
        <v>7</v>
      </c>
      <c r="C4152" s="5">
        <f t="shared" si="1011"/>
        <v>2025</v>
      </c>
      <c r="D4152" s="105" t="s">
        <v>4015</v>
      </c>
      <c r="E4152" s="5" t="str">
        <f>VLOOKUP(F4152,'Set up'!$A$2:$C$70,2,FALSE)</f>
        <v>C00000042</v>
      </c>
      <c r="F4152" s="99" t="s">
        <v>2012</v>
      </c>
      <c r="G4152" s="99" t="s">
        <v>2646</v>
      </c>
      <c r="H4152" s="105">
        <v>2</v>
      </c>
      <c r="I4152" s="5" t="str">
        <f>VLOOKUP(F4152,'Set up'!$A$2:$C$70,3,FALSE)</f>
        <v>Cash</v>
      </c>
      <c r="J4152" s="5">
        <f>VLOOKUP(F4152,'Set up'!$A$2:$D$70,4,FALSE)</f>
        <v>0</v>
      </c>
      <c r="K4152" s="4">
        <f t="shared" si="1012"/>
        <v>45848</v>
      </c>
      <c r="L4152" s="5">
        <f t="shared" si="1013"/>
        <v>7</v>
      </c>
      <c r="M4152" s="5">
        <f t="shared" si="1014"/>
        <v>2025</v>
      </c>
      <c r="N4152" s="135">
        <v>125</v>
      </c>
      <c r="P4152" s="12">
        <v>125</v>
      </c>
      <c r="Q4152" s="7">
        <f t="shared" si="1015"/>
        <v>6882312.7500000028</v>
      </c>
      <c r="R4152" s="44" t="str">
        <f>VLOOKUP(F4152,'Set up'!$A$2:$E$70,5,FALSE)</f>
        <v>Trsf</v>
      </c>
    </row>
    <row r="4153" spans="1:18" ht="16.2" customHeight="1" x14ac:dyDescent="0.3">
      <c r="A4153" s="105" t="s">
        <v>4014</v>
      </c>
      <c r="B4153" s="5">
        <f t="shared" si="1010"/>
        <v>7</v>
      </c>
      <c r="C4153" s="5">
        <f t="shared" si="1011"/>
        <v>2025</v>
      </c>
      <c r="D4153" s="105" t="s">
        <v>4016</v>
      </c>
      <c r="E4153" s="5" t="str">
        <f>VLOOKUP(F4153,'Set up'!$A$2:$C$70,2,FALSE)</f>
        <v>C00000042</v>
      </c>
      <c r="F4153" s="99" t="s">
        <v>2012</v>
      </c>
      <c r="G4153" s="99" t="s">
        <v>3217</v>
      </c>
      <c r="H4153" s="105">
        <v>5</v>
      </c>
      <c r="I4153" s="5" t="str">
        <f>VLOOKUP(F4153,'Set up'!$A$2:$C$70,3,FALSE)</f>
        <v>Cash</v>
      </c>
      <c r="J4153" s="5">
        <f>VLOOKUP(F4153,'Set up'!$A$2:$D$70,4,FALSE)</f>
        <v>0</v>
      </c>
      <c r="K4153" s="4">
        <f t="shared" si="1012"/>
        <v>45848</v>
      </c>
      <c r="L4153" s="5">
        <f t="shared" si="1013"/>
        <v>7</v>
      </c>
      <c r="M4153" s="5">
        <f t="shared" si="1014"/>
        <v>2025</v>
      </c>
      <c r="N4153" s="135">
        <v>8100</v>
      </c>
      <c r="P4153" s="12">
        <v>8100</v>
      </c>
      <c r="Q4153" s="7">
        <f t="shared" si="1015"/>
        <v>6890412.7500000028</v>
      </c>
      <c r="R4153" s="44" t="str">
        <f>VLOOKUP(F4153,'Set up'!$A$2:$E$70,5,FALSE)</f>
        <v>Trsf</v>
      </c>
    </row>
    <row r="4154" spans="1:18" ht="16.2" customHeight="1" x14ac:dyDescent="0.3">
      <c r="A4154" s="105" t="s">
        <v>4014</v>
      </c>
      <c r="B4154" s="5">
        <f t="shared" si="1010"/>
        <v>7</v>
      </c>
      <c r="C4154" s="5">
        <f t="shared" si="1011"/>
        <v>2025</v>
      </c>
      <c r="D4154" s="105" t="s">
        <v>4016</v>
      </c>
      <c r="E4154" s="5" t="str">
        <f>VLOOKUP(F4154,'Set up'!$A$2:$C$70,2,FALSE)</f>
        <v>C00000042</v>
      </c>
      <c r="F4154" s="99" t="s">
        <v>2012</v>
      </c>
      <c r="G4154" s="99" t="s">
        <v>2129</v>
      </c>
      <c r="H4154" s="105">
        <v>15</v>
      </c>
      <c r="I4154" s="5" t="str">
        <f>VLOOKUP(F4154,'Set up'!$A$2:$C$70,3,FALSE)</f>
        <v>Cash</v>
      </c>
      <c r="J4154" s="5">
        <f>VLOOKUP(F4154,'Set up'!$A$2:$D$70,4,FALSE)</f>
        <v>0</v>
      </c>
      <c r="K4154" s="4">
        <f t="shared" si="1012"/>
        <v>45848</v>
      </c>
      <c r="L4154" s="5">
        <f t="shared" si="1013"/>
        <v>7</v>
      </c>
      <c r="M4154" s="5">
        <f t="shared" si="1014"/>
        <v>2025</v>
      </c>
      <c r="N4154" s="135">
        <v>3274.5</v>
      </c>
      <c r="P4154" s="12">
        <v>3274.5</v>
      </c>
      <c r="Q4154" s="7">
        <f t="shared" si="1015"/>
        <v>6893687.2500000028</v>
      </c>
      <c r="R4154" s="44" t="str">
        <f>VLOOKUP(F4154,'Set up'!$A$2:$E$70,5,FALSE)</f>
        <v>Trsf</v>
      </c>
    </row>
    <row r="4155" spans="1:18" ht="16.2" customHeight="1" x14ac:dyDescent="0.3">
      <c r="A4155" s="105" t="s">
        <v>4014</v>
      </c>
      <c r="B4155" s="5">
        <f t="shared" si="1010"/>
        <v>7</v>
      </c>
      <c r="C4155" s="5">
        <f t="shared" si="1011"/>
        <v>2025</v>
      </c>
      <c r="D4155" s="105" t="s">
        <v>4016</v>
      </c>
      <c r="E4155" s="5" t="str">
        <f>VLOOKUP(F4155,'Set up'!$A$2:$C$70,2,FALSE)</f>
        <v>C00000042</v>
      </c>
      <c r="F4155" s="99" t="s">
        <v>2012</v>
      </c>
      <c r="G4155" s="99" t="s">
        <v>1922</v>
      </c>
      <c r="H4155" s="105">
        <v>10</v>
      </c>
      <c r="I4155" s="5" t="str">
        <f>VLOOKUP(F4155,'Set up'!$A$2:$C$70,3,FALSE)</f>
        <v>Cash</v>
      </c>
      <c r="J4155" s="5">
        <f>VLOOKUP(F4155,'Set up'!$A$2:$D$70,4,FALSE)</f>
        <v>0</v>
      </c>
      <c r="K4155" s="4">
        <f t="shared" si="1012"/>
        <v>45848</v>
      </c>
      <c r="L4155" s="5">
        <f t="shared" si="1013"/>
        <v>7</v>
      </c>
      <c r="M4155" s="5">
        <f t="shared" si="1014"/>
        <v>2025</v>
      </c>
      <c r="N4155" s="135">
        <v>2475</v>
      </c>
      <c r="P4155" s="12">
        <v>2475</v>
      </c>
      <c r="Q4155" s="7">
        <f t="shared" si="1015"/>
        <v>6896162.2500000028</v>
      </c>
      <c r="R4155" s="44" t="str">
        <f>VLOOKUP(F4155,'Set up'!$A$2:$E$70,5,FALSE)</f>
        <v>Trsf</v>
      </c>
    </row>
    <row r="4156" spans="1:18" ht="16.2" customHeight="1" x14ac:dyDescent="0.3">
      <c r="A4156" s="105" t="s">
        <v>4014</v>
      </c>
      <c r="B4156" s="5">
        <f t="shared" si="1010"/>
        <v>7</v>
      </c>
      <c r="C4156" s="5">
        <f t="shared" si="1011"/>
        <v>2025</v>
      </c>
      <c r="D4156" s="105" t="s">
        <v>4016</v>
      </c>
      <c r="E4156" s="5" t="str">
        <f>VLOOKUP(F4156,'Set up'!$A$2:$C$70,2,FALSE)</f>
        <v>C00000042</v>
      </c>
      <c r="F4156" s="99" t="s">
        <v>2012</v>
      </c>
      <c r="G4156" s="99" t="s">
        <v>1073</v>
      </c>
      <c r="H4156" s="105">
        <v>1</v>
      </c>
      <c r="I4156" s="5" t="str">
        <f>VLOOKUP(F4156,'Set up'!$A$2:$C$70,3,FALSE)</f>
        <v>Cash</v>
      </c>
      <c r="J4156" s="5">
        <f>VLOOKUP(F4156,'Set up'!$A$2:$D$70,4,FALSE)</f>
        <v>0</v>
      </c>
      <c r="K4156" s="4">
        <f t="shared" si="1012"/>
        <v>45848</v>
      </c>
      <c r="L4156" s="5">
        <f t="shared" si="1013"/>
        <v>7</v>
      </c>
      <c r="M4156" s="5">
        <f t="shared" si="1014"/>
        <v>2025</v>
      </c>
      <c r="N4156" s="135">
        <v>1000</v>
      </c>
      <c r="P4156" s="12">
        <v>1000</v>
      </c>
      <c r="Q4156" s="7">
        <f t="shared" si="1015"/>
        <v>6897162.2500000028</v>
      </c>
      <c r="R4156" s="44" t="str">
        <f>VLOOKUP(F4156,'Set up'!$A$2:$E$70,5,FALSE)</f>
        <v>Trsf</v>
      </c>
    </row>
    <row r="4157" spans="1:18" ht="16.2" customHeight="1" x14ac:dyDescent="0.3">
      <c r="A4157" s="105">
        <v>45849</v>
      </c>
      <c r="B4157" s="5">
        <f t="shared" si="1010"/>
        <v>7</v>
      </c>
      <c r="C4157" s="5">
        <f t="shared" si="1011"/>
        <v>2025</v>
      </c>
      <c r="D4157" s="105" t="s">
        <v>4017</v>
      </c>
      <c r="E4157" s="5" t="str">
        <f>VLOOKUP(F4157,'Set up'!$A$2:$C$70,2,FALSE)</f>
        <v>C00000010</v>
      </c>
      <c r="F4157" s="99" t="s">
        <v>62</v>
      </c>
      <c r="G4157" s="99" t="s">
        <v>4018</v>
      </c>
      <c r="H4157" s="105">
        <v>1</v>
      </c>
      <c r="I4157" s="5">
        <f>VLOOKUP(F4157,'Set up'!$A$2:$C$70,3,FALSE)</f>
        <v>120</v>
      </c>
      <c r="J4157" s="5">
        <f>VLOOKUP(F4157,'Set up'!$A$2:$D$70,4,FALSE)</f>
        <v>120</v>
      </c>
      <c r="K4157" s="4">
        <f t="shared" si="1012"/>
        <v>45969</v>
      </c>
      <c r="L4157" s="5">
        <f t="shared" si="1013"/>
        <v>11</v>
      </c>
      <c r="M4157" s="5">
        <f t="shared" si="1014"/>
        <v>2025</v>
      </c>
      <c r="N4157" s="135">
        <v>0</v>
      </c>
      <c r="P4157" s="12">
        <f t="shared" ref="P4157" si="1018">SUM(N4157+O4157)</f>
        <v>0</v>
      </c>
      <c r="Q4157" s="7">
        <f t="shared" si="1015"/>
        <v>6897162.2500000028</v>
      </c>
      <c r="R4157" s="44" t="str">
        <f>VLOOKUP(F4157,'Set up'!$A$2:$E$70,5,FALSE)</f>
        <v>Trsf</v>
      </c>
    </row>
    <row r="4158" spans="1:18" ht="16.2" customHeight="1" x14ac:dyDescent="0.3">
      <c r="A4158" s="105" t="s">
        <v>4019</v>
      </c>
      <c r="B4158" s="5">
        <f t="shared" si="1010"/>
        <v>7</v>
      </c>
      <c r="C4158" s="5">
        <f t="shared" si="1011"/>
        <v>2025</v>
      </c>
      <c r="D4158" s="105" t="s">
        <v>4020</v>
      </c>
      <c r="E4158" s="5" t="str">
        <f>VLOOKUP(F4158,'Set up'!$A$2:$C$70,2,FALSE)</f>
        <v>C00000042</v>
      </c>
      <c r="F4158" s="99" t="s">
        <v>2012</v>
      </c>
      <c r="G4158" s="99" t="s">
        <v>2646</v>
      </c>
      <c r="H4158" s="105">
        <v>2</v>
      </c>
      <c r="I4158" s="5" t="str">
        <f>VLOOKUP(F4158,'Set up'!$A$2:$C$70,3,FALSE)</f>
        <v>Cash</v>
      </c>
      <c r="J4158" s="5">
        <f>VLOOKUP(F4158,'Set up'!$A$2:$D$70,4,FALSE)</f>
        <v>0</v>
      </c>
      <c r="K4158" s="4">
        <f t="shared" si="1012"/>
        <v>45853</v>
      </c>
      <c r="L4158" s="5">
        <f t="shared" si="1013"/>
        <v>7</v>
      </c>
      <c r="M4158" s="5">
        <f t="shared" si="1014"/>
        <v>2025</v>
      </c>
      <c r="N4158" s="135">
        <v>125</v>
      </c>
      <c r="P4158" s="12">
        <v>125</v>
      </c>
      <c r="Q4158" s="7">
        <f t="shared" si="1015"/>
        <v>6897287.2500000028</v>
      </c>
      <c r="R4158" s="44" t="str">
        <f>VLOOKUP(F4158,'Set up'!$A$2:$E$70,5,FALSE)</f>
        <v>Trsf</v>
      </c>
    </row>
    <row r="4159" spans="1:18" ht="16.2" customHeight="1" x14ac:dyDescent="0.3">
      <c r="A4159" s="105" t="s">
        <v>4019</v>
      </c>
      <c r="B4159" s="5">
        <f t="shared" si="1010"/>
        <v>7</v>
      </c>
      <c r="C4159" s="5">
        <f t="shared" si="1011"/>
        <v>2025</v>
      </c>
      <c r="D4159" s="105" t="s">
        <v>4021</v>
      </c>
      <c r="E4159" s="5" t="str">
        <f>VLOOKUP(F4159,'Set up'!$A$2:$C$70,2,FALSE)</f>
        <v>C00000042</v>
      </c>
      <c r="F4159" s="99" t="s">
        <v>2012</v>
      </c>
      <c r="G4159" s="99" t="s">
        <v>3217</v>
      </c>
      <c r="H4159" s="105">
        <v>6</v>
      </c>
      <c r="I4159" s="5" t="str">
        <f>VLOOKUP(F4159,'Set up'!$A$2:$C$70,3,FALSE)</f>
        <v>Cash</v>
      </c>
      <c r="J4159" s="5">
        <f>VLOOKUP(F4159,'Set up'!$A$2:$D$70,4,FALSE)</f>
        <v>0</v>
      </c>
      <c r="K4159" s="4">
        <f t="shared" si="1012"/>
        <v>45853</v>
      </c>
      <c r="L4159" s="5">
        <f t="shared" si="1013"/>
        <v>7</v>
      </c>
      <c r="M4159" s="5">
        <f t="shared" si="1014"/>
        <v>2025</v>
      </c>
      <c r="N4159" s="135">
        <v>9720</v>
      </c>
      <c r="P4159" s="12">
        <v>9720</v>
      </c>
      <c r="Q4159" s="7">
        <f t="shared" si="1015"/>
        <v>6907007.2500000028</v>
      </c>
      <c r="R4159" s="44" t="str">
        <f>VLOOKUP(F4159,'Set up'!$A$2:$E$70,5,FALSE)</f>
        <v>Trsf</v>
      </c>
    </row>
    <row r="4160" spans="1:18" ht="16.2" customHeight="1" x14ac:dyDescent="0.3">
      <c r="A4160" s="105" t="s">
        <v>4019</v>
      </c>
      <c r="B4160" s="5">
        <f t="shared" si="1010"/>
        <v>7</v>
      </c>
      <c r="C4160" s="5">
        <f t="shared" si="1011"/>
        <v>2025</v>
      </c>
      <c r="D4160" s="105" t="s">
        <v>4021</v>
      </c>
      <c r="E4160" s="5" t="str">
        <f>VLOOKUP(F4160,'Set up'!$A$2:$C$70,2,FALSE)</f>
        <v>C00000042</v>
      </c>
      <c r="F4160" s="99" t="s">
        <v>2012</v>
      </c>
      <c r="G4160" s="99" t="s">
        <v>3243</v>
      </c>
      <c r="H4160" s="105">
        <v>18</v>
      </c>
      <c r="I4160" s="5" t="str">
        <f>VLOOKUP(F4160,'Set up'!$A$2:$C$70,3,FALSE)</f>
        <v>Cash</v>
      </c>
      <c r="J4160" s="5">
        <f>VLOOKUP(F4160,'Set up'!$A$2:$D$70,4,FALSE)</f>
        <v>0</v>
      </c>
      <c r="K4160" s="4">
        <f t="shared" si="1012"/>
        <v>45853</v>
      </c>
      <c r="L4160" s="5">
        <f t="shared" si="1013"/>
        <v>7</v>
      </c>
      <c r="M4160" s="5">
        <f t="shared" si="1014"/>
        <v>2025</v>
      </c>
      <c r="N4160" s="135">
        <v>3186</v>
      </c>
      <c r="P4160" s="12">
        <v>3186</v>
      </c>
      <c r="Q4160" s="7">
        <f t="shared" si="1015"/>
        <v>6910193.2500000028</v>
      </c>
      <c r="R4160" s="44" t="str">
        <f>VLOOKUP(F4160,'Set up'!$A$2:$E$70,5,FALSE)</f>
        <v>Trsf</v>
      </c>
    </row>
    <row r="4161" spans="1:19" ht="16.2" customHeight="1" x14ac:dyDescent="0.3">
      <c r="A4161" s="105" t="s">
        <v>4019</v>
      </c>
      <c r="B4161" s="5">
        <f t="shared" si="1010"/>
        <v>7</v>
      </c>
      <c r="C4161" s="5">
        <f t="shared" si="1011"/>
        <v>2025</v>
      </c>
      <c r="D4161" s="105" t="s">
        <v>4021</v>
      </c>
      <c r="E4161" s="5" t="str">
        <f>VLOOKUP(F4161,'Set up'!$A$2:$C$70,2,FALSE)</f>
        <v>C00000042</v>
      </c>
      <c r="F4161" s="99" t="s">
        <v>2012</v>
      </c>
      <c r="G4161" s="99" t="s">
        <v>1922</v>
      </c>
      <c r="H4161" s="105">
        <v>9</v>
      </c>
      <c r="I4161" s="5" t="str">
        <f>VLOOKUP(F4161,'Set up'!$A$2:$C$70,3,FALSE)</f>
        <v>Cash</v>
      </c>
      <c r="J4161" s="5">
        <f>VLOOKUP(F4161,'Set up'!$A$2:$D$70,4,FALSE)</f>
        <v>0</v>
      </c>
      <c r="K4161" s="4">
        <f t="shared" si="1012"/>
        <v>45853</v>
      </c>
      <c r="L4161" s="5">
        <f t="shared" si="1013"/>
        <v>7</v>
      </c>
      <c r="M4161" s="5">
        <f t="shared" si="1014"/>
        <v>2025</v>
      </c>
      <c r="N4161" s="135">
        <v>2227.5</v>
      </c>
      <c r="P4161" s="12">
        <v>2227.5</v>
      </c>
      <c r="Q4161" s="7">
        <f t="shared" si="1015"/>
        <v>6912420.7500000028</v>
      </c>
      <c r="R4161" s="44" t="str">
        <f>VLOOKUP(F4161,'Set up'!$A$2:$E$70,5,FALSE)</f>
        <v>Trsf</v>
      </c>
    </row>
    <row r="4162" spans="1:19" ht="16.2" customHeight="1" x14ac:dyDescent="0.3">
      <c r="A4162" s="105" t="s">
        <v>4019</v>
      </c>
      <c r="B4162" s="5">
        <f t="shared" si="1010"/>
        <v>7</v>
      </c>
      <c r="C4162" s="5">
        <f t="shared" si="1011"/>
        <v>2025</v>
      </c>
      <c r="D4162" s="105" t="s">
        <v>4021</v>
      </c>
      <c r="E4162" s="5" t="str">
        <f>VLOOKUP(F4162,'Set up'!$A$2:$C$70,2,FALSE)</f>
        <v>C00000042</v>
      </c>
      <c r="F4162" s="99" t="s">
        <v>2012</v>
      </c>
      <c r="G4162" s="99" t="s">
        <v>46</v>
      </c>
      <c r="H4162" s="105">
        <v>4</v>
      </c>
      <c r="I4162" s="5" t="str">
        <f>VLOOKUP(F4162,'Set up'!$A$2:$C$70,3,FALSE)</f>
        <v>Cash</v>
      </c>
      <c r="J4162" s="5">
        <f>VLOOKUP(F4162,'Set up'!$A$2:$D$70,4,FALSE)</f>
        <v>0</v>
      </c>
      <c r="K4162" s="4">
        <f t="shared" si="1012"/>
        <v>45853</v>
      </c>
      <c r="L4162" s="5">
        <f t="shared" si="1013"/>
        <v>7</v>
      </c>
      <c r="M4162" s="5">
        <f t="shared" si="1014"/>
        <v>2025</v>
      </c>
      <c r="N4162" s="135">
        <v>460</v>
      </c>
      <c r="P4162" s="12">
        <v>460</v>
      </c>
      <c r="Q4162" s="7">
        <f t="shared" si="1015"/>
        <v>6912880.7500000028</v>
      </c>
      <c r="R4162" s="44" t="str">
        <f>VLOOKUP(F4162,'Set up'!$A$2:$E$70,5,FALSE)</f>
        <v>Trsf</v>
      </c>
    </row>
    <row r="4163" spans="1:19" ht="16.2" customHeight="1" x14ac:dyDescent="0.3">
      <c r="A4163" s="105" t="s">
        <v>4019</v>
      </c>
      <c r="B4163" s="5">
        <f t="shared" ref="B4163:B4226" si="1019">MONTH(A4163)</f>
        <v>7</v>
      </c>
      <c r="C4163" s="5">
        <f t="shared" ref="C4163:C4226" si="1020">YEAR(A4163)</f>
        <v>2025</v>
      </c>
      <c r="D4163" s="105" t="s">
        <v>4021</v>
      </c>
      <c r="E4163" s="5" t="str">
        <f>VLOOKUP(F4163,'Set up'!$A$2:$C$70,2,FALSE)</f>
        <v>C00000042</v>
      </c>
      <c r="F4163" s="99" t="s">
        <v>2012</v>
      </c>
      <c r="G4163" s="99" t="s">
        <v>2744</v>
      </c>
      <c r="H4163" s="105">
        <v>1</v>
      </c>
      <c r="I4163" s="5" t="str">
        <f>VLOOKUP(F4163,'Set up'!$A$2:$C$70,3,FALSE)</f>
        <v>Cash</v>
      </c>
      <c r="J4163" s="5">
        <f>VLOOKUP(F4163,'Set up'!$A$2:$D$70,4,FALSE)</f>
        <v>0</v>
      </c>
      <c r="K4163" s="4">
        <f t="shared" ref="K4163:K4226" si="1021">A4163+J4163</f>
        <v>45853</v>
      </c>
      <c r="L4163" s="5">
        <f t="shared" ref="L4163:L4226" si="1022">MONTH(K4163)</f>
        <v>7</v>
      </c>
      <c r="M4163" s="5">
        <f t="shared" ref="M4163:M4226" si="1023">YEAR(K4163)</f>
        <v>2025</v>
      </c>
      <c r="N4163" s="135">
        <v>975</v>
      </c>
      <c r="P4163" s="12">
        <v>975</v>
      </c>
      <c r="Q4163" s="7">
        <f t="shared" ref="Q4163:Q4226" si="1024">SUM(Q4162+N4163)</f>
        <v>6913855.7500000028</v>
      </c>
      <c r="R4163" s="44" t="str">
        <f>VLOOKUP(F4163,'Set up'!$A$2:$E$70,5,FALSE)</f>
        <v>Trsf</v>
      </c>
    </row>
    <row r="4164" spans="1:19" ht="16.2" customHeight="1" x14ac:dyDescent="0.3">
      <c r="A4164" s="105" t="s">
        <v>4022</v>
      </c>
      <c r="B4164" s="5">
        <f t="shared" si="1019"/>
        <v>7</v>
      </c>
      <c r="C4164" s="5">
        <f t="shared" si="1020"/>
        <v>2025</v>
      </c>
      <c r="D4164" s="105" t="s">
        <v>4023</v>
      </c>
      <c r="E4164" s="5" t="str">
        <f>VLOOKUP(F4164,'Set up'!$A$2:$C$70,2,FALSE)</f>
        <v>C00000019</v>
      </c>
      <c r="F4164" s="99" t="s">
        <v>400</v>
      </c>
      <c r="G4164" s="99" t="s">
        <v>3122</v>
      </c>
      <c r="H4164" s="105">
        <v>1</v>
      </c>
      <c r="I4164" s="5" t="str">
        <f>VLOOKUP(F4164,'Set up'!$A$2:$C$70,3,FALSE)</f>
        <v>Cash</v>
      </c>
      <c r="J4164" s="5">
        <f>VLOOKUP(F4164,'Set up'!$A$2:$D$70,4,FALSE)</f>
        <v>0</v>
      </c>
      <c r="K4164" s="4">
        <f t="shared" si="1021"/>
        <v>45854</v>
      </c>
      <c r="L4164" s="5">
        <f t="shared" si="1022"/>
        <v>7</v>
      </c>
      <c r="M4164" s="5">
        <f t="shared" si="1023"/>
        <v>2025</v>
      </c>
      <c r="N4164" s="135">
        <v>1710</v>
      </c>
      <c r="P4164" s="12">
        <v>1710</v>
      </c>
      <c r="Q4164" s="7">
        <f t="shared" si="1024"/>
        <v>6915565.7500000028</v>
      </c>
      <c r="R4164" s="44" t="str">
        <f>VLOOKUP(F4164,'Set up'!$A$2:$E$70,5,FALSE)</f>
        <v>Trsf</v>
      </c>
    </row>
    <row r="4165" spans="1:19" ht="16.2" customHeight="1" x14ac:dyDescent="0.3">
      <c r="A4165" s="105" t="s">
        <v>4022</v>
      </c>
      <c r="B4165" s="5">
        <f t="shared" si="1019"/>
        <v>7</v>
      </c>
      <c r="C4165" s="5">
        <f t="shared" si="1020"/>
        <v>2025</v>
      </c>
      <c r="D4165" s="105" t="s">
        <v>4023</v>
      </c>
      <c r="E4165" s="5" t="str">
        <f>VLOOKUP(F4165,'Set up'!$A$2:$C$70,2,FALSE)</f>
        <v>C00000019</v>
      </c>
      <c r="F4165" s="99" t="s">
        <v>400</v>
      </c>
      <c r="G4165" s="99" t="s">
        <v>1411</v>
      </c>
      <c r="H4165" s="105">
        <v>1</v>
      </c>
      <c r="I4165" s="5" t="str">
        <f>VLOOKUP(F4165,'Set up'!$A$2:$C$70,3,FALSE)</f>
        <v>Cash</v>
      </c>
      <c r="J4165" s="5">
        <f>VLOOKUP(F4165,'Set up'!$A$2:$D$70,4,FALSE)</f>
        <v>0</v>
      </c>
      <c r="K4165" s="4">
        <f t="shared" si="1021"/>
        <v>45854</v>
      </c>
      <c r="L4165" s="5">
        <f t="shared" si="1022"/>
        <v>7</v>
      </c>
      <c r="M4165" s="5">
        <f t="shared" si="1023"/>
        <v>2025</v>
      </c>
      <c r="N4165" s="135">
        <v>405</v>
      </c>
      <c r="P4165" s="12">
        <v>405</v>
      </c>
      <c r="Q4165" s="7">
        <f t="shared" si="1024"/>
        <v>6915970.7500000028</v>
      </c>
      <c r="R4165" s="44" t="str">
        <f>VLOOKUP(F4165,'Set up'!$A$2:$E$70,5,FALSE)</f>
        <v>Trsf</v>
      </c>
    </row>
    <row r="4166" spans="1:19" ht="16.2" customHeight="1" x14ac:dyDescent="0.3">
      <c r="A4166" s="105" t="s">
        <v>4022</v>
      </c>
      <c r="B4166" s="5">
        <f t="shared" si="1019"/>
        <v>7</v>
      </c>
      <c r="C4166" s="5">
        <f t="shared" si="1020"/>
        <v>2025</v>
      </c>
      <c r="D4166" s="105" t="s">
        <v>4023</v>
      </c>
      <c r="E4166" s="5" t="str">
        <f>VLOOKUP(F4166,'Set up'!$A$2:$C$70,2,FALSE)</f>
        <v>C00000019</v>
      </c>
      <c r="F4166" s="99" t="s">
        <v>400</v>
      </c>
      <c r="G4166" s="99" t="s">
        <v>46</v>
      </c>
      <c r="H4166" s="105">
        <v>1</v>
      </c>
      <c r="I4166" s="5" t="str">
        <f>VLOOKUP(F4166,'Set up'!$A$2:$C$70,3,FALSE)</f>
        <v>Cash</v>
      </c>
      <c r="J4166" s="5">
        <f>VLOOKUP(F4166,'Set up'!$A$2:$D$70,4,FALSE)</f>
        <v>0</v>
      </c>
      <c r="K4166" s="4">
        <f t="shared" si="1021"/>
        <v>45854</v>
      </c>
      <c r="L4166" s="5">
        <f t="shared" si="1022"/>
        <v>7</v>
      </c>
      <c r="M4166" s="5">
        <f t="shared" si="1023"/>
        <v>2025</v>
      </c>
      <c r="N4166" s="135">
        <v>110</v>
      </c>
      <c r="P4166" s="12">
        <v>110</v>
      </c>
      <c r="Q4166" s="7">
        <f t="shared" si="1024"/>
        <v>6916080.7500000028</v>
      </c>
      <c r="R4166" s="44" t="str">
        <f>VLOOKUP(F4166,'Set up'!$A$2:$E$70,5,FALSE)</f>
        <v>Trsf</v>
      </c>
    </row>
    <row r="4167" spans="1:19" ht="16.2" customHeight="1" x14ac:dyDescent="0.3">
      <c r="A4167" s="105" t="s">
        <v>4022</v>
      </c>
      <c r="B4167" s="5">
        <f t="shared" si="1019"/>
        <v>7</v>
      </c>
      <c r="C4167" s="5">
        <f t="shared" si="1020"/>
        <v>2025</v>
      </c>
      <c r="D4167" s="105" t="s">
        <v>4023</v>
      </c>
      <c r="E4167" s="5" t="str">
        <f>VLOOKUP(F4167,'Set up'!$A$2:$C$70,2,FALSE)</f>
        <v>C00000019</v>
      </c>
      <c r="F4167" s="99" t="s">
        <v>400</v>
      </c>
      <c r="G4167" s="99" t="s">
        <v>2635</v>
      </c>
      <c r="H4167" s="105">
        <v>1</v>
      </c>
      <c r="I4167" s="5" t="str">
        <f>VLOOKUP(F4167,'Set up'!$A$2:$C$70,3,FALSE)</f>
        <v>Cash</v>
      </c>
      <c r="J4167" s="5">
        <f>VLOOKUP(F4167,'Set up'!$A$2:$D$70,4,FALSE)</f>
        <v>0</v>
      </c>
      <c r="K4167" s="4">
        <f t="shared" si="1021"/>
        <v>45854</v>
      </c>
      <c r="L4167" s="5">
        <f t="shared" si="1022"/>
        <v>7</v>
      </c>
      <c r="M4167" s="5">
        <f t="shared" si="1023"/>
        <v>2025</v>
      </c>
      <c r="N4167" s="135">
        <v>62.5</v>
      </c>
      <c r="P4167" s="12">
        <v>62.5</v>
      </c>
      <c r="Q4167" s="7">
        <f t="shared" si="1024"/>
        <v>6916143.2500000028</v>
      </c>
      <c r="R4167" s="44" t="str">
        <f>VLOOKUP(F4167,'Set up'!$A$2:$E$70,5,FALSE)</f>
        <v>Trsf</v>
      </c>
    </row>
    <row r="4168" spans="1:19" ht="16.2" customHeight="1" x14ac:dyDescent="0.3">
      <c r="A4168" s="105" t="s">
        <v>4022</v>
      </c>
      <c r="B4168" s="5">
        <f t="shared" si="1019"/>
        <v>7</v>
      </c>
      <c r="C4168" s="5">
        <f t="shared" si="1020"/>
        <v>2025</v>
      </c>
      <c r="D4168" s="105" t="s">
        <v>4023</v>
      </c>
      <c r="E4168" s="5" t="str">
        <f>VLOOKUP(F4168,'Set up'!$A$2:$C$70,2,FALSE)</f>
        <v>C00000019</v>
      </c>
      <c r="F4168" s="99" t="s">
        <v>400</v>
      </c>
      <c r="G4168" s="99" t="s">
        <v>2449</v>
      </c>
      <c r="H4168" s="105">
        <v>1</v>
      </c>
      <c r="I4168" s="5" t="str">
        <f>VLOOKUP(F4168,'Set up'!$A$2:$C$70,3,FALSE)</f>
        <v>Cash</v>
      </c>
      <c r="J4168" s="5">
        <f>VLOOKUP(F4168,'Set up'!$A$2:$D$70,4,FALSE)</f>
        <v>0</v>
      </c>
      <c r="K4168" s="4">
        <f t="shared" si="1021"/>
        <v>45854</v>
      </c>
      <c r="L4168" s="5">
        <f t="shared" si="1022"/>
        <v>7</v>
      </c>
      <c r="M4168" s="5">
        <f t="shared" si="1023"/>
        <v>2025</v>
      </c>
      <c r="N4168" s="135">
        <v>420</v>
      </c>
      <c r="P4168" s="12">
        <v>420</v>
      </c>
      <c r="Q4168" s="7">
        <f t="shared" si="1024"/>
        <v>6916563.2500000028</v>
      </c>
      <c r="R4168" s="44" t="str">
        <f>VLOOKUP(F4168,'Set up'!$A$2:$E$70,5,FALSE)</f>
        <v>Trsf</v>
      </c>
    </row>
    <row r="4169" spans="1:19" ht="16.2" customHeight="1" x14ac:dyDescent="0.3">
      <c r="A4169" s="105" t="s">
        <v>4022</v>
      </c>
      <c r="B4169" s="5">
        <f t="shared" si="1019"/>
        <v>7</v>
      </c>
      <c r="C4169" s="5">
        <f t="shared" si="1020"/>
        <v>2025</v>
      </c>
      <c r="D4169" s="105" t="s">
        <v>4023</v>
      </c>
      <c r="E4169" s="5" t="str">
        <f>VLOOKUP(F4169,'Set up'!$A$2:$C$70,2,FALSE)</f>
        <v>C00000019</v>
      </c>
      <c r="F4169" s="99" t="s">
        <v>400</v>
      </c>
      <c r="G4169" s="99" t="s">
        <v>3519</v>
      </c>
      <c r="H4169" s="105">
        <v>1</v>
      </c>
      <c r="I4169" s="5" t="str">
        <f>VLOOKUP(F4169,'Set up'!$A$2:$C$70,3,FALSE)</f>
        <v>Cash</v>
      </c>
      <c r="J4169" s="5">
        <f>VLOOKUP(F4169,'Set up'!$A$2:$D$70,4,FALSE)</f>
        <v>0</v>
      </c>
      <c r="K4169" s="4">
        <f t="shared" si="1021"/>
        <v>45854</v>
      </c>
      <c r="L4169" s="5">
        <f t="shared" si="1022"/>
        <v>7</v>
      </c>
      <c r="M4169" s="5">
        <f t="shared" si="1023"/>
        <v>2025</v>
      </c>
      <c r="N4169" s="135">
        <v>260</v>
      </c>
      <c r="P4169" s="12">
        <v>260</v>
      </c>
      <c r="Q4169" s="7">
        <f t="shared" si="1024"/>
        <v>6916823.2500000028</v>
      </c>
      <c r="R4169" s="44" t="str">
        <f>VLOOKUP(F4169,'Set up'!$A$2:$E$70,5,FALSE)</f>
        <v>Trsf</v>
      </c>
    </row>
    <row r="4170" spans="1:19" ht="16.2" customHeight="1" x14ac:dyDescent="0.3">
      <c r="A4170" s="105" t="s">
        <v>4022</v>
      </c>
      <c r="B4170" s="5">
        <f t="shared" si="1019"/>
        <v>7</v>
      </c>
      <c r="C4170" s="5">
        <f t="shared" si="1020"/>
        <v>2025</v>
      </c>
      <c r="D4170" s="105" t="s">
        <v>4023</v>
      </c>
      <c r="E4170" s="5" t="str">
        <f>VLOOKUP(F4170,'Set up'!$A$2:$C$70,2,FALSE)</f>
        <v>C00000019</v>
      </c>
      <c r="F4170" s="99" t="s">
        <v>400</v>
      </c>
      <c r="G4170" s="99" t="s">
        <v>2144</v>
      </c>
      <c r="H4170" s="105">
        <v>1</v>
      </c>
      <c r="I4170" s="5" t="str">
        <f>VLOOKUP(F4170,'Set up'!$A$2:$C$70,3,FALSE)</f>
        <v>Cash</v>
      </c>
      <c r="J4170" s="5">
        <f>VLOOKUP(F4170,'Set up'!$A$2:$D$70,4,FALSE)</f>
        <v>0</v>
      </c>
      <c r="K4170" s="4">
        <f t="shared" si="1021"/>
        <v>45854</v>
      </c>
      <c r="L4170" s="5">
        <f t="shared" si="1022"/>
        <v>7</v>
      </c>
      <c r="M4170" s="5">
        <f t="shared" si="1023"/>
        <v>2025</v>
      </c>
      <c r="N4170" s="135">
        <v>283.8</v>
      </c>
      <c r="P4170" s="12">
        <v>283.8</v>
      </c>
      <c r="Q4170" s="7">
        <f t="shared" si="1024"/>
        <v>6917107.0500000026</v>
      </c>
      <c r="R4170" s="44" t="str">
        <f>VLOOKUP(F4170,'Set up'!$A$2:$E$70,5,FALSE)</f>
        <v>Trsf</v>
      </c>
    </row>
    <row r="4171" spans="1:19" ht="16.2" customHeight="1" x14ac:dyDescent="0.3">
      <c r="A4171" s="105" t="s">
        <v>4024</v>
      </c>
      <c r="B4171" s="5">
        <f t="shared" si="1019"/>
        <v>7</v>
      </c>
      <c r="C4171" s="5">
        <f t="shared" si="1020"/>
        <v>2025</v>
      </c>
      <c r="D4171" s="105" t="s">
        <v>4025</v>
      </c>
      <c r="E4171" s="5" t="str">
        <f>VLOOKUP(F4171,'Set up'!$A$2:$C$70,2,FALSE)</f>
        <v>C00000044</v>
      </c>
      <c r="F4171" s="99" t="s">
        <v>2929</v>
      </c>
      <c r="G4171" s="99" t="s">
        <v>3122</v>
      </c>
      <c r="H4171" s="105">
        <v>1</v>
      </c>
      <c r="I4171" s="5" t="str">
        <f>VLOOKUP(F4171,'Set up'!$A$2:$C$70,3,FALSE)</f>
        <v>Cash</v>
      </c>
      <c r="J4171" s="5">
        <f>VLOOKUP(F4171,'Set up'!$A$2:$D$70,4,FALSE)</f>
        <v>0</v>
      </c>
      <c r="K4171" s="4">
        <f t="shared" si="1021"/>
        <v>45855</v>
      </c>
      <c r="L4171" s="5">
        <f t="shared" si="1022"/>
        <v>7</v>
      </c>
      <c r="M4171" s="5">
        <f t="shared" si="1023"/>
        <v>2025</v>
      </c>
      <c r="N4171" s="135">
        <v>1687.5</v>
      </c>
      <c r="O4171" s="6">
        <f t="shared" ref="O4171:O4176" si="1025">-N4171</f>
        <v>-1687.5</v>
      </c>
      <c r="P4171" s="12">
        <f t="shared" ref="P4171:P4176" si="1026">SUM(N4171+O4171)</f>
        <v>0</v>
      </c>
      <c r="Q4171" s="7">
        <f t="shared" si="1024"/>
        <v>6918794.5500000026</v>
      </c>
      <c r="R4171" s="44" t="str">
        <f>VLOOKUP(F4171,'Set up'!$A$2:$E$70,5,FALSE)</f>
        <v>Cash</v>
      </c>
      <c r="S4171" s="1" t="s">
        <v>4068</v>
      </c>
    </row>
    <row r="4172" spans="1:19" ht="16.2" customHeight="1" x14ac:dyDescent="0.3">
      <c r="A4172" s="105" t="s">
        <v>4024</v>
      </c>
      <c r="B4172" s="5">
        <f t="shared" si="1019"/>
        <v>7</v>
      </c>
      <c r="C4172" s="5">
        <f t="shared" si="1020"/>
        <v>2025</v>
      </c>
      <c r="D4172" s="105" t="s">
        <v>4025</v>
      </c>
      <c r="E4172" s="5" t="str">
        <f>VLOOKUP(F4172,'Set up'!$A$2:$C$70,2,FALSE)</f>
        <v>C00000044</v>
      </c>
      <c r="F4172" s="99" t="s">
        <v>2929</v>
      </c>
      <c r="G4172" s="99" t="s">
        <v>2570</v>
      </c>
      <c r="H4172" s="105">
        <v>3</v>
      </c>
      <c r="I4172" s="5" t="str">
        <f>VLOOKUP(F4172,'Set up'!$A$2:$C$70,3,FALSE)</f>
        <v>Cash</v>
      </c>
      <c r="J4172" s="5">
        <f>VLOOKUP(F4172,'Set up'!$A$2:$D$70,4,FALSE)</f>
        <v>0</v>
      </c>
      <c r="K4172" s="4">
        <f t="shared" si="1021"/>
        <v>45855</v>
      </c>
      <c r="L4172" s="5">
        <f t="shared" si="1022"/>
        <v>7</v>
      </c>
      <c r="M4172" s="5">
        <f t="shared" si="1023"/>
        <v>2025</v>
      </c>
      <c r="N4172" s="135">
        <v>648</v>
      </c>
      <c r="O4172" s="6">
        <f t="shared" si="1025"/>
        <v>-648</v>
      </c>
      <c r="P4172" s="12">
        <f t="shared" si="1026"/>
        <v>0</v>
      </c>
      <c r="Q4172" s="7">
        <f t="shared" si="1024"/>
        <v>6919442.5500000026</v>
      </c>
      <c r="R4172" s="44" t="str">
        <f>VLOOKUP(F4172,'Set up'!$A$2:$E$70,5,FALSE)</f>
        <v>Cash</v>
      </c>
      <c r="S4172" s="1" t="s">
        <v>4068</v>
      </c>
    </row>
    <row r="4173" spans="1:19" ht="16.2" customHeight="1" x14ac:dyDescent="0.3">
      <c r="A4173" s="105" t="s">
        <v>4024</v>
      </c>
      <c r="B4173" s="5">
        <f t="shared" si="1019"/>
        <v>7</v>
      </c>
      <c r="C4173" s="5">
        <f t="shared" si="1020"/>
        <v>2025</v>
      </c>
      <c r="D4173" s="105" t="s">
        <v>4025</v>
      </c>
      <c r="E4173" s="5" t="str">
        <f>VLOOKUP(F4173,'Set up'!$A$2:$C$70,2,FALSE)</f>
        <v>C00000044</v>
      </c>
      <c r="F4173" s="99" t="s">
        <v>2929</v>
      </c>
      <c r="G4173" s="99" t="s">
        <v>3255</v>
      </c>
      <c r="H4173" s="105">
        <v>5</v>
      </c>
      <c r="I4173" s="5" t="str">
        <f>VLOOKUP(F4173,'Set up'!$A$2:$C$70,3,FALSE)</f>
        <v>Cash</v>
      </c>
      <c r="J4173" s="5">
        <f>VLOOKUP(F4173,'Set up'!$A$2:$D$70,4,FALSE)</f>
        <v>0</v>
      </c>
      <c r="K4173" s="4">
        <f t="shared" si="1021"/>
        <v>45855</v>
      </c>
      <c r="L4173" s="5">
        <f t="shared" si="1022"/>
        <v>7</v>
      </c>
      <c r="M4173" s="5">
        <f t="shared" si="1023"/>
        <v>2025</v>
      </c>
      <c r="N4173" s="135">
        <v>875</v>
      </c>
      <c r="O4173" s="6">
        <f t="shared" si="1025"/>
        <v>-875</v>
      </c>
      <c r="P4173" s="12">
        <f t="shared" si="1026"/>
        <v>0</v>
      </c>
      <c r="Q4173" s="7">
        <f t="shared" si="1024"/>
        <v>6920317.5500000026</v>
      </c>
      <c r="R4173" s="44" t="str">
        <f>VLOOKUP(F4173,'Set up'!$A$2:$E$70,5,FALSE)</f>
        <v>Cash</v>
      </c>
      <c r="S4173" s="1" t="s">
        <v>4068</v>
      </c>
    </row>
    <row r="4174" spans="1:19" ht="16.2" customHeight="1" x14ac:dyDescent="0.3">
      <c r="A4174" s="105" t="s">
        <v>4024</v>
      </c>
      <c r="B4174" s="5">
        <f t="shared" si="1019"/>
        <v>7</v>
      </c>
      <c r="C4174" s="5">
        <f t="shared" si="1020"/>
        <v>2025</v>
      </c>
      <c r="D4174" s="105" t="s">
        <v>4025</v>
      </c>
      <c r="E4174" s="5" t="str">
        <f>VLOOKUP(F4174,'Set up'!$A$2:$C$70,2,FALSE)</f>
        <v>C00000044</v>
      </c>
      <c r="F4174" s="99" t="s">
        <v>2929</v>
      </c>
      <c r="G4174" s="99" t="s">
        <v>46</v>
      </c>
      <c r="H4174" s="105">
        <v>1</v>
      </c>
      <c r="I4174" s="5" t="str">
        <f>VLOOKUP(F4174,'Set up'!$A$2:$C$70,3,FALSE)</f>
        <v>Cash</v>
      </c>
      <c r="J4174" s="5">
        <f>VLOOKUP(F4174,'Set up'!$A$2:$D$70,4,FALSE)</f>
        <v>0</v>
      </c>
      <c r="K4174" s="4">
        <f t="shared" si="1021"/>
        <v>45855</v>
      </c>
      <c r="L4174" s="5">
        <f t="shared" si="1022"/>
        <v>7</v>
      </c>
      <c r="M4174" s="5">
        <f t="shared" si="1023"/>
        <v>2025</v>
      </c>
      <c r="N4174" s="135">
        <v>115</v>
      </c>
      <c r="O4174" s="6">
        <f t="shared" si="1025"/>
        <v>-115</v>
      </c>
      <c r="P4174" s="12">
        <f t="shared" si="1026"/>
        <v>0</v>
      </c>
      <c r="Q4174" s="7">
        <f t="shared" si="1024"/>
        <v>6920432.5500000026</v>
      </c>
      <c r="R4174" s="44" t="str">
        <f>VLOOKUP(F4174,'Set up'!$A$2:$E$70,5,FALSE)</f>
        <v>Cash</v>
      </c>
      <c r="S4174" s="1" t="s">
        <v>4068</v>
      </c>
    </row>
    <row r="4175" spans="1:19" ht="16.2" customHeight="1" x14ac:dyDescent="0.3">
      <c r="A4175" s="105" t="s">
        <v>4024</v>
      </c>
      <c r="B4175" s="5">
        <f t="shared" si="1019"/>
        <v>7</v>
      </c>
      <c r="C4175" s="5">
        <f t="shared" si="1020"/>
        <v>2025</v>
      </c>
      <c r="D4175" s="105" t="s">
        <v>4025</v>
      </c>
      <c r="E4175" s="5" t="str">
        <f>VLOOKUP(F4175,'Set up'!$A$2:$C$70,2,FALSE)</f>
        <v>C00000044</v>
      </c>
      <c r="F4175" s="99" t="s">
        <v>2929</v>
      </c>
      <c r="G4175" s="99" t="s">
        <v>2646</v>
      </c>
      <c r="H4175" s="105">
        <v>1</v>
      </c>
      <c r="I4175" s="5" t="str">
        <f>VLOOKUP(F4175,'Set up'!$A$2:$C$70,3,FALSE)</f>
        <v>Cash</v>
      </c>
      <c r="J4175" s="5">
        <f>VLOOKUP(F4175,'Set up'!$A$2:$D$70,4,FALSE)</f>
        <v>0</v>
      </c>
      <c r="K4175" s="4">
        <f t="shared" si="1021"/>
        <v>45855</v>
      </c>
      <c r="L4175" s="5">
        <f t="shared" si="1022"/>
        <v>7</v>
      </c>
      <c r="M4175" s="5">
        <f t="shared" si="1023"/>
        <v>2025</v>
      </c>
      <c r="N4175" s="135">
        <v>62.5</v>
      </c>
      <c r="O4175" s="6">
        <f t="shared" si="1025"/>
        <v>-62.5</v>
      </c>
      <c r="P4175" s="12">
        <f t="shared" si="1026"/>
        <v>0</v>
      </c>
      <c r="Q4175" s="7">
        <f t="shared" si="1024"/>
        <v>6920495.0500000026</v>
      </c>
      <c r="R4175" s="44" t="str">
        <f>VLOOKUP(F4175,'Set up'!$A$2:$E$70,5,FALSE)</f>
        <v>Cash</v>
      </c>
      <c r="S4175" s="1" t="s">
        <v>4068</v>
      </c>
    </row>
    <row r="4176" spans="1:19" ht="16.2" customHeight="1" x14ac:dyDescent="0.3">
      <c r="A4176" s="105" t="s">
        <v>4024</v>
      </c>
      <c r="B4176" s="5">
        <f t="shared" si="1019"/>
        <v>7</v>
      </c>
      <c r="C4176" s="5">
        <f t="shared" si="1020"/>
        <v>2025</v>
      </c>
      <c r="D4176" s="105" t="s">
        <v>4025</v>
      </c>
      <c r="E4176" s="5" t="str">
        <f>VLOOKUP(F4176,'Set up'!$A$2:$C$70,2,FALSE)</f>
        <v>C00000044</v>
      </c>
      <c r="F4176" s="99" t="s">
        <v>2929</v>
      </c>
      <c r="G4176" s="99" t="s">
        <v>1715</v>
      </c>
      <c r="H4176" s="105">
        <v>1</v>
      </c>
      <c r="I4176" s="5" t="str">
        <f>VLOOKUP(F4176,'Set up'!$A$2:$C$70,3,FALSE)</f>
        <v>Cash</v>
      </c>
      <c r="J4176" s="5">
        <f>VLOOKUP(F4176,'Set up'!$A$2:$D$70,4,FALSE)</f>
        <v>0</v>
      </c>
      <c r="K4176" s="4">
        <f t="shared" si="1021"/>
        <v>45855</v>
      </c>
      <c r="L4176" s="5">
        <f t="shared" si="1022"/>
        <v>7</v>
      </c>
      <c r="M4176" s="5">
        <f t="shared" si="1023"/>
        <v>2025</v>
      </c>
      <c r="N4176" s="135">
        <v>165</v>
      </c>
      <c r="O4176" s="6">
        <f t="shared" si="1025"/>
        <v>-165</v>
      </c>
      <c r="P4176" s="12">
        <f t="shared" si="1026"/>
        <v>0</v>
      </c>
      <c r="Q4176" s="7">
        <f t="shared" si="1024"/>
        <v>6920660.0500000026</v>
      </c>
      <c r="R4176" s="44" t="str">
        <f>VLOOKUP(F4176,'Set up'!$A$2:$E$70,5,FALSE)</f>
        <v>Cash</v>
      </c>
      <c r="S4176" s="1" t="s">
        <v>4068</v>
      </c>
    </row>
    <row r="4177" spans="1:18" ht="16.2" customHeight="1" x14ac:dyDescent="0.3">
      <c r="A4177" s="105" t="s">
        <v>4026</v>
      </c>
      <c r="B4177" s="5">
        <f t="shared" si="1019"/>
        <v>7</v>
      </c>
      <c r="C4177" s="5">
        <f t="shared" si="1020"/>
        <v>2025</v>
      </c>
      <c r="D4177" s="105" t="s">
        <v>4027</v>
      </c>
      <c r="E4177" s="5" t="str">
        <f>VLOOKUP(F4177,'Set up'!$A$2:$C$70,2,FALSE)</f>
        <v>C00000042</v>
      </c>
      <c r="F4177" s="99" t="s">
        <v>2012</v>
      </c>
      <c r="G4177" s="99" t="s">
        <v>2646</v>
      </c>
      <c r="H4177" s="105">
        <v>3</v>
      </c>
      <c r="I4177" s="5" t="str">
        <f>VLOOKUP(F4177,'Set up'!$A$2:$C$70,3,FALSE)</f>
        <v>Cash</v>
      </c>
      <c r="J4177" s="5">
        <f>VLOOKUP(F4177,'Set up'!$A$2:$D$70,4,FALSE)</f>
        <v>0</v>
      </c>
      <c r="K4177" s="4">
        <f t="shared" si="1021"/>
        <v>45856</v>
      </c>
      <c r="L4177" s="5">
        <f t="shared" si="1022"/>
        <v>7</v>
      </c>
      <c r="M4177" s="5">
        <f t="shared" si="1023"/>
        <v>2025</v>
      </c>
      <c r="N4177" s="135">
        <v>187.5</v>
      </c>
      <c r="P4177" s="12">
        <v>187.5</v>
      </c>
      <c r="Q4177" s="7">
        <f t="shared" si="1024"/>
        <v>6920847.5500000026</v>
      </c>
      <c r="R4177" s="44" t="str">
        <f>VLOOKUP(F4177,'Set up'!$A$2:$E$70,5,FALSE)</f>
        <v>Trsf</v>
      </c>
    </row>
    <row r="4178" spans="1:18" ht="16.2" customHeight="1" x14ac:dyDescent="0.3">
      <c r="A4178" s="105" t="s">
        <v>4026</v>
      </c>
      <c r="B4178" s="5">
        <f t="shared" si="1019"/>
        <v>7</v>
      </c>
      <c r="C4178" s="5">
        <f t="shared" si="1020"/>
        <v>2025</v>
      </c>
      <c r="D4178" s="105" t="s">
        <v>4028</v>
      </c>
      <c r="E4178" s="5" t="str">
        <f>VLOOKUP(F4178,'Set up'!$A$2:$C$70,2,FALSE)</f>
        <v>C00000042</v>
      </c>
      <c r="F4178" s="99" t="s">
        <v>2012</v>
      </c>
      <c r="G4178" s="99" t="s">
        <v>3645</v>
      </c>
      <c r="H4178" s="105">
        <v>6</v>
      </c>
      <c r="I4178" s="5" t="str">
        <f>VLOOKUP(F4178,'Set up'!$A$2:$C$70,3,FALSE)</f>
        <v>Cash</v>
      </c>
      <c r="J4178" s="5">
        <f>VLOOKUP(F4178,'Set up'!$A$2:$D$70,4,FALSE)</f>
        <v>0</v>
      </c>
      <c r="K4178" s="4">
        <f t="shared" si="1021"/>
        <v>45856</v>
      </c>
      <c r="L4178" s="5">
        <f t="shared" si="1022"/>
        <v>7</v>
      </c>
      <c r="M4178" s="5">
        <f t="shared" si="1023"/>
        <v>2025</v>
      </c>
      <c r="N4178" s="135">
        <v>9720</v>
      </c>
      <c r="P4178" s="12">
        <v>9720</v>
      </c>
      <c r="Q4178" s="7">
        <f t="shared" si="1024"/>
        <v>6930567.5500000026</v>
      </c>
      <c r="R4178" s="44" t="str">
        <f>VLOOKUP(F4178,'Set up'!$A$2:$E$70,5,FALSE)</f>
        <v>Trsf</v>
      </c>
    </row>
    <row r="4179" spans="1:18" ht="16.2" customHeight="1" x14ac:dyDescent="0.3">
      <c r="A4179" s="105" t="s">
        <v>4026</v>
      </c>
      <c r="B4179" s="5">
        <f t="shared" si="1019"/>
        <v>7</v>
      </c>
      <c r="C4179" s="5">
        <f t="shared" si="1020"/>
        <v>2025</v>
      </c>
      <c r="D4179" s="105" t="s">
        <v>4028</v>
      </c>
      <c r="E4179" s="5" t="str">
        <f>VLOOKUP(F4179,'Set up'!$A$2:$C$70,2,FALSE)</f>
        <v>C00000042</v>
      </c>
      <c r="F4179" s="99" t="s">
        <v>2012</v>
      </c>
      <c r="G4179" s="99" t="s">
        <v>3243</v>
      </c>
      <c r="H4179" s="105">
        <v>12</v>
      </c>
      <c r="I4179" s="5" t="str">
        <f>VLOOKUP(F4179,'Set up'!$A$2:$C$70,3,FALSE)</f>
        <v>Cash</v>
      </c>
      <c r="J4179" s="5">
        <f>VLOOKUP(F4179,'Set up'!$A$2:$D$70,4,FALSE)</f>
        <v>0</v>
      </c>
      <c r="K4179" s="4">
        <f t="shared" si="1021"/>
        <v>45856</v>
      </c>
      <c r="L4179" s="5">
        <f t="shared" si="1022"/>
        <v>7</v>
      </c>
      <c r="M4179" s="5">
        <f t="shared" si="1023"/>
        <v>2025</v>
      </c>
      <c r="N4179" s="135">
        <v>2124</v>
      </c>
      <c r="P4179" s="12">
        <v>2124</v>
      </c>
      <c r="Q4179" s="7">
        <f t="shared" si="1024"/>
        <v>6932691.5500000026</v>
      </c>
      <c r="R4179" s="44" t="str">
        <f>VLOOKUP(F4179,'Set up'!$A$2:$E$70,5,FALSE)</f>
        <v>Trsf</v>
      </c>
    </row>
    <row r="4180" spans="1:18" ht="16.2" customHeight="1" x14ac:dyDescent="0.3">
      <c r="A4180" s="105" t="s">
        <v>4026</v>
      </c>
      <c r="B4180" s="5">
        <f t="shared" si="1019"/>
        <v>7</v>
      </c>
      <c r="C4180" s="5">
        <f t="shared" si="1020"/>
        <v>2025</v>
      </c>
      <c r="D4180" s="105" t="s">
        <v>4028</v>
      </c>
      <c r="E4180" s="5" t="str">
        <f>VLOOKUP(F4180,'Set up'!$A$2:$C$70,2,FALSE)</f>
        <v>C00000042</v>
      </c>
      <c r="F4180" s="99" t="s">
        <v>2012</v>
      </c>
      <c r="G4180" s="99" t="s">
        <v>1922</v>
      </c>
      <c r="H4180" s="105">
        <v>7</v>
      </c>
      <c r="I4180" s="5" t="str">
        <f>VLOOKUP(F4180,'Set up'!$A$2:$C$70,3,FALSE)</f>
        <v>Cash</v>
      </c>
      <c r="J4180" s="5">
        <f>VLOOKUP(F4180,'Set up'!$A$2:$D$70,4,FALSE)</f>
        <v>0</v>
      </c>
      <c r="K4180" s="4">
        <f t="shared" si="1021"/>
        <v>45856</v>
      </c>
      <c r="L4180" s="5">
        <f t="shared" si="1022"/>
        <v>7</v>
      </c>
      <c r="M4180" s="5">
        <f t="shared" si="1023"/>
        <v>2025</v>
      </c>
      <c r="N4180" s="135">
        <v>1732.5</v>
      </c>
      <c r="P4180" s="12">
        <v>1732.5</v>
      </c>
      <c r="Q4180" s="7">
        <f t="shared" si="1024"/>
        <v>6934424.0500000026</v>
      </c>
      <c r="R4180" s="44" t="str">
        <f>VLOOKUP(F4180,'Set up'!$A$2:$E$70,5,FALSE)</f>
        <v>Trsf</v>
      </c>
    </row>
    <row r="4181" spans="1:18" ht="16.2" customHeight="1" x14ac:dyDescent="0.3">
      <c r="A4181" s="105" t="s">
        <v>4026</v>
      </c>
      <c r="B4181" s="5">
        <f t="shared" si="1019"/>
        <v>7</v>
      </c>
      <c r="C4181" s="5">
        <f t="shared" si="1020"/>
        <v>2025</v>
      </c>
      <c r="D4181" s="105" t="s">
        <v>4028</v>
      </c>
      <c r="E4181" s="5" t="str">
        <f>VLOOKUP(F4181,'Set up'!$A$2:$C$70,2,FALSE)</f>
        <v>C00000042</v>
      </c>
      <c r="F4181" s="99" t="s">
        <v>2012</v>
      </c>
      <c r="G4181" s="99" t="s">
        <v>46</v>
      </c>
      <c r="H4181" s="105">
        <v>8</v>
      </c>
      <c r="I4181" s="5" t="str">
        <f>VLOOKUP(F4181,'Set up'!$A$2:$C$70,3,FALSE)</f>
        <v>Cash</v>
      </c>
      <c r="J4181" s="5">
        <f>VLOOKUP(F4181,'Set up'!$A$2:$D$70,4,FALSE)</f>
        <v>0</v>
      </c>
      <c r="K4181" s="4">
        <f t="shared" si="1021"/>
        <v>45856</v>
      </c>
      <c r="L4181" s="5">
        <f t="shared" si="1022"/>
        <v>7</v>
      </c>
      <c r="M4181" s="5">
        <f t="shared" si="1023"/>
        <v>2025</v>
      </c>
      <c r="N4181" s="135">
        <v>920</v>
      </c>
      <c r="P4181" s="12">
        <v>920</v>
      </c>
      <c r="Q4181" s="7">
        <f t="shared" si="1024"/>
        <v>6935344.0500000026</v>
      </c>
      <c r="R4181" s="44" t="str">
        <f>VLOOKUP(F4181,'Set up'!$A$2:$E$70,5,FALSE)</f>
        <v>Trsf</v>
      </c>
    </row>
    <row r="4182" spans="1:18" ht="16.2" customHeight="1" x14ac:dyDescent="0.3">
      <c r="A4182" s="105" t="s">
        <v>4029</v>
      </c>
      <c r="B4182" s="5">
        <f t="shared" si="1019"/>
        <v>7</v>
      </c>
      <c r="C4182" s="5">
        <f t="shared" si="1020"/>
        <v>2025</v>
      </c>
      <c r="D4182" s="105" t="s">
        <v>4030</v>
      </c>
      <c r="E4182" s="5" t="str">
        <f>VLOOKUP(F4182,'Set up'!$A$2:$C$70,2,FALSE)</f>
        <v>C00000010</v>
      </c>
      <c r="F4182" s="99" t="s">
        <v>62</v>
      </c>
      <c r="G4182" s="99" t="s">
        <v>3645</v>
      </c>
      <c r="H4182" s="105">
        <v>5</v>
      </c>
      <c r="I4182" s="5">
        <f>VLOOKUP(F4182,'Set up'!$A$2:$C$70,3,FALSE)</f>
        <v>120</v>
      </c>
      <c r="J4182" s="5">
        <f>VLOOKUP(F4182,'Set up'!$A$2:$D$70,4,FALSE)</f>
        <v>120</v>
      </c>
      <c r="K4182" s="4">
        <f t="shared" si="1021"/>
        <v>45979</v>
      </c>
      <c r="L4182" s="5">
        <f t="shared" si="1022"/>
        <v>11</v>
      </c>
      <c r="M4182" s="5">
        <f t="shared" si="1023"/>
        <v>2025</v>
      </c>
      <c r="N4182" s="135">
        <v>7762.5</v>
      </c>
      <c r="P4182" s="12">
        <f t="shared" ref="P4182:P4187" si="1027">SUM(N4182+O4182)</f>
        <v>7762.5</v>
      </c>
      <c r="Q4182" s="7">
        <f t="shared" si="1024"/>
        <v>6943106.5500000026</v>
      </c>
      <c r="R4182" s="44" t="str">
        <f>VLOOKUP(F4182,'Set up'!$A$2:$E$70,5,FALSE)</f>
        <v>Trsf</v>
      </c>
    </row>
    <row r="4183" spans="1:18" ht="16.2" customHeight="1" x14ac:dyDescent="0.3">
      <c r="A4183" s="105" t="s">
        <v>4029</v>
      </c>
      <c r="B4183" s="5">
        <f t="shared" si="1019"/>
        <v>7</v>
      </c>
      <c r="C4183" s="5">
        <f t="shared" si="1020"/>
        <v>2025</v>
      </c>
      <c r="D4183" s="105" t="s">
        <v>4030</v>
      </c>
      <c r="E4183" s="5" t="str">
        <f>VLOOKUP(F4183,'Set up'!$A$2:$C$70,2,FALSE)</f>
        <v>C00000010</v>
      </c>
      <c r="F4183" s="99" t="s">
        <v>62</v>
      </c>
      <c r="G4183" s="99" t="s">
        <v>2129</v>
      </c>
      <c r="H4183" s="105">
        <v>15</v>
      </c>
      <c r="I4183" s="5">
        <f>VLOOKUP(F4183,'Set up'!$A$2:$C$70,3,FALSE)</f>
        <v>120</v>
      </c>
      <c r="J4183" s="5">
        <f>VLOOKUP(F4183,'Set up'!$A$2:$D$70,4,FALSE)</f>
        <v>120</v>
      </c>
      <c r="K4183" s="4">
        <f t="shared" si="1021"/>
        <v>45979</v>
      </c>
      <c r="L4183" s="5">
        <f t="shared" si="1022"/>
        <v>11</v>
      </c>
      <c r="M4183" s="5">
        <f t="shared" si="1023"/>
        <v>2025</v>
      </c>
      <c r="N4183" s="135">
        <v>3219</v>
      </c>
      <c r="P4183" s="12">
        <f t="shared" si="1027"/>
        <v>3219</v>
      </c>
      <c r="Q4183" s="7">
        <f t="shared" si="1024"/>
        <v>6946325.5500000026</v>
      </c>
      <c r="R4183" s="44" t="str">
        <f>VLOOKUP(F4183,'Set up'!$A$2:$E$70,5,FALSE)</f>
        <v>Trsf</v>
      </c>
    </row>
    <row r="4184" spans="1:18" ht="16.2" customHeight="1" x14ac:dyDescent="0.3">
      <c r="A4184" s="105" t="s">
        <v>4029</v>
      </c>
      <c r="B4184" s="5">
        <f t="shared" si="1019"/>
        <v>7</v>
      </c>
      <c r="C4184" s="5">
        <f t="shared" si="1020"/>
        <v>2025</v>
      </c>
      <c r="D4184" s="105" t="s">
        <v>4030</v>
      </c>
      <c r="E4184" s="5" t="str">
        <f>VLOOKUP(F4184,'Set up'!$A$2:$C$70,2,FALSE)</f>
        <v>C00000010</v>
      </c>
      <c r="F4184" s="99" t="s">
        <v>62</v>
      </c>
      <c r="G4184" s="99" t="s">
        <v>946</v>
      </c>
      <c r="H4184" s="105">
        <v>4</v>
      </c>
      <c r="I4184" s="5">
        <f>VLOOKUP(F4184,'Set up'!$A$2:$C$70,3,FALSE)</f>
        <v>120</v>
      </c>
      <c r="J4184" s="5">
        <f>VLOOKUP(F4184,'Set up'!$A$2:$D$70,4,FALSE)</f>
        <v>120</v>
      </c>
      <c r="K4184" s="4">
        <f t="shared" si="1021"/>
        <v>45979</v>
      </c>
      <c r="L4184" s="5">
        <f t="shared" si="1022"/>
        <v>11</v>
      </c>
      <c r="M4184" s="5">
        <f t="shared" si="1023"/>
        <v>2025</v>
      </c>
      <c r="N4184" s="135">
        <v>230.4</v>
      </c>
      <c r="P4184" s="12">
        <f t="shared" si="1027"/>
        <v>230.4</v>
      </c>
      <c r="Q4184" s="7">
        <f t="shared" si="1024"/>
        <v>6946555.950000003</v>
      </c>
      <c r="R4184" s="44" t="str">
        <f>VLOOKUP(F4184,'Set up'!$A$2:$E$70,5,FALSE)</f>
        <v>Trsf</v>
      </c>
    </row>
    <row r="4185" spans="1:18" ht="16.2" customHeight="1" x14ac:dyDescent="0.3">
      <c r="A4185" s="105" t="s">
        <v>4029</v>
      </c>
      <c r="B4185" s="5">
        <f t="shared" si="1019"/>
        <v>7</v>
      </c>
      <c r="C4185" s="5">
        <f t="shared" si="1020"/>
        <v>2025</v>
      </c>
      <c r="D4185" s="105" t="s">
        <v>4030</v>
      </c>
      <c r="E4185" s="5" t="str">
        <f>VLOOKUP(F4185,'Set up'!$A$2:$C$70,2,FALSE)</f>
        <v>C00000010</v>
      </c>
      <c r="F4185" s="99" t="s">
        <v>62</v>
      </c>
      <c r="G4185" s="99" t="s">
        <v>46</v>
      </c>
      <c r="H4185" s="105">
        <v>4</v>
      </c>
      <c r="I4185" s="5">
        <f>VLOOKUP(F4185,'Set up'!$A$2:$C$70,3,FALSE)</f>
        <v>120</v>
      </c>
      <c r="J4185" s="5">
        <f>VLOOKUP(F4185,'Set up'!$A$2:$D$70,4,FALSE)</f>
        <v>120</v>
      </c>
      <c r="K4185" s="4">
        <f t="shared" si="1021"/>
        <v>45979</v>
      </c>
      <c r="L4185" s="5">
        <f t="shared" si="1022"/>
        <v>11</v>
      </c>
      <c r="M4185" s="5">
        <f t="shared" si="1023"/>
        <v>2025</v>
      </c>
      <c r="N4185" s="135">
        <v>440</v>
      </c>
      <c r="P4185" s="12">
        <f t="shared" si="1027"/>
        <v>440</v>
      </c>
      <c r="Q4185" s="7">
        <f t="shared" si="1024"/>
        <v>6946995.950000003</v>
      </c>
      <c r="R4185" s="44" t="str">
        <f>VLOOKUP(F4185,'Set up'!$A$2:$E$70,5,FALSE)</f>
        <v>Trsf</v>
      </c>
    </row>
    <row r="4186" spans="1:18" ht="16.2" customHeight="1" x14ac:dyDescent="0.3">
      <c r="A4186" s="105" t="s">
        <v>4029</v>
      </c>
      <c r="B4186" s="5">
        <f t="shared" si="1019"/>
        <v>7</v>
      </c>
      <c r="C4186" s="5">
        <f t="shared" si="1020"/>
        <v>2025</v>
      </c>
      <c r="D4186" s="105" t="s">
        <v>4030</v>
      </c>
      <c r="E4186" s="5" t="str">
        <f>VLOOKUP(F4186,'Set up'!$A$2:$C$70,2,FALSE)</f>
        <v>C00000010</v>
      </c>
      <c r="F4186" s="99" t="s">
        <v>62</v>
      </c>
      <c r="G4186" s="99" t="s">
        <v>614</v>
      </c>
      <c r="H4186" s="105">
        <v>1</v>
      </c>
      <c r="I4186" s="5">
        <f>VLOOKUP(F4186,'Set up'!$A$2:$C$70,3,FALSE)</f>
        <v>120</v>
      </c>
      <c r="J4186" s="5">
        <f>VLOOKUP(F4186,'Set up'!$A$2:$D$70,4,FALSE)</f>
        <v>120</v>
      </c>
      <c r="K4186" s="4">
        <f t="shared" si="1021"/>
        <v>45979</v>
      </c>
      <c r="L4186" s="5">
        <f t="shared" si="1022"/>
        <v>11</v>
      </c>
      <c r="M4186" s="5">
        <f t="shared" si="1023"/>
        <v>2025</v>
      </c>
      <c r="N4186" s="135">
        <v>395</v>
      </c>
      <c r="P4186" s="12">
        <f t="shared" si="1027"/>
        <v>395</v>
      </c>
      <c r="Q4186" s="7">
        <f t="shared" si="1024"/>
        <v>6947390.950000003</v>
      </c>
      <c r="R4186" s="44" t="str">
        <f>VLOOKUP(F4186,'Set up'!$A$2:$E$70,5,FALSE)</f>
        <v>Trsf</v>
      </c>
    </row>
    <row r="4187" spans="1:18" ht="16.2" customHeight="1" x14ac:dyDescent="0.3">
      <c r="A4187" s="105" t="s">
        <v>4029</v>
      </c>
      <c r="B4187" s="5">
        <f t="shared" si="1019"/>
        <v>7</v>
      </c>
      <c r="C4187" s="5">
        <f t="shared" si="1020"/>
        <v>2025</v>
      </c>
      <c r="D4187" s="105" t="s">
        <v>4031</v>
      </c>
      <c r="E4187" s="5" t="str">
        <f>VLOOKUP(F4187,'Set up'!$A$2:$C$70,2,FALSE)</f>
        <v>C00000010</v>
      </c>
      <c r="F4187" s="99" t="s">
        <v>62</v>
      </c>
      <c r="G4187" s="99" t="s">
        <v>2449</v>
      </c>
      <c r="H4187" s="105">
        <v>2</v>
      </c>
      <c r="I4187" s="5">
        <f>VLOOKUP(F4187,'Set up'!$A$2:$C$70,3,FALSE)</f>
        <v>120</v>
      </c>
      <c r="J4187" s="5">
        <f>VLOOKUP(F4187,'Set up'!$A$2:$D$70,4,FALSE)</f>
        <v>120</v>
      </c>
      <c r="K4187" s="4">
        <f t="shared" si="1021"/>
        <v>45979</v>
      </c>
      <c r="L4187" s="5">
        <f t="shared" si="1022"/>
        <v>11</v>
      </c>
      <c r="M4187" s="5">
        <f t="shared" si="1023"/>
        <v>2025</v>
      </c>
      <c r="N4187" s="135">
        <v>840</v>
      </c>
      <c r="P4187" s="12">
        <f t="shared" si="1027"/>
        <v>840</v>
      </c>
      <c r="Q4187" s="7">
        <f t="shared" si="1024"/>
        <v>6948230.950000003</v>
      </c>
      <c r="R4187" s="44" t="str">
        <f>VLOOKUP(F4187,'Set up'!$A$2:$E$70,5,FALSE)</f>
        <v>Trsf</v>
      </c>
    </row>
    <row r="4188" spans="1:18" ht="16.2" customHeight="1" x14ac:dyDescent="0.3">
      <c r="A4188" s="105" t="s">
        <v>4032</v>
      </c>
      <c r="B4188" s="5">
        <f t="shared" si="1019"/>
        <v>7</v>
      </c>
      <c r="C4188" s="5">
        <f t="shared" si="1020"/>
        <v>2025</v>
      </c>
      <c r="D4188" s="105" t="s">
        <v>4033</v>
      </c>
      <c r="E4188" s="5" t="str">
        <f>VLOOKUP(F4188,'Set up'!$A$2:$C$70,2,FALSE)</f>
        <v>C00000042</v>
      </c>
      <c r="F4188" s="99" t="s">
        <v>2012</v>
      </c>
      <c r="G4188" s="99" t="s">
        <v>2646</v>
      </c>
      <c r="H4188" s="105">
        <v>4</v>
      </c>
      <c r="I4188" s="5" t="str">
        <f>VLOOKUP(F4188,'Set up'!$A$2:$C$70,3,FALSE)</f>
        <v>Cash</v>
      </c>
      <c r="J4188" s="5">
        <f>VLOOKUP(F4188,'Set up'!$A$2:$D$70,4,FALSE)</f>
        <v>0</v>
      </c>
      <c r="K4188" s="4">
        <f t="shared" si="1021"/>
        <v>45860</v>
      </c>
      <c r="L4188" s="5">
        <f t="shared" si="1022"/>
        <v>7</v>
      </c>
      <c r="M4188" s="5">
        <f t="shared" si="1023"/>
        <v>2025</v>
      </c>
      <c r="N4188" s="135">
        <v>250</v>
      </c>
      <c r="P4188" s="12">
        <v>250</v>
      </c>
      <c r="Q4188" s="7">
        <f t="shared" si="1024"/>
        <v>6948480.950000003</v>
      </c>
      <c r="R4188" s="44" t="str">
        <f>VLOOKUP(F4188,'Set up'!$A$2:$E$70,5,FALSE)</f>
        <v>Trsf</v>
      </c>
    </row>
    <row r="4189" spans="1:18" ht="16.2" customHeight="1" x14ac:dyDescent="0.3">
      <c r="A4189" s="105" t="s">
        <v>4032</v>
      </c>
      <c r="B4189" s="5">
        <f t="shared" si="1019"/>
        <v>7</v>
      </c>
      <c r="C4189" s="5">
        <f t="shared" si="1020"/>
        <v>2025</v>
      </c>
      <c r="D4189" s="105" t="s">
        <v>4034</v>
      </c>
      <c r="E4189" s="5" t="str">
        <f>VLOOKUP(F4189,'Set up'!$A$2:$C$70,2,FALSE)</f>
        <v>C00000042</v>
      </c>
      <c r="F4189" s="99" t="s">
        <v>2012</v>
      </c>
      <c r="G4189" s="99" t="s">
        <v>3217</v>
      </c>
      <c r="H4189" s="105">
        <v>8</v>
      </c>
      <c r="I4189" s="5" t="str">
        <f>VLOOKUP(F4189,'Set up'!$A$2:$C$70,3,FALSE)</f>
        <v>Cash</v>
      </c>
      <c r="J4189" s="5">
        <f>VLOOKUP(F4189,'Set up'!$A$2:$D$70,4,FALSE)</f>
        <v>0</v>
      </c>
      <c r="K4189" s="4">
        <f t="shared" si="1021"/>
        <v>45860</v>
      </c>
      <c r="L4189" s="5">
        <f t="shared" si="1022"/>
        <v>7</v>
      </c>
      <c r="M4189" s="5">
        <f t="shared" si="1023"/>
        <v>2025</v>
      </c>
      <c r="N4189" s="135">
        <v>12960</v>
      </c>
      <c r="P4189" s="12">
        <v>12960</v>
      </c>
      <c r="Q4189" s="7">
        <f t="shared" si="1024"/>
        <v>6961440.950000003</v>
      </c>
      <c r="R4189" s="44" t="str">
        <f>VLOOKUP(F4189,'Set up'!$A$2:$E$70,5,FALSE)</f>
        <v>Trsf</v>
      </c>
    </row>
    <row r="4190" spans="1:18" ht="16.2" customHeight="1" x14ac:dyDescent="0.3">
      <c r="A4190" s="105" t="s">
        <v>4032</v>
      </c>
      <c r="B4190" s="5">
        <f t="shared" si="1019"/>
        <v>7</v>
      </c>
      <c r="C4190" s="5">
        <f t="shared" si="1020"/>
        <v>2025</v>
      </c>
      <c r="D4190" s="105" t="s">
        <v>4034</v>
      </c>
      <c r="E4190" s="5" t="str">
        <f>VLOOKUP(F4190,'Set up'!$A$2:$C$70,2,FALSE)</f>
        <v>C00000042</v>
      </c>
      <c r="F4190" s="99" t="s">
        <v>2012</v>
      </c>
      <c r="G4190" s="99" t="s">
        <v>3243</v>
      </c>
      <c r="H4190" s="105">
        <v>24</v>
      </c>
      <c r="I4190" s="5" t="str">
        <f>VLOOKUP(F4190,'Set up'!$A$2:$C$70,3,FALSE)</f>
        <v>Cash</v>
      </c>
      <c r="J4190" s="5">
        <f>VLOOKUP(F4190,'Set up'!$A$2:$D$70,4,FALSE)</f>
        <v>0</v>
      </c>
      <c r="K4190" s="4">
        <f t="shared" si="1021"/>
        <v>45860</v>
      </c>
      <c r="L4190" s="5">
        <f t="shared" si="1022"/>
        <v>7</v>
      </c>
      <c r="M4190" s="5">
        <f t="shared" si="1023"/>
        <v>2025</v>
      </c>
      <c r="N4190" s="135">
        <v>4248</v>
      </c>
      <c r="P4190" s="12">
        <v>4248</v>
      </c>
      <c r="Q4190" s="7">
        <f t="shared" si="1024"/>
        <v>6965688.950000003</v>
      </c>
      <c r="R4190" s="44" t="str">
        <f>VLOOKUP(F4190,'Set up'!$A$2:$E$70,5,FALSE)</f>
        <v>Trsf</v>
      </c>
    </row>
    <row r="4191" spans="1:18" ht="16.2" customHeight="1" x14ac:dyDescent="0.3">
      <c r="A4191" s="105" t="s">
        <v>4032</v>
      </c>
      <c r="B4191" s="5">
        <f t="shared" si="1019"/>
        <v>7</v>
      </c>
      <c r="C4191" s="5">
        <f t="shared" si="1020"/>
        <v>2025</v>
      </c>
      <c r="D4191" s="105" t="s">
        <v>4034</v>
      </c>
      <c r="E4191" s="5" t="str">
        <f>VLOOKUP(F4191,'Set up'!$A$2:$C$70,2,FALSE)</f>
        <v>C00000042</v>
      </c>
      <c r="F4191" s="99" t="s">
        <v>2012</v>
      </c>
      <c r="G4191" s="99" t="s">
        <v>1922</v>
      </c>
      <c r="H4191" s="105">
        <v>12</v>
      </c>
      <c r="I4191" s="5" t="str">
        <f>VLOOKUP(F4191,'Set up'!$A$2:$C$70,3,FALSE)</f>
        <v>Cash</v>
      </c>
      <c r="J4191" s="5">
        <f>VLOOKUP(F4191,'Set up'!$A$2:$D$70,4,FALSE)</f>
        <v>0</v>
      </c>
      <c r="K4191" s="4">
        <f t="shared" si="1021"/>
        <v>45860</v>
      </c>
      <c r="L4191" s="5">
        <f t="shared" si="1022"/>
        <v>7</v>
      </c>
      <c r="M4191" s="5">
        <f t="shared" si="1023"/>
        <v>2025</v>
      </c>
      <c r="N4191" s="135">
        <v>2970</v>
      </c>
      <c r="P4191" s="12">
        <v>2970</v>
      </c>
      <c r="Q4191" s="7">
        <f t="shared" si="1024"/>
        <v>6968658.950000003</v>
      </c>
      <c r="R4191" s="44" t="str">
        <f>VLOOKUP(F4191,'Set up'!$A$2:$E$70,5,FALSE)</f>
        <v>Trsf</v>
      </c>
    </row>
    <row r="4192" spans="1:18" ht="16.2" customHeight="1" x14ac:dyDescent="0.3">
      <c r="A4192" s="105" t="s">
        <v>4032</v>
      </c>
      <c r="B4192" s="5">
        <f t="shared" si="1019"/>
        <v>7</v>
      </c>
      <c r="C4192" s="5">
        <f t="shared" si="1020"/>
        <v>2025</v>
      </c>
      <c r="D4192" s="105" t="s">
        <v>4034</v>
      </c>
      <c r="E4192" s="5" t="str">
        <f>VLOOKUP(F4192,'Set up'!$A$2:$C$70,2,FALSE)</f>
        <v>C00000042</v>
      </c>
      <c r="F4192" s="99" t="s">
        <v>2012</v>
      </c>
      <c r="G4192" s="99" t="s">
        <v>46</v>
      </c>
      <c r="H4192" s="105">
        <v>4</v>
      </c>
      <c r="I4192" s="5" t="str">
        <f>VLOOKUP(F4192,'Set up'!$A$2:$C$70,3,FALSE)</f>
        <v>Cash</v>
      </c>
      <c r="J4192" s="5">
        <f>VLOOKUP(F4192,'Set up'!$A$2:$D$70,4,FALSE)</f>
        <v>0</v>
      </c>
      <c r="K4192" s="4">
        <f t="shared" si="1021"/>
        <v>45860</v>
      </c>
      <c r="L4192" s="5">
        <f t="shared" si="1022"/>
        <v>7</v>
      </c>
      <c r="M4192" s="5">
        <f t="shared" si="1023"/>
        <v>2025</v>
      </c>
      <c r="N4192" s="135">
        <v>460</v>
      </c>
      <c r="P4192" s="12">
        <v>460</v>
      </c>
      <c r="Q4192" s="7">
        <f t="shared" si="1024"/>
        <v>6969118.950000003</v>
      </c>
      <c r="R4192" s="44" t="str">
        <f>VLOOKUP(F4192,'Set up'!$A$2:$E$70,5,FALSE)</f>
        <v>Trsf</v>
      </c>
    </row>
    <row r="4193" spans="1:19" ht="16.2" customHeight="1" x14ac:dyDescent="0.3">
      <c r="A4193" s="105" t="s">
        <v>4032</v>
      </c>
      <c r="B4193" s="5">
        <f t="shared" si="1019"/>
        <v>7</v>
      </c>
      <c r="C4193" s="5">
        <f t="shared" si="1020"/>
        <v>2025</v>
      </c>
      <c r="D4193" s="105" t="s">
        <v>4034</v>
      </c>
      <c r="E4193" s="5" t="str">
        <f>VLOOKUP(F4193,'Set up'!$A$2:$C$70,2,FALSE)</f>
        <v>C00000042</v>
      </c>
      <c r="F4193" s="99" t="s">
        <v>2012</v>
      </c>
      <c r="G4193" s="99" t="s">
        <v>1073</v>
      </c>
      <c r="H4193" s="105">
        <v>1</v>
      </c>
      <c r="I4193" s="5" t="str">
        <f>VLOOKUP(F4193,'Set up'!$A$2:$C$70,3,FALSE)</f>
        <v>Cash</v>
      </c>
      <c r="J4193" s="5">
        <f>VLOOKUP(F4193,'Set up'!$A$2:$D$70,4,FALSE)</f>
        <v>0</v>
      </c>
      <c r="K4193" s="4">
        <f t="shared" si="1021"/>
        <v>45860</v>
      </c>
      <c r="L4193" s="5">
        <f t="shared" si="1022"/>
        <v>7</v>
      </c>
      <c r="M4193" s="5">
        <f t="shared" si="1023"/>
        <v>2025</v>
      </c>
      <c r="N4193" s="135">
        <v>1000</v>
      </c>
      <c r="P4193" s="12">
        <v>1000</v>
      </c>
      <c r="Q4193" s="7">
        <f t="shared" si="1024"/>
        <v>6970118.950000003</v>
      </c>
      <c r="R4193" s="44" t="str">
        <f>VLOOKUP(F4193,'Set up'!$A$2:$E$70,5,FALSE)</f>
        <v>Trsf</v>
      </c>
    </row>
    <row r="4194" spans="1:19" ht="16.2" customHeight="1" x14ac:dyDescent="0.3">
      <c r="A4194" s="105" t="s">
        <v>4035</v>
      </c>
      <c r="B4194" s="5">
        <f t="shared" si="1019"/>
        <v>7</v>
      </c>
      <c r="C4194" s="5">
        <f t="shared" si="1020"/>
        <v>2025</v>
      </c>
      <c r="D4194" s="105" t="s">
        <v>4036</v>
      </c>
      <c r="E4194" s="5" t="str">
        <f>VLOOKUP(F4194,'Set up'!$A$2:$C$70,2,FALSE)</f>
        <v>C00000061</v>
      </c>
      <c r="F4194" s="99" t="s">
        <v>3532</v>
      </c>
      <c r="G4194" s="99" t="s">
        <v>3639</v>
      </c>
      <c r="H4194" s="105">
        <v>1</v>
      </c>
      <c r="I4194" s="5" t="str">
        <f>VLOOKUP(F4194,'Set up'!$A$2:$C$70,3,FALSE)</f>
        <v>Cash</v>
      </c>
      <c r="J4194" s="5">
        <f>VLOOKUP(F4194,'Set up'!$A$2:$D$70,4,FALSE)</f>
        <v>0</v>
      </c>
      <c r="K4194" s="4">
        <f t="shared" si="1021"/>
        <v>45864</v>
      </c>
      <c r="L4194" s="5">
        <f t="shared" si="1022"/>
        <v>7</v>
      </c>
      <c r="M4194" s="5">
        <f t="shared" si="1023"/>
        <v>2025</v>
      </c>
      <c r="N4194" s="135">
        <v>408.7</v>
      </c>
      <c r="O4194" s="6">
        <f t="shared" ref="O4194:O4195" si="1028">-N4194</f>
        <v>-408.7</v>
      </c>
      <c r="P4194" s="12">
        <f t="shared" ref="P4194:P4195" si="1029">SUM(N4194+O4194)</f>
        <v>0</v>
      </c>
      <c r="Q4194" s="7">
        <f t="shared" si="1024"/>
        <v>6970527.6500000032</v>
      </c>
      <c r="R4194" s="44" t="str">
        <f>VLOOKUP(F4194,'Set up'!$A$2:$E$70,5,FALSE)</f>
        <v>Cash</v>
      </c>
      <c r="S4194" s="1" t="s">
        <v>4071</v>
      </c>
    </row>
    <row r="4195" spans="1:19" ht="16.2" customHeight="1" x14ac:dyDescent="0.3">
      <c r="A4195" s="105" t="s">
        <v>4035</v>
      </c>
      <c r="B4195" s="5">
        <f t="shared" si="1019"/>
        <v>7</v>
      </c>
      <c r="C4195" s="5">
        <f t="shared" si="1020"/>
        <v>2025</v>
      </c>
      <c r="D4195" s="105" t="s">
        <v>4036</v>
      </c>
      <c r="E4195" s="5" t="str">
        <f>VLOOKUP(F4195,'Set up'!$A$2:$C$70,2,FALSE)</f>
        <v>C00000061</v>
      </c>
      <c r="F4195" s="99" t="s">
        <v>3532</v>
      </c>
      <c r="G4195" s="99" t="s">
        <v>2635</v>
      </c>
      <c r="H4195" s="105">
        <v>1</v>
      </c>
      <c r="I4195" s="5" t="str">
        <f>VLOOKUP(F4195,'Set up'!$A$2:$C$70,3,FALSE)</f>
        <v>Cash</v>
      </c>
      <c r="J4195" s="5">
        <f>VLOOKUP(F4195,'Set up'!$A$2:$D$70,4,FALSE)</f>
        <v>0</v>
      </c>
      <c r="K4195" s="4">
        <f t="shared" si="1021"/>
        <v>45864</v>
      </c>
      <c r="L4195" s="5">
        <f t="shared" si="1022"/>
        <v>7</v>
      </c>
      <c r="M4195" s="5">
        <f t="shared" si="1023"/>
        <v>2025</v>
      </c>
      <c r="N4195" s="135">
        <v>57.5</v>
      </c>
      <c r="O4195" s="6">
        <f t="shared" si="1028"/>
        <v>-57.5</v>
      </c>
      <c r="P4195" s="12">
        <f t="shared" si="1029"/>
        <v>0</v>
      </c>
      <c r="Q4195" s="7">
        <f t="shared" si="1024"/>
        <v>6970585.1500000032</v>
      </c>
      <c r="R4195" s="44" t="str">
        <f>VLOOKUP(F4195,'Set up'!$A$2:$E$70,5,FALSE)</f>
        <v>Cash</v>
      </c>
      <c r="S4195" s="1" t="s">
        <v>4071</v>
      </c>
    </row>
    <row r="4196" spans="1:19" ht="16.2" customHeight="1" x14ac:dyDescent="0.3">
      <c r="A4196" s="105" t="s">
        <v>4037</v>
      </c>
      <c r="B4196" s="5">
        <f t="shared" si="1019"/>
        <v>7</v>
      </c>
      <c r="C4196" s="5">
        <f t="shared" si="1020"/>
        <v>2025</v>
      </c>
      <c r="D4196" s="105" t="s">
        <v>4038</v>
      </c>
      <c r="E4196" s="5" t="str">
        <f>VLOOKUP(F4196,'Set up'!$A$2:$C$70,2,FALSE)</f>
        <v>C00000044</v>
      </c>
      <c r="F4196" s="99" t="s">
        <v>2929</v>
      </c>
      <c r="G4196" s="99" t="s">
        <v>3122</v>
      </c>
      <c r="H4196" s="105">
        <v>1</v>
      </c>
      <c r="I4196" s="5" t="str">
        <f>VLOOKUP(F4196,'Set up'!$A$2:$C$70,3,FALSE)</f>
        <v>Cash</v>
      </c>
      <c r="J4196" s="5">
        <f>VLOOKUP(F4196,'Set up'!$A$2:$D$70,4,FALSE)</f>
        <v>0</v>
      </c>
      <c r="K4196" s="4">
        <f t="shared" si="1021"/>
        <v>45866</v>
      </c>
      <c r="L4196" s="5">
        <f t="shared" si="1022"/>
        <v>7</v>
      </c>
      <c r="M4196" s="5">
        <f t="shared" si="1023"/>
        <v>2025</v>
      </c>
      <c r="N4196" s="135">
        <v>1687.5</v>
      </c>
      <c r="O4196" s="6">
        <f>-N4196</f>
        <v>-1687.5</v>
      </c>
      <c r="P4196" s="12">
        <f t="shared" ref="P4196:P4197" si="1030">SUM(N4196+O4196)</f>
        <v>0</v>
      </c>
      <c r="Q4196" s="7">
        <f t="shared" si="1024"/>
        <v>6972272.6500000032</v>
      </c>
      <c r="R4196" s="44" t="str">
        <f>VLOOKUP(F4196,'Set up'!$A$2:$E$70,5,FALSE)</f>
        <v>Cash</v>
      </c>
      <c r="S4196" s="1" t="s">
        <v>4069</v>
      </c>
    </row>
    <row r="4197" spans="1:19" ht="16.2" customHeight="1" x14ac:dyDescent="0.3">
      <c r="A4197" s="105" t="s">
        <v>4037</v>
      </c>
      <c r="B4197" s="5">
        <f t="shared" si="1019"/>
        <v>7</v>
      </c>
      <c r="C4197" s="5">
        <f t="shared" si="1020"/>
        <v>2025</v>
      </c>
      <c r="D4197" s="105" t="s">
        <v>4038</v>
      </c>
      <c r="E4197" s="5" t="str">
        <f>VLOOKUP(F4197,'Set up'!$A$2:$C$70,2,FALSE)</f>
        <v>C00000044</v>
      </c>
      <c r="F4197" s="99" t="s">
        <v>2929</v>
      </c>
      <c r="G4197" s="99" t="s">
        <v>2570</v>
      </c>
      <c r="H4197" s="105">
        <v>2</v>
      </c>
      <c r="I4197" s="5" t="str">
        <f>VLOOKUP(F4197,'Set up'!$A$2:$C$70,3,FALSE)</f>
        <v>Cash</v>
      </c>
      <c r="J4197" s="5">
        <f>VLOOKUP(F4197,'Set up'!$A$2:$D$70,4,FALSE)</f>
        <v>0</v>
      </c>
      <c r="K4197" s="4">
        <f t="shared" si="1021"/>
        <v>45866</v>
      </c>
      <c r="L4197" s="5">
        <f t="shared" si="1022"/>
        <v>7</v>
      </c>
      <c r="M4197" s="5">
        <f t="shared" si="1023"/>
        <v>2025</v>
      </c>
      <c r="N4197" s="135">
        <v>432</v>
      </c>
      <c r="O4197" s="6">
        <f>-N4197</f>
        <v>-432</v>
      </c>
      <c r="P4197" s="12">
        <f t="shared" si="1030"/>
        <v>0</v>
      </c>
      <c r="Q4197" s="7">
        <f t="shared" si="1024"/>
        <v>6972704.6500000032</v>
      </c>
      <c r="R4197" s="44" t="str">
        <f>VLOOKUP(F4197,'Set up'!$A$2:$E$70,5,FALSE)</f>
        <v>Cash</v>
      </c>
      <c r="S4197" s="1" t="s">
        <v>4069</v>
      </c>
    </row>
    <row r="4198" spans="1:19" ht="16.2" customHeight="1" x14ac:dyDescent="0.3">
      <c r="A4198" s="105" t="s">
        <v>4037</v>
      </c>
      <c r="B4198" s="5">
        <f t="shared" si="1019"/>
        <v>7</v>
      </c>
      <c r="C4198" s="5">
        <f t="shared" si="1020"/>
        <v>2025</v>
      </c>
      <c r="D4198" s="105" t="s">
        <v>4039</v>
      </c>
      <c r="E4198" s="5" t="str">
        <f>VLOOKUP(F4198,'Set up'!$A$2:$C$70,2,FALSE)</f>
        <v>C00000042</v>
      </c>
      <c r="F4198" s="99" t="s">
        <v>2012</v>
      </c>
      <c r="G4198" s="99" t="s">
        <v>2646</v>
      </c>
      <c r="H4198" s="105">
        <v>2</v>
      </c>
      <c r="I4198" s="5" t="str">
        <f>VLOOKUP(F4198,'Set up'!$A$2:$C$70,3,FALSE)</f>
        <v>Cash</v>
      </c>
      <c r="J4198" s="5">
        <f>VLOOKUP(F4198,'Set up'!$A$2:$D$70,4,FALSE)</f>
        <v>0</v>
      </c>
      <c r="K4198" s="4">
        <f t="shared" si="1021"/>
        <v>45866</v>
      </c>
      <c r="L4198" s="5">
        <f t="shared" si="1022"/>
        <v>7</v>
      </c>
      <c r="M4198" s="5">
        <f t="shared" si="1023"/>
        <v>2025</v>
      </c>
      <c r="N4198" s="135">
        <v>125</v>
      </c>
      <c r="P4198" s="12">
        <v>125</v>
      </c>
      <c r="Q4198" s="7">
        <f t="shared" si="1024"/>
        <v>6972829.6500000032</v>
      </c>
      <c r="R4198" s="44" t="str">
        <f>VLOOKUP(F4198,'Set up'!$A$2:$E$70,5,FALSE)</f>
        <v>Trsf</v>
      </c>
    </row>
    <row r="4199" spans="1:19" ht="16.2" customHeight="1" x14ac:dyDescent="0.3">
      <c r="A4199" s="105" t="s">
        <v>4037</v>
      </c>
      <c r="B4199" s="5">
        <f t="shared" si="1019"/>
        <v>7</v>
      </c>
      <c r="C4199" s="5">
        <f t="shared" si="1020"/>
        <v>2025</v>
      </c>
      <c r="D4199" s="105" t="s">
        <v>4040</v>
      </c>
      <c r="E4199" s="5" t="str">
        <f>VLOOKUP(F4199,'Set up'!$A$2:$C$70,2,FALSE)</f>
        <v>C00000042</v>
      </c>
      <c r="F4199" s="99" t="s">
        <v>2012</v>
      </c>
      <c r="G4199" s="99" t="s">
        <v>3217</v>
      </c>
      <c r="H4199" s="105">
        <v>3</v>
      </c>
      <c r="I4199" s="5" t="str">
        <f>VLOOKUP(F4199,'Set up'!$A$2:$C$70,3,FALSE)</f>
        <v>Cash</v>
      </c>
      <c r="J4199" s="5">
        <f>VLOOKUP(F4199,'Set up'!$A$2:$D$70,4,FALSE)</f>
        <v>0</v>
      </c>
      <c r="K4199" s="4">
        <f t="shared" si="1021"/>
        <v>45866</v>
      </c>
      <c r="L4199" s="5">
        <f t="shared" si="1022"/>
        <v>7</v>
      </c>
      <c r="M4199" s="5">
        <f t="shared" si="1023"/>
        <v>2025</v>
      </c>
      <c r="N4199" s="135">
        <v>4860</v>
      </c>
      <c r="P4199" s="12">
        <v>4860</v>
      </c>
      <c r="Q4199" s="7">
        <f t="shared" si="1024"/>
        <v>6977689.6500000032</v>
      </c>
      <c r="R4199" s="44" t="str">
        <f>VLOOKUP(F4199,'Set up'!$A$2:$E$70,5,FALSE)</f>
        <v>Trsf</v>
      </c>
    </row>
    <row r="4200" spans="1:19" ht="16.2" customHeight="1" x14ac:dyDescent="0.3">
      <c r="A4200" s="105" t="s">
        <v>4037</v>
      </c>
      <c r="B4200" s="5">
        <f t="shared" si="1019"/>
        <v>7</v>
      </c>
      <c r="C4200" s="5">
        <f t="shared" si="1020"/>
        <v>2025</v>
      </c>
      <c r="D4200" s="105" t="s">
        <v>4040</v>
      </c>
      <c r="E4200" s="5" t="str">
        <f>VLOOKUP(F4200,'Set up'!$A$2:$C$70,2,FALSE)</f>
        <v>C00000042</v>
      </c>
      <c r="F4200" s="99" t="s">
        <v>2012</v>
      </c>
      <c r="G4200" s="99" t="s">
        <v>1922</v>
      </c>
      <c r="H4200" s="105">
        <v>4</v>
      </c>
      <c r="I4200" s="5" t="str">
        <f>VLOOKUP(F4200,'Set up'!$A$2:$C$70,3,FALSE)</f>
        <v>Cash</v>
      </c>
      <c r="J4200" s="5">
        <f>VLOOKUP(F4200,'Set up'!$A$2:$D$70,4,FALSE)</f>
        <v>0</v>
      </c>
      <c r="K4200" s="4">
        <f t="shared" si="1021"/>
        <v>45866</v>
      </c>
      <c r="L4200" s="5">
        <f t="shared" si="1022"/>
        <v>7</v>
      </c>
      <c r="M4200" s="5">
        <f t="shared" si="1023"/>
        <v>2025</v>
      </c>
      <c r="N4200" s="135">
        <v>990</v>
      </c>
      <c r="P4200" s="12">
        <v>990</v>
      </c>
      <c r="Q4200" s="7">
        <f t="shared" si="1024"/>
        <v>6978679.6500000032</v>
      </c>
      <c r="R4200" s="44" t="str">
        <f>VLOOKUP(F4200,'Set up'!$A$2:$E$70,5,FALSE)</f>
        <v>Trsf</v>
      </c>
    </row>
    <row r="4201" spans="1:19" ht="16.2" customHeight="1" x14ac:dyDescent="0.3">
      <c r="A4201" s="105" t="s">
        <v>4037</v>
      </c>
      <c r="B4201" s="5">
        <f t="shared" si="1019"/>
        <v>7</v>
      </c>
      <c r="C4201" s="5">
        <f t="shared" si="1020"/>
        <v>2025</v>
      </c>
      <c r="D4201" s="105" t="s">
        <v>4040</v>
      </c>
      <c r="E4201" s="5" t="str">
        <f>VLOOKUP(F4201,'Set up'!$A$2:$C$70,2,FALSE)</f>
        <v>C00000042</v>
      </c>
      <c r="F4201" s="99" t="s">
        <v>2012</v>
      </c>
      <c r="G4201" s="99" t="s">
        <v>46</v>
      </c>
      <c r="H4201" s="105">
        <v>4</v>
      </c>
      <c r="I4201" s="5" t="str">
        <f>VLOOKUP(F4201,'Set up'!$A$2:$C$70,3,FALSE)</f>
        <v>Cash</v>
      </c>
      <c r="J4201" s="5">
        <f>VLOOKUP(F4201,'Set up'!$A$2:$D$70,4,FALSE)</f>
        <v>0</v>
      </c>
      <c r="K4201" s="4">
        <f t="shared" si="1021"/>
        <v>45866</v>
      </c>
      <c r="L4201" s="5">
        <f t="shared" si="1022"/>
        <v>7</v>
      </c>
      <c r="M4201" s="5">
        <f t="shared" si="1023"/>
        <v>2025</v>
      </c>
      <c r="N4201" s="135">
        <v>460</v>
      </c>
      <c r="P4201" s="12">
        <v>460</v>
      </c>
      <c r="Q4201" s="7">
        <f t="shared" si="1024"/>
        <v>6979139.6500000032</v>
      </c>
      <c r="R4201" s="44" t="str">
        <f>VLOOKUP(F4201,'Set up'!$A$2:$E$70,5,FALSE)</f>
        <v>Trsf</v>
      </c>
    </row>
    <row r="4202" spans="1:19" ht="16.2" customHeight="1" x14ac:dyDescent="0.3">
      <c r="A4202" s="105" t="s">
        <v>4037</v>
      </c>
      <c r="B4202" s="5">
        <f t="shared" si="1019"/>
        <v>7</v>
      </c>
      <c r="C4202" s="5">
        <f t="shared" si="1020"/>
        <v>2025</v>
      </c>
      <c r="D4202" s="105" t="s">
        <v>4040</v>
      </c>
      <c r="E4202" s="5" t="str">
        <f>VLOOKUP(F4202,'Set up'!$A$2:$C$70,2,FALSE)</f>
        <v>C00000042</v>
      </c>
      <c r="F4202" s="99" t="s">
        <v>2012</v>
      </c>
      <c r="G4202" s="99" t="s">
        <v>1073</v>
      </c>
      <c r="H4202" s="105">
        <v>1</v>
      </c>
      <c r="I4202" s="5" t="str">
        <f>VLOOKUP(F4202,'Set up'!$A$2:$C$70,3,FALSE)</f>
        <v>Cash</v>
      </c>
      <c r="J4202" s="5">
        <f>VLOOKUP(F4202,'Set up'!$A$2:$D$70,4,FALSE)</f>
        <v>0</v>
      </c>
      <c r="K4202" s="4">
        <f t="shared" si="1021"/>
        <v>45866</v>
      </c>
      <c r="L4202" s="5">
        <f t="shared" si="1022"/>
        <v>7</v>
      </c>
      <c r="M4202" s="5">
        <f t="shared" si="1023"/>
        <v>2025</v>
      </c>
      <c r="N4202" s="135">
        <v>1000</v>
      </c>
      <c r="P4202" s="12">
        <v>1000</v>
      </c>
      <c r="Q4202" s="7">
        <f t="shared" si="1024"/>
        <v>6980139.6500000032</v>
      </c>
      <c r="R4202" s="44" t="str">
        <f>VLOOKUP(F4202,'Set up'!$A$2:$E$70,5,FALSE)</f>
        <v>Trsf</v>
      </c>
    </row>
    <row r="4203" spans="1:19" ht="16.2" customHeight="1" x14ac:dyDescent="0.3">
      <c r="A4203" s="105" t="s">
        <v>4041</v>
      </c>
      <c r="B4203" s="5">
        <f t="shared" si="1019"/>
        <v>7</v>
      </c>
      <c r="C4203" s="5">
        <f t="shared" si="1020"/>
        <v>2025</v>
      </c>
      <c r="D4203" s="105" t="s">
        <v>4042</v>
      </c>
      <c r="E4203" s="5" t="str">
        <f>VLOOKUP(F4203,'Set up'!$A$2:$C$70,2,FALSE)</f>
        <v>C00000019</v>
      </c>
      <c r="F4203" s="99" t="s">
        <v>400</v>
      </c>
      <c r="G4203" s="99" t="s">
        <v>3122</v>
      </c>
      <c r="H4203" s="105">
        <v>1</v>
      </c>
      <c r="I4203" s="5" t="str">
        <f>VLOOKUP(F4203,'Set up'!$A$2:$C$70,3,FALSE)</f>
        <v>Cash</v>
      </c>
      <c r="J4203" s="5">
        <f>VLOOKUP(F4203,'Set up'!$A$2:$D$70,4,FALSE)</f>
        <v>0</v>
      </c>
      <c r="K4203" s="4">
        <f t="shared" si="1021"/>
        <v>45867</v>
      </c>
      <c r="L4203" s="5">
        <f t="shared" si="1022"/>
        <v>7</v>
      </c>
      <c r="M4203" s="5">
        <f t="shared" si="1023"/>
        <v>2025</v>
      </c>
      <c r="N4203" s="135">
        <v>1710</v>
      </c>
      <c r="P4203" s="12">
        <v>1710</v>
      </c>
      <c r="Q4203" s="7">
        <f t="shared" si="1024"/>
        <v>6981849.6500000032</v>
      </c>
      <c r="R4203" s="44" t="str">
        <f>VLOOKUP(F4203,'Set up'!$A$2:$E$70,5,FALSE)</f>
        <v>Trsf</v>
      </c>
    </row>
    <row r="4204" spans="1:19" ht="16.2" customHeight="1" x14ac:dyDescent="0.3">
      <c r="A4204" s="105" t="s">
        <v>4041</v>
      </c>
      <c r="B4204" s="5">
        <f t="shared" si="1019"/>
        <v>7</v>
      </c>
      <c r="C4204" s="5">
        <f t="shared" si="1020"/>
        <v>2025</v>
      </c>
      <c r="D4204" s="105" t="s">
        <v>4042</v>
      </c>
      <c r="E4204" s="5" t="str">
        <f>VLOOKUP(F4204,'Set up'!$A$2:$C$70,2,FALSE)</f>
        <v>C00000019</v>
      </c>
      <c r="F4204" s="99" t="s">
        <v>400</v>
      </c>
      <c r="G4204" s="99" t="s">
        <v>2635</v>
      </c>
      <c r="H4204" s="105">
        <v>3</v>
      </c>
      <c r="I4204" s="5" t="str">
        <f>VLOOKUP(F4204,'Set up'!$A$2:$C$70,3,FALSE)</f>
        <v>Cash</v>
      </c>
      <c r="J4204" s="5">
        <f>VLOOKUP(F4204,'Set up'!$A$2:$D$70,4,FALSE)</f>
        <v>0</v>
      </c>
      <c r="K4204" s="4">
        <f t="shared" si="1021"/>
        <v>45867</v>
      </c>
      <c r="L4204" s="5">
        <f t="shared" si="1022"/>
        <v>7</v>
      </c>
      <c r="M4204" s="5">
        <f t="shared" si="1023"/>
        <v>2025</v>
      </c>
      <c r="N4204" s="135">
        <v>187.5</v>
      </c>
      <c r="P4204" s="12">
        <v>187.5</v>
      </c>
      <c r="Q4204" s="7">
        <f t="shared" si="1024"/>
        <v>6982037.1500000032</v>
      </c>
      <c r="R4204" s="44" t="str">
        <f>VLOOKUP(F4204,'Set up'!$A$2:$E$70,5,FALSE)</f>
        <v>Trsf</v>
      </c>
    </row>
    <row r="4205" spans="1:19" ht="16.2" customHeight="1" x14ac:dyDescent="0.3">
      <c r="A4205" s="105" t="s">
        <v>4041</v>
      </c>
      <c r="B4205" s="5">
        <f t="shared" si="1019"/>
        <v>7</v>
      </c>
      <c r="C4205" s="5">
        <f t="shared" si="1020"/>
        <v>2025</v>
      </c>
      <c r="D4205" s="105" t="s">
        <v>4042</v>
      </c>
      <c r="E4205" s="5" t="str">
        <f>VLOOKUP(F4205,'Set up'!$A$2:$C$70,2,FALSE)</f>
        <v>C00000019</v>
      </c>
      <c r="F4205" s="99" t="s">
        <v>400</v>
      </c>
      <c r="G4205" s="99" t="s">
        <v>46</v>
      </c>
      <c r="H4205" s="105">
        <v>1</v>
      </c>
      <c r="I4205" s="5" t="str">
        <f>VLOOKUP(F4205,'Set up'!$A$2:$C$70,3,FALSE)</f>
        <v>Cash</v>
      </c>
      <c r="J4205" s="5">
        <f>VLOOKUP(F4205,'Set up'!$A$2:$D$70,4,FALSE)</f>
        <v>0</v>
      </c>
      <c r="K4205" s="4">
        <f t="shared" si="1021"/>
        <v>45867</v>
      </c>
      <c r="L4205" s="5">
        <f t="shared" si="1022"/>
        <v>7</v>
      </c>
      <c r="M4205" s="5">
        <f t="shared" si="1023"/>
        <v>2025</v>
      </c>
      <c r="N4205" s="135">
        <v>110</v>
      </c>
      <c r="P4205" s="12">
        <v>110</v>
      </c>
      <c r="Q4205" s="7">
        <f t="shared" si="1024"/>
        <v>6982147.1500000032</v>
      </c>
      <c r="R4205" s="44" t="str">
        <f>VLOOKUP(F4205,'Set up'!$A$2:$E$70,5,FALSE)</f>
        <v>Trsf</v>
      </c>
    </row>
    <row r="4206" spans="1:19" ht="16.2" customHeight="1" x14ac:dyDescent="0.3">
      <c r="A4206" s="105" t="s">
        <v>4041</v>
      </c>
      <c r="B4206" s="5">
        <f t="shared" si="1019"/>
        <v>7</v>
      </c>
      <c r="C4206" s="5">
        <f t="shared" si="1020"/>
        <v>2025</v>
      </c>
      <c r="D4206" s="105" t="s">
        <v>4042</v>
      </c>
      <c r="E4206" s="5" t="str">
        <f>VLOOKUP(F4206,'Set up'!$A$2:$C$70,2,FALSE)</f>
        <v>C00000019</v>
      </c>
      <c r="F4206" s="99" t="s">
        <v>400</v>
      </c>
      <c r="G4206" s="99" t="s">
        <v>1469</v>
      </c>
      <c r="H4206" s="105">
        <v>1</v>
      </c>
      <c r="I4206" s="5" t="str">
        <f>VLOOKUP(F4206,'Set up'!$A$2:$C$70,3,FALSE)</f>
        <v>Cash</v>
      </c>
      <c r="J4206" s="5">
        <f>VLOOKUP(F4206,'Set up'!$A$2:$D$70,4,FALSE)</f>
        <v>0</v>
      </c>
      <c r="K4206" s="4">
        <f t="shared" si="1021"/>
        <v>45867</v>
      </c>
      <c r="L4206" s="5">
        <f t="shared" si="1022"/>
        <v>7</v>
      </c>
      <c r="M4206" s="5">
        <f t="shared" si="1023"/>
        <v>2025</v>
      </c>
      <c r="N4206" s="135">
        <v>390</v>
      </c>
      <c r="P4206" s="12">
        <v>390</v>
      </c>
      <c r="Q4206" s="7">
        <f t="shared" si="1024"/>
        <v>6982537.1500000032</v>
      </c>
      <c r="R4206" s="44" t="str">
        <f>VLOOKUP(F4206,'Set up'!$A$2:$E$70,5,FALSE)</f>
        <v>Trsf</v>
      </c>
    </row>
    <row r="4207" spans="1:19" ht="16.2" customHeight="1" x14ac:dyDescent="0.3">
      <c r="A4207" s="105" t="s">
        <v>4041</v>
      </c>
      <c r="B4207" s="5">
        <f t="shared" si="1019"/>
        <v>7</v>
      </c>
      <c r="C4207" s="5">
        <f t="shared" si="1020"/>
        <v>2025</v>
      </c>
      <c r="D4207" s="105" t="s">
        <v>4043</v>
      </c>
      <c r="E4207" s="5" t="str">
        <f>VLOOKUP(F4207,'Set up'!$A$2:$C$70,2,FALSE)</f>
        <v>C00000061</v>
      </c>
      <c r="F4207" s="99" t="s">
        <v>3532</v>
      </c>
      <c r="G4207" s="99" t="s">
        <v>3122</v>
      </c>
      <c r="H4207" s="105">
        <v>1</v>
      </c>
      <c r="I4207" s="5" t="str">
        <f>VLOOKUP(F4207,'Set up'!$A$2:$C$70,3,FALSE)</f>
        <v>Cash</v>
      </c>
      <c r="J4207" s="5">
        <f>VLOOKUP(F4207,'Set up'!$A$2:$D$70,4,FALSE)</f>
        <v>0</v>
      </c>
      <c r="K4207" s="4">
        <f t="shared" si="1021"/>
        <v>45867</v>
      </c>
      <c r="L4207" s="5">
        <f t="shared" si="1022"/>
        <v>7</v>
      </c>
      <c r="M4207" s="5">
        <f t="shared" si="1023"/>
        <v>2025</v>
      </c>
      <c r="N4207" s="135">
        <v>1642.5</v>
      </c>
      <c r="O4207" s="6">
        <f t="shared" ref="O4207:O4208" si="1031">-N4207</f>
        <v>-1642.5</v>
      </c>
      <c r="P4207" s="12">
        <f t="shared" ref="P4207:P4208" si="1032">SUM(N4207+O4207)</f>
        <v>0</v>
      </c>
      <c r="Q4207" s="7">
        <f t="shared" si="1024"/>
        <v>6984179.6500000032</v>
      </c>
      <c r="R4207" s="44" t="str">
        <f>VLOOKUP(F4207,'Set up'!$A$2:$E$70,5,FALSE)</f>
        <v>Cash</v>
      </c>
      <c r="S4207" s="1" t="s">
        <v>4072</v>
      </c>
    </row>
    <row r="4208" spans="1:19" ht="16.2" customHeight="1" x14ac:dyDescent="0.3">
      <c r="A4208" s="105" t="s">
        <v>4041</v>
      </c>
      <c r="B4208" s="5">
        <f t="shared" si="1019"/>
        <v>7</v>
      </c>
      <c r="C4208" s="5">
        <f t="shared" si="1020"/>
        <v>2025</v>
      </c>
      <c r="D4208" s="105" t="s">
        <v>4043</v>
      </c>
      <c r="E4208" s="5" t="str">
        <f>VLOOKUP(F4208,'Set up'!$A$2:$C$70,2,FALSE)</f>
        <v>C00000061</v>
      </c>
      <c r="F4208" s="99" t="s">
        <v>3532</v>
      </c>
      <c r="G4208" s="99" t="s">
        <v>2635</v>
      </c>
      <c r="H4208" s="105">
        <v>1</v>
      </c>
      <c r="I4208" s="5" t="str">
        <f>VLOOKUP(F4208,'Set up'!$A$2:$C$70,3,FALSE)</f>
        <v>Cash</v>
      </c>
      <c r="J4208" s="5">
        <f>VLOOKUP(F4208,'Set up'!$A$2:$D$70,4,FALSE)</f>
        <v>0</v>
      </c>
      <c r="K4208" s="4">
        <f t="shared" si="1021"/>
        <v>45867</v>
      </c>
      <c r="L4208" s="5">
        <f t="shared" si="1022"/>
        <v>7</v>
      </c>
      <c r="M4208" s="5">
        <f t="shared" si="1023"/>
        <v>2025</v>
      </c>
      <c r="N4208" s="135">
        <v>57.5</v>
      </c>
      <c r="O4208" s="6">
        <f t="shared" si="1031"/>
        <v>-57.5</v>
      </c>
      <c r="P4208" s="12">
        <f t="shared" si="1032"/>
        <v>0</v>
      </c>
      <c r="Q4208" s="7">
        <f t="shared" si="1024"/>
        <v>6984237.1500000032</v>
      </c>
      <c r="R4208" s="44" t="str">
        <f>VLOOKUP(F4208,'Set up'!$A$2:$E$70,5,FALSE)</f>
        <v>Cash</v>
      </c>
      <c r="S4208" s="1" t="s">
        <v>4072</v>
      </c>
    </row>
    <row r="4209" spans="1:19" ht="16.2" customHeight="1" x14ac:dyDescent="0.3">
      <c r="A4209" s="105" t="s">
        <v>4044</v>
      </c>
      <c r="B4209" s="5">
        <f t="shared" si="1019"/>
        <v>7</v>
      </c>
      <c r="C4209" s="5">
        <f t="shared" si="1020"/>
        <v>2025</v>
      </c>
      <c r="D4209" s="105" t="s">
        <v>4045</v>
      </c>
      <c r="E4209" s="5" t="str">
        <f>VLOOKUP(F4209,'Set up'!$A$2:$C$70,2,FALSE)</f>
        <v>C00000027</v>
      </c>
      <c r="F4209" s="99" t="s">
        <v>859</v>
      </c>
      <c r="G4209" s="99" t="s">
        <v>3122</v>
      </c>
      <c r="H4209" s="105">
        <v>2</v>
      </c>
      <c r="I4209" s="5" t="str">
        <f>VLOOKUP(F4209,'Set up'!$A$2:$C$70,3,FALSE)</f>
        <v>Cash</v>
      </c>
      <c r="J4209" s="5">
        <f>VLOOKUP(F4209,'Set up'!$A$2:$D$70,4,FALSE)</f>
        <v>0</v>
      </c>
      <c r="K4209" s="4">
        <f t="shared" si="1021"/>
        <v>45868</v>
      </c>
      <c r="L4209" s="5">
        <f t="shared" si="1022"/>
        <v>7</v>
      </c>
      <c r="M4209" s="5">
        <f t="shared" si="1023"/>
        <v>2025</v>
      </c>
      <c r="N4209" s="135">
        <v>3420</v>
      </c>
      <c r="P4209" s="12">
        <v>3420</v>
      </c>
      <c r="Q4209" s="7">
        <f t="shared" si="1024"/>
        <v>6987657.1500000032</v>
      </c>
      <c r="R4209" s="44" t="str">
        <f>VLOOKUP(F4209,'Set up'!$A$2:$E$70,5,FALSE)</f>
        <v>Trsf</v>
      </c>
    </row>
    <row r="4210" spans="1:19" ht="16.2" customHeight="1" x14ac:dyDescent="0.3">
      <c r="A4210" s="105" t="s">
        <v>4044</v>
      </c>
      <c r="B4210" s="5">
        <f t="shared" si="1019"/>
        <v>7</v>
      </c>
      <c r="C4210" s="5">
        <f t="shared" si="1020"/>
        <v>2025</v>
      </c>
      <c r="D4210" s="105" t="s">
        <v>4045</v>
      </c>
      <c r="E4210" s="5" t="str">
        <f>VLOOKUP(F4210,'Set up'!$A$2:$C$70,2,FALSE)</f>
        <v>C00000027</v>
      </c>
      <c r="F4210" s="99" t="s">
        <v>859</v>
      </c>
      <c r="G4210" s="99" t="s">
        <v>4046</v>
      </c>
      <c r="H4210" s="105">
        <v>4</v>
      </c>
      <c r="I4210" s="5" t="str">
        <f>VLOOKUP(F4210,'Set up'!$A$2:$C$70,3,FALSE)</f>
        <v>Cash</v>
      </c>
      <c r="J4210" s="5">
        <f>VLOOKUP(F4210,'Set up'!$A$2:$D$70,4,FALSE)</f>
        <v>0</v>
      </c>
      <c r="K4210" s="4">
        <f t="shared" si="1021"/>
        <v>45868</v>
      </c>
      <c r="L4210" s="5">
        <f t="shared" si="1022"/>
        <v>7</v>
      </c>
      <c r="M4210" s="5">
        <f t="shared" si="1023"/>
        <v>2025</v>
      </c>
      <c r="N4210" s="135">
        <v>876</v>
      </c>
      <c r="P4210" s="12">
        <v>876</v>
      </c>
      <c r="Q4210" s="7">
        <f t="shared" si="1024"/>
        <v>6988533.1500000032</v>
      </c>
      <c r="R4210" s="44" t="str">
        <f>VLOOKUP(F4210,'Set up'!$A$2:$E$70,5,FALSE)</f>
        <v>Trsf</v>
      </c>
    </row>
    <row r="4211" spans="1:19" ht="16.2" customHeight="1" x14ac:dyDescent="0.3">
      <c r="A4211" s="105" t="s">
        <v>4044</v>
      </c>
      <c r="B4211" s="5">
        <f t="shared" si="1019"/>
        <v>7</v>
      </c>
      <c r="C4211" s="5">
        <f t="shared" si="1020"/>
        <v>2025</v>
      </c>
      <c r="D4211" s="105" t="s">
        <v>4045</v>
      </c>
      <c r="E4211" s="5" t="str">
        <f>VLOOKUP(F4211,'Set up'!$A$2:$C$70,2,FALSE)</f>
        <v>C00000027</v>
      </c>
      <c r="F4211" s="99" t="s">
        <v>859</v>
      </c>
      <c r="G4211" s="99" t="s">
        <v>4047</v>
      </c>
      <c r="H4211" s="105">
        <v>1</v>
      </c>
      <c r="I4211" s="5" t="str">
        <f>VLOOKUP(F4211,'Set up'!$A$2:$C$70,3,FALSE)</f>
        <v>Cash</v>
      </c>
      <c r="J4211" s="5">
        <f>VLOOKUP(F4211,'Set up'!$A$2:$D$70,4,FALSE)</f>
        <v>0</v>
      </c>
      <c r="K4211" s="4">
        <f t="shared" si="1021"/>
        <v>45868</v>
      </c>
      <c r="L4211" s="5">
        <f t="shared" si="1022"/>
        <v>7</v>
      </c>
      <c r="M4211" s="5">
        <f t="shared" si="1023"/>
        <v>2025</v>
      </c>
      <c r="N4211" s="135">
        <v>394.2</v>
      </c>
      <c r="P4211" s="12">
        <v>394.2</v>
      </c>
      <c r="Q4211" s="7">
        <f t="shared" si="1024"/>
        <v>6988927.3500000034</v>
      </c>
      <c r="R4211" s="44" t="str">
        <f>VLOOKUP(F4211,'Set up'!$A$2:$E$70,5,FALSE)</f>
        <v>Trsf</v>
      </c>
    </row>
    <row r="4212" spans="1:19" ht="16.2" customHeight="1" x14ac:dyDescent="0.3">
      <c r="A4212" s="105" t="s">
        <v>4044</v>
      </c>
      <c r="B4212" s="5">
        <f t="shared" si="1019"/>
        <v>7</v>
      </c>
      <c r="C4212" s="5">
        <f t="shared" si="1020"/>
        <v>2025</v>
      </c>
      <c r="D4212" s="105" t="s">
        <v>4045</v>
      </c>
      <c r="E4212" s="5" t="str">
        <f>VLOOKUP(F4212,'Set up'!$A$2:$C$70,2,FALSE)</f>
        <v>C00000027</v>
      </c>
      <c r="F4212" s="99" t="s">
        <v>859</v>
      </c>
      <c r="G4212" s="99" t="s">
        <v>655</v>
      </c>
      <c r="H4212" s="105">
        <v>1</v>
      </c>
      <c r="I4212" s="5" t="str">
        <f>VLOOKUP(F4212,'Set up'!$A$2:$C$70,3,FALSE)</f>
        <v>Cash</v>
      </c>
      <c r="J4212" s="5">
        <f>VLOOKUP(F4212,'Set up'!$A$2:$D$70,4,FALSE)</f>
        <v>0</v>
      </c>
      <c r="K4212" s="4">
        <f t="shared" si="1021"/>
        <v>45868</v>
      </c>
      <c r="L4212" s="5">
        <f t="shared" si="1022"/>
        <v>7</v>
      </c>
      <c r="M4212" s="5">
        <f t="shared" si="1023"/>
        <v>2025</v>
      </c>
      <c r="N4212" s="135">
        <v>280</v>
      </c>
      <c r="P4212" s="12">
        <v>280</v>
      </c>
      <c r="Q4212" s="7">
        <f t="shared" si="1024"/>
        <v>6989207.3500000034</v>
      </c>
      <c r="R4212" s="44" t="str">
        <f>VLOOKUP(F4212,'Set up'!$A$2:$E$70,5,FALSE)</f>
        <v>Trsf</v>
      </c>
    </row>
    <row r="4213" spans="1:19" ht="16.2" customHeight="1" x14ac:dyDescent="0.3">
      <c r="A4213" s="105" t="s">
        <v>4044</v>
      </c>
      <c r="B4213" s="5">
        <f t="shared" si="1019"/>
        <v>7</v>
      </c>
      <c r="C4213" s="5">
        <f t="shared" si="1020"/>
        <v>2025</v>
      </c>
      <c r="D4213" s="105" t="s">
        <v>4045</v>
      </c>
      <c r="E4213" s="5" t="str">
        <f>VLOOKUP(F4213,'Set up'!$A$2:$C$70,2,FALSE)</f>
        <v>C00000027</v>
      </c>
      <c r="F4213" s="99" t="s">
        <v>859</v>
      </c>
      <c r="G4213" s="99" t="s">
        <v>2144</v>
      </c>
      <c r="H4213" s="105">
        <v>2</v>
      </c>
      <c r="I4213" s="5" t="str">
        <f>VLOOKUP(F4213,'Set up'!$A$2:$C$70,3,FALSE)</f>
        <v>Cash</v>
      </c>
      <c r="J4213" s="5">
        <f>VLOOKUP(F4213,'Set up'!$A$2:$D$70,4,FALSE)</f>
        <v>0</v>
      </c>
      <c r="K4213" s="4">
        <f t="shared" si="1021"/>
        <v>45868</v>
      </c>
      <c r="L4213" s="5">
        <f t="shared" si="1022"/>
        <v>7</v>
      </c>
      <c r="M4213" s="5">
        <f t="shared" si="1023"/>
        <v>2025</v>
      </c>
      <c r="N4213" s="135">
        <v>563.20000000000005</v>
      </c>
      <c r="P4213" s="12">
        <v>563.20000000000005</v>
      </c>
      <c r="Q4213" s="7">
        <f t="shared" si="1024"/>
        <v>6989770.5500000035</v>
      </c>
      <c r="R4213" s="44" t="str">
        <f>VLOOKUP(F4213,'Set up'!$A$2:$E$70,5,FALSE)</f>
        <v>Trsf</v>
      </c>
    </row>
    <row r="4214" spans="1:19" ht="16.2" customHeight="1" x14ac:dyDescent="0.3">
      <c r="A4214" s="105" t="s">
        <v>4044</v>
      </c>
      <c r="B4214" s="5">
        <f t="shared" si="1019"/>
        <v>7</v>
      </c>
      <c r="C4214" s="5">
        <f t="shared" si="1020"/>
        <v>2025</v>
      </c>
      <c r="D4214" s="105" t="s">
        <v>4045</v>
      </c>
      <c r="E4214" s="5" t="str">
        <f>VLOOKUP(F4214,'Set up'!$A$2:$C$70,2,FALSE)</f>
        <v>C00000027</v>
      </c>
      <c r="F4214" s="99" t="s">
        <v>859</v>
      </c>
      <c r="G4214" s="99" t="s">
        <v>1744</v>
      </c>
      <c r="H4214" s="105">
        <v>1</v>
      </c>
      <c r="I4214" s="5" t="str">
        <f>VLOOKUP(F4214,'Set up'!$A$2:$C$70,3,FALSE)</f>
        <v>Cash</v>
      </c>
      <c r="J4214" s="5">
        <f>VLOOKUP(F4214,'Set up'!$A$2:$D$70,4,FALSE)</f>
        <v>0</v>
      </c>
      <c r="K4214" s="4">
        <f t="shared" si="1021"/>
        <v>45868</v>
      </c>
      <c r="L4214" s="5">
        <f t="shared" si="1022"/>
        <v>7</v>
      </c>
      <c r="M4214" s="5">
        <f t="shared" si="1023"/>
        <v>2025</v>
      </c>
      <c r="N4214" s="135">
        <v>1108.4000000000001</v>
      </c>
      <c r="P4214" s="12">
        <v>1108.4000000000001</v>
      </c>
      <c r="Q4214" s="7">
        <f t="shared" si="1024"/>
        <v>6990878.9500000039</v>
      </c>
      <c r="R4214" s="44" t="str">
        <f>VLOOKUP(F4214,'Set up'!$A$2:$E$70,5,FALSE)</f>
        <v>Trsf</v>
      </c>
    </row>
    <row r="4215" spans="1:19" ht="16.2" customHeight="1" x14ac:dyDescent="0.3">
      <c r="A4215" s="105" t="s">
        <v>4044</v>
      </c>
      <c r="B4215" s="5">
        <f t="shared" si="1019"/>
        <v>7</v>
      </c>
      <c r="C4215" s="5">
        <f t="shared" si="1020"/>
        <v>2025</v>
      </c>
      <c r="D4215" s="105" t="s">
        <v>4045</v>
      </c>
      <c r="E4215" s="5" t="str">
        <f>VLOOKUP(F4215,'Set up'!$A$2:$C$70,2,FALSE)</f>
        <v>C00000027</v>
      </c>
      <c r="F4215" s="99" t="s">
        <v>859</v>
      </c>
      <c r="G4215" s="99" t="s">
        <v>949</v>
      </c>
      <c r="H4215" s="105">
        <v>6</v>
      </c>
      <c r="I4215" s="5" t="str">
        <f>VLOOKUP(F4215,'Set up'!$A$2:$C$70,3,FALSE)</f>
        <v>Cash</v>
      </c>
      <c r="J4215" s="5">
        <f>VLOOKUP(F4215,'Set up'!$A$2:$D$70,4,FALSE)</f>
        <v>0</v>
      </c>
      <c r="K4215" s="4">
        <f t="shared" si="1021"/>
        <v>45868</v>
      </c>
      <c r="L4215" s="5">
        <f t="shared" si="1022"/>
        <v>7</v>
      </c>
      <c r="M4215" s="5">
        <f t="shared" si="1023"/>
        <v>2025</v>
      </c>
      <c r="N4215" s="135">
        <v>360</v>
      </c>
      <c r="P4215" s="12">
        <v>360</v>
      </c>
      <c r="Q4215" s="7">
        <f t="shared" si="1024"/>
        <v>6991238.9500000039</v>
      </c>
      <c r="R4215" s="44" t="str">
        <f>VLOOKUP(F4215,'Set up'!$A$2:$E$70,5,FALSE)</f>
        <v>Trsf</v>
      </c>
    </row>
    <row r="4216" spans="1:19" ht="16.2" customHeight="1" x14ac:dyDescent="0.3">
      <c r="A4216" s="105" t="s">
        <v>4044</v>
      </c>
      <c r="B4216" s="5">
        <f t="shared" si="1019"/>
        <v>7</v>
      </c>
      <c r="C4216" s="5">
        <f t="shared" si="1020"/>
        <v>2025</v>
      </c>
      <c r="D4216" s="105" t="s">
        <v>4045</v>
      </c>
      <c r="E4216" s="5" t="str">
        <f>VLOOKUP(F4216,'Set up'!$A$2:$C$70,2,FALSE)</f>
        <v>C00000027</v>
      </c>
      <c r="F4216" s="99" t="s">
        <v>859</v>
      </c>
      <c r="G4216" s="99" t="s">
        <v>1399</v>
      </c>
      <c r="H4216" s="105">
        <v>2</v>
      </c>
      <c r="I4216" s="5" t="str">
        <f>VLOOKUP(F4216,'Set up'!$A$2:$C$70,3,FALSE)</f>
        <v>Cash</v>
      </c>
      <c r="J4216" s="5">
        <f>VLOOKUP(F4216,'Set up'!$A$2:$D$70,4,FALSE)</f>
        <v>0</v>
      </c>
      <c r="K4216" s="4">
        <f t="shared" si="1021"/>
        <v>45868</v>
      </c>
      <c r="L4216" s="5">
        <f t="shared" si="1022"/>
        <v>7</v>
      </c>
      <c r="M4216" s="5">
        <f t="shared" si="1023"/>
        <v>2025</v>
      </c>
      <c r="N4216" s="135">
        <v>320</v>
      </c>
      <c r="P4216" s="12">
        <v>320</v>
      </c>
      <c r="Q4216" s="7">
        <f t="shared" si="1024"/>
        <v>6991558.9500000039</v>
      </c>
      <c r="R4216" s="44" t="str">
        <f>VLOOKUP(F4216,'Set up'!$A$2:$E$70,5,FALSE)</f>
        <v>Trsf</v>
      </c>
    </row>
    <row r="4217" spans="1:19" ht="16.2" customHeight="1" x14ac:dyDescent="0.3">
      <c r="A4217" s="105" t="s">
        <v>4048</v>
      </c>
      <c r="B4217" s="5">
        <f t="shared" si="1019"/>
        <v>7</v>
      </c>
      <c r="C4217" s="5">
        <f t="shared" si="1020"/>
        <v>2025</v>
      </c>
      <c r="D4217" s="105" t="s">
        <v>4049</v>
      </c>
      <c r="E4217" s="5" t="str">
        <f>VLOOKUP(F4217,'Set up'!$A$2:$C$70,2,FALSE)</f>
        <v>C00000013</v>
      </c>
      <c r="F4217" s="99" t="s">
        <v>3549</v>
      </c>
      <c r="G4217" s="99" t="s">
        <v>3122</v>
      </c>
      <c r="H4217" s="105">
        <v>1</v>
      </c>
      <c r="I4217" s="5" t="str">
        <f>VLOOKUP(F4217,'Set up'!$A$2:$C$70,3,FALSE)</f>
        <v>Cash</v>
      </c>
      <c r="J4217" s="5">
        <f>VLOOKUP(F4217,'Set up'!$A$2:$D$70,4,FALSE)</f>
        <v>0</v>
      </c>
      <c r="K4217" s="4">
        <f t="shared" si="1021"/>
        <v>45869</v>
      </c>
      <c r="L4217" s="5">
        <f t="shared" si="1022"/>
        <v>7</v>
      </c>
      <c r="M4217" s="5">
        <f t="shared" si="1023"/>
        <v>2025</v>
      </c>
      <c r="N4217" s="135">
        <v>1710</v>
      </c>
      <c r="O4217" s="6">
        <f t="shared" ref="O4217:O4226" si="1033">-N4217</f>
        <v>-1710</v>
      </c>
      <c r="P4217" s="12">
        <f t="shared" ref="P4217:P4226" si="1034">SUM(N4217+O4217)</f>
        <v>0</v>
      </c>
      <c r="Q4217" s="7">
        <f t="shared" si="1024"/>
        <v>6993268.9500000039</v>
      </c>
      <c r="R4217" s="44" t="str">
        <f>VLOOKUP(F4217,'Set up'!$A$2:$E$70,5,FALSE)</f>
        <v>Chq</v>
      </c>
      <c r="S4217" s="1" t="s">
        <v>4075</v>
      </c>
    </row>
    <row r="4218" spans="1:19" ht="16.2" customHeight="1" x14ac:dyDescent="0.3">
      <c r="A4218" s="105" t="s">
        <v>4048</v>
      </c>
      <c r="B4218" s="5">
        <f t="shared" si="1019"/>
        <v>7</v>
      </c>
      <c r="C4218" s="5">
        <f t="shared" si="1020"/>
        <v>2025</v>
      </c>
      <c r="D4218" s="105" t="s">
        <v>4049</v>
      </c>
      <c r="E4218" s="5" t="str">
        <f>VLOOKUP(F4218,'Set up'!$A$2:$C$70,2,FALSE)</f>
        <v>C00000013</v>
      </c>
      <c r="F4218" s="99" t="s">
        <v>3549</v>
      </c>
      <c r="G4218" s="99" t="s">
        <v>4050</v>
      </c>
      <c r="H4218" s="105">
        <v>1</v>
      </c>
      <c r="I4218" s="5" t="str">
        <f>VLOOKUP(F4218,'Set up'!$A$2:$C$70,3,FALSE)</f>
        <v>Cash</v>
      </c>
      <c r="J4218" s="5">
        <f>VLOOKUP(F4218,'Set up'!$A$2:$D$70,4,FALSE)</f>
        <v>0</v>
      </c>
      <c r="K4218" s="4">
        <f t="shared" si="1021"/>
        <v>45869</v>
      </c>
      <c r="L4218" s="5">
        <f t="shared" si="1022"/>
        <v>7</v>
      </c>
      <c r="M4218" s="5">
        <f t="shared" si="1023"/>
        <v>2025</v>
      </c>
      <c r="N4218" s="135">
        <v>438</v>
      </c>
      <c r="O4218" s="6">
        <f t="shared" si="1033"/>
        <v>-438</v>
      </c>
      <c r="P4218" s="12">
        <f t="shared" si="1034"/>
        <v>0</v>
      </c>
      <c r="Q4218" s="7">
        <f t="shared" si="1024"/>
        <v>6993706.9500000039</v>
      </c>
      <c r="R4218" s="44" t="str">
        <f>VLOOKUP(F4218,'Set up'!$A$2:$E$70,5,FALSE)</f>
        <v>Chq</v>
      </c>
      <c r="S4218" s="1" t="s">
        <v>4075</v>
      </c>
    </row>
    <row r="4219" spans="1:19" ht="16.2" customHeight="1" x14ac:dyDescent="0.3">
      <c r="A4219" s="105" t="s">
        <v>4048</v>
      </c>
      <c r="B4219" s="5">
        <f t="shared" si="1019"/>
        <v>7</v>
      </c>
      <c r="C4219" s="5">
        <f t="shared" si="1020"/>
        <v>2025</v>
      </c>
      <c r="D4219" s="105" t="s">
        <v>4049</v>
      </c>
      <c r="E4219" s="5" t="str">
        <f>VLOOKUP(F4219,'Set up'!$A$2:$C$70,2,FALSE)</f>
        <v>C00000013</v>
      </c>
      <c r="F4219" s="99" t="s">
        <v>3549</v>
      </c>
      <c r="G4219" s="99" t="s">
        <v>2144</v>
      </c>
      <c r="H4219" s="105">
        <v>2</v>
      </c>
      <c r="I4219" s="5" t="str">
        <f>VLOOKUP(F4219,'Set up'!$A$2:$C$70,3,FALSE)</f>
        <v>Cash</v>
      </c>
      <c r="J4219" s="5">
        <f>VLOOKUP(F4219,'Set up'!$A$2:$D$70,4,FALSE)</f>
        <v>0</v>
      </c>
      <c r="K4219" s="4">
        <f t="shared" si="1021"/>
        <v>45869</v>
      </c>
      <c r="L4219" s="5">
        <f t="shared" si="1022"/>
        <v>7</v>
      </c>
      <c r="M4219" s="5">
        <f t="shared" si="1023"/>
        <v>2025</v>
      </c>
      <c r="N4219" s="135">
        <v>567.6</v>
      </c>
      <c r="O4219" s="6">
        <f t="shared" si="1033"/>
        <v>-567.6</v>
      </c>
      <c r="P4219" s="12">
        <f t="shared" si="1034"/>
        <v>0</v>
      </c>
      <c r="Q4219" s="7">
        <f t="shared" si="1024"/>
        <v>6994274.5500000035</v>
      </c>
      <c r="R4219" s="44" t="str">
        <f>VLOOKUP(F4219,'Set up'!$A$2:$E$70,5,FALSE)</f>
        <v>Chq</v>
      </c>
      <c r="S4219" s="1" t="s">
        <v>4075</v>
      </c>
    </row>
    <row r="4220" spans="1:19" ht="16.2" customHeight="1" x14ac:dyDescent="0.3">
      <c r="A4220" s="105" t="s">
        <v>4048</v>
      </c>
      <c r="B4220" s="5">
        <f t="shared" si="1019"/>
        <v>7</v>
      </c>
      <c r="C4220" s="5">
        <f t="shared" si="1020"/>
        <v>2025</v>
      </c>
      <c r="D4220" s="105" t="s">
        <v>4049</v>
      </c>
      <c r="E4220" s="5" t="str">
        <f>VLOOKUP(F4220,'Set up'!$A$2:$C$70,2,FALSE)</f>
        <v>C00000013</v>
      </c>
      <c r="F4220" s="99" t="s">
        <v>3549</v>
      </c>
      <c r="G4220" s="99" t="s">
        <v>4051</v>
      </c>
      <c r="H4220" s="105">
        <v>1</v>
      </c>
      <c r="I4220" s="5" t="str">
        <f>VLOOKUP(F4220,'Set up'!$A$2:$C$70,3,FALSE)</f>
        <v>Cash</v>
      </c>
      <c r="J4220" s="5">
        <f>VLOOKUP(F4220,'Set up'!$A$2:$D$70,4,FALSE)</f>
        <v>0</v>
      </c>
      <c r="K4220" s="4">
        <f t="shared" si="1021"/>
        <v>45869</v>
      </c>
      <c r="L4220" s="5">
        <f t="shared" si="1022"/>
        <v>7</v>
      </c>
      <c r="M4220" s="5">
        <f t="shared" si="1023"/>
        <v>2025</v>
      </c>
      <c r="N4220" s="135">
        <v>115</v>
      </c>
      <c r="O4220" s="6">
        <f t="shared" si="1033"/>
        <v>-115</v>
      </c>
      <c r="P4220" s="12">
        <f t="shared" si="1034"/>
        <v>0</v>
      </c>
      <c r="Q4220" s="7">
        <f t="shared" si="1024"/>
        <v>6994389.5500000035</v>
      </c>
      <c r="R4220" s="44" t="str">
        <f>VLOOKUP(F4220,'Set up'!$A$2:$E$70,5,FALSE)</f>
        <v>Chq</v>
      </c>
      <c r="S4220" s="1" t="s">
        <v>4075</v>
      </c>
    </row>
    <row r="4221" spans="1:19" ht="16.2" customHeight="1" x14ac:dyDescent="0.3">
      <c r="A4221" s="105" t="s">
        <v>4048</v>
      </c>
      <c r="B4221" s="5">
        <f t="shared" si="1019"/>
        <v>7</v>
      </c>
      <c r="C4221" s="5">
        <f t="shared" si="1020"/>
        <v>2025</v>
      </c>
      <c r="D4221" s="105" t="s">
        <v>4049</v>
      </c>
      <c r="E4221" s="5" t="str">
        <f>VLOOKUP(F4221,'Set up'!$A$2:$C$70,2,FALSE)</f>
        <v>C00000013</v>
      </c>
      <c r="F4221" s="99" t="s">
        <v>3549</v>
      </c>
      <c r="G4221" s="99" t="s">
        <v>4052</v>
      </c>
      <c r="H4221" s="105">
        <v>5</v>
      </c>
      <c r="I4221" s="5" t="str">
        <f>VLOOKUP(F4221,'Set up'!$A$2:$C$70,3,FALSE)</f>
        <v>Cash</v>
      </c>
      <c r="J4221" s="5">
        <f>VLOOKUP(F4221,'Set up'!$A$2:$D$70,4,FALSE)</f>
        <v>0</v>
      </c>
      <c r="K4221" s="4">
        <f t="shared" si="1021"/>
        <v>45869</v>
      </c>
      <c r="L4221" s="5">
        <f t="shared" si="1022"/>
        <v>7</v>
      </c>
      <c r="M4221" s="5">
        <f t="shared" si="1023"/>
        <v>2025</v>
      </c>
      <c r="N4221" s="135">
        <v>27.5</v>
      </c>
      <c r="O4221" s="6">
        <f t="shared" si="1033"/>
        <v>-27.5</v>
      </c>
      <c r="P4221" s="12">
        <f t="shared" si="1034"/>
        <v>0</v>
      </c>
      <c r="Q4221" s="7">
        <f t="shared" si="1024"/>
        <v>6994417.0500000035</v>
      </c>
      <c r="R4221" s="44" t="str">
        <f>VLOOKUP(F4221,'Set up'!$A$2:$E$70,5,FALSE)</f>
        <v>Chq</v>
      </c>
      <c r="S4221" s="1" t="s">
        <v>4075</v>
      </c>
    </row>
    <row r="4222" spans="1:19" ht="16.2" customHeight="1" x14ac:dyDescent="0.3">
      <c r="A4222" s="105" t="s">
        <v>4048</v>
      </c>
      <c r="B4222" s="5">
        <f t="shared" si="1019"/>
        <v>7</v>
      </c>
      <c r="C4222" s="5">
        <f t="shared" si="1020"/>
        <v>2025</v>
      </c>
      <c r="D4222" s="105" t="s">
        <v>4049</v>
      </c>
      <c r="E4222" s="5" t="str">
        <f>VLOOKUP(F4222,'Set up'!$A$2:$C$70,2,FALSE)</f>
        <v>C00000013</v>
      </c>
      <c r="F4222" s="99" t="s">
        <v>3549</v>
      </c>
      <c r="G4222" s="99" t="s">
        <v>4053</v>
      </c>
      <c r="H4222" s="105">
        <v>5</v>
      </c>
      <c r="I4222" s="5" t="str">
        <f>VLOOKUP(F4222,'Set up'!$A$2:$C$70,3,FALSE)</f>
        <v>Cash</v>
      </c>
      <c r="J4222" s="5">
        <f>VLOOKUP(F4222,'Set up'!$A$2:$D$70,4,FALSE)</f>
        <v>0</v>
      </c>
      <c r="K4222" s="4">
        <f t="shared" si="1021"/>
        <v>45869</v>
      </c>
      <c r="L4222" s="5">
        <f t="shared" si="1022"/>
        <v>7</v>
      </c>
      <c r="M4222" s="5">
        <f t="shared" si="1023"/>
        <v>2025</v>
      </c>
      <c r="N4222" s="135">
        <v>25</v>
      </c>
      <c r="O4222" s="6">
        <f t="shared" si="1033"/>
        <v>-25</v>
      </c>
      <c r="P4222" s="12">
        <f t="shared" si="1034"/>
        <v>0</v>
      </c>
      <c r="Q4222" s="7">
        <f t="shared" si="1024"/>
        <v>6994442.0500000035</v>
      </c>
      <c r="R4222" s="44" t="str">
        <f>VLOOKUP(F4222,'Set up'!$A$2:$E$70,5,FALSE)</f>
        <v>Chq</v>
      </c>
      <c r="S4222" s="1" t="s">
        <v>4075</v>
      </c>
    </row>
    <row r="4223" spans="1:19" ht="16.2" customHeight="1" x14ac:dyDescent="0.3">
      <c r="A4223" s="105" t="s">
        <v>4048</v>
      </c>
      <c r="B4223" s="5">
        <f t="shared" si="1019"/>
        <v>7</v>
      </c>
      <c r="C4223" s="5">
        <f t="shared" si="1020"/>
        <v>2025</v>
      </c>
      <c r="D4223" s="105" t="s">
        <v>4049</v>
      </c>
      <c r="E4223" s="5" t="str">
        <f>VLOOKUP(F4223,'Set up'!$A$2:$C$70,2,FALSE)</f>
        <v>C00000013</v>
      </c>
      <c r="F4223" s="99" t="s">
        <v>3549</v>
      </c>
      <c r="G4223" s="99" t="s">
        <v>4054</v>
      </c>
      <c r="H4223" s="105">
        <v>1</v>
      </c>
      <c r="I4223" s="5" t="str">
        <f>VLOOKUP(F4223,'Set up'!$A$2:$C$70,3,FALSE)</f>
        <v>Cash</v>
      </c>
      <c r="J4223" s="5">
        <f>VLOOKUP(F4223,'Set up'!$A$2:$D$70,4,FALSE)</f>
        <v>0</v>
      </c>
      <c r="K4223" s="4">
        <f t="shared" si="1021"/>
        <v>45869</v>
      </c>
      <c r="L4223" s="5">
        <f t="shared" si="1022"/>
        <v>7</v>
      </c>
      <c r="M4223" s="5">
        <f t="shared" si="1023"/>
        <v>2025</v>
      </c>
      <c r="N4223" s="135">
        <v>36</v>
      </c>
      <c r="O4223" s="6">
        <f t="shared" si="1033"/>
        <v>-36</v>
      </c>
      <c r="P4223" s="12">
        <f t="shared" si="1034"/>
        <v>0</v>
      </c>
      <c r="Q4223" s="7">
        <f t="shared" si="1024"/>
        <v>6994478.0500000035</v>
      </c>
      <c r="R4223" s="44" t="str">
        <f>VLOOKUP(F4223,'Set up'!$A$2:$E$70,5,FALSE)</f>
        <v>Chq</v>
      </c>
      <c r="S4223" s="1" t="s">
        <v>4075</v>
      </c>
    </row>
    <row r="4224" spans="1:19" ht="16.2" customHeight="1" x14ac:dyDescent="0.3">
      <c r="A4224" s="105" t="s">
        <v>4048</v>
      </c>
      <c r="B4224" s="5">
        <f t="shared" si="1019"/>
        <v>7</v>
      </c>
      <c r="C4224" s="5">
        <f t="shared" si="1020"/>
        <v>2025</v>
      </c>
      <c r="D4224" s="105" t="s">
        <v>4049</v>
      </c>
      <c r="E4224" s="5" t="str">
        <f>VLOOKUP(F4224,'Set up'!$A$2:$C$70,2,FALSE)</f>
        <v>C00000013</v>
      </c>
      <c r="F4224" s="99" t="s">
        <v>3549</v>
      </c>
      <c r="G4224" s="99" t="s">
        <v>1425</v>
      </c>
      <c r="H4224" s="105">
        <v>3</v>
      </c>
      <c r="I4224" s="5" t="str">
        <f>VLOOKUP(F4224,'Set up'!$A$2:$C$70,3,FALSE)</f>
        <v>Cash</v>
      </c>
      <c r="J4224" s="5">
        <f>VLOOKUP(F4224,'Set up'!$A$2:$D$70,4,FALSE)</f>
        <v>0</v>
      </c>
      <c r="K4224" s="4">
        <f t="shared" si="1021"/>
        <v>45869</v>
      </c>
      <c r="L4224" s="5">
        <f t="shared" si="1022"/>
        <v>7</v>
      </c>
      <c r="M4224" s="5">
        <f t="shared" si="1023"/>
        <v>2025</v>
      </c>
      <c r="N4224" s="135">
        <v>174</v>
      </c>
      <c r="O4224" s="6">
        <f t="shared" si="1033"/>
        <v>-174</v>
      </c>
      <c r="P4224" s="12">
        <f t="shared" si="1034"/>
        <v>0</v>
      </c>
      <c r="Q4224" s="7">
        <f t="shared" si="1024"/>
        <v>6994652.0500000035</v>
      </c>
      <c r="R4224" s="44" t="str">
        <f>VLOOKUP(F4224,'Set up'!$A$2:$E$70,5,FALSE)</f>
        <v>Chq</v>
      </c>
      <c r="S4224" s="1" t="s">
        <v>4075</v>
      </c>
    </row>
    <row r="4225" spans="1:19" ht="16.2" customHeight="1" x14ac:dyDescent="0.3">
      <c r="A4225" s="105" t="s">
        <v>4048</v>
      </c>
      <c r="B4225" s="5">
        <f t="shared" si="1019"/>
        <v>7</v>
      </c>
      <c r="C4225" s="5">
        <f t="shared" si="1020"/>
        <v>2025</v>
      </c>
      <c r="D4225" s="105" t="s">
        <v>4049</v>
      </c>
      <c r="E4225" s="5" t="str">
        <f>VLOOKUP(F4225,'Set up'!$A$2:$C$70,2,FALSE)</f>
        <v>C00000013</v>
      </c>
      <c r="F4225" s="99" t="s">
        <v>3549</v>
      </c>
      <c r="G4225" s="99" t="s">
        <v>4055</v>
      </c>
      <c r="H4225" s="105">
        <v>2</v>
      </c>
      <c r="I4225" s="5" t="str">
        <f>VLOOKUP(F4225,'Set up'!$A$2:$C$70,3,FALSE)</f>
        <v>Cash</v>
      </c>
      <c r="J4225" s="5">
        <f>VLOOKUP(F4225,'Set up'!$A$2:$D$70,4,FALSE)</f>
        <v>0</v>
      </c>
      <c r="K4225" s="4">
        <f t="shared" si="1021"/>
        <v>45869</v>
      </c>
      <c r="L4225" s="5">
        <f t="shared" si="1022"/>
        <v>7</v>
      </c>
      <c r="M4225" s="5">
        <f t="shared" si="1023"/>
        <v>2025</v>
      </c>
      <c r="N4225" s="135">
        <v>26</v>
      </c>
      <c r="O4225" s="6">
        <f t="shared" si="1033"/>
        <v>-26</v>
      </c>
      <c r="P4225" s="12">
        <f t="shared" si="1034"/>
        <v>0</v>
      </c>
      <c r="Q4225" s="7">
        <f t="shared" si="1024"/>
        <v>6994678.0500000035</v>
      </c>
      <c r="R4225" s="44" t="str">
        <f>VLOOKUP(F4225,'Set up'!$A$2:$E$70,5,FALSE)</f>
        <v>Chq</v>
      </c>
      <c r="S4225" s="1" t="s">
        <v>4075</v>
      </c>
    </row>
    <row r="4226" spans="1:19" ht="16.2" customHeight="1" x14ac:dyDescent="0.3">
      <c r="A4226" s="105" t="s">
        <v>4048</v>
      </c>
      <c r="B4226" s="5">
        <f t="shared" si="1019"/>
        <v>7</v>
      </c>
      <c r="C4226" s="5">
        <f t="shared" si="1020"/>
        <v>2025</v>
      </c>
      <c r="D4226" s="105" t="s">
        <v>4049</v>
      </c>
      <c r="E4226" s="5" t="str">
        <f>VLOOKUP(F4226,'Set up'!$A$2:$C$70,2,FALSE)</f>
        <v>C00000013</v>
      </c>
      <c r="F4226" s="99" t="s">
        <v>3549</v>
      </c>
      <c r="G4226" s="99" t="s">
        <v>4056</v>
      </c>
      <c r="H4226" s="105">
        <v>4</v>
      </c>
      <c r="I4226" s="5" t="str">
        <f>VLOOKUP(F4226,'Set up'!$A$2:$C$70,3,FALSE)</f>
        <v>Cash</v>
      </c>
      <c r="J4226" s="5">
        <f>VLOOKUP(F4226,'Set up'!$A$2:$D$70,4,FALSE)</f>
        <v>0</v>
      </c>
      <c r="K4226" s="4">
        <f t="shared" si="1021"/>
        <v>45869</v>
      </c>
      <c r="L4226" s="5">
        <f t="shared" si="1022"/>
        <v>7</v>
      </c>
      <c r="M4226" s="5">
        <f t="shared" si="1023"/>
        <v>2025</v>
      </c>
      <c r="N4226" s="135">
        <v>10</v>
      </c>
      <c r="O4226" s="6">
        <f t="shared" si="1033"/>
        <v>-10</v>
      </c>
      <c r="P4226" s="12">
        <f t="shared" si="1034"/>
        <v>0</v>
      </c>
      <c r="Q4226" s="7">
        <f t="shared" si="1024"/>
        <v>6994688.0500000035</v>
      </c>
      <c r="R4226" s="44" t="str">
        <f>VLOOKUP(F4226,'Set up'!$A$2:$E$70,5,FALSE)</f>
        <v>Chq</v>
      </c>
      <c r="S4226" s="1" t="s">
        <v>4075</v>
      </c>
    </row>
    <row r="4227" spans="1:19" ht="16.2" customHeight="1" x14ac:dyDescent="0.3">
      <c r="A4227" s="105" t="s">
        <v>4048</v>
      </c>
      <c r="B4227" s="5">
        <f t="shared" ref="B4227:B4229" si="1035">MONTH(A4227)</f>
        <v>7</v>
      </c>
      <c r="C4227" s="5">
        <f t="shared" ref="C4227:C4229" si="1036">YEAR(A4227)</f>
        <v>2025</v>
      </c>
      <c r="D4227" s="105" t="s">
        <v>4057</v>
      </c>
      <c r="E4227" s="5" t="str">
        <f>VLOOKUP(F4227,'Set up'!$A$2:$C$70,2,FALSE)</f>
        <v>C00000061</v>
      </c>
      <c r="F4227" s="99" t="s">
        <v>3532</v>
      </c>
      <c r="G4227" s="99" t="s">
        <v>3639</v>
      </c>
      <c r="H4227" s="105">
        <v>1</v>
      </c>
      <c r="I4227" s="5" t="str">
        <f>VLOOKUP(F4227,'Set up'!$A$2:$C$70,3,FALSE)</f>
        <v>Cash</v>
      </c>
      <c r="J4227" s="5">
        <f>VLOOKUP(F4227,'Set up'!$A$2:$D$70,4,FALSE)</f>
        <v>0</v>
      </c>
      <c r="K4227" s="4">
        <f t="shared" ref="K4227:K4290" si="1037">A4227+J4227</f>
        <v>45869</v>
      </c>
      <c r="L4227" s="5">
        <f t="shared" ref="L4227:L4290" si="1038">MONTH(K4227)</f>
        <v>7</v>
      </c>
      <c r="M4227" s="5">
        <f t="shared" ref="M4227:M4290" si="1039">YEAR(K4227)</f>
        <v>2025</v>
      </c>
      <c r="N4227" s="135">
        <v>408.7</v>
      </c>
      <c r="O4227" s="6">
        <f t="shared" ref="O4227:O4229" si="1040">-N4227</f>
        <v>-408.7</v>
      </c>
      <c r="P4227" s="12">
        <f t="shared" ref="P4227:P4229" si="1041">SUM(N4227+O4227)</f>
        <v>0</v>
      </c>
      <c r="Q4227" s="7">
        <f t="shared" ref="Q4227:Q4290" si="1042">SUM(Q4226+N4227)</f>
        <v>6995096.7500000037</v>
      </c>
      <c r="R4227" s="44" t="str">
        <f>VLOOKUP(F4227,'Set up'!$A$2:$E$70,5,FALSE)</f>
        <v>Cash</v>
      </c>
      <c r="S4227" s="1" t="s">
        <v>4073</v>
      </c>
    </row>
    <row r="4228" spans="1:19" ht="16.2" customHeight="1" x14ac:dyDescent="0.3">
      <c r="A4228" s="105" t="s">
        <v>4048</v>
      </c>
      <c r="B4228" s="5">
        <f t="shared" si="1035"/>
        <v>7</v>
      </c>
      <c r="C4228" s="5">
        <f t="shared" si="1036"/>
        <v>2025</v>
      </c>
      <c r="D4228" s="105" t="s">
        <v>4057</v>
      </c>
      <c r="E4228" s="5" t="str">
        <f>VLOOKUP(F4228,'Set up'!$A$2:$C$70,2,FALSE)</f>
        <v>C00000061</v>
      </c>
      <c r="F4228" s="99" t="s">
        <v>3532</v>
      </c>
      <c r="G4228" s="99" t="s">
        <v>46</v>
      </c>
      <c r="H4228" s="105">
        <v>1</v>
      </c>
      <c r="I4228" s="5" t="str">
        <f>VLOOKUP(F4228,'Set up'!$A$2:$C$70,3,FALSE)</f>
        <v>Cash</v>
      </c>
      <c r="J4228" s="5">
        <f>VLOOKUP(F4228,'Set up'!$A$2:$D$70,4,FALSE)</f>
        <v>0</v>
      </c>
      <c r="K4228" s="4">
        <f t="shared" si="1037"/>
        <v>45869</v>
      </c>
      <c r="L4228" s="5">
        <f t="shared" si="1038"/>
        <v>7</v>
      </c>
      <c r="M4228" s="5">
        <f t="shared" si="1039"/>
        <v>2025</v>
      </c>
      <c r="N4228" s="135">
        <v>115</v>
      </c>
      <c r="O4228" s="6">
        <f t="shared" si="1040"/>
        <v>-115</v>
      </c>
      <c r="P4228" s="12">
        <f t="shared" si="1041"/>
        <v>0</v>
      </c>
      <c r="Q4228" s="7">
        <f t="shared" si="1042"/>
        <v>6995211.7500000037</v>
      </c>
      <c r="R4228" s="44" t="str">
        <f>VLOOKUP(F4228,'Set up'!$A$2:$E$70,5,FALSE)</f>
        <v>Cash</v>
      </c>
      <c r="S4228" s="1" t="s">
        <v>4073</v>
      </c>
    </row>
    <row r="4229" spans="1:19" ht="16.2" customHeight="1" x14ac:dyDescent="0.3">
      <c r="A4229" s="105" t="s">
        <v>4048</v>
      </c>
      <c r="B4229" s="5">
        <f t="shared" si="1035"/>
        <v>7</v>
      </c>
      <c r="C4229" s="5">
        <f t="shared" si="1036"/>
        <v>2025</v>
      </c>
      <c r="D4229" s="105" t="s">
        <v>4057</v>
      </c>
      <c r="E4229" s="5" t="str">
        <f>VLOOKUP(F4229,'Set up'!$A$2:$C$70,2,FALSE)</f>
        <v>C00000061</v>
      </c>
      <c r="F4229" s="99" t="s">
        <v>3532</v>
      </c>
      <c r="G4229" s="99" t="s">
        <v>2635</v>
      </c>
      <c r="H4229" s="105">
        <v>3</v>
      </c>
      <c r="I4229" s="5" t="str">
        <f>VLOOKUP(F4229,'Set up'!$A$2:$C$70,3,FALSE)</f>
        <v>Cash</v>
      </c>
      <c r="J4229" s="5">
        <f>VLOOKUP(F4229,'Set up'!$A$2:$D$70,4,FALSE)</f>
        <v>0</v>
      </c>
      <c r="K4229" s="4">
        <f t="shared" si="1037"/>
        <v>45869</v>
      </c>
      <c r="L4229" s="5">
        <f t="shared" si="1038"/>
        <v>7</v>
      </c>
      <c r="M4229" s="5">
        <f t="shared" si="1039"/>
        <v>2025</v>
      </c>
      <c r="N4229" s="135">
        <v>172.5</v>
      </c>
      <c r="O4229" s="6">
        <f t="shared" si="1040"/>
        <v>-172.5</v>
      </c>
      <c r="P4229" s="12">
        <f t="shared" si="1041"/>
        <v>0</v>
      </c>
      <c r="Q4229" s="7">
        <f t="shared" si="1042"/>
        <v>6995384.2500000037</v>
      </c>
      <c r="R4229" s="44" t="str">
        <f>VLOOKUP(F4229,'Set up'!$A$2:$E$70,5,FALSE)</f>
        <v>Cash</v>
      </c>
      <c r="S4229" s="1" t="s">
        <v>4073</v>
      </c>
    </row>
    <row r="4230" spans="1:19" ht="16.2" customHeight="1" x14ac:dyDescent="0.3">
      <c r="A4230" s="150" t="s">
        <v>4078</v>
      </c>
      <c r="B4230" s="5">
        <f t="shared" ref="B4230" si="1043">MONTH(A4230)</f>
        <v>8</v>
      </c>
      <c r="C4230" s="5">
        <f t="shared" ref="C4230" si="1044">YEAR(A4230)</f>
        <v>2025</v>
      </c>
      <c r="D4230" s="150" t="s">
        <v>4095</v>
      </c>
      <c r="E4230" s="5" t="str">
        <f>VLOOKUP(F4230,'Set up'!$A$2:$C$70,2,FALSE)</f>
        <v>C00000064</v>
      </c>
      <c r="F4230" s="151" t="s">
        <v>4059</v>
      </c>
      <c r="G4230" s="151" t="s">
        <v>4131</v>
      </c>
      <c r="H4230" s="150">
        <v>1</v>
      </c>
      <c r="I4230" s="5" t="str">
        <f>VLOOKUP(F4230,'Set up'!$A$2:$C$70,3,FALSE)</f>
        <v>Cash</v>
      </c>
      <c r="J4230" s="5">
        <f>VLOOKUP(F4230,'Set up'!$A$2:$D$70,4,FALSE)</f>
        <v>0</v>
      </c>
      <c r="K4230" s="4">
        <f t="shared" si="1037"/>
        <v>45871</v>
      </c>
      <c r="L4230" s="5">
        <f t="shared" si="1038"/>
        <v>8</v>
      </c>
      <c r="M4230" s="5">
        <f t="shared" si="1039"/>
        <v>2025</v>
      </c>
      <c r="N4230" s="156">
        <v>240</v>
      </c>
      <c r="P4230" s="12"/>
      <c r="Q4230" s="7">
        <f t="shared" si="1042"/>
        <v>6995624.2500000037</v>
      </c>
      <c r="R4230" s="44" t="str">
        <f>VLOOKUP(F4230,'Set up'!$A$2:$E$70,5,FALSE)</f>
        <v>Cash</v>
      </c>
    </row>
    <row r="4231" spans="1:19" ht="16.2" customHeight="1" x14ac:dyDescent="0.3">
      <c r="A4231" s="150" t="s">
        <v>4079</v>
      </c>
      <c r="B4231" s="5">
        <f t="shared" ref="B4231:B4294" si="1045">MONTH(A4231)</f>
        <v>8</v>
      </c>
      <c r="C4231" s="5">
        <f t="shared" ref="C4231:C4294" si="1046">YEAR(A4231)</f>
        <v>2025</v>
      </c>
      <c r="D4231" s="150" t="s">
        <v>4096</v>
      </c>
      <c r="E4231" s="5" t="e">
        <f>VLOOKUP(F4231,'Set up'!$A$2:$C$70,2,FALSE)</f>
        <v>#N/A</v>
      </c>
      <c r="F4231" s="151" t="s">
        <v>4130</v>
      </c>
      <c r="G4231" s="151" t="s">
        <v>3122</v>
      </c>
      <c r="H4231" s="150">
        <v>1</v>
      </c>
      <c r="I4231" s="5" t="e">
        <f>VLOOKUP(F4231,'Set up'!$A$2:$C$70,3,FALSE)</f>
        <v>#N/A</v>
      </c>
      <c r="J4231" s="5" t="e">
        <f>VLOOKUP(F4231,'Set up'!$A$2:$D$70,4,FALSE)</f>
        <v>#N/A</v>
      </c>
      <c r="K4231" s="4" t="e">
        <f t="shared" si="1037"/>
        <v>#N/A</v>
      </c>
      <c r="L4231" s="5" t="e">
        <f t="shared" si="1038"/>
        <v>#N/A</v>
      </c>
      <c r="M4231" s="5" t="e">
        <f t="shared" si="1039"/>
        <v>#N/A</v>
      </c>
      <c r="N4231" s="156">
        <v>1710</v>
      </c>
      <c r="P4231" s="12"/>
      <c r="Q4231" s="7">
        <f t="shared" si="1042"/>
        <v>6997334.2500000037</v>
      </c>
      <c r="R4231" s="44" t="e">
        <f>VLOOKUP(F4231,'Set up'!$A$2:$E$70,5,FALSE)</f>
        <v>#N/A</v>
      </c>
    </row>
    <row r="4232" spans="1:19" ht="16.2" customHeight="1" x14ac:dyDescent="0.3">
      <c r="A4232" s="150" t="s">
        <v>4079</v>
      </c>
      <c r="B4232" s="5">
        <f t="shared" si="1045"/>
        <v>8</v>
      </c>
      <c r="C4232" s="5">
        <f t="shared" si="1046"/>
        <v>2025</v>
      </c>
      <c r="D4232" s="150" t="s">
        <v>4096</v>
      </c>
      <c r="E4232" s="5" t="e">
        <f>VLOOKUP(F4232,'Set up'!$A$2:$C$70,2,FALSE)</f>
        <v>#N/A</v>
      </c>
      <c r="F4232" s="151" t="s">
        <v>4130</v>
      </c>
      <c r="G4232" s="151" t="s">
        <v>707</v>
      </c>
      <c r="H4232" s="150">
        <v>1</v>
      </c>
      <c r="I4232" s="5" t="e">
        <f>VLOOKUP(F4232,'Set up'!$A$2:$C$70,3,FALSE)</f>
        <v>#N/A</v>
      </c>
      <c r="J4232" s="5" t="e">
        <f>VLOOKUP(F4232,'Set up'!$A$2:$D$70,4,FALSE)</f>
        <v>#N/A</v>
      </c>
      <c r="K4232" s="4" t="e">
        <f t="shared" si="1037"/>
        <v>#N/A</v>
      </c>
      <c r="L4232" s="5" t="e">
        <f t="shared" si="1038"/>
        <v>#N/A</v>
      </c>
      <c r="M4232" s="5" t="e">
        <f t="shared" si="1039"/>
        <v>#N/A</v>
      </c>
      <c r="N4232" s="156">
        <v>394.2</v>
      </c>
      <c r="P4232" s="12"/>
      <c r="Q4232" s="7">
        <f t="shared" si="1042"/>
        <v>6997728.4500000039</v>
      </c>
      <c r="R4232" s="44" t="e">
        <f>VLOOKUP(F4232,'Set up'!$A$2:$E$70,5,FALSE)</f>
        <v>#N/A</v>
      </c>
    </row>
    <row r="4233" spans="1:19" ht="16.2" customHeight="1" x14ac:dyDescent="0.3">
      <c r="A4233" s="150" t="s">
        <v>4079</v>
      </c>
      <c r="B4233" s="5">
        <f t="shared" si="1045"/>
        <v>8</v>
      </c>
      <c r="C4233" s="5">
        <f t="shared" si="1046"/>
        <v>2025</v>
      </c>
      <c r="D4233" s="150" t="s">
        <v>4097</v>
      </c>
      <c r="E4233" s="5" t="str">
        <f>VLOOKUP(F4233,'Set up'!$A$2:$C$70,2,FALSE)</f>
        <v>C00000042</v>
      </c>
      <c r="F4233" s="151" t="s">
        <v>2012</v>
      </c>
      <c r="G4233" s="151" t="s">
        <v>2646</v>
      </c>
      <c r="H4233" s="150">
        <v>3</v>
      </c>
      <c r="I4233" s="5" t="str">
        <f>VLOOKUP(F4233,'Set up'!$A$2:$C$70,3,FALSE)</f>
        <v>Cash</v>
      </c>
      <c r="J4233" s="5">
        <f>VLOOKUP(F4233,'Set up'!$A$2:$D$70,4,FALSE)</f>
        <v>0</v>
      </c>
      <c r="K4233" s="4">
        <f t="shared" si="1037"/>
        <v>45873</v>
      </c>
      <c r="L4233" s="5">
        <f t="shared" si="1038"/>
        <v>8</v>
      </c>
      <c r="M4233" s="5">
        <f t="shared" si="1039"/>
        <v>2025</v>
      </c>
      <c r="N4233" s="156">
        <v>187.5</v>
      </c>
      <c r="P4233" s="12"/>
      <c r="Q4233" s="7">
        <f t="shared" si="1042"/>
        <v>6997915.9500000039</v>
      </c>
      <c r="R4233" s="44" t="str">
        <f>VLOOKUP(F4233,'Set up'!$A$2:$E$70,5,FALSE)</f>
        <v>Trsf</v>
      </c>
    </row>
    <row r="4234" spans="1:19" ht="16.2" customHeight="1" x14ac:dyDescent="0.3">
      <c r="A4234" s="150" t="s">
        <v>4079</v>
      </c>
      <c r="B4234" s="5">
        <f t="shared" si="1045"/>
        <v>8</v>
      </c>
      <c r="C4234" s="5">
        <f t="shared" si="1046"/>
        <v>2025</v>
      </c>
      <c r="D4234" s="150" t="s">
        <v>4098</v>
      </c>
      <c r="E4234" s="5" t="str">
        <f>VLOOKUP(F4234,'Set up'!$A$2:$C$70,2,FALSE)</f>
        <v>C00000042</v>
      </c>
      <c r="F4234" s="151" t="s">
        <v>2012</v>
      </c>
      <c r="G4234" s="151" t="s">
        <v>3645</v>
      </c>
      <c r="H4234" s="150">
        <v>5</v>
      </c>
      <c r="I4234" s="5" t="str">
        <f>VLOOKUP(F4234,'Set up'!$A$2:$C$70,3,FALSE)</f>
        <v>Cash</v>
      </c>
      <c r="J4234" s="5">
        <f>VLOOKUP(F4234,'Set up'!$A$2:$D$70,4,FALSE)</f>
        <v>0</v>
      </c>
      <c r="K4234" s="4">
        <f t="shared" si="1037"/>
        <v>45873</v>
      </c>
      <c r="L4234" s="5">
        <f t="shared" si="1038"/>
        <v>8</v>
      </c>
      <c r="M4234" s="5">
        <f t="shared" si="1039"/>
        <v>2025</v>
      </c>
      <c r="N4234" s="156">
        <v>8100</v>
      </c>
      <c r="P4234" s="12"/>
      <c r="Q4234" s="7">
        <f t="shared" si="1042"/>
        <v>7006015.9500000039</v>
      </c>
      <c r="R4234" s="44" t="str">
        <f>VLOOKUP(F4234,'Set up'!$A$2:$E$70,5,FALSE)</f>
        <v>Trsf</v>
      </c>
    </row>
    <row r="4235" spans="1:19" ht="16.2" customHeight="1" x14ac:dyDescent="0.3">
      <c r="A4235" s="150" t="s">
        <v>4079</v>
      </c>
      <c r="B4235" s="5">
        <f t="shared" si="1045"/>
        <v>8</v>
      </c>
      <c r="C4235" s="5">
        <f t="shared" si="1046"/>
        <v>2025</v>
      </c>
      <c r="D4235" s="150" t="s">
        <v>4098</v>
      </c>
      <c r="E4235" s="5" t="str">
        <f>VLOOKUP(F4235,'Set up'!$A$2:$C$70,2,FALSE)</f>
        <v>C00000042</v>
      </c>
      <c r="F4235" s="151" t="s">
        <v>2012</v>
      </c>
      <c r="G4235" s="151" t="s">
        <v>1392</v>
      </c>
      <c r="H4235" s="150">
        <v>15</v>
      </c>
      <c r="I4235" s="5" t="str">
        <f>VLOOKUP(F4235,'Set up'!$A$2:$C$70,3,FALSE)</f>
        <v>Cash</v>
      </c>
      <c r="J4235" s="5">
        <f>VLOOKUP(F4235,'Set up'!$A$2:$D$70,4,FALSE)</f>
        <v>0</v>
      </c>
      <c r="K4235" s="4">
        <f t="shared" si="1037"/>
        <v>45873</v>
      </c>
      <c r="L4235" s="5">
        <f t="shared" si="1038"/>
        <v>8</v>
      </c>
      <c r="M4235" s="5">
        <f t="shared" si="1039"/>
        <v>2025</v>
      </c>
      <c r="N4235" s="156">
        <v>2655</v>
      </c>
      <c r="P4235" s="12"/>
      <c r="Q4235" s="7">
        <f t="shared" si="1042"/>
        <v>7008670.9500000039</v>
      </c>
      <c r="R4235" s="44" t="str">
        <f>VLOOKUP(F4235,'Set up'!$A$2:$E$70,5,FALSE)</f>
        <v>Trsf</v>
      </c>
    </row>
    <row r="4236" spans="1:19" ht="16.2" customHeight="1" x14ac:dyDescent="0.3">
      <c r="A4236" s="150" t="s">
        <v>4079</v>
      </c>
      <c r="B4236" s="5">
        <f t="shared" si="1045"/>
        <v>8</v>
      </c>
      <c r="C4236" s="5">
        <f t="shared" si="1046"/>
        <v>2025</v>
      </c>
      <c r="D4236" s="150" t="s">
        <v>4098</v>
      </c>
      <c r="E4236" s="5" t="str">
        <f>VLOOKUP(F4236,'Set up'!$A$2:$C$70,2,FALSE)</f>
        <v>C00000042</v>
      </c>
      <c r="F4236" s="151" t="s">
        <v>2012</v>
      </c>
      <c r="G4236" s="151" t="s">
        <v>1922</v>
      </c>
      <c r="H4236" s="150">
        <v>7</v>
      </c>
      <c r="I4236" s="5" t="str">
        <f>VLOOKUP(F4236,'Set up'!$A$2:$C$70,3,FALSE)</f>
        <v>Cash</v>
      </c>
      <c r="J4236" s="5">
        <f>VLOOKUP(F4236,'Set up'!$A$2:$D$70,4,FALSE)</f>
        <v>0</v>
      </c>
      <c r="K4236" s="4">
        <f t="shared" si="1037"/>
        <v>45873</v>
      </c>
      <c r="L4236" s="5">
        <f t="shared" si="1038"/>
        <v>8</v>
      </c>
      <c r="M4236" s="5">
        <f t="shared" si="1039"/>
        <v>2025</v>
      </c>
      <c r="N4236" s="156">
        <v>1732.5</v>
      </c>
      <c r="P4236" s="12"/>
      <c r="Q4236" s="7">
        <f t="shared" si="1042"/>
        <v>7010403.4500000039</v>
      </c>
      <c r="R4236" s="44" t="str">
        <f>VLOOKUP(F4236,'Set up'!$A$2:$E$70,5,FALSE)</f>
        <v>Trsf</v>
      </c>
    </row>
    <row r="4237" spans="1:19" ht="16.2" customHeight="1" x14ac:dyDescent="0.3">
      <c r="A4237" s="150" t="s">
        <v>4079</v>
      </c>
      <c r="B4237" s="5">
        <f t="shared" si="1045"/>
        <v>8</v>
      </c>
      <c r="C4237" s="5">
        <f t="shared" si="1046"/>
        <v>2025</v>
      </c>
      <c r="D4237" s="150" t="s">
        <v>4098</v>
      </c>
      <c r="E4237" s="5" t="str">
        <f>VLOOKUP(F4237,'Set up'!$A$2:$C$70,2,FALSE)</f>
        <v>C00000042</v>
      </c>
      <c r="F4237" s="151" t="s">
        <v>2012</v>
      </c>
      <c r="G4237" s="151" t="s">
        <v>1073</v>
      </c>
      <c r="H4237" s="150">
        <v>1</v>
      </c>
      <c r="I4237" s="5" t="str">
        <f>VLOOKUP(F4237,'Set up'!$A$2:$C$70,3,FALSE)</f>
        <v>Cash</v>
      </c>
      <c r="J4237" s="5">
        <f>VLOOKUP(F4237,'Set up'!$A$2:$D$70,4,FALSE)</f>
        <v>0</v>
      </c>
      <c r="K4237" s="4">
        <f t="shared" si="1037"/>
        <v>45873</v>
      </c>
      <c r="L4237" s="5">
        <f t="shared" si="1038"/>
        <v>8</v>
      </c>
      <c r="M4237" s="5">
        <f t="shared" si="1039"/>
        <v>2025</v>
      </c>
      <c r="N4237" s="156">
        <v>1000</v>
      </c>
      <c r="P4237" s="12"/>
      <c r="Q4237" s="7">
        <f t="shared" si="1042"/>
        <v>7011403.4500000039</v>
      </c>
      <c r="R4237" s="44" t="str">
        <f>VLOOKUP(F4237,'Set up'!$A$2:$E$70,5,FALSE)</f>
        <v>Trsf</v>
      </c>
    </row>
    <row r="4238" spans="1:19" ht="16.2" customHeight="1" x14ac:dyDescent="0.3">
      <c r="A4238" s="150" t="s">
        <v>4080</v>
      </c>
      <c r="B4238" s="5">
        <f t="shared" si="1045"/>
        <v>8</v>
      </c>
      <c r="C4238" s="5">
        <f t="shared" si="1046"/>
        <v>2025</v>
      </c>
      <c r="D4238" s="150" t="s">
        <v>4099</v>
      </c>
      <c r="E4238" s="5" t="str">
        <f>VLOOKUP(F4238,'Set up'!$A$2:$C$70,2,FALSE)</f>
        <v>C00000061</v>
      </c>
      <c r="F4238" s="151" t="s">
        <v>3532</v>
      </c>
      <c r="G4238" s="151" t="s">
        <v>3122</v>
      </c>
      <c r="H4238" s="150">
        <v>1</v>
      </c>
      <c r="I4238" s="5" t="str">
        <f>VLOOKUP(F4238,'Set up'!$A$2:$C$70,3,FALSE)</f>
        <v>Cash</v>
      </c>
      <c r="J4238" s="5">
        <f>VLOOKUP(F4238,'Set up'!$A$2:$D$70,4,FALSE)</f>
        <v>0</v>
      </c>
      <c r="K4238" s="4">
        <f t="shared" si="1037"/>
        <v>45874</v>
      </c>
      <c r="L4238" s="5">
        <f t="shared" si="1038"/>
        <v>8</v>
      </c>
      <c r="M4238" s="5">
        <f t="shared" si="1039"/>
        <v>2025</v>
      </c>
      <c r="N4238" s="156">
        <v>1642.5</v>
      </c>
      <c r="P4238" s="12"/>
      <c r="Q4238" s="7">
        <f t="shared" si="1042"/>
        <v>7013045.9500000039</v>
      </c>
      <c r="R4238" s="44" t="str">
        <f>VLOOKUP(F4238,'Set up'!$A$2:$E$70,5,FALSE)</f>
        <v>Cash</v>
      </c>
    </row>
    <row r="4239" spans="1:19" ht="16.2" customHeight="1" x14ac:dyDescent="0.3">
      <c r="A4239" s="150" t="s">
        <v>4080</v>
      </c>
      <c r="B4239" s="5">
        <f t="shared" si="1045"/>
        <v>8</v>
      </c>
      <c r="C4239" s="5">
        <f t="shared" si="1046"/>
        <v>2025</v>
      </c>
      <c r="D4239" s="150" t="s">
        <v>4099</v>
      </c>
      <c r="E4239" s="5" t="str">
        <f>VLOOKUP(F4239,'Set up'!$A$2:$C$70,2,FALSE)</f>
        <v>C00000061</v>
      </c>
      <c r="F4239" s="151" t="s">
        <v>3532</v>
      </c>
      <c r="G4239" s="151" t="s">
        <v>2635</v>
      </c>
      <c r="H4239" s="150">
        <v>3</v>
      </c>
      <c r="I4239" s="5" t="str">
        <f>VLOOKUP(F4239,'Set up'!$A$2:$C$70,3,FALSE)</f>
        <v>Cash</v>
      </c>
      <c r="J4239" s="5">
        <f>VLOOKUP(F4239,'Set up'!$A$2:$D$70,4,FALSE)</f>
        <v>0</v>
      </c>
      <c r="K4239" s="4">
        <f t="shared" si="1037"/>
        <v>45874</v>
      </c>
      <c r="L4239" s="5">
        <f t="shared" si="1038"/>
        <v>8</v>
      </c>
      <c r="M4239" s="5">
        <f t="shared" si="1039"/>
        <v>2025</v>
      </c>
      <c r="N4239" s="156">
        <v>172.5</v>
      </c>
      <c r="P4239" s="12"/>
      <c r="Q4239" s="7">
        <f t="shared" si="1042"/>
        <v>7013218.4500000039</v>
      </c>
      <c r="R4239" s="44" t="str">
        <f>VLOOKUP(F4239,'Set up'!$A$2:$E$70,5,FALSE)</f>
        <v>Cash</v>
      </c>
    </row>
    <row r="4240" spans="1:19" s="10" customFormat="1" ht="16.2" customHeight="1" x14ac:dyDescent="0.3">
      <c r="A4240" s="152" t="s">
        <v>4080</v>
      </c>
      <c r="B4240" s="153">
        <f t="shared" si="1045"/>
        <v>8</v>
      </c>
      <c r="C4240" s="153">
        <f t="shared" si="1046"/>
        <v>2025</v>
      </c>
      <c r="D4240" s="152" t="s">
        <v>4128</v>
      </c>
      <c r="E4240" s="153" t="str">
        <f>VLOOKUP(F4240,'Set up'!$A$2:$C$70,2,FALSE)</f>
        <v>C00000006</v>
      </c>
      <c r="F4240" s="151" t="s">
        <v>43</v>
      </c>
      <c r="G4240" s="151" t="s">
        <v>3122</v>
      </c>
      <c r="H4240" s="150">
        <v>1</v>
      </c>
      <c r="I4240" s="153" t="str">
        <f>VLOOKUP(F4240,'Set up'!$A$2:$C$70,3,FALSE)</f>
        <v>Cash</v>
      </c>
      <c r="J4240" s="153">
        <f>VLOOKUP(F4240,'Set up'!$A$2:$D$70,4,FALSE)</f>
        <v>0</v>
      </c>
      <c r="K4240" s="4">
        <f t="shared" si="1037"/>
        <v>45874</v>
      </c>
      <c r="L4240" s="5">
        <f t="shared" si="1038"/>
        <v>8</v>
      </c>
      <c r="M4240" s="5">
        <f t="shared" si="1039"/>
        <v>2025</v>
      </c>
      <c r="N4240" s="156">
        <v>1687.5</v>
      </c>
      <c r="O4240" s="34"/>
      <c r="P4240" s="34"/>
      <c r="Q4240" s="7">
        <f t="shared" si="1042"/>
        <v>7014905.9500000039</v>
      </c>
      <c r="R4240" s="155" t="str">
        <f>VLOOKUP(F4240,'Set up'!$A$2:$E$70,5,FALSE)</f>
        <v>Chq</v>
      </c>
    </row>
    <row r="4241" spans="1:18" ht="16.2" customHeight="1" x14ac:dyDescent="0.3">
      <c r="A4241" s="150" t="s">
        <v>4080</v>
      </c>
      <c r="B4241" s="5">
        <f t="shared" si="1045"/>
        <v>8</v>
      </c>
      <c r="C4241" s="5">
        <f t="shared" si="1046"/>
        <v>2025</v>
      </c>
      <c r="D4241" s="150" t="s">
        <v>4128</v>
      </c>
      <c r="E4241" s="5" t="str">
        <f>VLOOKUP(F4241,'Set up'!$A$2:$C$70,2,FALSE)</f>
        <v>C00000006</v>
      </c>
      <c r="F4241" s="151" t="s">
        <v>43</v>
      </c>
      <c r="G4241" s="151" t="s">
        <v>1796</v>
      </c>
      <c r="H4241" s="150">
        <v>3</v>
      </c>
      <c r="I4241" s="5" t="str">
        <f>VLOOKUP(F4241,'Set up'!$A$2:$C$70,3,FALSE)</f>
        <v>Cash</v>
      </c>
      <c r="J4241" s="5">
        <f>VLOOKUP(F4241,'Set up'!$A$2:$D$70,4,FALSE)</f>
        <v>0</v>
      </c>
      <c r="K4241" s="4">
        <f t="shared" si="1037"/>
        <v>45874</v>
      </c>
      <c r="L4241" s="5">
        <f t="shared" si="1038"/>
        <v>8</v>
      </c>
      <c r="M4241" s="5">
        <f t="shared" si="1039"/>
        <v>2025</v>
      </c>
      <c r="N4241" s="156">
        <v>648</v>
      </c>
      <c r="P4241" s="12"/>
      <c r="Q4241" s="7">
        <f t="shared" si="1042"/>
        <v>7015553.9500000039</v>
      </c>
      <c r="R4241" s="44" t="str">
        <f>VLOOKUP(F4241,'Set up'!$A$2:$E$70,5,FALSE)</f>
        <v>Chq</v>
      </c>
    </row>
    <row r="4242" spans="1:18" ht="16.2" customHeight="1" x14ac:dyDescent="0.3">
      <c r="A4242" s="150" t="s">
        <v>4081</v>
      </c>
      <c r="B4242" s="5">
        <f t="shared" si="1045"/>
        <v>8</v>
      </c>
      <c r="C4242" s="5">
        <f t="shared" si="1046"/>
        <v>2025</v>
      </c>
      <c r="D4242" s="150" t="s">
        <v>4100</v>
      </c>
      <c r="E4242" s="5" t="str">
        <f>VLOOKUP(F4242,'Set up'!$A$2:$C$70,2,FALSE)</f>
        <v>C00000050</v>
      </c>
      <c r="F4242" s="151" t="s">
        <v>2656</v>
      </c>
      <c r="G4242" s="151" t="s">
        <v>3615</v>
      </c>
      <c r="H4242" s="150">
        <v>1</v>
      </c>
      <c r="I4242" s="5" t="str">
        <f>VLOOKUP(F4242,'Set up'!$A$2:$C$70,3,FALSE)</f>
        <v>Cash</v>
      </c>
      <c r="J4242" s="5">
        <f>VLOOKUP(F4242,'Set up'!$A$2:$D$70,4,FALSE)</f>
        <v>0</v>
      </c>
      <c r="K4242" s="4">
        <f t="shared" si="1037"/>
        <v>45876</v>
      </c>
      <c r="L4242" s="5">
        <f t="shared" si="1038"/>
        <v>8</v>
      </c>
      <c r="M4242" s="5">
        <f t="shared" si="1039"/>
        <v>2025</v>
      </c>
      <c r="N4242" s="156">
        <v>1710</v>
      </c>
      <c r="P4242" s="12"/>
      <c r="Q4242" s="7">
        <f t="shared" si="1042"/>
        <v>7017263.9500000039</v>
      </c>
      <c r="R4242" s="44" t="str">
        <f>VLOOKUP(F4242,'Set up'!$A$2:$E$70,5,FALSE)</f>
        <v>Cash</v>
      </c>
    </row>
    <row r="4243" spans="1:18" ht="16.2" customHeight="1" x14ac:dyDescent="0.3">
      <c r="A4243" s="150" t="s">
        <v>4081</v>
      </c>
      <c r="B4243" s="5">
        <f t="shared" si="1045"/>
        <v>8</v>
      </c>
      <c r="C4243" s="5">
        <f t="shared" si="1046"/>
        <v>2025</v>
      </c>
      <c r="D4243" s="150" t="s">
        <v>4100</v>
      </c>
      <c r="E4243" s="5" t="str">
        <f>VLOOKUP(F4243,'Set up'!$A$2:$C$70,2,FALSE)</f>
        <v>C00000050</v>
      </c>
      <c r="F4243" s="151" t="s">
        <v>2656</v>
      </c>
      <c r="G4243" s="151" t="s">
        <v>2434</v>
      </c>
      <c r="H4243" s="150">
        <v>2</v>
      </c>
      <c r="I4243" s="5" t="str">
        <f>VLOOKUP(F4243,'Set up'!$A$2:$C$70,3,FALSE)</f>
        <v>Cash</v>
      </c>
      <c r="J4243" s="5">
        <f>VLOOKUP(F4243,'Set up'!$A$2:$D$70,4,FALSE)</f>
        <v>0</v>
      </c>
      <c r="K4243" s="4">
        <f t="shared" si="1037"/>
        <v>45876</v>
      </c>
      <c r="L4243" s="5">
        <f t="shared" si="1038"/>
        <v>8</v>
      </c>
      <c r="M4243" s="5">
        <f t="shared" si="1039"/>
        <v>2025</v>
      </c>
      <c r="N4243" s="156">
        <v>555</v>
      </c>
      <c r="P4243" s="12"/>
      <c r="Q4243" s="7">
        <f t="shared" si="1042"/>
        <v>7017818.9500000039</v>
      </c>
      <c r="R4243" s="44" t="str">
        <f>VLOOKUP(F4243,'Set up'!$A$2:$E$70,5,FALSE)</f>
        <v>Cash</v>
      </c>
    </row>
    <row r="4244" spans="1:18" ht="16.2" customHeight="1" x14ac:dyDescent="0.3">
      <c r="A4244" s="150" t="s">
        <v>4081</v>
      </c>
      <c r="B4244" s="5">
        <f t="shared" si="1045"/>
        <v>8</v>
      </c>
      <c r="C4244" s="5">
        <f t="shared" si="1046"/>
        <v>2025</v>
      </c>
      <c r="D4244" s="150" t="s">
        <v>4100</v>
      </c>
      <c r="E4244" s="5" t="str">
        <f>VLOOKUP(F4244,'Set up'!$A$2:$C$70,2,FALSE)</f>
        <v>C00000050</v>
      </c>
      <c r="F4244" s="151" t="s">
        <v>2656</v>
      </c>
      <c r="G4244" s="151" t="s">
        <v>2646</v>
      </c>
      <c r="H4244" s="150">
        <v>10</v>
      </c>
      <c r="I4244" s="5" t="str">
        <f>VLOOKUP(F4244,'Set up'!$A$2:$C$70,3,FALSE)</f>
        <v>Cash</v>
      </c>
      <c r="J4244" s="5">
        <f>VLOOKUP(F4244,'Set up'!$A$2:$D$70,4,FALSE)</f>
        <v>0</v>
      </c>
      <c r="K4244" s="4">
        <f t="shared" si="1037"/>
        <v>45876</v>
      </c>
      <c r="L4244" s="5">
        <f t="shared" si="1038"/>
        <v>8</v>
      </c>
      <c r="M4244" s="5">
        <f t="shared" si="1039"/>
        <v>2025</v>
      </c>
      <c r="N4244" s="156">
        <v>625</v>
      </c>
      <c r="P4244" s="12"/>
      <c r="Q4244" s="7">
        <f t="shared" si="1042"/>
        <v>7018443.9500000039</v>
      </c>
      <c r="R4244" s="44" t="str">
        <f>VLOOKUP(F4244,'Set up'!$A$2:$E$70,5,FALSE)</f>
        <v>Cash</v>
      </c>
    </row>
    <row r="4245" spans="1:18" ht="16.2" customHeight="1" x14ac:dyDescent="0.3">
      <c r="A4245" s="150" t="s">
        <v>4081</v>
      </c>
      <c r="B4245" s="5">
        <f t="shared" si="1045"/>
        <v>8</v>
      </c>
      <c r="C4245" s="5">
        <f t="shared" si="1046"/>
        <v>2025</v>
      </c>
      <c r="D4245" s="150" t="s">
        <v>4101</v>
      </c>
      <c r="E4245" s="5" t="str">
        <f>VLOOKUP(F4245,'Set up'!$A$2:$C$70,2,FALSE)</f>
        <v>C00000042</v>
      </c>
      <c r="F4245" s="151" t="s">
        <v>2012</v>
      </c>
      <c r="G4245" s="151" t="s">
        <v>2646</v>
      </c>
      <c r="H4245" s="150">
        <v>3</v>
      </c>
      <c r="I4245" s="5" t="str">
        <f>VLOOKUP(F4245,'Set up'!$A$2:$C$70,3,FALSE)</f>
        <v>Cash</v>
      </c>
      <c r="J4245" s="5">
        <f>VLOOKUP(F4245,'Set up'!$A$2:$D$70,4,FALSE)</f>
        <v>0</v>
      </c>
      <c r="K4245" s="4">
        <f t="shared" si="1037"/>
        <v>45876</v>
      </c>
      <c r="L4245" s="5">
        <f t="shared" si="1038"/>
        <v>8</v>
      </c>
      <c r="M4245" s="5">
        <f t="shared" si="1039"/>
        <v>2025</v>
      </c>
      <c r="N4245" s="156">
        <v>187.5</v>
      </c>
      <c r="P4245" s="12"/>
      <c r="Q4245" s="7">
        <f t="shared" si="1042"/>
        <v>7018631.4500000039</v>
      </c>
      <c r="R4245" s="44" t="str">
        <f>VLOOKUP(F4245,'Set up'!$A$2:$E$70,5,FALSE)</f>
        <v>Trsf</v>
      </c>
    </row>
    <row r="4246" spans="1:18" ht="16.2" customHeight="1" x14ac:dyDescent="0.3">
      <c r="A4246" s="150" t="s">
        <v>4081</v>
      </c>
      <c r="B4246" s="5">
        <f t="shared" si="1045"/>
        <v>8</v>
      </c>
      <c r="C4246" s="5">
        <f t="shared" si="1046"/>
        <v>2025</v>
      </c>
      <c r="D4246" s="150" t="s">
        <v>4102</v>
      </c>
      <c r="E4246" s="5" t="str">
        <f>VLOOKUP(F4246,'Set up'!$A$2:$C$70,2,FALSE)</f>
        <v>C00000042</v>
      </c>
      <c r="F4246" s="151" t="s">
        <v>2012</v>
      </c>
      <c r="G4246" s="151" t="s">
        <v>3645</v>
      </c>
      <c r="H4246" s="150">
        <v>5</v>
      </c>
      <c r="I4246" s="5" t="str">
        <f>VLOOKUP(F4246,'Set up'!$A$2:$C$70,3,FALSE)</f>
        <v>Cash</v>
      </c>
      <c r="J4246" s="5">
        <f>VLOOKUP(F4246,'Set up'!$A$2:$D$70,4,FALSE)</f>
        <v>0</v>
      </c>
      <c r="K4246" s="4">
        <f t="shared" si="1037"/>
        <v>45876</v>
      </c>
      <c r="L4246" s="5">
        <f t="shared" si="1038"/>
        <v>8</v>
      </c>
      <c r="M4246" s="5">
        <f t="shared" si="1039"/>
        <v>2025</v>
      </c>
      <c r="N4246" s="156">
        <v>8100</v>
      </c>
      <c r="P4246" s="12"/>
      <c r="Q4246" s="7">
        <f t="shared" si="1042"/>
        <v>7026731.4500000039</v>
      </c>
      <c r="R4246" s="44" t="str">
        <f>VLOOKUP(F4246,'Set up'!$A$2:$E$70,5,FALSE)</f>
        <v>Trsf</v>
      </c>
    </row>
    <row r="4247" spans="1:18" ht="16.2" customHeight="1" x14ac:dyDescent="0.3">
      <c r="A4247" s="150" t="s">
        <v>4081</v>
      </c>
      <c r="B4247" s="5">
        <f t="shared" si="1045"/>
        <v>8</v>
      </c>
      <c r="C4247" s="5">
        <f t="shared" si="1046"/>
        <v>2025</v>
      </c>
      <c r="D4247" s="150" t="s">
        <v>4102</v>
      </c>
      <c r="E4247" s="5" t="str">
        <f>VLOOKUP(F4247,'Set up'!$A$2:$C$70,2,FALSE)</f>
        <v>C00000042</v>
      </c>
      <c r="F4247" s="151" t="s">
        <v>2012</v>
      </c>
      <c r="G4247" s="151" t="s">
        <v>1392</v>
      </c>
      <c r="H4247" s="150">
        <v>15</v>
      </c>
      <c r="I4247" s="5" t="str">
        <f>VLOOKUP(F4247,'Set up'!$A$2:$C$70,3,FALSE)</f>
        <v>Cash</v>
      </c>
      <c r="J4247" s="5">
        <f>VLOOKUP(F4247,'Set up'!$A$2:$D$70,4,FALSE)</f>
        <v>0</v>
      </c>
      <c r="K4247" s="4">
        <f t="shared" si="1037"/>
        <v>45876</v>
      </c>
      <c r="L4247" s="5">
        <f t="shared" si="1038"/>
        <v>8</v>
      </c>
      <c r="M4247" s="5">
        <f t="shared" si="1039"/>
        <v>2025</v>
      </c>
      <c r="N4247" s="156">
        <v>2655</v>
      </c>
      <c r="P4247" s="12"/>
      <c r="Q4247" s="7">
        <f t="shared" si="1042"/>
        <v>7029386.4500000039</v>
      </c>
      <c r="R4247" s="44" t="str">
        <f>VLOOKUP(F4247,'Set up'!$A$2:$E$70,5,FALSE)</f>
        <v>Trsf</v>
      </c>
    </row>
    <row r="4248" spans="1:18" ht="16.2" customHeight="1" x14ac:dyDescent="0.3">
      <c r="A4248" s="150" t="s">
        <v>4081</v>
      </c>
      <c r="B4248" s="5">
        <f t="shared" si="1045"/>
        <v>8</v>
      </c>
      <c r="C4248" s="5">
        <f t="shared" si="1046"/>
        <v>2025</v>
      </c>
      <c r="D4248" s="150" t="s">
        <v>4102</v>
      </c>
      <c r="E4248" s="5" t="str">
        <f>VLOOKUP(F4248,'Set up'!$A$2:$C$70,2,FALSE)</f>
        <v>C00000042</v>
      </c>
      <c r="F4248" s="151" t="s">
        <v>2012</v>
      </c>
      <c r="G4248" s="151" t="s">
        <v>1922</v>
      </c>
      <c r="H4248" s="150">
        <v>7</v>
      </c>
      <c r="I4248" s="5" t="str">
        <f>VLOOKUP(F4248,'Set up'!$A$2:$C$70,3,FALSE)</f>
        <v>Cash</v>
      </c>
      <c r="J4248" s="5">
        <f>VLOOKUP(F4248,'Set up'!$A$2:$D$70,4,FALSE)</f>
        <v>0</v>
      </c>
      <c r="K4248" s="4">
        <f t="shared" si="1037"/>
        <v>45876</v>
      </c>
      <c r="L4248" s="5">
        <f t="shared" si="1038"/>
        <v>8</v>
      </c>
      <c r="M4248" s="5">
        <f t="shared" si="1039"/>
        <v>2025</v>
      </c>
      <c r="N4248" s="156">
        <v>1732.5</v>
      </c>
      <c r="P4248" s="12"/>
      <c r="Q4248" s="7">
        <f t="shared" si="1042"/>
        <v>7031118.9500000039</v>
      </c>
      <c r="R4248" s="44" t="str">
        <f>VLOOKUP(F4248,'Set up'!$A$2:$E$70,5,FALSE)</f>
        <v>Trsf</v>
      </c>
    </row>
    <row r="4249" spans="1:18" ht="16.2" customHeight="1" x14ac:dyDescent="0.3">
      <c r="A4249" s="150" t="s">
        <v>4081</v>
      </c>
      <c r="B4249" s="5">
        <f t="shared" si="1045"/>
        <v>8</v>
      </c>
      <c r="C4249" s="5">
        <f t="shared" si="1046"/>
        <v>2025</v>
      </c>
      <c r="D4249" s="150" t="s">
        <v>4102</v>
      </c>
      <c r="E4249" s="5" t="str">
        <f>VLOOKUP(F4249,'Set up'!$A$2:$C$70,2,FALSE)</f>
        <v>C00000042</v>
      </c>
      <c r="F4249" s="151" t="s">
        <v>2012</v>
      </c>
      <c r="G4249" s="151" t="s">
        <v>46</v>
      </c>
      <c r="H4249" s="150">
        <v>4</v>
      </c>
      <c r="I4249" s="5" t="str">
        <f>VLOOKUP(F4249,'Set up'!$A$2:$C$70,3,FALSE)</f>
        <v>Cash</v>
      </c>
      <c r="J4249" s="5">
        <f>VLOOKUP(F4249,'Set up'!$A$2:$D$70,4,FALSE)</f>
        <v>0</v>
      </c>
      <c r="K4249" s="4">
        <f t="shared" si="1037"/>
        <v>45876</v>
      </c>
      <c r="L4249" s="5">
        <f t="shared" si="1038"/>
        <v>8</v>
      </c>
      <c r="M4249" s="5">
        <f t="shared" si="1039"/>
        <v>2025</v>
      </c>
      <c r="N4249" s="156">
        <v>460</v>
      </c>
      <c r="P4249" s="12"/>
      <c r="Q4249" s="7">
        <f t="shared" si="1042"/>
        <v>7031578.9500000039</v>
      </c>
      <c r="R4249" s="44" t="str">
        <f>VLOOKUP(F4249,'Set up'!$A$2:$E$70,5,FALSE)</f>
        <v>Trsf</v>
      </c>
    </row>
    <row r="4250" spans="1:18" ht="16.2" customHeight="1" x14ac:dyDescent="0.3">
      <c r="A4250" s="150" t="s">
        <v>4081</v>
      </c>
      <c r="B4250" s="5">
        <f t="shared" si="1045"/>
        <v>8</v>
      </c>
      <c r="C4250" s="5">
        <f t="shared" si="1046"/>
        <v>2025</v>
      </c>
      <c r="D4250" s="150" t="s">
        <v>4103</v>
      </c>
      <c r="E4250" s="5" t="str">
        <f>VLOOKUP(F4250,'Set up'!$A$2:$C$70,2,FALSE)</f>
        <v>C00000019</v>
      </c>
      <c r="F4250" s="151" t="s">
        <v>400</v>
      </c>
      <c r="G4250" s="151" t="s">
        <v>3122</v>
      </c>
      <c r="H4250" s="150">
        <v>1</v>
      </c>
      <c r="I4250" s="5" t="str">
        <f>VLOOKUP(F4250,'Set up'!$A$2:$C$70,3,FALSE)</f>
        <v>Cash</v>
      </c>
      <c r="J4250" s="5">
        <f>VLOOKUP(F4250,'Set up'!$A$2:$D$70,4,FALSE)</f>
        <v>0</v>
      </c>
      <c r="K4250" s="4">
        <f t="shared" si="1037"/>
        <v>45876</v>
      </c>
      <c r="L4250" s="5">
        <f t="shared" si="1038"/>
        <v>8</v>
      </c>
      <c r="M4250" s="5">
        <f t="shared" si="1039"/>
        <v>2025</v>
      </c>
      <c r="N4250" s="156">
        <v>1710</v>
      </c>
      <c r="P4250" s="12"/>
      <c r="Q4250" s="7">
        <f t="shared" si="1042"/>
        <v>7033288.9500000039</v>
      </c>
      <c r="R4250" s="44" t="str">
        <f>VLOOKUP(F4250,'Set up'!$A$2:$E$70,5,FALSE)</f>
        <v>Trsf</v>
      </c>
    </row>
    <row r="4251" spans="1:18" ht="16.2" customHeight="1" x14ac:dyDescent="0.3">
      <c r="A4251" s="150" t="s">
        <v>4081</v>
      </c>
      <c r="B4251" s="5">
        <f t="shared" si="1045"/>
        <v>8</v>
      </c>
      <c r="C4251" s="5">
        <f t="shared" si="1046"/>
        <v>2025</v>
      </c>
      <c r="D4251" s="150" t="s">
        <v>4103</v>
      </c>
      <c r="E4251" s="5" t="str">
        <f>VLOOKUP(F4251,'Set up'!$A$2:$C$70,2,FALSE)</f>
        <v>C00000019</v>
      </c>
      <c r="F4251" s="151" t="s">
        <v>400</v>
      </c>
      <c r="G4251" s="151" t="s">
        <v>1411</v>
      </c>
      <c r="H4251" s="150">
        <v>1</v>
      </c>
      <c r="I4251" s="5" t="str">
        <f>VLOOKUP(F4251,'Set up'!$A$2:$C$70,3,FALSE)</f>
        <v>Cash</v>
      </c>
      <c r="J4251" s="5">
        <f>VLOOKUP(F4251,'Set up'!$A$2:$D$70,4,FALSE)</f>
        <v>0</v>
      </c>
      <c r="K4251" s="4">
        <f t="shared" si="1037"/>
        <v>45876</v>
      </c>
      <c r="L4251" s="5">
        <f t="shared" si="1038"/>
        <v>8</v>
      </c>
      <c r="M4251" s="5">
        <f t="shared" si="1039"/>
        <v>2025</v>
      </c>
      <c r="N4251" s="156">
        <v>405</v>
      </c>
      <c r="P4251" s="12"/>
      <c r="Q4251" s="7">
        <f t="shared" si="1042"/>
        <v>7033693.9500000039</v>
      </c>
      <c r="R4251" s="44" t="str">
        <f>VLOOKUP(F4251,'Set up'!$A$2:$E$70,5,FALSE)</f>
        <v>Trsf</v>
      </c>
    </row>
    <row r="4252" spans="1:18" ht="16.2" customHeight="1" x14ac:dyDescent="0.3">
      <c r="A4252" s="150" t="s">
        <v>4081</v>
      </c>
      <c r="B4252" s="5">
        <f t="shared" si="1045"/>
        <v>8</v>
      </c>
      <c r="C4252" s="5">
        <f t="shared" si="1046"/>
        <v>2025</v>
      </c>
      <c r="D4252" s="150" t="s">
        <v>4103</v>
      </c>
      <c r="E4252" s="5" t="str">
        <f>VLOOKUP(F4252,'Set up'!$A$2:$C$70,2,FALSE)</f>
        <v>C00000019</v>
      </c>
      <c r="F4252" s="151" t="s">
        <v>400</v>
      </c>
      <c r="G4252" s="151" t="s">
        <v>46</v>
      </c>
      <c r="H4252" s="150">
        <v>1</v>
      </c>
      <c r="I4252" s="5" t="str">
        <f>VLOOKUP(F4252,'Set up'!$A$2:$C$70,3,FALSE)</f>
        <v>Cash</v>
      </c>
      <c r="J4252" s="5">
        <f>VLOOKUP(F4252,'Set up'!$A$2:$D$70,4,FALSE)</f>
        <v>0</v>
      </c>
      <c r="K4252" s="4">
        <f t="shared" si="1037"/>
        <v>45876</v>
      </c>
      <c r="L4252" s="5">
        <f t="shared" si="1038"/>
        <v>8</v>
      </c>
      <c r="M4252" s="5">
        <f t="shared" si="1039"/>
        <v>2025</v>
      </c>
      <c r="N4252" s="156">
        <v>115</v>
      </c>
      <c r="P4252" s="12"/>
      <c r="Q4252" s="7">
        <f t="shared" si="1042"/>
        <v>7033808.9500000039</v>
      </c>
      <c r="R4252" s="44" t="str">
        <f>VLOOKUP(F4252,'Set up'!$A$2:$E$70,5,FALSE)</f>
        <v>Trsf</v>
      </c>
    </row>
    <row r="4253" spans="1:18" ht="16.2" customHeight="1" x14ac:dyDescent="0.3">
      <c r="A4253" s="150" t="s">
        <v>4081</v>
      </c>
      <c r="B4253" s="5">
        <f t="shared" si="1045"/>
        <v>8</v>
      </c>
      <c r="C4253" s="5">
        <f t="shared" si="1046"/>
        <v>2025</v>
      </c>
      <c r="D4253" s="150" t="s">
        <v>4103</v>
      </c>
      <c r="E4253" s="5" t="str">
        <f>VLOOKUP(F4253,'Set up'!$A$2:$C$70,2,FALSE)</f>
        <v>C00000019</v>
      </c>
      <c r="F4253" s="151" t="s">
        <v>400</v>
      </c>
      <c r="G4253" s="151" t="s">
        <v>894</v>
      </c>
      <c r="H4253" s="150">
        <v>1</v>
      </c>
      <c r="I4253" s="5" t="str">
        <f>VLOOKUP(F4253,'Set up'!$A$2:$C$70,3,FALSE)</f>
        <v>Cash</v>
      </c>
      <c r="J4253" s="5">
        <f>VLOOKUP(F4253,'Set up'!$A$2:$D$70,4,FALSE)</f>
        <v>0</v>
      </c>
      <c r="K4253" s="4">
        <f t="shared" si="1037"/>
        <v>45876</v>
      </c>
      <c r="L4253" s="5">
        <f t="shared" si="1038"/>
        <v>8</v>
      </c>
      <c r="M4253" s="5">
        <f t="shared" si="1039"/>
        <v>2025</v>
      </c>
      <c r="N4253" s="156">
        <v>150</v>
      </c>
      <c r="P4253" s="12"/>
      <c r="Q4253" s="7">
        <f t="shared" si="1042"/>
        <v>7033958.9500000039</v>
      </c>
      <c r="R4253" s="44" t="str">
        <f>VLOOKUP(F4253,'Set up'!$A$2:$E$70,5,FALSE)</f>
        <v>Trsf</v>
      </c>
    </row>
    <row r="4254" spans="1:18" ht="16.2" customHeight="1" x14ac:dyDescent="0.3">
      <c r="A4254" s="150" t="s">
        <v>4082</v>
      </c>
      <c r="B4254" s="5">
        <f t="shared" si="1045"/>
        <v>8</v>
      </c>
      <c r="C4254" s="5">
        <f t="shared" si="1046"/>
        <v>2025</v>
      </c>
      <c r="D4254" s="150" t="s">
        <v>4104</v>
      </c>
      <c r="E4254" s="5" t="str">
        <f>VLOOKUP(F4254,'Set up'!$A$2:$C$70,2,FALSE)</f>
        <v>C00000019</v>
      </c>
      <c r="F4254" s="151" t="s">
        <v>400</v>
      </c>
      <c r="G4254" s="151" t="s">
        <v>1469</v>
      </c>
      <c r="H4254" s="150">
        <v>1</v>
      </c>
      <c r="I4254" s="5" t="str">
        <f>VLOOKUP(F4254,'Set up'!$A$2:$C$70,3,FALSE)</f>
        <v>Cash</v>
      </c>
      <c r="J4254" s="5">
        <f>VLOOKUP(F4254,'Set up'!$A$2:$D$70,4,FALSE)</f>
        <v>0</v>
      </c>
      <c r="K4254" s="4">
        <f t="shared" si="1037"/>
        <v>45878</v>
      </c>
      <c r="L4254" s="5">
        <f t="shared" si="1038"/>
        <v>8</v>
      </c>
      <c r="M4254" s="5">
        <f t="shared" si="1039"/>
        <v>2025</v>
      </c>
      <c r="N4254" s="156">
        <v>390</v>
      </c>
      <c r="P4254" s="12"/>
      <c r="Q4254" s="7">
        <f t="shared" si="1042"/>
        <v>7034348.9500000039</v>
      </c>
      <c r="R4254" s="44" t="str">
        <f>VLOOKUP(F4254,'Set up'!$A$2:$E$70,5,FALSE)</f>
        <v>Trsf</v>
      </c>
    </row>
    <row r="4255" spans="1:18" ht="16.2" customHeight="1" x14ac:dyDescent="0.3">
      <c r="A4255" s="150" t="s">
        <v>4083</v>
      </c>
      <c r="B4255" s="5">
        <f t="shared" si="1045"/>
        <v>8</v>
      </c>
      <c r="C4255" s="5">
        <f t="shared" si="1046"/>
        <v>2025</v>
      </c>
      <c r="D4255" s="150" t="s">
        <v>4105</v>
      </c>
      <c r="E4255" s="5" t="str">
        <f>VLOOKUP(F4255,'Set up'!$A$2:$C$70,2,FALSE)</f>
        <v>C00000044</v>
      </c>
      <c r="F4255" s="151" t="s">
        <v>2929</v>
      </c>
      <c r="G4255" s="151" t="s">
        <v>3122</v>
      </c>
      <c r="H4255" s="150">
        <v>1</v>
      </c>
      <c r="I4255" s="5" t="str">
        <f>VLOOKUP(F4255,'Set up'!$A$2:$C$70,3,FALSE)</f>
        <v>Cash</v>
      </c>
      <c r="J4255" s="5">
        <f>VLOOKUP(F4255,'Set up'!$A$2:$D$70,4,FALSE)</f>
        <v>0</v>
      </c>
      <c r="K4255" s="4">
        <f t="shared" si="1037"/>
        <v>45880</v>
      </c>
      <c r="L4255" s="5">
        <f t="shared" si="1038"/>
        <v>8</v>
      </c>
      <c r="M4255" s="5">
        <f t="shared" si="1039"/>
        <v>2025</v>
      </c>
      <c r="N4255" s="156">
        <v>1687.5</v>
      </c>
      <c r="P4255" s="12"/>
      <c r="Q4255" s="7">
        <f t="shared" si="1042"/>
        <v>7036036.4500000039</v>
      </c>
      <c r="R4255" s="44" t="str">
        <f>VLOOKUP(F4255,'Set up'!$A$2:$E$70,5,FALSE)</f>
        <v>Cash</v>
      </c>
    </row>
    <row r="4256" spans="1:18" ht="16.2" customHeight="1" x14ac:dyDescent="0.3">
      <c r="A4256" s="150" t="s">
        <v>4083</v>
      </c>
      <c r="B4256" s="5">
        <f t="shared" si="1045"/>
        <v>8</v>
      </c>
      <c r="C4256" s="5">
        <f t="shared" si="1046"/>
        <v>2025</v>
      </c>
      <c r="D4256" s="150" t="s">
        <v>4105</v>
      </c>
      <c r="E4256" s="5" t="str">
        <f>VLOOKUP(F4256,'Set up'!$A$2:$C$70,2,FALSE)</f>
        <v>C00000044</v>
      </c>
      <c r="F4256" s="151" t="s">
        <v>2929</v>
      </c>
      <c r="G4256" s="151" t="s">
        <v>2570</v>
      </c>
      <c r="H4256" s="150">
        <v>2</v>
      </c>
      <c r="I4256" s="5" t="str">
        <f>VLOOKUP(F4256,'Set up'!$A$2:$C$70,3,FALSE)</f>
        <v>Cash</v>
      </c>
      <c r="J4256" s="5">
        <f>VLOOKUP(F4256,'Set up'!$A$2:$D$70,4,FALSE)</f>
        <v>0</v>
      </c>
      <c r="K4256" s="4">
        <f t="shared" si="1037"/>
        <v>45880</v>
      </c>
      <c r="L4256" s="5">
        <f t="shared" si="1038"/>
        <v>8</v>
      </c>
      <c r="M4256" s="5">
        <f t="shared" si="1039"/>
        <v>2025</v>
      </c>
      <c r="N4256" s="156">
        <v>432</v>
      </c>
      <c r="P4256" s="12"/>
      <c r="Q4256" s="7">
        <f t="shared" si="1042"/>
        <v>7036468.4500000039</v>
      </c>
      <c r="R4256" s="44" t="str">
        <f>VLOOKUP(F4256,'Set up'!$A$2:$E$70,5,FALSE)</f>
        <v>Cash</v>
      </c>
    </row>
    <row r="4257" spans="1:18" ht="16.2" customHeight="1" x14ac:dyDescent="0.3">
      <c r="A4257" s="150" t="s">
        <v>4084</v>
      </c>
      <c r="B4257" s="5">
        <f t="shared" si="1045"/>
        <v>8</v>
      </c>
      <c r="C4257" s="5">
        <f t="shared" si="1046"/>
        <v>2025</v>
      </c>
      <c r="D4257" s="150" t="s">
        <v>4106</v>
      </c>
      <c r="E4257" s="5" t="str">
        <f>VLOOKUP(F4257,'Set up'!$A$2:$C$70,2,FALSE)</f>
        <v>C00000042</v>
      </c>
      <c r="F4257" s="151" t="s">
        <v>2012</v>
      </c>
      <c r="G4257" s="151" t="s">
        <v>2646</v>
      </c>
      <c r="H4257" s="150">
        <v>2</v>
      </c>
      <c r="I4257" s="5" t="str">
        <f>VLOOKUP(F4257,'Set up'!$A$2:$C$70,3,FALSE)</f>
        <v>Cash</v>
      </c>
      <c r="J4257" s="5">
        <f>VLOOKUP(F4257,'Set up'!$A$2:$D$70,4,FALSE)</f>
        <v>0</v>
      </c>
      <c r="K4257" s="4">
        <f t="shared" si="1037"/>
        <v>45882</v>
      </c>
      <c r="L4257" s="5">
        <f t="shared" si="1038"/>
        <v>8</v>
      </c>
      <c r="M4257" s="5">
        <f t="shared" si="1039"/>
        <v>2025</v>
      </c>
      <c r="N4257" s="156">
        <v>125</v>
      </c>
      <c r="P4257" s="12"/>
      <c r="Q4257" s="7">
        <f t="shared" si="1042"/>
        <v>7036593.4500000039</v>
      </c>
      <c r="R4257" s="44" t="str">
        <f>VLOOKUP(F4257,'Set up'!$A$2:$E$70,5,FALSE)</f>
        <v>Trsf</v>
      </c>
    </row>
    <row r="4258" spans="1:18" ht="16.2" customHeight="1" x14ac:dyDescent="0.3">
      <c r="A4258" s="150" t="s">
        <v>4084</v>
      </c>
      <c r="B4258" s="5">
        <f t="shared" si="1045"/>
        <v>8</v>
      </c>
      <c r="C4258" s="5">
        <f t="shared" si="1046"/>
        <v>2025</v>
      </c>
      <c r="D4258" s="150" t="s">
        <v>4107</v>
      </c>
      <c r="E4258" s="5" t="str">
        <f>VLOOKUP(F4258,'Set up'!$A$2:$C$70,2,FALSE)</f>
        <v>C00000042</v>
      </c>
      <c r="F4258" s="151" t="s">
        <v>2012</v>
      </c>
      <c r="G4258" s="151" t="s">
        <v>3645</v>
      </c>
      <c r="H4258" s="150">
        <v>4</v>
      </c>
      <c r="I4258" s="5" t="str">
        <f>VLOOKUP(F4258,'Set up'!$A$2:$C$70,3,FALSE)</f>
        <v>Cash</v>
      </c>
      <c r="J4258" s="5">
        <f>VLOOKUP(F4258,'Set up'!$A$2:$D$70,4,FALSE)</f>
        <v>0</v>
      </c>
      <c r="K4258" s="4">
        <f t="shared" si="1037"/>
        <v>45882</v>
      </c>
      <c r="L4258" s="5">
        <f t="shared" si="1038"/>
        <v>8</v>
      </c>
      <c r="M4258" s="5">
        <f t="shared" si="1039"/>
        <v>2025</v>
      </c>
      <c r="N4258" s="156">
        <v>6480</v>
      </c>
      <c r="P4258" s="12"/>
      <c r="Q4258" s="7">
        <f t="shared" si="1042"/>
        <v>7043073.4500000039</v>
      </c>
      <c r="R4258" s="44" t="str">
        <f>VLOOKUP(F4258,'Set up'!$A$2:$E$70,5,FALSE)</f>
        <v>Trsf</v>
      </c>
    </row>
    <row r="4259" spans="1:18" ht="16.2" customHeight="1" x14ac:dyDescent="0.3">
      <c r="A4259" s="150" t="s">
        <v>4084</v>
      </c>
      <c r="B4259" s="5">
        <f t="shared" si="1045"/>
        <v>8</v>
      </c>
      <c r="C4259" s="5">
        <f t="shared" si="1046"/>
        <v>2025</v>
      </c>
      <c r="D4259" s="150" t="s">
        <v>4107</v>
      </c>
      <c r="E4259" s="5" t="str">
        <f>VLOOKUP(F4259,'Set up'!$A$2:$C$70,2,FALSE)</f>
        <v>C00000042</v>
      </c>
      <c r="F4259" s="151" t="s">
        <v>2012</v>
      </c>
      <c r="G4259" s="151" t="s">
        <v>1543</v>
      </c>
      <c r="H4259" s="150">
        <v>15</v>
      </c>
      <c r="I4259" s="5" t="str">
        <f>VLOOKUP(F4259,'Set up'!$A$2:$C$70,3,FALSE)</f>
        <v>Cash</v>
      </c>
      <c r="J4259" s="5">
        <f>VLOOKUP(F4259,'Set up'!$A$2:$D$70,4,FALSE)</f>
        <v>0</v>
      </c>
      <c r="K4259" s="4">
        <f t="shared" si="1037"/>
        <v>45882</v>
      </c>
      <c r="L4259" s="5">
        <f t="shared" si="1038"/>
        <v>8</v>
      </c>
      <c r="M4259" s="5">
        <f t="shared" si="1039"/>
        <v>2025</v>
      </c>
      <c r="N4259" s="156">
        <v>2655</v>
      </c>
      <c r="P4259" s="12"/>
      <c r="Q4259" s="7">
        <f t="shared" si="1042"/>
        <v>7045728.4500000039</v>
      </c>
      <c r="R4259" s="44" t="str">
        <f>VLOOKUP(F4259,'Set up'!$A$2:$E$70,5,FALSE)</f>
        <v>Trsf</v>
      </c>
    </row>
    <row r="4260" spans="1:18" ht="16.2" customHeight="1" x14ac:dyDescent="0.3">
      <c r="A4260" s="150" t="s">
        <v>4084</v>
      </c>
      <c r="B4260" s="5">
        <f t="shared" si="1045"/>
        <v>8</v>
      </c>
      <c r="C4260" s="5">
        <f t="shared" si="1046"/>
        <v>2025</v>
      </c>
      <c r="D4260" s="150" t="s">
        <v>4107</v>
      </c>
      <c r="E4260" s="5" t="str">
        <f>VLOOKUP(F4260,'Set up'!$A$2:$C$70,2,FALSE)</f>
        <v>C00000042</v>
      </c>
      <c r="F4260" s="151" t="s">
        <v>2012</v>
      </c>
      <c r="G4260" s="151" t="s">
        <v>1922</v>
      </c>
      <c r="H4260" s="150">
        <v>8</v>
      </c>
      <c r="I4260" s="5" t="str">
        <f>VLOOKUP(F4260,'Set up'!$A$2:$C$70,3,FALSE)</f>
        <v>Cash</v>
      </c>
      <c r="J4260" s="5">
        <f>VLOOKUP(F4260,'Set up'!$A$2:$D$70,4,FALSE)</f>
        <v>0</v>
      </c>
      <c r="K4260" s="4">
        <f t="shared" si="1037"/>
        <v>45882</v>
      </c>
      <c r="L4260" s="5">
        <f t="shared" si="1038"/>
        <v>8</v>
      </c>
      <c r="M4260" s="5">
        <f t="shared" si="1039"/>
        <v>2025</v>
      </c>
      <c r="N4260" s="156">
        <v>1980</v>
      </c>
      <c r="P4260" s="12"/>
      <c r="Q4260" s="7">
        <f t="shared" si="1042"/>
        <v>7047708.4500000039</v>
      </c>
      <c r="R4260" s="44" t="str">
        <f>VLOOKUP(F4260,'Set up'!$A$2:$E$70,5,FALSE)</f>
        <v>Trsf</v>
      </c>
    </row>
    <row r="4261" spans="1:18" ht="16.2" customHeight="1" x14ac:dyDescent="0.3">
      <c r="A4261" s="150" t="s">
        <v>4084</v>
      </c>
      <c r="B4261" s="5">
        <f t="shared" si="1045"/>
        <v>8</v>
      </c>
      <c r="C4261" s="5">
        <f t="shared" si="1046"/>
        <v>2025</v>
      </c>
      <c r="D4261" s="150" t="s">
        <v>4107</v>
      </c>
      <c r="E4261" s="5" t="str">
        <f>VLOOKUP(F4261,'Set up'!$A$2:$C$70,2,FALSE)</f>
        <v>C00000042</v>
      </c>
      <c r="F4261" s="151" t="s">
        <v>2012</v>
      </c>
      <c r="G4261" s="151" t="s">
        <v>46</v>
      </c>
      <c r="H4261" s="150">
        <v>4</v>
      </c>
      <c r="I4261" s="5" t="str">
        <f>VLOOKUP(F4261,'Set up'!$A$2:$C$70,3,FALSE)</f>
        <v>Cash</v>
      </c>
      <c r="J4261" s="5">
        <f>VLOOKUP(F4261,'Set up'!$A$2:$D$70,4,FALSE)</f>
        <v>0</v>
      </c>
      <c r="K4261" s="4">
        <f t="shared" si="1037"/>
        <v>45882</v>
      </c>
      <c r="L4261" s="5">
        <f t="shared" si="1038"/>
        <v>8</v>
      </c>
      <c r="M4261" s="5">
        <f t="shared" si="1039"/>
        <v>2025</v>
      </c>
      <c r="N4261" s="156">
        <v>460</v>
      </c>
      <c r="P4261" s="12"/>
      <c r="Q4261" s="7">
        <f t="shared" si="1042"/>
        <v>7048168.4500000039</v>
      </c>
      <c r="R4261" s="44" t="str">
        <f>VLOOKUP(F4261,'Set up'!$A$2:$E$70,5,FALSE)</f>
        <v>Trsf</v>
      </c>
    </row>
    <row r="4262" spans="1:18" ht="16.2" customHeight="1" x14ac:dyDescent="0.3">
      <c r="A4262" s="150" t="s">
        <v>4084</v>
      </c>
      <c r="B4262" s="5">
        <f t="shared" si="1045"/>
        <v>8</v>
      </c>
      <c r="C4262" s="5">
        <f t="shared" si="1046"/>
        <v>2025</v>
      </c>
      <c r="D4262" s="150" t="s">
        <v>4107</v>
      </c>
      <c r="E4262" s="5" t="str">
        <f>VLOOKUP(F4262,'Set up'!$A$2:$C$70,2,FALSE)</f>
        <v>C00000042</v>
      </c>
      <c r="F4262" s="151" t="s">
        <v>2012</v>
      </c>
      <c r="G4262" s="151" t="s">
        <v>1073</v>
      </c>
      <c r="H4262" s="150">
        <v>1</v>
      </c>
      <c r="I4262" s="5" t="str">
        <f>VLOOKUP(F4262,'Set up'!$A$2:$C$70,3,FALSE)</f>
        <v>Cash</v>
      </c>
      <c r="J4262" s="5">
        <f>VLOOKUP(F4262,'Set up'!$A$2:$D$70,4,FALSE)</f>
        <v>0</v>
      </c>
      <c r="K4262" s="4">
        <f t="shared" si="1037"/>
        <v>45882</v>
      </c>
      <c r="L4262" s="5">
        <f t="shared" si="1038"/>
        <v>8</v>
      </c>
      <c r="M4262" s="5">
        <f t="shared" si="1039"/>
        <v>2025</v>
      </c>
      <c r="N4262" s="156">
        <v>1000</v>
      </c>
      <c r="P4262" s="12"/>
      <c r="Q4262" s="7">
        <f t="shared" si="1042"/>
        <v>7049168.4500000039</v>
      </c>
      <c r="R4262" s="44" t="str">
        <f>VLOOKUP(F4262,'Set up'!$A$2:$E$70,5,FALSE)</f>
        <v>Trsf</v>
      </c>
    </row>
    <row r="4263" spans="1:18" ht="16.2" customHeight="1" x14ac:dyDescent="0.3">
      <c r="A4263" s="150" t="s">
        <v>4085</v>
      </c>
      <c r="B4263" s="5">
        <f t="shared" si="1045"/>
        <v>8</v>
      </c>
      <c r="C4263" s="5">
        <f t="shared" si="1046"/>
        <v>2025</v>
      </c>
      <c r="D4263" s="150" t="s">
        <v>4108</v>
      </c>
      <c r="E4263" s="5" t="str">
        <f>VLOOKUP(F4263,'Set up'!$A$2:$C$70,2,FALSE)</f>
        <v>C00000061</v>
      </c>
      <c r="F4263" s="151" t="s">
        <v>3532</v>
      </c>
      <c r="G4263" s="151" t="s">
        <v>3122</v>
      </c>
      <c r="H4263" s="150">
        <v>1</v>
      </c>
      <c r="I4263" s="5" t="str">
        <f>VLOOKUP(F4263,'Set up'!$A$2:$C$70,3,FALSE)</f>
        <v>Cash</v>
      </c>
      <c r="J4263" s="5">
        <f>VLOOKUP(F4263,'Set up'!$A$2:$D$70,4,FALSE)</f>
        <v>0</v>
      </c>
      <c r="K4263" s="4">
        <f t="shared" si="1037"/>
        <v>45883</v>
      </c>
      <c r="L4263" s="5">
        <f t="shared" si="1038"/>
        <v>8</v>
      </c>
      <c r="M4263" s="5">
        <f t="shared" si="1039"/>
        <v>2025</v>
      </c>
      <c r="N4263" s="156">
        <v>1642.5</v>
      </c>
      <c r="P4263" s="12"/>
      <c r="Q4263" s="7">
        <f t="shared" si="1042"/>
        <v>7050810.9500000039</v>
      </c>
      <c r="R4263" s="44" t="str">
        <f>VLOOKUP(F4263,'Set up'!$A$2:$E$70,5,FALSE)</f>
        <v>Cash</v>
      </c>
    </row>
    <row r="4264" spans="1:18" ht="16.2" customHeight="1" x14ac:dyDescent="0.3">
      <c r="A4264" s="150" t="s">
        <v>4085</v>
      </c>
      <c r="B4264" s="5">
        <f t="shared" si="1045"/>
        <v>8</v>
      </c>
      <c r="C4264" s="5">
        <f t="shared" si="1046"/>
        <v>2025</v>
      </c>
      <c r="D4264" s="150" t="s">
        <v>4108</v>
      </c>
      <c r="E4264" s="5" t="str">
        <f>VLOOKUP(F4264,'Set up'!$A$2:$C$70,2,FALSE)</f>
        <v>C00000061</v>
      </c>
      <c r="F4264" s="151" t="s">
        <v>3532</v>
      </c>
      <c r="G4264" s="151" t="s">
        <v>3639</v>
      </c>
      <c r="H4264" s="150">
        <v>1</v>
      </c>
      <c r="I4264" s="5" t="str">
        <f>VLOOKUP(F4264,'Set up'!$A$2:$C$70,3,FALSE)</f>
        <v>Cash</v>
      </c>
      <c r="J4264" s="5">
        <f>VLOOKUP(F4264,'Set up'!$A$2:$D$70,4,FALSE)</f>
        <v>0</v>
      </c>
      <c r="K4264" s="4">
        <f t="shared" si="1037"/>
        <v>45883</v>
      </c>
      <c r="L4264" s="5">
        <f t="shared" si="1038"/>
        <v>8</v>
      </c>
      <c r="M4264" s="5">
        <f t="shared" si="1039"/>
        <v>2025</v>
      </c>
      <c r="N4264" s="156">
        <v>408.7</v>
      </c>
      <c r="P4264" s="12"/>
      <c r="Q4264" s="7">
        <f t="shared" si="1042"/>
        <v>7051219.6500000041</v>
      </c>
      <c r="R4264" s="44" t="str">
        <f>VLOOKUP(F4264,'Set up'!$A$2:$E$70,5,FALSE)</f>
        <v>Cash</v>
      </c>
    </row>
    <row r="4265" spans="1:18" ht="16.2" customHeight="1" x14ac:dyDescent="0.3">
      <c r="A4265" s="150" t="s">
        <v>4085</v>
      </c>
      <c r="B4265" s="5">
        <f t="shared" si="1045"/>
        <v>8</v>
      </c>
      <c r="C4265" s="5">
        <f t="shared" si="1046"/>
        <v>2025</v>
      </c>
      <c r="D4265" s="150" t="s">
        <v>4108</v>
      </c>
      <c r="E4265" s="5" t="str">
        <f>VLOOKUP(F4265,'Set up'!$A$2:$C$70,2,FALSE)</f>
        <v>C00000061</v>
      </c>
      <c r="F4265" s="151" t="s">
        <v>3532</v>
      </c>
      <c r="G4265" s="151" t="s">
        <v>46</v>
      </c>
      <c r="H4265" s="150">
        <v>1</v>
      </c>
      <c r="I4265" s="5" t="str">
        <f>VLOOKUP(F4265,'Set up'!$A$2:$C$70,3,FALSE)</f>
        <v>Cash</v>
      </c>
      <c r="J4265" s="5">
        <f>VLOOKUP(F4265,'Set up'!$A$2:$D$70,4,FALSE)</f>
        <v>0</v>
      </c>
      <c r="K4265" s="4">
        <f t="shared" si="1037"/>
        <v>45883</v>
      </c>
      <c r="L4265" s="5">
        <f t="shared" si="1038"/>
        <v>8</v>
      </c>
      <c r="M4265" s="5">
        <f t="shared" si="1039"/>
        <v>2025</v>
      </c>
      <c r="N4265" s="156">
        <v>115</v>
      </c>
      <c r="P4265" s="12"/>
      <c r="Q4265" s="7">
        <f t="shared" si="1042"/>
        <v>7051334.6500000041</v>
      </c>
      <c r="R4265" s="44" t="str">
        <f>VLOOKUP(F4265,'Set up'!$A$2:$E$70,5,FALSE)</f>
        <v>Cash</v>
      </c>
    </row>
    <row r="4266" spans="1:18" ht="16.2" customHeight="1" x14ac:dyDescent="0.3">
      <c r="A4266" s="150" t="s">
        <v>4085</v>
      </c>
      <c r="B4266" s="5">
        <f t="shared" si="1045"/>
        <v>8</v>
      </c>
      <c r="C4266" s="5">
        <f t="shared" si="1046"/>
        <v>2025</v>
      </c>
      <c r="D4266" s="150" t="s">
        <v>4108</v>
      </c>
      <c r="E4266" s="5" t="str">
        <f>VLOOKUP(F4266,'Set up'!$A$2:$C$70,2,FALSE)</f>
        <v>C00000061</v>
      </c>
      <c r="F4266" s="151" t="s">
        <v>3532</v>
      </c>
      <c r="G4266" s="151" t="s">
        <v>2635</v>
      </c>
      <c r="H4266" s="150">
        <v>6</v>
      </c>
      <c r="I4266" s="5" t="str">
        <f>VLOOKUP(F4266,'Set up'!$A$2:$C$70,3,FALSE)</f>
        <v>Cash</v>
      </c>
      <c r="J4266" s="5">
        <f>VLOOKUP(F4266,'Set up'!$A$2:$D$70,4,FALSE)</f>
        <v>0</v>
      </c>
      <c r="K4266" s="4">
        <f t="shared" si="1037"/>
        <v>45883</v>
      </c>
      <c r="L4266" s="5">
        <f t="shared" si="1038"/>
        <v>8</v>
      </c>
      <c r="M4266" s="5">
        <f t="shared" si="1039"/>
        <v>2025</v>
      </c>
      <c r="N4266" s="156">
        <v>345</v>
      </c>
      <c r="P4266" s="12"/>
      <c r="Q4266" s="7">
        <f t="shared" si="1042"/>
        <v>7051679.6500000041</v>
      </c>
      <c r="R4266" s="44" t="str">
        <f>VLOOKUP(F4266,'Set up'!$A$2:$E$70,5,FALSE)</f>
        <v>Cash</v>
      </c>
    </row>
    <row r="4267" spans="1:18" ht="16.2" customHeight="1" x14ac:dyDescent="0.3">
      <c r="A4267" s="150" t="s">
        <v>4085</v>
      </c>
      <c r="B4267" s="5">
        <f t="shared" si="1045"/>
        <v>8</v>
      </c>
      <c r="C4267" s="5">
        <f t="shared" si="1046"/>
        <v>2025</v>
      </c>
      <c r="D4267" s="150" t="s">
        <v>4109</v>
      </c>
      <c r="E4267" s="5" t="str">
        <f>VLOOKUP(F4267,'Set up'!$A$2:$C$70,2,FALSE)</f>
        <v>C00000010</v>
      </c>
      <c r="F4267" s="151" t="s">
        <v>62</v>
      </c>
      <c r="G4267" s="151" t="s">
        <v>3645</v>
      </c>
      <c r="H4267" s="150">
        <v>10</v>
      </c>
      <c r="I4267" s="5">
        <f>VLOOKUP(F4267,'Set up'!$A$2:$C$70,3,FALSE)</f>
        <v>120</v>
      </c>
      <c r="J4267" s="5">
        <f>VLOOKUP(F4267,'Set up'!$A$2:$D$70,4,FALSE)</f>
        <v>120</v>
      </c>
      <c r="K4267" s="4">
        <f t="shared" si="1037"/>
        <v>46003</v>
      </c>
      <c r="L4267" s="5">
        <f t="shared" si="1038"/>
        <v>12</v>
      </c>
      <c r="M4267" s="5">
        <f t="shared" si="1039"/>
        <v>2025</v>
      </c>
      <c r="N4267" s="156">
        <v>15750</v>
      </c>
      <c r="P4267" s="12"/>
      <c r="Q4267" s="7">
        <f t="shared" si="1042"/>
        <v>7067429.6500000041</v>
      </c>
      <c r="R4267" s="44" t="str">
        <f>VLOOKUP(F4267,'Set up'!$A$2:$E$70,5,FALSE)</f>
        <v>Trsf</v>
      </c>
    </row>
    <row r="4268" spans="1:18" ht="16.2" customHeight="1" x14ac:dyDescent="0.3">
      <c r="A4268" s="150" t="s">
        <v>4085</v>
      </c>
      <c r="B4268" s="5">
        <f t="shared" si="1045"/>
        <v>8</v>
      </c>
      <c r="C4268" s="5">
        <f t="shared" si="1046"/>
        <v>2025</v>
      </c>
      <c r="D4268" s="150" t="s">
        <v>4109</v>
      </c>
      <c r="E4268" s="5" t="str">
        <f>VLOOKUP(F4268,'Set up'!$A$2:$C$70,2,FALSE)</f>
        <v>C00000010</v>
      </c>
      <c r="F4268" s="151" t="s">
        <v>62</v>
      </c>
      <c r="G4268" s="151" t="s">
        <v>2129</v>
      </c>
      <c r="H4268" s="150">
        <v>10</v>
      </c>
      <c r="I4268" s="5">
        <f>VLOOKUP(F4268,'Set up'!$A$2:$C$70,3,FALSE)</f>
        <v>120</v>
      </c>
      <c r="J4268" s="5">
        <f>VLOOKUP(F4268,'Set up'!$A$2:$D$70,4,FALSE)</f>
        <v>120</v>
      </c>
      <c r="K4268" s="4">
        <f t="shared" si="1037"/>
        <v>46003</v>
      </c>
      <c r="L4268" s="5">
        <f t="shared" si="1038"/>
        <v>12</v>
      </c>
      <c r="M4268" s="5">
        <f t="shared" si="1039"/>
        <v>2025</v>
      </c>
      <c r="N4268" s="156">
        <v>2146</v>
      </c>
      <c r="P4268" s="12"/>
      <c r="Q4268" s="7">
        <f t="shared" si="1042"/>
        <v>7069575.6500000041</v>
      </c>
      <c r="R4268" s="44" t="str">
        <f>VLOOKUP(F4268,'Set up'!$A$2:$E$70,5,FALSE)</f>
        <v>Trsf</v>
      </c>
    </row>
    <row r="4269" spans="1:18" ht="16.2" customHeight="1" x14ac:dyDescent="0.3">
      <c r="A4269" s="150" t="s">
        <v>4085</v>
      </c>
      <c r="B4269" s="5">
        <f t="shared" si="1045"/>
        <v>8</v>
      </c>
      <c r="C4269" s="5">
        <f t="shared" si="1046"/>
        <v>2025</v>
      </c>
      <c r="D4269" s="150" t="s">
        <v>4109</v>
      </c>
      <c r="E4269" s="5" t="str">
        <f>VLOOKUP(F4269,'Set up'!$A$2:$C$70,2,FALSE)</f>
        <v>C00000010</v>
      </c>
      <c r="F4269" s="151" t="s">
        <v>62</v>
      </c>
      <c r="G4269" s="151" t="s">
        <v>946</v>
      </c>
      <c r="H4269" s="150">
        <v>4</v>
      </c>
      <c r="I4269" s="5">
        <f>VLOOKUP(F4269,'Set up'!$A$2:$C$70,3,FALSE)</f>
        <v>120</v>
      </c>
      <c r="J4269" s="5">
        <f>VLOOKUP(F4269,'Set up'!$A$2:$D$70,4,FALSE)</f>
        <v>120</v>
      </c>
      <c r="K4269" s="4">
        <f t="shared" si="1037"/>
        <v>46003</v>
      </c>
      <c r="L4269" s="5">
        <f t="shared" si="1038"/>
        <v>12</v>
      </c>
      <c r="M4269" s="5">
        <f t="shared" si="1039"/>
        <v>2025</v>
      </c>
      <c r="N4269" s="156">
        <v>230.4</v>
      </c>
      <c r="P4269" s="12"/>
      <c r="Q4269" s="7">
        <f t="shared" si="1042"/>
        <v>7069806.0500000045</v>
      </c>
      <c r="R4269" s="44" t="str">
        <f>VLOOKUP(F4269,'Set up'!$A$2:$E$70,5,FALSE)</f>
        <v>Trsf</v>
      </c>
    </row>
    <row r="4270" spans="1:18" ht="16.2" customHeight="1" x14ac:dyDescent="0.3">
      <c r="A4270" s="150" t="s">
        <v>4085</v>
      </c>
      <c r="B4270" s="5">
        <f t="shared" si="1045"/>
        <v>8</v>
      </c>
      <c r="C4270" s="5">
        <f t="shared" si="1046"/>
        <v>2025</v>
      </c>
      <c r="D4270" s="150" t="s">
        <v>4109</v>
      </c>
      <c r="E4270" s="5" t="str">
        <f>VLOOKUP(F4270,'Set up'!$A$2:$C$70,2,FALSE)</f>
        <v>C00000010</v>
      </c>
      <c r="F4270" s="151" t="s">
        <v>62</v>
      </c>
      <c r="G4270" s="151" t="s">
        <v>614</v>
      </c>
      <c r="H4270" s="150">
        <v>1</v>
      </c>
      <c r="I4270" s="5">
        <f>VLOOKUP(F4270,'Set up'!$A$2:$C$70,3,FALSE)</f>
        <v>120</v>
      </c>
      <c r="J4270" s="5">
        <f>VLOOKUP(F4270,'Set up'!$A$2:$D$70,4,FALSE)</f>
        <v>120</v>
      </c>
      <c r="K4270" s="4">
        <f t="shared" si="1037"/>
        <v>46003</v>
      </c>
      <c r="L4270" s="5">
        <f t="shared" si="1038"/>
        <v>12</v>
      </c>
      <c r="M4270" s="5">
        <f t="shared" si="1039"/>
        <v>2025</v>
      </c>
      <c r="N4270" s="156">
        <v>395</v>
      </c>
      <c r="P4270" s="12"/>
      <c r="Q4270" s="7">
        <f t="shared" si="1042"/>
        <v>7070201.0500000045</v>
      </c>
      <c r="R4270" s="44" t="str">
        <f>VLOOKUP(F4270,'Set up'!$A$2:$E$70,5,FALSE)</f>
        <v>Trsf</v>
      </c>
    </row>
    <row r="4271" spans="1:18" ht="16.2" customHeight="1" x14ac:dyDescent="0.3">
      <c r="A4271" s="150" t="s">
        <v>4085</v>
      </c>
      <c r="B4271" s="5">
        <f t="shared" si="1045"/>
        <v>8</v>
      </c>
      <c r="C4271" s="5">
        <f t="shared" si="1046"/>
        <v>2025</v>
      </c>
      <c r="D4271" s="150" t="s">
        <v>4109</v>
      </c>
      <c r="E4271" s="5" t="str">
        <f>VLOOKUP(F4271,'Set up'!$A$2:$C$70,2,FALSE)</f>
        <v>C00000010</v>
      </c>
      <c r="F4271" s="151" t="s">
        <v>62</v>
      </c>
      <c r="G4271" s="151" t="s">
        <v>2449</v>
      </c>
      <c r="H4271" s="150">
        <v>1</v>
      </c>
      <c r="I4271" s="5">
        <f>VLOOKUP(F4271,'Set up'!$A$2:$C$70,3,FALSE)</f>
        <v>120</v>
      </c>
      <c r="J4271" s="5">
        <f>VLOOKUP(F4271,'Set up'!$A$2:$D$70,4,FALSE)</f>
        <v>120</v>
      </c>
      <c r="K4271" s="4">
        <f t="shared" si="1037"/>
        <v>46003</v>
      </c>
      <c r="L4271" s="5">
        <f t="shared" si="1038"/>
        <v>12</v>
      </c>
      <c r="M4271" s="5">
        <f t="shared" si="1039"/>
        <v>2025</v>
      </c>
      <c r="N4271" s="156">
        <v>420</v>
      </c>
      <c r="P4271" s="12"/>
      <c r="Q4271" s="7">
        <f t="shared" si="1042"/>
        <v>7070621.0500000045</v>
      </c>
      <c r="R4271" s="44" t="str">
        <f>VLOOKUP(F4271,'Set up'!$A$2:$E$70,5,FALSE)</f>
        <v>Trsf</v>
      </c>
    </row>
    <row r="4272" spans="1:18" ht="16.2" customHeight="1" x14ac:dyDescent="0.3">
      <c r="A4272" s="150" t="s">
        <v>4086</v>
      </c>
      <c r="B4272" s="5">
        <f t="shared" si="1045"/>
        <v>8</v>
      </c>
      <c r="C4272" s="5">
        <f t="shared" si="1046"/>
        <v>2025</v>
      </c>
      <c r="D4272" s="150" t="s">
        <v>4110</v>
      </c>
      <c r="E4272" s="5" t="str">
        <f>VLOOKUP(F4272,'Set up'!$A$2:$C$70,2,FALSE)</f>
        <v>C00000062</v>
      </c>
      <c r="F4272" s="151" t="s">
        <v>3867</v>
      </c>
      <c r="G4272" s="151" t="s">
        <v>4132</v>
      </c>
      <c r="H4272" s="150">
        <v>1</v>
      </c>
      <c r="I4272" s="5" t="str">
        <f>VLOOKUP(F4272,'Set up'!$A$2:$C$70,3,FALSE)</f>
        <v>Cash</v>
      </c>
      <c r="J4272" s="5">
        <f>VLOOKUP(F4272,'Set up'!$A$2:$D$70,4,FALSE)</f>
        <v>0</v>
      </c>
      <c r="K4272" s="4">
        <f t="shared" si="1037"/>
        <v>45884</v>
      </c>
      <c r="L4272" s="5">
        <f t="shared" si="1038"/>
        <v>8</v>
      </c>
      <c r="M4272" s="5">
        <f t="shared" si="1039"/>
        <v>2025</v>
      </c>
      <c r="N4272" s="156">
        <v>258</v>
      </c>
      <c r="P4272" s="12"/>
      <c r="Q4272" s="7">
        <f t="shared" si="1042"/>
        <v>7070879.0500000045</v>
      </c>
      <c r="R4272" s="44" t="str">
        <f>VLOOKUP(F4272,'Set up'!$A$2:$E$70,5,FALSE)</f>
        <v>Cash</v>
      </c>
    </row>
    <row r="4273" spans="1:18" s="10" customFormat="1" ht="16.2" customHeight="1" x14ac:dyDescent="0.3">
      <c r="A4273" s="152" t="s">
        <v>4086</v>
      </c>
      <c r="B4273" s="153">
        <f t="shared" si="1045"/>
        <v>8</v>
      </c>
      <c r="C4273" s="153">
        <f t="shared" si="1046"/>
        <v>2025</v>
      </c>
      <c r="D4273" s="152" t="s">
        <v>4129</v>
      </c>
      <c r="E4273" s="153" t="str">
        <f>VLOOKUP(F4273,'Set up'!$A$2:$C$70,2,FALSE)</f>
        <v>C00000006</v>
      </c>
      <c r="F4273" s="151" t="s">
        <v>43</v>
      </c>
      <c r="G4273" s="151" t="s">
        <v>4132</v>
      </c>
      <c r="H4273" s="150">
        <v>1</v>
      </c>
      <c r="I4273" s="153" t="str">
        <f>VLOOKUP(F4273,'Set up'!$A$2:$C$70,3,FALSE)</f>
        <v>Cash</v>
      </c>
      <c r="J4273" s="153">
        <f>VLOOKUP(F4273,'Set up'!$A$2:$D$70,4,FALSE)</f>
        <v>0</v>
      </c>
      <c r="K4273" s="4">
        <f t="shared" si="1037"/>
        <v>45884</v>
      </c>
      <c r="L4273" s="5">
        <f t="shared" si="1038"/>
        <v>8</v>
      </c>
      <c r="M4273" s="5">
        <f t="shared" si="1039"/>
        <v>2025</v>
      </c>
      <c r="N4273" s="156">
        <v>258</v>
      </c>
      <c r="O4273" s="34"/>
      <c r="P4273" s="34"/>
      <c r="Q4273" s="7">
        <f t="shared" si="1042"/>
        <v>7071137.0500000045</v>
      </c>
      <c r="R4273" s="155" t="str">
        <f>VLOOKUP(F4273,'Set up'!$A$2:$E$70,5,FALSE)</f>
        <v>Chq</v>
      </c>
    </row>
    <row r="4274" spans="1:18" ht="16.2" customHeight="1" x14ac:dyDescent="0.3">
      <c r="A4274" s="150" t="s">
        <v>4087</v>
      </c>
      <c r="B4274" s="5">
        <f t="shared" si="1045"/>
        <v>8</v>
      </c>
      <c r="C4274" s="5">
        <f t="shared" si="1046"/>
        <v>2025</v>
      </c>
      <c r="D4274" s="150" t="s">
        <v>4111</v>
      </c>
      <c r="E4274" s="5" t="e">
        <f>VLOOKUP(F4274,'Set up'!$A$2:$C$70,2,FALSE)</f>
        <v>#N/A</v>
      </c>
      <c r="F4274" s="151" t="s">
        <v>4130</v>
      </c>
      <c r="G4274" s="151" t="s">
        <v>3122</v>
      </c>
      <c r="H4274" s="150">
        <v>1</v>
      </c>
      <c r="I4274" s="5" t="e">
        <f>VLOOKUP(F4274,'Set up'!$A$2:$C$70,3,FALSE)</f>
        <v>#N/A</v>
      </c>
      <c r="J4274" s="5" t="e">
        <f>VLOOKUP(F4274,'Set up'!$A$2:$D$70,4,FALSE)</f>
        <v>#N/A</v>
      </c>
      <c r="K4274" s="4" t="e">
        <f t="shared" si="1037"/>
        <v>#N/A</v>
      </c>
      <c r="L4274" s="5" t="e">
        <f t="shared" si="1038"/>
        <v>#N/A</v>
      </c>
      <c r="M4274" s="5" t="e">
        <f t="shared" si="1039"/>
        <v>#N/A</v>
      </c>
      <c r="N4274" s="156">
        <v>1710</v>
      </c>
      <c r="P4274" s="12"/>
      <c r="Q4274" s="7">
        <f t="shared" si="1042"/>
        <v>7072847.0500000045</v>
      </c>
      <c r="R4274" s="44" t="e">
        <f>VLOOKUP(F4274,'Set up'!$A$2:$E$70,5,FALSE)</f>
        <v>#N/A</v>
      </c>
    </row>
    <row r="4275" spans="1:18" ht="16.2" customHeight="1" x14ac:dyDescent="0.3">
      <c r="A4275" s="150" t="s">
        <v>4087</v>
      </c>
      <c r="B4275" s="5">
        <f t="shared" si="1045"/>
        <v>8</v>
      </c>
      <c r="C4275" s="5">
        <f t="shared" si="1046"/>
        <v>2025</v>
      </c>
      <c r="D4275" s="150" t="s">
        <v>4111</v>
      </c>
      <c r="E4275" s="5" t="e">
        <f>VLOOKUP(F4275,'Set up'!$A$2:$C$70,2,FALSE)</f>
        <v>#N/A</v>
      </c>
      <c r="F4275" s="151" t="s">
        <v>4130</v>
      </c>
      <c r="G4275" s="151" t="s">
        <v>707</v>
      </c>
      <c r="H4275" s="150">
        <v>1</v>
      </c>
      <c r="I4275" s="5" t="e">
        <f>VLOOKUP(F4275,'Set up'!$A$2:$C$70,3,FALSE)</f>
        <v>#N/A</v>
      </c>
      <c r="J4275" s="5" t="e">
        <f>VLOOKUP(F4275,'Set up'!$A$2:$D$70,4,FALSE)</f>
        <v>#N/A</v>
      </c>
      <c r="K4275" s="4" t="e">
        <f t="shared" si="1037"/>
        <v>#N/A</v>
      </c>
      <c r="L4275" s="5" t="e">
        <f t="shared" si="1038"/>
        <v>#N/A</v>
      </c>
      <c r="M4275" s="5" t="e">
        <f t="shared" si="1039"/>
        <v>#N/A</v>
      </c>
      <c r="N4275" s="156">
        <v>394.2</v>
      </c>
      <c r="P4275" s="12"/>
      <c r="Q4275" s="7">
        <f t="shared" si="1042"/>
        <v>7073241.2500000047</v>
      </c>
      <c r="R4275" s="44" t="e">
        <f>VLOOKUP(F4275,'Set up'!$A$2:$E$70,5,FALSE)</f>
        <v>#N/A</v>
      </c>
    </row>
    <row r="4276" spans="1:18" ht="16.2" customHeight="1" x14ac:dyDescent="0.3">
      <c r="A4276" s="150" t="s">
        <v>4087</v>
      </c>
      <c r="B4276" s="5">
        <f t="shared" si="1045"/>
        <v>8</v>
      </c>
      <c r="C4276" s="5">
        <f t="shared" si="1046"/>
        <v>2025</v>
      </c>
      <c r="D4276" s="150" t="s">
        <v>4111</v>
      </c>
      <c r="E4276" s="5" t="e">
        <f>VLOOKUP(F4276,'Set up'!$A$2:$C$70,2,FALSE)</f>
        <v>#N/A</v>
      </c>
      <c r="F4276" s="151" t="s">
        <v>4130</v>
      </c>
      <c r="G4276" s="151" t="s">
        <v>4133</v>
      </c>
      <c r="H4276" s="150">
        <v>1</v>
      </c>
      <c r="I4276" s="5" t="e">
        <f>VLOOKUP(F4276,'Set up'!$A$2:$C$70,3,FALSE)</f>
        <v>#N/A</v>
      </c>
      <c r="J4276" s="5" t="e">
        <f>VLOOKUP(F4276,'Set up'!$A$2:$D$70,4,FALSE)</f>
        <v>#N/A</v>
      </c>
      <c r="K4276" s="4" t="e">
        <f t="shared" si="1037"/>
        <v>#N/A</v>
      </c>
      <c r="L4276" s="5" t="e">
        <f t="shared" si="1038"/>
        <v>#N/A</v>
      </c>
      <c r="M4276" s="5" t="e">
        <f t="shared" si="1039"/>
        <v>#N/A</v>
      </c>
      <c r="N4276" s="156">
        <v>155</v>
      </c>
      <c r="P4276" s="12"/>
      <c r="Q4276" s="7">
        <f t="shared" si="1042"/>
        <v>7073396.2500000047</v>
      </c>
      <c r="R4276" s="44" t="e">
        <f>VLOOKUP(F4276,'Set up'!$A$2:$E$70,5,FALSE)</f>
        <v>#N/A</v>
      </c>
    </row>
    <row r="4277" spans="1:18" ht="16.2" customHeight="1" x14ac:dyDescent="0.3">
      <c r="A4277" s="150" t="s">
        <v>4087</v>
      </c>
      <c r="B4277" s="5">
        <f t="shared" si="1045"/>
        <v>8</v>
      </c>
      <c r="C4277" s="5">
        <f t="shared" si="1046"/>
        <v>2025</v>
      </c>
      <c r="D4277" s="150" t="s">
        <v>4111</v>
      </c>
      <c r="E4277" s="5" t="e">
        <f>VLOOKUP(F4277,'Set up'!$A$2:$C$70,2,FALSE)</f>
        <v>#N/A</v>
      </c>
      <c r="F4277" s="151" t="s">
        <v>4130</v>
      </c>
      <c r="G4277" s="151" t="s">
        <v>1405</v>
      </c>
      <c r="H4277" s="150">
        <v>2</v>
      </c>
      <c r="I4277" s="5" t="e">
        <f>VLOOKUP(F4277,'Set up'!$A$2:$C$70,3,FALSE)</f>
        <v>#N/A</v>
      </c>
      <c r="J4277" s="5" t="e">
        <f>VLOOKUP(F4277,'Set up'!$A$2:$D$70,4,FALSE)</f>
        <v>#N/A</v>
      </c>
      <c r="K4277" s="4" t="e">
        <f t="shared" si="1037"/>
        <v>#N/A</v>
      </c>
      <c r="L4277" s="5" t="e">
        <f t="shared" si="1038"/>
        <v>#N/A</v>
      </c>
      <c r="M4277" s="5" t="e">
        <f t="shared" si="1039"/>
        <v>#N/A</v>
      </c>
      <c r="N4277" s="156">
        <v>96</v>
      </c>
      <c r="P4277" s="12"/>
      <c r="Q4277" s="7">
        <f t="shared" si="1042"/>
        <v>7073492.2500000047</v>
      </c>
      <c r="R4277" s="44" t="e">
        <f>VLOOKUP(F4277,'Set up'!$A$2:$E$70,5,FALSE)</f>
        <v>#N/A</v>
      </c>
    </row>
    <row r="4278" spans="1:18" ht="16.2" customHeight="1" x14ac:dyDescent="0.3">
      <c r="A4278" s="150" t="s">
        <v>4087</v>
      </c>
      <c r="B4278" s="5">
        <f t="shared" si="1045"/>
        <v>8</v>
      </c>
      <c r="C4278" s="5">
        <f t="shared" si="1046"/>
        <v>2025</v>
      </c>
      <c r="D4278" s="150" t="s">
        <v>4111</v>
      </c>
      <c r="E4278" s="5" t="e">
        <f>VLOOKUP(F4278,'Set up'!$A$2:$C$70,2,FALSE)</f>
        <v>#N/A</v>
      </c>
      <c r="F4278" s="151" t="s">
        <v>4130</v>
      </c>
      <c r="G4278" s="151" t="s">
        <v>2646</v>
      </c>
      <c r="H4278" s="150">
        <v>1</v>
      </c>
      <c r="I4278" s="5" t="e">
        <f>VLOOKUP(F4278,'Set up'!$A$2:$C$70,3,FALSE)</f>
        <v>#N/A</v>
      </c>
      <c r="J4278" s="5" t="e">
        <f>VLOOKUP(F4278,'Set up'!$A$2:$D$70,4,FALSE)</f>
        <v>#N/A</v>
      </c>
      <c r="K4278" s="4" t="e">
        <f t="shared" si="1037"/>
        <v>#N/A</v>
      </c>
      <c r="L4278" s="5" t="e">
        <f t="shared" si="1038"/>
        <v>#N/A</v>
      </c>
      <c r="M4278" s="5" t="e">
        <f t="shared" si="1039"/>
        <v>#N/A</v>
      </c>
      <c r="N4278" s="156">
        <v>62.5</v>
      </c>
      <c r="P4278" s="12"/>
      <c r="Q4278" s="7">
        <f t="shared" si="1042"/>
        <v>7073554.7500000047</v>
      </c>
      <c r="R4278" s="44" t="e">
        <f>VLOOKUP(F4278,'Set up'!$A$2:$E$70,5,FALSE)</f>
        <v>#N/A</v>
      </c>
    </row>
    <row r="4279" spans="1:18" ht="16.2" customHeight="1" x14ac:dyDescent="0.3">
      <c r="A4279" s="150" t="s">
        <v>4088</v>
      </c>
      <c r="B4279" s="5">
        <f t="shared" si="1045"/>
        <v>8</v>
      </c>
      <c r="C4279" s="5">
        <f t="shared" si="1046"/>
        <v>2025</v>
      </c>
      <c r="D4279" s="150" t="s">
        <v>4112</v>
      </c>
      <c r="E4279" s="5" t="str">
        <f>VLOOKUP(F4279,'Set up'!$A$2:$C$70,2,FALSE)</f>
        <v>C00000045</v>
      </c>
      <c r="F4279" s="151" t="s">
        <v>2271</v>
      </c>
      <c r="G4279" s="151" t="s">
        <v>3645</v>
      </c>
      <c r="H4279" s="150">
        <v>1</v>
      </c>
      <c r="I4279" s="5" t="str">
        <f>VLOOKUP(F4279,'Set up'!$A$2:$C$70,3,FALSE)</f>
        <v>Cash</v>
      </c>
      <c r="J4279" s="5">
        <f>VLOOKUP(F4279,'Set up'!$A$2:$D$70,4,FALSE)</f>
        <v>0</v>
      </c>
      <c r="K4279" s="4">
        <f t="shared" si="1037"/>
        <v>45887</v>
      </c>
      <c r="L4279" s="5">
        <f t="shared" si="1038"/>
        <v>8</v>
      </c>
      <c r="M4279" s="5">
        <f t="shared" si="1039"/>
        <v>2025</v>
      </c>
      <c r="N4279" s="156">
        <v>1575</v>
      </c>
      <c r="P4279" s="12"/>
      <c r="Q4279" s="7">
        <f t="shared" si="1042"/>
        <v>7075129.7500000047</v>
      </c>
      <c r="R4279" s="44" t="str">
        <f>VLOOKUP(F4279,'Set up'!$A$2:$E$70,5,FALSE)</f>
        <v>Trsf</v>
      </c>
    </row>
    <row r="4280" spans="1:18" ht="16.2" customHeight="1" x14ac:dyDescent="0.3">
      <c r="A4280" s="150" t="s">
        <v>4089</v>
      </c>
      <c r="B4280" s="5">
        <f t="shared" si="1045"/>
        <v>8</v>
      </c>
      <c r="C4280" s="5">
        <f t="shared" si="1046"/>
        <v>2025</v>
      </c>
      <c r="D4280" s="150" t="s">
        <v>4113</v>
      </c>
      <c r="E4280" s="5" t="str">
        <f>VLOOKUP(F4280,'Set up'!$A$2:$C$70,2,FALSE)</f>
        <v>C00000045</v>
      </c>
      <c r="F4280" s="151" t="s">
        <v>2271</v>
      </c>
      <c r="G4280" s="151" t="s">
        <v>4134</v>
      </c>
      <c r="H4280" s="150">
        <v>1</v>
      </c>
      <c r="I4280" s="5" t="str">
        <f>VLOOKUP(F4280,'Set up'!$A$2:$C$70,3,FALSE)</f>
        <v>Cash</v>
      </c>
      <c r="J4280" s="5">
        <f>VLOOKUP(F4280,'Set up'!$A$2:$D$70,4,FALSE)</f>
        <v>0</v>
      </c>
      <c r="K4280" s="4">
        <f t="shared" si="1037"/>
        <v>45888</v>
      </c>
      <c r="L4280" s="5">
        <f t="shared" si="1038"/>
        <v>8</v>
      </c>
      <c r="M4280" s="5">
        <f t="shared" si="1039"/>
        <v>2025</v>
      </c>
      <c r="N4280" s="156">
        <v>239.8</v>
      </c>
      <c r="P4280" s="12"/>
      <c r="Q4280" s="7">
        <f t="shared" si="1042"/>
        <v>7075369.5500000045</v>
      </c>
      <c r="R4280" s="44" t="str">
        <f>VLOOKUP(F4280,'Set up'!$A$2:$E$70,5,FALSE)</f>
        <v>Trsf</v>
      </c>
    </row>
    <row r="4281" spans="1:18" ht="16.2" customHeight="1" x14ac:dyDescent="0.3">
      <c r="A4281" s="150" t="s">
        <v>4090</v>
      </c>
      <c r="B4281" s="5">
        <f t="shared" si="1045"/>
        <v>8</v>
      </c>
      <c r="C4281" s="5">
        <f t="shared" si="1046"/>
        <v>2025</v>
      </c>
      <c r="D4281" s="150" t="s">
        <v>4114</v>
      </c>
      <c r="E4281" s="5" t="str">
        <f>VLOOKUP(F4281,'Set up'!$A$2:$C$70,2,FALSE)</f>
        <v>C00000045</v>
      </c>
      <c r="F4281" s="151" t="s">
        <v>2271</v>
      </c>
      <c r="G4281" s="151" t="s">
        <v>3645</v>
      </c>
      <c r="H4281" s="150">
        <v>2</v>
      </c>
      <c r="I4281" s="5" t="str">
        <f>VLOOKUP(F4281,'Set up'!$A$2:$C$70,3,FALSE)</f>
        <v>Cash</v>
      </c>
      <c r="J4281" s="5">
        <f>VLOOKUP(F4281,'Set up'!$A$2:$D$70,4,FALSE)</f>
        <v>0</v>
      </c>
      <c r="K4281" s="4">
        <f t="shared" si="1037"/>
        <v>45889</v>
      </c>
      <c r="L4281" s="5">
        <f t="shared" si="1038"/>
        <v>8</v>
      </c>
      <c r="M4281" s="5">
        <f t="shared" si="1039"/>
        <v>2025</v>
      </c>
      <c r="N4281" s="156">
        <v>3150</v>
      </c>
      <c r="P4281" s="12"/>
      <c r="Q4281" s="7">
        <f t="shared" si="1042"/>
        <v>7078519.5500000045</v>
      </c>
      <c r="R4281" s="44" t="str">
        <f>VLOOKUP(F4281,'Set up'!$A$2:$E$70,5,FALSE)</f>
        <v>Trsf</v>
      </c>
    </row>
    <row r="4282" spans="1:18" ht="16.2" customHeight="1" x14ac:dyDescent="0.3">
      <c r="A4282" s="150" t="s">
        <v>4090</v>
      </c>
      <c r="B4282" s="5">
        <f t="shared" si="1045"/>
        <v>8</v>
      </c>
      <c r="C4282" s="5">
        <f t="shared" si="1046"/>
        <v>2025</v>
      </c>
      <c r="D4282" s="150" t="s">
        <v>4114</v>
      </c>
      <c r="E4282" s="5" t="str">
        <f>VLOOKUP(F4282,'Set up'!$A$2:$C$70,2,FALSE)</f>
        <v>C00000045</v>
      </c>
      <c r="F4282" s="151" t="s">
        <v>2271</v>
      </c>
      <c r="G4282" s="151" t="s">
        <v>2129</v>
      </c>
      <c r="H4282" s="150">
        <v>4</v>
      </c>
      <c r="I4282" s="5" t="str">
        <f>VLOOKUP(F4282,'Set up'!$A$2:$C$70,3,FALSE)</f>
        <v>Cash</v>
      </c>
      <c r="J4282" s="5">
        <f>VLOOKUP(F4282,'Set up'!$A$2:$D$70,4,FALSE)</f>
        <v>0</v>
      </c>
      <c r="K4282" s="4">
        <f t="shared" si="1037"/>
        <v>45889</v>
      </c>
      <c r="L4282" s="5">
        <f t="shared" si="1038"/>
        <v>8</v>
      </c>
      <c r="M4282" s="5">
        <f t="shared" si="1039"/>
        <v>2025</v>
      </c>
      <c r="N4282" s="156">
        <v>873.2</v>
      </c>
      <c r="P4282" s="12"/>
      <c r="Q4282" s="7">
        <f t="shared" si="1042"/>
        <v>7079392.7500000047</v>
      </c>
      <c r="R4282" s="44" t="str">
        <f>VLOOKUP(F4282,'Set up'!$A$2:$E$70,5,FALSE)</f>
        <v>Trsf</v>
      </c>
    </row>
    <row r="4283" spans="1:18" ht="16.2" customHeight="1" x14ac:dyDescent="0.3">
      <c r="A4283" s="150" t="s">
        <v>4090</v>
      </c>
      <c r="B4283" s="5">
        <f t="shared" si="1045"/>
        <v>8</v>
      </c>
      <c r="C4283" s="5">
        <f t="shared" si="1046"/>
        <v>2025</v>
      </c>
      <c r="D4283" s="150" t="s">
        <v>4114</v>
      </c>
      <c r="E4283" s="5" t="str">
        <f>VLOOKUP(F4283,'Set up'!$A$2:$C$70,2,FALSE)</f>
        <v>C00000045</v>
      </c>
      <c r="F4283" s="151" t="s">
        <v>2271</v>
      </c>
      <c r="G4283" s="151" t="s">
        <v>46</v>
      </c>
      <c r="H4283" s="150">
        <v>4</v>
      </c>
      <c r="I4283" s="5" t="str">
        <f>VLOOKUP(F4283,'Set up'!$A$2:$C$70,3,FALSE)</f>
        <v>Cash</v>
      </c>
      <c r="J4283" s="5">
        <f>VLOOKUP(F4283,'Set up'!$A$2:$D$70,4,FALSE)</f>
        <v>0</v>
      </c>
      <c r="K4283" s="4">
        <f t="shared" si="1037"/>
        <v>45889</v>
      </c>
      <c r="L4283" s="5">
        <f t="shared" si="1038"/>
        <v>8</v>
      </c>
      <c r="M4283" s="5">
        <f t="shared" si="1039"/>
        <v>2025</v>
      </c>
      <c r="N4283" s="156">
        <v>460</v>
      </c>
      <c r="P4283" s="12"/>
      <c r="Q4283" s="7">
        <f t="shared" si="1042"/>
        <v>7079852.7500000047</v>
      </c>
      <c r="R4283" s="44" t="str">
        <f>VLOOKUP(F4283,'Set up'!$A$2:$E$70,5,FALSE)</f>
        <v>Trsf</v>
      </c>
    </row>
    <row r="4284" spans="1:18" ht="16.2" customHeight="1" x14ac:dyDescent="0.3">
      <c r="A4284" s="150" t="s">
        <v>4090</v>
      </c>
      <c r="B4284" s="5">
        <f t="shared" si="1045"/>
        <v>8</v>
      </c>
      <c r="C4284" s="5">
        <f t="shared" si="1046"/>
        <v>2025</v>
      </c>
      <c r="D4284" s="150" t="s">
        <v>4115</v>
      </c>
      <c r="E4284" s="5" t="str">
        <f>VLOOKUP(F4284,'Set up'!$A$2:$C$70,2,FALSE)</f>
        <v>C00000042</v>
      </c>
      <c r="F4284" s="151" t="s">
        <v>2012</v>
      </c>
      <c r="G4284" s="151" t="s">
        <v>3217</v>
      </c>
      <c r="H4284" s="150">
        <v>3</v>
      </c>
      <c r="I4284" s="5" t="str">
        <f>VLOOKUP(F4284,'Set up'!$A$2:$C$70,3,FALSE)</f>
        <v>Cash</v>
      </c>
      <c r="J4284" s="5">
        <f>VLOOKUP(F4284,'Set up'!$A$2:$D$70,4,FALSE)</f>
        <v>0</v>
      </c>
      <c r="K4284" s="4">
        <f t="shared" si="1037"/>
        <v>45889</v>
      </c>
      <c r="L4284" s="5">
        <f t="shared" si="1038"/>
        <v>8</v>
      </c>
      <c r="M4284" s="5">
        <f t="shared" si="1039"/>
        <v>2025</v>
      </c>
      <c r="N4284" s="156">
        <v>4860</v>
      </c>
      <c r="P4284" s="12"/>
      <c r="Q4284" s="7">
        <f t="shared" si="1042"/>
        <v>7084712.7500000047</v>
      </c>
      <c r="R4284" s="44" t="str">
        <f>VLOOKUP(F4284,'Set up'!$A$2:$E$70,5,FALSE)</f>
        <v>Trsf</v>
      </c>
    </row>
    <row r="4285" spans="1:18" ht="16.2" customHeight="1" x14ac:dyDescent="0.3">
      <c r="A4285" s="150" t="s">
        <v>4090</v>
      </c>
      <c r="B4285" s="5">
        <f t="shared" si="1045"/>
        <v>8</v>
      </c>
      <c r="C4285" s="5">
        <f t="shared" si="1046"/>
        <v>2025</v>
      </c>
      <c r="D4285" s="150" t="s">
        <v>4115</v>
      </c>
      <c r="E4285" s="5" t="str">
        <f>VLOOKUP(F4285,'Set up'!$A$2:$C$70,2,FALSE)</f>
        <v>C00000042</v>
      </c>
      <c r="F4285" s="151" t="s">
        <v>2012</v>
      </c>
      <c r="G4285" s="151" t="s">
        <v>1543</v>
      </c>
      <c r="H4285" s="150">
        <v>9</v>
      </c>
      <c r="I4285" s="5" t="str">
        <f>VLOOKUP(F4285,'Set up'!$A$2:$C$70,3,FALSE)</f>
        <v>Cash</v>
      </c>
      <c r="J4285" s="5">
        <f>VLOOKUP(F4285,'Set up'!$A$2:$D$70,4,FALSE)</f>
        <v>0</v>
      </c>
      <c r="K4285" s="4">
        <f t="shared" si="1037"/>
        <v>45889</v>
      </c>
      <c r="L4285" s="5">
        <f t="shared" si="1038"/>
        <v>8</v>
      </c>
      <c r="M4285" s="5">
        <f t="shared" si="1039"/>
        <v>2025</v>
      </c>
      <c r="N4285" s="156">
        <v>1593</v>
      </c>
      <c r="P4285" s="12"/>
      <c r="Q4285" s="7">
        <f t="shared" si="1042"/>
        <v>7086305.7500000047</v>
      </c>
      <c r="R4285" s="44" t="str">
        <f>VLOOKUP(F4285,'Set up'!$A$2:$E$70,5,FALSE)</f>
        <v>Trsf</v>
      </c>
    </row>
    <row r="4286" spans="1:18" ht="16.2" customHeight="1" x14ac:dyDescent="0.3">
      <c r="A4286" s="150" t="s">
        <v>4090</v>
      </c>
      <c r="B4286" s="5">
        <f t="shared" si="1045"/>
        <v>8</v>
      </c>
      <c r="C4286" s="5">
        <f t="shared" si="1046"/>
        <v>2025</v>
      </c>
      <c r="D4286" s="150" t="s">
        <v>4115</v>
      </c>
      <c r="E4286" s="5" t="str">
        <f>VLOOKUP(F4286,'Set up'!$A$2:$C$70,2,FALSE)</f>
        <v>C00000042</v>
      </c>
      <c r="F4286" s="151" t="s">
        <v>2012</v>
      </c>
      <c r="G4286" s="151" t="s">
        <v>1922</v>
      </c>
      <c r="H4286" s="150">
        <v>4</v>
      </c>
      <c r="I4286" s="5" t="str">
        <f>VLOOKUP(F4286,'Set up'!$A$2:$C$70,3,FALSE)</f>
        <v>Cash</v>
      </c>
      <c r="J4286" s="5">
        <f>VLOOKUP(F4286,'Set up'!$A$2:$D$70,4,FALSE)</f>
        <v>0</v>
      </c>
      <c r="K4286" s="4">
        <f t="shared" si="1037"/>
        <v>45889</v>
      </c>
      <c r="L4286" s="5">
        <f t="shared" si="1038"/>
        <v>8</v>
      </c>
      <c r="M4286" s="5">
        <f t="shared" si="1039"/>
        <v>2025</v>
      </c>
      <c r="N4286" s="156">
        <v>990</v>
      </c>
      <c r="P4286" s="12"/>
      <c r="Q4286" s="7">
        <f t="shared" si="1042"/>
        <v>7087295.7500000047</v>
      </c>
      <c r="R4286" s="44" t="str">
        <f>VLOOKUP(F4286,'Set up'!$A$2:$E$70,5,FALSE)</f>
        <v>Trsf</v>
      </c>
    </row>
    <row r="4287" spans="1:18" ht="16.2" customHeight="1" x14ac:dyDescent="0.3">
      <c r="A4287" s="150" t="s">
        <v>4091</v>
      </c>
      <c r="B4287" s="5">
        <f t="shared" si="1045"/>
        <v>8</v>
      </c>
      <c r="C4287" s="5">
        <f t="shared" si="1046"/>
        <v>2025</v>
      </c>
      <c r="D4287" s="150" t="s">
        <v>4116</v>
      </c>
      <c r="E4287" s="5" t="e">
        <f>VLOOKUP(F4287,'Set up'!$A$2:$C$70,2,FALSE)</f>
        <v>#N/A</v>
      </c>
      <c r="F4287" s="1" t="s">
        <v>3837</v>
      </c>
      <c r="G4287" s="151" t="s">
        <v>3533</v>
      </c>
      <c r="H4287" s="150">
        <v>3</v>
      </c>
      <c r="I4287" s="5" t="e">
        <f>VLOOKUP(F4287,'Set up'!$A$2:$C$70,3,FALSE)</f>
        <v>#N/A</v>
      </c>
      <c r="J4287" s="5" t="e">
        <f>VLOOKUP(F4287,'Set up'!$A$2:$D$70,4,FALSE)</f>
        <v>#N/A</v>
      </c>
      <c r="K4287" s="4" t="e">
        <f t="shared" si="1037"/>
        <v>#N/A</v>
      </c>
      <c r="L4287" s="5" t="e">
        <f t="shared" si="1038"/>
        <v>#N/A</v>
      </c>
      <c r="M4287" s="5" t="e">
        <f t="shared" si="1039"/>
        <v>#N/A</v>
      </c>
      <c r="N4287" s="156">
        <v>4995</v>
      </c>
      <c r="P4287" s="12"/>
      <c r="Q4287" s="7">
        <f t="shared" si="1042"/>
        <v>7092290.7500000047</v>
      </c>
      <c r="R4287" s="44" t="e">
        <f>VLOOKUP(F4287,'Set up'!$A$2:$E$70,5,FALSE)</f>
        <v>#N/A</v>
      </c>
    </row>
    <row r="4288" spans="1:18" ht="16.2" customHeight="1" x14ac:dyDescent="0.3">
      <c r="A4288" s="150" t="s">
        <v>4091</v>
      </c>
      <c r="B4288" s="5">
        <f t="shared" si="1045"/>
        <v>8</v>
      </c>
      <c r="C4288" s="5">
        <f t="shared" si="1046"/>
        <v>2025</v>
      </c>
      <c r="D4288" s="150" t="s">
        <v>4116</v>
      </c>
      <c r="E4288" s="5" t="e">
        <f>VLOOKUP(F4288,'Set up'!$A$2:$C$70,2,FALSE)</f>
        <v>#N/A</v>
      </c>
      <c r="F4288" s="1" t="s">
        <v>3837</v>
      </c>
      <c r="G4288" s="151" t="s">
        <v>4135</v>
      </c>
      <c r="H4288" s="150">
        <v>1</v>
      </c>
      <c r="I4288" s="5" t="e">
        <f>VLOOKUP(F4288,'Set up'!$A$2:$C$70,3,FALSE)</f>
        <v>#N/A</v>
      </c>
      <c r="J4288" s="5" t="e">
        <f>VLOOKUP(F4288,'Set up'!$A$2:$D$70,4,FALSE)</f>
        <v>#N/A</v>
      </c>
      <c r="K4288" s="4" t="e">
        <f t="shared" si="1037"/>
        <v>#N/A</v>
      </c>
      <c r="L4288" s="5" t="e">
        <f t="shared" si="1038"/>
        <v>#N/A</v>
      </c>
      <c r="M4288" s="5" t="e">
        <f t="shared" si="1039"/>
        <v>#N/A</v>
      </c>
      <c r="N4288" s="156">
        <v>367.2</v>
      </c>
      <c r="P4288" s="12"/>
      <c r="Q4288" s="7">
        <f t="shared" si="1042"/>
        <v>7092657.9500000048</v>
      </c>
      <c r="R4288" s="44" t="e">
        <f>VLOOKUP(F4288,'Set up'!$A$2:$E$70,5,FALSE)</f>
        <v>#N/A</v>
      </c>
    </row>
    <row r="4289" spans="1:18" ht="16.2" customHeight="1" x14ac:dyDescent="0.3">
      <c r="A4289" s="150" t="s">
        <v>4091</v>
      </c>
      <c r="B4289" s="5">
        <f t="shared" si="1045"/>
        <v>8</v>
      </c>
      <c r="C4289" s="5">
        <f t="shared" si="1046"/>
        <v>2025</v>
      </c>
      <c r="D4289" s="150" t="s">
        <v>4116</v>
      </c>
      <c r="E4289" s="5" t="e">
        <f>VLOOKUP(F4289,'Set up'!$A$2:$C$70,2,FALSE)</f>
        <v>#N/A</v>
      </c>
      <c r="F4289" s="1" t="s">
        <v>3837</v>
      </c>
      <c r="G4289" s="151" t="s">
        <v>4136</v>
      </c>
      <c r="H4289" s="150">
        <v>3</v>
      </c>
      <c r="I4289" s="5" t="e">
        <f>VLOOKUP(F4289,'Set up'!$A$2:$C$70,3,FALSE)</f>
        <v>#N/A</v>
      </c>
      <c r="J4289" s="5" t="e">
        <f>VLOOKUP(F4289,'Set up'!$A$2:$D$70,4,FALSE)</f>
        <v>#N/A</v>
      </c>
      <c r="K4289" s="4" t="e">
        <f t="shared" si="1037"/>
        <v>#N/A</v>
      </c>
      <c r="L4289" s="5" t="e">
        <f t="shared" si="1038"/>
        <v>#N/A</v>
      </c>
      <c r="M4289" s="5" t="e">
        <f t="shared" si="1039"/>
        <v>#N/A</v>
      </c>
      <c r="N4289" s="156">
        <v>1366.8</v>
      </c>
      <c r="P4289" s="12"/>
      <c r="Q4289" s="7">
        <f t="shared" si="1042"/>
        <v>7094024.7500000047</v>
      </c>
      <c r="R4289" s="44" t="e">
        <f>VLOOKUP(F4289,'Set up'!$A$2:$E$70,5,FALSE)</f>
        <v>#N/A</v>
      </c>
    </row>
    <row r="4290" spans="1:18" ht="16.2" customHeight="1" x14ac:dyDescent="0.3">
      <c r="A4290" s="150" t="s">
        <v>4091</v>
      </c>
      <c r="B4290" s="5">
        <f t="shared" si="1045"/>
        <v>8</v>
      </c>
      <c r="C4290" s="5">
        <f t="shared" si="1046"/>
        <v>2025</v>
      </c>
      <c r="D4290" s="150" t="s">
        <v>4116</v>
      </c>
      <c r="E4290" s="5" t="e">
        <f>VLOOKUP(F4290,'Set up'!$A$2:$C$70,2,FALSE)</f>
        <v>#N/A</v>
      </c>
      <c r="F4290" s="1" t="s">
        <v>3837</v>
      </c>
      <c r="G4290" s="151" t="s">
        <v>4051</v>
      </c>
      <c r="H4290" s="150">
        <v>3</v>
      </c>
      <c r="I4290" s="5" t="e">
        <f>VLOOKUP(F4290,'Set up'!$A$2:$C$70,3,FALSE)</f>
        <v>#N/A</v>
      </c>
      <c r="J4290" s="5" t="e">
        <f>VLOOKUP(F4290,'Set up'!$A$2:$D$70,4,FALSE)</f>
        <v>#N/A</v>
      </c>
      <c r="K4290" s="4" t="e">
        <f t="shared" si="1037"/>
        <v>#N/A</v>
      </c>
      <c r="L4290" s="5" t="e">
        <f t="shared" si="1038"/>
        <v>#N/A</v>
      </c>
      <c r="M4290" s="5" t="e">
        <f t="shared" si="1039"/>
        <v>#N/A</v>
      </c>
      <c r="N4290" s="156">
        <v>360</v>
      </c>
      <c r="P4290" s="12"/>
      <c r="Q4290" s="7">
        <f t="shared" si="1042"/>
        <v>7094384.7500000047</v>
      </c>
      <c r="R4290" s="44" t="e">
        <f>VLOOKUP(F4290,'Set up'!$A$2:$E$70,5,FALSE)</f>
        <v>#N/A</v>
      </c>
    </row>
    <row r="4291" spans="1:18" ht="16.2" customHeight="1" x14ac:dyDescent="0.3">
      <c r="A4291" s="150" t="s">
        <v>4091</v>
      </c>
      <c r="B4291" s="5">
        <f t="shared" si="1045"/>
        <v>8</v>
      </c>
      <c r="C4291" s="5">
        <f t="shared" si="1046"/>
        <v>2025</v>
      </c>
      <c r="D4291" s="150" t="s">
        <v>4116</v>
      </c>
      <c r="E4291" s="5" t="e">
        <f>VLOOKUP(F4291,'Set up'!$A$2:$C$70,2,FALSE)</f>
        <v>#N/A</v>
      </c>
      <c r="F4291" s="1" t="s">
        <v>3837</v>
      </c>
      <c r="G4291" s="151" t="s">
        <v>2144</v>
      </c>
      <c r="H4291" s="150">
        <v>4</v>
      </c>
      <c r="I4291" s="5" t="e">
        <f>VLOOKUP(F4291,'Set up'!$A$2:$C$70,3,FALSE)</f>
        <v>#N/A</v>
      </c>
      <c r="J4291" s="5" t="e">
        <f>VLOOKUP(F4291,'Set up'!$A$2:$D$70,4,FALSE)</f>
        <v>#N/A</v>
      </c>
      <c r="K4291" s="4" t="e">
        <f t="shared" ref="K4291:K4354" si="1047">A4291+J4291</f>
        <v>#N/A</v>
      </c>
      <c r="L4291" s="5" t="e">
        <f t="shared" ref="L4291:L4354" si="1048">MONTH(K4291)</f>
        <v>#N/A</v>
      </c>
      <c r="M4291" s="5" t="e">
        <f t="shared" ref="M4291:M4354" si="1049">YEAR(K4291)</f>
        <v>#N/A</v>
      </c>
      <c r="N4291" s="156">
        <v>1100</v>
      </c>
      <c r="P4291" s="12"/>
      <c r="Q4291" s="7">
        <f t="shared" ref="Q4291:Q4354" si="1050">SUM(Q4290+N4291)</f>
        <v>7095484.7500000047</v>
      </c>
      <c r="R4291" s="44" t="e">
        <f>VLOOKUP(F4291,'Set up'!$A$2:$E$70,5,FALSE)</f>
        <v>#N/A</v>
      </c>
    </row>
    <row r="4292" spans="1:18" ht="16.2" customHeight="1" x14ac:dyDescent="0.3">
      <c r="A4292" s="150" t="s">
        <v>4091</v>
      </c>
      <c r="B4292" s="5">
        <f t="shared" si="1045"/>
        <v>8</v>
      </c>
      <c r="C4292" s="5">
        <f t="shared" si="1046"/>
        <v>2025</v>
      </c>
      <c r="D4292" s="150" t="s">
        <v>4116</v>
      </c>
      <c r="E4292" s="5" t="e">
        <f>VLOOKUP(F4292,'Set up'!$A$2:$C$70,2,FALSE)</f>
        <v>#N/A</v>
      </c>
      <c r="F4292" s="1" t="s">
        <v>3837</v>
      </c>
      <c r="G4292" s="151" t="s">
        <v>1469</v>
      </c>
      <c r="H4292" s="150">
        <v>2</v>
      </c>
      <c r="I4292" s="5" t="e">
        <f>VLOOKUP(F4292,'Set up'!$A$2:$C$70,3,FALSE)</f>
        <v>#N/A</v>
      </c>
      <c r="J4292" s="5" t="e">
        <f>VLOOKUP(F4292,'Set up'!$A$2:$D$70,4,FALSE)</f>
        <v>#N/A</v>
      </c>
      <c r="K4292" s="4" t="e">
        <f t="shared" si="1047"/>
        <v>#N/A</v>
      </c>
      <c r="L4292" s="5" t="e">
        <f t="shared" si="1048"/>
        <v>#N/A</v>
      </c>
      <c r="M4292" s="5" t="e">
        <f t="shared" si="1049"/>
        <v>#N/A</v>
      </c>
      <c r="N4292" s="156">
        <v>800</v>
      </c>
      <c r="P4292" s="12"/>
      <c r="Q4292" s="7">
        <f t="shared" si="1050"/>
        <v>7096284.7500000047</v>
      </c>
      <c r="R4292" s="44" t="e">
        <f>VLOOKUP(F4292,'Set up'!$A$2:$E$70,5,FALSE)</f>
        <v>#N/A</v>
      </c>
    </row>
    <row r="4293" spans="1:18" ht="16.2" customHeight="1" x14ac:dyDescent="0.3">
      <c r="A4293" s="150" t="s">
        <v>4091</v>
      </c>
      <c r="B4293" s="5">
        <f t="shared" si="1045"/>
        <v>8</v>
      </c>
      <c r="C4293" s="5">
        <f t="shared" si="1046"/>
        <v>2025</v>
      </c>
      <c r="D4293" s="150" t="s">
        <v>4116</v>
      </c>
      <c r="E4293" s="5" t="e">
        <f>VLOOKUP(F4293,'Set up'!$A$2:$C$70,2,FALSE)</f>
        <v>#N/A</v>
      </c>
      <c r="F4293" s="1" t="s">
        <v>3837</v>
      </c>
      <c r="G4293" s="151" t="s">
        <v>949</v>
      </c>
      <c r="H4293" s="150">
        <v>8</v>
      </c>
      <c r="I4293" s="5" t="e">
        <f>VLOOKUP(F4293,'Set up'!$A$2:$C$70,3,FALSE)</f>
        <v>#N/A</v>
      </c>
      <c r="J4293" s="5" t="e">
        <f>VLOOKUP(F4293,'Set up'!$A$2:$D$70,4,FALSE)</f>
        <v>#N/A</v>
      </c>
      <c r="K4293" s="4" t="e">
        <f t="shared" si="1047"/>
        <v>#N/A</v>
      </c>
      <c r="L4293" s="5" t="e">
        <f t="shared" si="1048"/>
        <v>#N/A</v>
      </c>
      <c r="M4293" s="5" t="e">
        <f t="shared" si="1049"/>
        <v>#N/A</v>
      </c>
      <c r="N4293" s="156">
        <v>480</v>
      </c>
      <c r="P4293" s="12"/>
      <c r="Q4293" s="7">
        <f t="shared" si="1050"/>
        <v>7096764.7500000047</v>
      </c>
      <c r="R4293" s="44" t="e">
        <f>VLOOKUP(F4293,'Set up'!$A$2:$E$70,5,FALSE)</f>
        <v>#N/A</v>
      </c>
    </row>
    <row r="4294" spans="1:18" ht="16.2" customHeight="1" x14ac:dyDescent="0.3">
      <c r="A4294" s="150" t="s">
        <v>4091</v>
      </c>
      <c r="B4294" s="5">
        <f t="shared" si="1045"/>
        <v>8</v>
      </c>
      <c r="C4294" s="5">
        <f t="shared" si="1046"/>
        <v>2025</v>
      </c>
      <c r="D4294" s="150" t="s">
        <v>4116</v>
      </c>
      <c r="E4294" s="5" t="e">
        <f>VLOOKUP(F4294,'Set up'!$A$2:$C$70,2,FALSE)</f>
        <v>#N/A</v>
      </c>
      <c r="F4294" s="1" t="s">
        <v>3837</v>
      </c>
      <c r="G4294" s="151" t="s">
        <v>2635</v>
      </c>
      <c r="H4294" s="150">
        <v>2</v>
      </c>
      <c r="I4294" s="5" t="e">
        <f>VLOOKUP(F4294,'Set up'!$A$2:$C$70,3,FALSE)</f>
        <v>#N/A</v>
      </c>
      <c r="J4294" s="5" t="e">
        <f>VLOOKUP(F4294,'Set up'!$A$2:$D$70,4,FALSE)</f>
        <v>#N/A</v>
      </c>
      <c r="K4294" s="4" t="e">
        <f t="shared" si="1047"/>
        <v>#N/A</v>
      </c>
      <c r="L4294" s="5" t="e">
        <f t="shared" si="1048"/>
        <v>#N/A</v>
      </c>
      <c r="M4294" s="5" t="e">
        <f t="shared" si="1049"/>
        <v>#N/A</v>
      </c>
      <c r="N4294" s="156">
        <v>125</v>
      </c>
      <c r="P4294" s="12"/>
      <c r="Q4294" s="7">
        <f t="shared" si="1050"/>
        <v>7096889.7500000047</v>
      </c>
      <c r="R4294" s="44" t="e">
        <f>VLOOKUP(F4294,'Set up'!$A$2:$E$70,5,FALSE)</f>
        <v>#N/A</v>
      </c>
    </row>
    <row r="4295" spans="1:18" ht="16.2" customHeight="1" x14ac:dyDescent="0.3">
      <c r="A4295" s="150" t="s">
        <v>4091</v>
      </c>
      <c r="B4295" s="5">
        <f t="shared" ref="B4295:B4358" si="1051">MONTH(A4295)</f>
        <v>8</v>
      </c>
      <c r="C4295" s="5">
        <f t="shared" ref="C4295:C4358" si="1052">YEAR(A4295)</f>
        <v>2025</v>
      </c>
      <c r="D4295" s="150" t="s">
        <v>4116</v>
      </c>
      <c r="E4295" s="5" t="e">
        <f>VLOOKUP(F4295,'Set up'!$A$2:$C$70,2,FALSE)</f>
        <v>#N/A</v>
      </c>
      <c r="F4295" s="1" t="s">
        <v>3837</v>
      </c>
      <c r="G4295" s="151" t="s">
        <v>1002</v>
      </c>
      <c r="H4295" s="150">
        <v>1</v>
      </c>
      <c r="I4295" s="5" t="e">
        <f>VLOOKUP(F4295,'Set up'!$A$2:$C$70,3,FALSE)</f>
        <v>#N/A</v>
      </c>
      <c r="J4295" s="5" t="e">
        <f>VLOOKUP(F4295,'Set up'!$A$2:$D$70,4,FALSE)</f>
        <v>#N/A</v>
      </c>
      <c r="K4295" s="4" t="e">
        <f t="shared" si="1047"/>
        <v>#N/A</v>
      </c>
      <c r="L4295" s="5" t="e">
        <f t="shared" si="1048"/>
        <v>#N/A</v>
      </c>
      <c r="M4295" s="5" t="e">
        <f t="shared" si="1049"/>
        <v>#N/A</v>
      </c>
      <c r="N4295" s="156">
        <v>60</v>
      </c>
      <c r="P4295" s="12"/>
      <c r="Q4295" s="7">
        <f t="shared" si="1050"/>
        <v>7096949.7500000047</v>
      </c>
      <c r="R4295" s="44" t="e">
        <f>VLOOKUP(F4295,'Set up'!$A$2:$E$70,5,FALSE)</f>
        <v>#N/A</v>
      </c>
    </row>
    <row r="4296" spans="1:18" ht="16.2" customHeight="1" x14ac:dyDescent="0.3">
      <c r="A4296" s="150" t="s">
        <v>4091</v>
      </c>
      <c r="B4296" s="5">
        <f t="shared" si="1051"/>
        <v>8</v>
      </c>
      <c r="C4296" s="5">
        <f t="shared" si="1052"/>
        <v>2025</v>
      </c>
      <c r="D4296" s="150" t="s">
        <v>4116</v>
      </c>
      <c r="E4296" s="5" t="e">
        <f>VLOOKUP(F4296,'Set up'!$A$2:$C$70,2,FALSE)</f>
        <v>#N/A</v>
      </c>
      <c r="F4296" s="1" t="s">
        <v>3837</v>
      </c>
      <c r="G4296" s="151" t="s">
        <v>946</v>
      </c>
      <c r="H4296" s="150">
        <v>1</v>
      </c>
      <c r="I4296" s="5" t="e">
        <f>VLOOKUP(F4296,'Set up'!$A$2:$C$70,3,FALSE)</f>
        <v>#N/A</v>
      </c>
      <c r="J4296" s="5" t="e">
        <f>VLOOKUP(F4296,'Set up'!$A$2:$D$70,4,FALSE)</f>
        <v>#N/A</v>
      </c>
      <c r="K4296" s="4" t="e">
        <f t="shared" si="1047"/>
        <v>#N/A</v>
      </c>
      <c r="L4296" s="5" t="e">
        <f t="shared" si="1048"/>
        <v>#N/A</v>
      </c>
      <c r="M4296" s="5" t="e">
        <f t="shared" si="1049"/>
        <v>#N/A</v>
      </c>
      <c r="N4296" s="156">
        <v>54</v>
      </c>
      <c r="P4296" s="12"/>
      <c r="Q4296" s="7">
        <f t="shared" si="1050"/>
        <v>7097003.7500000047</v>
      </c>
      <c r="R4296" s="44" t="e">
        <f>VLOOKUP(F4296,'Set up'!$A$2:$E$70,5,FALSE)</f>
        <v>#N/A</v>
      </c>
    </row>
    <row r="4297" spans="1:18" ht="16.2" customHeight="1" x14ac:dyDescent="0.3">
      <c r="A4297" s="150" t="s">
        <v>4091</v>
      </c>
      <c r="B4297" s="5">
        <f t="shared" si="1051"/>
        <v>8</v>
      </c>
      <c r="C4297" s="5">
        <f t="shared" si="1052"/>
        <v>2025</v>
      </c>
      <c r="D4297" s="150" t="s">
        <v>4116</v>
      </c>
      <c r="E4297" s="5" t="e">
        <f>VLOOKUP(F4297,'Set up'!$A$2:$C$70,2,FALSE)</f>
        <v>#N/A</v>
      </c>
      <c r="F4297" s="1" t="s">
        <v>3837</v>
      </c>
      <c r="G4297" s="151" t="s">
        <v>4137</v>
      </c>
      <c r="H4297" s="150">
        <v>2</v>
      </c>
      <c r="I4297" s="5" t="e">
        <f>VLOOKUP(F4297,'Set up'!$A$2:$C$70,3,FALSE)</f>
        <v>#N/A</v>
      </c>
      <c r="J4297" s="5" t="e">
        <f>VLOOKUP(F4297,'Set up'!$A$2:$D$70,4,FALSE)</f>
        <v>#N/A</v>
      </c>
      <c r="K4297" s="4" t="e">
        <f t="shared" si="1047"/>
        <v>#N/A</v>
      </c>
      <c r="L4297" s="5" t="e">
        <f t="shared" si="1048"/>
        <v>#N/A</v>
      </c>
      <c r="M4297" s="5" t="e">
        <f t="shared" si="1049"/>
        <v>#N/A</v>
      </c>
      <c r="N4297" s="156">
        <v>520</v>
      </c>
      <c r="P4297" s="12"/>
      <c r="Q4297" s="7">
        <f t="shared" si="1050"/>
        <v>7097523.7500000047</v>
      </c>
      <c r="R4297" s="44" t="e">
        <f>VLOOKUP(F4297,'Set up'!$A$2:$E$70,5,FALSE)</f>
        <v>#N/A</v>
      </c>
    </row>
    <row r="4298" spans="1:18" ht="16.2" customHeight="1" x14ac:dyDescent="0.3">
      <c r="A4298" s="150" t="s">
        <v>4091</v>
      </c>
      <c r="B4298" s="5">
        <f t="shared" si="1051"/>
        <v>8</v>
      </c>
      <c r="C4298" s="5">
        <f t="shared" si="1052"/>
        <v>2025</v>
      </c>
      <c r="D4298" s="150" t="s">
        <v>4116</v>
      </c>
      <c r="E4298" s="5" t="e">
        <f>VLOOKUP(F4298,'Set up'!$A$2:$C$70,2,FALSE)</f>
        <v>#N/A</v>
      </c>
      <c r="F4298" s="1" t="s">
        <v>3837</v>
      </c>
      <c r="G4298" s="151" t="s">
        <v>4138</v>
      </c>
      <c r="H4298" s="150">
        <v>3</v>
      </c>
      <c r="I4298" s="5" t="e">
        <f>VLOOKUP(F4298,'Set up'!$A$2:$C$70,3,FALSE)</f>
        <v>#N/A</v>
      </c>
      <c r="J4298" s="5" t="e">
        <f>VLOOKUP(F4298,'Set up'!$A$2:$D$70,4,FALSE)</f>
        <v>#N/A</v>
      </c>
      <c r="K4298" s="4" t="e">
        <f t="shared" si="1047"/>
        <v>#N/A</v>
      </c>
      <c r="L4298" s="5" t="e">
        <f t="shared" si="1048"/>
        <v>#N/A</v>
      </c>
      <c r="M4298" s="5" t="e">
        <f t="shared" si="1049"/>
        <v>#N/A</v>
      </c>
      <c r="N4298" s="156">
        <v>510</v>
      </c>
      <c r="P4298" s="12"/>
      <c r="Q4298" s="7">
        <f t="shared" si="1050"/>
        <v>7098033.7500000047</v>
      </c>
      <c r="R4298" s="44" t="e">
        <f>VLOOKUP(F4298,'Set up'!$A$2:$E$70,5,FALSE)</f>
        <v>#N/A</v>
      </c>
    </row>
    <row r="4299" spans="1:18" ht="16.2" customHeight="1" x14ac:dyDescent="0.3">
      <c r="A4299" s="150" t="s">
        <v>4091</v>
      </c>
      <c r="B4299" s="5">
        <f t="shared" si="1051"/>
        <v>8</v>
      </c>
      <c r="C4299" s="5">
        <f t="shared" si="1052"/>
        <v>2025</v>
      </c>
      <c r="D4299" s="150" t="s">
        <v>4117</v>
      </c>
      <c r="E4299" s="5" t="str">
        <f>VLOOKUP(F4299,'Set up'!$A$2:$C$70,2,FALSE)</f>
        <v>C00000010</v>
      </c>
      <c r="F4299" s="151" t="s">
        <v>62</v>
      </c>
      <c r="G4299" s="151" t="s">
        <v>3645</v>
      </c>
      <c r="H4299" s="150">
        <v>10</v>
      </c>
      <c r="I4299" s="5">
        <f>VLOOKUP(F4299,'Set up'!$A$2:$C$70,3,FALSE)</f>
        <v>120</v>
      </c>
      <c r="J4299" s="5">
        <f>VLOOKUP(F4299,'Set up'!$A$2:$D$70,4,FALSE)</f>
        <v>120</v>
      </c>
      <c r="K4299" s="4">
        <f t="shared" si="1047"/>
        <v>46010</v>
      </c>
      <c r="L4299" s="5">
        <f t="shared" si="1048"/>
        <v>12</v>
      </c>
      <c r="M4299" s="5">
        <f t="shared" si="1049"/>
        <v>2025</v>
      </c>
      <c r="N4299" s="156">
        <v>15750</v>
      </c>
      <c r="P4299" s="12"/>
      <c r="Q4299" s="7">
        <f t="shared" si="1050"/>
        <v>7113783.7500000047</v>
      </c>
      <c r="R4299" s="44" t="str">
        <f>VLOOKUP(F4299,'Set up'!$A$2:$E$70,5,FALSE)</f>
        <v>Trsf</v>
      </c>
    </row>
    <row r="4300" spans="1:18" ht="16.2" customHeight="1" x14ac:dyDescent="0.3">
      <c r="A4300" s="150" t="s">
        <v>4091</v>
      </c>
      <c r="B4300" s="5">
        <f t="shared" si="1051"/>
        <v>8</v>
      </c>
      <c r="C4300" s="5">
        <f t="shared" si="1052"/>
        <v>2025</v>
      </c>
      <c r="D4300" s="150" t="s">
        <v>4117</v>
      </c>
      <c r="E4300" s="5" t="str">
        <f>VLOOKUP(F4300,'Set up'!$A$2:$C$70,2,FALSE)</f>
        <v>C00000010</v>
      </c>
      <c r="F4300" s="151" t="s">
        <v>62</v>
      </c>
      <c r="G4300" s="151" t="s">
        <v>2129</v>
      </c>
      <c r="H4300" s="150">
        <v>15</v>
      </c>
      <c r="I4300" s="5">
        <f>VLOOKUP(F4300,'Set up'!$A$2:$C$70,3,FALSE)</f>
        <v>120</v>
      </c>
      <c r="J4300" s="5">
        <f>VLOOKUP(F4300,'Set up'!$A$2:$D$70,4,FALSE)</f>
        <v>120</v>
      </c>
      <c r="K4300" s="4">
        <f t="shared" si="1047"/>
        <v>46010</v>
      </c>
      <c r="L4300" s="5">
        <f t="shared" si="1048"/>
        <v>12</v>
      </c>
      <c r="M4300" s="5">
        <f t="shared" si="1049"/>
        <v>2025</v>
      </c>
      <c r="N4300" s="156">
        <v>3219</v>
      </c>
      <c r="P4300" s="12"/>
      <c r="Q4300" s="7">
        <f t="shared" si="1050"/>
        <v>7117002.7500000047</v>
      </c>
      <c r="R4300" s="44" t="str">
        <f>VLOOKUP(F4300,'Set up'!$A$2:$E$70,5,FALSE)</f>
        <v>Trsf</v>
      </c>
    </row>
    <row r="4301" spans="1:18" ht="16.2" customHeight="1" x14ac:dyDescent="0.3">
      <c r="A4301" s="150" t="s">
        <v>4091</v>
      </c>
      <c r="B4301" s="5">
        <f t="shared" si="1051"/>
        <v>8</v>
      </c>
      <c r="C4301" s="5">
        <f t="shared" si="1052"/>
        <v>2025</v>
      </c>
      <c r="D4301" s="150" t="s">
        <v>4117</v>
      </c>
      <c r="E4301" s="5" t="str">
        <f>VLOOKUP(F4301,'Set up'!$A$2:$C$70,2,FALSE)</f>
        <v>C00000010</v>
      </c>
      <c r="F4301" s="151" t="s">
        <v>62</v>
      </c>
      <c r="G4301" s="151" t="s">
        <v>946</v>
      </c>
      <c r="H4301" s="150">
        <v>4</v>
      </c>
      <c r="I4301" s="5">
        <f>VLOOKUP(F4301,'Set up'!$A$2:$C$70,3,FALSE)</f>
        <v>120</v>
      </c>
      <c r="J4301" s="5">
        <f>VLOOKUP(F4301,'Set up'!$A$2:$D$70,4,FALSE)</f>
        <v>120</v>
      </c>
      <c r="K4301" s="4">
        <f t="shared" si="1047"/>
        <v>46010</v>
      </c>
      <c r="L4301" s="5">
        <f t="shared" si="1048"/>
        <v>12</v>
      </c>
      <c r="M4301" s="5">
        <f t="shared" si="1049"/>
        <v>2025</v>
      </c>
      <c r="N4301" s="156">
        <v>230.4</v>
      </c>
      <c r="P4301" s="12"/>
      <c r="Q4301" s="7">
        <f t="shared" si="1050"/>
        <v>7117233.150000005</v>
      </c>
      <c r="R4301" s="44" t="str">
        <f>VLOOKUP(F4301,'Set up'!$A$2:$E$70,5,FALSE)</f>
        <v>Trsf</v>
      </c>
    </row>
    <row r="4302" spans="1:18" ht="16.2" customHeight="1" x14ac:dyDescent="0.3">
      <c r="A4302" s="150" t="s">
        <v>4091</v>
      </c>
      <c r="B4302" s="5">
        <f t="shared" si="1051"/>
        <v>8</v>
      </c>
      <c r="C4302" s="5">
        <f t="shared" si="1052"/>
        <v>2025</v>
      </c>
      <c r="D4302" s="150" t="s">
        <v>4117</v>
      </c>
      <c r="E4302" s="5" t="str">
        <f>VLOOKUP(F4302,'Set up'!$A$2:$C$70,2,FALSE)</f>
        <v>C00000010</v>
      </c>
      <c r="F4302" s="151" t="s">
        <v>62</v>
      </c>
      <c r="G4302" s="151" t="s">
        <v>46</v>
      </c>
      <c r="H4302" s="150">
        <v>4</v>
      </c>
      <c r="I4302" s="5">
        <f>VLOOKUP(F4302,'Set up'!$A$2:$C$70,3,FALSE)</f>
        <v>120</v>
      </c>
      <c r="J4302" s="5">
        <f>VLOOKUP(F4302,'Set up'!$A$2:$D$70,4,FALSE)</f>
        <v>120</v>
      </c>
      <c r="K4302" s="4">
        <f t="shared" si="1047"/>
        <v>46010</v>
      </c>
      <c r="L4302" s="5">
        <f t="shared" si="1048"/>
        <v>12</v>
      </c>
      <c r="M4302" s="5">
        <f t="shared" si="1049"/>
        <v>2025</v>
      </c>
      <c r="N4302" s="156">
        <v>460</v>
      </c>
      <c r="P4302" s="12"/>
      <c r="Q4302" s="7">
        <f t="shared" si="1050"/>
        <v>7117693.150000005</v>
      </c>
      <c r="R4302" s="44" t="str">
        <f>VLOOKUP(F4302,'Set up'!$A$2:$E$70,5,FALSE)</f>
        <v>Trsf</v>
      </c>
    </row>
    <row r="4303" spans="1:18" ht="16.2" customHeight="1" x14ac:dyDescent="0.3">
      <c r="A4303" s="150" t="s">
        <v>4091</v>
      </c>
      <c r="B4303" s="5">
        <f t="shared" si="1051"/>
        <v>8</v>
      </c>
      <c r="C4303" s="5">
        <f t="shared" si="1052"/>
        <v>2025</v>
      </c>
      <c r="D4303" s="150" t="s">
        <v>4117</v>
      </c>
      <c r="E4303" s="5" t="str">
        <f>VLOOKUP(F4303,'Set up'!$A$2:$C$70,2,FALSE)</f>
        <v>C00000010</v>
      </c>
      <c r="F4303" s="151" t="s">
        <v>62</v>
      </c>
      <c r="G4303" s="151" t="s">
        <v>2449</v>
      </c>
      <c r="H4303" s="150">
        <v>2</v>
      </c>
      <c r="I4303" s="5">
        <f>VLOOKUP(F4303,'Set up'!$A$2:$C$70,3,FALSE)</f>
        <v>120</v>
      </c>
      <c r="J4303" s="5">
        <f>VLOOKUP(F4303,'Set up'!$A$2:$D$70,4,FALSE)</f>
        <v>120</v>
      </c>
      <c r="K4303" s="4">
        <f t="shared" si="1047"/>
        <v>46010</v>
      </c>
      <c r="L4303" s="5">
        <f t="shared" si="1048"/>
        <v>12</v>
      </c>
      <c r="M4303" s="5">
        <f t="shared" si="1049"/>
        <v>2025</v>
      </c>
      <c r="N4303" s="156">
        <v>840</v>
      </c>
      <c r="P4303" s="12"/>
      <c r="Q4303" s="7">
        <f t="shared" si="1050"/>
        <v>7118533.150000005</v>
      </c>
      <c r="R4303" s="44" t="str">
        <f>VLOOKUP(F4303,'Set up'!$A$2:$E$70,5,FALSE)</f>
        <v>Trsf</v>
      </c>
    </row>
    <row r="4304" spans="1:18" ht="16.2" customHeight="1" x14ac:dyDescent="0.3">
      <c r="A4304" s="150" t="s">
        <v>4091</v>
      </c>
      <c r="B4304" s="5">
        <f t="shared" si="1051"/>
        <v>8</v>
      </c>
      <c r="C4304" s="5">
        <f t="shared" si="1052"/>
        <v>2025</v>
      </c>
      <c r="D4304" s="150" t="s">
        <v>4118</v>
      </c>
      <c r="E4304" s="5" t="str">
        <f>VLOOKUP(F4304,'Set up'!$A$2:$C$70,2,FALSE)</f>
        <v>C00000045</v>
      </c>
      <c r="F4304" s="151" t="s">
        <v>2271</v>
      </c>
      <c r="G4304" s="151" t="s">
        <v>4139</v>
      </c>
      <c r="H4304" s="150">
        <v>2</v>
      </c>
      <c r="I4304" s="5" t="str">
        <f>VLOOKUP(F4304,'Set up'!$A$2:$C$70,3,FALSE)</f>
        <v>Cash</v>
      </c>
      <c r="J4304" s="5">
        <f>VLOOKUP(F4304,'Set up'!$A$2:$D$70,4,FALSE)</f>
        <v>0</v>
      </c>
      <c r="K4304" s="4">
        <f t="shared" si="1047"/>
        <v>45890</v>
      </c>
      <c r="L4304" s="5">
        <f t="shared" si="1048"/>
        <v>8</v>
      </c>
      <c r="M4304" s="5">
        <f t="shared" si="1049"/>
        <v>2025</v>
      </c>
      <c r="N4304" s="156">
        <v>90</v>
      </c>
      <c r="P4304" s="12"/>
      <c r="Q4304" s="7">
        <f t="shared" si="1050"/>
        <v>7118623.150000005</v>
      </c>
      <c r="R4304" s="44" t="str">
        <f>VLOOKUP(F4304,'Set up'!$A$2:$E$70,5,FALSE)</f>
        <v>Trsf</v>
      </c>
    </row>
    <row r="4305" spans="1:18" ht="16.2" customHeight="1" x14ac:dyDescent="0.3">
      <c r="A4305" s="150" t="s">
        <v>4092</v>
      </c>
      <c r="B4305" s="5">
        <f t="shared" si="1051"/>
        <v>8</v>
      </c>
      <c r="C4305" s="5">
        <f t="shared" si="1052"/>
        <v>2025</v>
      </c>
      <c r="D4305" s="150" t="s">
        <v>4119</v>
      </c>
      <c r="E4305" s="5" t="str">
        <f>VLOOKUP(F4305,'Set up'!$A$2:$C$70,2,FALSE)</f>
        <v>C00000044</v>
      </c>
      <c r="F4305" s="151" t="s">
        <v>2929</v>
      </c>
      <c r="G4305" s="151" t="s">
        <v>3122</v>
      </c>
      <c r="H4305" s="150">
        <v>1</v>
      </c>
      <c r="I4305" s="5" t="str">
        <f>VLOOKUP(F4305,'Set up'!$A$2:$C$70,3,FALSE)</f>
        <v>Cash</v>
      </c>
      <c r="J4305" s="5">
        <f>VLOOKUP(F4305,'Set up'!$A$2:$D$70,4,FALSE)</f>
        <v>0</v>
      </c>
      <c r="K4305" s="4">
        <f t="shared" si="1047"/>
        <v>45891</v>
      </c>
      <c r="L4305" s="5">
        <f t="shared" si="1048"/>
        <v>8</v>
      </c>
      <c r="M4305" s="5">
        <f t="shared" si="1049"/>
        <v>2025</v>
      </c>
      <c r="N4305" s="156">
        <v>1687.5</v>
      </c>
      <c r="P4305" s="12"/>
      <c r="Q4305" s="7">
        <f t="shared" si="1050"/>
        <v>7120310.650000005</v>
      </c>
      <c r="R4305" s="44" t="str">
        <f>VLOOKUP(F4305,'Set up'!$A$2:$E$70,5,FALSE)</f>
        <v>Cash</v>
      </c>
    </row>
    <row r="4306" spans="1:18" ht="16.2" customHeight="1" x14ac:dyDescent="0.3">
      <c r="A4306" s="150" t="s">
        <v>4092</v>
      </c>
      <c r="B4306" s="5">
        <f t="shared" si="1051"/>
        <v>8</v>
      </c>
      <c r="C4306" s="5">
        <f t="shared" si="1052"/>
        <v>2025</v>
      </c>
      <c r="D4306" s="150" t="s">
        <v>4119</v>
      </c>
      <c r="E4306" s="5" t="str">
        <f>VLOOKUP(F4306,'Set up'!$A$2:$C$70,2,FALSE)</f>
        <v>C00000044</v>
      </c>
      <c r="F4306" s="151" t="s">
        <v>2929</v>
      </c>
      <c r="G4306" s="151" t="s">
        <v>2570</v>
      </c>
      <c r="H4306" s="150">
        <v>2</v>
      </c>
      <c r="I4306" s="5" t="str">
        <f>VLOOKUP(F4306,'Set up'!$A$2:$C$70,3,FALSE)</f>
        <v>Cash</v>
      </c>
      <c r="J4306" s="5">
        <f>VLOOKUP(F4306,'Set up'!$A$2:$D$70,4,FALSE)</f>
        <v>0</v>
      </c>
      <c r="K4306" s="4">
        <f t="shared" si="1047"/>
        <v>45891</v>
      </c>
      <c r="L4306" s="5">
        <f t="shared" si="1048"/>
        <v>8</v>
      </c>
      <c r="M4306" s="5">
        <f t="shared" si="1049"/>
        <v>2025</v>
      </c>
      <c r="N4306" s="156">
        <v>432</v>
      </c>
      <c r="P4306" s="12"/>
      <c r="Q4306" s="7">
        <f t="shared" si="1050"/>
        <v>7120742.650000005</v>
      </c>
      <c r="R4306" s="44" t="str">
        <f>VLOOKUP(F4306,'Set up'!$A$2:$E$70,5,FALSE)</f>
        <v>Cash</v>
      </c>
    </row>
    <row r="4307" spans="1:18" ht="16.2" customHeight="1" x14ac:dyDescent="0.3">
      <c r="A4307" s="150" t="s">
        <v>4092</v>
      </c>
      <c r="B4307" s="5">
        <f t="shared" si="1051"/>
        <v>8</v>
      </c>
      <c r="C4307" s="5">
        <f t="shared" si="1052"/>
        <v>2025</v>
      </c>
      <c r="D4307" s="150" t="s">
        <v>4119</v>
      </c>
      <c r="E4307" s="5" t="str">
        <f>VLOOKUP(F4307,'Set up'!$A$2:$C$70,2,FALSE)</f>
        <v>C00000044</v>
      </c>
      <c r="F4307" s="151" t="s">
        <v>2929</v>
      </c>
      <c r="G4307" s="151" t="s">
        <v>3255</v>
      </c>
      <c r="H4307" s="150">
        <v>3</v>
      </c>
      <c r="I4307" s="5" t="str">
        <f>VLOOKUP(F4307,'Set up'!$A$2:$C$70,3,FALSE)</f>
        <v>Cash</v>
      </c>
      <c r="J4307" s="5">
        <f>VLOOKUP(F4307,'Set up'!$A$2:$D$70,4,FALSE)</f>
        <v>0</v>
      </c>
      <c r="K4307" s="4">
        <f t="shared" si="1047"/>
        <v>45891</v>
      </c>
      <c r="L4307" s="5">
        <f t="shared" si="1048"/>
        <v>8</v>
      </c>
      <c r="M4307" s="5">
        <f t="shared" si="1049"/>
        <v>2025</v>
      </c>
      <c r="N4307" s="156">
        <v>525</v>
      </c>
      <c r="P4307" s="12"/>
      <c r="Q4307" s="7">
        <f t="shared" si="1050"/>
        <v>7121267.650000005</v>
      </c>
      <c r="R4307" s="44" t="str">
        <f>VLOOKUP(F4307,'Set up'!$A$2:$E$70,5,FALSE)</f>
        <v>Cash</v>
      </c>
    </row>
    <row r="4308" spans="1:18" ht="16.2" customHeight="1" x14ac:dyDescent="0.3">
      <c r="A4308" s="150" t="s">
        <v>4092</v>
      </c>
      <c r="B4308" s="5">
        <f t="shared" si="1051"/>
        <v>8</v>
      </c>
      <c r="C4308" s="5">
        <f t="shared" si="1052"/>
        <v>2025</v>
      </c>
      <c r="D4308" s="150" t="s">
        <v>4119</v>
      </c>
      <c r="E4308" s="5" t="str">
        <f>VLOOKUP(F4308,'Set up'!$A$2:$C$70,2,FALSE)</f>
        <v>C00000044</v>
      </c>
      <c r="F4308" s="151" t="s">
        <v>2929</v>
      </c>
      <c r="G4308" s="151" t="s">
        <v>4140</v>
      </c>
      <c r="H4308" s="150">
        <v>1</v>
      </c>
      <c r="I4308" s="5" t="str">
        <f>VLOOKUP(F4308,'Set up'!$A$2:$C$70,3,FALSE)</f>
        <v>Cash</v>
      </c>
      <c r="J4308" s="5">
        <f>VLOOKUP(F4308,'Set up'!$A$2:$D$70,4,FALSE)</f>
        <v>0</v>
      </c>
      <c r="K4308" s="4">
        <f t="shared" si="1047"/>
        <v>45891</v>
      </c>
      <c r="L4308" s="5">
        <f t="shared" si="1048"/>
        <v>8</v>
      </c>
      <c r="M4308" s="5">
        <f t="shared" si="1049"/>
        <v>2025</v>
      </c>
      <c r="N4308" s="156">
        <v>275</v>
      </c>
      <c r="P4308" s="12"/>
      <c r="Q4308" s="7">
        <f t="shared" si="1050"/>
        <v>7121542.650000005</v>
      </c>
      <c r="R4308" s="44" t="str">
        <f>VLOOKUP(F4308,'Set up'!$A$2:$E$70,5,FALSE)</f>
        <v>Cash</v>
      </c>
    </row>
    <row r="4309" spans="1:18" ht="16.2" customHeight="1" x14ac:dyDescent="0.3">
      <c r="A4309" s="150" t="s">
        <v>4092</v>
      </c>
      <c r="B4309" s="5">
        <f t="shared" si="1051"/>
        <v>8</v>
      </c>
      <c r="C4309" s="5">
        <f t="shared" si="1052"/>
        <v>2025</v>
      </c>
      <c r="D4309" s="150" t="s">
        <v>4120</v>
      </c>
      <c r="E4309" s="5" t="str">
        <f>VLOOKUP(F4309,'Set up'!$A$2:$C$70,2,FALSE)</f>
        <v>C00000019</v>
      </c>
      <c r="F4309" s="151" t="s">
        <v>400</v>
      </c>
      <c r="G4309" s="151" t="s">
        <v>3122</v>
      </c>
      <c r="H4309" s="150">
        <v>1</v>
      </c>
      <c r="I4309" s="5" t="str">
        <f>VLOOKUP(F4309,'Set up'!$A$2:$C$70,3,FALSE)</f>
        <v>Cash</v>
      </c>
      <c r="J4309" s="5">
        <f>VLOOKUP(F4309,'Set up'!$A$2:$D$70,4,FALSE)</f>
        <v>0</v>
      </c>
      <c r="K4309" s="4">
        <f t="shared" si="1047"/>
        <v>45891</v>
      </c>
      <c r="L4309" s="5">
        <f t="shared" si="1048"/>
        <v>8</v>
      </c>
      <c r="M4309" s="5">
        <f t="shared" si="1049"/>
        <v>2025</v>
      </c>
      <c r="N4309" s="156">
        <v>1710</v>
      </c>
      <c r="P4309" s="12"/>
      <c r="Q4309" s="7">
        <f t="shared" si="1050"/>
        <v>7123252.650000005</v>
      </c>
      <c r="R4309" s="44" t="str">
        <f>VLOOKUP(F4309,'Set up'!$A$2:$E$70,5,FALSE)</f>
        <v>Trsf</v>
      </c>
    </row>
    <row r="4310" spans="1:18" ht="16.2" customHeight="1" x14ac:dyDescent="0.3">
      <c r="A4310" s="150" t="s">
        <v>4092</v>
      </c>
      <c r="B4310" s="5">
        <f t="shared" si="1051"/>
        <v>8</v>
      </c>
      <c r="C4310" s="5">
        <f t="shared" si="1052"/>
        <v>2025</v>
      </c>
      <c r="D4310" s="150" t="s">
        <v>4120</v>
      </c>
      <c r="E4310" s="5" t="str">
        <f>VLOOKUP(F4310,'Set up'!$A$2:$C$70,2,FALSE)</f>
        <v>C00000019</v>
      </c>
      <c r="F4310" s="151" t="s">
        <v>400</v>
      </c>
      <c r="G4310" s="151" t="s">
        <v>1612</v>
      </c>
      <c r="H4310" s="150">
        <v>1</v>
      </c>
      <c r="I4310" s="5" t="str">
        <f>VLOOKUP(F4310,'Set up'!$A$2:$C$70,3,FALSE)</f>
        <v>Cash</v>
      </c>
      <c r="J4310" s="5">
        <f>VLOOKUP(F4310,'Set up'!$A$2:$D$70,4,FALSE)</f>
        <v>0</v>
      </c>
      <c r="K4310" s="4">
        <f t="shared" si="1047"/>
        <v>45891</v>
      </c>
      <c r="L4310" s="5">
        <f t="shared" si="1048"/>
        <v>8</v>
      </c>
      <c r="M4310" s="5">
        <f t="shared" si="1049"/>
        <v>2025</v>
      </c>
      <c r="N4310" s="156">
        <v>502.5</v>
      </c>
      <c r="P4310" s="12"/>
      <c r="Q4310" s="7">
        <f t="shared" si="1050"/>
        <v>7123755.150000005</v>
      </c>
      <c r="R4310" s="44" t="str">
        <f>VLOOKUP(F4310,'Set up'!$A$2:$E$70,5,FALSE)</f>
        <v>Trsf</v>
      </c>
    </row>
    <row r="4311" spans="1:18" ht="16.2" customHeight="1" x14ac:dyDescent="0.3">
      <c r="A4311" s="150" t="s">
        <v>4092</v>
      </c>
      <c r="B4311" s="5">
        <f t="shared" si="1051"/>
        <v>8</v>
      </c>
      <c r="C4311" s="5">
        <f t="shared" si="1052"/>
        <v>2025</v>
      </c>
      <c r="D4311" s="150" t="s">
        <v>4120</v>
      </c>
      <c r="E4311" s="5" t="str">
        <f>VLOOKUP(F4311,'Set up'!$A$2:$C$70,2,FALSE)</f>
        <v>C00000019</v>
      </c>
      <c r="F4311" s="151" t="s">
        <v>400</v>
      </c>
      <c r="G4311" s="151" t="s">
        <v>46</v>
      </c>
      <c r="H4311" s="150">
        <v>1</v>
      </c>
      <c r="I4311" s="5" t="str">
        <f>VLOOKUP(F4311,'Set up'!$A$2:$C$70,3,FALSE)</f>
        <v>Cash</v>
      </c>
      <c r="J4311" s="5">
        <f>VLOOKUP(F4311,'Set up'!$A$2:$D$70,4,FALSE)</f>
        <v>0</v>
      </c>
      <c r="K4311" s="4">
        <f t="shared" si="1047"/>
        <v>45891</v>
      </c>
      <c r="L4311" s="5">
        <f t="shared" si="1048"/>
        <v>8</v>
      </c>
      <c r="M4311" s="5">
        <f t="shared" si="1049"/>
        <v>2025</v>
      </c>
      <c r="N4311" s="156">
        <v>115</v>
      </c>
      <c r="P4311" s="12"/>
      <c r="Q4311" s="7">
        <f t="shared" si="1050"/>
        <v>7123870.150000005</v>
      </c>
      <c r="R4311" s="44" t="str">
        <f>VLOOKUP(F4311,'Set up'!$A$2:$E$70,5,FALSE)</f>
        <v>Trsf</v>
      </c>
    </row>
    <row r="4312" spans="1:18" ht="16.2" customHeight="1" x14ac:dyDescent="0.3">
      <c r="A4312" s="150" t="s">
        <v>4092</v>
      </c>
      <c r="B4312" s="5">
        <f t="shared" si="1051"/>
        <v>8</v>
      </c>
      <c r="C4312" s="5">
        <f t="shared" si="1052"/>
        <v>2025</v>
      </c>
      <c r="D4312" s="150" t="s">
        <v>4120</v>
      </c>
      <c r="E4312" s="5" t="str">
        <f>VLOOKUP(F4312,'Set up'!$A$2:$C$70,2,FALSE)</f>
        <v>C00000019</v>
      </c>
      <c r="F4312" s="151" t="s">
        <v>400</v>
      </c>
      <c r="G4312" s="151" t="s">
        <v>2635</v>
      </c>
      <c r="H4312" s="150">
        <v>3</v>
      </c>
      <c r="I4312" s="5" t="str">
        <f>VLOOKUP(F4312,'Set up'!$A$2:$C$70,3,FALSE)</f>
        <v>Cash</v>
      </c>
      <c r="J4312" s="5">
        <f>VLOOKUP(F4312,'Set up'!$A$2:$D$70,4,FALSE)</f>
        <v>0</v>
      </c>
      <c r="K4312" s="4">
        <f t="shared" si="1047"/>
        <v>45891</v>
      </c>
      <c r="L4312" s="5">
        <f t="shared" si="1048"/>
        <v>8</v>
      </c>
      <c r="M4312" s="5">
        <f t="shared" si="1049"/>
        <v>2025</v>
      </c>
      <c r="N4312" s="156">
        <v>187.5</v>
      </c>
      <c r="P4312" s="12"/>
      <c r="Q4312" s="7">
        <f t="shared" si="1050"/>
        <v>7124057.650000005</v>
      </c>
      <c r="R4312" s="44" t="str">
        <f>VLOOKUP(F4312,'Set up'!$A$2:$E$70,5,FALSE)</f>
        <v>Trsf</v>
      </c>
    </row>
    <row r="4313" spans="1:18" ht="16.2" customHeight="1" x14ac:dyDescent="0.3">
      <c r="A4313" s="150" t="s">
        <v>4092</v>
      </c>
      <c r="B4313" s="5">
        <f t="shared" si="1051"/>
        <v>8</v>
      </c>
      <c r="C4313" s="5">
        <f t="shared" si="1052"/>
        <v>2025</v>
      </c>
      <c r="D4313" s="150" t="s">
        <v>4120</v>
      </c>
      <c r="E4313" s="5" t="str">
        <f>VLOOKUP(F4313,'Set up'!$A$2:$C$70,2,FALSE)</f>
        <v>C00000019</v>
      </c>
      <c r="F4313" s="151" t="s">
        <v>400</v>
      </c>
      <c r="G4313" s="151" t="s">
        <v>949</v>
      </c>
      <c r="H4313" s="150">
        <v>2</v>
      </c>
      <c r="I4313" s="5" t="str">
        <f>VLOOKUP(F4313,'Set up'!$A$2:$C$70,3,FALSE)</f>
        <v>Cash</v>
      </c>
      <c r="J4313" s="5">
        <f>VLOOKUP(F4313,'Set up'!$A$2:$D$70,4,FALSE)</f>
        <v>0</v>
      </c>
      <c r="K4313" s="4">
        <f t="shared" si="1047"/>
        <v>45891</v>
      </c>
      <c r="L4313" s="5">
        <f t="shared" si="1048"/>
        <v>8</v>
      </c>
      <c r="M4313" s="5">
        <f t="shared" si="1049"/>
        <v>2025</v>
      </c>
      <c r="N4313" s="156">
        <v>120</v>
      </c>
      <c r="P4313" s="12"/>
      <c r="Q4313" s="7">
        <f t="shared" si="1050"/>
        <v>7124177.650000005</v>
      </c>
      <c r="R4313" s="44" t="str">
        <f>VLOOKUP(F4313,'Set up'!$A$2:$E$70,5,FALSE)</f>
        <v>Trsf</v>
      </c>
    </row>
    <row r="4314" spans="1:18" ht="16.2" customHeight="1" x14ac:dyDescent="0.3">
      <c r="A4314" s="150" t="s">
        <v>4093</v>
      </c>
      <c r="B4314" s="5">
        <f t="shared" si="1051"/>
        <v>8</v>
      </c>
      <c r="C4314" s="5">
        <f t="shared" si="1052"/>
        <v>2025</v>
      </c>
      <c r="D4314" s="150" t="s">
        <v>4121</v>
      </c>
      <c r="E4314" s="5" t="str">
        <f>VLOOKUP(F4314,'Set up'!$A$2:$C$70,2,FALSE)</f>
        <v>C00000042</v>
      </c>
      <c r="F4314" s="151" t="s">
        <v>2012</v>
      </c>
      <c r="G4314" s="151" t="s">
        <v>2646</v>
      </c>
      <c r="H4314" s="150">
        <v>3</v>
      </c>
      <c r="I4314" s="5" t="str">
        <f>VLOOKUP(F4314,'Set up'!$A$2:$C$70,3,FALSE)</f>
        <v>Cash</v>
      </c>
      <c r="J4314" s="5">
        <f>VLOOKUP(F4314,'Set up'!$A$2:$D$70,4,FALSE)</f>
        <v>0</v>
      </c>
      <c r="K4314" s="4">
        <f t="shared" si="1047"/>
        <v>45895</v>
      </c>
      <c r="L4314" s="5">
        <f t="shared" si="1048"/>
        <v>8</v>
      </c>
      <c r="M4314" s="5">
        <f t="shared" si="1049"/>
        <v>2025</v>
      </c>
      <c r="N4314" s="156">
        <v>187.5</v>
      </c>
      <c r="P4314" s="12"/>
      <c r="Q4314" s="7">
        <f t="shared" si="1050"/>
        <v>7124365.150000005</v>
      </c>
      <c r="R4314" s="44" t="str">
        <f>VLOOKUP(F4314,'Set up'!$A$2:$E$70,5,FALSE)</f>
        <v>Trsf</v>
      </c>
    </row>
    <row r="4315" spans="1:18" ht="16.2" customHeight="1" x14ac:dyDescent="0.3">
      <c r="A4315" s="150" t="s">
        <v>4093</v>
      </c>
      <c r="B4315" s="5">
        <f t="shared" si="1051"/>
        <v>8</v>
      </c>
      <c r="C4315" s="5">
        <f t="shared" si="1052"/>
        <v>2025</v>
      </c>
      <c r="D4315" s="150" t="s">
        <v>4122</v>
      </c>
      <c r="E4315" s="5" t="str">
        <f>VLOOKUP(F4315,'Set up'!$A$2:$C$70,2,FALSE)</f>
        <v>C00000042</v>
      </c>
      <c r="F4315" s="151" t="s">
        <v>2012</v>
      </c>
      <c r="G4315" s="151" t="s">
        <v>3217</v>
      </c>
      <c r="H4315" s="150">
        <v>7</v>
      </c>
      <c r="I4315" s="5" t="str">
        <f>VLOOKUP(F4315,'Set up'!$A$2:$C$70,3,FALSE)</f>
        <v>Cash</v>
      </c>
      <c r="J4315" s="5">
        <f>VLOOKUP(F4315,'Set up'!$A$2:$D$70,4,FALSE)</f>
        <v>0</v>
      </c>
      <c r="K4315" s="4">
        <f t="shared" si="1047"/>
        <v>45895</v>
      </c>
      <c r="L4315" s="5">
        <f t="shared" si="1048"/>
        <v>8</v>
      </c>
      <c r="M4315" s="5">
        <f t="shared" si="1049"/>
        <v>2025</v>
      </c>
      <c r="N4315" s="156">
        <v>11340</v>
      </c>
      <c r="P4315" s="12"/>
      <c r="Q4315" s="7">
        <f t="shared" si="1050"/>
        <v>7135705.150000005</v>
      </c>
      <c r="R4315" s="44" t="str">
        <f>VLOOKUP(F4315,'Set up'!$A$2:$E$70,5,FALSE)</f>
        <v>Trsf</v>
      </c>
    </row>
    <row r="4316" spans="1:18" ht="16.2" customHeight="1" x14ac:dyDescent="0.3">
      <c r="A4316" s="150" t="s">
        <v>4093</v>
      </c>
      <c r="B4316" s="5">
        <f t="shared" si="1051"/>
        <v>8</v>
      </c>
      <c r="C4316" s="5">
        <f t="shared" si="1052"/>
        <v>2025</v>
      </c>
      <c r="D4316" s="150" t="s">
        <v>4122</v>
      </c>
      <c r="E4316" s="5" t="str">
        <f>VLOOKUP(F4316,'Set up'!$A$2:$C$70,2,FALSE)</f>
        <v>C00000042</v>
      </c>
      <c r="F4316" s="151" t="s">
        <v>2012</v>
      </c>
      <c r="G4316" s="151" t="s">
        <v>1543</v>
      </c>
      <c r="H4316" s="150">
        <v>21</v>
      </c>
      <c r="I4316" s="5" t="str">
        <f>VLOOKUP(F4316,'Set up'!$A$2:$C$70,3,FALSE)</f>
        <v>Cash</v>
      </c>
      <c r="J4316" s="5">
        <f>VLOOKUP(F4316,'Set up'!$A$2:$D$70,4,FALSE)</f>
        <v>0</v>
      </c>
      <c r="K4316" s="4">
        <f t="shared" si="1047"/>
        <v>45895</v>
      </c>
      <c r="L4316" s="5">
        <f t="shared" si="1048"/>
        <v>8</v>
      </c>
      <c r="M4316" s="5">
        <f t="shared" si="1049"/>
        <v>2025</v>
      </c>
      <c r="N4316" s="156">
        <v>3717</v>
      </c>
      <c r="P4316" s="12"/>
      <c r="Q4316" s="7">
        <f t="shared" si="1050"/>
        <v>7139422.150000005</v>
      </c>
      <c r="R4316" s="44" t="str">
        <f>VLOOKUP(F4316,'Set up'!$A$2:$E$70,5,FALSE)</f>
        <v>Trsf</v>
      </c>
    </row>
    <row r="4317" spans="1:18" ht="16.2" customHeight="1" x14ac:dyDescent="0.3">
      <c r="A4317" s="150" t="s">
        <v>4093</v>
      </c>
      <c r="B4317" s="5">
        <f t="shared" si="1051"/>
        <v>8</v>
      </c>
      <c r="C4317" s="5">
        <f t="shared" si="1052"/>
        <v>2025</v>
      </c>
      <c r="D4317" s="150" t="s">
        <v>4122</v>
      </c>
      <c r="E4317" s="5" t="str">
        <f>VLOOKUP(F4317,'Set up'!$A$2:$C$70,2,FALSE)</f>
        <v>C00000042</v>
      </c>
      <c r="F4317" s="151" t="s">
        <v>2012</v>
      </c>
      <c r="G4317" s="151" t="s">
        <v>1922</v>
      </c>
      <c r="H4317" s="150">
        <v>10</v>
      </c>
      <c r="I4317" s="5" t="str">
        <f>VLOOKUP(F4317,'Set up'!$A$2:$C$70,3,FALSE)</f>
        <v>Cash</v>
      </c>
      <c r="J4317" s="5">
        <f>VLOOKUP(F4317,'Set up'!$A$2:$D$70,4,FALSE)</f>
        <v>0</v>
      </c>
      <c r="K4317" s="4">
        <f t="shared" si="1047"/>
        <v>45895</v>
      </c>
      <c r="L4317" s="5">
        <f t="shared" si="1048"/>
        <v>8</v>
      </c>
      <c r="M4317" s="5">
        <f t="shared" si="1049"/>
        <v>2025</v>
      </c>
      <c r="N4317" s="156">
        <v>2475</v>
      </c>
      <c r="P4317" s="12"/>
      <c r="Q4317" s="7">
        <f t="shared" si="1050"/>
        <v>7141897.150000005</v>
      </c>
      <c r="R4317" s="44" t="str">
        <f>VLOOKUP(F4317,'Set up'!$A$2:$E$70,5,FALSE)</f>
        <v>Trsf</v>
      </c>
    </row>
    <row r="4318" spans="1:18" ht="16.2" customHeight="1" x14ac:dyDescent="0.3">
      <c r="A4318" s="150" t="s">
        <v>4093</v>
      </c>
      <c r="B4318" s="5">
        <f t="shared" si="1051"/>
        <v>8</v>
      </c>
      <c r="C4318" s="5">
        <f t="shared" si="1052"/>
        <v>2025</v>
      </c>
      <c r="D4318" s="150" t="s">
        <v>4122</v>
      </c>
      <c r="E4318" s="5" t="str">
        <f>VLOOKUP(F4318,'Set up'!$A$2:$C$70,2,FALSE)</f>
        <v>C00000042</v>
      </c>
      <c r="F4318" s="151" t="s">
        <v>2012</v>
      </c>
      <c r="G4318" s="151" t="s">
        <v>46</v>
      </c>
      <c r="H4318" s="150">
        <v>4</v>
      </c>
      <c r="I4318" s="5" t="str">
        <f>VLOOKUP(F4318,'Set up'!$A$2:$C$70,3,FALSE)</f>
        <v>Cash</v>
      </c>
      <c r="J4318" s="5">
        <f>VLOOKUP(F4318,'Set up'!$A$2:$D$70,4,FALSE)</f>
        <v>0</v>
      </c>
      <c r="K4318" s="4">
        <f t="shared" si="1047"/>
        <v>45895</v>
      </c>
      <c r="L4318" s="5">
        <f t="shared" si="1048"/>
        <v>8</v>
      </c>
      <c r="M4318" s="5">
        <f t="shared" si="1049"/>
        <v>2025</v>
      </c>
      <c r="N4318" s="156">
        <v>460</v>
      </c>
      <c r="P4318" s="12"/>
      <c r="Q4318" s="7">
        <f t="shared" si="1050"/>
        <v>7142357.150000005</v>
      </c>
      <c r="R4318" s="44" t="str">
        <f>VLOOKUP(F4318,'Set up'!$A$2:$E$70,5,FALSE)</f>
        <v>Trsf</v>
      </c>
    </row>
    <row r="4319" spans="1:18" ht="16.2" customHeight="1" x14ac:dyDescent="0.3">
      <c r="A4319" s="150" t="s">
        <v>4093</v>
      </c>
      <c r="B4319" s="5">
        <f t="shared" si="1051"/>
        <v>8</v>
      </c>
      <c r="C4319" s="5">
        <f t="shared" si="1052"/>
        <v>2025</v>
      </c>
      <c r="D4319" s="150" t="s">
        <v>4122</v>
      </c>
      <c r="E4319" s="5" t="str">
        <f>VLOOKUP(F4319,'Set up'!$A$2:$C$70,2,FALSE)</f>
        <v>C00000042</v>
      </c>
      <c r="F4319" s="151" t="s">
        <v>2012</v>
      </c>
      <c r="G4319" s="151" t="s">
        <v>1073</v>
      </c>
      <c r="H4319" s="150">
        <v>2</v>
      </c>
      <c r="I4319" s="5" t="str">
        <f>VLOOKUP(F4319,'Set up'!$A$2:$C$70,3,FALSE)</f>
        <v>Cash</v>
      </c>
      <c r="J4319" s="5">
        <f>VLOOKUP(F4319,'Set up'!$A$2:$D$70,4,FALSE)</f>
        <v>0</v>
      </c>
      <c r="K4319" s="4">
        <f t="shared" si="1047"/>
        <v>45895</v>
      </c>
      <c r="L4319" s="5">
        <f t="shared" si="1048"/>
        <v>8</v>
      </c>
      <c r="M4319" s="5">
        <f t="shared" si="1049"/>
        <v>2025</v>
      </c>
      <c r="N4319" s="156">
        <v>2000</v>
      </c>
      <c r="P4319" s="12"/>
      <c r="Q4319" s="7">
        <f t="shared" si="1050"/>
        <v>7144357.150000005</v>
      </c>
      <c r="R4319" s="44" t="str">
        <f>VLOOKUP(F4319,'Set up'!$A$2:$E$70,5,FALSE)</f>
        <v>Trsf</v>
      </c>
    </row>
    <row r="4320" spans="1:18" ht="16.2" customHeight="1" x14ac:dyDescent="0.3">
      <c r="A4320" s="150" t="s">
        <v>4093</v>
      </c>
      <c r="B4320" s="5">
        <f t="shared" si="1051"/>
        <v>8</v>
      </c>
      <c r="C4320" s="5">
        <f t="shared" si="1052"/>
        <v>2025</v>
      </c>
      <c r="D4320" s="150" t="s">
        <v>4123</v>
      </c>
      <c r="E4320" s="5" t="str">
        <f>VLOOKUP(F4320,'Set up'!$A$2:$C$70,2,FALSE)</f>
        <v>C00000013</v>
      </c>
      <c r="F4320" s="151" t="s">
        <v>3549</v>
      </c>
      <c r="G4320" s="151" t="s">
        <v>3533</v>
      </c>
      <c r="H4320" s="150">
        <v>4</v>
      </c>
      <c r="I4320" s="5" t="str">
        <f>VLOOKUP(F4320,'Set up'!$A$2:$C$70,3,FALSE)</f>
        <v>Cash</v>
      </c>
      <c r="J4320" s="5">
        <f>VLOOKUP(F4320,'Set up'!$A$2:$D$70,4,FALSE)</f>
        <v>0</v>
      </c>
      <c r="K4320" s="4">
        <f t="shared" si="1047"/>
        <v>45895</v>
      </c>
      <c r="L4320" s="5">
        <f t="shared" si="1048"/>
        <v>8</v>
      </c>
      <c r="M4320" s="5">
        <f t="shared" si="1049"/>
        <v>2025</v>
      </c>
      <c r="N4320" s="156">
        <v>6930</v>
      </c>
      <c r="P4320" s="12"/>
      <c r="Q4320" s="7">
        <f t="shared" si="1050"/>
        <v>7151287.150000005</v>
      </c>
      <c r="R4320" s="44" t="str">
        <f>VLOOKUP(F4320,'Set up'!$A$2:$E$70,5,FALSE)</f>
        <v>Chq</v>
      </c>
    </row>
    <row r="4321" spans="1:18" ht="16.2" customHeight="1" x14ac:dyDescent="0.3">
      <c r="A4321" s="150" t="s">
        <v>4093</v>
      </c>
      <c r="B4321" s="5">
        <f t="shared" si="1051"/>
        <v>8</v>
      </c>
      <c r="C4321" s="5">
        <f t="shared" si="1052"/>
        <v>2025</v>
      </c>
      <c r="D4321" s="150" t="s">
        <v>4123</v>
      </c>
      <c r="E4321" s="5" t="str">
        <f>VLOOKUP(F4321,'Set up'!$A$2:$C$70,2,FALSE)</f>
        <v>C00000013</v>
      </c>
      <c r="F4321" s="151" t="s">
        <v>3549</v>
      </c>
      <c r="G4321" s="151" t="s">
        <v>4141</v>
      </c>
      <c r="H4321" s="150">
        <v>2</v>
      </c>
      <c r="I4321" s="5" t="str">
        <f>VLOOKUP(F4321,'Set up'!$A$2:$C$70,3,FALSE)</f>
        <v>Cash</v>
      </c>
      <c r="J4321" s="5">
        <f>VLOOKUP(F4321,'Set up'!$A$2:$D$70,4,FALSE)</f>
        <v>0</v>
      </c>
      <c r="K4321" s="4">
        <f t="shared" si="1047"/>
        <v>45895</v>
      </c>
      <c r="L4321" s="5">
        <f t="shared" si="1048"/>
        <v>8</v>
      </c>
      <c r="M4321" s="5">
        <f t="shared" si="1049"/>
        <v>2025</v>
      </c>
      <c r="N4321" s="156">
        <v>1005</v>
      </c>
      <c r="P4321" s="12"/>
      <c r="Q4321" s="7">
        <f t="shared" si="1050"/>
        <v>7152292.150000005</v>
      </c>
      <c r="R4321" s="44" t="str">
        <f>VLOOKUP(F4321,'Set up'!$A$2:$E$70,5,FALSE)</f>
        <v>Chq</v>
      </c>
    </row>
    <row r="4322" spans="1:18" ht="16.2" customHeight="1" x14ac:dyDescent="0.3">
      <c r="A4322" s="150" t="s">
        <v>4093</v>
      </c>
      <c r="B4322" s="5">
        <f t="shared" si="1051"/>
        <v>8</v>
      </c>
      <c r="C4322" s="5">
        <f t="shared" si="1052"/>
        <v>2025</v>
      </c>
      <c r="D4322" s="150" t="s">
        <v>4123</v>
      </c>
      <c r="E4322" s="5" t="str">
        <f>VLOOKUP(F4322,'Set up'!$A$2:$C$70,2,FALSE)</f>
        <v>C00000013</v>
      </c>
      <c r="F4322" s="151" t="s">
        <v>3549</v>
      </c>
      <c r="G4322" s="151" t="s">
        <v>1740</v>
      </c>
      <c r="H4322" s="150">
        <v>2</v>
      </c>
      <c r="I4322" s="5" t="str">
        <f>VLOOKUP(F4322,'Set up'!$A$2:$C$70,3,FALSE)</f>
        <v>Cash</v>
      </c>
      <c r="J4322" s="5">
        <f>VLOOKUP(F4322,'Set up'!$A$2:$D$70,4,FALSE)</f>
        <v>0</v>
      </c>
      <c r="K4322" s="4">
        <f t="shared" si="1047"/>
        <v>45895</v>
      </c>
      <c r="L4322" s="5">
        <f t="shared" si="1048"/>
        <v>8</v>
      </c>
      <c r="M4322" s="5">
        <f t="shared" si="1049"/>
        <v>2025</v>
      </c>
      <c r="N4322" s="156">
        <v>810</v>
      </c>
      <c r="P4322" s="12"/>
      <c r="Q4322" s="7">
        <f t="shared" si="1050"/>
        <v>7153102.150000005</v>
      </c>
      <c r="R4322" s="44" t="str">
        <f>VLOOKUP(F4322,'Set up'!$A$2:$E$70,5,FALSE)</f>
        <v>Chq</v>
      </c>
    </row>
    <row r="4323" spans="1:18" ht="16.2" customHeight="1" x14ac:dyDescent="0.3">
      <c r="A4323" s="150" t="s">
        <v>4093</v>
      </c>
      <c r="B4323" s="5">
        <f t="shared" si="1051"/>
        <v>8</v>
      </c>
      <c r="C4323" s="5">
        <f t="shared" si="1052"/>
        <v>2025</v>
      </c>
      <c r="D4323" s="150" t="s">
        <v>4123</v>
      </c>
      <c r="E4323" s="5" t="str">
        <f>VLOOKUP(F4323,'Set up'!$A$2:$C$70,2,FALSE)</f>
        <v>C00000013</v>
      </c>
      <c r="F4323" s="151" t="s">
        <v>3549</v>
      </c>
      <c r="G4323" s="151" t="s">
        <v>4142</v>
      </c>
      <c r="H4323" s="150">
        <v>3</v>
      </c>
      <c r="I4323" s="5" t="str">
        <f>VLOOKUP(F4323,'Set up'!$A$2:$C$70,3,FALSE)</f>
        <v>Cash</v>
      </c>
      <c r="J4323" s="5">
        <f>VLOOKUP(F4323,'Set up'!$A$2:$D$70,4,FALSE)</f>
        <v>0</v>
      </c>
      <c r="K4323" s="4">
        <f t="shared" si="1047"/>
        <v>45895</v>
      </c>
      <c r="L4323" s="5">
        <f t="shared" si="1048"/>
        <v>8</v>
      </c>
      <c r="M4323" s="5">
        <f t="shared" si="1049"/>
        <v>2025</v>
      </c>
      <c r="N4323" s="156">
        <v>851.4</v>
      </c>
      <c r="P4323" s="12"/>
      <c r="Q4323" s="7">
        <f t="shared" si="1050"/>
        <v>7153953.5500000054</v>
      </c>
      <c r="R4323" s="44" t="str">
        <f>VLOOKUP(F4323,'Set up'!$A$2:$E$70,5,FALSE)</f>
        <v>Chq</v>
      </c>
    </row>
    <row r="4324" spans="1:18" ht="16.2" customHeight="1" x14ac:dyDescent="0.3">
      <c r="A4324" s="150" t="s">
        <v>4093</v>
      </c>
      <c r="B4324" s="5">
        <f t="shared" si="1051"/>
        <v>8</v>
      </c>
      <c r="C4324" s="5">
        <f t="shared" si="1052"/>
        <v>2025</v>
      </c>
      <c r="D4324" s="150" t="s">
        <v>4123</v>
      </c>
      <c r="E4324" s="5" t="str">
        <f>VLOOKUP(F4324,'Set up'!$A$2:$C$70,2,FALSE)</f>
        <v>C00000013</v>
      </c>
      <c r="F4324" s="151" t="s">
        <v>3549</v>
      </c>
      <c r="G4324" s="151" t="s">
        <v>4143</v>
      </c>
      <c r="H4324" s="150">
        <v>1</v>
      </c>
      <c r="I4324" s="5" t="str">
        <f>VLOOKUP(F4324,'Set up'!$A$2:$C$70,3,FALSE)</f>
        <v>Cash</v>
      </c>
      <c r="J4324" s="5">
        <f>VLOOKUP(F4324,'Set up'!$A$2:$D$70,4,FALSE)</f>
        <v>0</v>
      </c>
      <c r="K4324" s="4">
        <f t="shared" si="1047"/>
        <v>45895</v>
      </c>
      <c r="L4324" s="5">
        <f t="shared" si="1048"/>
        <v>8</v>
      </c>
      <c r="M4324" s="5">
        <f t="shared" si="1049"/>
        <v>2025</v>
      </c>
      <c r="N4324" s="156">
        <v>875</v>
      </c>
      <c r="P4324" s="12"/>
      <c r="Q4324" s="7">
        <f t="shared" si="1050"/>
        <v>7154828.5500000054</v>
      </c>
      <c r="R4324" s="44" t="str">
        <f>VLOOKUP(F4324,'Set up'!$A$2:$E$70,5,FALSE)</f>
        <v>Chq</v>
      </c>
    </row>
    <row r="4325" spans="1:18" ht="16.2" customHeight="1" x14ac:dyDescent="0.3">
      <c r="A4325" s="150" t="s">
        <v>4093</v>
      </c>
      <c r="B4325" s="5">
        <f t="shared" si="1051"/>
        <v>8</v>
      </c>
      <c r="C4325" s="5">
        <f t="shared" si="1052"/>
        <v>2025</v>
      </c>
      <c r="D4325" s="150" t="s">
        <v>4123</v>
      </c>
      <c r="E4325" s="5" t="str">
        <f>VLOOKUP(F4325,'Set up'!$A$2:$C$70,2,FALSE)</f>
        <v>C00000013</v>
      </c>
      <c r="F4325" s="151" t="s">
        <v>3549</v>
      </c>
      <c r="G4325" s="151" t="s">
        <v>1743</v>
      </c>
      <c r="H4325" s="150">
        <v>1</v>
      </c>
      <c r="I4325" s="5" t="str">
        <f>VLOOKUP(F4325,'Set up'!$A$2:$C$70,3,FALSE)</f>
        <v>Cash</v>
      </c>
      <c r="J4325" s="5">
        <f>VLOOKUP(F4325,'Set up'!$A$2:$D$70,4,FALSE)</f>
        <v>0</v>
      </c>
      <c r="K4325" s="4">
        <f t="shared" si="1047"/>
        <v>45895</v>
      </c>
      <c r="L4325" s="5">
        <f t="shared" si="1048"/>
        <v>8</v>
      </c>
      <c r="M4325" s="5">
        <f t="shared" si="1049"/>
        <v>2025</v>
      </c>
      <c r="N4325" s="156">
        <v>55.2</v>
      </c>
      <c r="P4325" s="12"/>
      <c r="Q4325" s="7">
        <f t="shared" si="1050"/>
        <v>7154883.7500000056</v>
      </c>
      <c r="R4325" s="44" t="str">
        <f>VLOOKUP(F4325,'Set up'!$A$2:$E$70,5,FALSE)</f>
        <v>Chq</v>
      </c>
    </row>
    <row r="4326" spans="1:18" ht="16.2" customHeight="1" x14ac:dyDescent="0.3">
      <c r="A4326" s="150" t="s">
        <v>4093</v>
      </c>
      <c r="B4326" s="5">
        <f t="shared" si="1051"/>
        <v>8</v>
      </c>
      <c r="C4326" s="5">
        <f t="shared" si="1052"/>
        <v>2025</v>
      </c>
      <c r="D4326" s="150" t="s">
        <v>4123</v>
      </c>
      <c r="E4326" s="5" t="str">
        <f>VLOOKUP(F4326,'Set up'!$A$2:$C$70,2,FALSE)</f>
        <v>C00000013</v>
      </c>
      <c r="F4326" s="151" t="s">
        <v>3549</v>
      </c>
      <c r="G4326" s="151" t="s">
        <v>4144</v>
      </c>
      <c r="H4326" s="150">
        <v>1</v>
      </c>
      <c r="I4326" s="5" t="str">
        <f>VLOOKUP(F4326,'Set up'!$A$2:$C$70,3,FALSE)</f>
        <v>Cash</v>
      </c>
      <c r="J4326" s="5">
        <f>VLOOKUP(F4326,'Set up'!$A$2:$D$70,4,FALSE)</f>
        <v>0</v>
      </c>
      <c r="K4326" s="4">
        <f t="shared" si="1047"/>
        <v>45895</v>
      </c>
      <c r="L4326" s="5">
        <f t="shared" si="1048"/>
        <v>8</v>
      </c>
      <c r="M4326" s="5">
        <f t="shared" si="1049"/>
        <v>2025</v>
      </c>
      <c r="N4326" s="156">
        <v>1108.4000000000001</v>
      </c>
      <c r="P4326" s="12"/>
      <c r="Q4326" s="7">
        <f t="shared" si="1050"/>
        <v>7155992.150000006</v>
      </c>
      <c r="R4326" s="44" t="str">
        <f>VLOOKUP(F4326,'Set up'!$A$2:$E$70,5,FALSE)</f>
        <v>Chq</v>
      </c>
    </row>
    <row r="4327" spans="1:18" ht="16.2" customHeight="1" x14ac:dyDescent="0.3">
      <c r="A4327" s="150" t="s">
        <v>4093</v>
      </c>
      <c r="B4327" s="5">
        <f t="shared" si="1051"/>
        <v>8</v>
      </c>
      <c r="C4327" s="5">
        <f t="shared" si="1052"/>
        <v>2025</v>
      </c>
      <c r="D4327" s="150" t="s">
        <v>4123</v>
      </c>
      <c r="E4327" s="5" t="str">
        <f>VLOOKUP(F4327,'Set up'!$A$2:$C$70,2,FALSE)</f>
        <v>C00000013</v>
      </c>
      <c r="F4327" s="151" t="s">
        <v>3549</v>
      </c>
      <c r="G4327" s="151" t="s">
        <v>1469</v>
      </c>
      <c r="H4327" s="150">
        <v>1</v>
      </c>
      <c r="I4327" s="5" t="str">
        <f>VLOOKUP(F4327,'Set up'!$A$2:$C$70,3,FALSE)</f>
        <v>Cash</v>
      </c>
      <c r="J4327" s="5">
        <f>VLOOKUP(F4327,'Set up'!$A$2:$D$70,4,FALSE)</f>
        <v>0</v>
      </c>
      <c r="K4327" s="4">
        <f t="shared" si="1047"/>
        <v>45895</v>
      </c>
      <c r="L4327" s="5">
        <f t="shared" si="1048"/>
        <v>8</v>
      </c>
      <c r="M4327" s="5">
        <f t="shared" si="1049"/>
        <v>2025</v>
      </c>
      <c r="N4327" s="156">
        <v>430</v>
      </c>
      <c r="P4327" s="12"/>
      <c r="Q4327" s="7">
        <f t="shared" si="1050"/>
        <v>7156422.150000006</v>
      </c>
      <c r="R4327" s="44" t="str">
        <f>VLOOKUP(F4327,'Set up'!$A$2:$E$70,5,FALSE)</f>
        <v>Chq</v>
      </c>
    </row>
    <row r="4328" spans="1:18" ht="16.2" customHeight="1" x14ac:dyDescent="0.3">
      <c r="A4328" s="150" t="s">
        <v>4093</v>
      </c>
      <c r="B4328" s="5">
        <f t="shared" si="1051"/>
        <v>8</v>
      </c>
      <c r="C4328" s="5">
        <f t="shared" si="1052"/>
        <v>2025</v>
      </c>
      <c r="D4328" s="150" t="s">
        <v>4123</v>
      </c>
      <c r="E4328" s="5" t="str">
        <f>VLOOKUP(F4328,'Set up'!$A$2:$C$70,2,FALSE)</f>
        <v>C00000013</v>
      </c>
      <c r="F4328" s="151" t="s">
        <v>3549</v>
      </c>
      <c r="G4328" s="151" t="s">
        <v>17</v>
      </c>
      <c r="H4328" s="150">
        <v>1</v>
      </c>
      <c r="I4328" s="5" t="str">
        <f>VLOOKUP(F4328,'Set up'!$A$2:$C$70,3,FALSE)</f>
        <v>Cash</v>
      </c>
      <c r="J4328" s="5">
        <f>VLOOKUP(F4328,'Set up'!$A$2:$D$70,4,FALSE)</f>
        <v>0</v>
      </c>
      <c r="K4328" s="4">
        <f t="shared" si="1047"/>
        <v>45895</v>
      </c>
      <c r="L4328" s="5">
        <f t="shared" si="1048"/>
        <v>8</v>
      </c>
      <c r="M4328" s="5">
        <f t="shared" si="1049"/>
        <v>2025</v>
      </c>
      <c r="N4328" s="156">
        <v>120</v>
      </c>
      <c r="P4328" s="12"/>
      <c r="Q4328" s="7">
        <f t="shared" si="1050"/>
        <v>7156542.150000006</v>
      </c>
      <c r="R4328" s="44" t="str">
        <f>VLOOKUP(F4328,'Set up'!$A$2:$E$70,5,FALSE)</f>
        <v>Chq</v>
      </c>
    </row>
    <row r="4329" spans="1:18" ht="16.2" customHeight="1" x14ac:dyDescent="0.3">
      <c r="A4329" s="150" t="s">
        <v>4093</v>
      </c>
      <c r="B4329" s="5">
        <f t="shared" si="1051"/>
        <v>8</v>
      </c>
      <c r="C4329" s="5">
        <f t="shared" si="1052"/>
        <v>2025</v>
      </c>
      <c r="D4329" s="150" t="s">
        <v>4123</v>
      </c>
      <c r="E4329" s="5" t="str">
        <f>VLOOKUP(F4329,'Set up'!$A$2:$C$70,2,FALSE)</f>
        <v>C00000013</v>
      </c>
      <c r="F4329" s="151" t="s">
        <v>3549</v>
      </c>
      <c r="G4329" s="151" t="s">
        <v>949</v>
      </c>
      <c r="H4329" s="150">
        <v>1</v>
      </c>
      <c r="I4329" s="5" t="str">
        <f>VLOOKUP(F4329,'Set up'!$A$2:$C$70,3,FALSE)</f>
        <v>Cash</v>
      </c>
      <c r="J4329" s="5">
        <f>VLOOKUP(F4329,'Set up'!$A$2:$D$70,4,FALSE)</f>
        <v>0</v>
      </c>
      <c r="K4329" s="4">
        <f t="shared" si="1047"/>
        <v>45895</v>
      </c>
      <c r="L4329" s="5">
        <f t="shared" si="1048"/>
        <v>8</v>
      </c>
      <c r="M4329" s="5">
        <f t="shared" si="1049"/>
        <v>2025</v>
      </c>
      <c r="N4329" s="156">
        <v>60</v>
      </c>
      <c r="P4329" s="12"/>
      <c r="Q4329" s="7">
        <f t="shared" si="1050"/>
        <v>7156602.150000006</v>
      </c>
      <c r="R4329" s="44" t="str">
        <f>VLOOKUP(F4329,'Set up'!$A$2:$E$70,5,FALSE)</f>
        <v>Chq</v>
      </c>
    </row>
    <row r="4330" spans="1:18" ht="16.2" customHeight="1" x14ac:dyDescent="0.3">
      <c r="A4330" s="150" t="s">
        <v>4093</v>
      </c>
      <c r="B4330" s="5">
        <f t="shared" si="1051"/>
        <v>8</v>
      </c>
      <c r="C4330" s="5">
        <f t="shared" si="1052"/>
        <v>2025</v>
      </c>
      <c r="D4330" s="150" t="s">
        <v>4123</v>
      </c>
      <c r="E4330" s="5" t="str">
        <f>VLOOKUP(F4330,'Set up'!$A$2:$C$70,2,FALSE)</f>
        <v>C00000013</v>
      </c>
      <c r="F4330" s="151" t="s">
        <v>3549</v>
      </c>
      <c r="G4330" s="151" t="s">
        <v>2635</v>
      </c>
      <c r="H4330" s="150">
        <v>1</v>
      </c>
      <c r="I4330" s="5" t="str">
        <f>VLOOKUP(F4330,'Set up'!$A$2:$C$70,3,FALSE)</f>
        <v>Cash</v>
      </c>
      <c r="J4330" s="5">
        <f>VLOOKUP(F4330,'Set up'!$A$2:$D$70,4,FALSE)</f>
        <v>0</v>
      </c>
      <c r="K4330" s="4">
        <f t="shared" si="1047"/>
        <v>45895</v>
      </c>
      <c r="L4330" s="5">
        <f t="shared" si="1048"/>
        <v>8</v>
      </c>
      <c r="M4330" s="5">
        <f t="shared" si="1049"/>
        <v>2025</v>
      </c>
      <c r="N4330" s="156">
        <v>62.5</v>
      </c>
      <c r="P4330" s="12"/>
      <c r="Q4330" s="7">
        <f t="shared" si="1050"/>
        <v>7156664.650000006</v>
      </c>
      <c r="R4330" s="44" t="str">
        <f>VLOOKUP(F4330,'Set up'!$A$2:$E$70,5,FALSE)</f>
        <v>Chq</v>
      </c>
    </row>
    <row r="4331" spans="1:18" ht="16.2" customHeight="1" x14ac:dyDescent="0.3">
      <c r="A4331" s="150" t="s">
        <v>4093</v>
      </c>
      <c r="B4331" s="5">
        <f t="shared" si="1051"/>
        <v>8</v>
      </c>
      <c r="C4331" s="5">
        <f t="shared" si="1052"/>
        <v>2025</v>
      </c>
      <c r="D4331" s="150" t="s">
        <v>4123</v>
      </c>
      <c r="E4331" s="5" t="str">
        <f>VLOOKUP(F4331,'Set up'!$A$2:$C$70,2,FALSE)</f>
        <v>C00000013</v>
      </c>
      <c r="F4331" s="151" t="s">
        <v>3549</v>
      </c>
      <c r="G4331" s="151" t="s">
        <v>787</v>
      </c>
      <c r="H4331" s="150">
        <v>1</v>
      </c>
      <c r="I4331" s="5" t="str">
        <f>VLOOKUP(F4331,'Set up'!$A$2:$C$70,3,FALSE)</f>
        <v>Cash</v>
      </c>
      <c r="J4331" s="5">
        <f>VLOOKUP(F4331,'Set up'!$A$2:$D$70,4,FALSE)</f>
        <v>0</v>
      </c>
      <c r="K4331" s="4">
        <f t="shared" si="1047"/>
        <v>45895</v>
      </c>
      <c r="L4331" s="5">
        <f t="shared" si="1048"/>
        <v>8</v>
      </c>
      <c r="M4331" s="5">
        <f t="shared" si="1049"/>
        <v>2025</v>
      </c>
      <c r="N4331" s="156">
        <v>420</v>
      </c>
      <c r="P4331" s="12"/>
      <c r="Q4331" s="7">
        <f t="shared" si="1050"/>
        <v>7157084.650000006</v>
      </c>
      <c r="R4331" s="44" t="str">
        <f>VLOOKUP(F4331,'Set up'!$A$2:$E$70,5,FALSE)</f>
        <v>Chq</v>
      </c>
    </row>
    <row r="4332" spans="1:18" ht="16.2" customHeight="1" x14ac:dyDescent="0.3">
      <c r="A4332" s="150" t="s">
        <v>4094</v>
      </c>
      <c r="B4332" s="5">
        <f t="shared" si="1051"/>
        <v>8</v>
      </c>
      <c r="C4332" s="5">
        <f t="shared" si="1052"/>
        <v>2025</v>
      </c>
      <c r="D4332" s="150" t="s">
        <v>4124</v>
      </c>
      <c r="E4332" s="5" t="str">
        <f>VLOOKUP(F4332,'Set up'!$A$2:$C$70,2,FALSE)</f>
        <v>C00000044</v>
      </c>
      <c r="F4332" s="151" t="s">
        <v>2929</v>
      </c>
      <c r="G4332" s="151" t="s">
        <v>3122</v>
      </c>
      <c r="H4332" s="150">
        <v>1</v>
      </c>
      <c r="I4332" s="5" t="str">
        <f>VLOOKUP(F4332,'Set up'!$A$2:$C$70,3,FALSE)</f>
        <v>Cash</v>
      </c>
      <c r="J4332" s="5">
        <f>VLOOKUP(F4332,'Set up'!$A$2:$D$70,4,FALSE)</f>
        <v>0</v>
      </c>
      <c r="K4332" s="4">
        <f t="shared" si="1047"/>
        <v>45899</v>
      </c>
      <c r="L4332" s="5">
        <f t="shared" si="1048"/>
        <v>8</v>
      </c>
      <c r="M4332" s="5">
        <f t="shared" si="1049"/>
        <v>2025</v>
      </c>
      <c r="N4332" s="156">
        <v>1687.5</v>
      </c>
      <c r="P4332" s="12"/>
      <c r="Q4332" s="7">
        <f t="shared" si="1050"/>
        <v>7158772.150000006</v>
      </c>
      <c r="R4332" s="44" t="str">
        <f>VLOOKUP(F4332,'Set up'!$A$2:$E$70,5,FALSE)</f>
        <v>Cash</v>
      </c>
    </row>
    <row r="4333" spans="1:18" ht="16.2" customHeight="1" x14ac:dyDescent="0.3">
      <c r="A4333" s="150" t="s">
        <v>4094</v>
      </c>
      <c r="B4333" s="5">
        <f t="shared" si="1051"/>
        <v>8</v>
      </c>
      <c r="C4333" s="5">
        <f t="shared" si="1052"/>
        <v>2025</v>
      </c>
      <c r="D4333" s="150" t="s">
        <v>4124</v>
      </c>
      <c r="E4333" s="5" t="str">
        <f>VLOOKUP(F4333,'Set up'!$A$2:$C$70,2,FALSE)</f>
        <v>C00000044</v>
      </c>
      <c r="F4333" s="151" t="s">
        <v>2929</v>
      </c>
      <c r="G4333" s="151" t="s">
        <v>2570</v>
      </c>
      <c r="H4333" s="150">
        <v>2</v>
      </c>
      <c r="I4333" s="5" t="str">
        <f>VLOOKUP(F4333,'Set up'!$A$2:$C$70,3,FALSE)</f>
        <v>Cash</v>
      </c>
      <c r="J4333" s="5">
        <f>VLOOKUP(F4333,'Set up'!$A$2:$D$70,4,FALSE)</f>
        <v>0</v>
      </c>
      <c r="K4333" s="4">
        <f t="shared" si="1047"/>
        <v>45899</v>
      </c>
      <c r="L4333" s="5">
        <f t="shared" si="1048"/>
        <v>8</v>
      </c>
      <c r="M4333" s="5">
        <f t="shared" si="1049"/>
        <v>2025</v>
      </c>
      <c r="N4333" s="156">
        <v>432</v>
      </c>
      <c r="P4333" s="12"/>
      <c r="Q4333" s="7">
        <f t="shared" si="1050"/>
        <v>7159204.150000006</v>
      </c>
      <c r="R4333" s="44" t="str">
        <f>VLOOKUP(F4333,'Set up'!$A$2:$E$70,5,FALSE)</f>
        <v>Cash</v>
      </c>
    </row>
    <row r="4334" spans="1:18" ht="16.2" customHeight="1" x14ac:dyDescent="0.3">
      <c r="A4334" s="150" t="s">
        <v>4094</v>
      </c>
      <c r="B4334" s="5">
        <f t="shared" si="1051"/>
        <v>8</v>
      </c>
      <c r="C4334" s="5">
        <f t="shared" si="1052"/>
        <v>2025</v>
      </c>
      <c r="D4334" s="150" t="s">
        <v>4124</v>
      </c>
      <c r="E4334" s="5" t="str">
        <f>VLOOKUP(F4334,'Set up'!$A$2:$C$70,2,FALSE)</f>
        <v>C00000044</v>
      </c>
      <c r="F4334" s="151" t="s">
        <v>2929</v>
      </c>
      <c r="G4334" s="151" t="s">
        <v>46</v>
      </c>
      <c r="H4334" s="150">
        <v>1</v>
      </c>
      <c r="I4334" s="5" t="str">
        <f>VLOOKUP(F4334,'Set up'!$A$2:$C$70,3,FALSE)</f>
        <v>Cash</v>
      </c>
      <c r="J4334" s="5">
        <f>VLOOKUP(F4334,'Set up'!$A$2:$D$70,4,FALSE)</f>
        <v>0</v>
      </c>
      <c r="K4334" s="4">
        <f t="shared" si="1047"/>
        <v>45899</v>
      </c>
      <c r="L4334" s="5">
        <f t="shared" si="1048"/>
        <v>8</v>
      </c>
      <c r="M4334" s="5">
        <f t="shared" si="1049"/>
        <v>2025</v>
      </c>
      <c r="N4334" s="156">
        <v>115</v>
      </c>
      <c r="P4334" s="12"/>
      <c r="Q4334" s="7">
        <f t="shared" si="1050"/>
        <v>7159319.150000006</v>
      </c>
      <c r="R4334" s="44" t="str">
        <f>VLOOKUP(F4334,'Set up'!$A$2:$E$70,5,FALSE)</f>
        <v>Cash</v>
      </c>
    </row>
    <row r="4335" spans="1:18" ht="16.2" customHeight="1" x14ac:dyDescent="0.3">
      <c r="A4335" s="150" t="s">
        <v>4094</v>
      </c>
      <c r="B4335" s="5">
        <f t="shared" si="1051"/>
        <v>8</v>
      </c>
      <c r="C4335" s="5">
        <f t="shared" si="1052"/>
        <v>2025</v>
      </c>
      <c r="D4335" s="150" t="s">
        <v>4125</v>
      </c>
      <c r="E4335" s="5" t="str">
        <f>VLOOKUP(F4335,'Set up'!$A$2:$C$70,2,FALSE)</f>
        <v>C00000042</v>
      </c>
      <c r="F4335" s="151" t="s">
        <v>2012</v>
      </c>
      <c r="G4335" s="151" t="s">
        <v>2646</v>
      </c>
      <c r="H4335" s="150">
        <v>1</v>
      </c>
      <c r="I4335" s="5" t="str">
        <f>VLOOKUP(F4335,'Set up'!$A$2:$C$70,3,FALSE)</f>
        <v>Cash</v>
      </c>
      <c r="J4335" s="5">
        <f>VLOOKUP(F4335,'Set up'!$A$2:$D$70,4,FALSE)</f>
        <v>0</v>
      </c>
      <c r="K4335" s="4">
        <f t="shared" si="1047"/>
        <v>45899</v>
      </c>
      <c r="L4335" s="5">
        <f t="shared" si="1048"/>
        <v>8</v>
      </c>
      <c r="M4335" s="5">
        <f t="shared" si="1049"/>
        <v>2025</v>
      </c>
      <c r="N4335" s="156">
        <v>62.5</v>
      </c>
      <c r="P4335" s="12"/>
      <c r="Q4335" s="7">
        <f t="shared" si="1050"/>
        <v>7159381.650000006</v>
      </c>
      <c r="R4335" s="44" t="str">
        <f>VLOOKUP(F4335,'Set up'!$A$2:$E$70,5,FALSE)</f>
        <v>Trsf</v>
      </c>
    </row>
    <row r="4336" spans="1:18" ht="16.2" customHeight="1" x14ac:dyDescent="0.3">
      <c r="A4336" s="150" t="s">
        <v>4094</v>
      </c>
      <c r="B4336" s="5">
        <f t="shared" si="1051"/>
        <v>8</v>
      </c>
      <c r="C4336" s="5">
        <f t="shared" si="1052"/>
        <v>2025</v>
      </c>
      <c r="D4336" s="150" t="s">
        <v>4126</v>
      </c>
      <c r="E4336" s="5" t="str">
        <f>VLOOKUP(F4336,'Set up'!$A$2:$C$70,2,FALSE)</f>
        <v>C00000042</v>
      </c>
      <c r="F4336" s="151" t="s">
        <v>2012</v>
      </c>
      <c r="G4336" s="151" t="s">
        <v>3217</v>
      </c>
      <c r="H4336" s="150">
        <v>2</v>
      </c>
      <c r="I4336" s="5" t="str">
        <f>VLOOKUP(F4336,'Set up'!$A$2:$C$70,3,FALSE)</f>
        <v>Cash</v>
      </c>
      <c r="J4336" s="5">
        <f>VLOOKUP(F4336,'Set up'!$A$2:$D$70,4,FALSE)</f>
        <v>0</v>
      </c>
      <c r="K4336" s="4">
        <f t="shared" si="1047"/>
        <v>45899</v>
      </c>
      <c r="L4336" s="5">
        <f t="shared" si="1048"/>
        <v>8</v>
      </c>
      <c r="M4336" s="5">
        <f t="shared" si="1049"/>
        <v>2025</v>
      </c>
      <c r="N4336" s="156">
        <v>3240</v>
      </c>
      <c r="P4336" s="12"/>
      <c r="Q4336" s="7">
        <f t="shared" si="1050"/>
        <v>7162621.650000006</v>
      </c>
      <c r="R4336" s="44" t="str">
        <f>VLOOKUP(F4336,'Set up'!$A$2:$E$70,5,FALSE)</f>
        <v>Trsf</v>
      </c>
    </row>
    <row r="4337" spans="1:18" ht="16.2" customHeight="1" x14ac:dyDescent="0.3">
      <c r="A4337" s="150" t="s">
        <v>4094</v>
      </c>
      <c r="B4337" s="5">
        <f t="shared" si="1051"/>
        <v>8</v>
      </c>
      <c r="C4337" s="5">
        <f t="shared" si="1052"/>
        <v>2025</v>
      </c>
      <c r="D4337" s="150" t="s">
        <v>4126</v>
      </c>
      <c r="E4337" s="5" t="str">
        <f>VLOOKUP(F4337,'Set up'!$A$2:$C$70,2,FALSE)</f>
        <v>C00000042</v>
      </c>
      <c r="F4337" s="151" t="s">
        <v>2012</v>
      </c>
      <c r="G4337" s="151" t="s">
        <v>1543</v>
      </c>
      <c r="H4337" s="150">
        <v>6</v>
      </c>
      <c r="I4337" s="5" t="str">
        <f>VLOOKUP(F4337,'Set up'!$A$2:$C$70,3,FALSE)</f>
        <v>Cash</v>
      </c>
      <c r="J4337" s="5">
        <f>VLOOKUP(F4337,'Set up'!$A$2:$D$70,4,FALSE)</f>
        <v>0</v>
      </c>
      <c r="K4337" s="4">
        <f t="shared" si="1047"/>
        <v>45899</v>
      </c>
      <c r="L4337" s="5">
        <f t="shared" si="1048"/>
        <v>8</v>
      </c>
      <c r="M4337" s="5">
        <f t="shared" si="1049"/>
        <v>2025</v>
      </c>
      <c r="N4337" s="156">
        <v>1062</v>
      </c>
      <c r="P4337" s="12"/>
      <c r="Q4337" s="7">
        <f t="shared" si="1050"/>
        <v>7163683.650000006</v>
      </c>
      <c r="R4337" s="44" t="str">
        <f>VLOOKUP(F4337,'Set up'!$A$2:$E$70,5,FALSE)</f>
        <v>Trsf</v>
      </c>
    </row>
    <row r="4338" spans="1:18" ht="16.2" customHeight="1" x14ac:dyDescent="0.3">
      <c r="A4338" s="150" t="s">
        <v>4094</v>
      </c>
      <c r="B4338" s="5">
        <f t="shared" si="1051"/>
        <v>8</v>
      </c>
      <c r="C4338" s="5">
        <f t="shared" si="1052"/>
        <v>2025</v>
      </c>
      <c r="D4338" s="150" t="s">
        <v>4126</v>
      </c>
      <c r="E4338" s="5" t="str">
        <f>VLOOKUP(F4338,'Set up'!$A$2:$C$70,2,FALSE)</f>
        <v>C00000042</v>
      </c>
      <c r="F4338" s="151" t="s">
        <v>2012</v>
      </c>
      <c r="G4338" s="151" t="s">
        <v>1922</v>
      </c>
      <c r="H4338" s="150">
        <v>3</v>
      </c>
      <c r="I4338" s="5" t="str">
        <f>VLOOKUP(F4338,'Set up'!$A$2:$C$70,3,FALSE)</f>
        <v>Cash</v>
      </c>
      <c r="J4338" s="5">
        <f>VLOOKUP(F4338,'Set up'!$A$2:$D$70,4,FALSE)</f>
        <v>0</v>
      </c>
      <c r="K4338" s="4">
        <f t="shared" si="1047"/>
        <v>45899</v>
      </c>
      <c r="L4338" s="5">
        <f t="shared" si="1048"/>
        <v>8</v>
      </c>
      <c r="M4338" s="5">
        <f t="shared" si="1049"/>
        <v>2025</v>
      </c>
      <c r="N4338" s="156">
        <v>742.5</v>
      </c>
      <c r="P4338" s="12"/>
      <c r="Q4338" s="7">
        <f t="shared" si="1050"/>
        <v>7164426.150000006</v>
      </c>
      <c r="R4338" s="44" t="str">
        <f>VLOOKUP(F4338,'Set up'!$A$2:$E$70,5,FALSE)</f>
        <v>Trsf</v>
      </c>
    </row>
    <row r="4339" spans="1:18" ht="16.2" customHeight="1" x14ac:dyDescent="0.3">
      <c r="A4339" s="150" t="s">
        <v>4094</v>
      </c>
      <c r="B4339" s="5">
        <f t="shared" si="1051"/>
        <v>8</v>
      </c>
      <c r="C4339" s="5">
        <f t="shared" si="1052"/>
        <v>2025</v>
      </c>
      <c r="D4339" s="150" t="s">
        <v>4127</v>
      </c>
      <c r="E4339" s="5" t="str">
        <f>VLOOKUP(F4339,'Set up'!$A$2:$C$70,2,FALSE)</f>
        <v>C00000050</v>
      </c>
      <c r="F4339" s="151" t="s">
        <v>2656</v>
      </c>
      <c r="G4339" s="151" t="s">
        <v>3615</v>
      </c>
      <c r="H4339" s="150">
        <v>1</v>
      </c>
      <c r="I4339" s="5" t="str">
        <f>VLOOKUP(F4339,'Set up'!$A$2:$C$70,3,FALSE)</f>
        <v>Cash</v>
      </c>
      <c r="J4339" s="5">
        <f>VLOOKUP(F4339,'Set up'!$A$2:$D$70,4,FALSE)</f>
        <v>0</v>
      </c>
      <c r="K4339" s="4">
        <f t="shared" si="1047"/>
        <v>45899</v>
      </c>
      <c r="L4339" s="5">
        <f t="shared" si="1048"/>
        <v>8</v>
      </c>
      <c r="M4339" s="5">
        <f t="shared" si="1049"/>
        <v>2025</v>
      </c>
      <c r="N4339" s="156">
        <v>1710</v>
      </c>
      <c r="P4339" s="12"/>
      <c r="Q4339" s="7">
        <f t="shared" si="1050"/>
        <v>7166136.150000006</v>
      </c>
      <c r="R4339" s="44" t="str">
        <f>VLOOKUP(F4339,'Set up'!$A$2:$E$70,5,FALSE)</f>
        <v>Cash</v>
      </c>
    </row>
    <row r="4340" spans="1:18" ht="16.2" customHeight="1" x14ac:dyDescent="0.3">
      <c r="A4340" s="150" t="s">
        <v>4094</v>
      </c>
      <c r="B4340" s="5">
        <f t="shared" si="1051"/>
        <v>8</v>
      </c>
      <c r="C4340" s="5">
        <f t="shared" si="1052"/>
        <v>2025</v>
      </c>
      <c r="D4340" s="150" t="s">
        <v>4127</v>
      </c>
      <c r="E4340" s="5" t="str">
        <f>VLOOKUP(F4340,'Set up'!$A$2:$C$70,2,FALSE)</f>
        <v>C00000050</v>
      </c>
      <c r="F4340" s="151" t="s">
        <v>2656</v>
      </c>
      <c r="G4340" s="151" t="s">
        <v>2434</v>
      </c>
      <c r="H4340" s="150">
        <v>1</v>
      </c>
      <c r="I4340" s="5" t="str">
        <f>VLOOKUP(F4340,'Set up'!$A$2:$C$70,3,FALSE)</f>
        <v>Cash</v>
      </c>
      <c r="J4340" s="5">
        <f>VLOOKUP(F4340,'Set up'!$A$2:$D$70,4,FALSE)</f>
        <v>0</v>
      </c>
      <c r="K4340" s="4">
        <f t="shared" si="1047"/>
        <v>45899</v>
      </c>
      <c r="L4340" s="5">
        <f t="shared" si="1048"/>
        <v>8</v>
      </c>
      <c r="M4340" s="5">
        <f t="shared" si="1049"/>
        <v>2025</v>
      </c>
      <c r="N4340" s="156">
        <v>277.5</v>
      </c>
      <c r="P4340" s="12"/>
      <c r="Q4340" s="7">
        <f t="shared" si="1050"/>
        <v>7166413.650000006</v>
      </c>
      <c r="R4340" s="44" t="str">
        <f>VLOOKUP(F4340,'Set up'!$A$2:$E$70,5,FALSE)</f>
        <v>Cash</v>
      </c>
    </row>
    <row r="4341" spans="1:18" ht="16.2" customHeight="1" x14ac:dyDescent="0.3">
      <c r="A4341" s="150" t="s">
        <v>4094</v>
      </c>
      <c r="B4341" s="5">
        <f t="shared" si="1051"/>
        <v>8</v>
      </c>
      <c r="C4341" s="5">
        <f t="shared" si="1052"/>
        <v>2025</v>
      </c>
      <c r="D4341" s="150" t="s">
        <v>4127</v>
      </c>
      <c r="E4341" s="5" t="str">
        <f>VLOOKUP(F4341,'Set up'!$A$2:$C$70,2,FALSE)</f>
        <v>C00000050</v>
      </c>
      <c r="F4341" s="151" t="s">
        <v>2656</v>
      </c>
      <c r="G4341" s="151" t="s">
        <v>4145</v>
      </c>
      <c r="H4341" s="150">
        <v>12</v>
      </c>
      <c r="I4341" s="5" t="str">
        <f>VLOOKUP(F4341,'Set up'!$A$2:$C$70,3,FALSE)</f>
        <v>Cash</v>
      </c>
      <c r="J4341" s="5">
        <f>VLOOKUP(F4341,'Set up'!$A$2:$D$70,4,FALSE)</f>
        <v>0</v>
      </c>
      <c r="K4341" s="4">
        <f t="shared" si="1047"/>
        <v>45899</v>
      </c>
      <c r="L4341" s="5">
        <f t="shared" si="1048"/>
        <v>8</v>
      </c>
      <c r="M4341" s="5">
        <f t="shared" si="1049"/>
        <v>2025</v>
      </c>
      <c r="N4341" s="156">
        <v>540</v>
      </c>
      <c r="P4341" s="12"/>
      <c r="Q4341" s="7">
        <f t="shared" si="1050"/>
        <v>7166953.650000006</v>
      </c>
      <c r="R4341" s="44" t="str">
        <f>VLOOKUP(F4341,'Set up'!$A$2:$E$70,5,FALSE)</f>
        <v>Cash</v>
      </c>
    </row>
    <row r="4342" spans="1:18" ht="16.2" customHeight="1" x14ac:dyDescent="0.3">
      <c r="A4342" s="150" t="s">
        <v>4094</v>
      </c>
      <c r="B4342" s="5">
        <f t="shared" si="1051"/>
        <v>8</v>
      </c>
      <c r="C4342" s="5">
        <f t="shared" si="1052"/>
        <v>2025</v>
      </c>
      <c r="D4342" s="150" t="s">
        <v>4127</v>
      </c>
      <c r="E4342" s="5" t="str">
        <f>VLOOKUP(F4342,'Set up'!$A$2:$C$70,2,FALSE)</f>
        <v>C00000050</v>
      </c>
      <c r="F4342" s="151" t="s">
        <v>2656</v>
      </c>
      <c r="G4342" s="151" t="s">
        <v>2144</v>
      </c>
      <c r="H4342" s="150">
        <v>1</v>
      </c>
      <c r="I4342" s="5" t="str">
        <f>VLOOKUP(F4342,'Set up'!$A$2:$C$70,3,FALSE)</f>
        <v>Cash</v>
      </c>
      <c r="J4342" s="5">
        <f>VLOOKUP(F4342,'Set up'!$A$2:$D$70,4,FALSE)</f>
        <v>0</v>
      </c>
      <c r="K4342" s="4">
        <f t="shared" si="1047"/>
        <v>45899</v>
      </c>
      <c r="L4342" s="5">
        <f t="shared" si="1048"/>
        <v>8</v>
      </c>
      <c r="M4342" s="5">
        <f t="shared" si="1049"/>
        <v>2025</v>
      </c>
      <c r="N4342" s="156">
        <v>275</v>
      </c>
      <c r="P4342" s="12"/>
      <c r="Q4342" s="7">
        <f t="shared" si="1050"/>
        <v>7167228.650000006</v>
      </c>
      <c r="R4342" s="44" t="str">
        <f>VLOOKUP(F4342,'Set up'!$A$2:$E$70,5,FALSE)</f>
        <v>Cash</v>
      </c>
    </row>
    <row r="4343" spans="1:18" s="10" customFormat="1" ht="16.2" customHeight="1" x14ac:dyDescent="0.3">
      <c r="A4343" s="152" t="s">
        <v>4094</v>
      </c>
      <c r="B4343" s="153">
        <f t="shared" si="1051"/>
        <v>8</v>
      </c>
      <c r="C4343" s="153">
        <f t="shared" si="1052"/>
        <v>2025</v>
      </c>
      <c r="D4343" s="152" t="s">
        <v>4127</v>
      </c>
      <c r="E4343" s="153" t="str">
        <f>VLOOKUP(F4343,'Set up'!$A$2:$C$70,2,FALSE)</f>
        <v>C00000050</v>
      </c>
      <c r="F4343" s="157" t="s">
        <v>2656</v>
      </c>
      <c r="G4343" s="157" t="s">
        <v>1061</v>
      </c>
      <c r="H4343" s="152">
        <v>2</v>
      </c>
      <c r="I4343" s="153" t="str">
        <f>VLOOKUP(F4343,'Set up'!$A$2:$C$70,3,FALSE)</f>
        <v>Cash</v>
      </c>
      <c r="J4343" s="153">
        <f>VLOOKUP(F4343,'Set up'!$A$2:$D$70,4,FALSE)</f>
        <v>0</v>
      </c>
      <c r="K4343" s="154">
        <f t="shared" si="1047"/>
        <v>45899</v>
      </c>
      <c r="L4343" s="5">
        <f t="shared" si="1048"/>
        <v>8</v>
      </c>
      <c r="M4343" s="5">
        <f t="shared" si="1049"/>
        <v>2025</v>
      </c>
      <c r="N4343" s="158">
        <v>190</v>
      </c>
      <c r="O4343" s="34"/>
      <c r="P4343" s="34"/>
      <c r="Q4343" s="7">
        <f t="shared" si="1050"/>
        <v>7167418.650000006</v>
      </c>
      <c r="R4343" s="155" t="str">
        <f>VLOOKUP(F4343,'Set up'!$A$2:$E$70,5,FALSE)</f>
        <v>Cash</v>
      </c>
    </row>
    <row r="4344" spans="1:18" ht="16.2" customHeight="1" x14ac:dyDescent="0.3">
      <c r="A4344" s="150" t="s">
        <v>4146</v>
      </c>
      <c r="B4344" s="5">
        <f t="shared" si="1051"/>
        <v>9</v>
      </c>
      <c r="C4344" s="5">
        <f t="shared" si="1052"/>
        <v>2025</v>
      </c>
      <c r="D4344" s="150" t="s">
        <v>4166</v>
      </c>
      <c r="E4344" s="5" t="str">
        <f>VLOOKUP(F4344,'Set up'!$A$2:$C$70,2,FALSE)</f>
        <v>C00000050</v>
      </c>
      <c r="F4344" s="151" t="s">
        <v>2656</v>
      </c>
      <c r="G4344" s="151" t="s">
        <v>4199</v>
      </c>
      <c r="H4344" s="105">
        <v>1</v>
      </c>
      <c r="I4344" s="5" t="str">
        <f>VLOOKUP(F4344,'Set up'!$A$2:$C$70,3,FALSE)</f>
        <v>Cash</v>
      </c>
      <c r="J4344" s="5">
        <f>VLOOKUP(F4344,'Set up'!$A$2:$D$70,4,FALSE)</f>
        <v>0</v>
      </c>
      <c r="K4344" s="4">
        <f t="shared" si="1047"/>
        <v>45902</v>
      </c>
      <c r="L4344" s="5">
        <f t="shared" si="1048"/>
        <v>9</v>
      </c>
      <c r="M4344" s="5">
        <f t="shared" si="1049"/>
        <v>2025</v>
      </c>
      <c r="N4344" s="135">
        <v>480</v>
      </c>
      <c r="P4344" s="12"/>
      <c r="Q4344" s="7">
        <f t="shared" si="1050"/>
        <v>7167898.650000006</v>
      </c>
      <c r="R4344" s="44" t="str">
        <f>VLOOKUP(F4344,'Set up'!$A$2:$E$70,5,FALSE)</f>
        <v>Cash</v>
      </c>
    </row>
    <row r="4345" spans="1:18" ht="16.2" customHeight="1" x14ac:dyDescent="0.3">
      <c r="A4345" s="150" t="s">
        <v>4147</v>
      </c>
      <c r="B4345" s="5">
        <f t="shared" si="1051"/>
        <v>9</v>
      </c>
      <c r="C4345" s="5">
        <f t="shared" si="1052"/>
        <v>2025</v>
      </c>
      <c r="D4345" s="150" t="s">
        <v>4167</v>
      </c>
      <c r="E4345" s="5" t="str">
        <f>VLOOKUP(F4345,'Set up'!$A$2:$C$70,2,FALSE)</f>
        <v>C00000019</v>
      </c>
      <c r="F4345" s="151" t="s">
        <v>400</v>
      </c>
      <c r="G4345" s="151" t="s">
        <v>3122</v>
      </c>
      <c r="H4345" s="105">
        <v>1</v>
      </c>
      <c r="I4345" s="5" t="str">
        <f>VLOOKUP(F4345,'Set up'!$A$2:$C$70,3,FALSE)</f>
        <v>Cash</v>
      </c>
      <c r="J4345" s="5">
        <f>VLOOKUP(F4345,'Set up'!$A$2:$D$70,4,FALSE)</f>
        <v>0</v>
      </c>
      <c r="K4345" s="4">
        <f t="shared" si="1047"/>
        <v>45903</v>
      </c>
      <c r="L4345" s="5">
        <f t="shared" si="1048"/>
        <v>9</v>
      </c>
      <c r="M4345" s="5">
        <f t="shared" si="1049"/>
        <v>2025</v>
      </c>
      <c r="N4345" s="135">
        <v>1687.5</v>
      </c>
      <c r="P4345" s="12"/>
      <c r="Q4345" s="7">
        <f t="shared" si="1050"/>
        <v>7169586.150000006</v>
      </c>
      <c r="R4345" s="44" t="str">
        <f>VLOOKUP(F4345,'Set up'!$A$2:$E$70,5,FALSE)</f>
        <v>Trsf</v>
      </c>
    </row>
    <row r="4346" spans="1:18" ht="16.2" customHeight="1" x14ac:dyDescent="0.3">
      <c r="A4346" s="150" t="s">
        <v>4147</v>
      </c>
      <c r="B4346" s="5">
        <f t="shared" si="1051"/>
        <v>9</v>
      </c>
      <c r="C4346" s="5">
        <f t="shared" si="1052"/>
        <v>2025</v>
      </c>
      <c r="D4346" s="150" t="s">
        <v>4167</v>
      </c>
      <c r="E4346" s="5" t="str">
        <f>VLOOKUP(F4346,'Set up'!$A$2:$C$70,2,FALSE)</f>
        <v>C00000019</v>
      </c>
      <c r="F4346" s="151" t="s">
        <v>400</v>
      </c>
      <c r="G4346" s="151" t="s">
        <v>2635</v>
      </c>
      <c r="H4346" s="105">
        <v>3</v>
      </c>
      <c r="I4346" s="5" t="str">
        <f>VLOOKUP(F4346,'Set up'!$A$2:$C$70,3,FALSE)</f>
        <v>Cash</v>
      </c>
      <c r="J4346" s="5">
        <f>VLOOKUP(F4346,'Set up'!$A$2:$D$70,4,FALSE)</f>
        <v>0</v>
      </c>
      <c r="K4346" s="4">
        <f t="shared" si="1047"/>
        <v>45903</v>
      </c>
      <c r="L4346" s="5">
        <f t="shared" si="1048"/>
        <v>9</v>
      </c>
      <c r="M4346" s="5">
        <f t="shared" si="1049"/>
        <v>2025</v>
      </c>
      <c r="N4346" s="135">
        <v>187.5</v>
      </c>
      <c r="P4346" s="12"/>
      <c r="Q4346" s="7">
        <f t="shared" si="1050"/>
        <v>7169773.650000006</v>
      </c>
      <c r="R4346" s="44" t="str">
        <f>VLOOKUP(F4346,'Set up'!$A$2:$E$70,5,FALSE)</f>
        <v>Trsf</v>
      </c>
    </row>
    <row r="4347" spans="1:18" ht="16.2" customHeight="1" x14ac:dyDescent="0.3">
      <c r="A4347" s="150" t="s">
        <v>4147</v>
      </c>
      <c r="B4347" s="5">
        <f t="shared" si="1051"/>
        <v>9</v>
      </c>
      <c r="C4347" s="5">
        <f t="shared" si="1052"/>
        <v>2025</v>
      </c>
      <c r="D4347" s="150" t="s">
        <v>4167</v>
      </c>
      <c r="E4347" s="5" t="str">
        <f>VLOOKUP(F4347,'Set up'!$A$2:$C$70,2,FALSE)</f>
        <v>C00000019</v>
      </c>
      <c r="F4347" s="151" t="s">
        <v>400</v>
      </c>
      <c r="G4347" s="151" t="s">
        <v>1469</v>
      </c>
      <c r="H4347" s="105">
        <v>1</v>
      </c>
      <c r="I4347" s="5" t="str">
        <f>VLOOKUP(F4347,'Set up'!$A$2:$C$70,3,FALSE)</f>
        <v>Cash</v>
      </c>
      <c r="J4347" s="5">
        <f>VLOOKUP(F4347,'Set up'!$A$2:$D$70,4,FALSE)</f>
        <v>0</v>
      </c>
      <c r="K4347" s="4">
        <f t="shared" si="1047"/>
        <v>45903</v>
      </c>
      <c r="L4347" s="5">
        <f t="shared" si="1048"/>
        <v>9</v>
      </c>
      <c r="M4347" s="5">
        <f t="shared" si="1049"/>
        <v>2025</v>
      </c>
      <c r="N4347" s="135">
        <v>390</v>
      </c>
      <c r="P4347" s="12"/>
      <c r="Q4347" s="7">
        <f t="shared" si="1050"/>
        <v>7170163.650000006</v>
      </c>
      <c r="R4347" s="44" t="str">
        <f>VLOOKUP(F4347,'Set up'!$A$2:$E$70,5,FALSE)</f>
        <v>Trsf</v>
      </c>
    </row>
    <row r="4348" spans="1:18" ht="16.2" customHeight="1" x14ac:dyDescent="0.3">
      <c r="A4348" s="150" t="s">
        <v>4147</v>
      </c>
      <c r="B4348" s="5">
        <f t="shared" si="1051"/>
        <v>9</v>
      </c>
      <c r="C4348" s="5">
        <f t="shared" si="1052"/>
        <v>2025</v>
      </c>
      <c r="D4348" s="150" t="s">
        <v>4167</v>
      </c>
      <c r="E4348" s="5" t="str">
        <f>VLOOKUP(F4348,'Set up'!$A$2:$C$70,2,FALSE)</f>
        <v>C00000019</v>
      </c>
      <c r="F4348" s="151" t="s">
        <v>400</v>
      </c>
      <c r="G4348" s="151" t="s">
        <v>2144</v>
      </c>
      <c r="H4348" s="105">
        <v>1</v>
      </c>
      <c r="I4348" s="5" t="str">
        <f>VLOOKUP(F4348,'Set up'!$A$2:$C$70,3,FALSE)</f>
        <v>Cash</v>
      </c>
      <c r="J4348" s="5">
        <f>VLOOKUP(F4348,'Set up'!$A$2:$D$70,4,FALSE)</f>
        <v>0</v>
      </c>
      <c r="K4348" s="4">
        <f t="shared" si="1047"/>
        <v>45903</v>
      </c>
      <c r="L4348" s="5">
        <f t="shared" si="1048"/>
        <v>9</v>
      </c>
      <c r="M4348" s="5">
        <f t="shared" si="1049"/>
        <v>2025</v>
      </c>
      <c r="N4348" s="135">
        <v>283.8</v>
      </c>
      <c r="P4348" s="12"/>
      <c r="Q4348" s="7">
        <f t="shared" si="1050"/>
        <v>7170447.4500000058</v>
      </c>
      <c r="R4348" s="44" t="str">
        <f>VLOOKUP(F4348,'Set up'!$A$2:$E$70,5,FALSE)</f>
        <v>Trsf</v>
      </c>
    </row>
    <row r="4349" spans="1:18" ht="16.2" customHeight="1" x14ac:dyDescent="0.3">
      <c r="A4349" s="150" t="s">
        <v>4148</v>
      </c>
      <c r="B4349" s="5">
        <f t="shared" si="1051"/>
        <v>9</v>
      </c>
      <c r="C4349" s="5">
        <f t="shared" si="1052"/>
        <v>2025</v>
      </c>
      <c r="D4349" s="150" t="s">
        <v>4168</v>
      </c>
      <c r="E4349" s="5" t="str">
        <f>VLOOKUP(F4349,'Set up'!$A$2:$C$70,2,FALSE)</f>
        <v>C00000042</v>
      </c>
      <c r="F4349" s="151" t="s">
        <v>2012</v>
      </c>
      <c r="G4349" s="151" t="s">
        <v>2646</v>
      </c>
      <c r="H4349" s="105">
        <v>5</v>
      </c>
      <c r="I4349" s="5" t="str">
        <f>VLOOKUP(F4349,'Set up'!$A$2:$C$70,3,FALSE)</f>
        <v>Cash</v>
      </c>
      <c r="J4349" s="5">
        <f>VLOOKUP(F4349,'Set up'!$A$2:$D$70,4,FALSE)</f>
        <v>0</v>
      </c>
      <c r="K4349" s="4">
        <f t="shared" si="1047"/>
        <v>45904</v>
      </c>
      <c r="L4349" s="5">
        <f t="shared" si="1048"/>
        <v>9</v>
      </c>
      <c r="M4349" s="5">
        <f t="shared" si="1049"/>
        <v>2025</v>
      </c>
      <c r="N4349" s="135">
        <v>312.5</v>
      </c>
      <c r="P4349" s="12"/>
      <c r="Q4349" s="7">
        <f t="shared" si="1050"/>
        <v>7170759.9500000058</v>
      </c>
      <c r="R4349" s="44" t="str">
        <f>VLOOKUP(F4349,'Set up'!$A$2:$E$70,5,FALSE)</f>
        <v>Trsf</v>
      </c>
    </row>
    <row r="4350" spans="1:18" ht="16.2" customHeight="1" x14ac:dyDescent="0.3">
      <c r="A4350" s="150" t="s">
        <v>4148</v>
      </c>
      <c r="B4350" s="5">
        <f t="shared" si="1051"/>
        <v>9</v>
      </c>
      <c r="C4350" s="5">
        <f t="shared" si="1052"/>
        <v>2025</v>
      </c>
      <c r="D4350" s="150" t="s">
        <v>4169</v>
      </c>
      <c r="E4350" s="5" t="str">
        <f>VLOOKUP(F4350,'Set up'!$A$2:$C$70,2,FALSE)</f>
        <v>C00000042</v>
      </c>
      <c r="F4350" s="151" t="s">
        <v>2012</v>
      </c>
      <c r="G4350" s="151" t="s">
        <v>3217</v>
      </c>
      <c r="H4350" s="105">
        <v>10</v>
      </c>
      <c r="I4350" s="5" t="str">
        <f>VLOOKUP(F4350,'Set up'!$A$2:$C$70,3,FALSE)</f>
        <v>Cash</v>
      </c>
      <c r="J4350" s="5">
        <f>VLOOKUP(F4350,'Set up'!$A$2:$D$70,4,FALSE)</f>
        <v>0</v>
      </c>
      <c r="K4350" s="4">
        <f t="shared" si="1047"/>
        <v>45904</v>
      </c>
      <c r="L4350" s="5">
        <f t="shared" si="1048"/>
        <v>9</v>
      </c>
      <c r="M4350" s="5">
        <f t="shared" si="1049"/>
        <v>2025</v>
      </c>
      <c r="N4350" s="135">
        <v>15750</v>
      </c>
      <c r="P4350" s="12"/>
      <c r="Q4350" s="7">
        <f t="shared" si="1050"/>
        <v>7186509.9500000058</v>
      </c>
      <c r="R4350" s="44" t="str">
        <f>VLOOKUP(F4350,'Set up'!$A$2:$E$70,5,FALSE)</f>
        <v>Trsf</v>
      </c>
    </row>
    <row r="4351" spans="1:18" ht="16.2" customHeight="1" x14ac:dyDescent="0.3">
      <c r="A4351" s="150" t="s">
        <v>4148</v>
      </c>
      <c r="B4351" s="5">
        <f t="shared" si="1051"/>
        <v>9</v>
      </c>
      <c r="C4351" s="5">
        <f t="shared" si="1052"/>
        <v>2025</v>
      </c>
      <c r="D4351" s="150" t="s">
        <v>4169</v>
      </c>
      <c r="E4351" s="5" t="str">
        <f>VLOOKUP(F4351,'Set up'!$A$2:$C$70,2,FALSE)</f>
        <v>C00000042</v>
      </c>
      <c r="F4351" s="151" t="s">
        <v>2012</v>
      </c>
      <c r="G4351" s="151" t="s">
        <v>3243</v>
      </c>
      <c r="H4351" s="105">
        <v>20</v>
      </c>
      <c r="I4351" s="5" t="str">
        <f>VLOOKUP(F4351,'Set up'!$A$2:$C$70,3,FALSE)</f>
        <v>Cash</v>
      </c>
      <c r="J4351" s="5">
        <f>VLOOKUP(F4351,'Set up'!$A$2:$D$70,4,FALSE)</f>
        <v>0</v>
      </c>
      <c r="K4351" s="4">
        <f t="shared" si="1047"/>
        <v>45904</v>
      </c>
      <c r="L4351" s="5">
        <f t="shared" si="1048"/>
        <v>9</v>
      </c>
      <c r="M4351" s="5">
        <f t="shared" si="1049"/>
        <v>2025</v>
      </c>
      <c r="N4351" s="135">
        <v>3540</v>
      </c>
      <c r="P4351" s="12"/>
      <c r="Q4351" s="7">
        <f t="shared" si="1050"/>
        <v>7190049.9500000058</v>
      </c>
      <c r="R4351" s="44" t="str">
        <f>VLOOKUP(F4351,'Set up'!$A$2:$E$70,5,FALSE)</f>
        <v>Trsf</v>
      </c>
    </row>
    <row r="4352" spans="1:18" ht="16.2" customHeight="1" x14ac:dyDescent="0.3">
      <c r="A4352" s="150" t="s">
        <v>4148</v>
      </c>
      <c r="B4352" s="5">
        <f t="shared" si="1051"/>
        <v>9</v>
      </c>
      <c r="C4352" s="5">
        <f t="shared" si="1052"/>
        <v>2025</v>
      </c>
      <c r="D4352" s="150" t="s">
        <v>4169</v>
      </c>
      <c r="E4352" s="5" t="str">
        <f>VLOOKUP(F4352,'Set up'!$A$2:$C$70,2,FALSE)</f>
        <v>C00000042</v>
      </c>
      <c r="F4352" s="151" t="s">
        <v>2012</v>
      </c>
      <c r="G4352" s="151" t="s">
        <v>1922</v>
      </c>
      <c r="H4352" s="105">
        <v>10</v>
      </c>
      <c r="I4352" s="5" t="str">
        <f>VLOOKUP(F4352,'Set up'!$A$2:$C$70,3,FALSE)</f>
        <v>Cash</v>
      </c>
      <c r="J4352" s="5">
        <f>VLOOKUP(F4352,'Set up'!$A$2:$D$70,4,FALSE)</f>
        <v>0</v>
      </c>
      <c r="K4352" s="4">
        <f t="shared" si="1047"/>
        <v>45904</v>
      </c>
      <c r="L4352" s="5">
        <f t="shared" si="1048"/>
        <v>9</v>
      </c>
      <c r="M4352" s="5">
        <f t="shared" si="1049"/>
        <v>2025</v>
      </c>
      <c r="N4352" s="135">
        <v>2295</v>
      </c>
      <c r="P4352" s="12"/>
      <c r="Q4352" s="7">
        <f t="shared" si="1050"/>
        <v>7192344.9500000058</v>
      </c>
      <c r="R4352" s="44" t="str">
        <f>VLOOKUP(F4352,'Set up'!$A$2:$E$70,5,FALSE)</f>
        <v>Trsf</v>
      </c>
    </row>
    <row r="4353" spans="1:18" ht="16.2" customHeight="1" x14ac:dyDescent="0.3">
      <c r="A4353" s="150" t="s">
        <v>4148</v>
      </c>
      <c r="B4353" s="5">
        <f t="shared" si="1051"/>
        <v>9</v>
      </c>
      <c r="C4353" s="5">
        <f t="shared" si="1052"/>
        <v>2025</v>
      </c>
      <c r="D4353" s="150" t="s">
        <v>4169</v>
      </c>
      <c r="E4353" s="5" t="str">
        <f>VLOOKUP(F4353,'Set up'!$A$2:$C$70,2,FALSE)</f>
        <v>C00000042</v>
      </c>
      <c r="F4353" s="151" t="s">
        <v>2012</v>
      </c>
      <c r="G4353" s="151" t="s">
        <v>46</v>
      </c>
      <c r="H4353" s="105">
        <v>4</v>
      </c>
      <c r="I4353" s="5" t="str">
        <f>VLOOKUP(F4353,'Set up'!$A$2:$C$70,3,FALSE)</f>
        <v>Cash</v>
      </c>
      <c r="J4353" s="5">
        <f>VLOOKUP(F4353,'Set up'!$A$2:$D$70,4,FALSE)</f>
        <v>0</v>
      </c>
      <c r="K4353" s="4">
        <f t="shared" si="1047"/>
        <v>45904</v>
      </c>
      <c r="L4353" s="5">
        <f t="shared" si="1048"/>
        <v>9</v>
      </c>
      <c r="M4353" s="5">
        <f t="shared" si="1049"/>
        <v>2025</v>
      </c>
      <c r="N4353" s="135">
        <v>460</v>
      </c>
      <c r="P4353" s="12"/>
      <c r="Q4353" s="7">
        <f t="shared" si="1050"/>
        <v>7192804.9500000058</v>
      </c>
      <c r="R4353" s="44" t="str">
        <f>VLOOKUP(F4353,'Set up'!$A$2:$E$70,5,FALSE)</f>
        <v>Trsf</v>
      </c>
    </row>
    <row r="4354" spans="1:18" ht="16.2" customHeight="1" x14ac:dyDescent="0.3">
      <c r="A4354" s="150" t="s">
        <v>4148</v>
      </c>
      <c r="B4354" s="5">
        <f t="shared" si="1051"/>
        <v>9</v>
      </c>
      <c r="C4354" s="5">
        <f t="shared" si="1052"/>
        <v>2025</v>
      </c>
      <c r="D4354" s="150" t="s">
        <v>4169</v>
      </c>
      <c r="E4354" s="5" t="str">
        <f>VLOOKUP(F4354,'Set up'!$A$2:$C$70,2,FALSE)</f>
        <v>C00000042</v>
      </c>
      <c r="F4354" s="151" t="s">
        <v>2012</v>
      </c>
      <c r="G4354" s="151" t="s">
        <v>1073</v>
      </c>
      <c r="H4354" s="105">
        <v>1</v>
      </c>
      <c r="I4354" s="5" t="str">
        <f>VLOOKUP(F4354,'Set up'!$A$2:$C$70,3,FALSE)</f>
        <v>Cash</v>
      </c>
      <c r="J4354" s="5">
        <f>VLOOKUP(F4354,'Set up'!$A$2:$D$70,4,FALSE)</f>
        <v>0</v>
      </c>
      <c r="K4354" s="4">
        <f t="shared" si="1047"/>
        <v>45904</v>
      </c>
      <c r="L4354" s="5">
        <f t="shared" si="1048"/>
        <v>9</v>
      </c>
      <c r="M4354" s="5">
        <f t="shared" si="1049"/>
        <v>2025</v>
      </c>
      <c r="N4354" s="135">
        <v>1000</v>
      </c>
      <c r="P4354" s="12"/>
      <c r="Q4354" s="7">
        <f t="shared" si="1050"/>
        <v>7193804.9500000058</v>
      </c>
      <c r="R4354" s="44" t="str">
        <f>VLOOKUP(F4354,'Set up'!$A$2:$E$70,5,FALSE)</f>
        <v>Trsf</v>
      </c>
    </row>
    <row r="4355" spans="1:18" ht="16.2" customHeight="1" x14ac:dyDescent="0.3">
      <c r="A4355" s="150" t="s">
        <v>4149</v>
      </c>
      <c r="B4355" s="5">
        <f t="shared" si="1051"/>
        <v>9</v>
      </c>
      <c r="C4355" s="5">
        <f t="shared" si="1052"/>
        <v>2025</v>
      </c>
      <c r="D4355" s="150" t="s">
        <v>4170</v>
      </c>
      <c r="E4355" s="5" t="str">
        <f>VLOOKUP(F4355,'Set up'!$A$2:$C$70,2,FALSE)</f>
        <v>C00000045</v>
      </c>
      <c r="F4355" s="151" t="s">
        <v>2271</v>
      </c>
      <c r="G4355" s="151" t="s">
        <v>3645</v>
      </c>
      <c r="H4355" s="105">
        <v>5</v>
      </c>
      <c r="I4355" s="5" t="str">
        <f>VLOOKUP(F4355,'Set up'!$A$2:$C$70,3,FALSE)</f>
        <v>Cash</v>
      </c>
      <c r="J4355" s="5">
        <f>VLOOKUP(F4355,'Set up'!$A$2:$D$70,4,FALSE)</f>
        <v>0</v>
      </c>
      <c r="K4355" s="4">
        <f t="shared" ref="K4355:K4418" si="1053">A4355+J4355</f>
        <v>45905</v>
      </c>
      <c r="L4355" s="5">
        <f t="shared" ref="L4355:L4418" si="1054">MONTH(K4355)</f>
        <v>9</v>
      </c>
      <c r="M4355" s="5">
        <f t="shared" ref="M4355:M4418" si="1055">YEAR(K4355)</f>
        <v>2025</v>
      </c>
      <c r="N4355" s="135">
        <v>7875</v>
      </c>
      <c r="P4355" s="12"/>
      <c r="Q4355" s="7">
        <f t="shared" ref="Q4355:Q4418" si="1056">SUM(Q4354+N4355)</f>
        <v>7201679.9500000058</v>
      </c>
      <c r="R4355" s="44" t="str">
        <f>VLOOKUP(F4355,'Set up'!$A$2:$E$70,5,FALSE)</f>
        <v>Trsf</v>
      </c>
    </row>
    <row r="4356" spans="1:18" ht="16.2" customHeight="1" x14ac:dyDescent="0.3">
      <c r="A4356" s="150" t="s">
        <v>4149</v>
      </c>
      <c r="B4356" s="5">
        <f t="shared" si="1051"/>
        <v>9</v>
      </c>
      <c r="C4356" s="5">
        <f t="shared" si="1052"/>
        <v>2025</v>
      </c>
      <c r="D4356" s="150" t="s">
        <v>4170</v>
      </c>
      <c r="E4356" s="5" t="str">
        <f>VLOOKUP(F4356,'Set up'!$A$2:$C$70,2,FALSE)</f>
        <v>C00000045</v>
      </c>
      <c r="F4356" s="151" t="s">
        <v>2271</v>
      </c>
      <c r="G4356" s="151" t="s">
        <v>1543</v>
      </c>
      <c r="H4356" s="105">
        <v>6</v>
      </c>
      <c r="I4356" s="5" t="str">
        <f>VLOOKUP(F4356,'Set up'!$A$2:$C$70,3,FALSE)</f>
        <v>Cash</v>
      </c>
      <c r="J4356" s="5">
        <f>VLOOKUP(F4356,'Set up'!$A$2:$D$70,4,FALSE)</f>
        <v>0</v>
      </c>
      <c r="K4356" s="4">
        <f t="shared" si="1053"/>
        <v>45905</v>
      </c>
      <c r="L4356" s="5">
        <f t="shared" si="1054"/>
        <v>9</v>
      </c>
      <c r="M4356" s="5">
        <f t="shared" si="1055"/>
        <v>2025</v>
      </c>
      <c r="N4356" s="135">
        <v>1062</v>
      </c>
      <c r="P4356" s="12"/>
      <c r="Q4356" s="7">
        <f t="shared" si="1056"/>
        <v>7202741.9500000058</v>
      </c>
      <c r="R4356" s="44" t="str">
        <f>VLOOKUP(F4356,'Set up'!$A$2:$E$70,5,FALSE)</f>
        <v>Trsf</v>
      </c>
    </row>
    <row r="4357" spans="1:18" ht="16.2" customHeight="1" x14ac:dyDescent="0.3">
      <c r="A4357" s="150" t="s">
        <v>4149</v>
      </c>
      <c r="B4357" s="5">
        <f t="shared" si="1051"/>
        <v>9</v>
      </c>
      <c r="C4357" s="5">
        <f t="shared" si="1052"/>
        <v>2025</v>
      </c>
      <c r="D4357" s="150" t="s">
        <v>4171</v>
      </c>
      <c r="E4357" s="5" t="str">
        <f>VLOOKUP(F4357,'Set up'!$A$2:$C$70,2,FALSE)</f>
        <v>C00000003</v>
      </c>
      <c r="F4357" s="151" t="s">
        <v>20</v>
      </c>
      <c r="G4357" s="151" t="s">
        <v>3217</v>
      </c>
      <c r="H4357" s="105">
        <v>1</v>
      </c>
      <c r="I4357" s="5">
        <f>VLOOKUP(F4357,'Set up'!$A$2:$C$70,3,FALSE)</f>
        <v>45</v>
      </c>
      <c r="J4357" s="5">
        <f>VLOOKUP(F4357,'Set up'!$A$2:$D$70,4,FALSE)</f>
        <v>45</v>
      </c>
      <c r="K4357" s="4">
        <f t="shared" si="1053"/>
        <v>45950</v>
      </c>
      <c r="L4357" s="5">
        <f t="shared" si="1054"/>
        <v>10</v>
      </c>
      <c r="M4357" s="5">
        <f t="shared" si="1055"/>
        <v>2025</v>
      </c>
      <c r="N4357" s="135">
        <v>1687.5</v>
      </c>
      <c r="P4357" s="12"/>
      <c r="Q4357" s="7">
        <f t="shared" si="1056"/>
        <v>7204429.4500000058</v>
      </c>
      <c r="R4357" s="44" t="str">
        <f>VLOOKUP(F4357,'Set up'!$A$2:$E$70,5,FALSE)</f>
        <v>PD Chq</v>
      </c>
    </row>
    <row r="4358" spans="1:18" ht="16.2" customHeight="1" x14ac:dyDescent="0.3">
      <c r="A4358" s="150" t="s">
        <v>4149</v>
      </c>
      <c r="B4358" s="5">
        <f t="shared" si="1051"/>
        <v>9</v>
      </c>
      <c r="C4358" s="5">
        <f t="shared" si="1052"/>
        <v>2025</v>
      </c>
      <c r="D4358" s="150" t="s">
        <v>4171</v>
      </c>
      <c r="E4358" s="5" t="str">
        <f>VLOOKUP(F4358,'Set up'!$A$2:$C$70,2,FALSE)</f>
        <v>C00000003</v>
      </c>
      <c r="F4358" s="151" t="s">
        <v>20</v>
      </c>
      <c r="G4358" s="151" t="s">
        <v>17</v>
      </c>
      <c r="H4358" s="105">
        <v>2</v>
      </c>
      <c r="I4358" s="5">
        <f>VLOOKUP(F4358,'Set up'!$A$2:$C$70,3,FALSE)</f>
        <v>45</v>
      </c>
      <c r="J4358" s="5">
        <f>VLOOKUP(F4358,'Set up'!$A$2:$D$70,4,FALSE)</f>
        <v>45</v>
      </c>
      <c r="K4358" s="4">
        <f t="shared" si="1053"/>
        <v>45950</v>
      </c>
      <c r="L4358" s="5">
        <f t="shared" si="1054"/>
        <v>10</v>
      </c>
      <c r="M4358" s="5">
        <f t="shared" si="1055"/>
        <v>2025</v>
      </c>
      <c r="N4358" s="135">
        <v>230</v>
      </c>
      <c r="P4358" s="12"/>
      <c r="Q4358" s="7">
        <f t="shared" si="1056"/>
        <v>7204659.4500000058</v>
      </c>
      <c r="R4358" s="44" t="str">
        <f>VLOOKUP(F4358,'Set up'!$A$2:$E$70,5,FALSE)</f>
        <v>PD Chq</v>
      </c>
    </row>
    <row r="4359" spans="1:18" ht="16.2" customHeight="1" x14ac:dyDescent="0.3">
      <c r="A4359" s="150" t="s">
        <v>4149</v>
      </c>
      <c r="B4359" s="5">
        <f t="shared" ref="B4359:B4422" si="1057">MONTH(A4359)</f>
        <v>9</v>
      </c>
      <c r="C4359" s="5">
        <f t="shared" ref="C4359:C4422" si="1058">YEAR(A4359)</f>
        <v>2025</v>
      </c>
      <c r="D4359" s="150" t="s">
        <v>4171</v>
      </c>
      <c r="E4359" s="5" t="str">
        <f>VLOOKUP(F4359,'Set up'!$A$2:$C$70,2,FALSE)</f>
        <v>C00000003</v>
      </c>
      <c r="F4359" s="151" t="s">
        <v>20</v>
      </c>
      <c r="G4359" s="151" t="s">
        <v>2635</v>
      </c>
      <c r="H4359" s="105">
        <v>3</v>
      </c>
      <c r="I4359" s="5">
        <f>VLOOKUP(F4359,'Set up'!$A$2:$C$70,3,FALSE)</f>
        <v>45</v>
      </c>
      <c r="J4359" s="5">
        <f>VLOOKUP(F4359,'Set up'!$A$2:$D$70,4,FALSE)</f>
        <v>45</v>
      </c>
      <c r="K4359" s="4">
        <f t="shared" si="1053"/>
        <v>45950</v>
      </c>
      <c r="L4359" s="5">
        <f t="shared" si="1054"/>
        <v>10</v>
      </c>
      <c r="M4359" s="5">
        <f t="shared" si="1055"/>
        <v>2025</v>
      </c>
      <c r="N4359" s="135">
        <v>195</v>
      </c>
      <c r="P4359" s="12"/>
      <c r="Q4359" s="7">
        <f t="shared" si="1056"/>
        <v>7204854.4500000058</v>
      </c>
      <c r="R4359" s="44" t="str">
        <f>VLOOKUP(F4359,'Set up'!$A$2:$E$70,5,FALSE)</f>
        <v>PD Chq</v>
      </c>
    </row>
    <row r="4360" spans="1:18" ht="16.2" customHeight="1" x14ac:dyDescent="0.3">
      <c r="A4360" s="150" t="s">
        <v>4150</v>
      </c>
      <c r="B4360" s="5">
        <f t="shared" si="1057"/>
        <v>9</v>
      </c>
      <c r="C4360" s="5">
        <f t="shared" si="1058"/>
        <v>2025</v>
      </c>
      <c r="D4360" s="150" t="s">
        <v>4172</v>
      </c>
      <c r="E4360" s="5" t="str">
        <f>VLOOKUP(F4360,'Set up'!$A$2:$C$70,2,FALSE)</f>
        <v>C00000045</v>
      </c>
      <c r="F4360" s="151" t="s">
        <v>2271</v>
      </c>
      <c r="G4360" s="151" t="s">
        <v>3645</v>
      </c>
      <c r="H4360" s="105">
        <v>1</v>
      </c>
      <c r="I4360" s="5" t="str">
        <f>VLOOKUP(F4360,'Set up'!$A$2:$C$70,3,FALSE)</f>
        <v>Cash</v>
      </c>
      <c r="J4360" s="5">
        <f>VLOOKUP(F4360,'Set up'!$A$2:$D$70,4,FALSE)</f>
        <v>0</v>
      </c>
      <c r="K4360" s="4">
        <f t="shared" si="1053"/>
        <v>45906</v>
      </c>
      <c r="L4360" s="5">
        <f t="shared" si="1054"/>
        <v>9</v>
      </c>
      <c r="M4360" s="5">
        <f t="shared" si="1055"/>
        <v>2025</v>
      </c>
      <c r="N4360" s="135">
        <v>1575</v>
      </c>
      <c r="P4360" s="12"/>
      <c r="Q4360" s="7">
        <f t="shared" si="1056"/>
        <v>7206429.4500000058</v>
      </c>
      <c r="R4360" s="44" t="str">
        <f>VLOOKUP(F4360,'Set up'!$A$2:$E$70,5,FALSE)</f>
        <v>Trsf</v>
      </c>
    </row>
    <row r="4361" spans="1:18" ht="16.2" customHeight="1" x14ac:dyDescent="0.3">
      <c r="A4361" s="150" t="s">
        <v>4150</v>
      </c>
      <c r="B4361" s="5">
        <f t="shared" si="1057"/>
        <v>9</v>
      </c>
      <c r="C4361" s="5">
        <f t="shared" si="1058"/>
        <v>2025</v>
      </c>
      <c r="D4361" s="150" t="s">
        <v>4172</v>
      </c>
      <c r="E4361" s="5" t="str">
        <f>VLOOKUP(F4361,'Set up'!$A$2:$C$70,2,FALSE)</f>
        <v>C00000045</v>
      </c>
      <c r="F4361" s="151" t="s">
        <v>2271</v>
      </c>
      <c r="G4361" s="151" t="s">
        <v>1543</v>
      </c>
      <c r="H4361" s="105">
        <v>4</v>
      </c>
      <c r="I4361" s="5" t="str">
        <f>VLOOKUP(F4361,'Set up'!$A$2:$C$70,3,FALSE)</f>
        <v>Cash</v>
      </c>
      <c r="J4361" s="5">
        <f>VLOOKUP(F4361,'Set up'!$A$2:$D$70,4,FALSE)</f>
        <v>0</v>
      </c>
      <c r="K4361" s="4">
        <f t="shared" si="1053"/>
        <v>45906</v>
      </c>
      <c r="L4361" s="5">
        <f t="shared" si="1054"/>
        <v>9</v>
      </c>
      <c r="M4361" s="5">
        <f t="shared" si="1055"/>
        <v>2025</v>
      </c>
      <c r="N4361" s="135">
        <v>708</v>
      </c>
      <c r="P4361" s="12"/>
      <c r="Q4361" s="7">
        <f t="shared" si="1056"/>
        <v>7207137.4500000058</v>
      </c>
      <c r="R4361" s="44" t="str">
        <f>VLOOKUP(F4361,'Set up'!$A$2:$E$70,5,FALSE)</f>
        <v>Trsf</v>
      </c>
    </row>
    <row r="4362" spans="1:18" ht="16.2" customHeight="1" x14ac:dyDescent="0.3">
      <c r="A4362" s="150" t="s">
        <v>4151</v>
      </c>
      <c r="B4362" s="5">
        <f t="shared" si="1057"/>
        <v>9</v>
      </c>
      <c r="C4362" s="5">
        <f t="shared" si="1058"/>
        <v>2025</v>
      </c>
      <c r="D4362" s="150" t="s">
        <v>4173</v>
      </c>
      <c r="E4362" s="5" t="str">
        <f>VLOOKUP(F4362,'Set up'!$A$2:$C$70,2,FALSE)</f>
        <v>C00000042</v>
      </c>
      <c r="F4362" s="151" t="s">
        <v>2012</v>
      </c>
      <c r="G4362" s="151" t="s">
        <v>2646</v>
      </c>
      <c r="H4362" s="105">
        <v>3</v>
      </c>
      <c r="I4362" s="5" t="str">
        <f>VLOOKUP(F4362,'Set up'!$A$2:$C$70,3,FALSE)</f>
        <v>Cash</v>
      </c>
      <c r="J4362" s="5">
        <f>VLOOKUP(F4362,'Set up'!$A$2:$D$70,4,FALSE)</f>
        <v>0</v>
      </c>
      <c r="K4362" s="4">
        <f t="shared" si="1053"/>
        <v>45909</v>
      </c>
      <c r="L4362" s="5">
        <f t="shared" si="1054"/>
        <v>9</v>
      </c>
      <c r="M4362" s="5">
        <f t="shared" si="1055"/>
        <v>2025</v>
      </c>
      <c r="N4362" s="135">
        <v>187.5</v>
      </c>
      <c r="P4362" s="12"/>
      <c r="Q4362" s="7">
        <f t="shared" si="1056"/>
        <v>7207324.9500000058</v>
      </c>
      <c r="R4362" s="44" t="str">
        <f>VLOOKUP(F4362,'Set up'!$A$2:$E$70,5,FALSE)</f>
        <v>Trsf</v>
      </c>
    </row>
    <row r="4363" spans="1:18" ht="16.2" customHeight="1" x14ac:dyDescent="0.3">
      <c r="A4363" s="150" t="s">
        <v>4151</v>
      </c>
      <c r="B4363" s="5">
        <f t="shared" si="1057"/>
        <v>9</v>
      </c>
      <c r="C4363" s="5">
        <f t="shared" si="1058"/>
        <v>2025</v>
      </c>
      <c r="D4363" s="150" t="s">
        <v>4174</v>
      </c>
      <c r="E4363" s="5" t="str">
        <f>VLOOKUP(F4363,'Set up'!$A$2:$C$70,2,FALSE)</f>
        <v>C00000042</v>
      </c>
      <c r="F4363" s="151" t="s">
        <v>2012</v>
      </c>
      <c r="G4363" s="151" t="s">
        <v>3645</v>
      </c>
      <c r="H4363" s="105">
        <v>5</v>
      </c>
      <c r="I4363" s="5" t="str">
        <f>VLOOKUP(F4363,'Set up'!$A$2:$C$70,3,FALSE)</f>
        <v>Cash</v>
      </c>
      <c r="J4363" s="5">
        <f>VLOOKUP(F4363,'Set up'!$A$2:$D$70,4,FALSE)</f>
        <v>0</v>
      </c>
      <c r="K4363" s="4">
        <f t="shared" si="1053"/>
        <v>45909</v>
      </c>
      <c r="L4363" s="5">
        <f t="shared" si="1054"/>
        <v>9</v>
      </c>
      <c r="M4363" s="5">
        <f t="shared" si="1055"/>
        <v>2025</v>
      </c>
      <c r="N4363" s="135">
        <v>7875</v>
      </c>
      <c r="P4363" s="12"/>
      <c r="Q4363" s="7">
        <f t="shared" si="1056"/>
        <v>7215199.9500000058</v>
      </c>
      <c r="R4363" s="44" t="str">
        <f>VLOOKUP(F4363,'Set up'!$A$2:$E$70,5,FALSE)</f>
        <v>Trsf</v>
      </c>
    </row>
    <row r="4364" spans="1:18" ht="16.2" customHeight="1" x14ac:dyDescent="0.3">
      <c r="A4364" s="150" t="s">
        <v>4151</v>
      </c>
      <c r="B4364" s="5">
        <f t="shared" si="1057"/>
        <v>9</v>
      </c>
      <c r="C4364" s="5">
        <f t="shared" si="1058"/>
        <v>2025</v>
      </c>
      <c r="D4364" s="150" t="s">
        <v>4174</v>
      </c>
      <c r="E4364" s="5" t="str">
        <f>VLOOKUP(F4364,'Set up'!$A$2:$C$70,2,FALSE)</f>
        <v>C00000042</v>
      </c>
      <c r="F4364" s="151" t="s">
        <v>2012</v>
      </c>
      <c r="G4364" s="151" t="s">
        <v>3217</v>
      </c>
      <c r="H4364" s="105">
        <v>1</v>
      </c>
      <c r="I4364" s="5" t="str">
        <f>VLOOKUP(F4364,'Set up'!$A$2:$C$70,3,FALSE)</f>
        <v>Cash</v>
      </c>
      <c r="J4364" s="5">
        <f>VLOOKUP(F4364,'Set up'!$A$2:$D$70,4,FALSE)</f>
        <v>0</v>
      </c>
      <c r="K4364" s="4">
        <f t="shared" si="1053"/>
        <v>45909</v>
      </c>
      <c r="L4364" s="5">
        <f t="shared" si="1054"/>
        <v>9</v>
      </c>
      <c r="M4364" s="5">
        <f t="shared" si="1055"/>
        <v>2025</v>
      </c>
      <c r="N4364" s="135">
        <v>1575</v>
      </c>
      <c r="P4364" s="12"/>
      <c r="Q4364" s="7">
        <f t="shared" si="1056"/>
        <v>7216774.9500000058</v>
      </c>
      <c r="R4364" s="44" t="str">
        <f>VLOOKUP(F4364,'Set up'!$A$2:$E$70,5,FALSE)</f>
        <v>Trsf</v>
      </c>
    </row>
    <row r="4365" spans="1:18" ht="16.2" customHeight="1" x14ac:dyDescent="0.3">
      <c r="A4365" s="150" t="s">
        <v>4151</v>
      </c>
      <c r="B4365" s="5">
        <f t="shared" si="1057"/>
        <v>9</v>
      </c>
      <c r="C4365" s="5">
        <f t="shared" si="1058"/>
        <v>2025</v>
      </c>
      <c r="D4365" s="150" t="s">
        <v>4174</v>
      </c>
      <c r="E4365" s="5" t="str">
        <f>VLOOKUP(F4365,'Set up'!$A$2:$C$70,2,FALSE)</f>
        <v>C00000042</v>
      </c>
      <c r="F4365" s="151" t="s">
        <v>2012</v>
      </c>
      <c r="G4365" s="151" t="s">
        <v>3243</v>
      </c>
      <c r="H4365" s="105">
        <v>18</v>
      </c>
      <c r="I4365" s="5" t="str">
        <f>VLOOKUP(F4365,'Set up'!$A$2:$C$70,3,FALSE)</f>
        <v>Cash</v>
      </c>
      <c r="J4365" s="5">
        <f>VLOOKUP(F4365,'Set up'!$A$2:$D$70,4,FALSE)</f>
        <v>0</v>
      </c>
      <c r="K4365" s="4">
        <f t="shared" si="1053"/>
        <v>45909</v>
      </c>
      <c r="L4365" s="5">
        <f t="shared" si="1054"/>
        <v>9</v>
      </c>
      <c r="M4365" s="5">
        <f t="shared" si="1055"/>
        <v>2025</v>
      </c>
      <c r="N4365" s="135">
        <v>3186</v>
      </c>
      <c r="P4365" s="12"/>
      <c r="Q4365" s="7">
        <f t="shared" si="1056"/>
        <v>7219960.9500000058</v>
      </c>
      <c r="R4365" s="44" t="str">
        <f>VLOOKUP(F4365,'Set up'!$A$2:$E$70,5,FALSE)</f>
        <v>Trsf</v>
      </c>
    </row>
    <row r="4366" spans="1:18" ht="16.2" customHeight="1" x14ac:dyDescent="0.3">
      <c r="A4366" s="150" t="s">
        <v>4151</v>
      </c>
      <c r="B4366" s="5">
        <f t="shared" si="1057"/>
        <v>9</v>
      </c>
      <c r="C4366" s="5">
        <f t="shared" si="1058"/>
        <v>2025</v>
      </c>
      <c r="D4366" s="150" t="s">
        <v>4174</v>
      </c>
      <c r="E4366" s="5" t="str">
        <f>VLOOKUP(F4366,'Set up'!$A$2:$C$70,2,FALSE)</f>
        <v>C00000042</v>
      </c>
      <c r="F4366" s="151" t="s">
        <v>2012</v>
      </c>
      <c r="G4366" s="151" t="s">
        <v>1922</v>
      </c>
      <c r="H4366" s="105">
        <v>9</v>
      </c>
      <c r="I4366" s="5" t="str">
        <f>VLOOKUP(F4366,'Set up'!$A$2:$C$70,3,FALSE)</f>
        <v>Cash</v>
      </c>
      <c r="J4366" s="5">
        <f>VLOOKUP(F4366,'Set up'!$A$2:$D$70,4,FALSE)</f>
        <v>0</v>
      </c>
      <c r="K4366" s="4">
        <f t="shared" si="1053"/>
        <v>45909</v>
      </c>
      <c r="L4366" s="5">
        <f t="shared" si="1054"/>
        <v>9</v>
      </c>
      <c r="M4366" s="5">
        <f t="shared" si="1055"/>
        <v>2025</v>
      </c>
      <c r="N4366" s="135">
        <v>2065.5</v>
      </c>
      <c r="P4366" s="12"/>
      <c r="Q4366" s="7">
        <f t="shared" si="1056"/>
        <v>7222026.4500000058</v>
      </c>
      <c r="R4366" s="44" t="str">
        <f>VLOOKUP(F4366,'Set up'!$A$2:$E$70,5,FALSE)</f>
        <v>Trsf</v>
      </c>
    </row>
    <row r="4367" spans="1:18" ht="16.2" customHeight="1" x14ac:dyDescent="0.3">
      <c r="A4367" s="150" t="s">
        <v>4151</v>
      </c>
      <c r="B4367" s="5">
        <f t="shared" si="1057"/>
        <v>9</v>
      </c>
      <c r="C4367" s="5">
        <f t="shared" si="1058"/>
        <v>2025</v>
      </c>
      <c r="D4367" s="150" t="s">
        <v>4174</v>
      </c>
      <c r="E4367" s="5" t="str">
        <f>VLOOKUP(F4367,'Set up'!$A$2:$C$70,2,FALSE)</f>
        <v>C00000042</v>
      </c>
      <c r="F4367" s="151" t="s">
        <v>2012</v>
      </c>
      <c r="G4367" s="151" t="s">
        <v>46</v>
      </c>
      <c r="H4367" s="105">
        <v>8</v>
      </c>
      <c r="I4367" s="5" t="str">
        <f>VLOOKUP(F4367,'Set up'!$A$2:$C$70,3,FALSE)</f>
        <v>Cash</v>
      </c>
      <c r="J4367" s="5">
        <f>VLOOKUP(F4367,'Set up'!$A$2:$D$70,4,FALSE)</f>
        <v>0</v>
      </c>
      <c r="K4367" s="4">
        <f t="shared" si="1053"/>
        <v>45909</v>
      </c>
      <c r="L4367" s="5">
        <f t="shared" si="1054"/>
        <v>9</v>
      </c>
      <c r="M4367" s="5">
        <f t="shared" si="1055"/>
        <v>2025</v>
      </c>
      <c r="N4367" s="135">
        <v>920</v>
      </c>
      <c r="P4367" s="12"/>
      <c r="Q4367" s="7">
        <f t="shared" si="1056"/>
        <v>7222946.4500000058</v>
      </c>
      <c r="R4367" s="44" t="str">
        <f>VLOOKUP(F4367,'Set up'!$A$2:$E$70,5,FALSE)</f>
        <v>Trsf</v>
      </c>
    </row>
    <row r="4368" spans="1:18" ht="16.2" customHeight="1" x14ac:dyDescent="0.3">
      <c r="A4368" s="150" t="s">
        <v>4151</v>
      </c>
      <c r="B4368" s="5">
        <f t="shared" si="1057"/>
        <v>9</v>
      </c>
      <c r="C4368" s="5">
        <f t="shared" si="1058"/>
        <v>2025</v>
      </c>
      <c r="D4368" s="150" t="s">
        <v>4174</v>
      </c>
      <c r="E4368" s="5" t="str">
        <f>VLOOKUP(F4368,'Set up'!$A$2:$C$70,2,FALSE)</f>
        <v>C00000042</v>
      </c>
      <c r="F4368" s="151" t="s">
        <v>2012</v>
      </c>
      <c r="G4368" s="151" t="s">
        <v>1073</v>
      </c>
      <c r="H4368" s="105">
        <v>1</v>
      </c>
      <c r="I4368" s="5" t="str">
        <f>VLOOKUP(F4368,'Set up'!$A$2:$C$70,3,FALSE)</f>
        <v>Cash</v>
      </c>
      <c r="J4368" s="5">
        <f>VLOOKUP(F4368,'Set up'!$A$2:$D$70,4,FALSE)</f>
        <v>0</v>
      </c>
      <c r="K4368" s="4">
        <f t="shared" si="1053"/>
        <v>45909</v>
      </c>
      <c r="L4368" s="5">
        <f t="shared" si="1054"/>
        <v>9</v>
      </c>
      <c r="M4368" s="5">
        <f t="shared" si="1055"/>
        <v>2025</v>
      </c>
      <c r="N4368" s="135">
        <v>1000</v>
      </c>
      <c r="P4368" s="12"/>
      <c r="Q4368" s="7">
        <f t="shared" si="1056"/>
        <v>7223946.4500000058</v>
      </c>
      <c r="R4368" s="44" t="str">
        <f>VLOOKUP(F4368,'Set up'!$A$2:$E$70,5,FALSE)</f>
        <v>Trsf</v>
      </c>
    </row>
    <row r="4369" spans="1:18" ht="16.2" customHeight="1" x14ac:dyDescent="0.3">
      <c r="A4369" s="150" t="s">
        <v>4152</v>
      </c>
      <c r="B4369" s="5">
        <f t="shared" si="1057"/>
        <v>9</v>
      </c>
      <c r="C4369" s="5">
        <f t="shared" si="1058"/>
        <v>2025</v>
      </c>
      <c r="D4369" s="150" t="s">
        <v>4175</v>
      </c>
      <c r="E4369" s="5" t="str">
        <f>VLOOKUP(F4369,'Set up'!$A$2:$C$70,2,FALSE)</f>
        <v>C00000050</v>
      </c>
      <c r="F4369" s="151" t="s">
        <v>2656</v>
      </c>
      <c r="G4369" s="151" t="s">
        <v>3615</v>
      </c>
      <c r="H4369" s="105">
        <v>1</v>
      </c>
      <c r="I4369" s="5" t="str">
        <f>VLOOKUP(F4369,'Set up'!$A$2:$C$70,3,FALSE)</f>
        <v>Cash</v>
      </c>
      <c r="J4369" s="5">
        <f>VLOOKUP(F4369,'Set up'!$A$2:$D$70,4,FALSE)</f>
        <v>0</v>
      </c>
      <c r="K4369" s="4">
        <f t="shared" si="1053"/>
        <v>45910</v>
      </c>
      <c r="L4369" s="5">
        <f t="shared" si="1054"/>
        <v>9</v>
      </c>
      <c r="M4369" s="5">
        <f t="shared" si="1055"/>
        <v>2025</v>
      </c>
      <c r="N4369" s="135">
        <v>1687.5</v>
      </c>
      <c r="P4369" s="12"/>
      <c r="Q4369" s="7">
        <f t="shared" si="1056"/>
        <v>7225633.9500000058</v>
      </c>
      <c r="R4369" s="44" t="str">
        <f>VLOOKUP(F4369,'Set up'!$A$2:$E$70,5,FALSE)</f>
        <v>Cash</v>
      </c>
    </row>
    <row r="4370" spans="1:18" ht="16.2" customHeight="1" x14ac:dyDescent="0.3">
      <c r="A4370" s="150" t="s">
        <v>4152</v>
      </c>
      <c r="B4370" s="5">
        <f t="shared" si="1057"/>
        <v>9</v>
      </c>
      <c r="C4370" s="5">
        <f t="shared" si="1058"/>
        <v>2025</v>
      </c>
      <c r="D4370" s="150" t="s">
        <v>4175</v>
      </c>
      <c r="E4370" s="5" t="str">
        <f>VLOOKUP(F4370,'Set up'!$A$2:$C$70,2,FALSE)</f>
        <v>C00000050</v>
      </c>
      <c r="F4370" s="151" t="s">
        <v>2656</v>
      </c>
      <c r="G4370" s="151" t="s">
        <v>2434</v>
      </c>
      <c r="H4370" s="105">
        <v>2</v>
      </c>
      <c r="I4370" s="5" t="str">
        <f>VLOOKUP(F4370,'Set up'!$A$2:$C$70,3,FALSE)</f>
        <v>Cash</v>
      </c>
      <c r="J4370" s="5">
        <f>VLOOKUP(F4370,'Set up'!$A$2:$D$70,4,FALSE)</f>
        <v>0</v>
      </c>
      <c r="K4370" s="4">
        <f t="shared" si="1053"/>
        <v>45910</v>
      </c>
      <c r="L4370" s="5">
        <f t="shared" si="1054"/>
        <v>9</v>
      </c>
      <c r="M4370" s="5">
        <f t="shared" si="1055"/>
        <v>2025</v>
      </c>
      <c r="N4370" s="135">
        <v>532.79999999999995</v>
      </c>
      <c r="P4370" s="12"/>
      <c r="Q4370" s="7">
        <f t="shared" si="1056"/>
        <v>7226166.7500000056</v>
      </c>
      <c r="R4370" s="44" t="str">
        <f>VLOOKUP(F4370,'Set up'!$A$2:$E$70,5,FALSE)</f>
        <v>Cash</v>
      </c>
    </row>
    <row r="4371" spans="1:18" ht="16.2" customHeight="1" x14ac:dyDescent="0.3">
      <c r="A4371" s="150" t="s">
        <v>4152</v>
      </c>
      <c r="B4371" s="5">
        <f t="shared" si="1057"/>
        <v>9</v>
      </c>
      <c r="C4371" s="5">
        <f t="shared" si="1058"/>
        <v>2025</v>
      </c>
      <c r="D4371" s="150" t="s">
        <v>4175</v>
      </c>
      <c r="E4371" s="5" t="str">
        <f>VLOOKUP(F4371,'Set up'!$A$2:$C$70,2,FALSE)</f>
        <v>C00000050</v>
      </c>
      <c r="F4371" s="151" t="s">
        <v>2656</v>
      </c>
      <c r="G4371" s="151" t="s">
        <v>2646</v>
      </c>
      <c r="H4371" s="105">
        <v>5</v>
      </c>
      <c r="I4371" s="5" t="str">
        <f>VLOOKUP(F4371,'Set up'!$A$2:$C$70,3,FALSE)</f>
        <v>Cash</v>
      </c>
      <c r="J4371" s="5">
        <f>VLOOKUP(F4371,'Set up'!$A$2:$D$70,4,FALSE)</f>
        <v>0</v>
      </c>
      <c r="K4371" s="4">
        <f t="shared" si="1053"/>
        <v>45910</v>
      </c>
      <c r="L4371" s="5">
        <f t="shared" si="1054"/>
        <v>9</v>
      </c>
      <c r="M4371" s="5">
        <f t="shared" si="1055"/>
        <v>2025</v>
      </c>
      <c r="N4371" s="135">
        <v>312.5</v>
      </c>
      <c r="P4371" s="12"/>
      <c r="Q4371" s="7">
        <f t="shared" si="1056"/>
        <v>7226479.2500000056</v>
      </c>
      <c r="R4371" s="44" t="str">
        <f>VLOOKUP(F4371,'Set up'!$A$2:$E$70,5,FALSE)</f>
        <v>Cash</v>
      </c>
    </row>
    <row r="4372" spans="1:18" ht="16.2" customHeight="1" x14ac:dyDescent="0.3">
      <c r="A4372" s="150" t="s">
        <v>4152</v>
      </c>
      <c r="B4372" s="5">
        <f t="shared" si="1057"/>
        <v>9</v>
      </c>
      <c r="C4372" s="5">
        <f t="shared" si="1058"/>
        <v>2025</v>
      </c>
      <c r="D4372" s="150" t="s">
        <v>4175</v>
      </c>
      <c r="E4372" s="5" t="str">
        <f>VLOOKUP(F4372,'Set up'!$A$2:$C$70,2,FALSE)</f>
        <v>C00000050</v>
      </c>
      <c r="F4372" s="151" t="s">
        <v>2656</v>
      </c>
      <c r="G4372" s="151" t="s">
        <v>46</v>
      </c>
      <c r="H4372" s="105">
        <v>1</v>
      </c>
      <c r="I4372" s="5" t="str">
        <f>VLOOKUP(F4372,'Set up'!$A$2:$C$70,3,FALSE)</f>
        <v>Cash</v>
      </c>
      <c r="J4372" s="5">
        <f>VLOOKUP(F4372,'Set up'!$A$2:$D$70,4,FALSE)</f>
        <v>0</v>
      </c>
      <c r="K4372" s="4">
        <f t="shared" si="1053"/>
        <v>45910</v>
      </c>
      <c r="L4372" s="5">
        <f t="shared" si="1054"/>
        <v>9</v>
      </c>
      <c r="M4372" s="5">
        <f t="shared" si="1055"/>
        <v>2025</v>
      </c>
      <c r="N4372" s="135">
        <v>115</v>
      </c>
      <c r="P4372" s="12"/>
      <c r="Q4372" s="7">
        <f t="shared" si="1056"/>
        <v>7226594.2500000056</v>
      </c>
      <c r="R4372" s="44" t="str">
        <f>VLOOKUP(F4372,'Set up'!$A$2:$E$70,5,FALSE)</f>
        <v>Cash</v>
      </c>
    </row>
    <row r="4373" spans="1:18" ht="16.2" customHeight="1" x14ac:dyDescent="0.3">
      <c r="A4373" s="150" t="s">
        <v>4153</v>
      </c>
      <c r="B4373" s="5">
        <f t="shared" si="1057"/>
        <v>9</v>
      </c>
      <c r="C4373" s="5">
        <f t="shared" si="1058"/>
        <v>2025</v>
      </c>
      <c r="D4373" s="150" t="s">
        <v>4176</v>
      </c>
      <c r="E4373" s="5" t="str">
        <f>VLOOKUP(F4373,'Set up'!$A$2:$C$70,2,FALSE)</f>
        <v>C00000044</v>
      </c>
      <c r="F4373" s="151" t="s">
        <v>2929</v>
      </c>
      <c r="G4373" s="151" t="s">
        <v>3122</v>
      </c>
      <c r="H4373" s="105">
        <v>1</v>
      </c>
      <c r="I4373" s="5" t="str">
        <f>VLOOKUP(F4373,'Set up'!$A$2:$C$70,3,FALSE)</f>
        <v>Cash</v>
      </c>
      <c r="J4373" s="5">
        <f>VLOOKUP(F4373,'Set up'!$A$2:$D$70,4,FALSE)</f>
        <v>0</v>
      </c>
      <c r="K4373" s="4">
        <f t="shared" si="1053"/>
        <v>45911</v>
      </c>
      <c r="L4373" s="5">
        <f t="shared" si="1054"/>
        <v>9</v>
      </c>
      <c r="M4373" s="5">
        <f t="shared" si="1055"/>
        <v>2025</v>
      </c>
      <c r="N4373" s="135">
        <v>1687.5</v>
      </c>
      <c r="P4373" s="12"/>
      <c r="Q4373" s="7">
        <f t="shared" si="1056"/>
        <v>7228281.7500000056</v>
      </c>
      <c r="R4373" s="44" t="str">
        <f>VLOOKUP(F4373,'Set up'!$A$2:$E$70,5,FALSE)</f>
        <v>Cash</v>
      </c>
    </row>
    <row r="4374" spans="1:18" ht="16.2" customHeight="1" x14ac:dyDescent="0.3">
      <c r="A4374" s="150" t="s">
        <v>4153</v>
      </c>
      <c r="B4374" s="5">
        <f t="shared" si="1057"/>
        <v>9</v>
      </c>
      <c r="C4374" s="5">
        <f t="shared" si="1058"/>
        <v>2025</v>
      </c>
      <c r="D4374" s="150" t="s">
        <v>4176</v>
      </c>
      <c r="E4374" s="5" t="str">
        <f>VLOOKUP(F4374,'Set up'!$A$2:$C$70,2,FALSE)</f>
        <v>C00000044</v>
      </c>
      <c r="F4374" s="151" t="s">
        <v>2929</v>
      </c>
      <c r="G4374" s="151" t="s">
        <v>2570</v>
      </c>
      <c r="H4374" s="105">
        <v>2</v>
      </c>
      <c r="I4374" s="5" t="str">
        <f>VLOOKUP(F4374,'Set up'!$A$2:$C$70,3,FALSE)</f>
        <v>Cash</v>
      </c>
      <c r="J4374" s="5">
        <f>VLOOKUP(F4374,'Set up'!$A$2:$D$70,4,FALSE)</f>
        <v>0</v>
      </c>
      <c r="K4374" s="4">
        <f t="shared" si="1053"/>
        <v>45911</v>
      </c>
      <c r="L4374" s="5">
        <f t="shared" si="1054"/>
        <v>9</v>
      </c>
      <c r="M4374" s="5">
        <f t="shared" si="1055"/>
        <v>2025</v>
      </c>
      <c r="N4374" s="135">
        <v>432</v>
      </c>
      <c r="P4374" s="12"/>
      <c r="Q4374" s="7">
        <f t="shared" si="1056"/>
        <v>7228713.7500000056</v>
      </c>
      <c r="R4374" s="44" t="str">
        <f>VLOOKUP(F4374,'Set up'!$A$2:$E$70,5,FALSE)</f>
        <v>Cash</v>
      </c>
    </row>
    <row r="4375" spans="1:18" ht="16.2" customHeight="1" x14ac:dyDescent="0.3">
      <c r="A4375" s="150" t="s">
        <v>4153</v>
      </c>
      <c r="B4375" s="5">
        <f t="shared" si="1057"/>
        <v>9</v>
      </c>
      <c r="C4375" s="5">
        <f t="shared" si="1058"/>
        <v>2025</v>
      </c>
      <c r="D4375" s="150" t="s">
        <v>4176</v>
      </c>
      <c r="E4375" s="5" t="str">
        <f>VLOOKUP(F4375,'Set up'!$A$2:$C$70,2,FALSE)</f>
        <v>C00000044</v>
      </c>
      <c r="F4375" s="151" t="s">
        <v>2929</v>
      </c>
      <c r="G4375" s="151" t="s">
        <v>46</v>
      </c>
      <c r="H4375" s="105">
        <v>1</v>
      </c>
      <c r="I4375" s="5" t="str">
        <f>VLOOKUP(F4375,'Set up'!$A$2:$C$70,3,FALSE)</f>
        <v>Cash</v>
      </c>
      <c r="J4375" s="5">
        <f>VLOOKUP(F4375,'Set up'!$A$2:$D$70,4,FALSE)</f>
        <v>0</v>
      </c>
      <c r="K4375" s="4">
        <f t="shared" si="1053"/>
        <v>45911</v>
      </c>
      <c r="L4375" s="5">
        <f t="shared" si="1054"/>
        <v>9</v>
      </c>
      <c r="M4375" s="5">
        <f t="shared" si="1055"/>
        <v>2025</v>
      </c>
      <c r="N4375" s="135">
        <v>115</v>
      </c>
      <c r="P4375" s="12"/>
      <c r="Q4375" s="7">
        <f t="shared" si="1056"/>
        <v>7228828.7500000056</v>
      </c>
      <c r="R4375" s="44" t="str">
        <f>VLOOKUP(F4375,'Set up'!$A$2:$E$70,5,FALSE)</f>
        <v>Cash</v>
      </c>
    </row>
    <row r="4376" spans="1:18" ht="16.2" customHeight="1" x14ac:dyDescent="0.3">
      <c r="A4376" s="150" t="s">
        <v>4153</v>
      </c>
      <c r="B4376" s="5">
        <f t="shared" si="1057"/>
        <v>9</v>
      </c>
      <c r="C4376" s="5">
        <f t="shared" si="1058"/>
        <v>2025</v>
      </c>
      <c r="D4376" s="150" t="s">
        <v>4176</v>
      </c>
      <c r="E4376" s="5" t="str">
        <f>VLOOKUP(F4376,'Set up'!$A$2:$C$70,2,FALSE)</f>
        <v>C00000044</v>
      </c>
      <c r="F4376" s="151" t="s">
        <v>2929</v>
      </c>
      <c r="G4376" s="151" t="s">
        <v>2646</v>
      </c>
      <c r="H4376" s="105">
        <v>1</v>
      </c>
      <c r="I4376" s="5" t="str">
        <f>VLOOKUP(F4376,'Set up'!$A$2:$C$70,3,FALSE)</f>
        <v>Cash</v>
      </c>
      <c r="J4376" s="5">
        <f>VLOOKUP(F4376,'Set up'!$A$2:$D$70,4,FALSE)</f>
        <v>0</v>
      </c>
      <c r="K4376" s="4">
        <f t="shared" si="1053"/>
        <v>45911</v>
      </c>
      <c r="L4376" s="5">
        <f t="shared" si="1054"/>
        <v>9</v>
      </c>
      <c r="M4376" s="5">
        <f t="shared" si="1055"/>
        <v>2025</v>
      </c>
      <c r="N4376" s="135">
        <v>62.5</v>
      </c>
      <c r="P4376" s="12"/>
      <c r="Q4376" s="7">
        <f t="shared" si="1056"/>
        <v>7228891.2500000056</v>
      </c>
      <c r="R4376" s="44" t="str">
        <f>VLOOKUP(F4376,'Set up'!$A$2:$E$70,5,FALSE)</f>
        <v>Cash</v>
      </c>
    </row>
    <row r="4377" spans="1:18" ht="16.2" customHeight="1" x14ac:dyDescent="0.3">
      <c r="A4377" s="150" t="s">
        <v>4153</v>
      </c>
      <c r="B4377" s="5">
        <f t="shared" si="1057"/>
        <v>9</v>
      </c>
      <c r="C4377" s="5">
        <f t="shared" si="1058"/>
        <v>2025</v>
      </c>
      <c r="D4377" s="150" t="s">
        <v>4177</v>
      </c>
      <c r="E4377" s="5" t="str">
        <f>VLOOKUP(F4377,'Set up'!$A$2:$C$70,2,FALSE)</f>
        <v>C00000010</v>
      </c>
      <c r="F4377" s="151" t="s">
        <v>62</v>
      </c>
      <c r="G4377" s="151" t="s">
        <v>3645</v>
      </c>
      <c r="H4377" s="105">
        <v>10</v>
      </c>
      <c r="I4377" s="5">
        <f>VLOOKUP(F4377,'Set up'!$A$2:$C$70,3,FALSE)</f>
        <v>120</v>
      </c>
      <c r="J4377" s="5">
        <f>VLOOKUP(F4377,'Set up'!$A$2:$D$70,4,FALSE)</f>
        <v>120</v>
      </c>
      <c r="K4377" s="4">
        <f t="shared" si="1053"/>
        <v>46031</v>
      </c>
      <c r="L4377" s="5">
        <f t="shared" si="1054"/>
        <v>1</v>
      </c>
      <c r="M4377" s="5">
        <f t="shared" si="1055"/>
        <v>2026</v>
      </c>
      <c r="N4377" s="135">
        <v>15525</v>
      </c>
      <c r="P4377" s="12"/>
      <c r="Q4377" s="7">
        <f t="shared" si="1056"/>
        <v>7244416.2500000056</v>
      </c>
      <c r="R4377" s="44" t="str">
        <f>VLOOKUP(F4377,'Set up'!$A$2:$E$70,5,FALSE)</f>
        <v>Trsf</v>
      </c>
    </row>
    <row r="4378" spans="1:18" ht="16.2" customHeight="1" x14ac:dyDescent="0.3">
      <c r="A4378" s="150" t="s">
        <v>4153</v>
      </c>
      <c r="B4378" s="5">
        <f t="shared" si="1057"/>
        <v>9</v>
      </c>
      <c r="C4378" s="5">
        <f t="shared" si="1058"/>
        <v>2025</v>
      </c>
      <c r="D4378" s="150" t="s">
        <v>4177</v>
      </c>
      <c r="E4378" s="5" t="str">
        <f>VLOOKUP(F4378,'Set up'!$A$2:$C$70,2,FALSE)</f>
        <v>C00000010</v>
      </c>
      <c r="F4378" s="151" t="s">
        <v>62</v>
      </c>
      <c r="G4378" s="151" t="s">
        <v>2129</v>
      </c>
      <c r="H4378" s="105">
        <v>10</v>
      </c>
      <c r="I4378" s="5">
        <f>VLOOKUP(F4378,'Set up'!$A$2:$C$70,3,FALSE)</f>
        <v>120</v>
      </c>
      <c r="J4378" s="5">
        <f>VLOOKUP(F4378,'Set up'!$A$2:$D$70,4,FALSE)</f>
        <v>120</v>
      </c>
      <c r="K4378" s="4">
        <f t="shared" si="1053"/>
        <v>46031</v>
      </c>
      <c r="L4378" s="5">
        <f t="shared" si="1054"/>
        <v>1</v>
      </c>
      <c r="M4378" s="5">
        <f t="shared" si="1055"/>
        <v>2026</v>
      </c>
      <c r="N4378" s="135">
        <v>2146</v>
      </c>
      <c r="P4378" s="12"/>
      <c r="Q4378" s="7">
        <f t="shared" si="1056"/>
        <v>7246562.2500000056</v>
      </c>
      <c r="R4378" s="44" t="str">
        <f>VLOOKUP(F4378,'Set up'!$A$2:$E$70,5,FALSE)</f>
        <v>Trsf</v>
      </c>
    </row>
    <row r="4379" spans="1:18" ht="16.2" customHeight="1" x14ac:dyDescent="0.3">
      <c r="A4379" s="150" t="s">
        <v>4153</v>
      </c>
      <c r="B4379" s="5">
        <f t="shared" si="1057"/>
        <v>9</v>
      </c>
      <c r="C4379" s="5">
        <f t="shared" si="1058"/>
        <v>2025</v>
      </c>
      <c r="D4379" s="150" t="s">
        <v>4177</v>
      </c>
      <c r="E4379" s="5" t="str">
        <f>VLOOKUP(F4379,'Set up'!$A$2:$C$70,2,FALSE)</f>
        <v>C00000010</v>
      </c>
      <c r="F4379" s="151" t="s">
        <v>62</v>
      </c>
      <c r="G4379" s="151" t="s">
        <v>949</v>
      </c>
      <c r="H4379" s="105">
        <v>12</v>
      </c>
      <c r="I4379" s="5">
        <f>VLOOKUP(F4379,'Set up'!$A$2:$C$70,3,FALSE)</f>
        <v>120</v>
      </c>
      <c r="J4379" s="5">
        <f>VLOOKUP(F4379,'Set up'!$A$2:$D$70,4,FALSE)</f>
        <v>120</v>
      </c>
      <c r="K4379" s="4">
        <f t="shared" si="1053"/>
        <v>46031</v>
      </c>
      <c r="L4379" s="5">
        <f t="shared" si="1054"/>
        <v>1</v>
      </c>
      <c r="M4379" s="5">
        <f t="shared" si="1055"/>
        <v>2026</v>
      </c>
      <c r="N4379" s="135">
        <v>696</v>
      </c>
      <c r="P4379" s="12"/>
      <c r="Q4379" s="7">
        <f t="shared" si="1056"/>
        <v>7247258.2500000056</v>
      </c>
      <c r="R4379" s="44" t="str">
        <f>VLOOKUP(F4379,'Set up'!$A$2:$E$70,5,FALSE)</f>
        <v>Trsf</v>
      </c>
    </row>
    <row r="4380" spans="1:18" ht="16.2" customHeight="1" x14ac:dyDescent="0.3">
      <c r="A4380" s="150" t="s">
        <v>4153</v>
      </c>
      <c r="B4380" s="5">
        <f t="shared" si="1057"/>
        <v>9</v>
      </c>
      <c r="C4380" s="5">
        <f t="shared" si="1058"/>
        <v>2025</v>
      </c>
      <c r="D4380" s="150" t="s">
        <v>4177</v>
      </c>
      <c r="E4380" s="5" t="str">
        <f>VLOOKUP(F4380,'Set up'!$A$2:$C$70,2,FALSE)</f>
        <v>C00000010</v>
      </c>
      <c r="F4380" s="151" t="s">
        <v>62</v>
      </c>
      <c r="G4380" s="151" t="s">
        <v>46</v>
      </c>
      <c r="H4380" s="105">
        <v>8</v>
      </c>
      <c r="I4380" s="5">
        <f>VLOOKUP(F4380,'Set up'!$A$2:$C$70,3,FALSE)</f>
        <v>120</v>
      </c>
      <c r="J4380" s="5">
        <f>VLOOKUP(F4380,'Set up'!$A$2:$D$70,4,FALSE)</f>
        <v>120</v>
      </c>
      <c r="K4380" s="4">
        <f t="shared" si="1053"/>
        <v>46031</v>
      </c>
      <c r="L4380" s="5">
        <f t="shared" si="1054"/>
        <v>1</v>
      </c>
      <c r="M4380" s="5">
        <f t="shared" si="1055"/>
        <v>2026</v>
      </c>
      <c r="N4380" s="135">
        <v>920</v>
      </c>
      <c r="P4380" s="12"/>
      <c r="Q4380" s="7">
        <f t="shared" si="1056"/>
        <v>7248178.2500000056</v>
      </c>
      <c r="R4380" s="44" t="str">
        <f>VLOOKUP(F4380,'Set up'!$A$2:$E$70,5,FALSE)</f>
        <v>Trsf</v>
      </c>
    </row>
    <row r="4381" spans="1:18" ht="16.2" customHeight="1" x14ac:dyDescent="0.3">
      <c r="A4381" s="150" t="s">
        <v>4153</v>
      </c>
      <c r="B4381" s="5">
        <f t="shared" si="1057"/>
        <v>9</v>
      </c>
      <c r="C4381" s="5">
        <f t="shared" si="1058"/>
        <v>2025</v>
      </c>
      <c r="D4381" s="150" t="s">
        <v>4177</v>
      </c>
      <c r="E4381" s="5" t="str">
        <f>VLOOKUP(F4381,'Set up'!$A$2:$C$70,2,FALSE)</f>
        <v>C00000010</v>
      </c>
      <c r="F4381" s="151" t="s">
        <v>62</v>
      </c>
      <c r="G4381" s="151" t="s">
        <v>2449</v>
      </c>
      <c r="H4381" s="105">
        <v>1</v>
      </c>
      <c r="I4381" s="5">
        <f>VLOOKUP(F4381,'Set up'!$A$2:$C$70,3,FALSE)</f>
        <v>120</v>
      </c>
      <c r="J4381" s="5">
        <f>VLOOKUP(F4381,'Set up'!$A$2:$D$70,4,FALSE)</f>
        <v>120</v>
      </c>
      <c r="K4381" s="4">
        <f t="shared" si="1053"/>
        <v>46031</v>
      </c>
      <c r="L4381" s="5">
        <f t="shared" si="1054"/>
        <v>1</v>
      </c>
      <c r="M4381" s="5">
        <f t="shared" si="1055"/>
        <v>2026</v>
      </c>
      <c r="N4381" s="135">
        <v>420</v>
      </c>
      <c r="P4381" s="12"/>
      <c r="Q4381" s="7">
        <f t="shared" si="1056"/>
        <v>7248598.2500000056</v>
      </c>
      <c r="R4381" s="44" t="str">
        <f>VLOOKUP(F4381,'Set up'!$A$2:$E$70,5,FALSE)</f>
        <v>Trsf</v>
      </c>
    </row>
    <row r="4382" spans="1:18" ht="16.2" customHeight="1" x14ac:dyDescent="0.3">
      <c r="A4382" s="150" t="s">
        <v>4153</v>
      </c>
      <c r="B4382" s="5">
        <f t="shared" si="1057"/>
        <v>9</v>
      </c>
      <c r="C4382" s="5">
        <f t="shared" si="1058"/>
        <v>2025</v>
      </c>
      <c r="D4382" s="150" t="s">
        <v>4178</v>
      </c>
      <c r="E4382" s="5" t="str">
        <f>VLOOKUP(F4382,'Set up'!$A$2:$C$70,2,FALSE)</f>
        <v>C00000042</v>
      </c>
      <c r="F4382" s="151" t="s">
        <v>2012</v>
      </c>
      <c r="G4382" s="151" t="s">
        <v>2646</v>
      </c>
      <c r="H4382" s="105">
        <v>4</v>
      </c>
      <c r="I4382" s="5" t="str">
        <f>VLOOKUP(F4382,'Set up'!$A$2:$C$70,3,FALSE)</f>
        <v>Cash</v>
      </c>
      <c r="J4382" s="5">
        <f>VLOOKUP(F4382,'Set up'!$A$2:$D$70,4,FALSE)</f>
        <v>0</v>
      </c>
      <c r="K4382" s="4">
        <f t="shared" si="1053"/>
        <v>45911</v>
      </c>
      <c r="L4382" s="5">
        <f t="shared" si="1054"/>
        <v>9</v>
      </c>
      <c r="M4382" s="5">
        <f t="shared" si="1055"/>
        <v>2025</v>
      </c>
      <c r="N4382" s="135">
        <v>250</v>
      </c>
      <c r="P4382" s="12"/>
      <c r="Q4382" s="7">
        <f t="shared" si="1056"/>
        <v>7248848.2500000056</v>
      </c>
      <c r="R4382" s="44" t="str">
        <f>VLOOKUP(F4382,'Set up'!$A$2:$E$70,5,FALSE)</f>
        <v>Trsf</v>
      </c>
    </row>
    <row r="4383" spans="1:18" ht="16.2" customHeight="1" x14ac:dyDescent="0.3">
      <c r="A4383" s="150" t="s">
        <v>4153</v>
      </c>
      <c r="B4383" s="5">
        <f t="shared" si="1057"/>
        <v>9</v>
      </c>
      <c r="C4383" s="5">
        <f t="shared" si="1058"/>
        <v>2025</v>
      </c>
      <c r="D4383" s="150" t="s">
        <v>4179</v>
      </c>
      <c r="E4383" s="5" t="str">
        <f>VLOOKUP(F4383,'Set up'!$A$2:$C$70,2,FALSE)</f>
        <v>C00000042</v>
      </c>
      <c r="F4383" s="151" t="s">
        <v>2012</v>
      </c>
      <c r="G4383" s="151" t="s">
        <v>3645</v>
      </c>
      <c r="H4383" s="105">
        <v>8</v>
      </c>
      <c r="I4383" s="5" t="str">
        <f>VLOOKUP(F4383,'Set up'!$A$2:$C$70,3,FALSE)</f>
        <v>Cash</v>
      </c>
      <c r="J4383" s="5">
        <f>VLOOKUP(F4383,'Set up'!$A$2:$D$70,4,FALSE)</f>
        <v>0</v>
      </c>
      <c r="K4383" s="4">
        <f t="shared" si="1053"/>
        <v>45911</v>
      </c>
      <c r="L4383" s="5">
        <f t="shared" si="1054"/>
        <v>9</v>
      </c>
      <c r="M4383" s="5">
        <f t="shared" si="1055"/>
        <v>2025</v>
      </c>
      <c r="N4383" s="135">
        <v>12600</v>
      </c>
      <c r="P4383" s="12"/>
      <c r="Q4383" s="7">
        <f t="shared" si="1056"/>
        <v>7261448.2500000056</v>
      </c>
      <c r="R4383" s="44" t="str">
        <f>VLOOKUP(F4383,'Set up'!$A$2:$E$70,5,FALSE)</f>
        <v>Trsf</v>
      </c>
    </row>
    <row r="4384" spans="1:18" ht="16.2" customHeight="1" x14ac:dyDescent="0.3">
      <c r="A4384" s="150" t="s">
        <v>4153</v>
      </c>
      <c r="B4384" s="5">
        <f t="shared" si="1057"/>
        <v>9</v>
      </c>
      <c r="C4384" s="5">
        <f t="shared" si="1058"/>
        <v>2025</v>
      </c>
      <c r="D4384" s="150" t="s">
        <v>4179</v>
      </c>
      <c r="E4384" s="5" t="str">
        <f>VLOOKUP(F4384,'Set up'!$A$2:$C$70,2,FALSE)</f>
        <v>C00000042</v>
      </c>
      <c r="F4384" s="151" t="s">
        <v>2012</v>
      </c>
      <c r="G4384" s="151" t="s">
        <v>3122</v>
      </c>
      <c r="H4384" s="105">
        <v>2</v>
      </c>
      <c r="I4384" s="5" t="str">
        <f>VLOOKUP(F4384,'Set up'!$A$2:$C$70,3,FALSE)</f>
        <v>Cash</v>
      </c>
      <c r="J4384" s="5">
        <f>VLOOKUP(F4384,'Set up'!$A$2:$D$70,4,FALSE)</f>
        <v>0</v>
      </c>
      <c r="K4384" s="4">
        <f t="shared" si="1053"/>
        <v>45911</v>
      </c>
      <c r="L4384" s="5">
        <f t="shared" si="1054"/>
        <v>9</v>
      </c>
      <c r="M4384" s="5">
        <f t="shared" si="1055"/>
        <v>2025</v>
      </c>
      <c r="N4384" s="135">
        <v>3150</v>
      </c>
      <c r="P4384" s="12"/>
      <c r="Q4384" s="7">
        <f t="shared" si="1056"/>
        <v>7264598.2500000056</v>
      </c>
      <c r="R4384" s="44" t="str">
        <f>VLOOKUP(F4384,'Set up'!$A$2:$E$70,5,FALSE)</f>
        <v>Trsf</v>
      </c>
    </row>
    <row r="4385" spans="1:18" ht="16.2" customHeight="1" x14ac:dyDescent="0.3">
      <c r="A4385" s="150" t="s">
        <v>4153</v>
      </c>
      <c r="B4385" s="5">
        <f t="shared" si="1057"/>
        <v>9</v>
      </c>
      <c r="C4385" s="5">
        <f t="shared" si="1058"/>
        <v>2025</v>
      </c>
      <c r="D4385" s="150" t="s">
        <v>4179</v>
      </c>
      <c r="E4385" s="5" t="str">
        <f>VLOOKUP(F4385,'Set up'!$A$2:$C$70,2,FALSE)</f>
        <v>C00000042</v>
      </c>
      <c r="F4385" s="151" t="s">
        <v>2012</v>
      </c>
      <c r="G4385" s="151" t="s">
        <v>3243</v>
      </c>
      <c r="H4385" s="105">
        <v>30</v>
      </c>
      <c r="I4385" s="5" t="str">
        <f>VLOOKUP(F4385,'Set up'!$A$2:$C$70,3,FALSE)</f>
        <v>Cash</v>
      </c>
      <c r="J4385" s="5">
        <f>VLOOKUP(F4385,'Set up'!$A$2:$D$70,4,FALSE)</f>
        <v>0</v>
      </c>
      <c r="K4385" s="4">
        <f t="shared" si="1053"/>
        <v>45911</v>
      </c>
      <c r="L4385" s="5">
        <f t="shared" si="1054"/>
        <v>9</v>
      </c>
      <c r="M4385" s="5">
        <f t="shared" si="1055"/>
        <v>2025</v>
      </c>
      <c r="N4385" s="135">
        <v>5310</v>
      </c>
      <c r="P4385" s="12"/>
      <c r="Q4385" s="7">
        <f t="shared" si="1056"/>
        <v>7269908.2500000056</v>
      </c>
      <c r="R4385" s="44" t="str">
        <f>VLOOKUP(F4385,'Set up'!$A$2:$E$70,5,FALSE)</f>
        <v>Trsf</v>
      </c>
    </row>
    <row r="4386" spans="1:18" ht="16.2" customHeight="1" x14ac:dyDescent="0.3">
      <c r="A4386" s="150" t="s">
        <v>4153</v>
      </c>
      <c r="B4386" s="5">
        <f t="shared" si="1057"/>
        <v>9</v>
      </c>
      <c r="C4386" s="5">
        <f t="shared" si="1058"/>
        <v>2025</v>
      </c>
      <c r="D4386" s="150" t="s">
        <v>4179</v>
      </c>
      <c r="E4386" s="5" t="str">
        <f>VLOOKUP(F4386,'Set up'!$A$2:$C$70,2,FALSE)</f>
        <v>C00000042</v>
      </c>
      <c r="F4386" s="151" t="s">
        <v>2012</v>
      </c>
      <c r="G4386" s="151" t="s">
        <v>1922</v>
      </c>
      <c r="H4386" s="105">
        <v>18</v>
      </c>
      <c r="I4386" s="5" t="str">
        <f>VLOOKUP(F4386,'Set up'!$A$2:$C$70,3,FALSE)</f>
        <v>Cash</v>
      </c>
      <c r="J4386" s="5">
        <f>VLOOKUP(F4386,'Set up'!$A$2:$D$70,4,FALSE)</f>
        <v>0</v>
      </c>
      <c r="K4386" s="4">
        <f t="shared" si="1053"/>
        <v>45911</v>
      </c>
      <c r="L4386" s="5">
        <f t="shared" si="1054"/>
        <v>9</v>
      </c>
      <c r="M4386" s="5">
        <f t="shared" si="1055"/>
        <v>2025</v>
      </c>
      <c r="N4386" s="135">
        <v>4131</v>
      </c>
      <c r="P4386" s="12"/>
      <c r="Q4386" s="7">
        <f t="shared" si="1056"/>
        <v>7274039.2500000056</v>
      </c>
      <c r="R4386" s="44" t="str">
        <f>VLOOKUP(F4386,'Set up'!$A$2:$E$70,5,FALSE)</f>
        <v>Trsf</v>
      </c>
    </row>
    <row r="4387" spans="1:18" ht="16.2" customHeight="1" x14ac:dyDescent="0.3">
      <c r="A4387" s="150" t="s">
        <v>4153</v>
      </c>
      <c r="B4387" s="5">
        <f t="shared" si="1057"/>
        <v>9</v>
      </c>
      <c r="C4387" s="5">
        <f t="shared" si="1058"/>
        <v>2025</v>
      </c>
      <c r="D4387" s="150" t="s">
        <v>4179</v>
      </c>
      <c r="E4387" s="5" t="str">
        <f>VLOOKUP(F4387,'Set up'!$A$2:$C$70,2,FALSE)</f>
        <v>C00000042</v>
      </c>
      <c r="F4387" s="151" t="s">
        <v>2012</v>
      </c>
      <c r="G4387" s="151" t="s">
        <v>1073</v>
      </c>
      <c r="H4387" s="105">
        <v>2</v>
      </c>
      <c r="I4387" s="5" t="str">
        <f>VLOOKUP(F4387,'Set up'!$A$2:$C$70,3,FALSE)</f>
        <v>Cash</v>
      </c>
      <c r="J4387" s="5">
        <f>VLOOKUP(F4387,'Set up'!$A$2:$D$70,4,FALSE)</f>
        <v>0</v>
      </c>
      <c r="K4387" s="4">
        <f t="shared" si="1053"/>
        <v>45911</v>
      </c>
      <c r="L4387" s="5">
        <f t="shared" si="1054"/>
        <v>9</v>
      </c>
      <c r="M4387" s="5">
        <f t="shared" si="1055"/>
        <v>2025</v>
      </c>
      <c r="N4387" s="135">
        <v>2000</v>
      </c>
      <c r="P4387" s="12"/>
      <c r="Q4387" s="7">
        <f t="shared" si="1056"/>
        <v>7276039.2500000056</v>
      </c>
      <c r="R4387" s="44" t="str">
        <f>VLOOKUP(F4387,'Set up'!$A$2:$E$70,5,FALSE)</f>
        <v>Trsf</v>
      </c>
    </row>
    <row r="4388" spans="1:18" ht="16.2" customHeight="1" x14ac:dyDescent="0.3">
      <c r="A4388" s="150" t="s">
        <v>4154</v>
      </c>
      <c r="B4388" s="5">
        <f t="shared" si="1057"/>
        <v>9</v>
      </c>
      <c r="C4388" s="5">
        <f t="shared" si="1058"/>
        <v>2025</v>
      </c>
      <c r="D4388" s="150" t="s">
        <v>4180</v>
      </c>
      <c r="E4388" s="5" t="str">
        <f>VLOOKUP(F4388,'Set up'!$A$2:$C$70,2,FALSE)</f>
        <v>C00000027</v>
      </c>
      <c r="F4388" s="151" t="s">
        <v>859</v>
      </c>
      <c r="G4388" s="151" t="s">
        <v>3122</v>
      </c>
      <c r="H4388" s="105">
        <v>2</v>
      </c>
      <c r="I4388" s="5" t="str">
        <f>VLOOKUP(F4388,'Set up'!$A$2:$C$70,3,FALSE)</f>
        <v>Cash</v>
      </c>
      <c r="J4388" s="5">
        <f>VLOOKUP(F4388,'Set up'!$A$2:$D$70,4,FALSE)</f>
        <v>0</v>
      </c>
      <c r="K4388" s="4">
        <f t="shared" si="1053"/>
        <v>45912</v>
      </c>
      <c r="L4388" s="5">
        <f t="shared" si="1054"/>
        <v>9</v>
      </c>
      <c r="M4388" s="5">
        <f t="shared" si="1055"/>
        <v>2025</v>
      </c>
      <c r="N4388" s="135">
        <v>3375</v>
      </c>
      <c r="P4388" s="12"/>
      <c r="Q4388" s="7">
        <f t="shared" si="1056"/>
        <v>7279414.2500000056</v>
      </c>
      <c r="R4388" s="44" t="str">
        <f>VLOOKUP(F4388,'Set up'!$A$2:$E$70,5,FALSE)</f>
        <v>Trsf</v>
      </c>
    </row>
    <row r="4389" spans="1:18" ht="16.2" customHeight="1" x14ac:dyDescent="0.3">
      <c r="A4389" s="150" t="s">
        <v>4154</v>
      </c>
      <c r="B4389" s="5">
        <f t="shared" si="1057"/>
        <v>9</v>
      </c>
      <c r="C4389" s="5">
        <f t="shared" si="1058"/>
        <v>2025</v>
      </c>
      <c r="D4389" s="150" t="s">
        <v>4180</v>
      </c>
      <c r="E4389" s="5" t="str">
        <f>VLOOKUP(F4389,'Set up'!$A$2:$C$70,2,FALSE)</f>
        <v>C00000027</v>
      </c>
      <c r="F4389" s="151" t="s">
        <v>859</v>
      </c>
      <c r="G4389" s="151" t="s">
        <v>4200</v>
      </c>
      <c r="H4389" s="105">
        <v>1</v>
      </c>
      <c r="I4389" s="5" t="str">
        <f>VLOOKUP(F4389,'Set up'!$A$2:$C$70,3,FALSE)</f>
        <v>Cash</v>
      </c>
      <c r="J4389" s="5">
        <f>VLOOKUP(F4389,'Set up'!$A$2:$D$70,4,FALSE)</f>
        <v>0</v>
      </c>
      <c r="K4389" s="4">
        <f t="shared" si="1053"/>
        <v>45912</v>
      </c>
      <c r="L4389" s="5">
        <f t="shared" si="1054"/>
        <v>9</v>
      </c>
      <c r="M4389" s="5">
        <f t="shared" si="1055"/>
        <v>2025</v>
      </c>
      <c r="N4389" s="135">
        <v>489.1</v>
      </c>
      <c r="P4389" s="12"/>
      <c r="Q4389" s="7">
        <f t="shared" si="1056"/>
        <v>7279903.3500000052</v>
      </c>
      <c r="R4389" s="44" t="str">
        <f>VLOOKUP(F4389,'Set up'!$A$2:$E$70,5,FALSE)</f>
        <v>Trsf</v>
      </c>
    </row>
    <row r="4390" spans="1:18" ht="16.2" customHeight="1" x14ac:dyDescent="0.3">
      <c r="A4390" s="150" t="s">
        <v>4154</v>
      </c>
      <c r="B4390" s="5">
        <f t="shared" si="1057"/>
        <v>9</v>
      </c>
      <c r="C4390" s="5">
        <f t="shared" si="1058"/>
        <v>2025</v>
      </c>
      <c r="D4390" s="150" t="s">
        <v>4180</v>
      </c>
      <c r="E4390" s="5" t="str">
        <f>VLOOKUP(F4390,'Set up'!$A$2:$C$70,2,FALSE)</f>
        <v>C00000027</v>
      </c>
      <c r="F4390" s="151" t="s">
        <v>859</v>
      </c>
      <c r="G4390" s="151" t="s">
        <v>4144</v>
      </c>
      <c r="H4390" s="105">
        <v>1</v>
      </c>
      <c r="I4390" s="5" t="str">
        <f>VLOOKUP(F4390,'Set up'!$A$2:$C$70,3,FALSE)</f>
        <v>Cash</v>
      </c>
      <c r="J4390" s="5">
        <f>VLOOKUP(F4390,'Set up'!$A$2:$D$70,4,FALSE)</f>
        <v>0</v>
      </c>
      <c r="K4390" s="4">
        <f t="shared" si="1053"/>
        <v>45912</v>
      </c>
      <c r="L4390" s="5">
        <f t="shared" si="1054"/>
        <v>9</v>
      </c>
      <c r="M4390" s="5">
        <f t="shared" si="1055"/>
        <v>2025</v>
      </c>
      <c r="N4390" s="135">
        <v>1108.4000000000001</v>
      </c>
      <c r="P4390" s="12"/>
      <c r="Q4390" s="7">
        <f t="shared" si="1056"/>
        <v>7281011.7500000056</v>
      </c>
      <c r="R4390" s="44" t="str">
        <f>VLOOKUP(F4390,'Set up'!$A$2:$E$70,5,FALSE)</f>
        <v>Trsf</v>
      </c>
    </row>
    <row r="4391" spans="1:18" ht="16.2" customHeight="1" x14ac:dyDescent="0.3">
      <c r="A4391" s="150" t="s">
        <v>4154</v>
      </c>
      <c r="B4391" s="5">
        <f t="shared" si="1057"/>
        <v>9</v>
      </c>
      <c r="C4391" s="5">
        <f t="shared" si="1058"/>
        <v>2025</v>
      </c>
      <c r="D4391" s="150" t="s">
        <v>4180</v>
      </c>
      <c r="E4391" s="5" t="str">
        <f>VLOOKUP(F4391,'Set up'!$A$2:$C$70,2,FALSE)</f>
        <v>C00000027</v>
      </c>
      <c r="F4391" s="151" t="s">
        <v>859</v>
      </c>
      <c r="G4391" s="151" t="s">
        <v>2144</v>
      </c>
      <c r="H4391" s="105">
        <v>2</v>
      </c>
      <c r="I4391" s="5" t="str">
        <f>VLOOKUP(F4391,'Set up'!$A$2:$C$70,3,FALSE)</f>
        <v>Cash</v>
      </c>
      <c r="J4391" s="5">
        <f>VLOOKUP(F4391,'Set up'!$A$2:$D$70,4,FALSE)</f>
        <v>0</v>
      </c>
      <c r="K4391" s="4">
        <f t="shared" si="1053"/>
        <v>45912</v>
      </c>
      <c r="L4391" s="5">
        <f t="shared" si="1054"/>
        <v>9</v>
      </c>
      <c r="M4391" s="5">
        <f t="shared" si="1055"/>
        <v>2025</v>
      </c>
      <c r="N4391" s="135">
        <v>563.20000000000005</v>
      </c>
      <c r="P4391" s="12"/>
      <c r="Q4391" s="7">
        <f t="shared" si="1056"/>
        <v>7281574.9500000058</v>
      </c>
      <c r="R4391" s="44" t="str">
        <f>VLOOKUP(F4391,'Set up'!$A$2:$E$70,5,FALSE)</f>
        <v>Trsf</v>
      </c>
    </row>
    <row r="4392" spans="1:18" ht="16.2" customHeight="1" x14ac:dyDescent="0.3">
      <c r="A4392" s="150" t="s">
        <v>4154</v>
      </c>
      <c r="B4392" s="5">
        <f t="shared" si="1057"/>
        <v>9</v>
      </c>
      <c r="C4392" s="5">
        <f t="shared" si="1058"/>
        <v>2025</v>
      </c>
      <c r="D4392" s="150" t="s">
        <v>4180</v>
      </c>
      <c r="E4392" s="5" t="str">
        <f>VLOOKUP(F4392,'Set up'!$A$2:$C$70,2,FALSE)</f>
        <v>C00000027</v>
      </c>
      <c r="F4392" s="151" t="s">
        <v>859</v>
      </c>
      <c r="G4392" s="151" t="s">
        <v>2449</v>
      </c>
      <c r="H4392" s="105">
        <v>1</v>
      </c>
      <c r="I4392" s="5" t="str">
        <f>VLOOKUP(F4392,'Set up'!$A$2:$C$70,3,FALSE)</f>
        <v>Cash</v>
      </c>
      <c r="J4392" s="5">
        <f>VLOOKUP(F4392,'Set up'!$A$2:$D$70,4,FALSE)</f>
        <v>0</v>
      </c>
      <c r="K4392" s="4">
        <f t="shared" si="1053"/>
        <v>45912</v>
      </c>
      <c r="L4392" s="5">
        <f t="shared" si="1054"/>
        <v>9</v>
      </c>
      <c r="M4392" s="5">
        <f t="shared" si="1055"/>
        <v>2025</v>
      </c>
      <c r="N4392" s="135">
        <v>420</v>
      </c>
      <c r="P4392" s="12"/>
      <c r="Q4392" s="7">
        <f t="shared" si="1056"/>
        <v>7281994.9500000058</v>
      </c>
      <c r="R4392" s="44" t="str">
        <f>VLOOKUP(F4392,'Set up'!$A$2:$E$70,5,FALSE)</f>
        <v>Trsf</v>
      </c>
    </row>
    <row r="4393" spans="1:18" ht="16.2" customHeight="1" x14ac:dyDescent="0.3">
      <c r="A4393" s="150" t="s">
        <v>4154</v>
      </c>
      <c r="B4393" s="5">
        <f t="shared" si="1057"/>
        <v>9</v>
      </c>
      <c r="C4393" s="5">
        <f t="shared" si="1058"/>
        <v>2025</v>
      </c>
      <c r="D4393" s="150" t="s">
        <v>4180</v>
      </c>
      <c r="E4393" s="5" t="str">
        <f>VLOOKUP(F4393,'Set up'!$A$2:$C$70,2,FALSE)</f>
        <v>C00000027</v>
      </c>
      <c r="F4393" s="151" t="s">
        <v>859</v>
      </c>
      <c r="G4393" s="151" t="s">
        <v>2646</v>
      </c>
      <c r="H4393" s="105">
        <v>2</v>
      </c>
      <c r="I4393" s="5" t="str">
        <f>VLOOKUP(F4393,'Set up'!$A$2:$C$70,3,FALSE)</f>
        <v>Cash</v>
      </c>
      <c r="J4393" s="5">
        <f>VLOOKUP(F4393,'Set up'!$A$2:$D$70,4,FALSE)</f>
        <v>0</v>
      </c>
      <c r="K4393" s="4">
        <f t="shared" si="1053"/>
        <v>45912</v>
      </c>
      <c r="L4393" s="5">
        <f t="shared" si="1054"/>
        <v>9</v>
      </c>
      <c r="M4393" s="5">
        <f t="shared" si="1055"/>
        <v>2025</v>
      </c>
      <c r="N4393" s="135">
        <v>125</v>
      </c>
      <c r="P4393" s="12"/>
      <c r="Q4393" s="7">
        <f t="shared" si="1056"/>
        <v>7282119.9500000058</v>
      </c>
      <c r="R4393" s="44" t="str">
        <f>VLOOKUP(F4393,'Set up'!$A$2:$E$70,5,FALSE)</f>
        <v>Trsf</v>
      </c>
    </row>
    <row r="4394" spans="1:18" ht="16.2" customHeight="1" x14ac:dyDescent="0.3">
      <c r="A4394" s="150" t="s">
        <v>4154</v>
      </c>
      <c r="B4394" s="5">
        <f t="shared" si="1057"/>
        <v>9</v>
      </c>
      <c r="C4394" s="5">
        <f t="shared" si="1058"/>
        <v>2025</v>
      </c>
      <c r="D4394" s="150" t="s">
        <v>4180</v>
      </c>
      <c r="E4394" s="5" t="str">
        <f>VLOOKUP(F4394,'Set up'!$A$2:$C$70,2,FALSE)</f>
        <v>C00000027</v>
      </c>
      <c r="F4394" s="151" t="s">
        <v>859</v>
      </c>
      <c r="G4394" s="151" t="s">
        <v>945</v>
      </c>
      <c r="H4394" s="105">
        <v>2</v>
      </c>
      <c r="I4394" s="5" t="str">
        <f>VLOOKUP(F4394,'Set up'!$A$2:$C$70,3,FALSE)</f>
        <v>Cash</v>
      </c>
      <c r="J4394" s="5">
        <f>VLOOKUP(F4394,'Set up'!$A$2:$D$70,4,FALSE)</f>
        <v>0</v>
      </c>
      <c r="K4394" s="4">
        <f t="shared" si="1053"/>
        <v>45912</v>
      </c>
      <c r="L4394" s="5">
        <f t="shared" si="1054"/>
        <v>9</v>
      </c>
      <c r="M4394" s="5">
        <f t="shared" si="1055"/>
        <v>2025</v>
      </c>
      <c r="N4394" s="135">
        <v>240</v>
      </c>
      <c r="P4394" s="12"/>
      <c r="Q4394" s="7">
        <f t="shared" si="1056"/>
        <v>7282359.9500000058</v>
      </c>
      <c r="R4394" s="44" t="str">
        <f>VLOOKUP(F4394,'Set up'!$A$2:$E$70,5,FALSE)</f>
        <v>Trsf</v>
      </c>
    </row>
    <row r="4395" spans="1:18" ht="16.2" customHeight="1" x14ac:dyDescent="0.3">
      <c r="A4395" s="150" t="s">
        <v>4154</v>
      </c>
      <c r="B4395" s="5">
        <f t="shared" si="1057"/>
        <v>9</v>
      </c>
      <c r="C4395" s="5">
        <f t="shared" si="1058"/>
        <v>2025</v>
      </c>
      <c r="D4395" s="150" t="s">
        <v>4181</v>
      </c>
      <c r="E4395" s="5" t="e">
        <f>VLOOKUP(F4395,'Set up'!$A$2:$C$70,2,FALSE)</f>
        <v>#N/A</v>
      </c>
      <c r="F4395" s="151" t="s">
        <v>4130</v>
      </c>
      <c r="G4395" s="151" t="s">
        <v>3122</v>
      </c>
      <c r="H4395" s="105">
        <v>1</v>
      </c>
      <c r="I4395" s="5" t="e">
        <f>VLOOKUP(F4395,'Set up'!$A$2:$C$70,3,FALSE)</f>
        <v>#N/A</v>
      </c>
      <c r="J4395" s="5" t="e">
        <f>VLOOKUP(F4395,'Set up'!$A$2:$D$70,4,FALSE)</f>
        <v>#N/A</v>
      </c>
      <c r="K4395" s="4" t="e">
        <f t="shared" si="1053"/>
        <v>#N/A</v>
      </c>
      <c r="L4395" s="5" t="e">
        <f t="shared" si="1054"/>
        <v>#N/A</v>
      </c>
      <c r="M4395" s="5" t="e">
        <f t="shared" si="1055"/>
        <v>#N/A</v>
      </c>
      <c r="N4395" s="135">
        <v>1687.5</v>
      </c>
      <c r="P4395" s="12"/>
      <c r="Q4395" s="7">
        <f t="shared" si="1056"/>
        <v>7284047.4500000058</v>
      </c>
      <c r="R4395" s="44" t="e">
        <f>VLOOKUP(F4395,'Set up'!$A$2:$E$70,5,FALSE)</f>
        <v>#N/A</v>
      </c>
    </row>
    <row r="4396" spans="1:18" ht="16.2" customHeight="1" x14ac:dyDescent="0.3">
      <c r="A4396" s="150" t="s">
        <v>4154</v>
      </c>
      <c r="B4396" s="5">
        <f t="shared" si="1057"/>
        <v>9</v>
      </c>
      <c r="C4396" s="5">
        <f t="shared" si="1058"/>
        <v>2025</v>
      </c>
      <c r="D4396" s="150" t="s">
        <v>4181</v>
      </c>
      <c r="E4396" s="5" t="e">
        <f>VLOOKUP(F4396,'Set up'!$A$2:$C$70,2,FALSE)</f>
        <v>#N/A</v>
      </c>
      <c r="F4396" s="151" t="s">
        <v>4130</v>
      </c>
      <c r="G4396" s="151" t="s">
        <v>1545</v>
      </c>
      <c r="H4396" s="105">
        <v>1</v>
      </c>
      <c r="I4396" s="5" t="e">
        <f>VLOOKUP(F4396,'Set up'!$A$2:$C$70,3,FALSE)</f>
        <v>#N/A</v>
      </c>
      <c r="J4396" s="5" t="e">
        <f>VLOOKUP(F4396,'Set up'!$A$2:$D$70,4,FALSE)</f>
        <v>#N/A</v>
      </c>
      <c r="K4396" s="4" t="e">
        <f t="shared" si="1053"/>
        <v>#N/A</v>
      </c>
      <c r="L4396" s="5" t="e">
        <f t="shared" si="1054"/>
        <v>#N/A</v>
      </c>
      <c r="M4396" s="5" t="e">
        <f t="shared" si="1055"/>
        <v>#N/A</v>
      </c>
      <c r="N4396" s="135">
        <v>489.1</v>
      </c>
      <c r="P4396" s="12"/>
      <c r="Q4396" s="7">
        <f t="shared" si="1056"/>
        <v>7284536.5500000054</v>
      </c>
      <c r="R4396" s="44" t="e">
        <f>VLOOKUP(F4396,'Set up'!$A$2:$E$70,5,FALSE)</f>
        <v>#N/A</v>
      </c>
    </row>
    <row r="4397" spans="1:18" ht="16.2" customHeight="1" x14ac:dyDescent="0.3">
      <c r="A4397" s="150" t="s">
        <v>4154</v>
      </c>
      <c r="B4397" s="5">
        <f t="shared" si="1057"/>
        <v>9</v>
      </c>
      <c r="C4397" s="5">
        <f t="shared" si="1058"/>
        <v>2025</v>
      </c>
      <c r="D4397" s="150" t="s">
        <v>4181</v>
      </c>
      <c r="E4397" s="5" t="e">
        <f>VLOOKUP(F4397,'Set up'!$A$2:$C$70,2,FALSE)</f>
        <v>#N/A</v>
      </c>
      <c r="F4397" s="151" t="s">
        <v>4130</v>
      </c>
      <c r="G4397" s="151" t="s">
        <v>2556</v>
      </c>
      <c r="H4397" s="105">
        <v>1</v>
      </c>
      <c r="I4397" s="5" t="e">
        <f>VLOOKUP(F4397,'Set up'!$A$2:$C$70,3,FALSE)</f>
        <v>#N/A</v>
      </c>
      <c r="J4397" s="5" t="e">
        <f>VLOOKUP(F4397,'Set up'!$A$2:$D$70,4,FALSE)</f>
        <v>#N/A</v>
      </c>
      <c r="K4397" s="4" t="e">
        <f t="shared" si="1053"/>
        <v>#N/A</v>
      </c>
      <c r="L4397" s="5" t="e">
        <f t="shared" si="1054"/>
        <v>#N/A</v>
      </c>
      <c r="M4397" s="5" t="e">
        <f t="shared" si="1055"/>
        <v>#N/A</v>
      </c>
      <c r="N4397" s="135">
        <v>394.2</v>
      </c>
      <c r="P4397" s="12"/>
      <c r="Q4397" s="7">
        <f t="shared" si="1056"/>
        <v>7284930.7500000056</v>
      </c>
      <c r="R4397" s="44" t="e">
        <f>VLOOKUP(F4397,'Set up'!$A$2:$E$70,5,FALSE)</f>
        <v>#N/A</v>
      </c>
    </row>
    <row r="4398" spans="1:18" ht="16.2" customHeight="1" x14ac:dyDescent="0.3">
      <c r="A4398" s="150" t="s">
        <v>4154</v>
      </c>
      <c r="B4398" s="5">
        <f t="shared" si="1057"/>
        <v>9</v>
      </c>
      <c r="C4398" s="5">
        <f t="shared" si="1058"/>
        <v>2025</v>
      </c>
      <c r="D4398" s="150" t="s">
        <v>4181</v>
      </c>
      <c r="E4398" s="5" t="e">
        <f>VLOOKUP(F4398,'Set up'!$A$2:$C$70,2,FALSE)</f>
        <v>#N/A</v>
      </c>
      <c r="F4398" s="151" t="s">
        <v>4130</v>
      </c>
      <c r="G4398" s="151" t="s">
        <v>4133</v>
      </c>
      <c r="H4398" s="105">
        <v>1</v>
      </c>
      <c r="I4398" s="5" t="e">
        <f>VLOOKUP(F4398,'Set up'!$A$2:$C$70,3,FALSE)</f>
        <v>#N/A</v>
      </c>
      <c r="J4398" s="5" t="e">
        <f>VLOOKUP(F4398,'Set up'!$A$2:$D$70,4,FALSE)</f>
        <v>#N/A</v>
      </c>
      <c r="K4398" s="4" t="e">
        <f t="shared" si="1053"/>
        <v>#N/A</v>
      </c>
      <c r="L4398" s="5" t="e">
        <f t="shared" si="1054"/>
        <v>#N/A</v>
      </c>
      <c r="M4398" s="5" t="e">
        <f t="shared" si="1055"/>
        <v>#N/A</v>
      </c>
      <c r="N4398" s="135">
        <v>155</v>
      </c>
      <c r="P4398" s="12"/>
      <c r="Q4398" s="7">
        <f t="shared" si="1056"/>
        <v>7285085.7500000056</v>
      </c>
      <c r="R4398" s="44" t="e">
        <f>VLOOKUP(F4398,'Set up'!$A$2:$E$70,5,FALSE)</f>
        <v>#N/A</v>
      </c>
    </row>
    <row r="4399" spans="1:18" ht="16.2" customHeight="1" x14ac:dyDescent="0.3">
      <c r="A4399" s="150" t="s">
        <v>4154</v>
      </c>
      <c r="B4399" s="5">
        <f t="shared" si="1057"/>
        <v>9</v>
      </c>
      <c r="C4399" s="5">
        <f t="shared" si="1058"/>
        <v>2025</v>
      </c>
      <c r="D4399" s="150" t="s">
        <v>4181</v>
      </c>
      <c r="E4399" s="5" t="e">
        <f>VLOOKUP(F4399,'Set up'!$A$2:$C$70,2,FALSE)</f>
        <v>#N/A</v>
      </c>
      <c r="F4399" s="151" t="s">
        <v>4130</v>
      </c>
      <c r="G4399" s="151" t="s">
        <v>945</v>
      </c>
      <c r="H4399" s="105">
        <v>1</v>
      </c>
      <c r="I4399" s="5" t="e">
        <f>VLOOKUP(F4399,'Set up'!$A$2:$C$70,3,FALSE)</f>
        <v>#N/A</v>
      </c>
      <c r="J4399" s="5" t="e">
        <f>VLOOKUP(F4399,'Set up'!$A$2:$D$70,4,FALSE)</f>
        <v>#N/A</v>
      </c>
      <c r="K4399" s="4" t="e">
        <f t="shared" si="1053"/>
        <v>#N/A</v>
      </c>
      <c r="L4399" s="5" t="e">
        <f t="shared" si="1054"/>
        <v>#N/A</v>
      </c>
      <c r="M4399" s="5" t="e">
        <f t="shared" si="1055"/>
        <v>#N/A</v>
      </c>
      <c r="N4399" s="135">
        <v>120</v>
      </c>
      <c r="P4399" s="12"/>
      <c r="Q4399" s="7">
        <f t="shared" si="1056"/>
        <v>7285205.7500000056</v>
      </c>
      <c r="R4399" s="44" t="e">
        <f>VLOOKUP(F4399,'Set up'!$A$2:$E$70,5,FALSE)</f>
        <v>#N/A</v>
      </c>
    </row>
    <row r="4400" spans="1:18" ht="16.2" customHeight="1" x14ac:dyDescent="0.3">
      <c r="A4400" s="150" t="s">
        <v>4154</v>
      </c>
      <c r="B4400" s="5">
        <f t="shared" si="1057"/>
        <v>9</v>
      </c>
      <c r="C4400" s="5">
        <f t="shared" si="1058"/>
        <v>2025</v>
      </c>
      <c r="D4400" s="150" t="s">
        <v>4181</v>
      </c>
      <c r="E4400" s="5" t="e">
        <f>VLOOKUP(F4400,'Set up'!$A$2:$C$70,2,FALSE)</f>
        <v>#N/A</v>
      </c>
      <c r="F4400" s="151" t="s">
        <v>4130</v>
      </c>
      <c r="G4400" s="151" t="s">
        <v>2646</v>
      </c>
      <c r="H4400" s="105">
        <v>3</v>
      </c>
      <c r="I4400" s="5" t="e">
        <f>VLOOKUP(F4400,'Set up'!$A$2:$C$70,3,FALSE)</f>
        <v>#N/A</v>
      </c>
      <c r="J4400" s="5" t="e">
        <f>VLOOKUP(F4400,'Set up'!$A$2:$D$70,4,FALSE)</f>
        <v>#N/A</v>
      </c>
      <c r="K4400" s="4" t="e">
        <f t="shared" si="1053"/>
        <v>#N/A</v>
      </c>
      <c r="L4400" s="5" t="e">
        <f t="shared" si="1054"/>
        <v>#N/A</v>
      </c>
      <c r="M4400" s="5" t="e">
        <f t="shared" si="1055"/>
        <v>#N/A</v>
      </c>
      <c r="N4400" s="135">
        <v>187.5</v>
      </c>
      <c r="P4400" s="12"/>
      <c r="Q4400" s="7">
        <f t="shared" si="1056"/>
        <v>7285393.2500000056</v>
      </c>
      <c r="R4400" s="44" t="e">
        <f>VLOOKUP(F4400,'Set up'!$A$2:$E$70,5,FALSE)</f>
        <v>#N/A</v>
      </c>
    </row>
    <row r="4401" spans="1:18" ht="16.2" customHeight="1" x14ac:dyDescent="0.3">
      <c r="A4401" s="150" t="s">
        <v>4154</v>
      </c>
      <c r="B4401" s="5">
        <f t="shared" si="1057"/>
        <v>9</v>
      </c>
      <c r="C4401" s="5">
        <f t="shared" si="1058"/>
        <v>2025</v>
      </c>
      <c r="D4401" s="150" t="s">
        <v>4181</v>
      </c>
      <c r="E4401" s="5" t="e">
        <f>VLOOKUP(F4401,'Set up'!$A$2:$C$70,2,FALSE)</f>
        <v>#N/A</v>
      </c>
      <c r="F4401" s="151" t="s">
        <v>4130</v>
      </c>
      <c r="G4401" s="151" t="s">
        <v>2144</v>
      </c>
      <c r="H4401" s="105">
        <v>1</v>
      </c>
      <c r="I4401" s="5" t="e">
        <f>VLOOKUP(F4401,'Set up'!$A$2:$C$70,3,FALSE)</f>
        <v>#N/A</v>
      </c>
      <c r="J4401" s="5" t="e">
        <f>VLOOKUP(F4401,'Set up'!$A$2:$D$70,4,FALSE)</f>
        <v>#N/A</v>
      </c>
      <c r="K4401" s="4" t="e">
        <f t="shared" si="1053"/>
        <v>#N/A</v>
      </c>
      <c r="L4401" s="5" t="e">
        <f t="shared" si="1054"/>
        <v>#N/A</v>
      </c>
      <c r="M4401" s="5" t="e">
        <f t="shared" si="1055"/>
        <v>#N/A</v>
      </c>
      <c r="N4401" s="135">
        <v>286</v>
      </c>
      <c r="P4401" s="12"/>
      <c r="Q4401" s="7">
        <f t="shared" si="1056"/>
        <v>7285679.2500000056</v>
      </c>
      <c r="R4401" s="44" t="e">
        <f>VLOOKUP(F4401,'Set up'!$A$2:$E$70,5,FALSE)</f>
        <v>#N/A</v>
      </c>
    </row>
    <row r="4402" spans="1:18" ht="16.2" customHeight="1" x14ac:dyDescent="0.3">
      <c r="A4402" s="150" t="s">
        <v>4155</v>
      </c>
      <c r="B4402" s="5">
        <f t="shared" si="1057"/>
        <v>9</v>
      </c>
      <c r="C4402" s="5">
        <f t="shared" si="1058"/>
        <v>2025</v>
      </c>
      <c r="D4402" s="150" t="s">
        <v>4182</v>
      </c>
      <c r="E4402" s="5" t="str">
        <f>VLOOKUP(F4402,'Set up'!$A$2:$C$70,2,FALSE)</f>
        <v>C00000045</v>
      </c>
      <c r="F4402" s="151" t="s">
        <v>2271</v>
      </c>
      <c r="G4402" s="151" t="s">
        <v>152</v>
      </c>
      <c r="H4402" s="105">
        <v>2</v>
      </c>
      <c r="I4402" s="5" t="str">
        <f>VLOOKUP(F4402,'Set up'!$A$2:$C$70,3,FALSE)</f>
        <v>Cash</v>
      </c>
      <c r="J4402" s="5">
        <f>VLOOKUP(F4402,'Set up'!$A$2:$D$70,4,FALSE)</f>
        <v>0</v>
      </c>
      <c r="K4402" s="4">
        <f t="shared" si="1053"/>
        <v>45913</v>
      </c>
      <c r="L4402" s="5">
        <f t="shared" si="1054"/>
        <v>9</v>
      </c>
      <c r="M4402" s="5">
        <f t="shared" si="1055"/>
        <v>2025</v>
      </c>
      <c r="N4402" s="135">
        <v>270</v>
      </c>
      <c r="P4402" s="12"/>
      <c r="Q4402" s="7">
        <f t="shared" si="1056"/>
        <v>7285949.2500000056</v>
      </c>
      <c r="R4402" s="44" t="str">
        <f>VLOOKUP(F4402,'Set up'!$A$2:$E$70,5,FALSE)</f>
        <v>Trsf</v>
      </c>
    </row>
    <row r="4403" spans="1:18" ht="16.2" customHeight="1" x14ac:dyDescent="0.3">
      <c r="A4403" s="150" t="s">
        <v>4156</v>
      </c>
      <c r="B4403" s="5">
        <f t="shared" si="1057"/>
        <v>9</v>
      </c>
      <c r="C4403" s="5">
        <f t="shared" si="1058"/>
        <v>2025</v>
      </c>
      <c r="D4403" s="150" t="s">
        <v>4183</v>
      </c>
      <c r="E4403" s="5" t="str">
        <f>VLOOKUP(F4403,'Set up'!$A$2:$C$70,2,FALSE)</f>
        <v>C00000019</v>
      </c>
      <c r="F4403" s="151" t="s">
        <v>400</v>
      </c>
      <c r="G4403" s="151" t="s">
        <v>3122</v>
      </c>
      <c r="H4403" s="105">
        <v>1</v>
      </c>
      <c r="I4403" s="5" t="str">
        <f>VLOOKUP(F4403,'Set up'!$A$2:$C$70,3,FALSE)</f>
        <v>Cash</v>
      </c>
      <c r="J4403" s="5">
        <f>VLOOKUP(F4403,'Set up'!$A$2:$D$70,4,FALSE)</f>
        <v>0</v>
      </c>
      <c r="K4403" s="4">
        <f t="shared" si="1053"/>
        <v>45917</v>
      </c>
      <c r="L4403" s="5">
        <f t="shared" si="1054"/>
        <v>9</v>
      </c>
      <c r="M4403" s="5">
        <f t="shared" si="1055"/>
        <v>2025</v>
      </c>
      <c r="N4403" s="135">
        <v>1687.5</v>
      </c>
      <c r="P4403" s="12"/>
      <c r="Q4403" s="7">
        <f t="shared" si="1056"/>
        <v>7287636.7500000056</v>
      </c>
      <c r="R4403" s="44" t="str">
        <f>VLOOKUP(F4403,'Set up'!$A$2:$E$70,5,FALSE)</f>
        <v>Trsf</v>
      </c>
    </row>
    <row r="4404" spans="1:18" ht="16.2" customHeight="1" x14ac:dyDescent="0.3">
      <c r="A4404" s="150" t="s">
        <v>4156</v>
      </c>
      <c r="B4404" s="5">
        <f t="shared" si="1057"/>
        <v>9</v>
      </c>
      <c r="C4404" s="5">
        <f t="shared" si="1058"/>
        <v>2025</v>
      </c>
      <c r="D4404" s="150" t="s">
        <v>4183</v>
      </c>
      <c r="E4404" s="5" t="str">
        <f>VLOOKUP(F4404,'Set up'!$A$2:$C$70,2,FALSE)</f>
        <v>C00000019</v>
      </c>
      <c r="F4404" s="151" t="s">
        <v>400</v>
      </c>
      <c r="G4404" s="151" t="s">
        <v>3639</v>
      </c>
      <c r="H4404" s="105">
        <v>1</v>
      </c>
      <c r="I4404" s="5" t="str">
        <f>VLOOKUP(F4404,'Set up'!$A$2:$C$70,3,FALSE)</f>
        <v>Cash</v>
      </c>
      <c r="J4404" s="5">
        <f>VLOOKUP(F4404,'Set up'!$A$2:$D$70,4,FALSE)</f>
        <v>0</v>
      </c>
      <c r="K4404" s="4">
        <f t="shared" si="1053"/>
        <v>45917</v>
      </c>
      <c r="L4404" s="5">
        <f t="shared" si="1054"/>
        <v>9</v>
      </c>
      <c r="M4404" s="5">
        <f t="shared" si="1055"/>
        <v>2025</v>
      </c>
      <c r="N4404" s="135">
        <v>502.5</v>
      </c>
      <c r="P4404" s="12"/>
      <c r="Q4404" s="7">
        <f t="shared" si="1056"/>
        <v>7288139.2500000056</v>
      </c>
      <c r="R4404" s="44" t="str">
        <f>VLOOKUP(F4404,'Set up'!$A$2:$E$70,5,FALSE)</f>
        <v>Trsf</v>
      </c>
    </row>
    <row r="4405" spans="1:18" ht="16.2" customHeight="1" x14ac:dyDescent="0.3">
      <c r="A4405" s="150" t="s">
        <v>4156</v>
      </c>
      <c r="B4405" s="5">
        <f t="shared" si="1057"/>
        <v>9</v>
      </c>
      <c r="C4405" s="5">
        <f t="shared" si="1058"/>
        <v>2025</v>
      </c>
      <c r="D4405" s="150" t="s">
        <v>4183</v>
      </c>
      <c r="E4405" s="5" t="str">
        <f>VLOOKUP(F4405,'Set up'!$A$2:$C$70,2,FALSE)</f>
        <v>C00000019</v>
      </c>
      <c r="F4405" s="151" t="s">
        <v>400</v>
      </c>
      <c r="G4405" s="151" t="s">
        <v>945</v>
      </c>
      <c r="H4405" s="105">
        <v>1</v>
      </c>
      <c r="I4405" s="5" t="str">
        <f>VLOOKUP(F4405,'Set up'!$A$2:$C$70,3,FALSE)</f>
        <v>Cash</v>
      </c>
      <c r="J4405" s="5">
        <f>VLOOKUP(F4405,'Set up'!$A$2:$D$70,4,FALSE)</f>
        <v>0</v>
      </c>
      <c r="K4405" s="4">
        <f t="shared" si="1053"/>
        <v>45917</v>
      </c>
      <c r="L4405" s="5">
        <f t="shared" si="1054"/>
        <v>9</v>
      </c>
      <c r="M4405" s="5">
        <f t="shared" si="1055"/>
        <v>2025</v>
      </c>
      <c r="N4405" s="135">
        <v>115</v>
      </c>
      <c r="P4405" s="12"/>
      <c r="Q4405" s="7">
        <f t="shared" si="1056"/>
        <v>7288254.2500000056</v>
      </c>
      <c r="R4405" s="44" t="str">
        <f>VLOOKUP(F4405,'Set up'!$A$2:$E$70,5,FALSE)</f>
        <v>Trsf</v>
      </c>
    </row>
    <row r="4406" spans="1:18" ht="16.2" customHeight="1" x14ac:dyDescent="0.3">
      <c r="A4406" s="150" t="s">
        <v>4156</v>
      </c>
      <c r="B4406" s="5">
        <f t="shared" si="1057"/>
        <v>9</v>
      </c>
      <c r="C4406" s="5">
        <f t="shared" si="1058"/>
        <v>2025</v>
      </c>
      <c r="D4406" s="150" t="s">
        <v>4183</v>
      </c>
      <c r="E4406" s="5" t="str">
        <f>VLOOKUP(F4406,'Set up'!$A$2:$C$70,2,FALSE)</f>
        <v>C00000019</v>
      </c>
      <c r="F4406" s="151" t="s">
        <v>400</v>
      </c>
      <c r="G4406" s="151" t="s">
        <v>152</v>
      </c>
      <c r="H4406" s="105">
        <v>1</v>
      </c>
      <c r="I4406" s="5" t="str">
        <f>VLOOKUP(F4406,'Set up'!$A$2:$C$70,3,FALSE)</f>
        <v>Cash</v>
      </c>
      <c r="J4406" s="5">
        <f>VLOOKUP(F4406,'Set up'!$A$2:$D$70,4,FALSE)</f>
        <v>0</v>
      </c>
      <c r="K4406" s="4">
        <f t="shared" si="1053"/>
        <v>45917</v>
      </c>
      <c r="L4406" s="5">
        <f t="shared" si="1054"/>
        <v>9</v>
      </c>
      <c r="M4406" s="5">
        <f t="shared" si="1055"/>
        <v>2025</v>
      </c>
      <c r="N4406" s="135">
        <v>160</v>
      </c>
      <c r="P4406" s="12"/>
      <c r="Q4406" s="7">
        <f t="shared" si="1056"/>
        <v>7288414.2500000056</v>
      </c>
      <c r="R4406" s="44" t="str">
        <f>VLOOKUP(F4406,'Set up'!$A$2:$E$70,5,FALSE)</f>
        <v>Trsf</v>
      </c>
    </row>
    <row r="4407" spans="1:18" ht="16.2" customHeight="1" x14ac:dyDescent="0.3">
      <c r="A4407" s="150" t="s">
        <v>4156</v>
      </c>
      <c r="B4407" s="5">
        <f t="shared" si="1057"/>
        <v>9</v>
      </c>
      <c r="C4407" s="5">
        <f t="shared" si="1058"/>
        <v>2025</v>
      </c>
      <c r="D4407" s="150" t="s">
        <v>4183</v>
      </c>
      <c r="E4407" s="5" t="str">
        <f>VLOOKUP(F4407,'Set up'!$A$2:$C$70,2,FALSE)</f>
        <v>C00000019</v>
      </c>
      <c r="F4407" s="151" t="s">
        <v>400</v>
      </c>
      <c r="G4407" s="151" t="s">
        <v>1469</v>
      </c>
      <c r="H4407" s="105">
        <v>1</v>
      </c>
      <c r="I4407" s="5" t="str">
        <f>VLOOKUP(F4407,'Set up'!$A$2:$C$70,3,FALSE)</f>
        <v>Cash</v>
      </c>
      <c r="J4407" s="5">
        <f>VLOOKUP(F4407,'Set up'!$A$2:$D$70,4,FALSE)</f>
        <v>0</v>
      </c>
      <c r="K4407" s="4">
        <f t="shared" si="1053"/>
        <v>45917</v>
      </c>
      <c r="L4407" s="5">
        <f t="shared" si="1054"/>
        <v>9</v>
      </c>
      <c r="M4407" s="5">
        <f t="shared" si="1055"/>
        <v>2025</v>
      </c>
      <c r="N4407" s="135">
        <v>390</v>
      </c>
      <c r="P4407" s="12"/>
      <c r="Q4407" s="7">
        <f t="shared" si="1056"/>
        <v>7288804.2500000056</v>
      </c>
      <c r="R4407" s="44" t="str">
        <f>VLOOKUP(F4407,'Set up'!$A$2:$E$70,5,FALSE)</f>
        <v>Trsf</v>
      </c>
    </row>
    <row r="4408" spans="1:18" ht="16.2" customHeight="1" x14ac:dyDescent="0.3">
      <c r="A4408" s="150" t="s">
        <v>4157</v>
      </c>
      <c r="B4408" s="5">
        <f t="shared" si="1057"/>
        <v>9</v>
      </c>
      <c r="C4408" s="5">
        <f t="shared" si="1058"/>
        <v>2025</v>
      </c>
      <c r="D4408" s="150" t="s">
        <v>4184</v>
      </c>
      <c r="E4408" s="5" t="str">
        <f>VLOOKUP(F4408,'Set up'!$A$2:$C$70,2,FALSE)</f>
        <v>C00000042</v>
      </c>
      <c r="F4408" s="151" t="s">
        <v>2012</v>
      </c>
      <c r="G4408" s="151" t="s">
        <v>2646</v>
      </c>
      <c r="H4408" s="105">
        <v>4</v>
      </c>
      <c r="I4408" s="5" t="str">
        <f>VLOOKUP(F4408,'Set up'!$A$2:$C$70,3,FALSE)</f>
        <v>Cash</v>
      </c>
      <c r="J4408" s="5">
        <f>VLOOKUP(F4408,'Set up'!$A$2:$D$70,4,FALSE)</f>
        <v>0</v>
      </c>
      <c r="K4408" s="4">
        <f t="shared" si="1053"/>
        <v>45918</v>
      </c>
      <c r="L4408" s="5">
        <f t="shared" si="1054"/>
        <v>9</v>
      </c>
      <c r="M4408" s="5">
        <f t="shared" si="1055"/>
        <v>2025</v>
      </c>
      <c r="N4408" s="135">
        <v>250</v>
      </c>
      <c r="P4408" s="12"/>
      <c r="Q4408" s="7">
        <f t="shared" si="1056"/>
        <v>7289054.2500000056</v>
      </c>
      <c r="R4408" s="44" t="str">
        <f>VLOOKUP(F4408,'Set up'!$A$2:$E$70,5,FALSE)</f>
        <v>Trsf</v>
      </c>
    </row>
    <row r="4409" spans="1:18" ht="16.2" customHeight="1" x14ac:dyDescent="0.3">
      <c r="A4409" s="150" t="s">
        <v>4157</v>
      </c>
      <c r="B4409" s="5">
        <f t="shared" si="1057"/>
        <v>9</v>
      </c>
      <c r="C4409" s="5">
        <f t="shared" si="1058"/>
        <v>2025</v>
      </c>
      <c r="D4409" s="150" t="s">
        <v>4185</v>
      </c>
      <c r="E4409" s="5" t="str">
        <f>VLOOKUP(F4409,'Set up'!$A$2:$C$70,2,FALSE)</f>
        <v>C00000042</v>
      </c>
      <c r="F4409" s="151" t="s">
        <v>2012</v>
      </c>
      <c r="G4409" s="151" t="s">
        <v>3645</v>
      </c>
      <c r="H4409" s="105">
        <v>8</v>
      </c>
      <c r="I4409" s="5" t="str">
        <f>VLOOKUP(F4409,'Set up'!$A$2:$C$70,3,FALSE)</f>
        <v>Cash</v>
      </c>
      <c r="J4409" s="5">
        <f>VLOOKUP(F4409,'Set up'!$A$2:$D$70,4,FALSE)</f>
        <v>0</v>
      </c>
      <c r="K4409" s="4">
        <f t="shared" si="1053"/>
        <v>45918</v>
      </c>
      <c r="L4409" s="5">
        <f t="shared" si="1054"/>
        <v>9</v>
      </c>
      <c r="M4409" s="5">
        <f t="shared" si="1055"/>
        <v>2025</v>
      </c>
      <c r="N4409" s="135">
        <v>12600</v>
      </c>
      <c r="P4409" s="12"/>
      <c r="Q4409" s="7">
        <f t="shared" si="1056"/>
        <v>7301654.2500000056</v>
      </c>
      <c r="R4409" s="44" t="str">
        <f>VLOOKUP(F4409,'Set up'!$A$2:$E$70,5,FALSE)</f>
        <v>Trsf</v>
      </c>
    </row>
    <row r="4410" spans="1:18" ht="16.2" customHeight="1" x14ac:dyDescent="0.3">
      <c r="A4410" s="150" t="s">
        <v>4157</v>
      </c>
      <c r="B4410" s="5">
        <f t="shared" si="1057"/>
        <v>9</v>
      </c>
      <c r="C4410" s="5">
        <f t="shared" si="1058"/>
        <v>2025</v>
      </c>
      <c r="D4410" s="150" t="s">
        <v>4185</v>
      </c>
      <c r="E4410" s="5" t="str">
        <f>VLOOKUP(F4410,'Set up'!$A$2:$C$70,2,FALSE)</f>
        <v>C00000042</v>
      </c>
      <c r="F4410" s="151" t="s">
        <v>2012</v>
      </c>
      <c r="G4410" s="151" t="s">
        <v>2129</v>
      </c>
      <c r="H4410" s="105">
        <v>20</v>
      </c>
      <c r="I4410" s="5" t="str">
        <f>VLOOKUP(F4410,'Set up'!$A$2:$C$70,3,FALSE)</f>
        <v>Cash</v>
      </c>
      <c r="J4410" s="5">
        <f>VLOOKUP(F4410,'Set up'!$A$2:$D$70,4,FALSE)</f>
        <v>0</v>
      </c>
      <c r="K4410" s="4">
        <f t="shared" si="1053"/>
        <v>45918</v>
      </c>
      <c r="L4410" s="5">
        <f t="shared" si="1054"/>
        <v>9</v>
      </c>
      <c r="M4410" s="5">
        <f t="shared" si="1055"/>
        <v>2025</v>
      </c>
      <c r="N4410" s="135">
        <v>4366</v>
      </c>
      <c r="P4410" s="12"/>
      <c r="Q4410" s="7">
        <f t="shared" si="1056"/>
        <v>7306020.2500000056</v>
      </c>
      <c r="R4410" s="44" t="str">
        <f>VLOOKUP(F4410,'Set up'!$A$2:$E$70,5,FALSE)</f>
        <v>Trsf</v>
      </c>
    </row>
    <row r="4411" spans="1:18" ht="16.2" customHeight="1" x14ac:dyDescent="0.3">
      <c r="A4411" s="150" t="s">
        <v>4157</v>
      </c>
      <c r="B4411" s="5">
        <f t="shared" si="1057"/>
        <v>9</v>
      </c>
      <c r="C4411" s="5">
        <f t="shared" si="1058"/>
        <v>2025</v>
      </c>
      <c r="D4411" s="150" t="s">
        <v>4185</v>
      </c>
      <c r="E4411" s="5" t="str">
        <f>VLOOKUP(F4411,'Set up'!$A$2:$C$70,2,FALSE)</f>
        <v>C00000042</v>
      </c>
      <c r="F4411" s="151" t="s">
        <v>2012</v>
      </c>
      <c r="G4411" s="151" t="s">
        <v>1922</v>
      </c>
      <c r="H4411" s="105">
        <v>12</v>
      </c>
      <c r="I4411" s="5" t="str">
        <f>VLOOKUP(F4411,'Set up'!$A$2:$C$70,3,FALSE)</f>
        <v>Cash</v>
      </c>
      <c r="J4411" s="5">
        <f>VLOOKUP(F4411,'Set up'!$A$2:$D$70,4,FALSE)</f>
        <v>0</v>
      </c>
      <c r="K4411" s="4">
        <f t="shared" si="1053"/>
        <v>45918</v>
      </c>
      <c r="L4411" s="5">
        <f t="shared" si="1054"/>
        <v>9</v>
      </c>
      <c r="M4411" s="5">
        <f t="shared" si="1055"/>
        <v>2025</v>
      </c>
      <c r="N4411" s="135">
        <v>2754</v>
      </c>
      <c r="P4411" s="12"/>
      <c r="Q4411" s="7">
        <f t="shared" si="1056"/>
        <v>7308774.2500000056</v>
      </c>
      <c r="R4411" s="44" t="str">
        <f>VLOOKUP(F4411,'Set up'!$A$2:$E$70,5,FALSE)</f>
        <v>Trsf</v>
      </c>
    </row>
    <row r="4412" spans="1:18" ht="16.2" customHeight="1" x14ac:dyDescent="0.3">
      <c r="A4412" s="150" t="s">
        <v>4157</v>
      </c>
      <c r="B4412" s="5">
        <f t="shared" si="1057"/>
        <v>9</v>
      </c>
      <c r="C4412" s="5">
        <f t="shared" si="1058"/>
        <v>2025</v>
      </c>
      <c r="D4412" s="150" t="s">
        <v>4185</v>
      </c>
      <c r="E4412" s="5" t="str">
        <f>VLOOKUP(F4412,'Set up'!$A$2:$C$70,2,FALSE)</f>
        <v>C00000042</v>
      </c>
      <c r="F4412" s="151" t="s">
        <v>2012</v>
      </c>
      <c r="G4412" s="151" t="s">
        <v>46</v>
      </c>
      <c r="H4412" s="105">
        <v>8</v>
      </c>
      <c r="I4412" s="5" t="str">
        <f>VLOOKUP(F4412,'Set up'!$A$2:$C$70,3,FALSE)</f>
        <v>Cash</v>
      </c>
      <c r="J4412" s="5">
        <f>VLOOKUP(F4412,'Set up'!$A$2:$D$70,4,FALSE)</f>
        <v>0</v>
      </c>
      <c r="K4412" s="4">
        <f t="shared" si="1053"/>
        <v>45918</v>
      </c>
      <c r="L4412" s="5">
        <f t="shared" si="1054"/>
        <v>9</v>
      </c>
      <c r="M4412" s="5">
        <f t="shared" si="1055"/>
        <v>2025</v>
      </c>
      <c r="N4412" s="135">
        <v>920</v>
      </c>
      <c r="P4412" s="12"/>
      <c r="Q4412" s="7">
        <f t="shared" si="1056"/>
        <v>7309694.2500000056</v>
      </c>
      <c r="R4412" s="44" t="str">
        <f>VLOOKUP(F4412,'Set up'!$A$2:$E$70,5,FALSE)</f>
        <v>Trsf</v>
      </c>
    </row>
    <row r="4413" spans="1:18" ht="16.2" customHeight="1" x14ac:dyDescent="0.3">
      <c r="A4413" s="150" t="s">
        <v>4157</v>
      </c>
      <c r="B4413" s="5">
        <f t="shared" si="1057"/>
        <v>9</v>
      </c>
      <c r="C4413" s="5">
        <f t="shared" si="1058"/>
        <v>2025</v>
      </c>
      <c r="D4413" s="150" t="s">
        <v>4185</v>
      </c>
      <c r="E4413" s="5" t="str">
        <f>VLOOKUP(F4413,'Set up'!$A$2:$C$70,2,FALSE)</f>
        <v>C00000042</v>
      </c>
      <c r="F4413" s="151" t="s">
        <v>2012</v>
      </c>
      <c r="G4413" s="151" t="s">
        <v>1073</v>
      </c>
      <c r="H4413" s="105">
        <v>1</v>
      </c>
      <c r="I4413" s="5" t="str">
        <f>VLOOKUP(F4413,'Set up'!$A$2:$C$70,3,FALSE)</f>
        <v>Cash</v>
      </c>
      <c r="J4413" s="5">
        <f>VLOOKUP(F4413,'Set up'!$A$2:$D$70,4,FALSE)</f>
        <v>0</v>
      </c>
      <c r="K4413" s="4">
        <f t="shared" si="1053"/>
        <v>45918</v>
      </c>
      <c r="L4413" s="5">
        <f t="shared" si="1054"/>
        <v>9</v>
      </c>
      <c r="M4413" s="5">
        <f t="shared" si="1055"/>
        <v>2025</v>
      </c>
      <c r="N4413" s="135">
        <v>1000</v>
      </c>
      <c r="P4413" s="12"/>
      <c r="Q4413" s="7">
        <f t="shared" si="1056"/>
        <v>7310694.2500000056</v>
      </c>
      <c r="R4413" s="44" t="str">
        <f>VLOOKUP(F4413,'Set up'!$A$2:$E$70,5,FALSE)</f>
        <v>Trsf</v>
      </c>
    </row>
    <row r="4414" spans="1:18" ht="16.2" customHeight="1" x14ac:dyDescent="0.3">
      <c r="A4414" s="150" t="s">
        <v>4158</v>
      </c>
      <c r="B4414" s="5">
        <f t="shared" si="1057"/>
        <v>9</v>
      </c>
      <c r="C4414" s="5">
        <f t="shared" si="1058"/>
        <v>2025</v>
      </c>
      <c r="D4414" s="150" t="s">
        <v>4186</v>
      </c>
      <c r="E4414" s="5" t="str">
        <f>VLOOKUP(F4414,'Set up'!$A$2:$C$70,2,FALSE)</f>
        <v>C00000061</v>
      </c>
      <c r="F4414" s="151" t="s">
        <v>3532</v>
      </c>
      <c r="G4414" s="151" t="s">
        <v>3122</v>
      </c>
      <c r="H4414" s="105">
        <v>2</v>
      </c>
      <c r="I4414" s="5" t="str">
        <f>VLOOKUP(F4414,'Set up'!$A$2:$C$70,3,FALSE)</f>
        <v>Cash</v>
      </c>
      <c r="J4414" s="5">
        <f>VLOOKUP(F4414,'Set up'!$A$2:$D$70,4,FALSE)</f>
        <v>0</v>
      </c>
      <c r="K4414" s="4">
        <f t="shared" si="1053"/>
        <v>45919</v>
      </c>
      <c r="L4414" s="5">
        <f t="shared" si="1054"/>
        <v>9</v>
      </c>
      <c r="M4414" s="5">
        <f t="shared" si="1055"/>
        <v>2025</v>
      </c>
      <c r="N4414" s="135">
        <v>3195</v>
      </c>
      <c r="P4414" s="12"/>
      <c r="Q4414" s="7">
        <f t="shared" si="1056"/>
        <v>7313889.2500000056</v>
      </c>
      <c r="R4414" s="44" t="str">
        <f>VLOOKUP(F4414,'Set up'!$A$2:$E$70,5,FALSE)</f>
        <v>Cash</v>
      </c>
    </row>
    <row r="4415" spans="1:18" ht="16.2" customHeight="1" x14ac:dyDescent="0.3">
      <c r="A4415" s="150" t="s">
        <v>4158</v>
      </c>
      <c r="B4415" s="5">
        <f t="shared" si="1057"/>
        <v>9</v>
      </c>
      <c r="C4415" s="5">
        <f t="shared" si="1058"/>
        <v>2025</v>
      </c>
      <c r="D4415" s="150" t="s">
        <v>4186</v>
      </c>
      <c r="E4415" s="5" t="str">
        <f>VLOOKUP(F4415,'Set up'!$A$2:$C$70,2,FALSE)</f>
        <v>C00000061</v>
      </c>
      <c r="F4415" s="151" t="s">
        <v>3532</v>
      </c>
      <c r="G4415" s="151" t="s">
        <v>945</v>
      </c>
      <c r="H4415" s="105">
        <v>1</v>
      </c>
      <c r="I4415" s="5" t="str">
        <f>VLOOKUP(F4415,'Set up'!$A$2:$C$70,3,FALSE)</f>
        <v>Cash</v>
      </c>
      <c r="J4415" s="5">
        <f>VLOOKUP(F4415,'Set up'!$A$2:$D$70,4,FALSE)</f>
        <v>0</v>
      </c>
      <c r="K4415" s="4">
        <f t="shared" si="1053"/>
        <v>45919</v>
      </c>
      <c r="L4415" s="5">
        <f t="shared" si="1054"/>
        <v>9</v>
      </c>
      <c r="M4415" s="5">
        <f t="shared" si="1055"/>
        <v>2025</v>
      </c>
      <c r="N4415" s="135">
        <v>115</v>
      </c>
      <c r="P4415" s="12"/>
      <c r="Q4415" s="7">
        <f t="shared" si="1056"/>
        <v>7314004.2500000056</v>
      </c>
      <c r="R4415" s="44" t="str">
        <f>VLOOKUP(F4415,'Set up'!$A$2:$E$70,5,FALSE)</f>
        <v>Cash</v>
      </c>
    </row>
    <row r="4416" spans="1:18" ht="16.2" customHeight="1" x14ac:dyDescent="0.3">
      <c r="A4416" s="150" t="s">
        <v>4158</v>
      </c>
      <c r="B4416" s="5">
        <f t="shared" si="1057"/>
        <v>9</v>
      </c>
      <c r="C4416" s="5">
        <f t="shared" si="1058"/>
        <v>2025</v>
      </c>
      <c r="D4416" s="150" t="s">
        <v>4186</v>
      </c>
      <c r="E4416" s="5" t="str">
        <f>VLOOKUP(F4416,'Set up'!$A$2:$C$70,2,FALSE)</f>
        <v>C00000061</v>
      </c>
      <c r="F4416" s="151" t="s">
        <v>3532</v>
      </c>
      <c r="G4416" s="151" t="s">
        <v>2635</v>
      </c>
      <c r="H4416" s="105">
        <v>10</v>
      </c>
      <c r="I4416" s="5" t="str">
        <f>VLOOKUP(F4416,'Set up'!$A$2:$C$70,3,FALSE)</f>
        <v>Cash</v>
      </c>
      <c r="J4416" s="5">
        <f>VLOOKUP(F4416,'Set up'!$A$2:$D$70,4,FALSE)</f>
        <v>0</v>
      </c>
      <c r="K4416" s="4">
        <f t="shared" si="1053"/>
        <v>45919</v>
      </c>
      <c r="L4416" s="5">
        <f t="shared" si="1054"/>
        <v>9</v>
      </c>
      <c r="M4416" s="5">
        <f t="shared" si="1055"/>
        <v>2025</v>
      </c>
      <c r="N4416" s="135">
        <v>525</v>
      </c>
      <c r="P4416" s="12"/>
      <c r="Q4416" s="7">
        <f t="shared" si="1056"/>
        <v>7314529.2500000056</v>
      </c>
      <c r="R4416" s="44" t="str">
        <f>VLOOKUP(F4416,'Set up'!$A$2:$E$70,5,FALSE)</f>
        <v>Cash</v>
      </c>
    </row>
    <row r="4417" spans="1:18" ht="16.2" customHeight="1" x14ac:dyDescent="0.3">
      <c r="A4417" s="150" t="s">
        <v>4159</v>
      </c>
      <c r="B4417" s="5">
        <f t="shared" si="1057"/>
        <v>9</v>
      </c>
      <c r="C4417" s="5">
        <f t="shared" si="1058"/>
        <v>2025</v>
      </c>
      <c r="D4417" s="150" t="s">
        <v>4187</v>
      </c>
      <c r="E4417" s="5" t="str">
        <f>VLOOKUP(F4417,'Set up'!$A$2:$C$70,2,FALSE)</f>
        <v>C00000063</v>
      </c>
      <c r="F4417" s="151" t="s">
        <v>4198</v>
      </c>
      <c r="G4417" s="151" t="s">
        <v>3507</v>
      </c>
      <c r="H4417" s="105">
        <v>3</v>
      </c>
      <c r="I4417" s="5" t="str">
        <f>VLOOKUP(F4417,'Set up'!$A$2:$C$70,3,FALSE)</f>
        <v>Cash</v>
      </c>
      <c r="J4417" s="5">
        <f>VLOOKUP(F4417,'Set up'!$A$2:$D$70,4,FALSE)</f>
        <v>0</v>
      </c>
      <c r="K4417" s="4">
        <f t="shared" si="1053"/>
        <v>45920</v>
      </c>
      <c r="L4417" s="5">
        <f t="shared" si="1054"/>
        <v>9</v>
      </c>
      <c r="M4417" s="5">
        <f t="shared" si="1055"/>
        <v>2025</v>
      </c>
      <c r="N4417" s="135">
        <v>4995</v>
      </c>
      <c r="P4417" s="12"/>
      <c r="Q4417" s="7">
        <f t="shared" si="1056"/>
        <v>7319524.2500000056</v>
      </c>
      <c r="R4417" s="44" t="str">
        <f>VLOOKUP(F4417,'Set up'!$A$2:$E$70,5,FALSE)</f>
        <v>Cash</v>
      </c>
    </row>
    <row r="4418" spans="1:18" ht="16.2" customHeight="1" x14ac:dyDescent="0.3">
      <c r="A4418" s="150" t="s">
        <v>4159</v>
      </c>
      <c r="B4418" s="5">
        <f t="shared" si="1057"/>
        <v>9</v>
      </c>
      <c r="C4418" s="5">
        <f t="shared" si="1058"/>
        <v>2025</v>
      </c>
      <c r="D4418" s="150" t="s">
        <v>4187</v>
      </c>
      <c r="E4418" s="5" t="str">
        <f>VLOOKUP(F4418,'Set up'!$A$2:$C$70,2,FALSE)</f>
        <v>C00000063</v>
      </c>
      <c r="F4418" s="151" t="s">
        <v>4198</v>
      </c>
      <c r="G4418" s="151" t="s">
        <v>4201</v>
      </c>
      <c r="H4418" s="105">
        <v>1</v>
      </c>
      <c r="I4418" s="5" t="str">
        <f>VLOOKUP(F4418,'Set up'!$A$2:$C$70,3,FALSE)</f>
        <v>Cash</v>
      </c>
      <c r="J4418" s="5">
        <f>VLOOKUP(F4418,'Set up'!$A$2:$D$70,4,FALSE)</f>
        <v>0</v>
      </c>
      <c r="K4418" s="4">
        <f t="shared" si="1053"/>
        <v>45920</v>
      </c>
      <c r="L4418" s="5">
        <f t="shared" si="1054"/>
        <v>9</v>
      </c>
      <c r="M4418" s="5">
        <f t="shared" si="1055"/>
        <v>2025</v>
      </c>
      <c r="N4418" s="135">
        <v>1665</v>
      </c>
      <c r="P4418" s="12"/>
      <c r="Q4418" s="7">
        <f t="shared" si="1056"/>
        <v>7321189.2500000056</v>
      </c>
      <c r="R4418" s="44" t="str">
        <f>VLOOKUP(F4418,'Set up'!$A$2:$E$70,5,FALSE)</f>
        <v>Cash</v>
      </c>
    </row>
    <row r="4419" spans="1:18" ht="16.2" customHeight="1" x14ac:dyDescent="0.3">
      <c r="A4419" s="150" t="s">
        <v>4159</v>
      </c>
      <c r="B4419" s="5">
        <f t="shared" si="1057"/>
        <v>9</v>
      </c>
      <c r="C4419" s="5">
        <f t="shared" si="1058"/>
        <v>2025</v>
      </c>
      <c r="D4419" s="150" t="s">
        <v>4187</v>
      </c>
      <c r="E4419" s="5" t="str">
        <f>VLOOKUP(F4419,'Set up'!$A$2:$C$70,2,FALSE)</f>
        <v>C00000063</v>
      </c>
      <c r="F4419" s="151" t="s">
        <v>4198</v>
      </c>
      <c r="G4419" s="151" t="s">
        <v>4202</v>
      </c>
      <c r="H4419" s="105">
        <v>2</v>
      </c>
      <c r="I4419" s="5" t="str">
        <f>VLOOKUP(F4419,'Set up'!$A$2:$C$70,3,FALSE)</f>
        <v>Cash</v>
      </c>
      <c r="J4419" s="5">
        <f>VLOOKUP(F4419,'Set up'!$A$2:$D$70,4,FALSE)</f>
        <v>0</v>
      </c>
      <c r="K4419" s="4">
        <f t="shared" ref="K4419:K4461" si="1059">A4419+J4419</f>
        <v>45920</v>
      </c>
      <c r="L4419" s="5">
        <f t="shared" ref="L4419:L4482" si="1060">MONTH(K4419)</f>
        <v>9</v>
      </c>
      <c r="M4419" s="5">
        <f t="shared" ref="M4419:M4482" si="1061">YEAR(K4419)</f>
        <v>2025</v>
      </c>
      <c r="N4419" s="135">
        <v>734.4</v>
      </c>
      <c r="P4419" s="12"/>
      <c r="Q4419" s="7">
        <f t="shared" ref="Q4419:Q4482" si="1062">SUM(Q4418+N4419)</f>
        <v>7321923.650000006</v>
      </c>
      <c r="R4419" s="44" t="str">
        <f>VLOOKUP(F4419,'Set up'!$A$2:$E$70,5,FALSE)</f>
        <v>Cash</v>
      </c>
    </row>
    <row r="4420" spans="1:18" ht="16.2" customHeight="1" x14ac:dyDescent="0.3">
      <c r="A4420" s="150" t="s">
        <v>4159</v>
      </c>
      <c r="B4420" s="5">
        <f t="shared" si="1057"/>
        <v>9</v>
      </c>
      <c r="C4420" s="5">
        <f t="shared" si="1058"/>
        <v>2025</v>
      </c>
      <c r="D4420" s="150" t="s">
        <v>4187</v>
      </c>
      <c r="E4420" s="5" t="str">
        <f>VLOOKUP(F4420,'Set up'!$A$2:$C$70,2,FALSE)</f>
        <v>C00000063</v>
      </c>
      <c r="F4420" s="151" t="s">
        <v>4198</v>
      </c>
      <c r="G4420" s="151" t="s">
        <v>4203</v>
      </c>
      <c r="H4420" s="105">
        <v>4</v>
      </c>
      <c r="I4420" s="5" t="str">
        <f>VLOOKUP(F4420,'Set up'!$A$2:$C$70,3,FALSE)</f>
        <v>Cash</v>
      </c>
      <c r="J4420" s="5">
        <f>VLOOKUP(F4420,'Set up'!$A$2:$D$70,4,FALSE)</f>
        <v>0</v>
      </c>
      <c r="K4420" s="4">
        <f t="shared" si="1059"/>
        <v>45920</v>
      </c>
      <c r="L4420" s="5">
        <f t="shared" si="1060"/>
        <v>9</v>
      </c>
      <c r="M4420" s="5">
        <f t="shared" si="1061"/>
        <v>2025</v>
      </c>
      <c r="N4420" s="135">
        <v>1822.4</v>
      </c>
      <c r="P4420" s="12"/>
      <c r="Q4420" s="7">
        <f t="shared" si="1062"/>
        <v>7323746.0500000063</v>
      </c>
      <c r="R4420" s="44" t="str">
        <f>VLOOKUP(F4420,'Set up'!$A$2:$E$70,5,FALSE)</f>
        <v>Cash</v>
      </c>
    </row>
    <row r="4421" spans="1:18" ht="16.2" customHeight="1" x14ac:dyDescent="0.3">
      <c r="A4421" s="150" t="s">
        <v>4159</v>
      </c>
      <c r="B4421" s="5">
        <f t="shared" si="1057"/>
        <v>9</v>
      </c>
      <c r="C4421" s="5">
        <f t="shared" si="1058"/>
        <v>2025</v>
      </c>
      <c r="D4421" s="150" t="s">
        <v>4187</v>
      </c>
      <c r="E4421" s="5" t="str">
        <f>VLOOKUP(F4421,'Set up'!$A$2:$C$70,2,FALSE)</f>
        <v>C00000063</v>
      </c>
      <c r="F4421" s="151" t="s">
        <v>4198</v>
      </c>
      <c r="G4421" s="151" t="s">
        <v>4134</v>
      </c>
      <c r="H4421" s="105">
        <v>4</v>
      </c>
      <c r="I4421" s="5" t="str">
        <f>VLOOKUP(F4421,'Set up'!$A$2:$C$70,3,FALSE)</f>
        <v>Cash</v>
      </c>
      <c r="J4421" s="5">
        <f>VLOOKUP(F4421,'Set up'!$A$2:$D$70,4,FALSE)</f>
        <v>0</v>
      </c>
      <c r="K4421" s="4">
        <f t="shared" si="1059"/>
        <v>45920</v>
      </c>
      <c r="L4421" s="5">
        <f t="shared" si="1060"/>
        <v>9</v>
      </c>
      <c r="M4421" s="5">
        <f t="shared" si="1061"/>
        <v>2025</v>
      </c>
      <c r="N4421" s="135">
        <v>1100</v>
      </c>
      <c r="P4421" s="12"/>
      <c r="Q4421" s="7">
        <f t="shared" si="1062"/>
        <v>7324846.0500000063</v>
      </c>
      <c r="R4421" s="44" t="str">
        <f>VLOOKUP(F4421,'Set up'!$A$2:$E$70,5,FALSE)</f>
        <v>Cash</v>
      </c>
    </row>
    <row r="4422" spans="1:18" ht="16.2" customHeight="1" x14ac:dyDescent="0.3">
      <c r="A4422" s="150" t="s">
        <v>4159</v>
      </c>
      <c r="B4422" s="5">
        <f t="shared" si="1057"/>
        <v>9</v>
      </c>
      <c r="C4422" s="5">
        <f t="shared" si="1058"/>
        <v>2025</v>
      </c>
      <c r="D4422" s="150" t="s">
        <v>4187</v>
      </c>
      <c r="E4422" s="5" t="str">
        <f>VLOOKUP(F4422,'Set up'!$A$2:$C$70,2,FALSE)</f>
        <v>C00000063</v>
      </c>
      <c r="F4422" s="151" t="s">
        <v>4198</v>
      </c>
      <c r="G4422" s="151" t="s">
        <v>1449</v>
      </c>
      <c r="H4422" s="105">
        <v>4</v>
      </c>
      <c r="I4422" s="5" t="str">
        <f>VLOOKUP(F4422,'Set up'!$A$2:$C$70,3,FALSE)</f>
        <v>Cash</v>
      </c>
      <c r="J4422" s="5">
        <f>VLOOKUP(F4422,'Set up'!$A$2:$D$70,4,FALSE)</f>
        <v>0</v>
      </c>
      <c r="K4422" s="4">
        <f t="shared" si="1059"/>
        <v>45920</v>
      </c>
      <c r="L4422" s="5">
        <f t="shared" si="1060"/>
        <v>9</v>
      </c>
      <c r="M4422" s="5">
        <f t="shared" si="1061"/>
        <v>2025</v>
      </c>
      <c r="N4422" s="135">
        <v>480</v>
      </c>
      <c r="P4422" s="12"/>
      <c r="Q4422" s="7">
        <f t="shared" si="1062"/>
        <v>7325326.0500000063</v>
      </c>
      <c r="R4422" s="44" t="str">
        <f>VLOOKUP(F4422,'Set up'!$A$2:$E$70,5,FALSE)</f>
        <v>Cash</v>
      </c>
    </row>
    <row r="4423" spans="1:18" ht="16.2" customHeight="1" x14ac:dyDescent="0.3">
      <c r="A4423" s="150" t="s">
        <v>4159</v>
      </c>
      <c r="B4423" s="5">
        <f t="shared" ref="B4423:B4461" si="1063">MONTH(A4423)</f>
        <v>9</v>
      </c>
      <c r="C4423" s="5">
        <f t="shared" ref="C4423:C4461" si="1064">YEAR(A4423)</f>
        <v>2025</v>
      </c>
      <c r="D4423" s="150" t="s">
        <v>4187</v>
      </c>
      <c r="E4423" s="5" t="str">
        <f>VLOOKUP(F4423,'Set up'!$A$2:$C$70,2,FALSE)</f>
        <v>C00000063</v>
      </c>
      <c r="F4423" s="151" t="s">
        <v>4198</v>
      </c>
      <c r="G4423" s="151" t="s">
        <v>714</v>
      </c>
      <c r="H4423" s="105">
        <v>3</v>
      </c>
      <c r="I4423" s="5" t="str">
        <f>VLOOKUP(F4423,'Set up'!$A$2:$C$70,3,FALSE)</f>
        <v>Cash</v>
      </c>
      <c r="J4423" s="5">
        <f>VLOOKUP(F4423,'Set up'!$A$2:$D$70,4,FALSE)</f>
        <v>0</v>
      </c>
      <c r="K4423" s="4">
        <f t="shared" si="1059"/>
        <v>45920</v>
      </c>
      <c r="L4423" s="5">
        <f t="shared" si="1060"/>
        <v>9</v>
      </c>
      <c r="M4423" s="5">
        <f t="shared" si="1061"/>
        <v>2025</v>
      </c>
      <c r="N4423" s="135">
        <v>187.5</v>
      </c>
      <c r="P4423" s="12"/>
      <c r="Q4423" s="7">
        <f t="shared" si="1062"/>
        <v>7325513.5500000063</v>
      </c>
      <c r="R4423" s="44" t="str">
        <f>VLOOKUP(F4423,'Set up'!$A$2:$E$70,5,FALSE)</f>
        <v>Cash</v>
      </c>
    </row>
    <row r="4424" spans="1:18" ht="16.2" customHeight="1" x14ac:dyDescent="0.3">
      <c r="A4424" s="150" t="s">
        <v>4160</v>
      </c>
      <c r="B4424" s="5">
        <f t="shared" si="1063"/>
        <v>9</v>
      </c>
      <c r="C4424" s="5">
        <f t="shared" si="1064"/>
        <v>2025</v>
      </c>
      <c r="D4424" s="150" t="s">
        <v>4188</v>
      </c>
      <c r="E4424" s="5" t="str">
        <f>VLOOKUP(F4424,'Set up'!$A$2:$C$70,2,FALSE)</f>
        <v>C00000061</v>
      </c>
      <c r="F4424" s="151" t="s">
        <v>3532</v>
      </c>
      <c r="G4424" s="151" t="s">
        <v>3122</v>
      </c>
      <c r="H4424" s="105">
        <v>3</v>
      </c>
      <c r="I4424" s="5" t="str">
        <f>VLOOKUP(F4424,'Set up'!$A$2:$C$70,3,FALSE)</f>
        <v>Cash</v>
      </c>
      <c r="J4424" s="5">
        <f>VLOOKUP(F4424,'Set up'!$A$2:$D$70,4,FALSE)</f>
        <v>0</v>
      </c>
      <c r="K4424" s="4">
        <f t="shared" si="1059"/>
        <v>45922</v>
      </c>
      <c r="L4424" s="5">
        <f t="shared" si="1060"/>
        <v>9</v>
      </c>
      <c r="M4424" s="5">
        <f t="shared" si="1061"/>
        <v>2025</v>
      </c>
      <c r="N4424" s="135">
        <v>4725</v>
      </c>
      <c r="P4424" s="12"/>
      <c r="Q4424" s="7">
        <f t="shared" si="1062"/>
        <v>7330238.5500000063</v>
      </c>
      <c r="R4424" s="44" t="str">
        <f>VLOOKUP(F4424,'Set up'!$A$2:$E$70,5,FALSE)</f>
        <v>Cash</v>
      </c>
    </row>
    <row r="4425" spans="1:18" ht="16.2" customHeight="1" x14ac:dyDescent="0.3">
      <c r="A4425" s="150" t="s">
        <v>4160</v>
      </c>
      <c r="B4425" s="5">
        <f t="shared" si="1063"/>
        <v>9</v>
      </c>
      <c r="C4425" s="5">
        <f t="shared" si="1064"/>
        <v>2025</v>
      </c>
      <c r="D4425" s="150" t="s">
        <v>4188</v>
      </c>
      <c r="E4425" s="5" t="str">
        <f>VLOOKUP(F4425,'Set up'!$A$2:$C$70,2,FALSE)</f>
        <v>C00000061</v>
      </c>
      <c r="F4425" s="151" t="s">
        <v>3532</v>
      </c>
      <c r="G4425" s="151" t="s">
        <v>945</v>
      </c>
      <c r="H4425" s="105">
        <v>1</v>
      </c>
      <c r="I4425" s="5" t="str">
        <f>VLOOKUP(F4425,'Set up'!$A$2:$C$70,3,FALSE)</f>
        <v>Cash</v>
      </c>
      <c r="J4425" s="5">
        <f>VLOOKUP(F4425,'Set up'!$A$2:$D$70,4,FALSE)</f>
        <v>0</v>
      </c>
      <c r="K4425" s="4">
        <f t="shared" si="1059"/>
        <v>45922</v>
      </c>
      <c r="L4425" s="5">
        <f t="shared" si="1060"/>
        <v>9</v>
      </c>
      <c r="M4425" s="5">
        <f t="shared" si="1061"/>
        <v>2025</v>
      </c>
      <c r="N4425" s="135">
        <v>115</v>
      </c>
      <c r="P4425" s="12"/>
      <c r="Q4425" s="7">
        <f t="shared" si="1062"/>
        <v>7330353.5500000063</v>
      </c>
      <c r="R4425" s="44" t="str">
        <f>VLOOKUP(F4425,'Set up'!$A$2:$E$70,5,FALSE)</f>
        <v>Cash</v>
      </c>
    </row>
    <row r="4426" spans="1:18" ht="16.2" customHeight="1" x14ac:dyDescent="0.3">
      <c r="A4426" s="150" t="s">
        <v>4160</v>
      </c>
      <c r="B4426" s="5">
        <f t="shared" si="1063"/>
        <v>9</v>
      </c>
      <c r="C4426" s="5">
        <f t="shared" si="1064"/>
        <v>2025</v>
      </c>
      <c r="D4426" s="150" t="s">
        <v>4188</v>
      </c>
      <c r="E4426" s="5" t="str">
        <f>VLOOKUP(F4426,'Set up'!$A$2:$C$70,2,FALSE)</f>
        <v>C00000061</v>
      </c>
      <c r="F4426" s="151" t="s">
        <v>3532</v>
      </c>
      <c r="G4426" s="151" t="s">
        <v>2635</v>
      </c>
      <c r="H4426" s="105">
        <v>10</v>
      </c>
      <c r="I4426" s="5" t="str">
        <f>VLOOKUP(F4426,'Set up'!$A$2:$C$70,3,FALSE)</f>
        <v>Cash</v>
      </c>
      <c r="J4426" s="5">
        <f>VLOOKUP(F4426,'Set up'!$A$2:$D$70,4,FALSE)</f>
        <v>0</v>
      </c>
      <c r="K4426" s="4">
        <f t="shared" si="1059"/>
        <v>45922</v>
      </c>
      <c r="L4426" s="5">
        <f t="shared" si="1060"/>
        <v>9</v>
      </c>
      <c r="M4426" s="5">
        <f t="shared" si="1061"/>
        <v>2025</v>
      </c>
      <c r="N4426" s="135">
        <v>525</v>
      </c>
      <c r="P4426" s="12"/>
      <c r="Q4426" s="7">
        <f t="shared" si="1062"/>
        <v>7330878.5500000063</v>
      </c>
      <c r="R4426" s="44" t="str">
        <f>VLOOKUP(F4426,'Set up'!$A$2:$E$70,5,FALSE)</f>
        <v>Cash</v>
      </c>
    </row>
    <row r="4427" spans="1:18" ht="16.2" customHeight="1" x14ac:dyDescent="0.3">
      <c r="A4427" s="150" t="s">
        <v>4161</v>
      </c>
      <c r="B4427" s="5">
        <f t="shared" si="1063"/>
        <v>9</v>
      </c>
      <c r="C4427" s="5">
        <f t="shared" si="1064"/>
        <v>2025</v>
      </c>
      <c r="D4427" s="150" t="s">
        <v>4189</v>
      </c>
      <c r="E4427" s="5" t="str">
        <f>VLOOKUP(F4427,'Set up'!$A$2:$C$70,2,FALSE)</f>
        <v>C00000042</v>
      </c>
      <c r="F4427" s="151" t="s">
        <v>2012</v>
      </c>
      <c r="G4427" s="151" t="s">
        <v>2646</v>
      </c>
      <c r="H4427" s="105">
        <v>3</v>
      </c>
      <c r="I4427" s="5" t="str">
        <f>VLOOKUP(F4427,'Set up'!$A$2:$C$70,3,FALSE)</f>
        <v>Cash</v>
      </c>
      <c r="J4427" s="5">
        <f>VLOOKUP(F4427,'Set up'!$A$2:$D$70,4,FALSE)</f>
        <v>0</v>
      </c>
      <c r="K4427" s="4">
        <f t="shared" si="1059"/>
        <v>45923</v>
      </c>
      <c r="L4427" s="5">
        <f t="shared" si="1060"/>
        <v>9</v>
      </c>
      <c r="M4427" s="5">
        <f t="shared" si="1061"/>
        <v>2025</v>
      </c>
      <c r="N4427" s="135">
        <v>187.5</v>
      </c>
      <c r="P4427" s="12"/>
      <c r="Q4427" s="7">
        <f t="shared" si="1062"/>
        <v>7331066.0500000063</v>
      </c>
      <c r="R4427" s="44" t="str">
        <f>VLOOKUP(F4427,'Set up'!$A$2:$E$70,5,FALSE)</f>
        <v>Trsf</v>
      </c>
    </row>
    <row r="4428" spans="1:18" ht="16.2" customHeight="1" x14ac:dyDescent="0.3">
      <c r="A4428" s="150" t="s">
        <v>4161</v>
      </c>
      <c r="B4428" s="5">
        <f t="shared" si="1063"/>
        <v>9</v>
      </c>
      <c r="C4428" s="5">
        <f t="shared" si="1064"/>
        <v>2025</v>
      </c>
      <c r="D4428" s="150" t="s">
        <v>4190</v>
      </c>
      <c r="E4428" s="5" t="str">
        <f>VLOOKUP(F4428,'Set up'!$A$2:$C$70,2,FALSE)</f>
        <v>C00000042</v>
      </c>
      <c r="F4428" s="151" t="s">
        <v>2012</v>
      </c>
      <c r="G4428" s="151" t="s">
        <v>3645</v>
      </c>
      <c r="H4428" s="105">
        <v>6</v>
      </c>
      <c r="I4428" s="5" t="str">
        <f>VLOOKUP(F4428,'Set up'!$A$2:$C$70,3,FALSE)</f>
        <v>Cash</v>
      </c>
      <c r="J4428" s="5">
        <f>VLOOKUP(F4428,'Set up'!$A$2:$D$70,4,FALSE)</f>
        <v>0</v>
      </c>
      <c r="K4428" s="4">
        <f t="shared" si="1059"/>
        <v>45923</v>
      </c>
      <c r="L4428" s="5">
        <f t="shared" si="1060"/>
        <v>9</v>
      </c>
      <c r="M4428" s="5">
        <f t="shared" si="1061"/>
        <v>2025</v>
      </c>
      <c r="N4428" s="135">
        <v>9450</v>
      </c>
      <c r="P4428" s="12"/>
      <c r="Q4428" s="7">
        <f t="shared" si="1062"/>
        <v>7340516.0500000063</v>
      </c>
      <c r="R4428" s="44" t="str">
        <f>VLOOKUP(F4428,'Set up'!$A$2:$E$70,5,FALSE)</f>
        <v>Trsf</v>
      </c>
    </row>
    <row r="4429" spans="1:18" ht="16.2" customHeight="1" x14ac:dyDescent="0.3">
      <c r="A4429" s="150" t="s">
        <v>4161</v>
      </c>
      <c r="B4429" s="5">
        <f t="shared" si="1063"/>
        <v>9</v>
      </c>
      <c r="C4429" s="5">
        <f t="shared" si="1064"/>
        <v>2025</v>
      </c>
      <c r="D4429" s="150" t="s">
        <v>4190</v>
      </c>
      <c r="E4429" s="5" t="str">
        <f>VLOOKUP(F4429,'Set up'!$A$2:$C$70,2,FALSE)</f>
        <v>C00000042</v>
      </c>
      <c r="F4429" s="151" t="s">
        <v>2012</v>
      </c>
      <c r="G4429" s="151" t="s">
        <v>1392</v>
      </c>
      <c r="H4429" s="105">
        <v>18</v>
      </c>
      <c r="I4429" s="5" t="str">
        <f>VLOOKUP(F4429,'Set up'!$A$2:$C$70,3,FALSE)</f>
        <v>Cash</v>
      </c>
      <c r="J4429" s="5">
        <f>VLOOKUP(F4429,'Set up'!$A$2:$D$70,4,FALSE)</f>
        <v>0</v>
      </c>
      <c r="K4429" s="4">
        <f t="shared" si="1059"/>
        <v>45923</v>
      </c>
      <c r="L4429" s="5">
        <f t="shared" si="1060"/>
        <v>9</v>
      </c>
      <c r="M4429" s="5">
        <f t="shared" si="1061"/>
        <v>2025</v>
      </c>
      <c r="N4429" s="135">
        <v>3186</v>
      </c>
      <c r="P4429" s="12"/>
      <c r="Q4429" s="7">
        <f t="shared" si="1062"/>
        <v>7343702.0500000063</v>
      </c>
      <c r="R4429" s="44" t="str">
        <f>VLOOKUP(F4429,'Set up'!$A$2:$E$70,5,FALSE)</f>
        <v>Trsf</v>
      </c>
    </row>
    <row r="4430" spans="1:18" ht="16.2" customHeight="1" x14ac:dyDescent="0.3">
      <c r="A4430" s="150" t="s">
        <v>4161</v>
      </c>
      <c r="B4430" s="5">
        <f t="shared" si="1063"/>
        <v>9</v>
      </c>
      <c r="C4430" s="5">
        <f t="shared" si="1064"/>
        <v>2025</v>
      </c>
      <c r="D4430" s="150" t="s">
        <v>4190</v>
      </c>
      <c r="E4430" s="5" t="str">
        <f>VLOOKUP(F4430,'Set up'!$A$2:$C$70,2,FALSE)</f>
        <v>C00000042</v>
      </c>
      <c r="F4430" s="151" t="s">
        <v>2012</v>
      </c>
      <c r="G4430" s="151" t="s">
        <v>1922</v>
      </c>
      <c r="H4430" s="105">
        <v>9</v>
      </c>
      <c r="I4430" s="5" t="str">
        <f>VLOOKUP(F4430,'Set up'!$A$2:$C$70,3,FALSE)</f>
        <v>Cash</v>
      </c>
      <c r="J4430" s="5">
        <f>VLOOKUP(F4430,'Set up'!$A$2:$D$70,4,FALSE)</f>
        <v>0</v>
      </c>
      <c r="K4430" s="4">
        <f t="shared" si="1059"/>
        <v>45923</v>
      </c>
      <c r="L4430" s="5">
        <f t="shared" si="1060"/>
        <v>9</v>
      </c>
      <c r="M4430" s="5">
        <f t="shared" si="1061"/>
        <v>2025</v>
      </c>
      <c r="N4430" s="135">
        <v>2065.5</v>
      </c>
      <c r="P4430" s="12"/>
      <c r="Q4430" s="7">
        <f t="shared" si="1062"/>
        <v>7345767.5500000063</v>
      </c>
      <c r="R4430" s="44" t="str">
        <f>VLOOKUP(F4430,'Set up'!$A$2:$E$70,5,FALSE)</f>
        <v>Trsf</v>
      </c>
    </row>
    <row r="4431" spans="1:18" ht="16.2" customHeight="1" x14ac:dyDescent="0.3">
      <c r="A4431" s="150" t="s">
        <v>4161</v>
      </c>
      <c r="B4431" s="5">
        <f t="shared" si="1063"/>
        <v>9</v>
      </c>
      <c r="C4431" s="5">
        <f t="shared" si="1064"/>
        <v>2025</v>
      </c>
      <c r="D4431" s="150" t="s">
        <v>4190</v>
      </c>
      <c r="E4431" s="5" t="str">
        <f>VLOOKUP(F4431,'Set up'!$A$2:$C$70,2,FALSE)</f>
        <v>C00000042</v>
      </c>
      <c r="F4431" s="151" t="s">
        <v>2012</v>
      </c>
      <c r="G4431" s="151" t="s">
        <v>945</v>
      </c>
      <c r="H4431" s="105">
        <v>4</v>
      </c>
      <c r="I4431" s="5" t="str">
        <f>VLOOKUP(F4431,'Set up'!$A$2:$C$70,3,FALSE)</f>
        <v>Cash</v>
      </c>
      <c r="J4431" s="5">
        <f>VLOOKUP(F4431,'Set up'!$A$2:$D$70,4,FALSE)</f>
        <v>0</v>
      </c>
      <c r="K4431" s="4">
        <f t="shared" si="1059"/>
        <v>45923</v>
      </c>
      <c r="L4431" s="5">
        <f t="shared" si="1060"/>
        <v>9</v>
      </c>
      <c r="M4431" s="5">
        <f t="shared" si="1061"/>
        <v>2025</v>
      </c>
      <c r="N4431" s="135">
        <v>460</v>
      </c>
      <c r="P4431" s="12"/>
      <c r="Q4431" s="7">
        <f t="shared" si="1062"/>
        <v>7346227.5500000063</v>
      </c>
      <c r="R4431" s="44" t="str">
        <f>VLOOKUP(F4431,'Set up'!$A$2:$E$70,5,FALSE)</f>
        <v>Trsf</v>
      </c>
    </row>
    <row r="4432" spans="1:18" ht="16.2" customHeight="1" x14ac:dyDescent="0.3">
      <c r="A4432" s="150" t="s">
        <v>4161</v>
      </c>
      <c r="B4432" s="5">
        <f t="shared" si="1063"/>
        <v>9</v>
      </c>
      <c r="C4432" s="5">
        <f t="shared" si="1064"/>
        <v>2025</v>
      </c>
      <c r="D4432" s="150" t="s">
        <v>4190</v>
      </c>
      <c r="E4432" s="5" t="str">
        <f>VLOOKUP(F4432,'Set up'!$A$2:$C$70,2,FALSE)</f>
        <v>C00000042</v>
      </c>
      <c r="F4432" s="151" t="s">
        <v>2012</v>
      </c>
      <c r="G4432" s="151" t="s">
        <v>1073</v>
      </c>
      <c r="H4432" s="105">
        <v>1</v>
      </c>
      <c r="I4432" s="5" t="str">
        <f>VLOOKUP(F4432,'Set up'!$A$2:$C$70,3,FALSE)</f>
        <v>Cash</v>
      </c>
      <c r="J4432" s="5">
        <f>VLOOKUP(F4432,'Set up'!$A$2:$D$70,4,FALSE)</f>
        <v>0</v>
      </c>
      <c r="K4432" s="4">
        <f t="shared" si="1059"/>
        <v>45923</v>
      </c>
      <c r="L4432" s="5">
        <f t="shared" si="1060"/>
        <v>9</v>
      </c>
      <c r="M4432" s="5">
        <f t="shared" si="1061"/>
        <v>2025</v>
      </c>
      <c r="N4432" s="135">
        <v>1000</v>
      </c>
      <c r="P4432" s="12"/>
      <c r="Q4432" s="7">
        <f t="shared" si="1062"/>
        <v>7347227.5500000063</v>
      </c>
      <c r="R4432" s="44" t="str">
        <f>VLOOKUP(F4432,'Set up'!$A$2:$E$70,5,FALSE)</f>
        <v>Trsf</v>
      </c>
    </row>
    <row r="4433" spans="1:18" ht="16.2" customHeight="1" x14ac:dyDescent="0.3">
      <c r="A4433" s="150" t="s">
        <v>4161</v>
      </c>
      <c r="B4433" s="5">
        <f t="shared" si="1063"/>
        <v>9</v>
      </c>
      <c r="C4433" s="5">
        <f t="shared" si="1064"/>
        <v>2025</v>
      </c>
      <c r="D4433" s="150" t="s">
        <v>4190</v>
      </c>
      <c r="E4433" s="5" t="str">
        <f>VLOOKUP(F4433,'Set up'!$A$2:$C$70,2,FALSE)</f>
        <v>C00000042</v>
      </c>
      <c r="F4433" s="151" t="s">
        <v>2012</v>
      </c>
      <c r="G4433" s="151" t="s">
        <v>2744</v>
      </c>
      <c r="H4433" s="105">
        <v>1</v>
      </c>
      <c r="I4433" s="5" t="str">
        <f>VLOOKUP(F4433,'Set up'!$A$2:$C$70,3,FALSE)</f>
        <v>Cash</v>
      </c>
      <c r="J4433" s="5">
        <f>VLOOKUP(F4433,'Set up'!$A$2:$D$70,4,FALSE)</f>
        <v>0</v>
      </c>
      <c r="K4433" s="4">
        <f t="shared" si="1059"/>
        <v>45923</v>
      </c>
      <c r="L4433" s="5">
        <f t="shared" si="1060"/>
        <v>9</v>
      </c>
      <c r="M4433" s="5">
        <f t="shared" si="1061"/>
        <v>2025</v>
      </c>
      <c r="N4433" s="135">
        <v>975</v>
      </c>
      <c r="P4433" s="12"/>
      <c r="Q4433" s="7">
        <f t="shared" si="1062"/>
        <v>7348202.5500000063</v>
      </c>
      <c r="R4433" s="44" t="str">
        <f>VLOOKUP(F4433,'Set up'!$A$2:$E$70,5,FALSE)</f>
        <v>Trsf</v>
      </c>
    </row>
    <row r="4434" spans="1:18" ht="16.2" customHeight="1" x14ac:dyDescent="0.3">
      <c r="A4434" s="150" t="s">
        <v>4161</v>
      </c>
      <c r="B4434" s="5">
        <f t="shared" si="1063"/>
        <v>9</v>
      </c>
      <c r="C4434" s="5">
        <f t="shared" si="1064"/>
        <v>2025</v>
      </c>
      <c r="D4434" s="150" t="s">
        <v>4191</v>
      </c>
      <c r="E4434" s="5" t="str">
        <f>VLOOKUP(F4434,'Set up'!$A$2:$C$70,2,FALSE)</f>
        <v>C00000044</v>
      </c>
      <c r="F4434" s="151" t="s">
        <v>2929</v>
      </c>
      <c r="G4434" s="151" t="s">
        <v>3122</v>
      </c>
      <c r="H4434" s="105">
        <v>1</v>
      </c>
      <c r="I4434" s="5" t="str">
        <f>VLOOKUP(F4434,'Set up'!$A$2:$C$70,3,FALSE)</f>
        <v>Cash</v>
      </c>
      <c r="J4434" s="5">
        <f>VLOOKUP(F4434,'Set up'!$A$2:$D$70,4,FALSE)</f>
        <v>0</v>
      </c>
      <c r="K4434" s="4">
        <f t="shared" si="1059"/>
        <v>45923</v>
      </c>
      <c r="L4434" s="5">
        <f t="shared" si="1060"/>
        <v>9</v>
      </c>
      <c r="M4434" s="5">
        <f t="shared" si="1061"/>
        <v>2025</v>
      </c>
      <c r="N4434" s="135">
        <v>1687.5</v>
      </c>
      <c r="P4434" s="12"/>
      <c r="Q4434" s="7">
        <f t="shared" si="1062"/>
        <v>7349890.0500000063</v>
      </c>
      <c r="R4434" s="44" t="str">
        <f>VLOOKUP(F4434,'Set up'!$A$2:$E$70,5,FALSE)</f>
        <v>Cash</v>
      </c>
    </row>
    <row r="4435" spans="1:18" ht="16.2" customHeight="1" x14ac:dyDescent="0.3">
      <c r="A4435" s="150" t="s">
        <v>4161</v>
      </c>
      <c r="B4435" s="5">
        <f t="shared" si="1063"/>
        <v>9</v>
      </c>
      <c r="C4435" s="5">
        <f t="shared" si="1064"/>
        <v>2025</v>
      </c>
      <c r="D4435" s="150" t="s">
        <v>4191</v>
      </c>
      <c r="E4435" s="5" t="str">
        <f>VLOOKUP(F4435,'Set up'!$A$2:$C$70,2,FALSE)</f>
        <v>C00000044</v>
      </c>
      <c r="F4435" s="151" t="s">
        <v>2929</v>
      </c>
      <c r="G4435" s="151" t="s">
        <v>2570</v>
      </c>
      <c r="H4435" s="105">
        <v>3</v>
      </c>
      <c r="I4435" s="5" t="str">
        <f>VLOOKUP(F4435,'Set up'!$A$2:$C$70,3,FALSE)</f>
        <v>Cash</v>
      </c>
      <c r="J4435" s="5">
        <f>VLOOKUP(F4435,'Set up'!$A$2:$D$70,4,FALSE)</f>
        <v>0</v>
      </c>
      <c r="K4435" s="4">
        <f t="shared" si="1059"/>
        <v>45923</v>
      </c>
      <c r="L4435" s="5">
        <f t="shared" si="1060"/>
        <v>9</v>
      </c>
      <c r="M4435" s="5">
        <f t="shared" si="1061"/>
        <v>2025</v>
      </c>
      <c r="N4435" s="135">
        <v>648</v>
      </c>
      <c r="P4435" s="12"/>
      <c r="Q4435" s="7">
        <f t="shared" si="1062"/>
        <v>7350538.0500000063</v>
      </c>
      <c r="R4435" s="44" t="str">
        <f>VLOOKUP(F4435,'Set up'!$A$2:$E$70,5,FALSE)</f>
        <v>Cash</v>
      </c>
    </row>
    <row r="4436" spans="1:18" ht="16.2" customHeight="1" x14ac:dyDescent="0.3">
      <c r="A4436" s="150" t="s">
        <v>4161</v>
      </c>
      <c r="B4436" s="5">
        <f t="shared" si="1063"/>
        <v>9</v>
      </c>
      <c r="C4436" s="5">
        <f t="shared" si="1064"/>
        <v>2025</v>
      </c>
      <c r="D4436" s="150" t="s">
        <v>4191</v>
      </c>
      <c r="E4436" s="5" t="str">
        <f>VLOOKUP(F4436,'Set up'!$A$2:$C$70,2,FALSE)</f>
        <v>C00000044</v>
      </c>
      <c r="F4436" s="151" t="s">
        <v>2929</v>
      </c>
      <c r="G4436" s="151" t="s">
        <v>1715</v>
      </c>
      <c r="H4436" s="105">
        <v>1</v>
      </c>
      <c r="I4436" s="5" t="str">
        <f>VLOOKUP(F4436,'Set up'!$A$2:$C$70,3,FALSE)</f>
        <v>Cash</v>
      </c>
      <c r="J4436" s="5">
        <f>VLOOKUP(F4436,'Set up'!$A$2:$D$70,4,FALSE)</f>
        <v>0</v>
      </c>
      <c r="K4436" s="4">
        <f t="shared" si="1059"/>
        <v>45923</v>
      </c>
      <c r="L4436" s="5">
        <f t="shared" si="1060"/>
        <v>9</v>
      </c>
      <c r="M4436" s="5">
        <f t="shared" si="1061"/>
        <v>2025</v>
      </c>
      <c r="N4436" s="135">
        <v>165</v>
      </c>
      <c r="P4436" s="12"/>
      <c r="Q4436" s="7">
        <f t="shared" si="1062"/>
        <v>7350703.0500000063</v>
      </c>
      <c r="R4436" s="44" t="str">
        <f>VLOOKUP(F4436,'Set up'!$A$2:$E$70,5,FALSE)</f>
        <v>Cash</v>
      </c>
    </row>
    <row r="4437" spans="1:18" ht="16.2" customHeight="1" x14ac:dyDescent="0.3">
      <c r="A4437" s="150" t="s">
        <v>4162</v>
      </c>
      <c r="B4437" s="5">
        <f t="shared" si="1063"/>
        <v>9</v>
      </c>
      <c r="C4437" s="5">
        <f t="shared" si="1064"/>
        <v>2025</v>
      </c>
      <c r="D4437" s="150" t="s">
        <v>4192</v>
      </c>
      <c r="E4437" s="5" t="e">
        <f>VLOOKUP(F4437,'Set up'!$A$2:$C$70,2,FALSE)</f>
        <v>#N/A</v>
      </c>
      <c r="F4437" s="151" t="s">
        <v>4130</v>
      </c>
      <c r="G4437" s="151" t="s">
        <v>3122</v>
      </c>
      <c r="H4437" s="105">
        <v>1</v>
      </c>
      <c r="I4437" s="5" t="e">
        <f>VLOOKUP(F4437,'Set up'!$A$2:$C$70,3,FALSE)</f>
        <v>#N/A</v>
      </c>
      <c r="J4437" s="5" t="e">
        <f>VLOOKUP(F4437,'Set up'!$A$2:$D$70,4,FALSE)</f>
        <v>#N/A</v>
      </c>
      <c r="K4437" s="4" t="e">
        <f t="shared" si="1059"/>
        <v>#N/A</v>
      </c>
      <c r="L4437" s="5" t="e">
        <f t="shared" si="1060"/>
        <v>#N/A</v>
      </c>
      <c r="M4437" s="5" t="e">
        <f t="shared" si="1061"/>
        <v>#N/A</v>
      </c>
      <c r="N4437" s="135">
        <v>1687.5</v>
      </c>
      <c r="P4437" s="12"/>
      <c r="Q4437" s="7">
        <f t="shared" si="1062"/>
        <v>7352390.5500000063</v>
      </c>
      <c r="R4437" s="44" t="e">
        <f>VLOOKUP(F4437,'Set up'!$A$2:$E$70,5,FALSE)</f>
        <v>#N/A</v>
      </c>
    </row>
    <row r="4438" spans="1:18" ht="16.2" customHeight="1" x14ac:dyDescent="0.3">
      <c r="A4438" s="150" t="s">
        <v>4162</v>
      </c>
      <c r="B4438" s="5">
        <f t="shared" si="1063"/>
        <v>9</v>
      </c>
      <c r="C4438" s="5">
        <f t="shared" si="1064"/>
        <v>2025</v>
      </c>
      <c r="D4438" s="150" t="s">
        <v>4192</v>
      </c>
      <c r="E4438" s="5" t="e">
        <f>VLOOKUP(F4438,'Set up'!$A$2:$C$70,2,FALSE)</f>
        <v>#N/A</v>
      </c>
      <c r="F4438" s="151" t="s">
        <v>4130</v>
      </c>
      <c r="G4438" s="151" t="s">
        <v>2144</v>
      </c>
      <c r="H4438" s="105">
        <v>1</v>
      </c>
      <c r="I4438" s="5" t="e">
        <f>VLOOKUP(F4438,'Set up'!$A$2:$C$70,3,FALSE)</f>
        <v>#N/A</v>
      </c>
      <c r="J4438" s="5" t="e">
        <f>VLOOKUP(F4438,'Set up'!$A$2:$D$70,4,FALSE)</f>
        <v>#N/A</v>
      </c>
      <c r="K4438" s="4" t="e">
        <f t="shared" si="1059"/>
        <v>#N/A</v>
      </c>
      <c r="L4438" s="5" t="e">
        <f t="shared" si="1060"/>
        <v>#N/A</v>
      </c>
      <c r="M4438" s="5" t="e">
        <f t="shared" si="1061"/>
        <v>#N/A</v>
      </c>
      <c r="N4438" s="135">
        <v>286</v>
      </c>
      <c r="P4438" s="12"/>
      <c r="Q4438" s="7">
        <f t="shared" si="1062"/>
        <v>7352676.5500000063</v>
      </c>
      <c r="R4438" s="44" t="e">
        <f>VLOOKUP(F4438,'Set up'!$A$2:$E$70,5,FALSE)</f>
        <v>#N/A</v>
      </c>
    </row>
    <row r="4439" spans="1:18" ht="16.2" customHeight="1" x14ac:dyDescent="0.3">
      <c r="A4439" s="150" t="s">
        <v>4162</v>
      </c>
      <c r="B4439" s="5">
        <f t="shared" si="1063"/>
        <v>9</v>
      </c>
      <c r="C4439" s="5">
        <f t="shared" si="1064"/>
        <v>2025</v>
      </c>
      <c r="D4439" s="150" t="s">
        <v>4192</v>
      </c>
      <c r="E4439" s="5" t="e">
        <f>VLOOKUP(F4439,'Set up'!$A$2:$C$70,2,FALSE)</f>
        <v>#N/A</v>
      </c>
      <c r="F4439" s="151" t="s">
        <v>4130</v>
      </c>
      <c r="G4439" s="151" t="s">
        <v>4204</v>
      </c>
      <c r="H4439" s="105">
        <v>1</v>
      </c>
      <c r="I4439" s="5" t="e">
        <f>VLOOKUP(F4439,'Set up'!$A$2:$C$70,3,FALSE)</f>
        <v>#N/A</v>
      </c>
      <c r="J4439" s="5" t="e">
        <f>VLOOKUP(F4439,'Set up'!$A$2:$D$70,4,FALSE)</f>
        <v>#N/A</v>
      </c>
      <c r="K4439" s="4" t="e">
        <f t="shared" si="1059"/>
        <v>#N/A</v>
      </c>
      <c r="L4439" s="5" t="e">
        <f t="shared" si="1060"/>
        <v>#N/A</v>
      </c>
      <c r="M4439" s="5" t="e">
        <f t="shared" si="1061"/>
        <v>#N/A</v>
      </c>
      <c r="N4439" s="135">
        <v>155</v>
      </c>
      <c r="P4439" s="12"/>
      <c r="Q4439" s="7">
        <f t="shared" si="1062"/>
        <v>7352831.5500000063</v>
      </c>
      <c r="R4439" s="44" t="e">
        <f>VLOOKUP(F4439,'Set up'!$A$2:$E$70,5,FALSE)</f>
        <v>#N/A</v>
      </c>
    </row>
    <row r="4440" spans="1:18" ht="16.2" customHeight="1" x14ac:dyDescent="0.3">
      <c r="A4440" s="150" t="s">
        <v>4162</v>
      </c>
      <c r="B4440" s="5">
        <f t="shared" si="1063"/>
        <v>9</v>
      </c>
      <c r="C4440" s="5">
        <f t="shared" si="1064"/>
        <v>2025</v>
      </c>
      <c r="D4440" s="150" t="s">
        <v>4192</v>
      </c>
      <c r="E4440" s="5" t="e">
        <f>VLOOKUP(F4440,'Set up'!$A$2:$C$70,2,FALSE)</f>
        <v>#N/A</v>
      </c>
      <c r="F4440" s="151" t="s">
        <v>4130</v>
      </c>
      <c r="G4440" s="151" t="s">
        <v>2646</v>
      </c>
      <c r="H4440" s="105">
        <v>2</v>
      </c>
      <c r="I4440" s="5" t="e">
        <f>VLOOKUP(F4440,'Set up'!$A$2:$C$70,3,FALSE)</f>
        <v>#N/A</v>
      </c>
      <c r="J4440" s="5" t="e">
        <f>VLOOKUP(F4440,'Set up'!$A$2:$D$70,4,FALSE)</f>
        <v>#N/A</v>
      </c>
      <c r="K4440" s="4" t="e">
        <f t="shared" si="1059"/>
        <v>#N/A</v>
      </c>
      <c r="L4440" s="5" t="e">
        <f t="shared" si="1060"/>
        <v>#N/A</v>
      </c>
      <c r="M4440" s="5" t="e">
        <f t="shared" si="1061"/>
        <v>#N/A</v>
      </c>
      <c r="N4440" s="135">
        <v>125</v>
      </c>
      <c r="P4440" s="12"/>
      <c r="Q4440" s="7">
        <f t="shared" si="1062"/>
        <v>7352956.5500000063</v>
      </c>
      <c r="R4440" s="44" t="e">
        <f>VLOOKUP(F4440,'Set up'!$A$2:$E$70,5,FALSE)</f>
        <v>#N/A</v>
      </c>
    </row>
    <row r="4441" spans="1:18" ht="16.2" customHeight="1" x14ac:dyDescent="0.3">
      <c r="A4441" s="150" t="s">
        <v>4162</v>
      </c>
      <c r="B4441" s="5">
        <f t="shared" si="1063"/>
        <v>9</v>
      </c>
      <c r="C4441" s="5">
        <f t="shared" si="1064"/>
        <v>2025</v>
      </c>
      <c r="D4441" s="150" t="s">
        <v>4192</v>
      </c>
      <c r="E4441" s="5" t="e">
        <f>VLOOKUP(F4441,'Set up'!$A$2:$C$70,2,FALSE)</f>
        <v>#N/A</v>
      </c>
      <c r="F4441" s="151" t="s">
        <v>4130</v>
      </c>
      <c r="G4441" s="151" t="s">
        <v>4205</v>
      </c>
      <c r="H4441" s="105">
        <v>1</v>
      </c>
      <c r="I4441" s="5" t="e">
        <f>VLOOKUP(F4441,'Set up'!$A$2:$C$70,3,FALSE)</f>
        <v>#N/A</v>
      </c>
      <c r="J4441" s="5" t="e">
        <f>VLOOKUP(F4441,'Set up'!$A$2:$D$70,4,FALSE)</f>
        <v>#N/A</v>
      </c>
      <c r="K4441" s="4" t="e">
        <f t="shared" si="1059"/>
        <v>#N/A</v>
      </c>
      <c r="L4441" s="5" t="e">
        <f t="shared" si="1060"/>
        <v>#N/A</v>
      </c>
      <c r="M4441" s="5" t="e">
        <f t="shared" si="1061"/>
        <v>#N/A</v>
      </c>
      <c r="N4441" s="135">
        <v>306</v>
      </c>
      <c r="P4441" s="12"/>
      <c r="Q4441" s="7">
        <f t="shared" si="1062"/>
        <v>7353262.5500000063</v>
      </c>
      <c r="R4441" s="44" t="e">
        <f>VLOOKUP(F4441,'Set up'!$A$2:$E$70,5,FALSE)</f>
        <v>#N/A</v>
      </c>
    </row>
    <row r="4442" spans="1:18" ht="16.2" customHeight="1" x14ac:dyDescent="0.3">
      <c r="A4442" s="150" t="s">
        <v>4162</v>
      </c>
      <c r="B4442" s="5">
        <f t="shared" si="1063"/>
        <v>9</v>
      </c>
      <c r="C4442" s="5">
        <f t="shared" si="1064"/>
        <v>2025</v>
      </c>
      <c r="D4442" s="150" t="s">
        <v>4193</v>
      </c>
      <c r="E4442" s="5" t="str">
        <f>VLOOKUP(F4442,'Set up'!$A$2:$C$70,2,FALSE)</f>
        <v>C00000050</v>
      </c>
      <c r="F4442" s="151" t="s">
        <v>2656</v>
      </c>
      <c r="G4442" s="151" t="s">
        <v>3615</v>
      </c>
      <c r="H4442" s="105">
        <v>1</v>
      </c>
      <c r="I4442" s="5" t="str">
        <f>VLOOKUP(F4442,'Set up'!$A$2:$C$70,3,FALSE)</f>
        <v>Cash</v>
      </c>
      <c r="J4442" s="5">
        <f>VLOOKUP(F4442,'Set up'!$A$2:$D$70,4,FALSE)</f>
        <v>0</v>
      </c>
      <c r="K4442" s="4">
        <f t="shared" si="1059"/>
        <v>45924</v>
      </c>
      <c r="L4442" s="5">
        <f t="shared" si="1060"/>
        <v>9</v>
      </c>
      <c r="M4442" s="5">
        <f t="shared" si="1061"/>
        <v>2025</v>
      </c>
      <c r="N4442" s="135">
        <v>1687.5</v>
      </c>
      <c r="P4442" s="12"/>
      <c r="Q4442" s="7">
        <f t="shared" si="1062"/>
        <v>7354950.0500000063</v>
      </c>
      <c r="R4442" s="44" t="str">
        <f>VLOOKUP(F4442,'Set up'!$A$2:$E$70,5,FALSE)</f>
        <v>Cash</v>
      </c>
    </row>
    <row r="4443" spans="1:18" ht="16.2" customHeight="1" x14ac:dyDescent="0.3">
      <c r="A4443" s="150" t="s">
        <v>4162</v>
      </c>
      <c r="B4443" s="5">
        <f t="shared" si="1063"/>
        <v>9</v>
      </c>
      <c r="C4443" s="5">
        <f t="shared" si="1064"/>
        <v>2025</v>
      </c>
      <c r="D4443" s="150" t="s">
        <v>4193</v>
      </c>
      <c r="E4443" s="5" t="str">
        <f>VLOOKUP(F4443,'Set up'!$A$2:$C$70,2,FALSE)</f>
        <v>C00000050</v>
      </c>
      <c r="F4443" s="151" t="s">
        <v>2656</v>
      </c>
      <c r="G4443" s="151" t="s">
        <v>2129</v>
      </c>
      <c r="H4443" s="105">
        <v>1</v>
      </c>
      <c r="I4443" s="5" t="str">
        <f>VLOOKUP(F4443,'Set up'!$A$2:$C$70,3,FALSE)</f>
        <v>Cash</v>
      </c>
      <c r="J4443" s="5">
        <f>VLOOKUP(F4443,'Set up'!$A$2:$D$70,4,FALSE)</f>
        <v>0</v>
      </c>
      <c r="K4443" s="4">
        <f t="shared" si="1059"/>
        <v>45924</v>
      </c>
      <c r="L4443" s="5">
        <f t="shared" si="1060"/>
        <v>9</v>
      </c>
      <c r="M4443" s="5">
        <f t="shared" si="1061"/>
        <v>2025</v>
      </c>
      <c r="N4443" s="135">
        <v>266.39999999999998</v>
      </c>
      <c r="P4443" s="12"/>
      <c r="Q4443" s="7">
        <f t="shared" si="1062"/>
        <v>7355216.4500000067</v>
      </c>
      <c r="R4443" s="44" t="str">
        <f>VLOOKUP(F4443,'Set up'!$A$2:$E$70,5,FALSE)</f>
        <v>Cash</v>
      </c>
    </row>
    <row r="4444" spans="1:18" ht="16.2" customHeight="1" x14ac:dyDescent="0.3">
      <c r="A4444" s="150" t="s">
        <v>4162</v>
      </c>
      <c r="B4444" s="5">
        <f t="shared" si="1063"/>
        <v>9</v>
      </c>
      <c r="C4444" s="5">
        <f t="shared" si="1064"/>
        <v>2025</v>
      </c>
      <c r="D4444" s="150" t="s">
        <v>4193</v>
      </c>
      <c r="E4444" s="5" t="str">
        <f>VLOOKUP(F4444,'Set up'!$A$2:$C$70,2,FALSE)</f>
        <v>C00000050</v>
      </c>
      <c r="F4444" s="151" t="s">
        <v>2656</v>
      </c>
      <c r="G4444" s="151" t="s">
        <v>945</v>
      </c>
      <c r="H4444" s="105">
        <v>1</v>
      </c>
      <c r="I4444" s="5" t="str">
        <f>VLOOKUP(F4444,'Set up'!$A$2:$C$70,3,FALSE)</f>
        <v>Cash</v>
      </c>
      <c r="J4444" s="5">
        <f>VLOOKUP(F4444,'Set up'!$A$2:$D$70,4,FALSE)</f>
        <v>0</v>
      </c>
      <c r="K4444" s="4">
        <f t="shared" si="1059"/>
        <v>45924</v>
      </c>
      <c r="L4444" s="5">
        <f t="shared" si="1060"/>
        <v>9</v>
      </c>
      <c r="M4444" s="5">
        <f t="shared" si="1061"/>
        <v>2025</v>
      </c>
      <c r="N4444" s="135">
        <v>115</v>
      </c>
      <c r="P4444" s="12"/>
      <c r="Q4444" s="7">
        <f t="shared" si="1062"/>
        <v>7355331.4500000067</v>
      </c>
      <c r="R4444" s="44" t="str">
        <f>VLOOKUP(F4444,'Set up'!$A$2:$E$70,5,FALSE)</f>
        <v>Cash</v>
      </c>
    </row>
    <row r="4445" spans="1:18" ht="16.2" customHeight="1" x14ac:dyDescent="0.3">
      <c r="A4445" s="150" t="s">
        <v>4163</v>
      </c>
      <c r="B4445" s="5">
        <f t="shared" si="1063"/>
        <v>9</v>
      </c>
      <c r="C4445" s="5">
        <f t="shared" si="1064"/>
        <v>2025</v>
      </c>
      <c r="D4445" s="150" t="s">
        <v>4194</v>
      </c>
      <c r="E4445" s="5" t="str">
        <f>VLOOKUP(F4445,'Set up'!$A$2:$C$70,2,FALSE)</f>
        <v>C00000019</v>
      </c>
      <c r="F4445" s="151" t="s">
        <v>400</v>
      </c>
      <c r="G4445" s="151" t="s">
        <v>2635</v>
      </c>
      <c r="H4445" s="105">
        <v>3</v>
      </c>
      <c r="I4445" s="5" t="str">
        <f>VLOOKUP(F4445,'Set up'!$A$2:$C$70,3,FALSE)</f>
        <v>Cash</v>
      </c>
      <c r="J4445" s="5">
        <f>VLOOKUP(F4445,'Set up'!$A$2:$D$70,4,FALSE)</f>
        <v>0</v>
      </c>
      <c r="K4445" s="4">
        <f t="shared" si="1059"/>
        <v>45926</v>
      </c>
      <c r="L4445" s="5">
        <f t="shared" si="1060"/>
        <v>9</v>
      </c>
      <c r="M4445" s="5">
        <f t="shared" si="1061"/>
        <v>2025</v>
      </c>
      <c r="N4445" s="135">
        <v>187.5</v>
      </c>
      <c r="P4445" s="12"/>
      <c r="Q4445" s="7">
        <f t="shared" si="1062"/>
        <v>7355518.9500000067</v>
      </c>
      <c r="R4445" s="44" t="str">
        <f>VLOOKUP(F4445,'Set up'!$A$2:$E$70,5,FALSE)</f>
        <v>Trsf</v>
      </c>
    </row>
    <row r="4446" spans="1:18" ht="16.2" customHeight="1" x14ac:dyDescent="0.3">
      <c r="A4446" s="150" t="s">
        <v>4163</v>
      </c>
      <c r="B4446" s="5">
        <f t="shared" si="1063"/>
        <v>9</v>
      </c>
      <c r="C4446" s="5">
        <f t="shared" si="1064"/>
        <v>2025</v>
      </c>
      <c r="D4446" s="150" t="s">
        <v>4194</v>
      </c>
      <c r="E4446" s="5" t="str">
        <f>VLOOKUP(F4446,'Set up'!$A$2:$C$70,2,FALSE)</f>
        <v>C00000019</v>
      </c>
      <c r="F4446" s="151" t="s">
        <v>400</v>
      </c>
      <c r="G4446" s="151" t="s">
        <v>2449</v>
      </c>
      <c r="H4446" s="105">
        <v>1</v>
      </c>
      <c r="I4446" s="5" t="str">
        <f>VLOOKUP(F4446,'Set up'!$A$2:$C$70,3,FALSE)</f>
        <v>Cash</v>
      </c>
      <c r="J4446" s="5">
        <f>VLOOKUP(F4446,'Set up'!$A$2:$D$70,4,FALSE)</f>
        <v>0</v>
      </c>
      <c r="K4446" s="4">
        <f t="shared" si="1059"/>
        <v>45926</v>
      </c>
      <c r="L4446" s="5">
        <f t="shared" si="1060"/>
        <v>9</v>
      </c>
      <c r="M4446" s="5">
        <f t="shared" si="1061"/>
        <v>2025</v>
      </c>
      <c r="N4446" s="135">
        <v>420</v>
      </c>
      <c r="P4446" s="12"/>
      <c r="Q4446" s="7">
        <f t="shared" si="1062"/>
        <v>7355938.9500000067</v>
      </c>
      <c r="R4446" s="44" t="str">
        <f>VLOOKUP(F4446,'Set up'!$A$2:$E$70,5,FALSE)</f>
        <v>Trsf</v>
      </c>
    </row>
    <row r="4447" spans="1:18" ht="16.2" customHeight="1" x14ac:dyDescent="0.3">
      <c r="A4447" s="150" t="s">
        <v>4164</v>
      </c>
      <c r="B4447" s="5">
        <f t="shared" si="1063"/>
        <v>9</v>
      </c>
      <c r="C4447" s="5">
        <f t="shared" si="1064"/>
        <v>2025</v>
      </c>
      <c r="D4447" s="150" t="s">
        <v>4195</v>
      </c>
      <c r="E4447" s="5" t="str">
        <f>VLOOKUP(F4447,'Set up'!$A$2:$C$70,2,FALSE)</f>
        <v>C00000044</v>
      </c>
      <c r="F4447" s="151" t="s">
        <v>2929</v>
      </c>
      <c r="G4447" s="151" t="s">
        <v>3122</v>
      </c>
      <c r="H4447" s="105">
        <v>1</v>
      </c>
      <c r="I4447" s="5" t="str">
        <f>VLOOKUP(F4447,'Set up'!$A$2:$C$70,3,FALSE)</f>
        <v>Cash</v>
      </c>
      <c r="J4447" s="5">
        <f>VLOOKUP(F4447,'Set up'!$A$2:$D$70,4,FALSE)</f>
        <v>0</v>
      </c>
      <c r="K4447" s="4">
        <f t="shared" si="1059"/>
        <v>45927</v>
      </c>
      <c r="L4447" s="5">
        <f t="shared" si="1060"/>
        <v>9</v>
      </c>
      <c r="M4447" s="5">
        <f t="shared" si="1061"/>
        <v>2025</v>
      </c>
      <c r="N4447" s="135">
        <v>1687.5</v>
      </c>
      <c r="P4447" s="12"/>
      <c r="Q4447" s="7">
        <f t="shared" si="1062"/>
        <v>7357626.4500000067</v>
      </c>
      <c r="R4447" s="44" t="str">
        <f>VLOOKUP(F4447,'Set up'!$A$2:$E$70,5,FALSE)</f>
        <v>Cash</v>
      </c>
    </row>
    <row r="4448" spans="1:18" ht="16.2" customHeight="1" x14ac:dyDescent="0.3">
      <c r="A4448" s="150" t="s">
        <v>4164</v>
      </c>
      <c r="B4448" s="5">
        <f t="shared" si="1063"/>
        <v>9</v>
      </c>
      <c r="C4448" s="5">
        <f t="shared" si="1064"/>
        <v>2025</v>
      </c>
      <c r="D4448" s="150" t="s">
        <v>4195</v>
      </c>
      <c r="E4448" s="5" t="str">
        <f>VLOOKUP(F4448,'Set up'!$A$2:$C$70,2,FALSE)</f>
        <v>C00000044</v>
      </c>
      <c r="F4448" s="151" t="s">
        <v>2929</v>
      </c>
      <c r="G4448" s="151" t="s">
        <v>2570</v>
      </c>
      <c r="H4448" s="105">
        <v>3</v>
      </c>
      <c r="I4448" s="5" t="str">
        <f>VLOOKUP(F4448,'Set up'!$A$2:$C$70,3,FALSE)</f>
        <v>Cash</v>
      </c>
      <c r="J4448" s="5">
        <f>VLOOKUP(F4448,'Set up'!$A$2:$D$70,4,FALSE)</f>
        <v>0</v>
      </c>
      <c r="K4448" s="4">
        <f t="shared" si="1059"/>
        <v>45927</v>
      </c>
      <c r="L4448" s="5">
        <f t="shared" si="1060"/>
        <v>9</v>
      </c>
      <c r="M4448" s="5">
        <f t="shared" si="1061"/>
        <v>2025</v>
      </c>
      <c r="N4448" s="135">
        <v>648</v>
      </c>
      <c r="P4448" s="12"/>
      <c r="Q4448" s="7">
        <f t="shared" si="1062"/>
        <v>7358274.4500000067</v>
      </c>
      <c r="R4448" s="44" t="str">
        <f>VLOOKUP(F4448,'Set up'!$A$2:$E$70,5,FALSE)</f>
        <v>Cash</v>
      </c>
    </row>
    <row r="4449" spans="1:18" ht="16.2" customHeight="1" x14ac:dyDescent="0.3">
      <c r="A4449" s="150" t="s">
        <v>4164</v>
      </c>
      <c r="B4449" s="5">
        <f t="shared" si="1063"/>
        <v>9</v>
      </c>
      <c r="C4449" s="5">
        <f t="shared" si="1064"/>
        <v>2025</v>
      </c>
      <c r="D4449" s="150" t="s">
        <v>4195</v>
      </c>
      <c r="E4449" s="5" t="str">
        <f>VLOOKUP(F4449,'Set up'!$A$2:$C$70,2,FALSE)</f>
        <v>C00000044</v>
      </c>
      <c r="F4449" s="151" t="s">
        <v>2929</v>
      </c>
      <c r="G4449" s="151" t="s">
        <v>3255</v>
      </c>
      <c r="H4449" s="105">
        <v>5</v>
      </c>
      <c r="I4449" s="5" t="str">
        <f>VLOOKUP(F4449,'Set up'!$A$2:$C$70,3,FALSE)</f>
        <v>Cash</v>
      </c>
      <c r="J4449" s="5">
        <f>VLOOKUP(F4449,'Set up'!$A$2:$D$70,4,FALSE)</f>
        <v>0</v>
      </c>
      <c r="K4449" s="4">
        <f t="shared" si="1059"/>
        <v>45927</v>
      </c>
      <c r="L4449" s="5">
        <f t="shared" si="1060"/>
        <v>9</v>
      </c>
      <c r="M4449" s="5">
        <f t="shared" si="1061"/>
        <v>2025</v>
      </c>
      <c r="N4449" s="135">
        <v>875</v>
      </c>
      <c r="P4449" s="12"/>
      <c r="Q4449" s="7">
        <f t="shared" si="1062"/>
        <v>7359149.4500000067</v>
      </c>
      <c r="R4449" s="44" t="str">
        <f>VLOOKUP(F4449,'Set up'!$A$2:$E$70,5,FALSE)</f>
        <v>Cash</v>
      </c>
    </row>
    <row r="4450" spans="1:18" ht="16.2" customHeight="1" x14ac:dyDescent="0.3">
      <c r="A4450" s="150" t="s">
        <v>4164</v>
      </c>
      <c r="B4450" s="5">
        <f t="shared" si="1063"/>
        <v>9</v>
      </c>
      <c r="C4450" s="5">
        <f t="shared" si="1064"/>
        <v>2025</v>
      </c>
      <c r="D4450" s="150" t="s">
        <v>4195</v>
      </c>
      <c r="E4450" s="5" t="str">
        <f>VLOOKUP(F4450,'Set up'!$A$2:$C$70,2,FALSE)</f>
        <v>C00000044</v>
      </c>
      <c r="F4450" s="151" t="s">
        <v>2929</v>
      </c>
      <c r="G4450" s="151" t="s">
        <v>945</v>
      </c>
      <c r="H4450" s="105">
        <v>1</v>
      </c>
      <c r="I4450" s="5" t="str">
        <f>VLOOKUP(F4450,'Set up'!$A$2:$C$70,3,FALSE)</f>
        <v>Cash</v>
      </c>
      <c r="J4450" s="5">
        <f>VLOOKUP(F4450,'Set up'!$A$2:$D$70,4,FALSE)</f>
        <v>0</v>
      </c>
      <c r="K4450" s="4">
        <f t="shared" si="1059"/>
        <v>45927</v>
      </c>
      <c r="L4450" s="5">
        <f t="shared" si="1060"/>
        <v>9</v>
      </c>
      <c r="M4450" s="5">
        <f t="shared" si="1061"/>
        <v>2025</v>
      </c>
      <c r="N4450" s="135">
        <v>115</v>
      </c>
      <c r="P4450" s="12"/>
      <c r="Q4450" s="7">
        <f t="shared" si="1062"/>
        <v>7359264.4500000067</v>
      </c>
      <c r="R4450" s="44" t="str">
        <f>VLOOKUP(F4450,'Set up'!$A$2:$E$70,5,FALSE)</f>
        <v>Cash</v>
      </c>
    </row>
    <row r="4451" spans="1:18" ht="16.2" customHeight="1" x14ac:dyDescent="0.3">
      <c r="A4451" s="150" t="s">
        <v>4164</v>
      </c>
      <c r="B4451" s="5">
        <f t="shared" si="1063"/>
        <v>9</v>
      </c>
      <c r="C4451" s="5">
        <f t="shared" si="1064"/>
        <v>2025</v>
      </c>
      <c r="D4451" s="150" t="s">
        <v>4196</v>
      </c>
      <c r="E4451" s="5" t="str">
        <f>VLOOKUP(F4451,'Set up'!$A$2:$C$70,2,FALSE)</f>
        <v>C00000013</v>
      </c>
      <c r="F4451" s="151" t="s">
        <v>3549</v>
      </c>
      <c r="G4451" s="151" t="s">
        <v>3507</v>
      </c>
      <c r="H4451" s="105">
        <v>3</v>
      </c>
      <c r="I4451" s="5" t="str">
        <f>VLOOKUP(F4451,'Set up'!$A$2:$C$70,3,FALSE)</f>
        <v>Cash</v>
      </c>
      <c r="J4451" s="5">
        <f>VLOOKUP(F4451,'Set up'!$A$2:$D$70,4,FALSE)</f>
        <v>0</v>
      </c>
      <c r="K4451" s="4">
        <f t="shared" si="1059"/>
        <v>45927</v>
      </c>
      <c r="L4451" s="5">
        <f t="shared" si="1060"/>
        <v>9</v>
      </c>
      <c r="M4451" s="5">
        <f t="shared" si="1061"/>
        <v>2025</v>
      </c>
      <c r="N4451" s="135">
        <v>5197.5</v>
      </c>
      <c r="P4451" s="12"/>
      <c r="Q4451" s="7">
        <f t="shared" si="1062"/>
        <v>7364461.9500000067</v>
      </c>
      <c r="R4451" s="44" t="str">
        <f>VLOOKUP(F4451,'Set up'!$A$2:$E$70,5,FALSE)</f>
        <v>Chq</v>
      </c>
    </row>
    <row r="4452" spans="1:18" ht="16.2" customHeight="1" x14ac:dyDescent="0.3">
      <c r="A4452" s="150" t="s">
        <v>4164</v>
      </c>
      <c r="B4452" s="5">
        <f t="shared" si="1063"/>
        <v>9</v>
      </c>
      <c r="C4452" s="5">
        <f t="shared" si="1064"/>
        <v>2025</v>
      </c>
      <c r="D4452" s="150" t="s">
        <v>4196</v>
      </c>
      <c r="E4452" s="5" t="str">
        <f>VLOOKUP(F4452,'Set up'!$A$2:$C$70,2,FALSE)</f>
        <v>C00000013</v>
      </c>
      <c r="F4452" s="151" t="s">
        <v>3549</v>
      </c>
      <c r="G4452" s="151" t="s">
        <v>4206</v>
      </c>
      <c r="H4452" s="105">
        <v>3</v>
      </c>
      <c r="I4452" s="5" t="str">
        <f>VLOOKUP(F4452,'Set up'!$A$2:$C$70,3,FALSE)</f>
        <v>Cash</v>
      </c>
      <c r="J4452" s="5">
        <f>VLOOKUP(F4452,'Set up'!$A$2:$D$70,4,FALSE)</f>
        <v>0</v>
      </c>
      <c r="K4452" s="4">
        <f t="shared" si="1059"/>
        <v>45927</v>
      </c>
      <c r="L4452" s="5">
        <f t="shared" si="1060"/>
        <v>9</v>
      </c>
      <c r="M4452" s="5">
        <f t="shared" si="1061"/>
        <v>2025</v>
      </c>
      <c r="N4452" s="135">
        <v>1507.5</v>
      </c>
      <c r="P4452" s="12"/>
      <c r="Q4452" s="7">
        <f t="shared" si="1062"/>
        <v>7365969.4500000067</v>
      </c>
      <c r="R4452" s="44" t="str">
        <f>VLOOKUP(F4452,'Set up'!$A$2:$E$70,5,FALSE)</f>
        <v>Chq</v>
      </c>
    </row>
    <row r="4453" spans="1:18" ht="16.2" customHeight="1" x14ac:dyDescent="0.3">
      <c r="A4453" s="150" t="s">
        <v>4164</v>
      </c>
      <c r="B4453" s="5">
        <f t="shared" si="1063"/>
        <v>9</v>
      </c>
      <c r="C4453" s="5">
        <f t="shared" si="1064"/>
        <v>2025</v>
      </c>
      <c r="D4453" s="150" t="s">
        <v>4196</v>
      </c>
      <c r="E4453" s="5" t="str">
        <f>VLOOKUP(F4453,'Set up'!$A$2:$C$70,2,FALSE)</f>
        <v>C00000013</v>
      </c>
      <c r="F4453" s="151" t="s">
        <v>3549</v>
      </c>
      <c r="G4453" s="151" t="s">
        <v>3508</v>
      </c>
      <c r="H4453" s="105">
        <v>3</v>
      </c>
      <c r="I4453" s="5" t="str">
        <f>VLOOKUP(F4453,'Set up'!$A$2:$C$70,3,FALSE)</f>
        <v>Cash</v>
      </c>
      <c r="J4453" s="5">
        <f>VLOOKUP(F4453,'Set up'!$A$2:$D$70,4,FALSE)</f>
        <v>0</v>
      </c>
      <c r="K4453" s="4">
        <f t="shared" si="1059"/>
        <v>45927</v>
      </c>
      <c r="L4453" s="5">
        <f t="shared" si="1060"/>
        <v>9</v>
      </c>
      <c r="M4453" s="5">
        <f t="shared" si="1061"/>
        <v>2025</v>
      </c>
      <c r="N4453" s="135">
        <v>851.4</v>
      </c>
      <c r="P4453" s="12"/>
      <c r="Q4453" s="7">
        <f t="shared" si="1062"/>
        <v>7366820.8500000071</v>
      </c>
      <c r="R4453" s="44" t="str">
        <f>VLOOKUP(F4453,'Set up'!$A$2:$E$70,5,FALSE)</f>
        <v>Chq</v>
      </c>
    </row>
    <row r="4454" spans="1:18" ht="16.2" customHeight="1" x14ac:dyDescent="0.3">
      <c r="A4454" s="150" t="s">
        <v>4164</v>
      </c>
      <c r="B4454" s="5">
        <f t="shared" si="1063"/>
        <v>9</v>
      </c>
      <c r="C4454" s="5">
        <f t="shared" si="1064"/>
        <v>2025</v>
      </c>
      <c r="D4454" s="150" t="s">
        <v>4196</v>
      </c>
      <c r="E4454" s="5" t="str">
        <f>VLOOKUP(F4454,'Set up'!$A$2:$C$70,2,FALSE)</f>
        <v>C00000013</v>
      </c>
      <c r="F4454" s="151" t="s">
        <v>3549</v>
      </c>
      <c r="G4454" s="151" t="s">
        <v>4207</v>
      </c>
      <c r="H4454" s="105">
        <v>1</v>
      </c>
      <c r="I4454" s="5" t="str">
        <f>VLOOKUP(F4454,'Set up'!$A$2:$C$70,3,FALSE)</f>
        <v>Cash</v>
      </c>
      <c r="J4454" s="5">
        <f>VLOOKUP(F4454,'Set up'!$A$2:$D$70,4,FALSE)</f>
        <v>0</v>
      </c>
      <c r="K4454" s="4">
        <f t="shared" si="1059"/>
        <v>45927</v>
      </c>
      <c r="L4454" s="5">
        <f t="shared" si="1060"/>
        <v>9</v>
      </c>
      <c r="M4454" s="5">
        <f t="shared" si="1061"/>
        <v>2025</v>
      </c>
      <c r="N4454" s="135">
        <v>35</v>
      </c>
      <c r="P4454" s="12"/>
      <c r="Q4454" s="7">
        <f t="shared" si="1062"/>
        <v>7366855.8500000071</v>
      </c>
      <c r="R4454" s="44" t="str">
        <f>VLOOKUP(F4454,'Set up'!$A$2:$E$70,5,FALSE)</f>
        <v>Chq</v>
      </c>
    </row>
    <row r="4455" spans="1:18" ht="16.2" customHeight="1" x14ac:dyDescent="0.3">
      <c r="A4455" s="150" t="s">
        <v>4164</v>
      </c>
      <c r="B4455" s="5">
        <f t="shared" si="1063"/>
        <v>9</v>
      </c>
      <c r="C4455" s="5">
        <f t="shared" si="1064"/>
        <v>2025</v>
      </c>
      <c r="D4455" s="150" t="s">
        <v>4196</v>
      </c>
      <c r="E4455" s="5" t="str">
        <f>VLOOKUP(F4455,'Set up'!$A$2:$C$70,2,FALSE)</f>
        <v>C00000013</v>
      </c>
      <c r="F4455" s="151" t="s">
        <v>3549</v>
      </c>
      <c r="G4455" s="151" t="s">
        <v>1449</v>
      </c>
      <c r="H4455" s="105">
        <v>1</v>
      </c>
      <c r="I4455" s="5" t="str">
        <f>VLOOKUP(F4455,'Set up'!$A$2:$C$70,3,FALSE)</f>
        <v>Cash</v>
      </c>
      <c r="J4455" s="5">
        <f>VLOOKUP(F4455,'Set up'!$A$2:$D$70,4,FALSE)</f>
        <v>0</v>
      </c>
      <c r="K4455" s="4">
        <f t="shared" si="1059"/>
        <v>45927</v>
      </c>
      <c r="L4455" s="5">
        <f t="shared" si="1060"/>
        <v>9</v>
      </c>
      <c r="M4455" s="5">
        <f t="shared" si="1061"/>
        <v>2025</v>
      </c>
      <c r="N4455" s="135">
        <v>120</v>
      </c>
      <c r="P4455" s="12"/>
      <c r="Q4455" s="7">
        <f t="shared" si="1062"/>
        <v>7366975.8500000071</v>
      </c>
      <c r="R4455" s="44" t="str">
        <f>VLOOKUP(F4455,'Set up'!$A$2:$E$70,5,FALSE)</f>
        <v>Chq</v>
      </c>
    </row>
    <row r="4456" spans="1:18" ht="16.2" customHeight="1" x14ac:dyDescent="0.3">
      <c r="A4456" s="150" t="s">
        <v>4165</v>
      </c>
      <c r="B4456" s="5">
        <f t="shared" si="1063"/>
        <v>9</v>
      </c>
      <c r="C4456" s="5">
        <f t="shared" si="1064"/>
        <v>2025</v>
      </c>
      <c r="D4456" s="150" t="s">
        <v>4197</v>
      </c>
      <c r="E4456" s="5" t="e">
        <f>VLOOKUP(F4456,'Set up'!$A$2:$C$70,2,FALSE)</f>
        <v>#N/A</v>
      </c>
      <c r="F4456" s="151" t="s">
        <v>4130</v>
      </c>
      <c r="G4456" s="151" t="s">
        <v>3122</v>
      </c>
      <c r="H4456" s="105">
        <v>1</v>
      </c>
      <c r="I4456" s="5" t="e">
        <f>VLOOKUP(F4456,'Set up'!$A$2:$C$70,3,FALSE)</f>
        <v>#N/A</v>
      </c>
      <c r="J4456" s="5" t="e">
        <f>VLOOKUP(F4456,'Set up'!$A$2:$D$70,4,FALSE)</f>
        <v>#N/A</v>
      </c>
      <c r="K4456" s="4" t="e">
        <f t="shared" si="1059"/>
        <v>#N/A</v>
      </c>
      <c r="L4456" s="5" t="e">
        <f t="shared" si="1060"/>
        <v>#N/A</v>
      </c>
      <c r="M4456" s="5" t="e">
        <f t="shared" si="1061"/>
        <v>#N/A</v>
      </c>
      <c r="N4456" s="135">
        <v>1687.5</v>
      </c>
      <c r="P4456" s="12"/>
      <c r="Q4456" s="7">
        <f t="shared" si="1062"/>
        <v>7368663.3500000071</v>
      </c>
      <c r="R4456" s="44" t="e">
        <f>VLOOKUP(F4456,'Set up'!$A$2:$E$70,5,FALSE)</f>
        <v>#N/A</v>
      </c>
    </row>
    <row r="4457" spans="1:18" ht="16.2" customHeight="1" x14ac:dyDescent="0.3">
      <c r="A4457" s="150" t="s">
        <v>4165</v>
      </c>
      <c r="B4457" s="5">
        <f t="shared" si="1063"/>
        <v>9</v>
      </c>
      <c r="C4457" s="5">
        <f t="shared" si="1064"/>
        <v>2025</v>
      </c>
      <c r="D4457" s="150" t="s">
        <v>4197</v>
      </c>
      <c r="E4457" s="5" t="e">
        <f>VLOOKUP(F4457,'Set up'!$A$2:$C$70,2,FALSE)</f>
        <v>#N/A</v>
      </c>
      <c r="F4457" s="151" t="s">
        <v>4130</v>
      </c>
      <c r="G4457" s="151" t="s">
        <v>1545</v>
      </c>
      <c r="H4457" s="105">
        <v>1</v>
      </c>
      <c r="I4457" s="5" t="e">
        <f>VLOOKUP(F4457,'Set up'!$A$2:$C$70,3,FALSE)</f>
        <v>#N/A</v>
      </c>
      <c r="J4457" s="5" t="e">
        <f>VLOOKUP(F4457,'Set up'!$A$2:$D$70,4,FALSE)</f>
        <v>#N/A</v>
      </c>
      <c r="K4457" s="4" t="e">
        <f t="shared" si="1059"/>
        <v>#N/A</v>
      </c>
      <c r="L4457" s="5" t="e">
        <f t="shared" si="1060"/>
        <v>#N/A</v>
      </c>
      <c r="M4457" s="5" t="e">
        <f t="shared" si="1061"/>
        <v>#N/A</v>
      </c>
      <c r="N4457" s="135">
        <v>489.1</v>
      </c>
      <c r="P4457" s="12"/>
      <c r="Q4457" s="7">
        <f t="shared" si="1062"/>
        <v>7369152.4500000067</v>
      </c>
      <c r="R4457" s="44" t="e">
        <f>VLOOKUP(F4457,'Set up'!$A$2:$E$70,5,FALSE)</f>
        <v>#N/A</v>
      </c>
    </row>
    <row r="4458" spans="1:18" ht="16.2" customHeight="1" x14ac:dyDescent="0.3">
      <c r="A4458" s="150" t="s">
        <v>4165</v>
      </c>
      <c r="B4458" s="5">
        <f t="shared" si="1063"/>
        <v>9</v>
      </c>
      <c r="C4458" s="5">
        <f t="shared" si="1064"/>
        <v>2025</v>
      </c>
      <c r="D4458" s="150" t="s">
        <v>4197</v>
      </c>
      <c r="E4458" s="5" t="e">
        <f>VLOOKUP(F4458,'Set up'!$A$2:$C$70,2,FALSE)</f>
        <v>#N/A</v>
      </c>
      <c r="F4458" s="151" t="s">
        <v>4130</v>
      </c>
      <c r="G4458" s="151" t="s">
        <v>4133</v>
      </c>
      <c r="H4458" s="105">
        <v>1</v>
      </c>
      <c r="I4458" s="5" t="e">
        <f>VLOOKUP(F4458,'Set up'!$A$2:$C$70,3,FALSE)</f>
        <v>#N/A</v>
      </c>
      <c r="J4458" s="5" t="e">
        <f>VLOOKUP(F4458,'Set up'!$A$2:$D$70,4,FALSE)</f>
        <v>#N/A</v>
      </c>
      <c r="K4458" s="4" t="e">
        <f t="shared" si="1059"/>
        <v>#N/A</v>
      </c>
      <c r="L4458" s="5" t="e">
        <f t="shared" si="1060"/>
        <v>#N/A</v>
      </c>
      <c r="M4458" s="5" t="e">
        <f t="shared" si="1061"/>
        <v>#N/A</v>
      </c>
      <c r="N4458" s="135">
        <v>155</v>
      </c>
      <c r="P4458" s="12"/>
      <c r="Q4458" s="7">
        <f t="shared" si="1062"/>
        <v>7369307.4500000067</v>
      </c>
      <c r="R4458" s="44" t="e">
        <f>VLOOKUP(F4458,'Set up'!$A$2:$E$70,5,FALSE)</f>
        <v>#N/A</v>
      </c>
    </row>
    <row r="4459" spans="1:18" ht="16.2" customHeight="1" x14ac:dyDescent="0.3">
      <c r="A4459" s="150" t="s">
        <v>4165</v>
      </c>
      <c r="B4459" s="5">
        <f t="shared" si="1063"/>
        <v>9</v>
      </c>
      <c r="C4459" s="5">
        <f t="shared" si="1064"/>
        <v>2025</v>
      </c>
      <c r="D4459" s="150" t="s">
        <v>4197</v>
      </c>
      <c r="E4459" s="5" t="e">
        <f>VLOOKUP(F4459,'Set up'!$A$2:$C$70,2,FALSE)</f>
        <v>#N/A</v>
      </c>
      <c r="F4459" s="151" t="s">
        <v>4130</v>
      </c>
      <c r="G4459" s="151" t="s">
        <v>2144</v>
      </c>
      <c r="H4459" s="105">
        <v>1</v>
      </c>
      <c r="I4459" s="5" t="e">
        <f>VLOOKUP(F4459,'Set up'!$A$2:$C$70,3,FALSE)</f>
        <v>#N/A</v>
      </c>
      <c r="J4459" s="5" t="e">
        <f>VLOOKUP(F4459,'Set up'!$A$2:$D$70,4,FALSE)</f>
        <v>#N/A</v>
      </c>
      <c r="K4459" s="4" t="e">
        <f t="shared" si="1059"/>
        <v>#N/A</v>
      </c>
      <c r="L4459" s="5" t="e">
        <f t="shared" si="1060"/>
        <v>#N/A</v>
      </c>
      <c r="M4459" s="5" t="e">
        <f t="shared" si="1061"/>
        <v>#N/A</v>
      </c>
      <c r="N4459" s="135">
        <v>286</v>
      </c>
      <c r="P4459" s="12"/>
      <c r="Q4459" s="7">
        <f t="shared" si="1062"/>
        <v>7369593.4500000067</v>
      </c>
      <c r="R4459" s="44" t="e">
        <f>VLOOKUP(F4459,'Set up'!$A$2:$E$70,5,FALSE)</f>
        <v>#N/A</v>
      </c>
    </row>
    <row r="4460" spans="1:18" ht="16.2" customHeight="1" x14ac:dyDescent="0.3">
      <c r="A4460" s="150" t="s">
        <v>4165</v>
      </c>
      <c r="B4460" s="5">
        <f t="shared" si="1063"/>
        <v>9</v>
      </c>
      <c r="C4460" s="5">
        <f t="shared" si="1064"/>
        <v>2025</v>
      </c>
      <c r="D4460" s="150" t="s">
        <v>4197</v>
      </c>
      <c r="E4460" s="5" t="e">
        <f>VLOOKUP(F4460,'Set up'!$A$2:$C$70,2,FALSE)</f>
        <v>#N/A</v>
      </c>
      <c r="F4460" s="151" t="s">
        <v>4130</v>
      </c>
      <c r="G4460" s="151" t="s">
        <v>945</v>
      </c>
      <c r="H4460" s="105">
        <v>1</v>
      </c>
      <c r="I4460" s="5" t="e">
        <f>VLOOKUP(F4460,'Set up'!$A$2:$C$70,3,FALSE)</f>
        <v>#N/A</v>
      </c>
      <c r="J4460" s="5" t="e">
        <f>VLOOKUP(F4460,'Set up'!$A$2:$D$70,4,FALSE)</f>
        <v>#N/A</v>
      </c>
      <c r="K4460" s="4" t="e">
        <f t="shared" si="1059"/>
        <v>#N/A</v>
      </c>
      <c r="L4460" s="5" t="e">
        <f t="shared" si="1060"/>
        <v>#N/A</v>
      </c>
      <c r="M4460" s="5" t="e">
        <f t="shared" si="1061"/>
        <v>#N/A</v>
      </c>
      <c r="N4460" s="135">
        <v>120</v>
      </c>
      <c r="P4460" s="12"/>
      <c r="Q4460" s="7">
        <f t="shared" si="1062"/>
        <v>7369713.4500000067</v>
      </c>
      <c r="R4460" s="44" t="e">
        <f>VLOOKUP(F4460,'Set up'!$A$2:$E$70,5,FALSE)</f>
        <v>#N/A</v>
      </c>
    </row>
    <row r="4461" spans="1:18" s="10" customFormat="1" ht="16.2" customHeight="1" x14ac:dyDescent="0.3">
      <c r="A4461" s="152" t="s">
        <v>4165</v>
      </c>
      <c r="B4461" s="153">
        <f t="shared" si="1063"/>
        <v>9</v>
      </c>
      <c r="C4461" s="153">
        <f t="shared" si="1064"/>
        <v>2025</v>
      </c>
      <c r="D4461" s="152" t="s">
        <v>4197</v>
      </c>
      <c r="E4461" s="153" t="e">
        <f>VLOOKUP(F4461,'Set up'!$A$2:$C$70,2,FALSE)</f>
        <v>#N/A</v>
      </c>
      <c r="F4461" s="157" t="s">
        <v>4130</v>
      </c>
      <c r="G4461" s="157" t="s">
        <v>1405</v>
      </c>
      <c r="H4461" s="144">
        <v>2</v>
      </c>
      <c r="I4461" s="153" t="e">
        <f>VLOOKUP(F4461,'Set up'!$A$2:$C$70,3,FALSE)</f>
        <v>#N/A</v>
      </c>
      <c r="J4461" s="153" t="e">
        <f>VLOOKUP(F4461,'Set up'!$A$2:$D$70,4,FALSE)</f>
        <v>#N/A</v>
      </c>
      <c r="K4461" s="154" t="e">
        <f t="shared" si="1059"/>
        <v>#N/A</v>
      </c>
      <c r="L4461" s="5" t="e">
        <f t="shared" si="1060"/>
        <v>#N/A</v>
      </c>
      <c r="M4461" s="5" t="e">
        <f t="shared" si="1061"/>
        <v>#N/A</v>
      </c>
      <c r="N4461" s="146">
        <v>96</v>
      </c>
      <c r="O4461" s="34"/>
      <c r="P4461" s="34"/>
      <c r="Q4461" s="7">
        <f t="shared" si="1062"/>
        <v>7369809.4500000067</v>
      </c>
      <c r="R4461" s="155" t="e">
        <f>VLOOKUP(F4461,'Set up'!$A$2:$E$70,5,FALSE)</f>
        <v>#N/A</v>
      </c>
    </row>
    <row r="4462" spans="1:18" ht="16.2" customHeight="1" x14ac:dyDescent="0.3">
      <c r="A4462" s="150" t="s">
        <v>4244</v>
      </c>
      <c r="B4462" s="5">
        <f t="shared" ref="B4462" si="1065">MONTH(A4462)</f>
        <v>10</v>
      </c>
      <c r="C4462" s="5">
        <f t="shared" ref="C4462" si="1066">YEAR(A4462)</f>
        <v>2025</v>
      </c>
      <c r="D4462" s="150" t="s">
        <v>4208</v>
      </c>
      <c r="E4462" s="5" t="str">
        <f>VLOOKUP(F4462,'Set up'!$A$2:$C$70,2,FALSE)</f>
        <v>C00000010</v>
      </c>
      <c r="F4462" s="151" t="s">
        <v>62</v>
      </c>
      <c r="G4462" s="151" t="s">
        <v>3645</v>
      </c>
      <c r="H4462" s="150">
        <v>10</v>
      </c>
      <c r="I4462" s="5">
        <f>VLOOKUP(F4462,'Set up'!$A$2:$C$70,3,FALSE)</f>
        <v>120</v>
      </c>
      <c r="J4462" s="5">
        <f>VLOOKUP(F4462,'Set up'!$A$2:$D$70,4,FALSE)</f>
        <v>120</v>
      </c>
      <c r="K4462" s="4">
        <f t="shared" ref="K4462" si="1067">A4462+J4462</f>
        <v>46051</v>
      </c>
      <c r="L4462" s="5">
        <f t="shared" si="1060"/>
        <v>1</v>
      </c>
      <c r="M4462" s="5">
        <f t="shared" si="1061"/>
        <v>2026</v>
      </c>
      <c r="N4462" s="156">
        <v>15525</v>
      </c>
      <c r="P4462" s="12"/>
      <c r="Q4462" s="7">
        <f t="shared" si="1062"/>
        <v>7385334.4500000067</v>
      </c>
      <c r="R4462" s="44" t="str">
        <f>VLOOKUP(F4462,'Set up'!$A$2:$E$70,5,FALSE)</f>
        <v>Trsf</v>
      </c>
    </row>
    <row r="4463" spans="1:18" ht="16.2" customHeight="1" x14ac:dyDescent="0.3">
      <c r="A4463" s="150" t="s">
        <v>4244</v>
      </c>
      <c r="B4463" s="5">
        <f t="shared" ref="B4463:B4526" si="1068">MONTH(A4463)</f>
        <v>10</v>
      </c>
      <c r="C4463" s="5">
        <f t="shared" ref="C4463:C4526" si="1069">YEAR(A4463)</f>
        <v>2025</v>
      </c>
      <c r="D4463" s="150" t="s">
        <v>4208</v>
      </c>
      <c r="E4463" s="5" t="str">
        <f>VLOOKUP(F4463,'Set up'!$A$2:$C$70,2,FALSE)</f>
        <v>C00000010</v>
      </c>
      <c r="F4463" s="151" t="s">
        <v>62</v>
      </c>
      <c r="G4463" s="151" t="s">
        <v>1543</v>
      </c>
      <c r="H4463" s="150">
        <v>15</v>
      </c>
      <c r="I4463" s="5">
        <f>VLOOKUP(F4463,'Set up'!$A$2:$C$70,3,FALSE)</f>
        <v>120</v>
      </c>
      <c r="J4463" s="5">
        <f>VLOOKUP(F4463,'Set up'!$A$2:$D$70,4,FALSE)</f>
        <v>120</v>
      </c>
      <c r="K4463" s="4">
        <f t="shared" ref="K4463:K4526" si="1070">A4463+J4463</f>
        <v>46051</v>
      </c>
      <c r="L4463" s="5">
        <f t="shared" si="1060"/>
        <v>1</v>
      </c>
      <c r="M4463" s="5">
        <f t="shared" si="1061"/>
        <v>2026</v>
      </c>
      <c r="N4463" s="156">
        <v>2610</v>
      </c>
      <c r="P4463" s="12"/>
      <c r="Q4463" s="7">
        <f t="shared" si="1062"/>
        <v>7387944.4500000067</v>
      </c>
      <c r="R4463" s="44" t="str">
        <f>VLOOKUP(F4463,'Set up'!$A$2:$E$70,5,FALSE)</f>
        <v>Trsf</v>
      </c>
    </row>
    <row r="4464" spans="1:18" ht="16.2" customHeight="1" x14ac:dyDescent="0.3">
      <c r="A4464" s="150" t="s">
        <v>4244</v>
      </c>
      <c r="B4464" s="5">
        <f t="shared" si="1068"/>
        <v>10</v>
      </c>
      <c r="C4464" s="5">
        <f t="shared" si="1069"/>
        <v>2025</v>
      </c>
      <c r="D4464" s="150" t="s">
        <v>4208</v>
      </c>
      <c r="E4464" s="5" t="str">
        <f>VLOOKUP(F4464,'Set up'!$A$2:$C$70,2,FALSE)</f>
        <v>C00000010</v>
      </c>
      <c r="F4464" s="151" t="s">
        <v>62</v>
      </c>
      <c r="G4464" s="151" t="s">
        <v>614</v>
      </c>
      <c r="H4464" s="150">
        <v>1</v>
      </c>
      <c r="I4464" s="5">
        <f>VLOOKUP(F4464,'Set up'!$A$2:$C$70,3,FALSE)</f>
        <v>120</v>
      </c>
      <c r="J4464" s="5">
        <f>VLOOKUP(F4464,'Set up'!$A$2:$D$70,4,FALSE)</f>
        <v>120</v>
      </c>
      <c r="K4464" s="4">
        <f t="shared" si="1070"/>
        <v>46051</v>
      </c>
      <c r="L4464" s="5">
        <f t="shared" si="1060"/>
        <v>1</v>
      </c>
      <c r="M4464" s="5">
        <f t="shared" si="1061"/>
        <v>2026</v>
      </c>
      <c r="N4464" s="156">
        <v>395</v>
      </c>
      <c r="P4464" s="12"/>
      <c r="Q4464" s="7">
        <f t="shared" si="1062"/>
        <v>7388339.4500000067</v>
      </c>
      <c r="R4464" s="44" t="str">
        <f>VLOOKUP(F4464,'Set up'!$A$2:$E$70,5,FALSE)</f>
        <v>Trsf</v>
      </c>
    </row>
    <row r="4465" spans="1:18" ht="16.2" customHeight="1" x14ac:dyDescent="0.3">
      <c r="A4465" s="150" t="s">
        <v>4244</v>
      </c>
      <c r="B4465" s="5">
        <f t="shared" si="1068"/>
        <v>10</v>
      </c>
      <c r="C4465" s="5">
        <f t="shared" si="1069"/>
        <v>2025</v>
      </c>
      <c r="D4465" s="150" t="s">
        <v>4208</v>
      </c>
      <c r="E4465" s="5" t="str">
        <f>VLOOKUP(F4465,'Set up'!$A$2:$C$70,2,FALSE)</f>
        <v>C00000010</v>
      </c>
      <c r="F4465" s="151" t="s">
        <v>62</v>
      </c>
      <c r="G4465" s="151" t="s">
        <v>46</v>
      </c>
      <c r="H4465" s="150">
        <v>8</v>
      </c>
      <c r="I4465" s="5">
        <f>VLOOKUP(F4465,'Set up'!$A$2:$C$70,3,FALSE)</f>
        <v>120</v>
      </c>
      <c r="J4465" s="5">
        <f>VLOOKUP(F4465,'Set up'!$A$2:$D$70,4,FALSE)</f>
        <v>120</v>
      </c>
      <c r="K4465" s="4">
        <f t="shared" si="1070"/>
        <v>46051</v>
      </c>
      <c r="L4465" s="5">
        <f t="shared" si="1060"/>
        <v>1</v>
      </c>
      <c r="M4465" s="5">
        <f t="shared" si="1061"/>
        <v>2026</v>
      </c>
      <c r="N4465" s="156">
        <v>920</v>
      </c>
      <c r="P4465" s="12"/>
      <c r="Q4465" s="7">
        <f t="shared" si="1062"/>
        <v>7389259.4500000067</v>
      </c>
      <c r="R4465" s="44" t="str">
        <f>VLOOKUP(F4465,'Set up'!$A$2:$E$70,5,FALSE)</f>
        <v>Trsf</v>
      </c>
    </row>
    <row r="4466" spans="1:18" ht="16.2" customHeight="1" x14ac:dyDescent="0.3">
      <c r="A4466" s="150" t="s">
        <v>4244</v>
      </c>
      <c r="B4466" s="5">
        <f t="shared" si="1068"/>
        <v>10</v>
      </c>
      <c r="C4466" s="5">
        <f t="shared" si="1069"/>
        <v>2025</v>
      </c>
      <c r="D4466" s="150" t="s">
        <v>4208</v>
      </c>
      <c r="E4466" s="5" t="str">
        <f>VLOOKUP(F4466,'Set up'!$A$2:$C$70,2,FALSE)</f>
        <v>C00000010</v>
      </c>
      <c r="F4466" s="151" t="s">
        <v>62</v>
      </c>
      <c r="G4466" s="151" t="s">
        <v>2449</v>
      </c>
      <c r="H4466" s="150">
        <v>2</v>
      </c>
      <c r="I4466" s="5">
        <f>VLOOKUP(F4466,'Set up'!$A$2:$C$70,3,FALSE)</f>
        <v>120</v>
      </c>
      <c r="J4466" s="5">
        <f>VLOOKUP(F4466,'Set up'!$A$2:$D$70,4,FALSE)</f>
        <v>120</v>
      </c>
      <c r="K4466" s="4">
        <f t="shared" si="1070"/>
        <v>46051</v>
      </c>
      <c r="L4466" s="5">
        <f t="shared" si="1060"/>
        <v>1</v>
      </c>
      <c r="M4466" s="5">
        <f t="shared" si="1061"/>
        <v>2026</v>
      </c>
      <c r="N4466" s="156">
        <v>840</v>
      </c>
      <c r="P4466" s="12"/>
      <c r="Q4466" s="7">
        <f t="shared" si="1062"/>
        <v>7390099.4500000067</v>
      </c>
      <c r="R4466" s="44" t="str">
        <f>VLOOKUP(F4466,'Set up'!$A$2:$E$70,5,FALSE)</f>
        <v>Trsf</v>
      </c>
    </row>
    <row r="4467" spans="1:18" ht="16.2" customHeight="1" x14ac:dyDescent="0.3">
      <c r="A4467" s="150" t="s">
        <v>4244</v>
      </c>
      <c r="B4467" s="5">
        <f t="shared" si="1068"/>
        <v>10</v>
      </c>
      <c r="C4467" s="5">
        <f t="shared" si="1069"/>
        <v>2025</v>
      </c>
      <c r="D4467" s="150" t="s">
        <v>4209</v>
      </c>
      <c r="E4467" s="5" t="str">
        <f>VLOOKUP(F4467,'Set up'!$A$2:$C$70,2,FALSE)</f>
        <v>C00000042</v>
      </c>
      <c r="F4467" s="151" t="s">
        <v>2012</v>
      </c>
      <c r="G4467" s="151" t="s">
        <v>2646</v>
      </c>
      <c r="H4467" s="150">
        <v>2</v>
      </c>
      <c r="I4467" s="5" t="str">
        <f>VLOOKUP(F4467,'Set up'!$A$2:$C$70,3,FALSE)</f>
        <v>Cash</v>
      </c>
      <c r="J4467" s="5">
        <f>VLOOKUP(F4467,'Set up'!$A$2:$D$70,4,FALSE)</f>
        <v>0</v>
      </c>
      <c r="K4467" s="4">
        <f t="shared" si="1070"/>
        <v>45931</v>
      </c>
      <c r="L4467" s="5">
        <f t="shared" si="1060"/>
        <v>10</v>
      </c>
      <c r="M4467" s="5">
        <f t="shared" si="1061"/>
        <v>2025</v>
      </c>
      <c r="N4467" s="156">
        <v>125</v>
      </c>
      <c r="P4467" s="12"/>
      <c r="Q4467" s="7">
        <f t="shared" si="1062"/>
        <v>7390224.4500000067</v>
      </c>
      <c r="R4467" s="44" t="str">
        <f>VLOOKUP(F4467,'Set up'!$A$2:$E$70,5,FALSE)</f>
        <v>Trsf</v>
      </c>
    </row>
    <row r="4468" spans="1:18" ht="16.2" customHeight="1" x14ac:dyDescent="0.3">
      <c r="A4468" s="150" t="s">
        <v>4244</v>
      </c>
      <c r="B4468" s="5">
        <f t="shared" si="1068"/>
        <v>10</v>
      </c>
      <c r="C4468" s="5">
        <f t="shared" si="1069"/>
        <v>2025</v>
      </c>
      <c r="D4468" s="150" t="s">
        <v>4210</v>
      </c>
      <c r="E4468" s="5" t="str">
        <f>VLOOKUP(F4468,'Set up'!$A$2:$C$70,2,FALSE)</f>
        <v>C00000042</v>
      </c>
      <c r="F4468" s="151" t="s">
        <v>2012</v>
      </c>
      <c r="G4468" s="151" t="s">
        <v>3122</v>
      </c>
      <c r="H4468" s="150">
        <v>5</v>
      </c>
      <c r="I4468" s="5" t="str">
        <f>VLOOKUP(F4468,'Set up'!$A$2:$C$70,3,FALSE)</f>
        <v>Cash</v>
      </c>
      <c r="J4468" s="5">
        <f>VLOOKUP(F4468,'Set up'!$A$2:$D$70,4,FALSE)</f>
        <v>0</v>
      </c>
      <c r="K4468" s="4">
        <f t="shared" si="1070"/>
        <v>45931</v>
      </c>
      <c r="L4468" s="5">
        <f t="shared" si="1060"/>
        <v>10</v>
      </c>
      <c r="M4468" s="5">
        <f t="shared" si="1061"/>
        <v>2025</v>
      </c>
      <c r="N4468" s="156">
        <v>7875</v>
      </c>
      <c r="P4468" s="12"/>
      <c r="Q4468" s="7">
        <f t="shared" si="1062"/>
        <v>7398099.4500000067</v>
      </c>
      <c r="R4468" s="44" t="str">
        <f>VLOOKUP(F4468,'Set up'!$A$2:$E$70,5,FALSE)</f>
        <v>Trsf</v>
      </c>
    </row>
    <row r="4469" spans="1:18" ht="16.2" customHeight="1" x14ac:dyDescent="0.3">
      <c r="A4469" s="150" t="s">
        <v>4244</v>
      </c>
      <c r="B4469" s="5">
        <f t="shared" si="1068"/>
        <v>10</v>
      </c>
      <c r="C4469" s="5">
        <f t="shared" si="1069"/>
        <v>2025</v>
      </c>
      <c r="D4469" s="150" t="s">
        <v>4210</v>
      </c>
      <c r="E4469" s="5" t="str">
        <f>VLOOKUP(F4469,'Set up'!$A$2:$C$70,2,FALSE)</f>
        <v>C00000042</v>
      </c>
      <c r="F4469" s="151" t="s">
        <v>2012</v>
      </c>
      <c r="G4469" s="151" t="s">
        <v>1392</v>
      </c>
      <c r="H4469" s="150">
        <v>15</v>
      </c>
      <c r="I4469" s="5" t="str">
        <f>VLOOKUP(F4469,'Set up'!$A$2:$C$70,3,FALSE)</f>
        <v>Cash</v>
      </c>
      <c r="J4469" s="5">
        <f>VLOOKUP(F4469,'Set up'!$A$2:$D$70,4,FALSE)</f>
        <v>0</v>
      </c>
      <c r="K4469" s="4">
        <f t="shared" si="1070"/>
        <v>45931</v>
      </c>
      <c r="L4469" s="5">
        <f t="shared" si="1060"/>
        <v>10</v>
      </c>
      <c r="M4469" s="5">
        <f t="shared" si="1061"/>
        <v>2025</v>
      </c>
      <c r="N4469" s="156">
        <v>2655</v>
      </c>
      <c r="P4469" s="12"/>
      <c r="Q4469" s="7">
        <f t="shared" si="1062"/>
        <v>7400754.4500000067</v>
      </c>
      <c r="R4469" s="44" t="str">
        <f>VLOOKUP(F4469,'Set up'!$A$2:$E$70,5,FALSE)</f>
        <v>Trsf</v>
      </c>
    </row>
    <row r="4470" spans="1:18" ht="16.2" customHeight="1" x14ac:dyDescent="0.3">
      <c r="A4470" s="150" t="s">
        <v>4244</v>
      </c>
      <c r="B4470" s="5">
        <f t="shared" si="1068"/>
        <v>10</v>
      </c>
      <c r="C4470" s="5">
        <f t="shared" si="1069"/>
        <v>2025</v>
      </c>
      <c r="D4470" s="150" t="s">
        <v>4210</v>
      </c>
      <c r="E4470" s="5" t="str">
        <f>VLOOKUP(F4470,'Set up'!$A$2:$C$70,2,FALSE)</f>
        <v>C00000042</v>
      </c>
      <c r="F4470" s="151" t="s">
        <v>2012</v>
      </c>
      <c r="G4470" s="151" t="s">
        <v>1922</v>
      </c>
      <c r="H4470" s="150">
        <v>8</v>
      </c>
      <c r="I4470" s="5" t="str">
        <f>VLOOKUP(F4470,'Set up'!$A$2:$C$70,3,FALSE)</f>
        <v>Cash</v>
      </c>
      <c r="J4470" s="5">
        <f>VLOOKUP(F4470,'Set up'!$A$2:$D$70,4,FALSE)</f>
        <v>0</v>
      </c>
      <c r="K4470" s="4">
        <f t="shared" si="1070"/>
        <v>45931</v>
      </c>
      <c r="L4470" s="5">
        <f t="shared" si="1060"/>
        <v>10</v>
      </c>
      <c r="M4470" s="5">
        <f t="shared" si="1061"/>
        <v>2025</v>
      </c>
      <c r="N4470" s="156">
        <v>1836</v>
      </c>
      <c r="P4470" s="12"/>
      <c r="Q4470" s="7">
        <f t="shared" si="1062"/>
        <v>7402590.4500000067</v>
      </c>
      <c r="R4470" s="44" t="str">
        <f>VLOOKUP(F4470,'Set up'!$A$2:$E$70,5,FALSE)</f>
        <v>Trsf</v>
      </c>
    </row>
    <row r="4471" spans="1:18" ht="16.2" customHeight="1" x14ac:dyDescent="0.3">
      <c r="A4471" s="150" t="s">
        <v>4244</v>
      </c>
      <c r="B4471" s="5">
        <f t="shared" si="1068"/>
        <v>10</v>
      </c>
      <c r="C4471" s="5">
        <f t="shared" si="1069"/>
        <v>2025</v>
      </c>
      <c r="D4471" s="150" t="s">
        <v>4210</v>
      </c>
      <c r="E4471" s="5" t="str">
        <f>VLOOKUP(F4471,'Set up'!$A$2:$C$70,2,FALSE)</f>
        <v>C00000042</v>
      </c>
      <c r="F4471" s="151" t="s">
        <v>2012</v>
      </c>
      <c r="G4471" s="151" t="s">
        <v>46</v>
      </c>
      <c r="H4471" s="150">
        <v>4</v>
      </c>
      <c r="I4471" s="5" t="str">
        <f>VLOOKUP(F4471,'Set up'!$A$2:$C$70,3,FALSE)</f>
        <v>Cash</v>
      </c>
      <c r="J4471" s="5">
        <f>VLOOKUP(F4471,'Set up'!$A$2:$D$70,4,FALSE)</f>
        <v>0</v>
      </c>
      <c r="K4471" s="4">
        <f t="shared" si="1070"/>
        <v>45931</v>
      </c>
      <c r="L4471" s="5">
        <f t="shared" si="1060"/>
        <v>10</v>
      </c>
      <c r="M4471" s="5">
        <f t="shared" si="1061"/>
        <v>2025</v>
      </c>
      <c r="N4471" s="156">
        <v>460</v>
      </c>
      <c r="P4471" s="12"/>
      <c r="Q4471" s="7">
        <f t="shared" si="1062"/>
        <v>7403050.4500000067</v>
      </c>
      <c r="R4471" s="44" t="str">
        <f>VLOOKUP(F4471,'Set up'!$A$2:$E$70,5,FALSE)</f>
        <v>Trsf</v>
      </c>
    </row>
    <row r="4472" spans="1:18" ht="16.2" customHeight="1" x14ac:dyDescent="0.3">
      <c r="A4472" s="150" t="s">
        <v>4244</v>
      </c>
      <c r="B4472" s="5">
        <f t="shared" si="1068"/>
        <v>10</v>
      </c>
      <c r="C4472" s="5">
        <f t="shared" si="1069"/>
        <v>2025</v>
      </c>
      <c r="D4472" s="150" t="s">
        <v>4210</v>
      </c>
      <c r="E4472" s="5" t="str">
        <f>VLOOKUP(F4472,'Set up'!$A$2:$C$70,2,FALSE)</f>
        <v>C00000042</v>
      </c>
      <c r="F4472" s="151" t="s">
        <v>2012</v>
      </c>
      <c r="G4472" s="151" t="s">
        <v>1073</v>
      </c>
      <c r="H4472" s="150">
        <v>1</v>
      </c>
      <c r="I4472" s="5" t="str">
        <f>VLOOKUP(F4472,'Set up'!$A$2:$C$70,3,FALSE)</f>
        <v>Cash</v>
      </c>
      <c r="J4472" s="5">
        <f>VLOOKUP(F4472,'Set up'!$A$2:$D$70,4,FALSE)</f>
        <v>0</v>
      </c>
      <c r="K4472" s="4">
        <f t="shared" si="1070"/>
        <v>45931</v>
      </c>
      <c r="L4472" s="5">
        <f t="shared" si="1060"/>
        <v>10</v>
      </c>
      <c r="M4472" s="5">
        <f t="shared" si="1061"/>
        <v>2025</v>
      </c>
      <c r="N4472" s="156">
        <v>1050</v>
      </c>
      <c r="P4472" s="12"/>
      <c r="Q4472" s="7">
        <f t="shared" si="1062"/>
        <v>7404100.4500000067</v>
      </c>
      <c r="R4472" s="44" t="str">
        <f>VLOOKUP(F4472,'Set up'!$A$2:$E$70,5,FALSE)</f>
        <v>Trsf</v>
      </c>
    </row>
    <row r="4473" spans="1:18" ht="16.2" customHeight="1" x14ac:dyDescent="0.3">
      <c r="A4473" s="150" t="s">
        <v>4245</v>
      </c>
      <c r="B4473" s="5">
        <f t="shared" si="1068"/>
        <v>10</v>
      </c>
      <c r="C4473" s="5">
        <f t="shared" si="1069"/>
        <v>2025</v>
      </c>
      <c r="D4473" s="150" t="s">
        <v>4211</v>
      </c>
      <c r="E4473" s="5" t="str">
        <f>VLOOKUP(F4473,'Set up'!$A$2:$C$70,2,FALSE)</f>
        <v>C00000063</v>
      </c>
      <c r="F4473" s="151" t="s">
        <v>4198</v>
      </c>
      <c r="G4473" s="151" t="s">
        <v>3507</v>
      </c>
      <c r="H4473" s="150">
        <v>4</v>
      </c>
      <c r="I4473" s="5" t="str">
        <f>VLOOKUP(F4473,'Set up'!$A$2:$C$70,3,FALSE)</f>
        <v>Cash</v>
      </c>
      <c r="J4473" s="5">
        <f>VLOOKUP(F4473,'Set up'!$A$2:$D$70,4,FALSE)</f>
        <v>0</v>
      </c>
      <c r="K4473" s="4">
        <f t="shared" si="1070"/>
        <v>45932</v>
      </c>
      <c r="L4473" s="5">
        <f t="shared" si="1060"/>
        <v>10</v>
      </c>
      <c r="M4473" s="5">
        <f t="shared" si="1061"/>
        <v>2025</v>
      </c>
      <c r="N4473" s="156">
        <v>6570</v>
      </c>
      <c r="P4473" s="12"/>
      <c r="Q4473" s="7">
        <f t="shared" si="1062"/>
        <v>7410670.4500000067</v>
      </c>
      <c r="R4473" s="44" t="str">
        <f>VLOOKUP(F4473,'Set up'!$A$2:$E$70,5,FALSE)</f>
        <v>Cash</v>
      </c>
    </row>
    <row r="4474" spans="1:18" ht="16.2" customHeight="1" x14ac:dyDescent="0.3">
      <c r="A4474" s="150" t="s">
        <v>4245</v>
      </c>
      <c r="B4474" s="5">
        <f t="shared" si="1068"/>
        <v>10</v>
      </c>
      <c r="C4474" s="5">
        <f t="shared" si="1069"/>
        <v>2025</v>
      </c>
      <c r="D4474" s="150" t="s">
        <v>4211</v>
      </c>
      <c r="E4474" s="5" t="str">
        <f>VLOOKUP(F4474,'Set up'!$A$2:$C$70,2,FALSE)</f>
        <v>C00000063</v>
      </c>
      <c r="F4474" s="151" t="s">
        <v>4198</v>
      </c>
      <c r="G4474" s="151" t="s">
        <v>4203</v>
      </c>
      <c r="H4474" s="150">
        <v>2</v>
      </c>
      <c r="I4474" s="5" t="str">
        <f>VLOOKUP(F4474,'Set up'!$A$2:$C$70,3,FALSE)</f>
        <v>Cash</v>
      </c>
      <c r="J4474" s="5">
        <f>VLOOKUP(F4474,'Set up'!$A$2:$D$70,4,FALSE)</f>
        <v>0</v>
      </c>
      <c r="K4474" s="4">
        <f t="shared" si="1070"/>
        <v>45932</v>
      </c>
      <c r="L4474" s="5">
        <f t="shared" si="1060"/>
        <v>10</v>
      </c>
      <c r="M4474" s="5">
        <f t="shared" si="1061"/>
        <v>2025</v>
      </c>
      <c r="N4474" s="156">
        <v>911.2</v>
      </c>
      <c r="P4474" s="12"/>
      <c r="Q4474" s="7">
        <f t="shared" si="1062"/>
        <v>7411581.6500000069</v>
      </c>
      <c r="R4474" s="44" t="str">
        <f>VLOOKUP(F4474,'Set up'!$A$2:$E$70,5,FALSE)</f>
        <v>Cash</v>
      </c>
    </row>
    <row r="4475" spans="1:18" ht="16.2" customHeight="1" x14ac:dyDescent="0.3">
      <c r="A4475" s="150" t="s">
        <v>4245</v>
      </c>
      <c r="B4475" s="5">
        <f t="shared" si="1068"/>
        <v>10</v>
      </c>
      <c r="C4475" s="5">
        <f t="shared" si="1069"/>
        <v>2025</v>
      </c>
      <c r="D4475" s="150" t="s">
        <v>4211</v>
      </c>
      <c r="E4475" s="5" t="str">
        <f>VLOOKUP(F4475,'Set up'!$A$2:$C$70,2,FALSE)</f>
        <v>C00000063</v>
      </c>
      <c r="F4475" s="151" t="s">
        <v>4198</v>
      </c>
      <c r="G4475" s="151" t="s">
        <v>4202</v>
      </c>
      <c r="H4475" s="150">
        <v>1</v>
      </c>
      <c r="I4475" s="5" t="str">
        <f>VLOOKUP(F4475,'Set up'!$A$2:$C$70,3,FALSE)</f>
        <v>Cash</v>
      </c>
      <c r="J4475" s="5">
        <f>VLOOKUP(F4475,'Set up'!$A$2:$D$70,4,FALSE)</f>
        <v>0</v>
      </c>
      <c r="K4475" s="4">
        <f t="shared" si="1070"/>
        <v>45932</v>
      </c>
      <c r="L4475" s="5">
        <f t="shared" si="1060"/>
        <v>10</v>
      </c>
      <c r="M4475" s="5">
        <f t="shared" si="1061"/>
        <v>2025</v>
      </c>
      <c r="N4475" s="156">
        <v>367.2</v>
      </c>
      <c r="P4475" s="12"/>
      <c r="Q4475" s="7">
        <f t="shared" si="1062"/>
        <v>7411948.8500000071</v>
      </c>
      <c r="R4475" s="44" t="str">
        <f>VLOOKUP(F4475,'Set up'!$A$2:$E$70,5,FALSE)</f>
        <v>Cash</v>
      </c>
    </row>
    <row r="4476" spans="1:18" ht="16.2" customHeight="1" x14ac:dyDescent="0.3">
      <c r="A4476" s="150" t="s">
        <v>4245</v>
      </c>
      <c r="B4476" s="5">
        <f t="shared" si="1068"/>
        <v>10</v>
      </c>
      <c r="C4476" s="5">
        <f t="shared" si="1069"/>
        <v>2025</v>
      </c>
      <c r="D4476" s="150" t="s">
        <v>4211</v>
      </c>
      <c r="E4476" s="5" t="str">
        <f>VLOOKUP(F4476,'Set up'!$A$2:$C$70,2,FALSE)</f>
        <v>C00000063</v>
      </c>
      <c r="F4476" s="151" t="s">
        <v>4198</v>
      </c>
      <c r="G4476" s="151" t="s">
        <v>1637</v>
      </c>
      <c r="H4476" s="150">
        <v>2</v>
      </c>
      <c r="I4476" s="5" t="str">
        <f>VLOOKUP(F4476,'Set up'!$A$2:$C$70,3,FALSE)</f>
        <v>Cash</v>
      </c>
      <c r="J4476" s="5">
        <f>VLOOKUP(F4476,'Set up'!$A$2:$D$70,4,FALSE)</f>
        <v>0</v>
      </c>
      <c r="K4476" s="4">
        <f t="shared" si="1070"/>
        <v>45932</v>
      </c>
      <c r="L4476" s="5">
        <f t="shared" si="1060"/>
        <v>10</v>
      </c>
      <c r="M4476" s="5">
        <f t="shared" si="1061"/>
        <v>2025</v>
      </c>
      <c r="N4476" s="156">
        <v>800</v>
      </c>
      <c r="P4476" s="12"/>
      <c r="Q4476" s="7">
        <f t="shared" si="1062"/>
        <v>7412748.8500000071</v>
      </c>
      <c r="R4476" s="44" t="str">
        <f>VLOOKUP(F4476,'Set up'!$A$2:$E$70,5,FALSE)</f>
        <v>Cash</v>
      </c>
    </row>
    <row r="4477" spans="1:18" ht="16.2" customHeight="1" x14ac:dyDescent="0.3">
      <c r="A4477" s="150" t="s">
        <v>4245</v>
      </c>
      <c r="B4477" s="5">
        <f t="shared" si="1068"/>
        <v>10</v>
      </c>
      <c r="C4477" s="5">
        <f t="shared" si="1069"/>
        <v>2025</v>
      </c>
      <c r="D4477" s="150" t="s">
        <v>4211</v>
      </c>
      <c r="E4477" s="5" t="str">
        <f>VLOOKUP(F4477,'Set up'!$A$2:$C$70,2,FALSE)</f>
        <v>C00000063</v>
      </c>
      <c r="F4477" s="151" t="s">
        <v>4198</v>
      </c>
      <c r="G4477" s="151" t="s">
        <v>4267</v>
      </c>
      <c r="H4477" s="150">
        <v>2</v>
      </c>
      <c r="I4477" s="5" t="str">
        <f>VLOOKUP(F4477,'Set up'!$A$2:$C$70,3,FALSE)</f>
        <v>Cash</v>
      </c>
      <c r="J4477" s="5">
        <f>VLOOKUP(F4477,'Set up'!$A$2:$D$70,4,FALSE)</f>
        <v>0</v>
      </c>
      <c r="K4477" s="4">
        <f t="shared" si="1070"/>
        <v>45932</v>
      </c>
      <c r="L4477" s="5">
        <f t="shared" si="1060"/>
        <v>10</v>
      </c>
      <c r="M4477" s="5">
        <f t="shared" si="1061"/>
        <v>2025</v>
      </c>
      <c r="N4477" s="156">
        <v>108</v>
      </c>
      <c r="P4477" s="12"/>
      <c r="Q4477" s="7">
        <f t="shared" si="1062"/>
        <v>7412856.8500000071</v>
      </c>
      <c r="R4477" s="44" t="str">
        <f>VLOOKUP(F4477,'Set up'!$A$2:$E$70,5,FALSE)</f>
        <v>Cash</v>
      </c>
    </row>
    <row r="4478" spans="1:18" ht="16.2" customHeight="1" x14ac:dyDescent="0.3">
      <c r="A4478" s="150" t="s">
        <v>4245</v>
      </c>
      <c r="B4478" s="5">
        <f t="shared" si="1068"/>
        <v>10</v>
      </c>
      <c r="C4478" s="5">
        <f t="shared" si="1069"/>
        <v>2025</v>
      </c>
      <c r="D4478" s="150" t="s">
        <v>4211</v>
      </c>
      <c r="E4478" s="5" t="str">
        <f>VLOOKUP(F4478,'Set up'!$A$2:$C$70,2,FALSE)</f>
        <v>C00000063</v>
      </c>
      <c r="F4478" s="151" t="s">
        <v>4198</v>
      </c>
      <c r="G4478" s="151" t="s">
        <v>4268</v>
      </c>
      <c r="H4478" s="150">
        <v>5</v>
      </c>
      <c r="I4478" s="5" t="str">
        <f>VLOOKUP(F4478,'Set up'!$A$2:$C$70,3,FALSE)</f>
        <v>Cash</v>
      </c>
      <c r="J4478" s="5">
        <f>VLOOKUP(F4478,'Set up'!$A$2:$D$70,4,FALSE)</f>
        <v>0</v>
      </c>
      <c r="K4478" s="4">
        <f t="shared" si="1070"/>
        <v>45932</v>
      </c>
      <c r="L4478" s="5">
        <f t="shared" si="1060"/>
        <v>10</v>
      </c>
      <c r="M4478" s="5">
        <f t="shared" si="1061"/>
        <v>2025</v>
      </c>
      <c r="N4478" s="156">
        <v>250</v>
      </c>
      <c r="P4478" s="12"/>
      <c r="Q4478" s="7">
        <f t="shared" si="1062"/>
        <v>7413106.8500000071</v>
      </c>
      <c r="R4478" s="44" t="str">
        <f>VLOOKUP(F4478,'Set up'!$A$2:$E$70,5,FALSE)</f>
        <v>Cash</v>
      </c>
    </row>
    <row r="4479" spans="1:18" ht="16.2" customHeight="1" x14ac:dyDescent="0.3">
      <c r="A4479" s="150" t="s">
        <v>4246</v>
      </c>
      <c r="B4479" s="5">
        <f t="shared" si="1068"/>
        <v>10</v>
      </c>
      <c r="C4479" s="5">
        <f t="shared" si="1069"/>
        <v>2025</v>
      </c>
      <c r="D4479" s="150" t="s">
        <v>4212</v>
      </c>
      <c r="E4479" s="5" t="str">
        <f>VLOOKUP(F4479,'Set up'!$A$2:$C$70,2,FALSE)</f>
        <v>C00000019</v>
      </c>
      <c r="F4479" s="151" t="s">
        <v>400</v>
      </c>
      <c r="G4479" s="151" t="s">
        <v>3122</v>
      </c>
      <c r="H4479" s="150">
        <v>1</v>
      </c>
      <c r="I4479" s="5" t="str">
        <f>VLOOKUP(F4479,'Set up'!$A$2:$C$70,3,FALSE)</f>
        <v>Cash</v>
      </c>
      <c r="J4479" s="5">
        <f>VLOOKUP(F4479,'Set up'!$A$2:$D$70,4,FALSE)</f>
        <v>0</v>
      </c>
      <c r="K4479" s="4">
        <f t="shared" si="1070"/>
        <v>45933</v>
      </c>
      <c r="L4479" s="5">
        <f t="shared" si="1060"/>
        <v>10</v>
      </c>
      <c r="M4479" s="5">
        <f t="shared" si="1061"/>
        <v>2025</v>
      </c>
      <c r="N4479" s="156">
        <v>1687.5</v>
      </c>
      <c r="P4479" s="12"/>
      <c r="Q4479" s="7">
        <f t="shared" si="1062"/>
        <v>7414794.3500000071</v>
      </c>
      <c r="R4479" s="44" t="str">
        <f>VLOOKUP(F4479,'Set up'!$A$2:$E$70,5,FALSE)</f>
        <v>Trsf</v>
      </c>
    </row>
    <row r="4480" spans="1:18" ht="16.2" customHeight="1" x14ac:dyDescent="0.3">
      <c r="A4480" s="150" t="s">
        <v>4246</v>
      </c>
      <c r="B4480" s="5">
        <f t="shared" si="1068"/>
        <v>10</v>
      </c>
      <c r="C4480" s="5">
        <f t="shared" si="1069"/>
        <v>2025</v>
      </c>
      <c r="D4480" s="150" t="s">
        <v>4212</v>
      </c>
      <c r="E4480" s="5" t="str">
        <f>VLOOKUP(F4480,'Set up'!$A$2:$C$70,2,FALSE)</f>
        <v>C00000019</v>
      </c>
      <c r="F4480" s="151" t="s">
        <v>400</v>
      </c>
      <c r="G4480" s="151" t="s">
        <v>894</v>
      </c>
      <c r="H4480" s="150">
        <v>1</v>
      </c>
      <c r="I4480" s="5" t="str">
        <f>VLOOKUP(F4480,'Set up'!$A$2:$C$70,3,FALSE)</f>
        <v>Cash</v>
      </c>
      <c r="J4480" s="5">
        <f>VLOOKUP(F4480,'Set up'!$A$2:$D$70,4,FALSE)</f>
        <v>0</v>
      </c>
      <c r="K4480" s="4">
        <f t="shared" si="1070"/>
        <v>45933</v>
      </c>
      <c r="L4480" s="5">
        <f t="shared" si="1060"/>
        <v>10</v>
      </c>
      <c r="M4480" s="5">
        <f t="shared" si="1061"/>
        <v>2025</v>
      </c>
      <c r="N4480" s="156">
        <v>150</v>
      </c>
      <c r="P4480" s="12"/>
      <c r="Q4480" s="7">
        <f t="shared" si="1062"/>
        <v>7414944.3500000071</v>
      </c>
      <c r="R4480" s="44" t="str">
        <f>VLOOKUP(F4480,'Set up'!$A$2:$E$70,5,FALSE)</f>
        <v>Trsf</v>
      </c>
    </row>
    <row r="4481" spans="1:18" ht="16.2" customHeight="1" x14ac:dyDescent="0.3">
      <c r="A4481" s="150" t="s">
        <v>4246</v>
      </c>
      <c r="B4481" s="5">
        <f t="shared" si="1068"/>
        <v>10</v>
      </c>
      <c r="C4481" s="5">
        <f t="shared" si="1069"/>
        <v>2025</v>
      </c>
      <c r="D4481" s="150" t="s">
        <v>4212</v>
      </c>
      <c r="E4481" s="5" t="str">
        <f>VLOOKUP(F4481,'Set up'!$A$2:$C$70,2,FALSE)</f>
        <v>C00000019</v>
      </c>
      <c r="F4481" s="151" t="s">
        <v>400</v>
      </c>
      <c r="G4481" s="151" t="s">
        <v>945</v>
      </c>
      <c r="H4481" s="150">
        <v>1</v>
      </c>
      <c r="I4481" s="5" t="str">
        <f>VLOOKUP(F4481,'Set up'!$A$2:$C$70,3,FALSE)</f>
        <v>Cash</v>
      </c>
      <c r="J4481" s="5">
        <f>VLOOKUP(F4481,'Set up'!$A$2:$D$70,4,FALSE)</f>
        <v>0</v>
      </c>
      <c r="K4481" s="4">
        <f t="shared" si="1070"/>
        <v>45933</v>
      </c>
      <c r="L4481" s="5">
        <f t="shared" si="1060"/>
        <v>10</v>
      </c>
      <c r="M4481" s="5">
        <f t="shared" si="1061"/>
        <v>2025</v>
      </c>
      <c r="N4481" s="156">
        <v>115</v>
      </c>
      <c r="P4481" s="12"/>
      <c r="Q4481" s="7">
        <f t="shared" si="1062"/>
        <v>7415059.3500000071</v>
      </c>
      <c r="R4481" s="44" t="str">
        <f>VLOOKUP(F4481,'Set up'!$A$2:$E$70,5,FALSE)</f>
        <v>Trsf</v>
      </c>
    </row>
    <row r="4482" spans="1:18" ht="16.2" customHeight="1" x14ac:dyDescent="0.3">
      <c r="A4482" s="150" t="s">
        <v>4247</v>
      </c>
      <c r="B4482" s="5">
        <f t="shared" si="1068"/>
        <v>10</v>
      </c>
      <c r="C4482" s="5">
        <f t="shared" si="1069"/>
        <v>2025</v>
      </c>
      <c r="D4482" s="150" t="s">
        <v>4213</v>
      </c>
      <c r="E4482" s="5" t="str">
        <f>VLOOKUP(F4482,'Set up'!$A$2:$C$70,2,FALSE)</f>
        <v>C00000042</v>
      </c>
      <c r="F4482" s="151" t="s">
        <v>2012</v>
      </c>
      <c r="G4482" s="151" t="s">
        <v>2646</v>
      </c>
      <c r="H4482" s="150">
        <v>5</v>
      </c>
      <c r="I4482" s="5" t="str">
        <f>VLOOKUP(F4482,'Set up'!$A$2:$C$70,3,FALSE)</f>
        <v>Cash</v>
      </c>
      <c r="J4482" s="5">
        <f>VLOOKUP(F4482,'Set up'!$A$2:$D$70,4,FALSE)</f>
        <v>0</v>
      </c>
      <c r="K4482" s="4">
        <f t="shared" si="1070"/>
        <v>45934</v>
      </c>
      <c r="L4482" s="5">
        <f t="shared" si="1060"/>
        <v>10</v>
      </c>
      <c r="M4482" s="5">
        <f t="shared" si="1061"/>
        <v>2025</v>
      </c>
      <c r="N4482" s="156">
        <v>312.5</v>
      </c>
      <c r="P4482" s="12"/>
      <c r="Q4482" s="7">
        <f t="shared" si="1062"/>
        <v>7415371.8500000071</v>
      </c>
      <c r="R4482" s="44" t="str">
        <f>VLOOKUP(F4482,'Set up'!$A$2:$E$70,5,FALSE)</f>
        <v>Trsf</v>
      </c>
    </row>
    <row r="4483" spans="1:18" ht="16.2" customHeight="1" x14ac:dyDescent="0.3">
      <c r="A4483" s="150" t="s">
        <v>4247</v>
      </c>
      <c r="B4483" s="5">
        <f t="shared" si="1068"/>
        <v>10</v>
      </c>
      <c r="C4483" s="5">
        <f t="shared" si="1069"/>
        <v>2025</v>
      </c>
      <c r="D4483" s="150" t="s">
        <v>4214</v>
      </c>
      <c r="E4483" s="5" t="str">
        <f>VLOOKUP(F4483,'Set up'!$A$2:$C$70,2,FALSE)</f>
        <v>C00000042</v>
      </c>
      <c r="F4483" s="151" t="s">
        <v>2012</v>
      </c>
      <c r="G4483" s="151" t="s">
        <v>3122</v>
      </c>
      <c r="H4483" s="150">
        <v>3</v>
      </c>
      <c r="I4483" s="5" t="str">
        <f>VLOOKUP(F4483,'Set up'!$A$2:$C$70,3,FALSE)</f>
        <v>Cash</v>
      </c>
      <c r="J4483" s="5">
        <f>VLOOKUP(F4483,'Set up'!$A$2:$D$70,4,FALSE)</f>
        <v>0</v>
      </c>
      <c r="K4483" s="4">
        <f t="shared" si="1070"/>
        <v>45934</v>
      </c>
      <c r="L4483" s="5">
        <f t="shared" ref="L4483:L4546" si="1071">MONTH(K4483)</f>
        <v>10</v>
      </c>
      <c r="M4483" s="5">
        <f t="shared" ref="M4483:M4546" si="1072">YEAR(K4483)</f>
        <v>2025</v>
      </c>
      <c r="N4483" s="156">
        <v>4725</v>
      </c>
      <c r="P4483" s="12"/>
      <c r="Q4483" s="7">
        <f t="shared" ref="Q4483:Q4546" si="1073">SUM(Q4482+N4483)</f>
        <v>7420096.8500000071</v>
      </c>
      <c r="R4483" s="44" t="str">
        <f>VLOOKUP(F4483,'Set up'!$A$2:$E$70,5,FALSE)</f>
        <v>Trsf</v>
      </c>
    </row>
    <row r="4484" spans="1:18" ht="16.2" customHeight="1" x14ac:dyDescent="0.3">
      <c r="A4484" s="150" t="s">
        <v>4247</v>
      </c>
      <c r="B4484" s="5">
        <f t="shared" si="1068"/>
        <v>10</v>
      </c>
      <c r="C4484" s="5">
        <f t="shared" si="1069"/>
        <v>2025</v>
      </c>
      <c r="D4484" s="150" t="s">
        <v>4214</v>
      </c>
      <c r="E4484" s="5" t="str">
        <f>VLOOKUP(F4484,'Set up'!$A$2:$C$70,2,FALSE)</f>
        <v>C00000042</v>
      </c>
      <c r="F4484" s="151" t="s">
        <v>2012</v>
      </c>
      <c r="G4484" s="151" t="s">
        <v>3645</v>
      </c>
      <c r="H4484" s="150">
        <v>7</v>
      </c>
      <c r="I4484" s="5" t="str">
        <f>VLOOKUP(F4484,'Set up'!$A$2:$C$70,3,FALSE)</f>
        <v>Cash</v>
      </c>
      <c r="J4484" s="5">
        <f>VLOOKUP(F4484,'Set up'!$A$2:$D$70,4,FALSE)</f>
        <v>0</v>
      </c>
      <c r="K4484" s="4">
        <f t="shared" si="1070"/>
        <v>45934</v>
      </c>
      <c r="L4484" s="5">
        <f t="shared" si="1071"/>
        <v>10</v>
      </c>
      <c r="M4484" s="5">
        <f t="shared" si="1072"/>
        <v>2025</v>
      </c>
      <c r="N4484" s="156">
        <v>11025</v>
      </c>
      <c r="P4484" s="12"/>
      <c r="Q4484" s="7">
        <f t="shared" si="1073"/>
        <v>7431121.8500000071</v>
      </c>
      <c r="R4484" s="44" t="str">
        <f>VLOOKUP(F4484,'Set up'!$A$2:$E$70,5,FALSE)</f>
        <v>Trsf</v>
      </c>
    </row>
    <row r="4485" spans="1:18" ht="16.2" customHeight="1" x14ac:dyDescent="0.3">
      <c r="A4485" s="150" t="s">
        <v>4247</v>
      </c>
      <c r="B4485" s="5">
        <f t="shared" si="1068"/>
        <v>10</v>
      </c>
      <c r="C4485" s="5">
        <f t="shared" si="1069"/>
        <v>2025</v>
      </c>
      <c r="D4485" s="150" t="s">
        <v>4214</v>
      </c>
      <c r="E4485" s="5" t="str">
        <f>VLOOKUP(F4485,'Set up'!$A$2:$C$70,2,FALSE)</f>
        <v>C00000042</v>
      </c>
      <c r="F4485" s="151" t="s">
        <v>2012</v>
      </c>
      <c r="G4485" s="151" t="s">
        <v>1392</v>
      </c>
      <c r="H4485" s="150">
        <v>15</v>
      </c>
      <c r="I4485" s="5" t="str">
        <f>VLOOKUP(F4485,'Set up'!$A$2:$C$70,3,FALSE)</f>
        <v>Cash</v>
      </c>
      <c r="J4485" s="5">
        <f>VLOOKUP(F4485,'Set up'!$A$2:$D$70,4,FALSE)</f>
        <v>0</v>
      </c>
      <c r="K4485" s="4">
        <f t="shared" si="1070"/>
        <v>45934</v>
      </c>
      <c r="L4485" s="5">
        <f t="shared" si="1071"/>
        <v>10</v>
      </c>
      <c r="M4485" s="5">
        <f t="shared" si="1072"/>
        <v>2025</v>
      </c>
      <c r="N4485" s="156">
        <v>2655</v>
      </c>
      <c r="P4485" s="12"/>
      <c r="Q4485" s="7">
        <f t="shared" si="1073"/>
        <v>7433776.8500000071</v>
      </c>
      <c r="R4485" s="44" t="str">
        <f>VLOOKUP(F4485,'Set up'!$A$2:$E$70,5,FALSE)</f>
        <v>Trsf</v>
      </c>
    </row>
    <row r="4486" spans="1:18" ht="16.2" customHeight="1" x14ac:dyDescent="0.3">
      <c r="A4486" s="150" t="s">
        <v>4247</v>
      </c>
      <c r="B4486" s="5">
        <f t="shared" si="1068"/>
        <v>10</v>
      </c>
      <c r="C4486" s="5">
        <f t="shared" si="1069"/>
        <v>2025</v>
      </c>
      <c r="D4486" s="150" t="s">
        <v>4214</v>
      </c>
      <c r="E4486" s="5" t="str">
        <f>VLOOKUP(F4486,'Set up'!$A$2:$C$70,2,FALSE)</f>
        <v>C00000042</v>
      </c>
      <c r="F4486" s="151" t="s">
        <v>2012</v>
      </c>
      <c r="G4486" s="151" t="s">
        <v>2129</v>
      </c>
      <c r="H4486" s="150">
        <v>12</v>
      </c>
      <c r="I4486" s="5" t="str">
        <f>VLOOKUP(F4486,'Set up'!$A$2:$C$70,3,FALSE)</f>
        <v>Cash</v>
      </c>
      <c r="J4486" s="5">
        <f>VLOOKUP(F4486,'Set up'!$A$2:$D$70,4,FALSE)</f>
        <v>0</v>
      </c>
      <c r="K4486" s="4">
        <f t="shared" si="1070"/>
        <v>45934</v>
      </c>
      <c r="L4486" s="5">
        <f t="shared" si="1071"/>
        <v>10</v>
      </c>
      <c r="M4486" s="5">
        <f t="shared" si="1072"/>
        <v>2025</v>
      </c>
      <c r="N4486" s="156">
        <v>2619.6</v>
      </c>
      <c r="P4486" s="12"/>
      <c r="Q4486" s="7">
        <f t="shared" si="1073"/>
        <v>7436396.4500000067</v>
      </c>
      <c r="R4486" s="44" t="str">
        <f>VLOOKUP(F4486,'Set up'!$A$2:$E$70,5,FALSE)</f>
        <v>Trsf</v>
      </c>
    </row>
    <row r="4487" spans="1:18" ht="16.2" customHeight="1" x14ac:dyDescent="0.3">
      <c r="A4487" s="150" t="s">
        <v>4247</v>
      </c>
      <c r="B4487" s="5">
        <f t="shared" si="1068"/>
        <v>10</v>
      </c>
      <c r="C4487" s="5">
        <f t="shared" si="1069"/>
        <v>2025</v>
      </c>
      <c r="D4487" s="150" t="s">
        <v>4214</v>
      </c>
      <c r="E4487" s="5" t="str">
        <f>VLOOKUP(F4487,'Set up'!$A$2:$C$70,2,FALSE)</f>
        <v>C00000042</v>
      </c>
      <c r="F4487" s="151" t="s">
        <v>2012</v>
      </c>
      <c r="G4487" s="151" t="s">
        <v>1922</v>
      </c>
      <c r="H4487" s="150">
        <v>15</v>
      </c>
      <c r="I4487" s="5" t="str">
        <f>VLOOKUP(F4487,'Set up'!$A$2:$C$70,3,FALSE)</f>
        <v>Cash</v>
      </c>
      <c r="J4487" s="5">
        <f>VLOOKUP(F4487,'Set up'!$A$2:$D$70,4,FALSE)</f>
        <v>0</v>
      </c>
      <c r="K4487" s="4">
        <f t="shared" si="1070"/>
        <v>45934</v>
      </c>
      <c r="L4487" s="5">
        <f t="shared" si="1071"/>
        <v>10</v>
      </c>
      <c r="M4487" s="5">
        <f t="shared" si="1072"/>
        <v>2025</v>
      </c>
      <c r="N4487" s="156">
        <v>3442.5</v>
      </c>
      <c r="P4487" s="12"/>
      <c r="Q4487" s="7">
        <f t="shared" si="1073"/>
        <v>7439838.9500000067</v>
      </c>
      <c r="R4487" s="44" t="str">
        <f>VLOOKUP(F4487,'Set up'!$A$2:$E$70,5,FALSE)</f>
        <v>Trsf</v>
      </c>
    </row>
    <row r="4488" spans="1:18" ht="16.2" customHeight="1" x14ac:dyDescent="0.3">
      <c r="A4488" s="150" t="s">
        <v>4247</v>
      </c>
      <c r="B4488" s="5">
        <f t="shared" si="1068"/>
        <v>10</v>
      </c>
      <c r="C4488" s="5">
        <f t="shared" si="1069"/>
        <v>2025</v>
      </c>
      <c r="D4488" s="150" t="s">
        <v>4214</v>
      </c>
      <c r="E4488" s="5" t="str">
        <f>VLOOKUP(F4488,'Set up'!$A$2:$C$70,2,FALSE)</f>
        <v>C00000042</v>
      </c>
      <c r="F4488" s="151" t="s">
        <v>2012</v>
      </c>
      <c r="G4488" s="151" t="s">
        <v>46</v>
      </c>
      <c r="H4488" s="150">
        <v>4</v>
      </c>
      <c r="I4488" s="5" t="str">
        <f>VLOOKUP(F4488,'Set up'!$A$2:$C$70,3,FALSE)</f>
        <v>Cash</v>
      </c>
      <c r="J4488" s="5">
        <f>VLOOKUP(F4488,'Set up'!$A$2:$D$70,4,FALSE)</f>
        <v>0</v>
      </c>
      <c r="K4488" s="4">
        <f t="shared" si="1070"/>
        <v>45934</v>
      </c>
      <c r="L4488" s="5">
        <f t="shared" si="1071"/>
        <v>10</v>
      </c>
      <c r="M4488" s="5">
        <f t="shared" si="1072"/>
        <v>2025</v>
      </c>
      <c r="N4488" s="156">
        <v>460</v>
      </c>
      <c r="P4488" s="12"/>
      <c r="Q4488" s="7">
        <f t="shared" si="1073"/>
        <v>7440298.9500000067</v>
      </c>
      <c r="R4488" s="44" t="str">
        <f>VLOOKUP(F4488,'Set up'!$A$2:$E$70,5,FALSE)</f>
        <v>Trsf</v>
      </c>
    </row>
    <row r="4489" spans="1:18" ht="16.2" customHeight="1" x14ac:dyDescent="0.3">
      <c r="A4489" s="150" t="s">
        <v>4247</v>
      </c>
      <c r="B4489" s="5">
        <f t="shared" si="1068"/>
        <v>10</v>
      </c>
      <c r="C4489" s="5">
        <f t="shared" si="1069"/>
        <v>2025</v>
      </c>
      <c r="D4489" s="150" t="s">
        <v>4214</v>
      </c>
      <c r="E4489" s="5" t="str">
        <f>VLOOKUP(F4489,'Set up'!$A$2:$C$70,2,FALSE)</f>
        <v>C00000042</v>
      </c>
      <c r="F4489" s="151" t="s">
        <v>2012</v>
      </c>
      <c r="G4489" s="151" t="s">
        <v>1073</v>
      </c>
      <c r="H4489" s="150">
        <v>2</v>
      </c>
      <c r="I4489" s="5" t="str">
        <f>VLOOKUP(F4489,'Set up'!$A$2:$C$70,3,FALSE)</f>
        <v>Cash</v>
      </c>
      <c r="J4489" s="5">
        <f>VLOOKUP(F4489,'Set up'!$A$2:$D$70,4,FALSE)</f>
        <v>0</v>
      </c>
      <c r="K4489" s="4">
        <f t="shared" si="1070"/>
        <v>45934</v>
      </c>
      <c r="L4489" s="5">
        <f t="shared" si="1071"/>
        <v>10</v>
      </c>
      <c r="M4489" s="5">
        <f t="shared" si="1072"/>
        <v>2025</v>
      </c>
      <c r="N4489" s="156">
        <v>2100</v>
      </c>
      <c r="P4489" s="12"/>
      <c r="Q4489" s="7">
        <f t="shared" si="1073"/>
        <v>7442398.9500000067</v>
      </c>
      <c r="R4489" s="44" t="str">
        <f>VLOOKUP(F4489,'Set up'!$A$2:$E$70,5,FALSE)</f>
        <v>Trsf</v>
      </c>
    </row>
    <row r="4490" spans="1:18" ht="16.2" customHeight="1" x14ac:dyDescent="0.3">
      <c r="A4490" s="150" t="s">
        <v>4248</v>
      </c>
      <c r="B4490" s="5">
        <f t="shared" si="1068"/>
        <v>10</v>
      </c>
      <c r="C4490" s="5">
        <f t="shared" si="1069"/>
        <v>2025</v>
      </c>
      <c r="D4490" s="150" t="s">
        <v>4215</v>
      </c>
      <c r="E4490" s="5" t="str">
        <f>VLOOKUP(F4490,'Set up'!$A$2:$C$70,2,FALSE)</f>
        <v>C00000061</v>
      </c>
      <c r="F4490" s="151" t="s">
        <v>3532</v>
      </c>
      <c r="G4490" s="151" t="s">
        <v>3122</v>
      </c>
      <c r="H4490" s="150">
        <v>3</v>
      </c>
      <c r="I4490" s="5" t="str">
        <f>VLOOKUP(F4490,'Set up'!$A$2:$C$70,3,FALSE)</f>
        <v>Cash</v>
      </c>
      <c r="J4490" s="5">
        <f>VLOOKUP(F4490,'Set up'!$A$2:$D$70,4,FALSE)</f>
        <v>0</v>
      </c>
      <c r="K4490" s="4">
        <f t="shared" si="1070"/>
        <v>45937</v>
      </c>
      <c r="L4490" s="5">
        <f t="shared" si="1071"/>
        <v>10</v>
      </c>
      <c r="M4490" s="5">
        <f t="shared" si="1072"/>
        <v>2025</v>
      </c>
      <c r="N4490" s="156">
        <v>4725</v>
      </c>
      <c r="P4490" s="12"/>
      <c r="Q4490" s="7">
        <f t="shared" si="1073"/>
        <v>7447123.9500000067</v>
      </c>
      <c r="R4490" s="44" t="str">
        <f>VLOOKUP(F4490,'Set up'!$A$2:$E$70,5,FALSE)</f>
        <v>Cash</v>
      </c>
    </row>
    <row r="4491" spans="1:18" ht="16.2" customHeight="1" x14ac:dyDescent="0.3">
      <c r="A4491" s="150" t="s">
        <v>4248</v>
      </c>
      <c r="B4491" s="5">
        <f t="shared" si="1068"/>
        <v>10</v>
      </c>
      <c r="C4491" s="5">
        <f t="shared" si="1069"/>
        <v>2025</v>
      </c>
      <c r="D4491" s="150" t="s">
        <v>4215</v>
      </c>
      <c r="E4491" s="5" t="str">
        <f>VLOOKUP(F4491,'Set up'!$A$2:$C$70,2,FALSE)</f>
        <v>C00000061</v>
      </c>
      <c r="F4491" s="151" t="s">
        <v>3532</v>
      </c>
      <c r="G4491" s="151" t="s">
        <v>3639</v>
      </c>
      <c r="H4491" s="150">
        <v>2</v>
      </c>
      <c r="I4491" s="5" t="str">
        <f>VLOOKUP(F4491,'Set up'!$A$2:$C$70,3,FALSE)</f>
        <v>Cash</v>
      </c>
      <c r="J4491" s="5">
        <f>VLOOKUP(F4491,'Set up'!$A$2:$D$70,4,FALSE)</f>
        <v>0</v>
      </c>
      <c r="K4491" s="4">
        <f t="shared" si="1070"/>
        <v>45937</v>
      </c>
      <c r="L4491" s="5">
        <f t="shared" si="1071"/>
        <v>10</v>
      </c>
      <c r="M4491" s="5">
        <f t="shared" si="1072"/>
        <v>2025</v>
      </c>
      <c r="N4491" s="156">
        <v>817.4</v>
      </c>
      <c r="P4491" s="12"/>
      <c r="Q4491" s="7">
        <f t="shared" si="1073"/>
        <v>7447941.3500000071</v>
      </c>
      <c r="R4491" s="44" t="str">
        <f>VLOOKUP(F4491,'Set up'!$A$2:$E$70,5,FALSE)</f>
        <v>Cash</v>
      </c>
    </row>
    <row r="4492" spans="1:18" ht="16.2" customHeight="1" x14ac:dyDescent="0.3">
      <c r="A4492" s="150" t="s">
        <v>4248</v>
      </c>
      <c r="B4492" s="5">
        <f t="shared" si="1068"/>
        <v>10</v>
      </c>
      <c r="C4492" s="5">
        <f t="shared" si="1069"/>
        <v>2025</v>
      </c>
      <c r="D4492" s="150" t="s">
        <v>4215</v>
      </c>
      <c r="E4492" s="5" t="str">
        <f>VLOOKUP(F4492,'Set up'!$A$2:$C$70,2,FALSE)</f>
        <v>C00000061</v>
      </c>
      <c r="F4492" s="151" t="s">
        <v>3532</v>
      </c>
      <c r="G4492" s="151" t="s">
        <v>945</v>
      </c>
      <c r="H4492" s="150">
        <v>2</v>
      </c>
      <c r="I4492" s="5" t="str">
        <f>VLOOKUP(F4492,'Set up'!$A$2:$C$70,3,FALSE)</f>
        <v>Cash</v>
      </c>
      <c r="J4492" s="5">
        <f>VLOOKUP(F4492,'Set up'!$A$2:$D$70,4,FALSE)</f>
        <v>0</v>
      </c>
      <c r="K4492" s="4">
        <f t="shared" si="1070"/>
        <v>45937</v>
      </c>
      <c r="L4492" s="5">
        <f t="shared" si="1071"/>
        <v>10</v>
      </c>
      <c r="M4492" s="5">
        <f t="shared" si="1072"/>
        <v>2025</v>
      </c>
      <c r="N4492" s="156">
        <v>230</v>
      </c>
      <c r="P4492" s="12"/>
      <c r="Q4492" s="7">
        <f t="shared" si="1073"/>
        <v>7448171.3500000071</v>
      </c>
      <c r="R4492" s="44" t="str">
        <f>VLOOKUP(F4492,'Set up'!$A$2:$E$70,5,FALSE)</f>
        <v>Cash</v>
      </c>
    </row>
    <row r="4493" spans="1:18" ht="16.2" customHeight="1" x14ac:dyDescent="0.3">
      <c r="A4493" s="150" t="s">
        <v>4248</v>
      </c>
      <c r="B4493" s="5">
        <f t="shared" si="1068"/>
        <v>10</v>
      </c>
      <c r="C4493" s="5">
        <f t="shared" si="1069"/>
        <v>2025</v>
      </c>
      <c r="D4493" s="150" t="s">
        <v>4215</v>
      </c>
      <c r="E4493" s="5" t="str">
        <f>VLOOKUP(F4493,'Set up'!$A$2:$C$70,2,FALSE)</f>
        <v>C00000061</v>
      </c>
      <c r="F4493" s="151" t="s">
        <v>3532</v>
      </c>
      <c r="G4493" s="151" t="s">
        <v>2635</v>
      </c>
      <c r="H4493" s="150">
        <v>10</v>
      </c>
      <c r="I4493" s="5" t="str">
        <f>VLOOKUP(F4493,'Set up'!$A$2:$C$70,3,FALSE)</f>
        <v>Cash</v>
      </c>
      <c r="J4493" s="5">
        <f>VLOOKUP(F4493,'Set up'!$A$2:$D$70,4,FALSE)</f>
        <v>0</v>
      </c>
      <c r="K4493" s="4">
        <f t="shared" si="1070"/>
        <v>45937</v>
      </c>
      <c r="L4493" s="5">
        <f t="shared" si="1071"/>
        <v>10</v>
      </c>
      <c r="M4493" s="5">
        <f t="shared" si="1072"/>
        <v>2025</v>
      </c>
      <c r="N4493" s="156">
        <v>525</v>
      </c>
      <c r="P4493" s="12"/>
      <c r="Q4493" s="7">
        <f t="shared" si="1073"/>
        <v>7448696.3500000071</v>
      </c>
      <c r="R4493" s="44" t="str">
        <f>VLOOKUP(F4493,'Set up'!$A$2:$E$70,5,FALSE)</f>
        <v>Cash</v>
      </c>
    </row>
    <row r="4494" spans="1:18" ht="16.2" customHeight="1" x14ac:dyDescent="0.3">
      <c r="A4494" s="150" t="s">
        <v>4248</v>
      </c>
      <c r="B4494" s="5">
        <f t="shared" si="1068"/>
        <v>10</v>
      </c>
      <c r="C4494" s="5">
        <f t="shared" si="1069"/>
        <v>2025</v>
      </c>
      <c r="D4494" s="150" t="s">
        <v>4216</v>
      </c>
      <c r="E4494" s="5" t="str">
        <f>VLOOKUP(F4494,'Set up'!$A$2:$C$70,2,FALSE)</f>
        <v>C00000041</v>
      </c>
      <c r="F4494" s="151" t="s">
        <v>1704</v>
      </c>
      <c r="G4494" s="151" t="s">
        <v>46</v>
      </c>
      <c r="H4494" s="150">
        <v>1</v>
      </c>
      <c r="I4494" s="5" t="str">
        <f>VLOOKUP(F4494,'Set up'!$A$2:$C$70,3,FALSE)</f>
        <v>Cash</v>
      </c>
      <c r="J4494" s="5">
        <f>VLOOKUP(F4494,'Set up'!$A$2:$D$70,4,FALSE)</f>
        <v>0</v>
      </c>
      <c r="K4494" s="4">
        <f t="shared" si="1070"/>
        <v>45937</v>
      </c>
      <c r="L4494" s="5">
        <f t="shared" si="1071"/>
        <v>10</v>
      </c>
      <c r="M4494" s="5">
        <f t="shared" si="1072"/>
        <v>2025</v>
      </c>
      <c r="N4494" s="156">
        <v>120</v>
      </c>
      <c r="P4494" s="12"/>
      <c r="Q4494" s="7">
        <f t="shared" si="1073"/>
        <v>7448816.3500000071</v>
      </c>
      <c r="R4494" s="44" t="str">
        <f>VLOOKUP(F4494,'Set up'!$A$2:$E$70,5,FALSE)</f>
        <v>Trsf</v>
      </c>
    </row>
    <row r="4495" spans="1:18" ht="16.2" customHeight="1" x14ac:dyDescent="0.3">
      <c r="A4495" s="150" t="s">
        <v>4249</v>
      </c>
      <c r="B4495" s="5">
        <f t="shared" si="1068"/>
        <v>10</v>
      </c>
      <c r="C4495" s="5">
        <f t="shared" si="1069"/>
        <v>2025</v>
      </c>
      <c r="D4495" s="150" t="s">
        <v>4217</v>
      </c>
      <c r="E4495" s="5" t="e">
        <f>VLOOKUP(F4495,'Set up'!$A$2:$C$70,2,FALSE)</f>
        <v>#N/A</v>
      </c>
      <c r="F4495" s="151" t="s">
        <v>4130</v>
      </c>
      <c r="G4495" s="151" t="s">
        <v>3122</v>
      </c>
      <c r="H4495" s="150">
        <v>1</v>
      </c>
      <c r="I4495" s="5" t="e">
        <f>VLOOKUP(F4495,'Set up'!$A$2:$C$70,3,FALSE)</f>
        <v>#N/A</v>
      </c>
      <c r="J4495" s="5" t="e">
        <f>VLOOKUP(F4495,'Set up'!$A$2:$D$70,4,FALSE)</f>
        <v>#N/A</v>
      </c>
      <c r="K4495" s="4" t="e">
        <f t="shared" si="1070"/>
        <v>#N/A</v>
      </c>
      <c r="L4495" s="5" t="e">
        <f t="shared" si="1071"/>
        <v>#N/A</v>
      </c>
      <c r="M4495" s="5" t="e">
        <f t="shared" si="1072"/>
        <v>#N/A</v>
      </c>
      <c r="N4495" s="156">
        <v>1687.5</v>
      </c>
      <c r="P4495" s="12"/>
      <c r="Q4495" s="7">
        <f t="shared" si="1073"/>
        <v>7450503.8500000071</v>
      </c>
      <c r="R4495" s="44" t="e">
        <f>VLOOKUP(F4495,'Set up'!$A$2:$E$70,5,FALSE)</f>
        <v>#N/A</v>
      </c>
    </row>
    <row r="4496" spans="1:18" ht="16.2" customHeight="1" x14ac:dyDescent="0.3">
      <c r="A4496" s="150" t="s">
        <v>4249</v>
      </c>
      <c r="B4496" s="5">
        <f t="shared" si="1068"/>
        <v>10</v>
      </c>
      <c r="C4496" s="5">
        <f t="shared" si="1069"/>
        <v>2025</v>
      </c>
      <c r="D4496" s="150" t="s">
        <v>4217</v>
      </c>
      <c r="E4496" s="5" t="e">
        <f>VLOOKUP(F4496,'Set up'!$A$2:$C$70,2,FALSE)</f>
        <v>#N/A</v>
      </c>
      <c r="F4496" s="151" t="s">
        <v>4130</v>
      </c>
      <c r="G4496" s="151" t="s">
        <v>707</v>
      </c>
      <c r="H4496" s="150">
        <v>1</v>
      </c>
      <c r="I4496" s="5" t="e">
        <f>VLOOKUP(F4496,'Set up'!$A$2:$C$70,3,FALSE)</f>
        <v>#N/A</v>
      </c>
      <c r="J4496" s="5" t="e">
        <f>VLOOKUP(F4496,'Set up'!$A$2:$D$70,4,FALSE)</f>
        <v>#N/A</v>
      </c>
      <c r="K4496" s="4" t="e">
        <f t="shared" si="1070"/>
        <v>#N/A</v>
      </c>
      <c r="L4496" s="5" t="e">
        <f t="shared" si="1071"/>
        <v>#N/A</v>
      </c>
      <c r="M4496" s="5" t="e">
        <f t="shared" si="1072"/>
        <v>#N/A</v>
      </c>
      <c r="N4496" s="156">
        <v>394.2</v>
      </c>
      <c r="P4496" s="12"/>
      <c r="Q4496" s="7">
        <f t="shared" si="1073"/>
        <v>7450898.0500000073</v>
      </c>
      <c r="R4496" s="44" t="e">
        <f>VLOOKUP(F4496,'Set up'!$A$2:$E$70,5,FALSE)</f>
        <v>#N/A</v>
      </c>
    </row>
    <row r="4497" spans="1:18" ht="16.2" customHeight="1" x14ac:dyDescent="0.3">
      <c r="A4497" s="150" t="s">
        <v>4249</v>
      </c>
      <c r="B4497" s="5">
        <f t="shared" si="1068"/>
        <v>10</v>
      </c>
      <c r="C4497" s="5">
        <f t="shared" si="1069"/>
        <v>2025</v>
      </c>
      <c r="D4497" s="150" t="s">
        <v>4217</v>
      </c>
      <c r="E4497" s="5" t="e">
        <f>VLOOKUP(F4497,'Set up'!$A$2:$C$70,2,FALSE)</f>
        <v>#N/A</v>
      </c>
      <c r="F4497" s="151" t="s">
        <v>4130</v>
      </c>
      <c r="G4497" s="151" t="s">
        <v>2556</v>
      </c>
      <c r="H4497" s="150">
        <v>1</v>
      </c>
      <c r="I4497" s="5" t="e">
        <f>VLOOKUP(F4497,'Set up'!$A$2:$C$70,3,FALSE)</f>
        <v>#N/A</v>
      </c>
      <c r="J4497" s="5" t="e">
        <f>VLOOKUP(F4497,'Set up'!$A$2:$D$70,4,FALSE)</f>
        <v>#N/A</v>
      </c>
      <c r="K4497" s="4" t="e">
        <f t="shared" si="1070"/>
        <v>#N/A</v>
      </c>
      <c r="L4497" s="5" t="e">
        <f t="shared" si="1071"/>
        <v>#N/A</v>
      </c>
      <c r="M4497" s="5" t="e">
        <f t="shared" si="1072"/>
        <v>#N/A</v>
      </c>
      <c r="N4497" s="156">
        <v>394.2</v>
      </c>
      <c r="P4497" s="12"/>
      <c r="Q4497" s="7">
        <f t="shared" si="1073"/>
        <v>7451292.2500000075</v>
      </c>
      <c r="R4497" s="44" t="e">
        <f>VLOOKUP(F4497,'Set up'!$A$2:$E$70,5,FALSE)</f>
        <v>#N/A</v>
      </c>
    </row>
    <row r="4498" spans="1:18" ht="16.2" customHeight="1" x14ac:dyDescent="0.3">
      <c r="A4498" s="150" t="s">
        <v>4249</v>
      </c>
      <c r="B4498" s="5">
        <f t="shared" si="1068"/>
        <v>10</v>
      </c>
      <c r="C4498" s="5">
        <f t="shared" si="1069"/>
        <v>2025</v>
      </c>
      <c r="D4498" s="150" t="s">
        <v>4217</v>
      </c>
      <c r="E4498" s="5" t="e">
        <f>VLOOKUP(F4498,'Set up'!$A$2:$C$70,2,FALSE)</f>
        <v>#N/A</v>
      </c>
      <c r="F4498" s="151" t="s">
        <v>4130</v>
      </c>
      <c r="G4498" s="151" t="s">
        <v>2646</v>
      </c>
      <c r="H4498" s="150">
        <v>2</v>
      </c>
      <c r="I4498" s="5" t="e">
        <f>VLOOKUP(F4498,'Set up'!$A$2:$C$70,3,FALSE)</f>
        <v>#N/A</v>
      </c>
      <c r="J4498" s="5" t="e">
        <f>VLOOKUP(F4498,'Set up'!$A$2:$D$70,4,FALSE)</f>
        <v>#N/A</v>
      </c>
      <c r="K4498" s="4" t="e">
        <f t="shared" si="1070"/>
        <v>#N/A</v>
      </c>
      <c r="L4498" s="5" t="e">
        <f t="shared" si="1071"/>
        <v>#N/A</v>
      </c>
      <c r="M4498" s="5" t="e">
        <f t="shared" si="1072"/>
        <v>#N/A</v>
      </c>
      <c r="N4498" s="156">
        <v>125</v>
      </c>
      <c r="P4498" s="12"/>
      <c r="Q4498" s="7">
        <f t="shared" si="1073"/>
        <v>7451417.2500000075</v>
      </c>
      <c r="R4498" s="44" t="e">
        <f>VLOOKUP(F4498,'Set up'!$A$2:$E$70,5,FALSE)</f>
        <v>#N/A</v>
      </c>
    </row>
    <row r="4499" spans="1:18" ht="16.2" customHeight="1" x14ac:dyDescent="0.3">
      <c r="A4499" s="150" t="s">
        <v>4250</v>
      </c>
      <c r="B4499" s="5">
        <f t="shared" si="1068"/>
        <v>10</v>
      </c>
      <c r="C4499" s="5">
        <f t="shared" si="1069"/>
        <v>2025</v>
      </c>
      <c r="D4499" s="150" t="s">
        <v>4218</v>
      </c>
      <c r="E4499" s="5" t="str">
        <f>VLOOKUP(F4499,'Set up'!$A$2:$C$70,2,FALSE)</f>
        <v>C00000044</v>
      </c>
      <c r="F4499" s="151" t="s">
        <v>2929</v>
      </c>
      <c r="G4499" s="151" t="s">
        <v>3122</v>
      </c>
      <c r="H4499" s="150">
        <v>1</v>
      </c>
      <c r="I4499" s="5" t="str">
        <f>VLOOKUP(F4499,'Set up'!$A$2:$C$70,3,FALSE)</f>
        <v>Cash</v>
      </c>
      <c r="J4499" s="5">
        <f>VLOOKUP(F4499,'Set up'!$A$2:$D$70,4,FALSE)</f>
        <v>0</v>
      </c>
      <c r="K4499" s="4">
        <f t="shared" si="1070"/>
        <v>45939</v>
      </c>
      <c r="L4499" s="5">
        <f t="shared" si="1071"/>
        <v>10</v>
      </c>
      <c r="M4499" s="5">
        <f t="shared" si="1072"/>
        <v>2025</v>
      </c>
      <c r="N4499" s="156">
        <v>1687.5</v>
      </c>
      <c r="P4499" s="12"/>
      <c r="Q4499" s="7">
        <f t="shared" si="1073"/>
        <v>7453104.7500000075</v>
      </c>
      <c r="R4499" s="44" t="str">
        <f>VLOOKUP(F4499,'Set up'!$A$2:$E$70,5,FALSE)</f>
        <v>Cash</v>
      </c>
    </row>
    <row r="4500" spans="1:18" ht="16.2" customHeight="1" x14ac:dyDescent="0.3">
      <c r="A4500" s="150" t="s">
        <v>4250</v>
      </c>
      <c r="B4500" s="5">
        <f t="shared" si="1068"/>
        <v>10</v>
      </c>
      <c r="C4500" s="5">
        <f t="shared" si="1069"/>
        <v>2025</v>
      </c>
      <c r="D4500" s="150" t="s">
        <v>4218</v>
      </c>
      <c r="E4500" s="5" t="str">
        <f>VLOOKUP(F4500,'Set up'!$A$2:$C$70,2,FALSE)</f>
        <v>C00000044</v>
      </c>
      <c r="F4500" s="151" t="s">
        <v>2929</v>
      </c>
      <c r="G4500" s="151" t="s">
        <v>2570</v>
      </c>
      <c r="H4500" s="150">
        <v>2</v>
      </c>
      <c r="I4500" s="5" t="str">
        <f>VLOOKUP(F4500,'Set up'!$A$2:$C$70,3,FALSE)</f>
        <v>Cash</v>
      </c>
      <c r="J4500" s="5">
        <f>VLOOKUP(F4500,'Set up'!$A$2:$D$70,4,FALSE)</f>
        <v>0</v>
      </c>
      <c r="K4500" s="4">
        <f t="shared" si="1070"/>
        <v>45939</v>
      </c>
      <c r="L4500" s="5">
        <f t="shared" si="1071"/>
        <v>10</v>
      </c>
      <c r="M4500" s="5">
        <f t="shared" si="1072"/>
        <v>2025</v>
      </c>
      <c r="N4500" s="156">
        <v>432</v>
      </c>
      <c r="P4500" s="12"/>
      <c r="Q4500" s="7">
        <f t="shared" si="1073"/>
        <v>7453536.7500000075</v>
      </c>
      <c r="R4500" s="44" t="str">
        <f>VLOOKUP(F4500,'Set up'!$A$2:$E$70,5,FALSE)</f>
        <v>Cash</v>
      </c>
    </row>
    <row r="4501" spans="1:18" ht="16.2" customHeight="1" x14ac:dyDescent="0.3">
      <c r="A4501" s="150" t="s">
        <v>4250</v>
      </c>
      <c r="B4501" s="5">
        <f t="shared" si="1068"/>
        <v>10</v>
      </c>
      <c r="C4501" s="5">
        <f t="shared" si="1069"/>
        <v>2025</v>
      </c>
      <c r="D4501" s="150" t="s">
        <v>4218</v>
      </c>
      <c r="E4501" s="5" t="str">
        <f>VLOOKUP(F4501,'Set up'!$A$2:$C$70,2,FALSE)</f>
        <v>C00000044</v>
      </c>
      <c r="F4501" s="151" t="s">
        <v>2929</v>
      </c>
      <c r="G4501" s="151" t="s">
        <v>655</v>
      </c>
      <c r="H4501" s="150">
        <v>1</v>
      </c>
      <c r="I4501" s="5" t="str">
        <f>VLOOKUP(F4501,'Set up'!$A$2:$C$70,3,FALSE)</f>
        <v>Cash</v>
      </c>
      <c r="J4501" s="5">
        <f>VLOOKUP(F4501,'Set up'!$A$2:$D$70,4,FALSE)</f>
        <v>0</v>
      </c>
      <c r="K4501" s="4">
        <f t="shared" si="1070"/>
        <v>45939</v>
      </c>
      <c r="L4501" s="5">
        <f t="shared" si="1071"/>
        <v>10</v>
      </c>
      <c r="M4501" s="5">
        <f t="shared" si="1072"/>
        <v>2025</v>
      </c>
      <c r="N4501" s="156">
        <v>272</v>
      </c>
      <c r="P4501" s="12"/>
      <c r="Q4501" s="7">
        <f t="shared" si="1073"/>
        <v>7453808.7500000075</v>
      </c>
      <c r="R4501" s="44" t="str">
        <f>VLOOKUP(F4501,'Set up'!$A$2:$E$70,5,FALSE)</f>
        <v>Cash</v>
      </c>
    </row>
    <row r="4502" spans="1:18" ht="16.2" customHeight="1" x14ac:dyDescent="0.3">
      <c r="A4502" s="150" t="s">
        <v>4250</v>
      </c>
      <c r="B4502" s="5">
        <f t="shared" si="1068"/>
        <v>10</v>
      </c>
      <c r="C4502" s="5">
        <f t="shared" si="1069"/>
        <v>2025</v>
      </c>
      <c r="D4502" s="150" t="s">
        <v>4218</v>
      </c>
      <c r="E4502" s="5" t="str">
        <f>VLOOKUP(F4502,'Set up'!$A$2:$C$70,2,FALSE)</f>
        <v>C00000044</v>
      </c>
      <c r="F4502" s="151" t="s">
        <v>2929</v>
      </c>
      <c r="G4502" s="151" t="s">
        <v>945</v>
      </c>
      <c r="H4502" s="150">
        <v>1</v>
      </c>
      <c r="I4502" s="5" t="str">
        <f>VLOOKUP(F4502,'Set up'!$A$2:$C$70,3,FALSE)</f>
        <v>Cash</v>
      </c>
      <c r="J4502" s="5">
        <f>VLOOKUP(F4502,'Set up'!$A$2:$D$70,4,FALSE)</f>
        <v>0</v>
      </c>
      <c r="K4502" s="4">
        <f t="shared" si="1070"/>
        <v>45939</v>
      </c>
      <c r="L4502" s="5">
        <f t="shared" si="1071"/>
        <v>10</v>
      </c>
      <c r="M4502" s="5">
        <f t="shared" si="1072"/>
        <v>2025</v>
      </c>
      <c r="N4502" s="156">
        <v>115</v>
      </c>
      <c r="P4502" s="12"/>
      <c r="Q4502" s="7">
        <f t="shared" si="1073"/>
        <v>7453923.7500000075</v>
      </c>
      <c r="R4502" s="44" t="str">
        <f>VLOOKUP(F4502,'Set up'!$A$2:$E$70,5,FALSE)</f>
        <v>Cash</v>
      </c>
    </row>
    <row r="4503" spans="1:18" ht="16.2" customHeight="1" x14ac:dyDescent="0.3">
      <c r="A4503" s="150" t="s">
        <v>4250</v>
      </c>
      <c r="B4503" s="5">
        <f t="shared" si="1068"/>
        <v>10</v>
      </c>
      <c r="C4503" s="5">
        <f t="shared" si="1069"/>
        <v>2025</v>
      </c>
      <c r="D4503" s="150" t="s">
        <v>4219</v>
      </c>
      <c r="E4503" s="5" t="e">
        <f>VLOOKUP(F4503,'Set up'!$A$2:$C$70,2,FALSE)</f>
        <v>#N/A</v>
      </c>
      <c r="F4503" s="151" t="s">
        <v>4265</v>
      </c>
      <c r="G4503" s="151" t="s">
        <v>4269</v>
      </c>
      <c r="H4503" s="150">
        <v>5</v>
      </c>
      <c r="I4503" s="5" t="e">
        <f>VLOOKUP(F4503,'Set up'!$A$2:$C$70,3,FALSE)</f>
        <v>#N/A</v>
      </c>
      <c r="J4503" s="5" t="e">
        <f>VLOOKUP(F4503,'Set up'!$A$2:$D$70,4,FALSE)</f>
        <v>#N/A</v>
      </c>
      <c r="K4503" s="4" t="e">
        <f t="shared" si="1070"/>
        <v>#N/A</v>
      </c>
      <c r="L4503" s="5" t="e">
        <f t="shared" si="1071"/>
        <v>#N/A</v>
      </c>
      <c r="M4503" s="5" t="e">
        <f t="shared" si="1072"/>
        <v>#N/A</v>
      </c>
      <c r="N4503" s="156">
        <v>6930</v>
      </c>
      <c r="P4503" s="12"/>
      <c r="Q4503" s="7">
        <f t="shared" si="1073"/>
        <v>7460853.7500000075</v>
      </c>
      <c r="R4503" s="44" t="e">
        <f>VLOOKUP(F4503,'Set up'!$A$2:$E$70,5,FALSE)</f>
        <v>#N/A</v>
      </c>
    </row>
    <row r="4504" spans="1:18" ht="16.2" customHeight="1" x14ac:dyDescent="0.3">
      <c r="A4504" s="150" t="s">
        <v>4250</v>
      </c>
      <c r="B4504" s="5">
        <f t="shared" si="1068"/>
        <v>10</v>
      </c>
      <c r="C4504" s="5">
        <f t="shared" si="1069"/>
        <v>2025</v>
      </c>
      <c r="D4504" s="150" t="s">
        <v>4219</v>
      </c>
      <c r="E4504" s="5" t="e">
        <f>VLOOKUP(F4504,'Set up'!$A$2:$C$70,2,FALSE)</f>
        <v>#N/A</v>
      </c>
      <c r="F4504" s="151" t="s">
        <v>4265</v>
      </c>
      <c r="G4504" s="151" t="s">
        <v>4270</v>
      </c>
      <c r="H4504" s="150">
        <v>3</v>
      </c>
      <c r="I4504" s="5" t="e">
        <f>VLOOKUP(F4504,'Set up'!$A$2:$C$70,3,FALSE)</f>
        <v>#N/A</v>
      </c>
      <c r="J4504" s="5" t="e">
        <f>VLOOKUP(F4504,'Set up'!$A$2:$D$70,4,FALSE)</f>
        <v>#N/A</v>
      </c>
      <c r="K4504" s="4" t="e">
        <f t="shared" si="1070"/>
        <v>#N/A</v>
      </c>
      <c r="L4504" s="5" t="e">
        <f t="shared" si="1071"/>
        <v>#N/A</v>
      </c>
      <c r="M4504" s="5" t="e">
        <f t="shared" si="1072"/>
        <v>#N/A</v>
      </c>
      <c r="N4504" s="156">
        <v>157.5</v>
      </c>
      <c r="P4504" s="12"/>
      <c r="Q4504" s="7">
        <f t="shared" si="1073"/>
        <v>7461011.2500000075</v>
      </c>
      <c r="R4504" s="44" t="e">
        <f>VLOOKUP(F4504,'Set up'!$A$2:$E$70,5,FALSE)</f>
        <v>#N/A</v>
      </c>
    </row>
    <row r="4505" spans="1:18" ht="16.2" customHeight="1" x14ac:dyDescent="0.3">
      <c r="A4505" s="150" t="s">
        <v>4250</v>
      </c>
      <c r="B4505" s="5">
        <f t="shared" si="1068"/>
        <v>10</v>
      </c>
      <c r="C4505" s="5">
        <f t="shared" si="1069"/>
        <v>2025</v>
      </c>
      <c r="D4505" s="150" t="s">
        <v>4220</v>
      </c>
      <c r="E4505" s="5" t="e">
        <f>VLOOKUP(F4505,'Set up'!$A$2:$C$70,2,FALSE)</f>
        <v>#N/A</v>
      </c>
      <c r="F4505" s="151" t="s">
        <v>4265</v>
      </c>
      <c r="G4505" s="151" t="s">
        <v>4271</v>
      </c>
      <c r="H4505" s="150">
        <v>10</v>
      </c>
      <c r="I4505" s="5" t="e">
        <f>VLOOKUP(F4505,'Set up'!$A$2:$C$70,3,FALSE)</f>
        <v>#N/A</v>
      </c>
      <c r="J4505" s="5" t="e">
        <f>VLOOKUP(F4505,'Set up'!$A$2:$D$70,4,FALSE)</f>
        <v>#N/A</v>
      </c>
      <c r="K4505" s="4" t="e">
        <f t="shared" si="1070"/>
        <v>#N/A</v>
      </c>
      <c r="L4505" s="5" t="e">
        <f t="shared" si="1071"/>
        <v>#N/A</v>
      </c>
      <c r="M4505" s="5" t="e">
        <f t="shared" si="1072"/>
        <v>#N/A</v>
      </c>
      <c r="N4505" s="156">
        <v>13860</v>
      </c>
      <c r="P4505" s="12"/>
      <c r="Q4505" s="7">
        <f t="shared" si="1073"/>
        <v>7474871.2500000075</v>
      </c>
      <c r="R4505" s="44" t="e">
        <f>VLOOKUP(F4505,'Set up'!$A$2:$E$70,5,FALSE)</f>
        <v>#N/A</v>
      </c>
    </row>
    <row r="4506" spans="1:18" ht="16.2" customHeight="1" x14ac:dyDescent="0.3">
      <c r="A4506" s="150" t="s">
        <v>4250</v>
      </c>
      <c r="B4506" s="5">
        <f t="shared" si="1068"/>
        <v>10</v>
      </c>
      <c r="C4506" s="5">
        <f t="shared" si="1069"/>
        <v>2025</v>
      </c>
      <c r="D4506" s="150" t="s">
        <v>4220</v>
      </c>
      <c r="E4506" s="5" t="e">
        <f>VLOOKUP(F4506,'Set up'!$A$2:$C$70,2,FALSE)</f>
        <v>#N/A</v>
      </c>
      <c r="F4506" s="151" t="s">
        <v>4265</v>
      </c>
      <c r="G4506" s="151" t="s">
        <v>4272</v>
      </c>
      <c r="H4506" s="150">
        <v>30</v>
      </c>
      <c r="I4506" s="5" t="e">
        <f>VLOOKUP(F4506,'Set up'!$A$2:$C$70,3,FALSE)</f>
        <v>#N/A</v>
      </c>
      <c r="J4506" s="5" t="e">
        <f>VLOOKUP(F4506,'Set up'!$A$2:$D$70,4,FALSE)</f>
        <v>#N/A</v>
      </c>
      <c r="K4506" s="4" t="e">
        <f t="shared" si="1070"/>
        <v>#N/A</v>
      </c>
      <c r="L4506" s="5" t="e">
        <f t="shared" si="1071"/>
        <v>#N/A</v>
      </c>
      <c r="M4506" s="5" t="e">
        <f t="shared" si="1072"/>
        <v>#N/A</v>
      </c>
      <c r="N4506" s="156">
        <v>5467.5</v>
      </c>
      <c r="P4506" s="12"/>
      <c r="Q4506" s="7">
        <f t="shared" si="1073"/>
        <v>7480338.7500000075</v>
      </c>
      <c r="R4506" s="44" t="e">
        <f>VLOOKUP(F4506,'Set up'!$A$2:$E$70,5,FALSE)</f>
        <v>#N/A</v>
      </c>
    </row>
    <row r="4507" spans="1:18" ht="16.2" customHeight="1" x14ac:dyDescent="0.3">
      <c r="A4507" s="150" t="s">
        <v>4250</v>
      </c>
      <c r="B4507" s="5">
        <f t="shared" si="1068"/>
        <v>10</v>
      </c>
      <c r="C4507" s="5">
        <f t="shared" si="1069"/>
        <v>2025</v>
      </c>
      <c r="D4507" s="150" t="s">
        <v>4220</v>
      </c>
      <c r="E4507" s="5" t="e">
        <f>VLOOKUP(F4507,'Set up'!$A$2:$C$70,2,FALSE)</f>
        <v>#N/A</v>
      </c>
      <c r="F4507" s="151" t="s">
        <v>4265</v>
      </c>
      <c r="G4507" s="151" t="s">
        <v>46</v>
      </c>
      <c r="H4507" s="150">
        <v>8</v>
      </c>
      <c r="I4507" s="5" t="e">
        <f>VLOOKUP(F4507,'Set up'!$A$2:$C$70,3,FALSE)</f>
        <v>#N/A</v>
      </c>
      <c r="J4507" s="5" t="e">
        <f>VLOOKUP(F4507,'Set up'!$A$2:$D$70,4,FALSE)</f>
        <v>#N/A</v>
      </c>
      <c r="K4507" s="4" t="e">
        <f t="shared" si="1070"/>
        <v>#N/A</v>
      </c>
      <c r="L4507" s="5" t="e">
        <f t="shared" si="1071"/>
        <v>#N/A</v>
      </c>
      <c r="M4507" s="5" t="e">
        <f t="shared" si="1072"/>
        <v>#N/A</v>
      </c>
      <c r="N4507" s="156">
        <v>808</v>
      </c>
      <c r="P4507" s="12"/>
      <c r="Q4507" s="7">
        <f t="shared" si="1073"/>
        <v>7481146.7500000075</v>
      </c>
      <c r="R4507" s="44" t="e">
        <f>VLOOKUP(F4507,'Set up'!$A$2:$E$70,5,FALSE)</f>
        <v>#N/A</v>
      </c>
    </row>
    <row r="4508" spans="1:18" ht="16.2" customHeight="1" x14ac:dyDescent="0.3">
      <c r="A4508" s="150" t="s">
        <v>4251</v>
      </c>
      <c r="B4508" s="5">
        <f t="shared" si="1068"/>
        <v>10</v>
      </c>
      <c r="C4508" s="5">
        <f t="shared" si="1069"/>
        <v>2025</v>
      </c>
      <c r="D4508" s="150" t="s">
        <v>4221</v>
      </c>
      <c r="E4508" s="5" t="e">
        <f>VLOOKUP(F4508,'Set up'!$A$2:$C$70,2,FALSE)</f>
        <v>#N/A</v>
      </c>
      <c r="F4508" s="151" t="s">
        <v>4265</v>
      </c>
      <c r="G4508" s="151" t="s">
        <v>4273</v>
      </c>
      <c r="H4508" s="150">
        <v>1</v>
      </c>
      <c r="I4508" s="5" t="e">
        <f>VLOOKUP(F4508,'Set up'!$A$2:$C$70,3,FALSE)</f>
        <v>#N/A</v>
      </c>
      <c r="J4508" s="5" t="e">
        <f>VLOOKUP(F4508,'Set up'!$A$2:$D$70,4,FALSE)</f>
        <v>#N/A</v>
      </c>
      <c r="K4508" s="4" t="e">
        <f t="shared" si="1070"/>
        <v>#N/A</v>
      </c>
      <c r="L4508" s="5" t="e">
        <f t="shared" si="1071"/>
        <v>#N/A</v>
      </c>
      <c r="M4508" s="5" t="e">
        <f t="shared" si="1072"/>
        <v>#N/A</v>
      </c>
      <c r="N4508" s="156">
        <v>1386</v>
      </c>
      <c r="P4508" s="12"/>
      <c r="Q4508" s="7">
        <f t="shared" si="1073"/>
        <v>7482532.7500000075</v>
      </c>
      <c r="R4508" s="44" t="e">
        <f>VLOOKUP(F4508,'Set up'!$A$2:$E$70,5,FALSE)</f>
        <v>#N/A</v>
      </c>
    </row>
    <row r="4509" spans="1:18" ht="16.2" customHeight="1" x14ac:dyDescent="0.3">
      <c r="A4509" s="150" t="s">
        <v>4251</v>
      </c>
      <c r="B4509" s="5">
        <f t="shared" si="1068"/>
        <v>10</v>
      </c>
      <c r="C4509" s="5">
        <f t="shared" si="1069"/>
        <v>2025</v>
      </c>
      <c r="D4509" s="150" t="s">
        <v>4221</v>
      </c>
      <c r="E4509" s="5" t="e">
        <f>VLOOKUP(F4509,'Set up'!$A$2:$C$70,2,FALSE)</f>
        <v>#N/A</v>
      </c>
      <c r="F4509" s="151" t="s">
        <v>4265</v>
      </c>
      <c r="G4509" s="151" t="s">
        <v>4274</v>
      </c>
      <c r="H4509" s="150">
        <v>1</v>
      </c>
      <c r="I4509" s="5" t="e">
        <f>VLOOKUP(F4509,'Set up'!$A$2:$C$70,3,FALSE)</f>
        <v>#N/A</v>
      </c>
      <c r="J4509" s="5" t="e">
        <f>VLOOKUP(F4509,'Set up'!$A$2:$D$70,4,FALSE)</f>
        <v>#N/A</v>
      </c>
      <c r="K4509" s="4" t="e">
        <f t="shared" si="1070"/>
        <v>#N/A</v>
      </c>
      <c r="L4509" s="5" t="e">
        <f t="shared" si="1071"/>
        <v>#N/A</v>
      </c>
      <c r="M4509" s="5" t="e">
        <f t="shared" si="1072"/>
        <v>#N/A</v>
      </c>
      <c r="N4509" s="156">
        <v>106</v>
      </c>
      <c r="P4509" s="12"/>
      <c r="Q4509" s="7">
        <f t="shared" si="1073"/>
        <v>7482638.7500000075</v>
      </c>
      <c r="R4509" s="44" t="e">
        <f>VLOOKUP(F4509,'Set up'!$A$2:$E$70,5,FALSE)</f>
        <v>#N/A</v>
      </c>
    </row>
    <row r="4510" spans="1:18" ht="16.2" customHeight="1" x14ac:dyDescent="0.3">
      <c r="A4510" s="150" t="s">
        <v>4251</v>
      </c>
      <c r="B4510" s="5">
        <f t="shared" si="1068"/>
        <v>10</v>
      </c>
      <c r="C4510" s="5">
        <f t="shared" si="1069"/>
        <v>2025</v>
      </c>
      <c r="D4510" s="150" t="s">
        <v>4222</v>
      </c>
      <c r="E4510" s="5" t="str">
        <f>VLOOKUP(F4510,'Set up'!$A$2:$C$70,2,FALSE)</f>
        <v>C00000042</v>
      </c>
      <c r="F4510" s="151" t="s">
        <v>2012</v>
      </c>
      <c r="G4510" s="151" t="s">
        <v>2646</v>
      </c>
      <c r="H4510" s="150">
        <v>5</v>
      </c>
      <c r="I4510" s="5" t="str">
        <f>VLOOKUP(F4510,'Set up'!$A$2:$C$70,3,FALSE)</f>
        <v>Cash</v>
      </c>
      <c r="J4510" s="5">
        <f>VLOOKUP(F4510,'Set up'!$A$2:$D$70,4,FALSE)</f>
        <v>0</v>
      </c>
      <c r="K4510" s="4">
        <f t="shared" si="1070"/>
        <v>45940</v>
      </c>
      <c r="L4510" s="5">
        <f t="shared" si="1071"/>
        <v>10</v>
      </c>
      <c r="M4510" s="5">
        <f t="shared" si="1072"/>
        <v>2025</v>
      </c>
      <c r="N4510" s="156">
        <v>312.5</v>
      </c>
      <c r="P4510" s="12"/>
      <c r="Q4510" s="7">
        <f t="shared" si="1073"/>
        <v>7482951.2500000075</v>
      </c>
      <c r="R4510" s="44" t="str">
        <f>VLOOKUP(F4510,'Set up'!$A$2:$E$70,5,FALSE)</f>
        <v>Trsf</v>
      </c>
    </row>
    <row r="4511" spans="1:18" ht="16.2" customHeight="1" x14ac:dyDescent="0.3">
      <c r="A4511" s="150" t="s">
        <v>4251</v>
      </c>
      <c r="B4511" s="5">
        <f t="shared" si="1068"/>
        <v>10</v>
      </c>
      <c r="C4511" s="5">
        <f t="shared" si="1069"/>
        <v>2025</v>
      </c>
      <c r="D4511" s="150" t="s">
        <v>4223</v>
      </c>
      <c r="E4511" s="5" t="str">
        <f>VLOOKUP(F4511,'Set up'!$A$2:$C$70,2,FALSE)</f>
        <v>C00000042</v>
      </c>
      <c r="F4511" s="151" t="s">
        <v>2012</v>
      </c>
      <c r="G4511" s="151" t="s">
        <v>3645</v>
      </c>
      <c r="H4511" s="150">
        <v>10</v>
      </c>
      <c r="I4511" s="5" t="str">
        <f>VLOOKUP(F4511,'Set up'!$A$2:$C$70,3,FALSE)</f>
        <v>Cash</v>
      </c>
      <c r="J4511" s="5">
        <f>VLOOKUP(F4511,'Set up'!$A$2:$D$70,4,FALSE)</f>
        <v>0</v>
      </c>
      <c r="K4511" s="4">
        <f t="shared" si="1070"/>
        <v>45940</v>
      </c>
      <c r="L4511" s="5">
        <f t="shared" si="1071"/>
        <v>10</v>
      </c>
      <c r="M4511" s="5">
        <f t="shared" si="1072"/>
        <v>2025</v>
      </c>
      <c r="N4511" s="156">
        <v>15750</v>
      </c>
      <c r="P4511" s="12"/>
      <c r="Q4511" s="7">
        <f t="shared" si="1073"/>
        <v>7498701.2500000075</v>
      </c>
      <c r="R4511" s="44" t="str">
        <f>VLOOKUP(F4511,'Set up'!$A$2:$E$70,5,FALSE)</f>
        <v>Trsf</v>
      </c>
    </row>
    <row r="4512" spans="1:18" ht="16.2" customHeight="1" x14ac:dyDescent="0.3">
      <c r="A4512" s="150" t="s">
        <v>4251</v>
      </c>
      <c r="B4512" s="5">
        <f t="shared" si="1068"/>
        <v>10</v>
      </c>
      <c r="C4512" s="5">
        <f t="shared" si="1069"/>
        <v>2025</v>
      </c>
      <c r="D4512" s="150" t="s">
        <v>4223</v>
      </c>
      <c r="E4512" s="5" t="str">
        <f>VLOOKUP(F4512,'Set up'!$A$2:$C$70,2,FALSE)</f>
        <v>C00000042</v>
      </c>
      <c r="F4512" s="151" t="s">
        <v>2012</v>
      </c>
      <c r="G4512" s="151" t="s">
        <v>1392</v>
      </c>
      <c r="H4512" s="150">
        <v>18</v>
      </c>
      <c r="I4512" s="5" t="str">
        <f>VLOOKUP(F4512,'Set up'!$A$2:$C$70,3,FALSE)</f>
        <v>Cash</v>
      </c>
      <c r="J4512" s="5">
        <f>VLOOKUP(F4512,'Set up'!$A$2:$D$70,4,FALSE)</f>
        <v>0</v>
      </c>
      <c r="K4512" s="4">
        <f t="shared" si="1070"/>
        <v>45940</v>
      </c>
      <c r="L4512" s="5">
        <f t="shared" si="1071"/>
        <v>10</v>
      </c>
      <c r="M4512" s="5">
        <f t="shared" si="1072"/>
        <v>2025</v>
      </c>
      <c r="N4512" s="156">
        <v>3186</v>
      </c>
      <c r="P4512" s="12"/>
      <c r="Q4512" s="7">
        <f t="shared" si="1073"/>
        <v>7501887.2500000075</v>
      </c>
      <c r="R4512" s="44" t="str">
        <f>VLOOKUP(F4512,'Set up'!$A$2:$E$70,5,FALSE)</f>
        <v>Trsf</v>
      </c>
    </row>
    <row r="4513" spans="1:18" ht="16.2" customHeight="1" x14ac:dyDescent="0.3">
      <c r="A4513" s="150" t="s">
        <v>4251</v>
      </c>
      <c r="B4513" s="5">
        <f t="shared" si="1068"/>
        <v>10</v>
      </c>
      <c r="C4513" s="5">
        <f t="shared" si="1069"/>
        <v>2025</v>
      </c>
      <c r="D4513" s="150" t="s">
        <v>4223</v>
      </c>
      <c r="E4513" s="5" t="str">
        <f>VLOOKUP(F4513,'Set up'!$A$2:$C$70,2,FALSE)</f>
        <v>C00000042</v>
      </c>
      <c r="F4513" s="151" t="s">
        <v>2012</v>
      </c>
      <c r="G4513" s="151" t="s">
        <v>1922</v>
      </c>
      <c r="H4513" s="150">
        <v>12</v>
      </c>
      <c r="I4513" s="5" t="str">
        <f>VLOOKUP(F4513,'Set up'!$A$2:$C$70,3,FALSE)</f>
        <v>Cash</v>
      </c>
      <c r="J4513" s="5">
        <f>VLOOKUP(F4513,'Set up'!$A$2:$D$70,4,FALSE)</f>
        <v>0</v>
      </c>
      <c r="K4513" s="4">
        <f t="shared" si="1070"/>
        <v>45940</v>
      </c>
      <c r="L4513" s="5">
        <f t="shared" si="1071"/>
        <v>10</v>
      </c>
      <c r="M4513" s="5">
        <f t="shared" si="1072"/>
        <v>2025</v>
      </c>
      <c r="N4513" s="156">
        <v>2754</v>
      </c>
      <c r="P4513" s="12"/>
      <c r="Q4513" s="7">
        <f t="shared" si="1073"/>
        <v>7504641.2500000075</v>
      </c>
      <c r="R4513" s="44" t="str">
        <f>VLOOKUP(F4513,'Set up'!$A$2:$E$70,5,FALSE)</f>
        <v>Trsf</v>
      </c>
    </row>
    <row r="4514" spans="1:18" ht="16.2" customHeight="1" x14ac:dyDescent="0.3">
      <c r="A4514" s="150" t="s">
        <v>4251</v>
      </c>
      <c r="B4514" s="5">
        <f t="shared" si="1068"/>
        <v>10</v>
      </c>
      <c r="C4514" s="5">
        <f t="shared" si="1069"/>
        <v>2025</v>
      </c>
      <c r="D4514" s="150" t="s">
        <v>4223</v>
      </c>
      <c r="E4514" s="5" t="str">
        <f>VLOOKUP(F4514,'Set up'!$A$2:$C$70,2,FALSE)</f>
        <v>C00000042</v>
      </c>
      <c r="F4514" s="151" t="s">
        <v>2012</v>
      </c>
      <c r="G4514" s="151" t="s">
        <v>46</v>
      </c>
      <c r="H4514" s="150">
        <v>12</v>
      </c>
      <c r="I4514" s="5" t="str">
        <f>VLOOKUP(F4514,'Set up'!$A$2:$C$70,3,FALSE)</f>
        <v>Cash</v>
      </c>
      <c r="J4514" s="5">
        <f>VLOOKUP(F4514,'Set up'!$A$2:$D$70,4,FALSE)</f>
        <v>0</v>
      </c>
      <c r="K4514" s="4">
        <f t="shared" si="1070"/>
        <v>45940</v>
      </c>
      <c r="L4514" s="5">
        <f t="shared" si="1071"/>
        <v>10</v>
      </c>
      <c r="M4514" s="5">
        <f t="shared" si="1072"/>
        <v>2025</v>
      </c>
      <c r="N4514" s="156">
        <v>1380</v>
      </c>
      <c r="P4514" s="12"/>
      <c r="Q4514" s="7">
        <f t="shared" si="1073"/>
        <v>7506021.2500000075</v>
      </c>
      <c r="R4514" s="44" t="str">
        <f>VLOOKUP(F4514,'Set up'!$A$2:$E$70,5,FALSE)</f>
        <v>Trsf</v>
      </c>
    </row>
    <row r="4515" spans="1:18" ht="16.2" customHeight="1" x14ac:dyDescent="0.3">
      <c r="A4515" s="150" t="s">
        <v>4251</v>
      </c>
      <c r="B4515" s="5">
        <f t="shared" si="1068"/>
        <v>10</v>
      </c>
      <c r="C4515" s="5">
        <f t="shared" si="1069"/>
        <v>2025</v>
      </c>
      <c r="D4515" s="150" t="s">
        <v>4223</v>
      </c>
      <c r="E4515" s="5" t="str">
        <f>VLOOKUP(F4515,'Set up'!$A$2:$C$70,2,FALSE)</f>
        <v>C00000042</v>
      </c>
      <c r="F4515" s="151" t="s">
        <v>2012</v>
      </c>
      <c r="G4515" s="151" t="s">
        <v>1073</v>
      </c>
      <c r="H4515" s="150">
        <v>1</v>
      </c>
      <c r="I4515" s="5" t="str">
        <f>VLOOKUP(F4515,'Set up'!$A$2:$C$70,3,FALSE)</f>
        <v>Cash</v>
      </c>
      <c r="J4515" s="5">
        <f>VLOOKUP(F4515,'Set up'!$A$2:$D$70,4,FALSE)</f>
        <v>0</v>
      </c>
      <c r="K4515" s="4">
        <f t="shared" si="1070"/>
        <v>45940</v>
      </c>
      <c r="L4515" s="5">
        <f t="shared" si="1071"/>
        <v>10</v>
      </c>
      <c r="M4515" s="5">
        <f t="shared" si="1072"/>
        <v>2025</v>
      </c>
      <c r="N4515" s="156">
        <v>1050</v>
      </c>
      <c r="P4515" s="12"/>
      <c r="Q4515" s="7">
        <f t="shared" si="1073"/>
        <v>7507071.2500000075</v>
      </c>
      <c r="R4515" s="44" t="str">
        <f>VLOOKUP(F4515,'Set up'!$A$2:$E$70,5,FALSE)</f>
        <v>Trsf</v>
      </c>
    </row>
    <row r="4516" spans="1:18" ht="16.2" customHeight="1" x14ac:dyDescent="0.3">
      <c r="A4516" s="150" t="s">
        <v>4252</v>
      </c>
      <c r="B4516" s="5">
        <f t="shared" si="1068"/>
        <v>10</v>
      </c>
      <c r="C4516" s="5">
        <f t="shared" si="1069"/>
        <v>2025</v>
      </c>
      <c r="D4516" s="150" t="s">
        <v>4224</v>
      </c>
      <c r="E4516" s="5" t="str">
        <f>VLOOKUP(F4516,'Set up'!$A$2:$C$70,2,FALSE)</f>
        <v>C00000013</v>
      </c>
      <c r="F4516" s="151" t="s">
        <v>3549</v>
      </c>
      <c r="G4516" s="151" t="s">
        <v>3507</v>
      </c>
      <c r="H4516" s="150">
        <v>3</v>
      </c>
      <c r="I4516" s="5" t="str">
        <f>VLOOKUP(F4516,'Set up'!$A$2:$C$70,3,FALSE)</f>
        <v>Cash</v>
      </c>
      <c r="J4516" s="5">
        <f>VLOOKUP(F4516,'Set up'!$A$2:$D$70,4,FALSE)</f>
        <v>0</v>
      </c>
      <c r="K4516" s="4">
        <f t="shared" si="1070"/>
        <v>45943</v>
      </c>
      <c r="L4516" s="5">
        <f t="shared" si="1071"/>
        <v>10</v>
      </c>
      <c r="M4516" s="5">
        <f t="shared" si="1072"/>
        <v>2025</v>
      </c>
      <c r="N4516" s="156">
        <v>5197.5</v>
      </c>
      <c r="P4516" s="12"/>
      <c r="Q4516" s="7">
        <f t="shared" si="1073"/>
        <v>7512268.7500000075</v>
      </c>
      <c r="R4516" s="44" t="str">
        <f>VLOOKUP(F4516,'Set up'!$A$2:$E$70,5,FALSE)</f>
        <v>Chq</v>
      </c>
    </row>
    <row r="4517" spans="1:18" ht="16.2" customHeight="1" x14ac:dyDescent="0.3">
      <c r="A4517" s="150" t="s">
        <v>4252</v>
      </c>
      <c r="B4517" s="5">
        <f t="shared" si="1068"/>
        <v>10</v>
      </c>
      <c r="C4517" s="5">
        <f t="shared" si="1069"/>
        <v>2025</v>
      </c>
      <c r="D4517" s="150" t="s">
        <v>4224</v>
      </c>
      <c r="E4517" s="5" t="str">
        <f>VLOOKUP(F4517,'Set up'!$A$2:$C$70,2,FALSE)</f>
        <v>C00000013</v>
      </c>
      <c r="F4517" s="151" t="s">
        <v>3549</v>
      </c>
      <c r="G4517" s="151" t="s">
        <v>1443</v>
      </c>
      <c r="H4517" s="150">
        <v>3</v>
      </c>
      <c r="I4517" s="5" t="str">
        <f>VLOOKUP(F4517,'Set up'!$A$2:$C$70,3,FALSE)</f>
        <v>Cash</v>
      </c>
      <c r="J4517" s="5">
        <f>VLOOKUP(F4517,'Set up'!$A$2:$D$70,4,FALSE)</f>
        <v>0</v>
      </c>
      <c r="K4517" s="4">
        <f t="shared" si="1070"/>
        <v>45943</v>
      </c>
      <c r="L4517" s="5">
        <f t="shared" si="1071"/>
        <v>10</v>
      </c>
      <c r="M4517" s="5">
        <f t="shared" si="1072"/>
        <v>2025</v>
      </c>
      <c r="N4517" s="156">
        <v>1215</v>
      </c>
      <c r="P4517" s="12"/>
      <c r="Q4517" s="7">
        <f t="shared" si="1073"/>
        <v>7513483.7500000075</v>
      </c>
      <c r="R4517" s="44" t="str">
        <f>VLOOKUP(F4517,'Set up'!$A$2:$E$70,5,FALSE)</f>
        <v>Chq</v>
      </c>
    </row>
    <row r="4518" spans="1:18" ht="16.2" customHeight="1" x14ac:dyDescent="0.3">
      <c r="A4518" s="150" t="s">
        <v>4252</v>
      </c>
      <c r="B4518" s="5">
        <f t="shared" si="1068"/>
        <v>10</v>
      </c>
      <c r="C4518" s="5">
        <f t="shared" si="1069"/>
        <v>2025</v>
      </c>
      <c r="D4518" s="150" t="s">
        <v>4224</v>
      </c>
      <c r="E4518" s="5" t="str">
        <f>VLOOKUP(F4518,'Set up'!$A$2:$C$70,2,FALSE)</f>
        <v>C00000013</v>
      </c>
      <c r="F4518" s="151" t="s">
        <v>3549</v>
      </c>
      <c r="G4518" s="151" t="s">
        <v>1444</v>
      </c>
      <c r="H4518" s="150">
        <v>2</v>
      </c>
      <c r="I4518" s="5" t="str">
        <f>VLOOKUP(F4518,'Set up'!$A$2:$C$70,3,FALSE)</f>
        <v>Cash</v>
      </c>
      <c r="J4518" s="5">
        <f>VLOOKUP(F4518,'Set up'!$A$2:$D$70,4,FALSE)</f>
        <v>0</v>
      </c>
      <c r="K4518" s="4">
        <f t="shared" si="1070"/>
        <v>45943</v>
      </c>
      <c r="L4518" s="5">
        <f t="shared" si="1071"/>
        <v>10</v>
      </c>
      <c r="M4518" s="5">
        <f t="shared" si="1072"/>
        <v>2025</v>
      </c>
      <c r="N4518" s="156">
        <v>810</v>
      </c>
      <c r="P4518" s="12"/>
      <c r="Q4518" s="7">
        <f t="shared" si="1073"/>
        <v>7514293.7500000075</v>
      </c>
      <c r="R4518" s="44" t="str">
        <f>VLOOKUP(F4518,'Set up'!$A$2:$E$70,5,FALSE)</f>
        <v>Chq</v>
      </c>
    </row>
    <row r="4519" spans="1:18" ht="16.2" customHeight="1" x14ac:dyDescent="0.3">
      <c r="A4519" s="150" t="s">
        <v>4252</v>
      </c>
      <c r="B4519" s="5">
        <f t="shared" si="1068"/>
        <v>10</v>
      </c>
      <c r="C4519" s="5">
        <f t="shared" si="1069"/>
        <v>2025</v>
      </c>
      <c r="D4519" s="150" t="s">
        <v>4224</v>
      </c>
      <c r="E4519" s="5" t="str">
        <f>VLOOKUP(F4519,'Set up'!$A$2:$C$70,2,FALSE)</f>
        <v>C00000013</v>
      </c>
      <c r="F4519" s="151" t="s">
        <v>3549</v>
      </c>
      <c r="G4519" s="151" t="s">
        <v>3508</v>
      </c>
      <c r="H4519" s="150">
        <v>4</v>
      </c>
      <c r="I4519" s="5" t="str">
        <f>VLOOKUP(F4519,'Set up'!$A$2:$C$70,3,FALSE)</f>
        <v>Cash</v>
      </c>
      <c r="J4519" s="5">
        <f>VLOOKUP(F4519,'Set up'!$A$2:$D$70,4,FALSE)</f>
        <v>0</v>
      </c>
      <c r="K4519" s="4">
        <f t="shared" si="1070"/>
        <v>45943</v>
      </c>
      <c r="L4519" s="5">
        <f t="shared" si="1071"/>
        <v>10</v>
      </c>
      <c r="M4519" s="5">
        <f t="shared" si="1072"/>
        <v>2025</v>
      </c>
      <c r="N4519" s="156">
        <v>1135.2</v>
      </c>
      <c r="P4519" s="12"/>
      <c r="Q4519" s="7">
        <f t="shared" si="1073"/>
        <v>7515428.9500000076</v>
      </c>
      <c r="R4519" s="44" t="str">
        <f>VLOOKUP(F4519,'Set up'!$A$2:$E$70,5,FALSE)</f>
        <v>Chq</v>
      </c>
    </row>
    <row r="4520" spans="1:18" ht="16.2" customHeight="1" x14ac:dyDescent="0.3">
      <c r="A4520" s="150" t="s">
        <v>4252</v>
      </c>
      <c r="B4520" s="5">
        <f t="shared" si="1068"/>
        <v>10</v>
      </c>
      <c r="C4520" s="5">
        <f t="shared" si="1069"/>
        <v>2025</v>
      </c>
      <c r="D4520" s="150" t="s">
        <v>4224</v>
      </c>
      <c r="E4520" s="5" t="str">
        <f>VLOOKUP(F4520,'Set up'!$A$2:$C$70,2,FALSE)</f>
        <v>C00000013</v>
      </c>
      <c r="F4520" s="151" t="s">
        <v>3549</v>
      </c>
      <c r="G4520" s="151" t="s">
        <v>4275</v>
      </c>
      <c r="H4520" s="150">
        <v>1</v>
      </c>
      <c r="I4520" s="5" t="str">
        <f>VLOOKUP(F4520,'Set up'!$A$2:$C$70,3,FALSE)</f>
        <v>Cash</v>
      </c>
      <c r="J4520" s="5">
        <f>VLOOKUP(F4520,'Set up'!$A$2:$D$70,4,FALSE)</f>
        <v>0</v>
      </c>
      <c r="K4520" s="4">
        <f t="shared" si="1070"/>
        <v>45943</v>
      </c>
      <c r="L4520" s="5">
        <f t="shared" si="1071"/>
        <v>10</v>
      </c>
      <c r="M4520" s="5">
        <f t="shared" si="1072"/>
        <v>2025</v>
      </c>
      <c r="N4520" s="156">
        <v>140</v>
      </c>
      <c r="P4520" s="12"/>
      <c r="Q4520" s="7">
        <f t="shared" si="1073"/>
        <v>7515568.9500000076</v>
      </c>
      <c r="R4520" s="44" t="str">
        <f>VLOOKUP(F4520,'Set up'!$A$2:$E$70,5,FALSE)</f>
        <v>Chq</v>
      </c>
    </row>
    <row r="4521" spans="1:18" ht="16.2" customHeight="1" x14ac:dyDescent="0.3">
      <c r="A4521" s="150" t="s">
        <v>4252</v>
      </c>
      <c r="B4521" s="5">
        <f t="shared" si="1068"/>
        <v>10</v>
      </c>
      <c r="C4521" s="5">
        <f t="shared" si="1069"/>
        <v>2025</v>
      </c>
      <c r="D4521" s="150" t="s">
        <v>4224</v>
      </c>
      <c r="E4521" s="5" t="str">
        <f>VLOOKUP(F4521,'Set up'!$A$2:$C$70,2,FALSE)</f>
        <v>C00000013</v>
      </c>
      <c r="F4521" s="151" t="s">
        <v>3549</v>
      </c>
      <c r="G4521" s="151" t="s">
        <v>3509</v>
      </c>
      <c r="H4521" s="150">
        <v>1</v>
      </c>
      <c r="I4521" s="5" t="str">
        <f>VLOOKUP(F4521,'Set up'!$A$2:$C$70,3,FALSE)</f>
        <v>Cash</v>
      </c>
      <c r="J4521" s="5">
        <f>VLOOKUP(F4521,'Set up'!$A$2:$D$70,4,FALSE)</f>
        <v>0</v>
      </c>
      <c r="K4521" s="4">
        <f t="shared" si="1070"/>
        <v>45943</v>
      </c>
      <c r="L4521" s="5">
        <f t="shared" si="1071"/>
        <v>10</v>
      </c>
      <c r="M4521" s="5">
        <f t="shared" si="1072"/>
        <v>2025</v>
      </c>
      <c r="N4521" s="156">
        <v>55.2</v>
      </c>
      <c r="P4521" s="12"/>
      <c r="Q4521" s="7">
        <f t="shared" si="1073"/>
        <v>7515624.1500000078</v>
      </c>
      <c r="R4521" s="44" t="str">
        <f>VLOOKUP(F4521,'Set up'!$A$2:$E$70,5,FALSE)</f>
        <v>Chq</v>
      </c>
    </row>
    <row r="4522" spans="1:18" ht="16.2" customHeight="1" x14ac:dyDescent="0.3">
      <c r="A4522" s="150" t="s">
        <v>4252</v>
      </c>
      <c r="B4522" s="5">
        <f t="shared" si="1068"/>
        <v>10</v>
      </c>
      <c r="C4522" s="5">
        <f t="shared" si="1069"/>
        <v>2025</v>
      </c>
      <c r="D4522" s="150" t="s">
        <v>4224</v>
      </c>
      <c r="E4522" s="5" t="str">
        <f>VLOOKUP(F4522,'Set up'!$A$2:$C$70,2,FALSE)</f>
        <v>C00000013</v>
      </c>
      <c r="F4522" s="151" t="s">
        <v>3549</v>
      </c>
      <c r="G4522" s="151" t="s">
        <v>1449</v>
      </c>
      <c r="H4522" s="150">
        <v>3</v>
      </c>
      <c r="I4522" s="5" t="str">
        <f>VLOOKUP(F4522,'Set up'!$A$2:$C$70,3,FALSE)</f>
        <v>Cash</v>
      </c>
      <c r="J4522" s="5">
        <f>VLOOKUP(F4522,'Set up'!$A$2:$D$70,4,FALSE)</f>
        <v>0</v>
      </c>
      <c r="K4522" s="4">
        <f t="shared" si="1070"/>
        <v>45943</v>
      </c>
      <c r="L4522" s="5">
        <f t="shared" si="1071"/>
        <v>10</v>
      </c>
      <c r="M4522" s="5">
        <f t="shared" si="1072"/>
        <v>2025</v>
      </c>
      <c r="N4522" s="156">
        <v>360</v>
      </c>
      <c r="P4522" s="12"/>
      <c r="Q4522" s="7">
        <f t="shared" si="1073"/>
        <v>7515984.1500000078</v>
      </c>
      <c r="R4522" s="44" t="str">
        <f>VLOOKUP(F4522,'Set up'!$A$2:$E$70,5,FALSE)</f>
        <v>Chq</v>
      </c>
    </row>
    <row r="4523" spans="1:18" ht="16.2" customHeight="1" x14ac:dyDescent="0.3">
      <c r="A4523" s="150" t="s">
        <v>4253</v>
      </c>
      <c r="B4523" s="5">
        <f t="shared" si="1068"/>
        <v>10</v>
      </c>
      <c r="C4523" s="5">
        <f t="shared" si="1069"/>
        <v>2025</v>
      </c>
      <c r="D4523" s="150" t="s">
        <v>4225</v>
      </c>
      <c r="E4523" s="5" t="str">
        <f>VLOOKUP(F4523,'Set up'!$A$2:$C$70,2,FALSE)</f>
        <v>C00000042</v>
      </c>
      <c r="F4523" s="151" t="s">
        <v>2012</v>
      </c>
      <c r="G4523" s="151" t="s">
        <v>2646</v>
      </c>
      <c r="H4523" s="150">
        <v>5</v>
      </c>
      <c r="I4523" s="5" t="str">
        <f>VLOOKUP(F4523,'Set up'!$A$2:$C$70,3,FALSE)</f>
        <v>Cash</v>
      </c>
      <c r="J4523" s="5">
        <f>VLOOKUP(F4523,'Set up'!$A$2:$D$70,4,FALSE)</f>
        <v>0</v>
      </c>
      <c r="K4523" s="4">
        <f t="shared" si="1070"/>
        <v>45944</v>
      </c>
      <c r="L4523" s="5">
        <f t="shared" si="1071"/>
        <v>10</v>
      </c>
      <c r="M4523" s="5">
        <f t="shared" si="1072"/>
        <v>2025</v>
      </c>
      <c r="N4523" s="156">
        <v>312.5</v>
      </c>
      <c r="P4523" s="12"/>
      <c r="Q4523" s="7">
        <f t="shared" si="1073"/>
        <v>7516296.6500000078</v>
      </c>
      <c r="R4523" s="44" t="str">
        <f>VLOOKUP(F4523,'Set up'!$A$2:$E$70,5,FALSE)</f>
        <v>Trsf</v>
      </c>
    </row>
    <row r="4524" spans="1:18" ht="16.2" customHeight="1" x14ac:dyDescent="0.3">
      <c r="A4524" s="150" t="s">
        <v>4253</v>
      </c>
      <c r="B4524" s="5">
        <f t="shared" si="1068"/>
        <v>10</v>
      </c>
      <c r="C4524" s="5">
        <f t="shared" si="1069"/>
        <v>2025</v>
      </c>
      <c r="D4524" s="150" t="s">
        <v>4226</v>
      </c>
      <c r="E4524" s="5" t="str">
        <f>VLOOKUP(F4524,'Set up'!$A$2:$C$70,2,FALSE)</f>
        <v>C00000042</v>
      </c>
      <c r="F4524" s="151" t="s">
        <v>2012</v>
      </c>
      <c r="G4524" s="151" t="s">
        <v>3645</v>
      </c>
      <c r="H4524" s="150">
        <v>10</v>
      </c>
      <c r="I4524" s="5" t="str">
        <f>VLOOKUP(F4524,'Set up'!$A$2:$C$70,3,FALSE)</f>
        <v>Cash</v>
      </c>
      <c r="J4524" s="5">
        <f>VLOOKUP(F4524,'Set up'!$A$2:$D$70,4,FALSE)</f>
        <v>0</v>
      </c>
      <c r="K4524" s="4">
        <f t="shared" si="1070"/>
        <v>45944</v>
      </c>
      <c r="L4524" s="5">
        <f t="shared" si="1071"/>
        <v>10</v>
      </c>
      <c r="M4524" s="5">
        <f t="shared" si="1072"/>
        <v>2025</v>
      </c>
      <c r="N4524" s="156">
        <v>15750</v>
      </c>
      <c r="P4524" s="12"/>
      <c r="Q4524" s="7">
        <f t="shared" si="1073"/>
        <v>7532046.6500000078</v>
      </c>
      <c r="R4524" s="44" t="str">
        <f>VLOOKUP(F4524,'Set up'!$A$2:$E$70,5,FALSE)</f>
        <v>Trsf</v>
      </c>
    </row>
    <row r="4525" spans="1:18" ht="16.2" customHeight="1" x14ac:dyDescent="0.3">
      <c r="A4525" s="150" t="s">
        <v>4253</v>
      </c>
      <c r="B4525" s="5">
        <f t="shared" si="1068"/>
        <v>10</v>
      </c>
      <c r="C4525" s="5">
        <f t="shared" si="1069"/>
        <v>2025</v>
      </c>
      <c r="D4525" s="150" t="s">
        <v>4226</v>
      </c>
      <c r="E4525" s="5" t="str">
        <f>VLOOKUP(F4525,'Set up'!$A$2:$C$70,2,FALSE)</f>
        <v>C00000042</v>
      </c>
      <c r="F4525" s="151" t="s">
        <v>2012</v>
      </c>
      <c r="G4525" s="151" t="s">
        <v>1392</v>
      </c>
      <c r="H4525" s="150">
        <v>27</v>
      </c>
      <c r="I4525" s="5" t="str">
        <f>VLOOKUP(F4525,'Set up'!$A$2:$C$70,3,FALSE)</f>
        <v>Cash</v>
      </c>
      <c r="J4525" s="5">
        <f>VLOOKUP(F4525,'Set up'!$A$2:$D$70,4,FALSE)</f>
        <v>0</v>
      </c>
      <c r="K4525" s="4">
        <f t="shared" si="1070"/>
        <v>45944</v>
      </c>
      <c r="L4525" s="5">
        <f t="shared" si="1071"/>
        <v>10</v>
      </c>
      <c r="M4525" s="5">
        <f t="shared" si="1072"/>
        <v>2025</v>
      </c>
      <c r="N4525" s="156">
        <v>4779</v>
      </c>
      <c r="P4525" s="12"/>
      <c r="Q4525" s="7">
        <f t="shared" si="1073"/>
        <v>7536825.6500000078</v>
      </c>
      <c r="R4525" s="44" t="str">
        <f>VLOOKUP(F4525,'Set up'!$A$2:$E$70,5,FALSE)</f>
        <v>Trsf</v>
      </c>
    </row>
    <row r="4526" spans="1:18" ht="16.2" customHeight="1" x14ac:dyDescent="0.3">
      <c r="A4526" s="150" t="s">
        <v>4253</v>
      </c>
      <c r="B4526" s="5">
        <f t="shared" si="1068"/>
        <v>10</v>
      </c>
      <c r="C4526" s="5">
        <f t="shared" si="1069"/>
        <v>2025</v>
      </c>
      <c r="D4526" s="150" t="s">
        <v>4226</v>
      </c>
      <c r="E4526" s="5" t="str">
        <f>VLOOKUP(F4526,'Set up'!$A$2:$C$70,2,FALSE)</f>
        <v>C00000042</v>
      </c>
      <c r="F4526" s="151" t="s">
        <v>2012</v>
      </c>
      <c r="G4526" s="151" t="s">
        <v>1922</v>
      </c>
      <c r="H4526" s="150">
        <v>14</v>
      </c>
      <c r="I4526" s="5" t="str">
        <f>VLOOKUP(F4526,'Set up'!$A$2:$C$70,3,FALSE)</f>
        <v>Cash</v>
      </c>
      <c r="J4526" s="5">
        <f>VLOOKUP(F4526,'Set up'!$A$2:$D$70,4,FALSE)</f>
        <v>0</v>
      </c>
      <c r="K4526" s="4">
        <f t="shared" si="1070"/>
        <v>45944</v>
      </c>
      <c r="L4526" s="5">
        <f t="shared" si="1071"/>
        <v>10</v>
      </c>
      <c r="M4526" s="5">
        <f t="shared" si="1072"/>
        <v>2025</v>
      </c>
      <c r="N4526" s="156">
        <v>3213</v>
      </c>
      <c r="P4526" s="12"/>
      <c r="Q4526" s="7">
        <f t="shared" si="1073"/>
        <v>7540038.6500000078</v>
      </c>
      <c r="R4526" s="44" t="str">
        <f>VLOOKUP(F4526,'Set up'!$A$2:$E$70,5,FALSE)</f>
        <v>Trsf</v>
      </c>
    </row>
    <row r="4527" spans="1:18" ht="16.2" customHeight="1" x14ac:dyDescent="0.3">
      <c r="A4527" s="150" t="s">
        <v>4253</v>
      </c>
      <c r="B4527" s="5">
        <f t="shared" ref="B4527:B4590" si="1074">MONTH(A4527)</f>
        <v>10</v>
      </c>
      <c r="C4527" s="5">
        <f t="shared" ref="C4527:C4590" si="1075">YEAR(A4527)</f>
        <v>2025</v>
      </c>
      <c r="D4527" s="150" t="s">
        <v>4226</v>
      </c>
      <c r="E4527" s="5" t="str">
        <f>VLOOKUP(F4527,'Set up'!$A$2:$C$70,2,FALSE)</f>
        <v>C00000042</v>
      </c>
      <c r="F4527" s="151" t="s">
        <v>2012</v>
      </c>
      <c r="G4527" s="151" t="s">
        <v>46</v>
      </c>
      <c r="H4527" s="150">
        <v>4</v>
      </c>
      <c r="I4527" s="5" t="str">
        <f>VLOOKUP(F4527,'Set up'!$A$2:$C$70,3,FALSE)</f>
        <v>Cash</v>
      </c>
      <c r="J4527" s="5">
        <f>VLOOKUP(F4527,'Set up'!$A$2:$D$70,4,FALSE)</f>
        <v>0</v>
      </c>
      <c r="K4527" s="4">
        <f t="shared" ref="K4527:K4590" si="1076">A4527+J4527</f>
        <v>45944</v>
      </c>
      <c r="L4527" s="5">
        <f t="shared" si="1071"/>
        <v>10</v>
      </c>
      <c r="M4527" s="5">
        <f t="shared" si="1072"/>
        <v>2025</v>
      </c>
      <c r="N4527" s="156">
        <v>460</v>
      </c>
      <c r="P4527" s="12"/>
      <c r="Q4527" s="7">
        <f t="shared" si="1073"/>
        <v>7540498.6500000078</v>
      </c>
      <c r="R4527" s="44" t="str">
        <f>VLOOKUP(F4527,'Set up'!$A$2:$E$70,5,FALSE)</f>
        <v>Trsf</v>
      </c>
    </row>
    <row r="4528" spans="1:18" ht="16.2" customHeight="1" x14ac:dyDescent="0.3">
      <c r="A4528" s="150" t="s">
        <v>4253</v>
      </c>
      <c r="B4528" s="5">
        <f t="shared" si="1074"/>
        <v>10</v>
      </c>
      <c r="C4528" s="5">
        <f t="shared" si="1075"/>
        <v>2025</v>
      </c>
      <c r="D4528" s="150" t="s">
        <v>4226</v>
      </c>
      <c r="E4528" s="5" t="str">
        <f>VLOOKUP(F4528,'Set up'!$A$2:$C$70,2,FALSE)</f>
        <v>C00000042</v>
      </c>
      <c r="F4528" s="151" t="s">
        <v>2012</v>
      </c>
      <c r="G4528" s="151" t="s">
        <v>1073</v>
      </c>
      <c r="H4528" s="150">
        <v>1</v>
      </c>
      <c r="I4528" s="5" t="str">
        <f>VLOOKUP(F4528,'Set up'!$A$2:$C$70,3,FALSE)</f>
        <v>Cash</v>
      </c>
      <c r="J4528" s="5">
        <f>VLOOKUP(F4528,'Set up'!$A$2:$D$70,4,FALSE)</f>
        <v>0</v>
      </c>
      <c r="K4528" s="4">
        <f t="shared" si="1076"/>
        <v>45944</v>
      </c>
      <c r="L4528" s="5">
        <f t="shared" si="1071"/>
        <v>10</v>
      </c>
      <c r="M4528" s="5">
        <f t="shared" si="1072"/>
        <v>2025</v>
      </c>
      <c r="N4528" s="156">
        <v>1050</v>
      </c>
      <c r="P4528" s="12"/>
      <c r="Q4528" s="7">
        <f t="shared" si="1073"/>
        <v>7541548.6500000078</v>
      </c>
      <c r="R4528" s="44" t="str">
        <f>VLOOKUP(F4528,'Set up'!$A$2:$E$70,5,FALSE)</f>
        <v>Trsf</v>
      </c>
    </row>
    <row r="4529" spans="1:18" ht="16.2" customHeight="1" x14ac:dyDescent="0.3">
      <c r="A4529" s="150" t="s">
        <v>4254</v>
      </c>
      <c r="B4529" s="5">
        <f t="shared" si="1074"/>
        <v>10</v>
      </c>
      <c r="C4529" s="5">
        <f t="shared" si="1075"/>
        <v>2025</v>
      </c>
      <c r="D4529" s="150" t="s">
        <v>4227</v>
      </c>
      <c r="E4529" s="5" t="str">
        <f>VLOOKUP(F4529,'Set up'!$A$2:$C$70,2,FALSE)</f>
        <v>C00000061</v>
      </c>
      <c r="F4529" s="151" t="s">
        <v>3532</v>
      </c>
      <c r="G4529" s="151" t="s">
        <v>3122</v>
      </c>
      <c r="H4529" s="150">
        <v>4</v>
      </c>
      <c r="I4529" s="5" t="str">
        <f>VLOOKUP(F4529,'Set up'!$A$2:$C$70,3,FALSE)</f>
        <v>Cash</v>
      </c>
      <c r="J4529" s="5">
        <f>VLOOKUP(F4529,'Set up'!$A$2:$D$70,4,FALSE)</f>
        <v>0</v>
      </c>
      <c r="K4529" s="4">
        <f t="shared" si="1076"/>
        <v>45945</v>
      </c>
      <c r="L4529" s="5">
        <f t="shared" si="1071"/>
        <v>10</v>
      </c>
      <c r="M4529" s="5">
        <f t="shared" si="1072"/>
        <v>2025</v>
      </c>
      <c r="N4529" s="156">
        <v>6300</v>
      </c>
      <c r="P4529" s="12"/>
      <c r="Q4529" s="7">
        <f t="shared" si="1073"/>
        <v>7547848.6500000078</v>
      </c>
      <c r="R4529" s="44" t="str">
        <f>VLOOKUP(F4529,'Set up'!$A$2:$E$70,5,FALSE)</f>
        <v>Cash</v>
      </c>
    </row>
    <row r="4530" spans="1:18" ht="16.2" customHeight="1" x14ac:dyDescent="0.3">
      <c r="A4530" s="150" t="s">
        <v>4254</v>
      </c>
      <c r="B4530" s="5">
        <f t="shared" si="1074"/>
        <v>10</v>
      </c>
      <c r="C4530" s="5">
        <f t="shared" si="1075"/>
        <v>2025</v>
      </c>
      <c r="D4530" s="150" t="s">
        <v>4227</v>
      </c>
      <c r="E4530" s="5" t="str">
        <f>VLOOKUP(F4530,'Set up'!$A$2:$C$70,2,FALSE)</f>
        <v>C00000061</v>
      </c>
      <c r="F4530" s="151" t="s">
        <v>3532</v>
      </c>
      <c r="G4530" s="151" t="s">
        <v>945</v>
      </c>
      <c r="H4530" s="150">
        <v>4</v>
      </c>
      <c r="I4530" s="5" t="str">
        <f>VLOOKUP(F4530,'Set up'!$A$2:$C$70,3,FALSE)</f>
        <v>Cash</v>
      </c>
      <c r="J4530" s="5">
        <f>VLOOKUP(F4530,'Set up'!$A$2:$D$70,4,FALSE)</f>
        <v>0</v>
      </c>
      <c r="K4530" s="4">
        <f t="shared" si="1076"/>
        <v>45945</v>
      </c>
      <c r="L4530" s="5">
        <f t="shared" si="1071"/>
        <v>10</v>
      </c>
      <c r="M4530" s="5">
        <f t="shared" si="1072"/>
        <v>2025</v>
      </c>
      <c r="N4530" s="156">
        <v>460</v>
      </c>
      <c r="P4530" s="12"/>
      <c r="Q4530" s="7">
        <f t="shared" si="1073"/>
        <v>7548308.6500000078</v>
      </c>
      <c r="R4530" s="44" t="str">
        <f>VLOOKUP(F4530,'Set up'!$A$2:$E$70,5,FALSE)</f>
        <v>Cash</v>
      </c>
    </row>
    <row r="4531" spans="1:18" ht="16.2" customHeight="1" x14ac:dyDescent="0.3">
      <c r="A4531" s="150" t="s">
        <v>4254</v>
      </c>
      <c r="B4531" s="5">
        <f t="shared" si="1074"/>
        <v>10</v>
      </c>
      <c r="C4531" s="5">
        <f t="shared" si="1075"/>
        <v>2025</v>
      </c>
      <c r="D4531" s="150" t="s">
        <v>4227</v>
      </c>
      <c r="E4531" s="5" t="str">
        <f>VLOOKUP(F4531,'Set up'!$A$2:$C$70,2,FALSE)</f>
        <v>C00000061</v>
      </c>
      <c r="F4531" s="151" t="s">
        <v>3532</v>
      </c>
      <c r="G4531" s="151" t="s">
        <v>2635</v>
      </c>
      <c r="H4531" s="150">
        <v>20</v>
      </c>
      <c r="I4531" s="5" t="str">
        <f>VLOOKUP(F4531,'Set up'!$A$2:$C$70,3,FALSE)</f>
        <v>Cash</v>
      </c>
      <c r="J4531" s="5">
        <f>VLOOKUP(F4531,'Set up'!$A$2:$D$70,4,FALSE)</f>
        <v>0</v>
      </c>
      <c r="K4531" s="4">
        <f t="shared" si="1076"/>
        <v>45945</v>
      </c>
      <c r="L4531" s="5">
        <f t="shared" si="1071"/>
        <v>10</v>
      </c>
      <c r="M4531" s="5">
        <f t="shared" si="1072"/>
        <v>2025</v>
      </c>
      <c r="N4531" s="156">
        <v>1050</v>
      </c>
      <c r="P4531" s="12"/>
      <c r="Q4531" s="7">
        <f t="shared" si="1073"/>
        <v>7549358.6500000078</v>
      </c>
      <c r="R4531" s="44" t="str">
        <f>VLOOKUP(F4531,'Set up'!$A$2:$E$70,5,FALSE)</f>
        <v>Cash</v>
      </c>
    </row>
    <row r="4532" spans="1:18" ht="16.2" customHeight="1" x14ac:dyDescent="0.3">
      <c r="A4532" s="150" t="s">
        <v>4255</v>
      </c>
      <c r="B4532" s="5">
        <f t="shared" si="1074"/>
        <v>10</v>
      </c>
      <c r="C4532" s="5">
        <f t="shared" si="1075"/>
        <v>2025</v>
      </c>
      <c r="D4532" s="150" t="s">
        <v>4228</v>
      </c>
      <c r="E4532" s="5" t="e">
        <f>VLOOKUP(F4532,'Set up'!$A$2:$C$70,2,FALSE)</f>
        <v>#N/A</v>
      </c>
      <c r="F4532" s="151" t="s">
        <v>4130</v>
      </c>
      <c r="G4532" s="151" t="s">
        <v>3122</v>
      </c>
      <c r="H4532" s="150">
        <v>1</v>
      </c>
      <c r="I4532" s="5" t="e">
        <f>VLOOKUP(F4532,'Set up'!$A$2:$C$70,3,FALSE)</f>
        <v>#N/A</v>
      </c>
      <c r="J4532" s="5" t="e">
        <f>VLOOKUP(F4532,'Set up'!$A$2:$D$70,4,FALSE)</f>
        <v>#N/A</v>
      </c>
      <c r="K4532" s="4" t="e">
        <f t="shared" si="1076"/>
        <v>#N/A</v>
      </c>
      <c r="L4532" s="5" t="e">
        <f t="shared" si="1071"/>
        <v>#N/A</v>
      </c>
      <c r="M4532" s="5" t="e">
        <f t="shared" si="1072"/>
        <v>#N/A</v>
      </c>
      <c r="N4532" s="156">
        <v>1687.5</v>
      </c>
      <c r="P4532" s="12"/>
      <c r="Q4532" s="7">
        <f t="shared" si="1073"/>
        <v>7551046.1500000078</v>
      </c>
      <c r="R4532" s="44" t="e">
        <f>VLOOKUP(F4532,'Set up'!$A$2:$E$70,5,FALSE)</f>
        <v>#N/A</v>
      </c>
    </row>
    <row r="4533" spans="1:18" ht="16.2" customHeight="1" x14ac:dyDescent="0.3">
      <c r="A4533" s="150" t="s">
        <v>4255</v>
      </c>
      <c r="B4533" s="5">
        <f t="shared" si="1074"/>
        <v>10</v>
      </c>
      <c r="C4533" s="5">
        <f t="shared" si="1075"/>
        <v>2025</v>
      </c>
      <c r="D4533" s="150" t="s">
        <v>4228</v>
      </c>
      <c r="E4533" s="5" t="e">
        <f>VLOOKUP(F4533,'Set up'!$A$2:$C$70,2,FALSE)</f>
        <v>#N/A</v>
      </c>
      <c r="F4533" s="151" t="s">
        <v>4130</v>
      </c>
      <c r="G4533" s="151" t="s">
        <v>2144</v>
      </c>
      <c r="H4533" s="150">
        <v>2</v>
      </c>
      <c r="I4533" s="5" t="e">
        <f>VLOOKUP(F4533,'Set up'!$A$2:$C$70,3,FALSE)</f>
        <v>#N/A</v>
      </c>
      <c r="J4533" s="5" t="e">
        <f>VLOOKUP(F4533,'Set up'!$A$2:$D$70,4,FALSE)</f>
        <v>#N/A</v>
      </c>
      <c r="K4533" s="4" t="e">
        <f t="shared" si="1076"/>
        <v>#N/A</v>
      </c>
      <c r="L4533" s="5" t="e">
        <f t="shared" si="1071"/>
        <v>#N/A</v>
      </c>
      <c r="M4533" s="5" t="e">
        <f t="shared" si="1072"/>
        <v>#N/A</v>
      </c>
      <c r="N4533" s="156">
        <v>572</v>
      </c>
      <c r="P4533" s="12"/>
      <c r="Q4533" s="7">
        <f t="shared" si="1073"/>
        <v>7551618.1500000078</v>
      </c>
      <c r="R4533" s="44" t="e">
        <f>VLOOKUP(F4533,'Set up'!$A$2:$E$70,5,FALSE)</f>
        <v>#N/A</v>
      </c>
    </row>
    <row r="4534" spans="1:18" ht="16.2" customHeight="1" x14ac:dyDescent="0.3">
      <c r="A4534" s="150" t="s">
        <v>4255</v>
      </c>
      <c r="B4534" s="5">
        <f t="shared" si="1074"/>
        <v>10</v>
      </c>
      <c r="C4534" s="5">
        <f t="shared" si="1075"/>
        <v>2025</v>
      </c>
      <c r="D4534" s="150" t="s">
        <v>4228</v>
      </c>
      <c r="E4534" s="5" t="e">
        <f>VLOOKUP(F4534,'Set up'!$A$2:$C$70,2,FALSE)</f>
        <v>#N/A</v>
      </c>
      <c r="F4534" s="151" t="s">
        <v>4130</v>
      </c>
      <c r="G4534" s="151" t="s">
        <v>4204</v>
      </c>
      <c r="H4534" s="150">
        <v>2</v>
      </c>
      <c r="I4534" s="5" t="e">
        <f>VLOOKUP(F4534,'Set up'!$A$2:$C$70,3,FALSE)</f>
        <v>#N/A</v>
      </c>
      <c r="J4534" s="5" t="e">
        <f>VLOOKUP(F4534,'Set up'!$A$2:$D$70,4,FALSE)</f>
        <v>#N/A</v>
      </c>
      <c r="K4534" s="4" t="e">
        <f t="shared" si="1076"/>
        <v>#N/A</v>
      </c>
      <c r="L4534" s="5" t="e">
        <f t="shared" si="1071"/>
        <v>#N/A</v>
      </c>
      <c r="M4534" s="5" t="e">
        <f t="shared" si="1072"/>
        <v>#N/A</v>
      </c>
      <c r="N4534" s="156">
        <v>320</v>
      </c>
      <c r="P4534" s="12"/>
      <c r="Q4534" s="7">
        <f t="shared" si="1073"/>
        <v>7551938.1500000078</v>
      </c>
      <c r="R4534" s="44" t="e">
        <f>VLOOKUP(F4534,'Set up'!$A$2:$E$70,5,FALSE)</f>
        <v>#N/A</v>
      </c>
    </row>
    <row r="4535" spans="1:18" ht="16.2" customHeight="1" x14ac:dyDescent="0.3">
      <c r="A4535" s="150" t="s">
        <v>4256</v>
      </c>
      <c r="B4535" s="5">
        <f t="shared" si="1074"/>
        <v>10</v>
      </c>
      <c r="C4535" s="5">
        <f t="shared" si="1075"/>
        <v>2025</v>
      </c>
      <c r="D4535" s="150" t="s">
        <v>4229</v>
      </c>
      <c r="E4535" s="5" t="str">
        <f>VLOOKUP(F4535,'Set up'!$A$2:$C$70,2,FALSE)</f>
        <v>C00000027</v>
      </c>
      <c r="F4535" s="151" t="s">
        <v>859</v>
      </c>
      <c r="G4535" s="151" t="s">
        <v>3122</v>
      </c>
      <c r="H4535" s="150">
        <v>2</v>
      </c>
      <c r="I4535" s="5" t="str">
        <f>VLOOKUP(F4535,'Set up'!$A$2:$C$70,3,FALSE)</f>
        <v>Cash</v>
      </c>
      <c r="J4535" s="5">
        <f>VLOOKUP(F4535,'Set up'!$A$2:$D$70,4,FALSE)</f>
        <v>0</v>
      </c>
      <c r="K4535" s="4">
        <f t="shared" si="1076"/>
        <v>45947</v>
      </c>
      <c r="L4535" s="5">
        <f t="shared" si="1071"/>
        <v>10</v>
      </c>
      <c r="M4535" s="5">
        <f t="shared" si="1072"/>
        <v>2025</v>
      </c>
      <c r="N4535" s="156">
        <v>3375</v>
      </c>
      <c r="P4535" s="12"/>
      <c r="Q4535" s="7">
        <f t="shared" si="1073"/>
        <v>7555313.1500000078</v>
      </c>
      <c r="R4535" s="44" t="str">
        <f>VLOOKUP(F4535,'Set up'!$A$2:$E$70,5,FALSE)</f>
        <v>Trsf</v>
      </c>
    </row>
    <row r="4536" spans="1:18" ht="16.2" customHeight="1" x14ac:dyDescent="0.3">
      <c r="A4536" s="150" t="s">
        <v>4256</v>
      </c>
      <c r="B4536" s="5">
        <f t="shared" si="1074"/>
        <v>10</v>
      </c>
      <c r="C4536" s="5">
        <f t="shared" si="1075"/>
        <v>2025</v>
      </c>
      <c r="D4536" s="150" t="s">
        <v>4229</v>
      </c>
      <c r="E4536" s="5" t="str">
        <f>VLOOKUP(F4536,'Set up'!$A$2:$C$70,2,FALSE)</f>
        <v>C00000027</v>
      </c>
      <c r="F4536" s="151" t="s">
        <v>859</v>
      </c>
      <c r="G4536" s="151" t="s">
        <v>4276</v>
      </c>
      <c r="H4536" s="150">
        <v>2</v>
      </c>
      <c r="I4536" s="5" t="str">
        <f>VLOOKUP(F4536,'Set up'!$A$2:$C$70,3,FALSE)</f>
        <v>Cash</v>
      </c>
      <c r="J4536" s="5">
        <f>VLOOKUP(F4536,'Set up'!$A$2:$D$70,4,FALSE)</f>
        <v>0</v>
      </c>
      <c r="K4536" s="4">
        <f t="shared" si="1076"/>
        <v>45947</v>
      </c>
      <c r="L4536" s="5">
        <f t="shared" si="1071"/>
        <v>10</v>
      </c>
      <c r="M4536" s="5">
        <f t="shared" si="1072"/>
        <v>2025</v>
      </c>
      <c r="N4536" s="156">
        <v>438</v>
      </c>
      <c r="P4536" s="12"/>
      <c r="Q4536" s="7">
        <f t="shared" si="1073"/>
        <v>7555751.1500000078</v>
      </c>
      <c r="R4536" s="44" t="str">
        <f>VLOOKUP(F4536,'Set up'!$A$2:$E$70,5,FALSE)</f>
        <v>Trsf</v>
      </c>
    </row>
    <row r="4537" spans="1:18" ht="16.2" customHeight="1" x14ac:dyDescent="0.3">
      <c r="A4537" s="150" t="s">
        <v>4256</v>
      </c>
      <c r="B4537" s="5">
        <f t="shared" si="1074"/>
        <v>10</v>
      </c>
      <c r="C4537" s="5">
        <f t="shared" si="1075"/>
        <v>2025</v>
      </c>
      <c r="D4537" s="150" t="s">
        <v>4229</v>
      </c>
      <c r="E4537" s="5" t="str">
        <f>VLOOKUP(F4537,'Set up'!$A$2:$C$70,2,FALSE)</f>
        <v>C00000027</v>
      </c>
      <c r="F4537" s="151" t="s">
        <v>859</v>
      </c>
      <c r="G4537" s="151" t="s">
        <v>4144</v>
      </c>
      <c r="H4537" s="150">
        <v>1</v>
      </c>
      <c r="I4537" s="5" t="str">
        <f>VLOOKUP(F4537,'Set up'!$A$2:$C$70,3,FALSE)</f>
        <v>Cash</v>
      </c>
      <c r="J4537" s="5">
        <f>VLOOKUP(F4537,'Set up'!$A$2:$D$70,4,FALSE)</f>
        <v>0</v>
      </c>
      <c r="K4537" s="4">
        <f t="shared" si="1076"/>
        <v>45947</v>
      </c>
      <c r="L4537" s="5">
        <f t="shared" si="1071"/>
        <v>10</v>
      </c>
      <c r="M4537" s="5">
        <f t="shared" si="1072"/>
        <v>2025</v>
      </c>
      <c r="N4537" s="156">
        <v>1108.4000000000001</v>
      </c>
      <c r="P4537" s="12"/>
      <c r="Q4537" s="7">
        <f t="shared" si="1073"/>
        <v>7556859.5500000082</v>
      </c>
      <c r="R4537" s="44" t="str">
        <f>VLOOKUP(F4537,'Set up'!$A$2:$E$70,5,FALSE)</f>
        <v>Trsf</v>
      </c>
    </row>
    <row r="4538" spans="1:18" ht="16.2" customHeight="1" x14ac:dyDescent="0.3">
      <c r="A4538" s="150" t="s">
        <v>4256</v>
      </c>
      <c r="B4538" s="5">
        <f t="shared" si="1074"/>
        <v>10</v>
      </c>
      <c r="C4538" s="5">
        <f t="shared" si="1075"/>
        <v>2025</v>
      </c>
      <c r="D4538" s="150" t="s">
        <v>4229</v>
      </c>
      <c r="E4538" s="5" t="str">
        <f>VLOOKUP(F4538,'Set up'!$A$2:$C$70,2,FALSE)</f>
        <v>C00000027</v>
      </c>
      <c r="F4538" s="151" t="s">
        <v>859</v>
      </c>
      <c r="G4538" s="151" t="s">
        <v>949</v>
      </c>
      <c r="H4538" s="150">
        <v>6</v>
      </c>
      <c r="I4538" s="5" t="str">
        <f>VLOOKUP(F4538,'Set up'!$A$2:$C$70,3,FALSE)</f>
        <v>Cash</v>
      </c>
      <c r="J4538" s="5">
        <f>VLOOKUP(F4538,'Set up'!$A$2:$D$70,4,FALSE)</f>
        <v>0</v>
      </c>
      <c r="K4538" s="4">
        <f t="shared" si="1076"/>
        <v>45947</v>
      </c>
      <c r="L4538" s="5">
        <f t="shared" si="1071"/>
        <v>10</v>
      </c>
      <c r="M4538" s="5">
        <f t="shared" si="1072"/>
        <v>2025</v>
      </c>
      <c r="N4538" s="156">
        <v>360</v>
      </c>
      <c r="P4538" s="12"/>
      <c r="Q4538" s="7">
        <f t="shared" si="1073"/>
        <v>7557219.5500000082</v>
      </c>
      <c r="R4538" s="44" t="str">
        <f>VLOOKUP(F4538,'Set up'!$A$2:$E$70,5,FALSE)</f>
        <v>Trsf</v>
      </c>
    </row>
    <row r="4539" spans="1:18" ht="16.2" customHeight="1" x14ac:dyDescent="0.3">
      <c r="A4539" s="150" t="s">
        <v>4256</v>
      </c>
      <c r="B4539" s="5">
        <f t="shared" si="1074"/>
        <v>10</v>
      </c>
      <c r="C4539" s="5">
        <f t="shared" si="1075"/>
        <v>2025</v>
      </c>
      <c r="D4539" s="150" t="s">
        <v>4229</v>
      </c>
      <c r="E4539" s="5" t="str">
        <f>VLOOKUP(F4539,'Set up'!$A$2:$C$70,2,FALSE)</f>
        <v>C00000027</v>
      </c>
      <c r="F4539" s="151" t="s">
        <v>859</v>
      </c>
      <c r="G4539" s="151" t="s">
        <v>2558</v>
      </c>
      <c r="H4539" s="150">
        <v>1</v>
      </c>
      <c r="I4539" s="5" t="str">
        <f>VLOOKUP(F4539,'Set up'!$A$2:$C$70,3,FALSE)</f>
        <v>Cash</v>
      </c>
      <c r="J4539" s="5">
        <f>VLOOKUP(F4539,'Set up'!$A$2:$D$70,4,FALSE)</f>
        <v>0</v>
      </c>
      <c r="K4539" s="4">
        <f t="shared" si="1076"/>
        <v>45947</v>
      </c>
      <c r="L4539" s="5">
        <f t="shared" si="1071"/>
        <v>10</v>
      </c>
      <c r="M4539" s="5">
        <f t="shared" si="1072"/>
        <v>2025</v>
      </c>
      <c r="N4539" s="156">
        <v>275</v>
      </c>
      <c r="P4539" s="12"/>
      <c r="Q4539" s="7">
        <f t="shared" si="1073"/>
        <v>7557494.5500000082</v>
      </c>
      <c r="R4539" s="44" t="str">
        <f>VLOOKUP(F4539,'Set up'!$A$2:$E$70,5,FALSE)</f>
        <v>Trsf</v>
      </c>
    </row>
    <row r="4540" spans="1:18" ht="16.2" customHeight="1" x14ac:dyDescent="0.3">
      <c r="A4540" s="150" t="s">
        <v>4256</v>
      </c>
      <c r="B4540" s="5">
        <f t="shared" si="1074"/>
        <v>10</v>
      </c>
      <c r="C4540" s="5">
        <f t="shared" si="1075"/>
        <v>2025</v>
      </c>
      <c r="D4540" s="150" t="s">
        <v>4229</v>
      </c>
      <c r="E4540" s="5" t="str">
        <f>VLOOKUP(F4540,'Set up'!$A$2:$C$70,2,FALSE)</f>
        <v>C00000027</v>
      </c>
      <c r="F4540" s="151" t="s">
        <v>859</v>
      </c>
      <c r="G4540" s="151" t="s">
        <v>2646</v>
      </c>
      <c r="H4540" s="150">
        <v>3</v>
      </c>
      <c r="I4540" s="5" t="str">
        <f>VLOOKUP(F4540,'Set up'!$A$2:$C$70,3,FALSE)</f>
        <v>Cash</v>
      </c>
      <c r="J4540" s="5">
        <f>VLOOKUP(F4540,'Set up'!$A$2:$D$70,4,FALSE)</f>
        <v>0</v>
      </c>
      <c r="K4540" s="4">
        <f t="shared" si="1076"/>
        <v>45947</v>
      </c>
      <c r="L4540" s="5">
        <f t="shared" si="1071"/>
        <v>10</v>
      </c>
      <c r="M4540" s="5">
        <f t="shared" si="1072"/>
        <v>2025</v>
      </c>
      <c r="N4540" s="156">
        <v>187.5</v>
      </c>
      <c r="P4540" s="12"/>
      <c r="Q4540" s="7">
        <f t="shared" si="1073"/>
        <v>7557682.0500000082</v>
      </c>
      <c r="R4540" s="44" t="str">
        <f>VLOOKUP(F4540,'Set up'!$A$2:$E$70,5,FALSE)</f>
        <v>Trsf</v>
      </c>
    </row>
    <row r="4541" spans="1:18" ht="16.2" customHeight="1" x14ac:dyDescent="0.3">
      <c r="A4541" s="150" t="s">
        <v>4256</v>
      </c>
      <c r="B4541" s="5">
        <f t="shared" si="1074"/>
        <v>10</v>
      </c>
      <c r="C4541" s="5">
        <f t="shared" si="1075"/>
        <v>2025</v>
      </c>
      <c r="D4541" s="150" t="s">
        <v>4229</v>
      </c>
      <c r="E4541" s="5" t="str">
        <f>VLOOKUP(F4541,'Set up'!$A$2:$C$70,2,FALSE)</f>
        <v>C00000027</v>
      </c>
      <c r="F4541" s="151" t="s">
        <v>859</v>
      </c>
      <c r="G4541" s="151" t="s">
        <v>4277</v>
      </c>
      <c r="H4541" s="150">
        <v>2</v>
      </c>
      <c r="I4541" s="5" t="str">
        <f>VLOOKUP(F4541,'Set up'!$A$2:$C$70,3,FALSE)</f>
        <v>Cash</v>
      </c>
      <c r="J4541" s="5">
        <f>VLOOKUP(F4541,'Set up'!$A$2:$D$70,4,FALSE)</f>
        <v>0</v>
      </c>
      <c r="K4541" s="4">
        <f t="shared" si="1076"/>
        <v>45947</v>
      </c>
      <c r="L4541" s="5">
        <f t="shared" si="1071"/>
        <v>10</v>
      </c>
      <c r="M4541" s="5">
        <f t="shared" si="1072"/>
        <v>2025</v>
      </c>
      <c r="N4541" s="156">
        <v>100</v>
      </c>
      <c r="P4541" s="12"/>
      <c r="Q4541" s="7">
        <f t="shared" si="1073"/>
        <v>7557782.0500000082</v>
      </c>
      <c r="R4541" s="44" t="str">
        <f>VLOOKUP(F4541,'Set up'!$A$2:$E$70,5,FALSE)</f>
        <v>Trsf</v>
      </c>
    </row>
    <row r="4542" spans="1:18" ht="16.2" customHeight="1" x14ac:dyDescent="0.3">
      <c r="A4542" s="150" t="s">
        <v>4256</v>
      </c>
      <c r="B4542" s="5">
        <f t="shared" si="1074"/>
        <v>10</v>
      </c>
      <c r="C4542" s="5">
        <f t="shared" si="1075"/>
        <v>2025</v>
      </c>
      <c r="D4542" s="150" t="s">
        <v>4230</v>
      </c>
      <c r="E4542" s="5" t="str">
        <f>VLOOKUP(F4542,'Set up'!$A$2:$C$70,2,FALSE)</f>
        <v>C00000044</v>
      </c>
      <c r="F4542" s="151" t="s">
        <v>2929</v>
      </c>
      <c r="G4542" s="151" t="s">
        <v>3122</v>
      </c>
      <c r="H4542" s="150">
        <v>1</v>
      </c>
      <c r="I4542" s="5" t="str">
        <f>VLOOKUP(F4542,'Set up'!$A$2:$C$70,3,FALSE)</f>
        <v>Cash</v>
      </c>
      <c r="J4542" s="5">
        <f>VLOOKUP(F4542,'Set up'!$A$2:$D$70,4,FALSE)</f>
        <v>0</v>
      </c>
      <c r="K4542" s="4">
        <f t="shared" si="1076"/>
        <v>45947</v>
      </c>
      <c r="L4542" s="5">
        <f t="shared" si="1071"/>
        <v>10</v>
      </c>
      <c r="M4542" s="5">
        <f t="shared" si="1072"/>
        <v>2025</v>
      </c>
      <c r="N4542" s="156">
        <v>1687.5</v>
      </c>
      <c r="P4542" s="12"/>
      <c r="Q4542" s="7">
        <f t="shared" si="1073"/>
        <v>7559469.5500000082</v>
      </c>
      <c r="R4542" s="44" t="str">
        <f>VLOOKUP(F4542,'Set up'!$A$2:$E$70,5,FALSE)</f>
        <v>Cash</v>
      </c>
    </row>
    <row r="4543" spans="1:18" ht="16.2" customHeight="1" x14ac:dyDescent="0.3">
      <c r="A4543" s="150" t="s">
        <v>4256</v>
      </c>
      <c r="B4543" s="5">
        <f t="shared" si="1074"/>
        <v>10</v>
      </c>
      <c r="C4543" s="5">
        <f t="shared" si="1075"/>
        <v>2025</v>
      </c>
      <c r="D4543" s="150" t="s">
        <v>4230</v>
      </c>
      <c r="E4543" s="5" t="str">
        <f>VLOOKUP(F4543,'Set up'!$A$2:$C$70,2,FALSE)</f>
        <v>C00000044</v>
      </c>
      <c r="F4543" s="151" t="s">
        <v>2929</v>
      </c>
      <c r="G4543" s="151" t="s">
        <v>2570</v>
      </c>
      <c r="H4543" s="150">
        <v>2</v>
      </c>
      <c r="I4543" s="5" t="str">
        <f>VLOOKUP(F4543,'Set up'!$A$2:$C$70,3,FALSE)</f>
        <v>Cash</v>
      </c>
      <c r="J4543" s="5">
        <f>VLOOKUP(F4543,'Set up'!$A$2:$D$70,4,FALSE)</f>
        <v>0</v>
      </c>
      <c r="K4543" s="4">
        <f t="shared" si="1076"/>
        <v>45947</v>
      </c>
      <c r="L4543" s="5">
        <f t="shared" si="1071"/>
        <v>10</v>
      </c>
      <c r="M4543" s="5">
        <f t="shared" si="1072"/>
        <v>2025</v>
      </c>
      <c r="N4543" s="156">
        <v>432</v>
      </c>
      <c r="P4543" s="12"/>
      <c r="Q4543" s="7">
        <f t="shared" si="1073"/>
        <v>7559901.5500000082</v>
      </c>
      <c r="R4543" s="44" t="str">
        <f>VLOOKUP(F4543,'Set up'!$A$2:$E$70,5,FALSE)</f>
        <v>Cash</v>
      </c>
    </row>
    <row r="4544" spans="1:18" ht="16.2" customHeight="1" x14ac:dyDescent="0.3">
      <c r="A4544" s="150" t="s">
        <v>4256</v>
      </c>
      <c r="B4544" s="5">
        <f t="shared" si="1074"/>
        <v>10</v>
      </c>
      <c r="C4544" s="5">
        <f t="shared" si="1075"/>
        <v>2025</v>
      </c>
      <c r="D4544" s="150" t="s">
        <v>4231</v>
      </c>
      <c r="E4544" s="5" t="str">
        <f>VLOOKUP(F4544,'Set up'!$A$2:$C$70,2,FALSE)</f>
        <v>C00000019</v>
      </c>
      <c r="F4544" s="151" t="s">
        <v>400</v>
      </c>
      <c r="G4544" s="151" t="s">
        <v>1411</v>
      </c>
      <c r="H4544" s="150">
        <v>1</v>
      </c>
      <c r="I4544" s="5" t="str">
        <f>VLOOKUP(F4544,'Set up'!$A$2:$C$70,3,FALSE)</f>
        <v>Cash</v>
      </c>
      <c r="J4544" s="5">
        <f>VLOOKUP(F4544,'Set up'!$A$2:$D$70,4,FALSE)</f>
        <v>0</v>
      </c>
      <c r="K4544" s="4">
        <f t="shared" si="1076"/>
        <v>45947</v>
      </c>
      <c r="L4544" s="5">
        <f t="shared" si="1071"/>
        <v>10</v>
      </c>
      <c r="M4544" s="5">
        <f t="shared" si="1072"/>
        <v>2025</v>
      </c>
      <c r="N4544" s="156">
        <v>405</v>
      </c>
      <c r="P4544" s="12"/>
      <c r="Q4544" s="7">
        <f t="shared" si="1073"/>
        <v>7560306.5500000082</v>
      </c>
      <c r="R4544" s="44" t="str">
        <f>VLOOKUP(F4544,'Set up'!$A$2:$E$70,5,FALSE)</f>
        <v>Trsf</v>
      </c>
    </row>
    <row r="4545" spans="1:18" ht="16.2" customHeight="1" x14ac:dyDescent="0.3">
      <c r="A4545" s="150" t="s">
        <v>4257</v>
      </c>
      <c r="B4545" s="5">
        <f t="shared" si="1074"/>
        <v>10</v>
      </c>
      <c r="C4545" s="5">
        <f t="shared" si="1075"/>
        <v>2025</v>
      </c>
      <c r="D4545" s="150" t="s">
        <v>4232</v>
      </c>
      <c r="E4545" s="5" t="str">
        <f>VLOOKUP(F4545,'Set up'!$A$2:$C$70,2,FALSE)</f>
        <v>C00000042</v>
      </c>
      <c r="F4545" s="151" t="s">
        <v>2012</v>
      </c>
      <c r="G4545" s="151" t="s">
        <v>2646</v>
      </c>
      <c r="H4545" s="150">
        <v>5</v>
      </c>
      <c r="I4545" s="5" t="str">
        <f>VLOOKUP(F4545,'Set up'!$A$2:$C$70,3,FALSE)</f>
        <v>Cash</v>
      </c>
      <c r="J4545" s="5">
        <f>VLOOKUP(F4545,'Set up'!$A$2:$D$70,4,FALSE)</f>
        <v>0</v>
      </c>
      <c r="K4545" s="4">
        <f t="shared" si="1076"/>
        <v>45948</v>
      </c>
      <c r="L4545" s="5">
        <f t="shared" si="1071"/>
        <v>10</v>
      </c>
      <c r="M4545" s="5">
        <f t="shared" si="1072"/>
        <v>2025</v>
      </c>
      <c r="N4545" s="156">
        <v>312.5</v>
      </c>
      <c r="P4545" s="12"/>
      <c r="Q4545" s="7">
        <f t="shared" si="1073"/>
        <v>7560619.0500000082</v>
      </c>
      <c r="R4545" s="44" t="str">
        <f>VLOOKUP(F4545,'Set up'!$A$2:$E$70,5,FALSE)</f>
        <v>Trsf</v>
      </c>
    </row>
    <row r="4546" spans="1:18" ht="16.2" customHeight="1" x14ac:dyDescent="0.3">
      <c r="A4546" s="150" t="s">
        <v>4257</v>
      </c>
      <c r="B4546" s="5">
        <f t="shared" si="1074"/>
        <v>10</v>
      </c>
      <c r="C4546" s="5">
        <f t="shared" si="1075"/>
        <v>2025</v>
      </c>
      <c r="D4546" s="150" t="s">
        <v>4233</v>
      </c>
      <c r="E4546" s="5" t="str">
        <f>VLOOKUP(F4546,'Set up'!$A$2:$C$70,2,FALSE)</f>
        <v>C00000042</v>
      </c>
      <c r="F4546" s="151" t="s">
        <v>2012</v>
      </c>
      <c r="G4546" s="151" t="s">
        <v>3645</v>
      </c>
      <c r="H4546" s="150">
        <v>7</v>
      </c>
      <c r="I4546" s="5" t="str">
        <f>VLOOKUP(F4546,'Set up'!$A$2:$C$70,3,FALSE)</f>
        <v>Cash</v>
      </c>
      <c r="J4546" s="5">
        <f>VLOOKUP(F4546,'Set up'!$A$2:$D$70,4,FALSE)</f>
        <v>0</v>
      </c>
      <c r="K4546" s="4">
        <f t="shared" si="1076"/>
        <v>45948</v>
      </c>
      <c r="L4546" s="5">
        <f t="shared" si="1071"/>
        <v>10</v>
      </c>
      <c r="M4546" s="5">
        <f t="shared" si="1072"/>
        <v>2025</v>
      </c>
      <c r="N4546" s="156">
        <v>11025</v>
      </c>
      <c r="P4546" s="12"/>
      <c r="Q4546" s="7">
        <f t="shared" si="1073"/>
        <v>7571644.0500000082</v>
      </c>
      <c r="R4546" s="44" t="str">
        <f>VLOOKUP(F4546,'Set up'!$A$2:$E$70,5,FALSE)</f>
        <v>Trsf</v>
      </c>
    </row>
    <row r="4547" spans="1:18" ht="16.2" customHeight="1" x14ac:dyDescent="0.3">
      <c r="A4547" s="150" t="s">
        <v>4257</v>
      </c>
      <c r="B4547" s="5">
        <f t="shared" si="1074"/>
        <v>10</v>
      </c>
      <c r="C4547" s="5">
        <f t="shared" si="1075"/>
        <v>2025</v>
      </c>
      <c r="D4547" s="150" t="s">
        <v>4233</v>
      </c>
      <c r="E4547" s="5" t="str">
        <f>VLOOKUP(F4547,'Set up'!$A$2:$C$70,2,FALSE)</f>
        <v>C00000042</v>
      </c>
      <c r="F4547" s="151" t="s">
        <v>2012</v>
      </c>
      <c r="G4547" s="151" t="s">
        <v>3122</v>
      </c>
      <c r="H4547" s="150">
        <v>3</v>
      </c>
      <c r="I4547" s="5" t="str">
        <f>VLOOKUP(F4547,'Set up'!$A$2:$C$70,3,FALSE)</f>
        <v>Cash</v>
      </c>
      <c r="J4547" s="5">
        <f>VLOOKUP(F4547,'Set up'!$A$2:$D$70,4,FALSE)</f>
        <v>0</v>
      </c>
      <c r="K4547" s="4">
        <f t="shared" si="1076"/>
        <v>45948</v>
      </c>
      <c r="L4547" s="5">
        <f t="shared" ref="L4547:L4610" si="1077">MONTH(K4547)</f>
        <v>10</v>
      </c>
      <c r="M4547" s="5">
        <f t="shared" ref="M4547:M4610" si="1078">YEAR(K4547)</f>
        <v>2025</v>
      </c>
      <c r="N4547" s="156">
        <v>4725</v>
      </c>
      <c r="P4547" s="12"/>
      <c r="Q4547" s="7">
        <f t="shared" ref="Q4547:Q4610" si="1079">SUM(Q4546+N4547)</f>
        <v>7576369.0500000082</v>
      </c>
      <c r="R4547" s="44" t="str">
        <f>VLOOKUP(F4547,'Set up'!$A$2:$E$70,5,FALSE)</f>
        <v>Trsf</v>
      </c>
    </row>
    <row r="4548" spans="1:18" ht="16.2" customHeight="1" x14ac:dyDescent="0.3">
      <c r="A4548" s="150" t="s">
        <v>4257</v>
      </c>
      <c r="B4548" s="5">
        <f t="shared" si="1074"/>
        <v>10</v>
      </c>
      <c r="C4548" s="5">
        <f t="shared" si="1075"/>
        <v>2025</v>
      </c>
      <c r="D4548" s="150" t="s">
        <v>4233</v>
      </c>
      <c r="E4548" s="5" t="str">
        <f>VLOOKUP(F4548,'Set up'!$A$2:$C$70,2,FALSE)</f>
        <v>C00000042</v>
      </c>
      <c r="F4548" s="151" t="s">
        <v>2012</v>
      </c>
      <c r="G4548" s="151" t="s">
        <v>1392</v>
      </c>
      <c r="H4548" s="150">
        <v>25</v>
      </c>
      <c r="I4548" s="5" t="str">
        <f>VLOOKUP(F4548,'Set up'!$A$2:$C$70,3,FALSE)</f>
        <v>Cash</v>
      </c>
      <c r="J4548" s="5">
        <f>VLOOKUP(F4548,'Set up'!$A$2:$D$70,4,FALSE)</f>
        <v>0</v>
      </c>
      <c r="K4548" s="4">
        <f t="shared" si="1076"/>
        <v>45948</v>
      </c>
      <c r="L4548" s="5">
        <f t="shared" si="1077"/>
        <v>10</v>
      </c>
      <c r="M4548" s="5">
        <f t="shared" si="1078"/>
        <v>2025</v>
      </c>
      <c r="N4548" s="156">
        <v>4425</v>
      </c>
      <c r="P4548" s="12"/>
      <c r="Q4548" s="7">
        <f t="shared" si="1079"/>
        <v>7580794.0500000082</v>
      </c>
      <c r="R4548" s="44" t="str">
        <f>VLOOKUP(F4548,'Set up'!$A$2:$E$70,5,FALSE)</f>
        <v>Trsf</v>
      </c>
    </row>
    <row r="4549" spans="1:18" ht="16.2" customHeight="1" x14ac:dyDescent="0.3">
      <c r="A4549" s="150" t="s">
        <v>4257</v>
      </c>
      <c r="B4549" s="5">
        <f t="shared" si="1074"/>
        <v>10</v>
      </c>
      <c r="C4549" s="5">
        <f t="shared" si="1075"/>
        <v>2025</v>
      </c>
      <c r="D4549" s="150" t="s">
        <v>4233</v>
      </c>
      <c r="E4549" s="5" t="str">
        <f>VLOOKUP(F4549,'Set up'!$A$2:$C$70,2,FALSE)</f>
        <v>C00000042</v>
      </c>
      <c r="F4549" s="151" t="s">
        <v>2012</v>
      </c>
      <c r="G4549" s="151" t="s">
        <v>1922</v>
      </c>
      <c r="H4549" s="150">
        <v>15</v>
      </c>
      <c r="I4549" s="5" t="str">
        <f>VLOOKUP(F4549,'Set up'!$A$2:$C$70,3,FALSE)</f>
        <v>Cash</v>
      </c>
      <c r="J4549" s="5">
        <f>VLOOKUP(F4549,'Set up'!$A$2:$D$70,4,FALSE)</f>
        <v>0</v>
      </c>
      <c r="K4549" s="4">
        <f t="shared" si="1076"/>
        <v>45948</v>
      </c>
      <c r="L4549" s="5">
        <f t="shared" si="1077"/>
        <v>10</v>
      </c>
      <c r="M4549" s="5">
        <f t="shared" si="1078"/>
        <v>2025</v>
      </c>
      <c r="N4549" s="156">
        <v>3442.5</v>
      </c>
      <c r="P4549" s="12"/>
      <c r="Q4549" s="7">
        <f t="shared" si="1079"/>
        <v>7584236.5500000082</v>
      </c>
      <c r="R4549" s="44" t="str">
        <f>VLOOKUP(F4549,'Set up'!$A$2:$E$70,5,FALSE)</f>
        <v>Trsf</v>
      </c>
    </row>
    <row r="4550" spans="1:18" ht="16.2" customHeight="1" x14ac:dyDescent="0.3">
      <c r="A4550" s="150" t="s">
        <v>4257</v>
      </c>
      <c r="B4550" s="5">
        <f t="shared" si="1074"/>
        <v>10</v>
      </c>
      <c r="C4550" s="5">
        <f t="shared" si="1075"/>
        <v>2025</v>
      </c>
      <c r="D4550" s="150" t="s">
        <v>4233</v>
      </c>
      <c r="E4550" s="5" t="str">
        <f>VLOOKUP(F4550,'Set up'!$A$2:$C$70,2,FALSE)</f>
        <v>C00000042</v>
      </c>
      <c r="F4550" s="151" t="s">
        <v>2012</v>
      </c>
      <c r="G4550" s="151" t="s">
        <v>46</v>
      </c>
      <c r="H4550" s="150">
        <v>4</v>
      </c>
      <c r="I4550" s="5" t="str">
        <f>VLOOKUP(F4550,'Set up'!$A$2:$C$70,3,FALSE)</f>
        <v>Cash</v>
      </c>
      <c r="J4550" s="5">
        <f>VLOOKUP(F4550,'Set up'!$A$2:$D$70,4,FALSE)</f>
        <v>0</v>
      </c>
      <c r="K4550" s="4">
        <f t="shared" si="1076"/>
        <v>45948</v>
      </c>
      <c r="L4550" s="5">
        <f t="shared" si="1077"/>
        <v>10</v>
      </c>
      <c r="M4550" s="5">
        <f t="shared" si="1078"/>
        <v>2025</v>
      </c>
      <c r="N4550" s="156">
        <v>460</v>
      </c>
      <c r="P4550" s="12"/>
      <c r="Q4550" s="7">
        <f t="shared" si="1079"/>
        <v>7584696.5500000082</v>
      </c>
      <c r="R4550" s="44" t="str">
        <f>VLOOKUP(F4550,'Set up'!$A$2:$E$70,5,FALSE)</f>
        <v>Trsf</v>
      </c>
    </row>
    <row r="4551" spans="1:18" ht="16.2" customHeight="1" x14ac:dyDescent="0.3">
      <c r="A4551" s="150" t="s">
        <v>4257</v>
      </c>
      <c r="B4551" s="5">
        <f t="shared" si="1074"/>
        <v>10</v>
      </c>
      <c r="C4551" s="5">
        <f t="shared" si="1075"/>
        <v>2025</v>
      </c>
      <c r="D4551" s="150" t="s">
        <v>4233</v>
      </c>
      <c r="E4551" s="5" t="str">
        <f>VLOOKUP(F4551,'Set up'!$A$2:$C$70,2,FALSE)</f>
        <v>C00000042</v>
      </c>
      <c r="F4551" s="151" t="s">
        <v>2012</v>
      </c>
      <c r="G4551" s="151" t="s">
        <v>1073</v>
      </c>
      <c r="H4551" s="150">
        <v>1</v>
      </c>
      <c r="I4551" s="5" t="str">
        <f>VLOOKUP(F4551,'Set up'!$A$2:$C$70,3,FALSE)</f>
        <v>Cash</v>
      </c>
      <c r="J4551" s="5">
        <f>VLOOKUP(F4551,'Set up'!$A$2:$D$70,4,FALSE)</f>
        <v>0</v>
      </c>
      <c r="K4551" s="4">
        <f t="shared" si="1076"/>
        <v>45948</v>
      </c>
      <c r="L4551" s="5">
        <f t="shared" si="1077"/>
        <v>10</v>
      </c>
      <c r="M4551" s="5">
        <f t="shared" si="1078"/>
        <v>2025</v>
      </c>
      <c r="N4551" s="156">
        <v>1050</v>
      </c>
      <c r="P4551" s="12"/>
      <c r="Q4551" s="7">
        <f t="shared" si="1079"/>
        <v>7585746.5500000082</v>
      </c>
      <c r="R4551" s="44" t="str">
        <f>VLOOKUP(F4551,'Set up'!$A$2:$E$70,5,FALSE)</f>
        <v>Trsf</v>
      </c>
    </row>
    <row r="4552" spans="1:18" ht="16.2" customHeight="1" x14ac:dyDescent="0.3">
      <c r="A4552" s="150" t="s">
        <v>4257</v>
      </c>
      <c r="B4552" s="5">
        <f t="shared" si="1074"/>
        <v>10</v>
      </c>
      <c r="C4552" s="5">
        <f t="shared" si="1075"/>
        <v>2025</v>
      </c>
      <c r="D4552" s="150" t="s">
        <v>4234</v>
      </c>
      <c r="E4552" s="5" t="str">
        <f>VLOOKUP(F4552,'Set up'!$A$2:$C$70,2,FALSE)</f>
        <v>C00000010</v>
      </c>
      <c r="F4552" s="151" t="s">
        <v>62</v>
      </c>
      <c r="G4552" s="151" t="s">
        <v>3645</v>
      </c>
      <c r="H4552" s="150">
        <v>10</v>
      </c>
      <c r="I4552" s="5">
        <f>VLOOKUP(F4552,'Set up'!$A$2:$C$70,3,FALSE)</f>
        <v>120</v>
      </c>
      <c r="J4552" s="5">
        <f>VLOOKUP(F4552,'Set up'!$A$2:$D$70,4,FALSE)</f>
        <v>120</v>
      </c>
      <c r="K4552" s="4">
        <f t="shared" si="1076"/>
        <v>46068</v>
      </c>
      <c r="L4552" s="5">
        <f t="shared" si="1077"/>
        <v>2</v>
      </c>
      <c r="M4552" s="5">
        <f t="shared" si="1078"/>
        <v>2026</v>
      </c>
      <c r="N4552" s="156">
        <v>15525</v>
      </c>
      <c r="P4552" s="12"/>
      <c r="Q4552" s="7">
        <f t="shared" si="1079"/>
        <v>7601271.5500000082</v>
      </c>
      <c r="R4552" s="44" t="str">
        <f>VLOOKUP(F4552,'Set up'!$A$2:$E$70,5,FALSE)</f>
        <v>Trsf</v>
      </c>
    </row>
    <row r="4553" spans="1:18" ht="16.2" customHeight="1" x14ac:dyDescent="0.3">
      <c r="A4553" s="150" t="s">
        <v>4257</v>
      </c>
      <c r="B4553" s="5">
        <f t="shared" si="1074"/>
        <v>10</v>
      </c>
      <c r="C4553" s="5">
        <f t="shared" si="1075"/>
        <v>2025</v>
      </c>
      <c r="D4553" s="150" t="s">
        <v>4234</v>
      </c>
      <c r="E4553" s="5" t="str">
        <f>VLOOKUP(F4553,'Set up'!$A$2:$C$70,2,FALSE)</f>
        <v>C00000010</v>
      </c>
      <c r="F4553" s="151" t="s">
        <v>62</v>
      </c>
      <c r="G4553" s="151" t="s">
        <v>1543</v>
      </c>
      <c r="H4553" s="150">
        <v>20</v>
      </c>
      <c r="I4553" s="5">
        <f>VLOOKUP(F4553,'Set up'!$A$2:$C$70,3,FALSE)</f>
        <v>120</v>
      </c>
      <c r="J4553" s="5">
        <f>VLOOKUP(F4553,'Set up'!$A$2:$D$70,4,FALSE)</f>
        <v>120</v>
      </c>
      <c r="K4553" s="4">
        <f t="shared" si="1076"/>
        <v>46068</v>
      </c>
      <c r="L4553" s="5">
        <f t="shared" si="1077"/>
        <v>2</v>
      </c>
      <c r="M4553" s="5">
        <f t="shared" si="1078"/>
        <v>2026</v>
      </c>
      <c r="N4553" s="156">
        <v>3480</v>
      </c>
      <c r="P4553" s="12"/>
      <c r="Q4553" s="7">
        <f t="shared" si="1079"/>
        <v>7604751.5500000082</v>
      </c>
      <c r="R4553" s="44" t="str">
        <f>VLOOKUP(F4553,'Set up'!$A$2:$E$70,5,FALSE)</f>
        <v>Trsf</v>
      </c>
    </row>
    <row r="4554" spans="1:18" ht="16.2" customHeight="1" x14ac:dyDescent="0.3">
      <c r="A4554" s="150" t="s">
        <v>4257</v>
      </c>
      <c r="B4554" s="5">
        <f t="shared" si="1074"/>
        <v>10</v>
      </c>
      <c r="C4554" s="5">
        <f t="shared" si="1075"/>
        <v>2025</v>
      </c>
      <c r="D4554" s="150" t="s">
        <v>4234</v>
      </c>
      <c r="E4554" s="5" t="str">
        <f>VLOOKUP(F4554,'Set up'!$A$2:$C$70,2,FALSE)</f>
        <v>C00000010</v>
      </c>
      <c r="F4554" s="151" t="s">
        <v>62</v>
      </c>
      <c r="G4554" s="151" t="s">
        <v>614</v>
      </c>
      <c r="H4554" s="150">
        <v>1</v>
      </c>
      <c r="I4554" s="5">
        <f>VLOOKUP(F4554,'Set up'!$A$2:$C$70,3,FALSE)</f>
        <v>120</v>
      </c>
      <c r="J4554" s="5">
        <f>VLOOKUP(F4554,'Set up'!$A$2:$D$70,4,FALSE)</f>
        <v>120</v>
      </c>
      <c r="K4554" s="4">
        <f t="shared" si="1076"/>
        <v>46068</v>
      </c>
      <c r="L4554" s="5">
        <f t="shared" si="1077"/>
        <v>2</v>
      </c>
      <c r="M4554" s="5">
        <f t="shared" si="1078"/>
        <v>2026</v>
      </c>
      <c r="N4554" s="156">
        <v>395</v>
      </c>
      <c r="P4554" s="12"/>
      <c r="Q4554" s="7">
        <f t="shared" si="1079"/>
        <v>7605146.5500000082</v>
      </c>
      <c r="R4554" s="44" t="str">
        <f>VLOOKUP(F4554,'Set up'!$A$2:$E$70,5,FALSE)</f>
        <v>Trsf</v>
      </c>
    </row>
    <row r="4555" spans="1:18" ht="16.2" customHeight="1" x14ac:dyDescent="0.3">
      <c r="A4555" s="150" t="s">
        <v>4257</v>
      </c>
      <c r="B4555" s="5">
        <f t="shared" si="1074"/>
        <v>10</v>
      </c>
      <c r="C4555" s="5">
        <f t="shared" si="1075"/>
        <v>2025</v>
      </c>
      <c r="D4555" s="150" t="s">
        <v>4234</v>
      </c>
      <c r="E4555" s="5" t="str">
        <f>VLOOKUP(F4555,'Set up'!$A$2:$C$70,2,FALSE)</f>
        <v>C00000010</v>
      </c>
      <c r="F4555" s="151" t="s">
        <v>62</v>
      </c>
      <c r="G4555" s="151" t="s">
        <v>46</v>
      </c>
      <c r="H4555" s="150">
        <v>8</v>
      </c>
      <c r="I4555" s="5">
        <f>VLOOKUP(F4555,'Set up'!$A$2:$C$70,3,FALSE)</f>
        <v>120</v>
      </c>
      <c r="J4555" s="5">
        <f>VLOOKUP(F4555,'Set up'!$A$2:$D$70,4,FALSE)</f>
        <v>120</v>
      </c>
      <c r="K4555" s="4">
        <f t="shared" si="1076"/>
        <v>46068</v>
      </c>
      <c r="L4555" s="5">
        <f t="shared" si="1077"/>
        <v>2</v>
      </c>
      <c r="M4555" s="5">
        <f t="shared" si="1078"/>
        <v>2026</v>
      </c>
      <c r="N4555" s="156">
        <v>920</v>
      </c>
      <c r="P4555" s="12"/>
      <c r="Q4555" s="7">
        <f t="shared" si="1079"/>
        <v>7606066.5500000082</v>
      </c>
      <c r="R4555" s="44" t="str">
        <f>VLOOKUP(F4555,'Set up'!$A$2:$E$70,5,FALSE)</f>
        <v>Trsf</v>
      </c>
    </row>
    <row r="4556" spans="1:18" ht="16.2" customHeight="1" x14ac:dyDescent="0.3">
      <c r="A4556" s="150" t="s">
        <v>4257</v>
      </c>
      <c r="B4556" s="5">
        <f t="shared" si="1074"/>
        <v>10</v>
      </c>
      <c r="C4556" s="5">
        <f t="shared" si="1075"/>
        <v>2025</v>
      </c>
      <c r="D4556" s="150" t="s">
        <v>4234</v>
      </c>
      <c r="E4556" s="5" t="str">
        <f>VLOOKUP(F4556,'Set up'!$A$2:$C$70,2,FALSE)</f>
        <v>C00000010</v>
      </c>
      <c r="F4556" s="151" t="s">
        <v>62</v>
      </c>
      <c r="G4556" s="151" t="s">
        <v>2449</v>
      </c>
      <c r="H4556" s="150">
        <v>2</v>
      </c>
      <c r="I4556" s="5">
        <f>VLOOKUP(F4556,'Set up'!$A$2:$C$70,3,FALSE)</f>
        <v>120</v>
      </c>
      <c r="J4556" s="5">
        <f>VLOOKUP(F4556,'Set up'!$A$2:$D$70,4,FALSE)</f>
        <v>120</v>
      </c>
      <c r="K4556" s="4">
        <f t="shared" si="1076"/>
        <v>46068</v>
      </c>
      <c r="L4556" s="5">
        <f t="shared" si="1077"/>
        <v>2</v>
      </c>
      <c r="M4556" s="5">
        <f t="shared" si="1078"/>
        <v>2026</v>
      </c>
      <c r="N4556" s="156">
        <v>840</v>
      </c>
      <c r="P4556" s="12"/>
      <c r="Q4556" s="7">
        <f t="shared" si="1079"/>
        <v>7606906.5500000082</v>
      </c>
      <c r="R4556" s="44" t="str">
        <f>VLOOKUP(F4556,'Set up'!$A$2:$E$70,5,FALSE)</f>
        <v>Trsf</v>
      </c>
    </row>
    <row r="4557" spans="1:18" ht="16.2" customHeight="1" x14ac:dyDescent="0.3">
      <c r="A4557" s="150" t="s">
        <v>4257</v>
      </c>
      <c r="B4557" s="5">
        <f t="shared" si="1074"/>
        <v>10</v>
      </c>
      <c r="C4557" s="5">
        <f t="shared" si="1075"/>
        <v>2025</v>
      </c>
      <c r="D4557" s="150" t="s">
        <v>4234</v>
      </c>
      <c r="E4557" s="5" t="str">
        <f>VLOOKUP(F4557,'Set up'!$A$2:$C$70,2,FALSE)</f>
        <v>C00000010</v>
      </c>
      <c r="F4557" s="151" t="s">
        <v>62</v>
      </c>
      <c r="G4557" s="151" t="s">
        <v>949</v>
      </c>
      <c r="H4557" s="150">
        <v>12</v>
      </c>
      <c r="I4557" s="5">
        <f>VLOOKUP(F4557,'Set up'!$A$2:$C$70,3,FALSE)</f>
        <v>120</v>
      </c>
      <c r="J4557" s="5">
        <f>VLOOKUP(F4557,'Set up'!$A$2:$D$70,4,FALSE)</f>
        <v>120</v>
      </c>
      <c r="K4557" s="4">
        <f t="shared" si="1076"/>
        <v>46068</v>
      </c>
      <c r="L4557" s="5">
        <f t="shared" si="1077"/>
        <v>2</v>
      </c>
      <c r="M4557" s="5">
        <f t="shared" si="1078"/>
        <v>2026</v>
      </c>
      <c r="N4557" s="156">
        <v>696</v>
      </c>
      <c r="P4557" s="12"/>
      <c r="Q4557" s="7">
        <f t="shared" si="1079"/>
        <v>7607602.5500000082</v>
      </c>
      <c r="R4557" s="44" t="str">
        <f>VLOOKUP(F4557,'Set up'!$A$2:$E$70,5,FALSE)</f>
        <v>Trsf</v>
      </c>
    </row>
    <row r="4558" spans="1:18" ht="16.2" customHeight="1" x14ac:dyDescent="0.3">
      <c r="A4558" s="150" t="s">
        <v>4258</v>
      </c>
      <c r="B4558" s="5">
        <f t="shared" si="1074"/>
        <v>10</v>
      </c>
      <c r="C4558" s="5">
        <f t="shared" si="1075"/>
        <v>2025</v>
      </c>
      <c r="D4558" s="150" t="s">
        <v>4235</v>
      </c>
      <c r="E4558" s="5" t="str">
        <f>VLOOKUP(F4558,'Set up'!$A$2:$C$70,2,FALSE)</f>
        <v>C00000019</v>
      </c>
      <c r="F4558" s="151" t="s">
        <v>400</v>
      </c>
      <c r="G4558" s="151" t="s">
        <v>3122</v>
      </c>
      <c r="H4558" s="150">
        <v>1</v>
      </c>
      <c r="I4558" s="5" t="str">
        <f>VLOOKUP(F4558,'Set up'!$A$2:$C$70,3,FALSE)</f>
        <v>Cash</v>
      </c>
      <c r="J4558" s="5">
        <f>VLOOKUP(F4558,'Set up'!$A$2:$D$70,4,FALSE)</f>
        <v>0</v>
      </c>
      <c r="K4558" s="4">
        <f t="shared" si="1076"/>
        <v>45952</v>
      </c>
      <c r="L4558" s="5">
        <f t="shared" si="1077"/>
        <v>10</v>
      </c>
      <c r="M4558" s="5">
        <f t="shared" si="1078"/>
        <v>2025</v>
      </c>
      <c r="N4558" s="156">
        <v>1687.5</v>
      </c>
      <c r="P4558" s="12"/>
      <c r="Q4558" s="7">
        <f t="shared" si="1079"/>
        <v>7609290.0500000082</v>
      </c>
      <c r="R4558" s="44" t="str">
        <f>VLOOKUP(F4558,'Set up'!$A$2:$E$70,5,FALSE)</f>
        <v>Trsf</v>
      </c>
    </row>
    <row r="4559" spans="1:18" ht="16.2" customHeight="1" x14ac:dyDescent="0.3">
      <c r="A4559" s="150" t="s">
        <v>4258</v>
      </c>
      <c r="B4559" s="5">
        <f t="shared" si="1074"/>
        <v>10</v>
      </c>
      <c r="C4559" s="5">
        <f t="shared" si="1075"/>
        <v>2025</v>
      </c>
      <c r="D4559" s="150" t="s">
        <v>4235</v>
      </c>
      <c r="E4559" s="5" t="str">
        <f>VLOOKUP(F4559,'Set up'!$A$2:$C$70,2,FALSE)</f>
        <v>C00000019</v>
      </c>
      <c r="F4559" s="151" t="s">
        <v>400</v>
      </c>
      <c r="G4559" s="151" t="s">
        <v>2138</v>
      </c>
      <c r="H4559" s="150">
        <v>1</v>
      </c>
      <c r="I4559" s="5" t="str">
        <f>VLOOKUP(F4559,'Set up'!$A$2:$C$70,3,FALSE)</f>
        <v>Cash</v>
      </c>
      <c r="J4559" s="5">
        <f>VLOOKUP(F4559,'Set up'!$A$2:$D$70,4,FALSE)</f>
        <v>0</v>
      </c>
      <c r="K4559" s="4">
        <f t="shared" si="1076"/>
        <v>45952</v>
      </c>
      <c r="L4559" s="5">
        <f t="shared" si="1077"/>
        <v>10</v>
      </c>
      <c r="M4559" s="5">
        <f t="shared" si="1078"/>
        <v>2025</v>
      </c>
      <c r="N4559" s="156">
        <v>575</v>
      </c>
      <c r="P4559" s="12"/>
      <c r="Q4559" s="7">
        <f t="shared" si="1079"/>
        <v>7609865.0500000082</v>
      </c>
      <c r="R4559" s="44" t="str">
        <f>VLOOKUP(F4559,'Set up'!$A$2:$E$70,5,FALSE)</f>
        <v>Trsf</v>
      </c>
    </row>
    <row r="4560" spans="1:18" ht="16.2" customHeight="1" x14ac:dyDescent="0.3">
      <c r="A4560" s="150" t="s">
        <v>4259</v>
      </c>
      <c r="B4560" s="5">
        <f t="shared" si="1074"/>
        <v>10</v>
      </c>
      <c r="C4560" s="5">
        <f t="shared" si="1075"/>
        <v>2025</v>
      </c>
      <c r="D4560" s="150" t="s">
        <v>4236</v>
      </c>
      <c r="E4560" s="5" t="e">
        <f>VLOOKUP(F4560,'Set up'!$A$2:$C$70,2,FALSE)</f>
        <v>#N/A</v>
      </c>
      <c r="F4560" s="151" t="s">
        <v>4130</v>
      </c>
      <c r="G4560" s="151" t="s">
        <v>3122</v>
      </c>
      <c r="H4560" s="150">
        <v>1</v>
      </c>
      <c r="I4560" s="5" t="e">
        <f>VLOOKUP(F4560,'Set up'!$A$2:$C$70,3,FALSE)</f>
        <v>#N/A</v>
      </c>
      <c r="J4560" s="5" t="e">
        <f>VLOOKUP(F4560,'Set up'!$A$2:$D$70,4,FALSE)</f>
        <v>#N/A</v>
      </c>
      <c r="K4560" s="4" t="e">
        <f t="shared" si="1076"/>
        <v>#N/A</v>
      </c>
      <c r="L4560" s="5" t="e">
        <f t="shared" si="1077"/>
        <v>#N/A</v>
      </c>
      <c r="M4560" s="5" t="e">
        <f t="shared" si="1078"/>
        <v>#N/A</v>
      </c>
      <c r="N4560" s="156">
        <v>1687.5</v>
      </c>
      <c r="P4560" s="12"/>
      <c r="Q4560" s="7">
        <f t="shared" si="1079"/>
        <v>7611552.5500000082</v>
      </c>
      <c r="R4560" s="44" t="e">
        <f>VLOOKUP(F4560,'Set up'!$A$2:$E$70,5,FALSE)</f>
        <v>#N/A</v>
      </c>
    </row>
    <row r="4561" spans="1:18" ht="16.2" customHeight="1" x14ac:dyDescent="0.3">
      <c r="A4561" s="150" t="s">
        <v>4259</v>
      </c>
      <c r="B4561" s="5">
        <f t="shared" si="1074"/>
        <v>10</v>
      </c>
      <c r="C4561" s="5">
        <f t="shared" si="1075"/>
        <v>2025</v>
      </c>
      <c r="D4561" s="150" t="s">
        <v>4236</v>
      </c>
      <c r="E4561" s="5" t="e">
        <f>VLOOKUP(F4561,'Set up'!$A$2:$C$70,2,FALSE)</f>
        <v>#N/A</v>
      </c>
      <c r="F4561" s="151" t="s">
        <v>4130</v>
      </c>
      <c r="G4561" s="151" t="s">
        <v>707</v>
      </c>
      <c r="H4561" s="150">
        <v>1</v>
      </c>
      <c r="I4561" s="5" t="e">
        <f>VLOOKUP(F4561,'Set up'!$A$2:$C$70,3,FALSE)</f>
        <v>#N/A</v>
      </c>
      <c r="J4561" s="5" t="e">
        <f>VLOOKUP(F4561,'Set up'!$A$2:$D$70,4,FALSE)</f>
        <v>#N/A</v>
      </c>
      <c r="K4561" s="4" t="e">
        <f t="shared" si="1076"/>
        <v>#N/A</v>
      </c>
      <c r="L4561" s="5" t="e">
        <f t="shared" si="1077"/>
        <v>#N/A</v>
      </c>
      <c r="M4561" s="5" t="e">
        <f t="shared" si="1078"/>
        <v>#N/A</v>
      </c>
      <c r="N4561" s="156">
        <v>394.2</v>
      </c>
      <c r="P4561" s="12"/>
      <c r="Q4561" s="7">
        <f t="shared" si="1079"/>
        <v>7611946.7500000084</v>
      </c>
      <c r="R4561" s="44" t="e">
        <f>VLOOKUP(F4561,'Set up'!$A$2:$E$70,5,FALSE)</f>
        <v>#N/A</v>
      </c>
    </row>
    <row r="4562" spans="1:18" ht="16.2" customHeight="1" x14ac:dyDescent="0.3">
      <c r="A4562" s="150" t="s">
        <v>4259</v>
      </c>
      <c r="B4562" s="5">
        <f t="shared" si="1074"/>
        <v>10</v>
      </c>
      <c r="C4562" s="5">
        <f t="shared" si="1075"/>
        <v>2025</v>
      </c>
      <c r="D4562" s="150" t="s">
        <v>4236</v>
      </c>
      <c r="E4562" s="5" t="e">
        <f>VLOOKUP(F4562,'Set up'!$A$2:$C$70,2,FALSE)</f>
        <v>#N/A</v>
      </c>
      <c r="F4562" s="151" t="s">
        <v>4130</v>
      </c>
      <c r="G4562" s="151" t="s">
        <v>2646</v>
      </c>
      <c r="H4562" s="150">
        <v>2</v>
      </c>
      <c r="I4562" s="5" t="e">
        <f>VLOOKUP(F4562,'Set up'!$A$2:$C$70,3,FALSE)</f>
        <v>#N/A</v>
      </c>
      <c r="J4562" s="5" t="e">
        <f>VLOOKUP(F4562,'Set up'!$A$2:$D$70,4,FALSE)</f>
        <v>#N/A</v>
      </c>
      <c r="K4562" s="4" t="e">
        <f t="shared" si="1076"/>
        <v>#N/A</v>
      </c>
      <c r="L4562" s="5" t="e">
        <f t="shared" si="1077"/>
        <v>#N/A</v>
      </c>
      <c r="M4562" s="5" t="e">
        <f t="shared" si="1078"/>
        <v>#N/A</v>
      </c>
      <c r="N4562" s="156">
        <v>125</v>
      </c>
      <c r="P4562" s="12"/>
      <c r="Q4562" s="7">
        <f t="shared" si="1079"/>
        <v>7612071.7500000084</v>
      </c>
      <c r="R4562" s="44" t="e">
        <f>VLOOKUP(F4562,'Set up'!$A$2:$E$70,5,FALSE)</f>
        <v>#N/A</v>
      </c>
    </row>
    <row r="4563" spans="1:18" ht="16.2" customHeight="1" x14ac:dyDescent="0.3">
      <c r="A4563" s="150" t="s">
        <v>4259</v>
      </c>
      <c r="B4563" s="5">
        <f t="shared" si="1074"/>
        <v>10</v>
      </c>
      <c r="C4563" s="5">
        <f t="shared" si="1075"/>
        <v>2025</v>
      </c>
      <c r="D4563" s="150" t="s">
        <v>4236</v>
      </c>
      <c r="E4563" s="5" t="e">
        <f>VLOOKUP(F4563,'Set up'!$A$2:$C$70,2,FALSE)</f>
        <v>#N/A</v>
      </c>
      <c r="F4563" s="151" t="s">
        <v>4130</v>
      </c>
      <c r="G4563" s="151" t="s">
        <v>945</v>
      </c>
      <c r="H4563" s="150">
        <v>1</v>
      </c>
      <c r="I4563" s="5" t="e">
        <f>VLOOKUP(F4563,'Set up'!$A$2:$C$70,3,FALSE)</f>
        <v>#N/A</v>
      </c>
      <c r="J4563" s="5" t="e">
        <f>VLOOKUP(F4563,'Set up'!$A$2:$D$70,4,FALSE)</f>
        <v>#N/A</v>
      </c>
      <c r="K4563" s="4" t="e">
        <f t="shared" si="1076"/>
        <v>#N/A</v>
      </c>
      <c r="L4563" s="5" t="e">
        <f t="shared" si="1077"/>
        <v>#N/A</v>
      </c>
      <c r="M4563" s="5" t="e">
        <f t="shared" si="1078"/>
        <v>#N/A</v>
      </c>
      <c r="N4563" s="156">
        <v>120</v>
      </c>
      <c r="P4563" s="12"/>
      <c r="Q4563" s="7">
        <f t="shared" si="1079"/>
        <v>7612191.7500000084</v>
      </c>
      <c r="R4563" s="44" t="e">
        <f>VLOOKUP(F4563,'Set up'!$A$2:$E$70,5,FALSE)</f>
        <v>#N/A</v>
      </c>
    </row>
    <row r="4564" spans="1:18" ht="16.2" customHeight="1" x14ac:dyDescent="0.3">
      <c r="A4564" s="150" t="s">
        <v>4260</v>
      </c>
      <c r="B4564" s="5">
        <f t="shared" si="1074"/>
        <v>10</v>
      </c>
      <c r="C4564" s="5">
        <f t="shared" si="1075"/>
        <v>2025</v>
      </c>
      <c r="D4564" s="150" t="s">
        <v>4237</v>
      </c>
      <c r="E4564" s="5" t="str">
        <f>VLOOKUP(F4564,'Set up'!$A$2:$C$70,2,FALSE)</f>
        <v>C00000063</v>
      </c>
      <c r="F4564" s="151" t="s">
        <v>4198</v>
      </c>
      <c r="G4564" s="151" t="s">
        <v>3507</v>
      </c>
      <c r="H4564" s="150">
        <v>5</v>
      </c>
      <c r="I4564" s="5" t="str">
        <f>VLOOKUP(F4564,'Set up'!$A$2:$C$70,3,FALSE)</f>
        <v>Cash</v>
      </c>
      <c r="J4564" s="5">
        <f>VLOOKUP(F4564,'Set up'!$A$2:$D$70,4,FALSE)</f>
        <v>0</v>
      </c>
      <c r="K4564" s="4">
        <f t="shared" si="1076"/>
        <v>45954</v>
      </c>
      <c r="L4564" s="5">
        <f t="shared" si="1077"/>
        <v>10</v>
      </c>
      <c r="M4564" s="5">
        <f t="shared" si="1078"/>
        <v>2025</v>
      </c>
      <c r="N4564" s="156">
        <v>8212.5</v>
      </c>
      <c r="P4564" s="12"/>
      <c r="Q4564" s="7">
        <f t="shared" si="1079"/>
        <v>7620404.2500000084</v>
      </c>
      <c r="R4564" s="44" t="str">
        <f>VLOOKUP(F4564,'Set up'!$A$2:$E$70,5,FALSE)</f>
        <v>Cash</v>
      </c>
    </row>
    <row r="4565" spans="1:18" ht="16.2" customHeight="1" x14ac:dyDescent="0.3">
      <c r="A4565" s="150" t="s">
        <v>4260</v>
      </c>
      <c r="B4565" s="5">
        <f t="shared" si="1074"/>
        <v>10</v>
      </c>
      <c r="C4565" s="5">
        <f t="shared" si="1075"/>
        <v>2025</v>
      </c>
      <c r="D4565" s="150" t="s">
        <v>4237</v>
      </c>
      <c r="E4565" s="5" t="str">
        <f>VLOOKUP(F4565,'Set up'!$A$2:$C$70,2,FALSE)</f>
        <v>C00000063</v>
      </c>
      <c r="F4565" s="151" t="s">
        <v>4198</v>
      </c>
      <c r="G4565" s="151" t="s">
        <v>4201</v>
      </c>
      <c r="H4565" s="150">
        <v>1</v>
      </c>
      <c r="I4565" s="5" t="str">
        <f>VLOOKUP(F4565,'Set up'!$A$2:$C$70,3,FALSE)</f>
        <v>Cash</v>
      </c>
      <c r="J4565" s="5">
        <f>VLOOKUP(F4565,'Set up'!$A$2:$D$70,4,FALSE)</f>
        <v>0</v>
      </c>
      <c r="K4565" s="4">
        <f t="shared" si="1076"/>
        <v>45954</v>
      </c>
      <c r="L4565" s="5">
        <f t="shared" si="1077"/>
        <v>10</v>
      </c>
      <c r="M4565" s="5">
        <f t="shared" si="1078"/>
        <v>2025</v>
      </c>
      <c r="N4565" s="156">
        <v>1642.5</v>
      </c>
      <c r="P4565" s="12"/>
      <c r="Q4565" s="7">
        <f t="shared" si="1079"/>
        <v>7622046.7500000084</v>
      </c>
      <c r="R4565" s="44" t="str">
        <f>VLOOKUP(F4565,'Set up'!$A$2:$E$70,5,FALSE)</f>
        <v>Cash</v>
      </c>
    </row>
    <row r="4566" spans="1:18" ht="16.2" customHeight="1" x14ac:dyDescent="0.3">
      <c r="A4566" s="150" t="s">
        <v>4260</v>
      </c>
      <c r="B4566" s="5">
        <f t="shared" si="1074"/>
        <v>10</v>
      </c>
      <c r="C4566" s="5">
        <f t="shared" si="1075"/>
        <v>2025</v>
      </c>
      <c r="D4566" s="150" t="s">
        <v>4237</v>
      </c>
      <c r="E4566" s="5" t="str">
        <f>VLOOKUP(F4566,'Set up'!$A$2:$C$70,2,FALSE)</f>
        <v>C00000063</v>
      </c>
      <c r="F4566" s="151" t="s">
        <v>4198</v>
      </c>
      <c r="G4566" s="151" t="s">
        <v>4278</v>
      </c>
      <c r="H4566" s="150">
        <v>5</v>
      </c>
      <c r="I4566" s="5" t="str">
        <f>VLOOKUP(F4566,'Set up'!$A$2:$C$70,3,FALSE)</f>
        <v>Cash</v>
      </c>
      <c r="J4566" s="5">
        <f>VLOOKUP(F4566,'Set up'!$A$2:$D$70,4,FALSE)</f>
        <v>0</v>
      </c>
      <c r="K4566" s="4">
        <f t="shared" si="1076"/>
        <v>45954</v>
      </c>
      <c r="L4566" s="5">
        <f t="shared" si="1077"/>
        <v>10</v>
      </c>
      <c r="M4566" s="5">
        <f t="shared" si="1078"/>
        <v>2025</v>
      </c>
      <c r="N4566" s="156">
        <v>1836</v>
      </c>
      <c r="P4566" s="12"/>
      <c r="Q4566" s="7">
        <f t="shared" si="1079"/>
        <v>7623882.7500000084</v>
      </c>
      <c r="R4566" s="44" t="str">
        <f>VLOOKUP(F4566,'Set up'!$A$2:$E$70,5,FALSE)</f>
        <v>Cash</v>
      </c>
    </row>
    <row r="4567" spans="1:18" ht="16.2" customHeight="1" x14ac:dyDescent="0.3">
      <c r="A4567" s="150" t="s">
        <v>4260</v>
      </c>
      <c r="B4567" s="5">
        <f t="shared" si="1074"/>
        <v>10</v>
      </c>
      <c r="C4567" s="5">
        <f t="shared" si="1075"/>
        <v>2025</v>
      </c>
      <c r="D4567" s="150" t="s">
        <v>4237</v>
      </c>
      <c r="E4567" s="5" t="str">
        <f>VLOOKUP(F4567,'Set up'!$A$2:$C$70,2,FALSE)</f>
        <v>C00000063</v>
      </c>
      <c r="F4567" s="151" t="s">
        <v>4198</v>
      </c>
      <c r="G4567" s="151" t="s">
        <v>4202</v>
      </c>
      <c r="H4567" s="150">
        <v>2</v>
      </c>
      <c r="I4567" s="5" t="str">
        <f>VLOOKUP(F4567,'Set up'!$A$2:$C$70,3,FALSE)</f>
        <v>Cash</v>
      </c>
      <c r="J4567" s="5">
        <f>VLOOKUP(F4567,'Set up'!$A$2:$D$70,4,FALSE)</f>
        <v>0</v>
      </c>
      <c r="K4567" s="4">
        <f t="shared" si="1076"/>
        <v>45954</v>
      </c>
      <c r="L4567" s="5">
        <f t="shared" si="1077"/>
        <v>10</v>
      </c>
      <c r="M4567" s="5">
        <f t="shared" si="1078"/>
        <v>2025</v>
      </c>
      <c r="N4567" s="156">
        <v>734.4</v>
      </c>
      <c r="P4567" s="12"/>
      <c r="Q4567" s="7">
        <f t="shared" si="1079"/>
        <v>7624617.1500000088</v>
      </c>
      <c r="R4567" s="44" t="str">
        <f>VLOOKUP(F4567,'Set up'!$A$2:$E$70,5,FALSE)</f>
        <v>Cash</v>
      </c>
    </row>
    <row r="4568" spans="1:18" ht="16.2" customHeight="1" x14ac:dyDescent="0.3">
      <c r="A4568" s="150" t="s">
        <v>4260</v>
      </c>
      <c r="B4568" s="5">
        <f t="shared" si="1074"/>
        <v>10</v>
      </c>
      <c r="C4568" s="5">
        <f t="shared" si="1075"/>
        <v>2025</v>
      </c>
      <c r="D4568" s="150" t="s">
        <v>4237</v>
      </c>
      <c r="E4568" s="5" t="str">
        <f>VLOOKUP(F4568,'Set up'!$A$2:$C$70,2,FALSE)</f>
        <v>C00000063</v>
      </c>
      <c r="F4568" s="151" t="s">
        <v>4198</v>
      </c>
      <c r="G4568" s="151" t="s">
        <v>3513</v>
      </c>
      <c r="H4568" s="150">
        <v>1</v>
      </c>
      <c r="I4568" s="5" t="str">
        <f>VLOOKUP(F4568,'Set up'!$A$2:$C$70,3,FALSE)</f>
        <v>Cash</v>
      </c>
      <c r="J4568" s="5">
        <f>VLOOKUP(F4568,'Set up'!$A$2:$D$70,4,FALSE)</f>
        <v>0</v>
      </c>
      <c r="K4568" s="4">
        <f t="shared" si="1076"/>
        <v>45954</v>
      </c>
      <c r="L4568" s="5">
        <f t="shared" si="1077"/>
        <v>10</v>
      </c>
      <c r="M4568" s="5">
        <f t="shared" si="1078"/>
        <v>2025</v>
      </c>
      <c r="N4568" s="156">
        <v>420</v>
      </c>
      <c r="P4568" s="12"/>
      <c r="Q4568" s="7">
        <f t="shared" si="1079"/>
        <v>7625037.1500000088</v>
      </c>
      <c r="R4568" s="44" t="str">
        <f>VLOOKUP(F4568,'Set up'!$A$2:$E$70,5,FALSE)</f>
        <v>Cash</v>
      </c>
    </row>
    <row r="4569" spans="1:18" ht="16.2" customHeight="1" x14ac:dyDescent="0.3">
      <c r="A4569" s="150" t="s">
        <v>4260</v>
      </c>
      <c r="B4569" s="5">
        <f t="shared" si="1074"/>
        <v>10</v>
      </c>
      <c r="C4569" s="5">
        <f t="shared" si="1075"/>
        <v>2025</v>
      </c>
      <c r="D4569" s="150" t="s">
        <v>4237</v>
      </c>
      <c r="E4569" s="5" t="str">
        <f>VLOOKUP(F4569,'Set up'!$A$2:$C$70,2,FALSE)</f>
        <v>C00000063</v>
      </c>
      <c r="F4569" s="151" t="s">
        <v>4198</v>
      </c>
      <c r="G4569" s="151" t="s">
        <v>3511</v>
      </c>
      <c r="H4569" s="150">
        <v>4</v>
      </c>
      <c r="I4569" s="5" t="str">
        <f>VLOOKUP(F4569,'Set up'!$A$2:$C$70,3,FALSE)</f>
        <v>Cash</v>
      </c>
      <c r="J4569" s="5">
        <f>VLOOKUP(F4569,'Set up'!$A$2:$D$70,4,FALSE)</f>
        <v>0</v>
      </c>
      <c r="K4569" s="4">
        <f t="shared" si="1076"/>
        <v>45954</v>
      </c>
      <c r="L4569" s="5">
        <f t="shared" si="1077"/>
        <v>10</v>
      </c>
      <c r="M4569" s="5">
        <f t="shared" si="1078"/>
        <v>2025</v>
      </c>
      <c r="N4569" s="156">
        <v>240</v>
      </c>
      <c r="P4569" s="12"/>
      <c r="Q4569" s="7">
        <f t="shared" si="1079"/>
        <v>7625277.1500000088</v>
      </c>
      <c r="R4569" s="44" t="str">
        <f>VLOOKUP(F4569,'Set up'!$A$2:$E$70,5,FALSE)</f>
        <v>Cash</v>
      </c>
    </row>
    <row r="4570" spans="1:18" ht="16.2" customHeight="1" x14ac:dyDescent="0.3">
      <c r="A4570" s="150" t="s">
        <v>4260</v>
      </c>
      <c r="B4570" s="5">
        <f t="shared" si="1074"/>
        <v>10</v>
      </c>
      <c r="C4570" s="5">
        <f t="shared" si="1075"/>
        <v>2025</v>
      </c>
      <c r="D4570" s="150" t="s">
        <v>4237</v>
      </c>
      <c r="E4570" s="5" t="str">
        <f>VLOOKUP(F4570,'Set up'!$A$2:$C$70,2,FALSE)</f>
        <v>C00000063</v>
      </c>
      <c r="F4570" s="151" t="s">
        <v>4198</v>
      </c>
      <c r="G4570" s="151" t="s">
        <v>1637</v>
      </c>
      <c r="H4570" s="150">
        <v>2</v>
      </c>
      <c r="I4570" s="5" t="str">
        <f>VLOOKUP(F4570,'Set up'!$A$2:$C$70,3,FALSE)</f>
        <v>Cash</v>
      </c>
      <c r="J4570" s="5">
        <f>VLOOKUP(F4570,'Set up'!$A$2:$D$70,4,FALSE)</f>
        <v>0</v>
      </c>
      <c r="K4570" s="4">
        <f t="shared" si="1076"/>
        <v>45954</v>
      </c>
      <c r="L4570" s="5">
        <f t="shared" si="1077"/>
        <v>10</v>
      </c>
      <c r="M4570" s="5">
        <f t="shared" si="1078"/>
        <v>2025</v>
      </c>
      <c r="N4570" s="156">
        <v>800</v>
      </c>
      <c r="P4570" s="12"/>
      <c r="Q4570" s="7">
        <f t="shared" si="1079"/>
        <v>7626077.1500000088</v>
      </c>
      <c r="R4570" s="44" t="str">
        <f>VLOOKUP(F4570,'Set up'!$A$2:$E$70,5,FALSE)</f>
        <v>Cash</v>
      </c>
    </row>
    <row r="4571" spans="1:18" ht="16.2" customHeight="1" x14ac:dyDescent="0.3">
      <c r="A4571" s="150" t="s">
        <v>4260</v>
      </c>
      <c r="B4571" s="5">
        <f t="shared" si="1074"/>
        <v>10</v>
      </c>
      <c r="C4571" s="5">
        <f t="shared" si="1075"/>
        <v>2025</v>
      </c>
      <c r="D4571" s="150" t="s">
        <v>4237</v>
      </c>
      <c r="E4571" s="5" t="str">
        <f>VLOOKUP(F4571,'Set up'!$A$2:$C$70,2,FALSE)</f>
        <v>C00000063</v>
      </c>
      <c r="F4571" s="151" t="s">
        <v>4198</v>
      </c>
      <c r="G4571" s="151" t="s">
        <v>1449</v>
      </c>
      <c r="H4571" s="150">
        <v>2</v>
      </c>
      <c r="I4571" s="5" t="str">
        <f>VLOOKUP(F4571,'Set up'!$A$2:$C$70,3,FALSE)</f>
        <v>Cash</v>
      </c>
      <c r="J4571" s="5">
        <f>VLOOKUP(F4571,'Set up'!$A$2:$D$70,4,FALSE)</f>
        <v>0</v>
      </c>
      <c r="K4571" s="4">
        <f t="shared" si="1076"/>
        <v>45954</v>
      </c>
      <c r="L4571" s="5">
        <f t="shared" si="1077"/>
        <v>10</v>
      </c>
      <c r="M4571" s="5">
        <f t="shared" si="1078"/>
        <v>2025</v>
      </c>
      <c r="N4571" s="156">
        <v>240</v>
      </c>
      <c r="P4571" s="12"/>
      <c r="Q4571" s="7">
        <f t="shared" si="1079"/>
        <v>7626317.1500000088</v>
      </c>
      <c r="R4571" s="44" t="str">
        <f>VLOOKUP(F4571,'Set up'!$A$2:$E$70,5,FALSE)</f>
        <v>Cash</v>
      </c>
    </row>
    <row r="4572" spans="1:18" ht="16.2" customHeight="1" x14ac:dyDescent="0.3">
      <c r="A4572" s="150" t="s">
        <v>4261</v>
      </c>
      <c r="B4572" s="5">
        <f t="shared" si="1074"/>
        <v>10</v>
      </c>
      <c r="C4572" s="5">
        <f t="shared" si="1075"/>
        <v>2025</v>
      </c>
      <c r="D4572" s="150" t="s">
        <v>4238</v>
      </c>
      <c r="E4572" s="5" t="e">
        <f>VLOOKUP(F4572,'Set up'!$A$2:$C$70,2,FALSE)</f>
        <v>#N/A</v>
      </c>
      <c r="F4572" s="151" t="s">
        <v>4266</v>
      </c>
      <c r="G4572" s="151" t="s">
        <v>4279</v>
      </c>
      <c r="H4572" s="150">
        <v>1</v>
      </c>
      <c r="I4572" s="5" t="e">
        <f>VLOOKUP(F4572,'Set up'!$A$2:$C$70,3,FALSE)</f>
        <v>#N/A</v>
      </c>
      <c r="J4572" s="5" t="e">
        <f>VLOOKUP(F4572,'Set up'!$A$2:$D$70,4,FALSE)</f>
        <v>#N/A</v>
      </c>
      <c r="K4572" s="4" t="e">
        <f t="shared" si="1076"/>
        <v>#N/A</v>
      </c>
      <c r="L4572" s="5" t="e">
        <f t="shared" si="1077"/>
        <v>#N/A</v>
      </c>
      <c r="M4572" s="5" t="e">
        <f t="shared" si="1078"/>
        <v>#N/A</v>
      </c>
      <c r="N4572" s="156">
        <v>270</v>
      </c>
      <c r="P4572" s="12"/>
      <c r="Q4572" s="7">
        <f t="shared" si="1079"/>
        <v>7626587.1500000088</v>
      </c>
      <c r="R4572" s="44" t="e">
        <f>VLOOKUP(F4572,'Set up'!$A$2:$E$70,5,FALSE)</f>
        <v>#N/A</v>
      </c>
    </row>
    <row r="4573" spans="1:18" ht="16.2" customHeight="1" x14ac:dyDescent="0.3">
      <c r="A4573" s="150" t="s">
        <v>4261</v>
      </c>
      <c r="B4573" s="5">
        <f t="shared" si="1074"/>
        <v>10</v>
      </c>
      <c r="C4573" s="5">
        <f t="shared" si="1075"/>
        <v>2025</v>
      </c>
      <c r="D4573" s="150" t="s">
        <v>4238</v>
      </c>
      <c r="E4573" s="5" t="e">
        <f>VLOOKUP(F4573,'Set up'!$A$2:$C$70,2,FALSE)</f>
        <v>#N/A</v>
      </c>
      <c r="F4573" s="151" t="s">
        <v>4266</v>
      </c>
      <c r="G4573" s="151" t="s">
        <v>1543</v>
      </c>
      <c r="H4573" s="150">
        <v>1</v>
      </c>
      <c r="I4573" s="5" t="e">
        <f>VLOOKUP(F4573,'Set up'!$A$2:$C$70,3,FALSE)</f>
        <v>#N/A</v>
      </c>
      <c r="J4573" s="5" t="e">
        <f>VLOOKUP(F4573,'Set up'!$A$2:$D$70,4,FALSE)</f>
        <v>#N/A</v>
      </c>
      <c r="K4573" s="4" t="e">
        <f t="shared" si="1076"/>
        <v>#N/A</v>
      </c>
      <c r="L4573" s="5" t="e">
        <f t="shared" si="1077"/>
        <v>#N/A</v>
      </c>
      <c r="M4573" s="5" t="e">
        <f t="shared" si="1078"/>
        <v>#N/A</v>
      </c>
      <c r="N4573" s="156">
        <v>219</v>
      </c>
      <c r="P4573" s="12"/>
      <c r="Q4573" s="7">
        <f t="shared" si="1079"/>
        <v>7626806.1500000088</v>
      </c>
      <c r="R4573" s="44" t="e">
        <f>VLOOKUP(F4573,'Set up'!$A$2:$E$70,5,FALSE)</f>
        <v>#N/A</v>
      </c>
    </row>
    <row r="4574" spans="1:18" ht="16.2" customHeight="1" x14ac:dyDescent="0.3">
      <c r="A4574" s="150" t="s">
        <v>4261</v>
      </c>
      <c r="B4574" s="5">
        <f t="shared" si="1074"/>
        <v>10</v>
      </c>
      <c r="C4574" s="5">
        <f t="shared" si="1075"/>
        <v>2025</v>
      </c>
      <c r="D4574" s="150" t="s">
        <v>4238</v>
      </c>
      <c r="E4574" s="5" t="e">
        <f>VLOOKUP(F4574,'Set up'!$A$2:$C$70,2,FALSE)</f>
        <v>#N/A</v>
      </c>
      <c r="F4574" s="151" t="s">
        <v>4266</v>
      </c>
      <c r="G4574" s="151" t="s">
        <v>17</v>
      </c>
      <c r="H4574" s="150">
        <v>1</v>
      </c>
      <c r="I4574" s="5" t="e">
        <f>VLOOKUP(F4574,'Set up'!$A$2:$C$70,3,FALSE)</f>
        <v>#N/A</v>
      </c>
      <c r="J4574" s="5" t="e">
        <f>VLOOKUP(F4574,'Set up'!$A$2:$D$70,4,FALSE)</f>
        <v>#N/A</v>
      </c>
      <c r="K4574" s="4" t="e">
        <f t="shared" si="1076"/>
        <v>#N/A</v>
      </c>
      <c r="L4574" s="5" t="e">
        <f t="shared" si="1077"/>
        <v>#N/A</v>
      </c>
      <c r="M4574" s="5" t="e">
        <f t="shared" si="1078"/>
        <v>#N/A</v>
      </c>
      <c r="N4574" s="156">
        <v>120</v>
      </c>
      <c r="P4574" s="12"/>
      <c r="Q4574" s="7">
        <f t="shared" si="1079"/>
        <v>7626926.1500000088</v>
      </c>
      <c r="R4574" s="44" t="e">
        <f>VLOOKUP(F4574,'Set up'!$A$2:$E$70,5,FALSE)</f>
        <v>#N/A</v>
      </c>
    </row>
    <row r="4575" spans="1:18" ht="16.2" customHeight="1" x14ac:dyDescent="0.3">
      <c r="A4575" s="150" t="s">
        <v>4262</v>
      </c>
      <c r="B4575" s="5">
        <f t="shared" si="1074"/>
        <v>10</v>
      </c>
      <c r="C4575" s="5">
        <f t="shared" si="1075"/>
        <v>2025</v>
      </c>
      <c r="D4575" s="150" t="s">
        <v>4239</v>
      </c>
      <c r="E4575" s="5" t="str">
        <f>VLOOKUP(F4575,'Set up'!$A$2:$C$70,2,FALSE)</f>
        <v>C00000044</v>
      </c>
      <c r="F4575" s="151" t="s">
        <v>2929</v>
      </c>
      <c r="G4575" s="151" t="s">
        <v>3122</v>
      </c>
      <c r="H4575" s="150">
        <v>1</v>
      </c>
      <c r="I4575" s="5" t="str">
        <f>VLOOKUP(F4575,'Set up'!$A$2:$C$70,3,FALSE)</f>
        <v>Cash</v>
      </c>
      <c r="J4575" s="5">
        <f>VLOOKUP(F4575,'Set up'!$A$2:$D$70,4,FALSE)</f>
        <v>0</v>
      </c>
      <c r="K4575" s="4">
        <f t="shared" si="1076"/>
        <v>45957</v>
      </c>
      <c r="L4575" s="5">
        <f t="shared" si="1077"/>
        <v>10</v>
      </c>
      <c r="M4575" s="5">
        <f t="shared" si="1078"/>
        <v>2025</v>
      </c>
      <c r="N4575" s="156">
        <v>1687.5</v>
      </c>
      <c r="P4575" s="12"/>
      <c r="Q4575" s="7">
        <f t="shared" si="1079"/>
        <v>7628613.6500000088</v>
      </c>
      <c r="R4575" s="44" t="str">
        <f>VLOOKUP(F4575,'Set up'!$A$2:$E$70,5,FALSE)</f>
        <v>Cash</v>
      </c>
    </row>
    <row r="4576" spans="1:18" ht="16.2" customHeight="1" x14ac:dyDescent="0.3">
      <c r="A4576" s="150" t="s">
        <v>4262</v>
      </c>
      <c r="B4576" s="5">
        <f t="shared" si="1074"/>
        <v>10</v>
      </c>
      <c r="C4576" s="5">
        <f t="shared" si="1075"/>
        <v>2025</v>
      </c>
      <c r="D4576" s="150" t="s">
        <v>4239</v>
      </c>
      <c r="E4576" s="5" t="str">
        <f>VLOOKUP(F4576,'Set up'!$A$2:$C$70,2,FALSE)</f>
        <v>C00000044</v>
      </c>
      <c r="F4576" s="151" t="s">
        <v>2929</v>
      </c>
      <c r="G4576" s="151" t="s">
        <v>2570</v>
      </c>
      <c r="H4576" s="150">
        <v>2</v>
      </c>
      <c r="I4576" s="5" t="str">
        <f>VLOOKUP(F4576,'Set up'!$A$2:$C$70,3,FALSE)</f>
        <v>Cash</v>
      </c>
      <c r="J4576" s="5">
        <f>VLOOKUP(F4576,'Set up'!$A$2:$D$70,4,FALSE)</f>
        <v>0</v>
      </c>
      <c r="K4576" s="4">
        <f t="shared" si="1076"/>
        <v>45957</v>
      </c>
      <c r="L4576" s="5">
        <f t="shared" si="1077"/>
        <v>10</v>
      </c>
      <c r="M4576" s="5">
        <f t="shared" si="1078"/>
        <v>2025</v>
      </c>
      <c r="N4576" s="156">
        <v>432</v>
      </c>
      <c r="P4576" s="12"/>
      <c r="Q4576" s="7">
        <f t="shared" si="1079"/>
        <v>7629045.6500000088</v>
      </c>
      <c r="R4576" s="44" t="str">
        <f>VLOOKUP(F4576,'Set up'!$A$2:$E$70,5,FALSE)</f>
        <v>Cash</v>
      </c>
    </row>
    <row r="4577" spans="1:18" ht="16.2" customHeight="1" x14ac:dyDescent="0.3">
      <c r="A4577" s="150" t="s">
        <v>4262</v>
      </c>
      <c r="B4577" s="5">
        <f t="shared" si="1074"/>
        <v>10</v>
      </c>
      <c r="C4577" s="5">
        <f t="shared" si="1075"/>
        <v>2025</v>
      </c>
      <c r="D4577" s="150" t="s">
        <v>4239</v>
      </c>
      <c r="E4577" s="5" t="str">
        <f>VLOOKUP(F4577,'Set up'!$A$2:$C$70,2,FALSE)</f>
        <v>C00000044</v>
      </c>
      <c r="F4577" s="151" t="s">
        <v>2929</v>
      </c>
      <c r="G4577" s="151" t="s">
        <v>3255</v>
      </c>
      <c r="H4577" s="150">
        <v>5</v>
      </c>
      <c r="I4577" s="5" t="str">
        <f>VLOOKUP(F4577,'Set up'!$A$2:$C$70,3,FALSE)</f>
        <v>Cash</v>
      </c>
      <c r="J4577" s="5">
        <f>VLOOKUP(F4577,'Set up'!$A$2:$D$70,4,FALSE)</f>
        <v>0</v>
      </c>
      <c r="K4577" s="4">
        <f t="shared" si="1076"/>
        <v>45957</v>
      </c>
      <c r="L4577" s="5">
        <f t="shared" si="1077"/>
        <v>10</v>
      </c>
      <c r="M4577" s="5">
        <f t="shared" si="1078"/>
        <v>2025</v>
      </c>
      <c r="N4577" s="156">
        <v>875</v>
      </c>
      <c r="P4577" s="12"/>
      <c r="Q4577" s="7">
        <f t="shared" si="1079"/>
        <v>7629920.6500000088</v>
      </c>
      <c r="R4577" s="44" t="str">
        <f>VLOOKUP(F4577,'Set up'!$A$2:$E$70,5,FALSE)</f>
        <v>Cash</v>
      </c>
    </row>
    <row r="4578" spans="1:18" ht="16.2" customHeight="1" x14ac:dyDescent="0.3">
      <c r="A4578" s="150" t="s">
        <v>4262</v>
      </c>
      <c r="B4578" s="5">
        <f t="shared" si="1074"/>
        <v>10</v>
      </c>
      <c r="C4578" s="5">
        <f t="shared" si="1075"/>
        <v>2025</v>
      </c>
      <c r="D4578" s="150" t="s">
        <v>4240</v>
      </c>
      <c r="E4578" s="5" t="str">
        <f>VLOOKUP(F4578,'Set up'!$A$2:$C$70,2,FALSE)</f>
        <v>C00000049</v>
      </c>
      <c r="F4578" s="151" t="s">
        <v>2728</v>
      </c>
      <c r="G4578" s="151" t="s">
        <v>4280</v>
      </c>
      <c r="H4578" s="150">
        <v>1</v>
      </c>
      <c r="I4578" s="5" t="str">
        <f>VLOOKUP(F4578,'Set up'!$A$2:$C$70,3,FALSE)</f>
        <v>Cash</v>
      </c>
      <c r="J4578" s="5">
        <f>VLOOKUP(F4578,'Set up'!$A$2:$D$70,4,FALSE)</f>
        <v>0</v>
      </c>
      <c r="K4578" s="4">
        <f t="shared" si="1076"/>
        <v>45957</v>
      </c>
      <c r="L4578" s="5">
        <f t="shared" si="1077"/>
        <v>10</v>
      </c>
      <c r="M4578" s="5">
        <f t="shared" si="1078"/>
        <v>2025</v>
      </c>
      <c r="N4578" s="156">
        <v>240</v>
      </c>
      <c r="P4578" s="12"/>
      <c r="Q4578" s="7">
        <f t="shared" si="1079"/>
        <v>7630160.6500000088</v>
      </c>
      <c r="R4578" s="44" t="str">
        <f>VLOOKUP(F4578,'Set up'!$A$2:$E$70,5,FALSE)</f>
        <v>Cash</v>
      </c>
    </row>
    <row r="4579" spans="1:18" ht="16.2" customHeight="1" x14ac:dyDescent="0.3">
      <c r="A4579" s="150" t="s">
        <v>4262</v>
      </c>
      <c r="B4579" s="5">
        <f t="shared" si="1074"/>
        <v>10</v>
      </c>
      <c r="C4579" s="5">
        <f t="shared" si="1075"/>
        <v>2025</v>
      </c>
      <c r="D4579" s="150" t="s">
        <v>4240</v>
      </c>
      <c r="E4579" s="5" t="str">
        <f>VLOOKUP(F4579,'Set up'!$A$2:$C$70,2,FALSE)</f>
        <v>C00000049</v>
      </c>
      <c r="F4579" s="151" t="s">
        <v>2728</v>
      </c>
      <c r="G4579" s="151" t="s">
        <v>4281</v>
      </c>
      <c r="H4579" s="150">
        <v>1</v>
      </c>
      <c r="I4579" s="5" t="str">
        <f>VLOOKUP(F4579,'Set up'!$A$2:$C$70,3,FALSE)</f>
        <v>Cash</v>
      </c>
      <c r="J4579" s="5">
        <f>VLOOKUP(F4579,'Set up'!$A$2:$D$70,4,FALSE)</f>
        <v>0</v>
      </c>
      <c r="K4579" s="4">
        <f t="shared" si="1076"/>
        <v>45957</v>
      </c>
      <c r="L4579" s="5">
        <f t="shared" si="1077"/>
        <v>10</v>
      </c>
      <c r="M4579" s="5">
        <f t="shared" si="1078"/>
        <v>2025</v>
      </c>
      <c r="N4579" s="156">
        <v>35</v>
      </c>
      <c r="P4579" s="12"/>
      <c r="Q4579" s="7">
        <f t="shared" si="1079"/>
        <v>7630195.6500000088</v>
      </c>
      <c r="R4579" s="44" t="str">
        <f>VLOOKUP(F4579,'Set up'!$A$2:$E$70,5,FALSE)</f>
        <v>Cash</v>
      </c>
    </row>
    <row r="4580" spans="1:18" ht="16.2" customHeight="1" x14ac:dyDescent="0.3">
      <c r="A4580" s="150" t="s">
        <v>4262</v>
      </c>
      <c r="B4580" s="5">
        <f t="shared" si="1074"/>
        <v>10</v>
      </c>
      <c r="C4580" s="5">
        <f t="shared" si="1075"/>
        <v>2025</v>
      </c>
      <c r="D4580" s="150" t="s">
        <v>4240</v>
      </c>
      <c r="E4580" s="5" t="str">
        <f>VLOOKUP(F4580,'Set up'!$A$2:$C$70,2,FALSE)</f>
        <v>C00000049</v>
      </c>
      <c r="F4580" s="151" t="s">
        <v>2728</v>
      </c>
      <c r="G4580" s="151" t="s">
        <v>4282</v>
      </c>
      <c r="H4580" s="150">
        <v>1</v>
      </c>
      <c r="I4580" s="5" t="str">
        <f>VLOOKUP(F4580,'Set up'!$A$2:$C$70,3,FALSE)</f>
        <v>Cash</v>
      </c>
      <c r="J4580" s="5">
        <f>VLOOKUP(F4580,'Set up'!$A$2:$D$70,4,FALSE)</f>
        <v>0</v>
      </c>
      <c r="K4580" s="4">
        <f t="shared" si="1076"/>
        <v>45957</v>
      </c>
      <c r="L4580" s="5">
        <f t="shared" si="1077"/>
        <v>10</v>
      </c>
      <c r="M4580" s="5">
        <f t="shared" si="1078"/>
        <v>2025</v>
      </c>
      <c r="N4580" s="156">
        <v>35</v>
      </c>
      <c r="P4580" s="12"/>
      <c r="Q4580" s="7">
        <f t="shared" si="1079"/>
        <v>7630230.6500000088</v>
      </c>
      <c r="R4580" s="44" t="str">
        <f>VLOOKUP(F4580,'Set up'!$A$2:$E$70,5,FALSE)</f>
        <v>Cash</v>
      </c>
    </row>
    <row r="4581" spans="1:18" ht="16.2" customHeight="1" x14ac:dyDescent="0.3">
      <c r="A4581" s="150" t="s">
        <v>4263</v>
      </c>
      <c r="B4581" s="5">
        <f t="shared" si="1074"/>
        <v>10</v>
      </c>
      <c r="C4581" s="5">
        <f t="shared" si="1075"/>
        <v>2025</v>
      </c>
      <c r="D4581" s="150" t="s">
        <v>4241</v>
      </c>
      <c r="E4581" s="5" t="str">
        <f>VLOOKUP(F4581,'Set up'!$A$2:$C$70,2,FALSE)</f>
        <v>C00000061</v>
      </c>
      <c r="F4581" s="151" t="s">
        <v>3532</v>
      </c>
      <c r="G4581" s="151" t="s">
        <v>3122</v>
      </c>
      <c r="H4581" s="150">
        <v>5</v>
      </c>
      <c r="I4581" s="5" t="str">
        <f>VLOOKUP(F4581,'Set up'!$A$2:$C$70,3,FALSE)</f>
        <v>Cash</v>
      </c>
      <c r="J4581" s="5">
        <f>VLOOKUP(F4581,'Set up'!$A$2:$D$70,4,FALSE)</f>
        <v>0</v>
      </c>
      <c r="K4581" s="4">
        <f t="shared" si="1076"/>
        <v>45959</v>
      </c>
      <c r="L4581" s="5">
        <f t="shared" si="1077"/>
        <v>10</v>
      </c>
      <c r="M4581" s="5">
        <f t="shared" si="1078"/>
        <v>2025</v>
      </c>
      <c r="N4581" s="156">
        <v>7875</v>
      </c>
      <c r="P4581" s="12"/>
      <c r="Q4581" s="7">
        <f t="shared" si="1079"/>
        <v>7638105.6500000088</v>
      </c>
      <c r="R4581" s="44" t="str">
        <f>VLOOKUP(F4581,'Set up'!$A$2:$E$70,5,FALSE)</f>
        <v>Cash</v>
      </c>
    </row>
    <row r="4582" spans="1:18" ht="16.2" customHeight="1" x14ac:dyDescent="0.3">
      <c r="A4582" s="150" t="s">
        <v>4263</v>
      </c>
      <c r="B4582" s="5">
        <f t="shared" si="1074"/>
        <v>10</v>
      </c>
      <c r="C4582" s="5">
        <f t="shared" si="1075"/>
        <v>2025</v>
      </c>
      <c r="D4582" s="150" t="s">
        <v>4241</v>
      </c>
      <c r="E4582" s="5" t="str">
        <f>VLOOKUP(F4582,'Set up'!$A$2:$C$70,2,FALSE)</f>
        <v>C00000061</v>
      </c>
      <c r="F4582" s="151" t="s">
        <v>3532</v>
      </c>
      <c r="G4582" s="151" t="s">
        <v>2141</v>
      </c>
      <c r="H4582" s="150">
        <v>1</v>
      </c>
      <c r="I4582" s="5" t="str">
        <f>VLOOKUP(F4582,'Set up'!$A$2:$C$70,3,FALSE)</f>
        <v>Cash</v>
      </c>
      <c r="J4582" s="5">
        <f>VLOOKUP(F4582,'Set up'!$A$2:$D$70,4,FALSE)</f>
        <v>0</v>
      </c>
      <c r="K4582" s="4">
        <f t="shared" si="1076"/>
        <v>45959</v>
      </c>
      <c r="L4582" s="5">
        <f t="shared" si="1077"/>
        <v>10</v>
      </c>
      <c r="M4582" s="5">
        <f t="shared" si="1078"/>
        <v>2025</v>
      </c>
      <c r="N4582" s="156">
        <v>329.4</v>
      </c>
      <c r="P4582" s="12"/>
      <c r="Q4582" s="7">
        <f t="shared" si="1079"/>
        <v>7638435.0500000091</v>
      </c>
      <c r="R4582" s="44" t="str">
        <f>VLOOKUP(F4582,'Set up'!$A$2:$E$70,5,FALSE)</f>
        <v>Cash</v>
      </c>
    </row>
    <row r="4583" spans="1:18" ht="16.2" customHeight="1" x14ac:dyDescent="0.3">
      <c r="A4583" s="150" t="s">
        <v>4263</v>
      </c>
      <c r="B4583" s="5">
        <f t="shared" si="1074"/>
        <v>10</v>
      </c>
      <c r="C4583" s="5">
        <f t="shared" si="1075"/>
        <v>2025</v>
      </c>
      <c r="D4583" s="150" t="s">
        <v>4241</v>
      </c>
      <c r="E4583" s="5" t="str">
        <f>VLOOKUP(F4583,'Set up'!$A$2:$C$70,2,FALSE)</f>
        <v>C00000061</v>
      </c>
      <c r="F4583" s="151" t="s">
        <v>3532</v>
      </c>
      <c r="G4583" s="151" t="s">
        <v>46</v>
      </c>
      <c r="H4583" s="150">
        <v>5</v>
      </c>
      <c r="I4583" s="5" t="str">
        <f>VLOOKUP(F4583,'Set up'!$A$2:$C$70,3,FALSE)</f>
        <v>Cash</v>
      </c>
      <c r="J4583" s="5">
        <f>VLOOKUP(F4583,'Set up'!$A$2:$D$70,4,FALSE)</f>
        <v>0</v>
      </c>
      <c r="K4583" s="4">
        <f t="shared" si="1076"/>
        <v>45959</v>
      </c>
      <c r="L4583" s="5">
        <f t="shared" si="1077"/>
        <v>10</v>
      </c>
      <c r="M4583" s="5">
        <f t="shared" si="1078"/>
        <v>2025</v>
      </c>
      <c r="N4583" s="156">
        <v>575</v>
      </c>
      <c r="P4583" s="12"/>
      <c r="Q4583" s="7">
        <f t="shared" si="1079"/>
        <v>7639010.0500000091</v>
      </c>
      <c r="R4583" s="44" t="str">
        <f>VLOOKUP(F4583,'Set up'!$A$2:$E$70,5,FALSE)</f>
        <v>Cash</v>
      </c>
    </row>
    <row r="4584" spans="1:18" ht="16.2" customHeight="1" x14ac:dyDescent="0.3">
      <c r="A4584" s="150" t="s">
        <v>4263</v>
      </c>
      <c r="B4584" s="5">
        <f t="shared" si="1074"/>
        <v>10</v>
      </c>
      <c r="C4584" s="5">
        <f t="shared" si="1075"/>
        <v>2025</v>
      </c>
      <c r="D4584" s="150" t="s">
        <v>4242</v>
      </c>
      <c r="E4584" s="5" t="str">
        <f>VLOOKUP(F4584,'Set up'!$A$2:$C$70,2,FALSE)</f>
        <v>C00000019</v>
      </c>
      <c r="F4584" s="151" t="s">
        <v>400</v>
      </c>
      <c r="G4584" s="151" t="s">
        <v>2635</v>
      </c>
      <c r="H4584" s="150">
        <v>3</v>
      </c>
      <c r="I4584" s="5" t="str">
        <f>VLOOKUP(F4584,'Set up'!$A$2:$C$70,3,FALSE)</f>
        <v>Cash</v>
      </c>
      <c r="J4584" s="5">
        <f>VLOOKUP(F4584,'Set up'!$A$2:$D$70,4,FALSE)</f>
        <v>0</v>
      </c>
      <c r="K4584" s="4">
        <f t="shared" si="1076"/>
        <v>45959</v>
      </c>
      <c r="L4584" s="5">
        <f t="shared" si="1077"/>
        <v>10</v>
      </c>
      <c r="M4584" s="5">
        <f t="shared" si="1078"/>
        <v>2025</v>
      </c>
      <c r="N4584" s="156">
        <v>187.5</v>
      </c>
      <c r="P4584" s="12"/>
      <c r="Q4584" s="7">
        <f t="shared" si="1079"/>
        <v>7639197.5500000091</v>
      </c>
      <c r="R4584" s="44" t="str">
        <f>VLOOKUP(F4584,'Set up'!$A$2:$E$70,5,FALSE)</f>
        <v>Trsf</v>
      </c>
    </row>
    <row r="4585" spans="1:18" ht="16.2" customHeight="1" x14ac:dyDescent="0.3">
      <c r="A4585" s="150" t="s">
        <v>4263</v>
      </c>
      <c r="B4585" s="5">
        <f t="shared" si="1074"/>
        <v>10</v>
      </c>
      <c r="C4585" s="5">
        <f t="shared" si="1075"/>
        <v>2025</v>
      </c>
      <c r="D4585" s="150" t="s">
        <v>4242</v>
      </c>
      <c r="E4585" s="5" t="str">
        <f>VLOOKUP(F4585,'Set up'!$A$2:$C$70,2,FALSE)</f>
        <v>C00000019</v>
      </c>
      <c r="F4585" s="151" t="s">
        <v>400</v>
      </c>
      <c r="G4585" s="151" t="s">
        <v>945</v>
      </c>
      <c r="H4585" s="150">
        <v>1</v>
      </c>
      <c r="I4585" s="5" t="str">
        <f>VLOOKUP(F4585,'Set up'!$A$2:$C$70,3,FALSE)</f>
        <v>Cash</v>
      </c>
      <c r="J4585" s="5">
        <f>VLOOKUP(F4585,'Set up'!$A$2:$D$70,4,FALSE)</f>
        <v>0</v>
      </c>
      <c r="K4585" s="4">
        <f t="shared" si="1076"/>
        <v>45959</v>
      </c>
      <c r="L4585" s="5">
        <f t="shared" si="1077"/>
        <v>10</v>
      </c>
      <c r="M4585" s="5">
        <f t="shared" si="1078"/>
        <v>2025</v>
      </c>
      <c r="N4585" s="156">
        <v>115</v>
      </c>
      <c r="P4585" s="12"/>
      <c r="Q4585" s="7">
        <f t="shared" si="1079"/>
        <v>7639312.5500000091</v>
      </c>
      <c r="R4585" s="44" t="str">
        <f>VLOOKUP(F4585,'Set up'!$A$2:$E$70,5,FALSE)</f>
        <v>Trsf</v>
      </c>
    </row>
    <row r="4586" spans="1:18" ht="16.2" customHeight="1" x14ac:dyDescent="0.3">
      <c r="A4586" s="150" t="s">
        <v>4263</v>
      </c>
      <c r="B4586" s="5">
        <f t="shared" si="1074"/>
        <v>10</v>
      </c>
      <c r="C4586" s="5">
        <f t="shared" si="1075"/>
        <v>2025</v>
      </c>
      <c r="D4586" s="150" t="s">
        <v>4242</v>
      </c>
      <c r="E4586" s="5" t="str">
        <f>VLOOKUP(F4586,'Set up'!$A$2:$C$70,2,FALSE)</f>
        <v>C00000019</v>
      </c>
      <c r="F4586" s="151" t="s">
        <v>400</v>
      </c>
      <c r="G4586" s="151" t="s">
        <v>1469</v>
      </c>
      <c r="H4586" s="150">
        <v>1</v>
      </c>
      <c r="I4586" s="5" t="str">
        <f>VLOOKUP(F4586,'Set up'!$A$2:$C$70,3,FALSE)</f>
        <v>Cash</v>
      </c>
      <c r="J4586" s="5">
        <f>VLOOKUP(F4586,'Set up'!$A$2:$D$70,4,FALSE)</f>
        <v>0</v>
      </c>
      <c r="K4586" s="4">
        <f t="shared" si="1076"/>
        <v>45959</v>
      </c>
      <c r="L4586" s="5">
        <f t="shared" si="1077"/>
        <v>10</v>
      </c>
      <c r="M4586" s="5">
        <f t="shared" si="1078"/>
        <v>2025</v>
      </c>
      <c r="N4586" s="156">
        <v>390</v>
      </c>
      <c r="P4586" s="12"/>
      <c r="Q4586" s="7">
        <f t="shared" si="1079"/>
        <v>7639702.5500000091</v>
      </c>
      <c r="R4586" s="44" t="str">
        <f>VLOOKUP(F4586,'Set up'!$A$2:$E$70,5,FALSE)</f>
        <v>Trsf</v>
      </c>
    </row>
    <row r="4587" spans="1:18" ht="16.2" customHeight="1" x14ac:dyDescent="0.3">
      <c r="A4587" s="150" t="s">
        <v>4264</v>
      </c>
      <c r="B4587" s="5">
        <f t="shared" si="1074"/>
        <v>10</v>
      </c>
      <c r="C4587" s="5">
        <f t="shared" si="1075"/>
        <v>2025</v>
      </c>
      <c r="D4587" s="150" t="s">
        <v>4243</v>
      </c>
      <c r="E4587" s="5" t="e">
        <f>VLOOKUP(F4587,'Set up'!$A$2:$C$70,2,FALSE)</f>
        <v>#N/A</v>
      </c>
      <c r="F4587" s="151" t="s">
        <v>4130</v>
      </c>
      <c r="G4587" s="151" t="s">
        <v>3122</v>
      </c>
      <c r="H4587" s="150">
        <v>1</v>
      </c>
      <c r="I4587" s="5" t="e">
        <f>VLOOKUP(F4587,'Set up'!$A$2:$C$70,3,FALSE)</f>
        <v>#N/A</v>
      </c>
      <c r="J4587" s="5" t="e">
        <f>VLOOKUP(F4587,'Set up'!$A$2:$D$70,4,FALSE)</f>
        <v>#N/A</v>
      </c>
      <c r="K4587" s="4" t="e">
        <f t="shared" si="1076"/>
        <v>#N/A</v>
      </c>
      <c r="L4587" s="5" t="e">
        <f t="shared" si="1077"/>
        <v>#N/A</v>
      </c>
      <c r="M4587" s="5" t="e">
        <f t="shared" si="1078"/>
        <v>#N/A</v>
      </c>
      <c r="N4587" s="156">
        <v>1687.5</v>
      </c>
      <c r="P4587" s="12"/>
      <c r="Q4587" s="7">
        <f t="shared" si="1079"/>
        <v>7641390.0500000091</v>
      </c>
      <c r="R4587" s="44" t="e">
        <f>VLOOKUP(F4587,'Set up'!$A$2:$E$70,5,FALSE)</f>
        <v>#N/A</v>
      </c>
    </row>
    <row r="4588" spans="1:18" ht="16.2" customHeight="1" x14ac:dyDescent="0.3">
      <c r="A4588" s="150" t="s">
        <v>4264</v>
      </c>
      <c r="B4588" s="5">
        <f t="shared" si="1074"/>
        <v>10</v>
      </c>
      <c r="C4588" s="5">
        <f t="shared" si="1075"/>
        <v>2025</v>
      </c>
      <c r="D4588" s="150" t="s">
        <v>4243</v>
      </c>
      <c r="E4588" s="5" t="e">
        <f>VLOOKUP(F4588,'Set up'!$A$2:$C$70,2,FALSE)</f>
        <v>#N/A</v>
      </c>
      <c r="F4588" s="151" t="s">
        <v>4130</v>
      </c>
      <c r="G4588" s="151" t="s">
        <v>707</v>
      </c>
      <c r="H4588" s="150">
        <v>1</v>
      </c>
      <c r="I4588" s="5" t="e">
        <f>VLOOKUP(F4588,'Set up'!$A$2:$C$70,3,FALSE)</f>
        <v>#N/A</v>
      </c>
      <c r="J4588" s="5" t="e">
        <f>VLOOKUP(F4588,'Set up'!$A$2:$D$70,4,FALSE)</f>
        <v>#N/A</v>
      </c>
      <c r="K4588" s="4" t="e">
        <f t="shared" si="1076"/>
        <v>#N/A</v>
      </c>
      <c r="L4588" s="5" t="e">
        <f t="shared" si="1077"/>
        <v>#N/A</v>
      </c>
      <c r="M4588" s="5" t="e">
        <f t="shared" si="1078"/>
        <v>#N/A</v>
      </c>
      <c r="N4588" s="156">
        <v>394.2</v>
      </c>
      <c r="P4588" s="12"/>
      <c r="Q4588" s="7">
        <f t="shared" si="1079"/>
        <v>7641784.2500000093</v>
      </c>
      <c r="R4588" s="44" t="e">
        <f>VLOOKUP(F4588,'Set up'!$A$2:$E$70,5,FALSE)</f>
        <v>#N/A</v>
      </c>
    </row>
    <row r="4589" spans="1:18" ht="16.2" customHeight="1" x14ac:dyDescent="0.3">
      <c r="A4589" s="150" t="s">
        <v>4264</v>
      </c>
      <c r="B4589" s="5">
        <f t="shared" si="1074"/>
        <v>10</v>
      </c>
      <c r="C4589" s="5">
        <f t="shared" si="1075"/>
        <v>2025</v>
      </c>
      <c r="D4589" s="150" t="s">
        <v>4243</v>
      </c>
      <c r="E4589" s="5" t="e">
        <f>VLOOKUP(F4589,'Set up'!$A$2:$C$70,2,FALSE)</f>
        <v>#N/A</v>
      </c>
      <c r="F4589" s="151" t="s">
        <v>4130</v>
      </c>
      <c r="G4589" s="151" t="s">
        <v>2556</v>
      </c>
      <c r="H4589" s="150">
        <v>1</v>
      </c>
      <c r="I4589" s="5" t="e">
        <f>VLOOKUP(F4589,'Set up'!$A$2:$C$70,3,FALSE)</f>
        <v>#N/A</v>
      </c>
      <c r="J4589" s="5" t="e">
        <f>VLOOKUP(F4589,'Set up'!$A$2:$D$70,4,FALSE)</f>
        <v>#N/A</v>
      </c>
      <c r="K4589" s="4" t="e">
        <f t="shared" si="1076"/>
        <v>#N/A</v>
      </c>
      <c r="L4589" s="5" t="e">
        <f t="shared" si="1077"/>
        <v>#N/A</v>
      </c>
      <c r="M4589" s="5" t="e">
        <f t="shared" si="1078"/>
        <v>#N/A</v>
      </c>
      <c r="N4589" s="156">
        <v>394.2</v>
      </c>
      <c r="P4589" s="12"/>
      <c r="Q4589" s="7">
        <f t="shared" si="1079"/>
        <v>7642178.4500000095</v>
      </c>
      <c r="R4589" s="44" t="e">
        <f>VLOOKUP(F4589,'Set up'!$A$2:$E$70,5,FALSE)</f>
        <v>#N/A</v>
      </c>
    </row>
    <row r="4590" spans="1:18" ht="16.2" customHeight="1" x14ac:dyDescent="0.3">
      <c r="A4590" s="150" t="s">
        <v>4264</v>
      </c>
      <c r="B4590" s="5">
        <f t="shared" si="1074"/>
        <v>10</v>
      </c>
      <c r="C4590" s="5">
        <f t="shared" si="1075"/>
        <v>2025</v>
      </c>
      <c r="D4590" s="150" t="s">
        <v>4243</v>
      </c>
      <c r="E4590" s="5" t="e">
        <f>VLOOKUP(F4590,'Set up'!$A$2:$C$70,2,FALSE)</f>
        <v>#N/A</v>
      </c>
      <c r="F4590" s="151" t="s">
        <v>4130</v>
      </c>
      <c r="G4590" s="151" t="s">
        <v>4204</v>
      </c>
      <c r="H4590" s="150">
        <v>2</v>
      </c>
      <c r="I4590" s="5" t="e">
        <f>VLOOKUP(F4590,'Set up'!$A$2:$C$70,3,FALSE)</f>
        <v>#N/A</v>
      </c>
      <c r="J4590" s="5" t="e">
        <f>VLOOKUP(F4590,'Set up'!$A$2:$D$70,4,FALSE)</f>
        <v>#N/A</v>
      </c>
      <c r="K4590" s="4" t="e">
        <f t="shared" si="1076"/>
        <v>#N/A</v>
      </c>
      <c r="L4590" s="5" t="e">
        <f t="shared" si="1077"/>
        <v>#N/A</v>
      </c>
      <c r="M4590" s="5" t="e">
        <f t="shared" si="1078"/>
        <v>#N/A</v>
      </c>
      <c r="N4590" s="156">
        <v>320</v>
      </c>
      <c r="P4590" s="12"/>
      <c r="Q4590" s="7">
        <f t="shared" si="1079"/>
        <v>7642498.4500000095</v>
      </c>
      <c r="R4590" s="44" t="e">
        <f>VLOOKUP(F4590,'Set up'!$A$2:$E$70,5,FALSE)</f>
        <v>#N/A</v>
      </c>
    </row>
    <row r="4591" spans="1:18" ht="16.2" customHeight="1" x14ac:dyDescent="0.3">
      <c r="A4591" s="150" t="s">
        <v>4264</v>
      </c>
      <c r="B4591" s="5">
        <f t="shared" ref="B4591:B4592" si="1080">MONTH(A4591)</f>
        <v>10</v>
      </c>
      <c r="C4591" s="5">
        <f t="shared" ref="C4591:C4592" si="1081">YEAR(A4591)</f>
        <v>2025</v>
      </c>
      <c r="D4591" s="150" t="s">
        <v>4243</v>
      </c>
      <c r="E4591" s="5" t="e">
        <f>VLOOKUP(F4591,'Set up'!$A$2:$C$70,2,FALSE)</f>
        <v>#N/A</v>
      </c>
      <c r="F4591" s="151" t="s">
        <v>4130</v>
      </c>
      <c r="G4591" s="151" t="s">
        <v>1405</v>
      </c>
      <c r="H4591" s="150">
        <v>2</v>
      </c>
      <c r="I4591" s="5" t="e">
        <f>VLOOKUP(F4591,'Set up'!$A$2:$C$70,3,FALSE)</f>
        <v>#N/A</v>
      </c>
      <c r="J4591" s="5" t="e">
        <f>VLOOKUP(F4591,'Set up'!$A$2:$D$70,4,FALSE)</f>
        <v>#N/A</v>
      </c>
      <c r="K4591" s="4" t="e">
        <f t="shared" ref="K4591:K4592" si="1082">A4591+J4591</f>
        <v>#N/A</v>
      </c>
      <c r="L4591" s="5" t="e">
        <f t="shared" si="1077"/>
        <v>#N/A</v>
      </c>
      <c r="M4591" s="5" t="e">
        <f t="shared" si="1078"/>
        <v>#N/A</v>
      </c>
      <c r="N4591" s="156">
        <v>96</v>
      </c>
      <c r="P4591" s="12"/>
      <c r="Q4591" s="7">
        <f t="shared" si="1079"/>
        <v>7642594.4500000095</v>
      </c>
      <c r="R4591" s="44" t="e">
        <f>VLOOKUP(F4591,'Set up'!$A$2:$E$70,5,FALSE)</f>
        <v>#N/A</v>
      </c>
    </row>
    <row r="4592" spans="1:18" s="10" customFormat="1" ht="16.2" customHeight="1" x14ac:dyDescent="0.3">
      <c r="A4592" s="152" t="s">
        <v>4264</v>
      </c>
      <c r="B4592" s="153">
        <f t="shared" si="1080"/>
        <v>10</v>
      </c>
      <c r="C4592" s="153">
        <f t="shared" si="1081"/>
        <v>2025</v>
      </c>
      <c r="D4592" s="152" t="s">
        <v>4243</v>
      </c>
      <c r="E4592" s="153" t="e">
        <f>VLOOKUP(F4592,'Set up'!$A$2:$C$70,2,FALSE)</f>
        <v>#N/A</v>
      </c>
      <c r="F4592" s="157" t="s">
        <v>4130</v>
      </c>
      <c r="G4592" s="157" t="s">
        <v>2144</v>
      </c>
      <c r="H4592" s="152">
        <v>1</v>
      </c>
      <c r="I4592" s="153" t="e">
        <f>VLOOKUP(F4592,'Set up'!$A$2:$C$70,3,FALSE)</f>
        <v>#N/A</v>
      </c>
      <c r="J4592" s="153" t="e">
        <f>VLOOKUP(F4592,'Set up'!$A$2:$D$70,4,FALSE)</f>
        <v>#N/A</v>
      </c>
      <c r="K4592" s="154" t="e">
        <f t="shared" si="1082"/>
        <v>#N/A</v>
      </c>
      <c r="L4592" s="5" t="e">
        <f t="shared" si="1077"/>
        <v>#N/A</v>
      </c>
      <c r="M4592" s="5" t="e">
        <f t="shared" si="1078"/>
        <v>#N/A</v>
      </c>
      <c r="N4592" s="158">
        <v>286</v>
      </c>
      <c r="O4592" s="34"/>
      <c r="P4592" s="34"/>
      <c r="Q4592" s="7">
        <f t="shared" si="1079"/>
        <v>7642880.4500000095</v>
      </c>
      <c r="R4592" s="155" t="e">
        <f>VLOOKUP(F4592,'Set up'!$A$2:$E$70,5,FALSE)</f>
        <v>#N/A</v>
      </c>
    </row>
    <row r="4593" spans="1:18" ht="16.2" customHeight="1" x14ac:dyDescent="0.3">
      <c r="A4593" s="150" t="s">
        <v>4324</v>
      </c>
      <c r="B4593" s="5">
        <f t="shared" ref="B4593:B4594" si="1083">MONTH(A4593)</f>
        <v>11</v>
      </c>
      <c r="C4593" s="5">
        <f t="shared" ref="C4593:C4594" si="1084">YEAR(A4593)</f>
        <v>2025</v>
      </c>
      <c r="D4593" s="150" t="s">
        <v>4283</v>
      </c>
      <c r="E4593" s="5" t="str">
        <f>VLOOKUP(F4593,'Set up'!$A$2:$C$70,2,FALSE)</f>
        <v>C00000045</v>
      </c>
      <c r="F4593" s="151" t="s">
        <v>2271</v>
      </c>
      <c r="G4593" s="151" t="s">
        <v>3645</v>
      </c>
      <c r="H4593" s="150">
        <v>2</v>
      </c>
      <c r="I4593" s="5" t="str">
        <f>VLOOKUP(F4593,'Set up'!$A$2:$C$70,3,FALSE)</f>
        <v>Cash</v>
      </c>
      <c r="J4593" s="5">
        <f>VLOOKUP(F4593,'Set up'!$A$2:$D$70,4,FALSE)</f>
        <v>0</v>
      </c>
      <c r="K4593" s="4">
        <f t="shared" ref="K4593" si="1085">A4593+J4593</f>
        <v>45962</v>
      </c>
      <c r="L4593" s="5">
        <f t="shared" si="1077"/>
        <v>11</v>
      </c>
      <c r="M4593" s="5">
        <f t="shared" si="1078"/>
        <v>2025</v>
      </c>
      <c r="N4593" s="156">
        <v>3105</v>
      </c>
      <c r="P4593" s="12"/>
      <c r="Q4593" s="7">
        <f t="shared" si="1079"/>
        <v>7645985.4500000095</v>
      </c>
      <c r="R4593" s="44" t="str">
        <f>VLOOKUP(F4593,'Set up'!$A$2:$E$70,5,FALSE)</f>
        <v>Trsf</v>
      </c>
    </row>
    <row r="4594" spans="1:18" ht="16.2" customHeight="1" x14ac:dyDescent="0.3">
      <c r="A4594" s="150" t="s">
        <v>4324</v>
      </c>
      <c r="B4594" s="5">
        <f t="shared" si="1083"/>
        <v>11</v>
      </c>
      <c r="C4594" s="5">
        <f t="shared" si="1084"/>
        <v>2025</v>
      </c>
      <c r="D4594" s="150" t="s">
        <v>4283</v>
      </c>
      <c r="E4594" s="5" t="str">
        <f>VLOOKUP(F4594,'Set up'!$A$2:$C$70,2,FALSE)</f>
        <v>C00000045</v>
      </c>
      <c r="F4594" s="151" t="s">
        <v>2271</v>
      </c>
      <c r="G4594" s="151" t="s">
        <v>1543</v>
      </c>
      <c r="H4594" s="150">
        <v>6</v>
      </c>
      <c r="I4594" s="5" t="str">
        <f>VLOOKUP(F4594,'Set up'!$A$2:$C$70,3,FALSE)</f>
        <v>Cash</v>
      </c>
      <c r="J4594" s="5">
        <f>VLOOKUP(F4594,'Set up'!$A$2:$D$70,4,FALSE)</f>
        <v>0</v>
      </c>
      <c r="K4594" s="4">
        <f t="shared" ref="K4594:K4657" si="1086">A4594+J4594</f>
        <v>45962</v>
      </c>
      <c r="L4594" s="5">
        <f t="shared" si="1077"/>
        <v>11</v>
      </c>
      <c r="M4594" s="5">
        <f t="shared" si="1078"/>
        <v>2025</v>
      </c>
      <c r="N4594" s="156">
        <v>1062</v>
      </c>
      <c r="P4594" s="12"/>
      <c r="Q4594" s="7">
        <f t="shared" si="1079"/>
        <v>7647047.4500000095</v>
      </c>
      <c r="R4594" s="44" t="str">
        <f>VLOOKUP(F4594,'Set up'!$A$2:$E$70,5,FALSE)</f>
        <v>Trsf</v>
      </c>
    </row>
    <row r="4595" spans="1:18" ht="16.2" customHeight="1" x14ac:dyDescent="0.3">
      <c r="A4595" s="150" t="s">
        <v>4325</v>
      </c>
      <c r="B4595" s="5">
        <f t="shared" ref="B4595:B4658" si="1087">MONTH(A4595)</f>
        <v>11</v>
      </c>
      <c r="C4595" s="5">
        <f t="shared" ref="C4595:C4658" si="1088">YEAR(A4595)</f>
        <v>2025</v>
      </c>
      <c r="D4595" s="150" t="s">
        <v>4284</v>
      </c>
      <c r="E4595" s="5" t="e">
        <f>VLOOKUP(F4595,'Set up'!$A$2:$C$70,2,FALSE)</f>
        <v>#N/A</v>
      </c>
      <c r="F4595" s="151" t="s">
        <v>4346</v>
      </c>
      <c r="G4595" s="151" t="s">
        <v>3533</v>
      </c>
      <c r="H4595" s="150">
        <v>1</v>
      </c>
      <c r="I4595" s="5" t="e">
        <f>VLOOKUP(F4595,'Set up'!$A$2:$C$70,3,FALSE)</f>
        <v>#N/A</v>
      </c>
      <c r="J4595" s="5" t="e">
        <f>VLOOKUP(F4595,'Set up'!$A$2:$D$70,4,FALSE)</f>
        <v>#N/A</v>
      </c>
      <c r="K4595" s="4" t="e">
        <f t="shared" si="1086"/>
        <v>#N/A</v>
      </c>
      <c r="L4595" s="5" t="e">
        <f t="shared" si="1077"/>
        <v>#N/A</v>
      </c>
      <c r="M4595" s="5" t="e">
        <f t="shared" si="1078"/>
        <v>#N/A</v>
      </c>
      <c r="N4595" s="156">
        <v>1687.5</v>
      </c>
      <c r="P4595" s="12"/>
      <c r="Q4595" s="7">
        <f t="shared" si="1079"/>
        <v>7648734.9500000095</v>
      </c>
      <c r="R4595" s="44" t="e">
        <f>VLOOKUP(F4595,'Set up'!$A$2:$E$70,5,FALSE)</f>
        <v>#N/A</v>
      </c>
    </row>
    <row r="4596" spans="1:18" ht="16.2" customHeight="1" x14ac:dyDescent="0.3">
      <c r="A4596" s="150" t="s">
        <v>4325</v>
      </c>
      <c r="B4596" s="5">
        <f t="shared" si="1087"/>
        <v>11</v>
      </c>
      <c r="C4596" s="5">
        <f t="shared" si="1088"/>
        <v>2025</v>
      </c>
      <c r="D4596" s="150" t="s">
        <v>4284</v>
      </c>
      <c r="E4596" s="5" t="e">
        <f>VLOOKUP(F4596,'Set up'!$A$2:$C$70,2,FALSE)</f>
        <v>#N/A</v>
      </c>
      <c r="F4596" s="151" t="s">
        <v>4346</v>
      </c>
      <c r="G4596" s="151" t="s">
        <v>2523</v>
      </c>
      <c r="H4596" s="150">
        <v>2</v>
      </c>
      <c r="I4596" s="5" t="e">
        <f>VLOOKUP(F4596,'Set up'!$A$2:$C$70,3,FALSE)</f>
        <v>#N/A</v>
      </c>
      <c r="J4596" s="5" t="e">
        <f>VLOOKUP(F4596,'Set up'!$A$2:$D$70,4,FALSE)</f>
        <v>#N/A</v>
      </c>
      <c r="K4596" s="4" t="e">
        <f t="shared" si="1086"/>
        <v>#N/A</v>
      </c>
      <c r="L4596" s="5" t="e">
        <f t="shared" si="1077"/>
        <v>#N/A</v>
      </c>
      <c r="M4596" s="5" t="e">
        <f t="shared" si="1078"/>
        <v>#N/A</v>
      </c>
      <c r="N4596" s="156">
        <v>432</v>
      </c>
      <c r="P4596" s="12"/>
      <c r="Q4596" s="7">
        <f t="shared" si="1079"/>
        <v>7649166.9500000095</v>
      </c>
      <c r="R4596" s="44" t="e">
        <f>VLOOKUP(F4596,'Set up'!$A$2:$E$70,5,FALSE)</f>
        <v>#N/A</v>
      </c>
    </row>
    <row r="4597" spans="1:18" ht="16.2" customHeight="1" x14ac:dyDescent="0.3">
      <c r="A4597" s="150" t="s">
        <v>4325</v>
      </c>
      <c r="B4597" s="5">
        <f t="shared" si="1087"/>
        <v>11</v>
      </c>
      <c r="C4597" s="5">
        <f t="shared" si="1088"/>
        <v>2025</v>
      </c>
      <c r="D4597" s="150" t="s">
        <v>4284</v>
      </c>
      <c r="E4597" s="5" t="e">
        <f>VLOOKUP(F4597,'Set up'!$A$2:$C$70,2,FALSE)</f>
        <v>#N/A</v>
      </c>
      <c r="F4597" s="151" t="s">
        <v>4346</v>
      </c>
      <c r="G4597" s="151" t="s">
        <v>4348</v>
      </c>
      <c r="H4597" s="150">
        <v>1</v>
      </c>
      <c r="I4597" s="5" t="e">
        <f>VLOOKUP(F4597,'Set up'!$A$2:$C$70,3,FALSE)</f>
        <v>#N/A</v>
      </c>
      <c r="J4597" s="5" t="e">
        <f>VLOOKUP(F4597,'Set up'!$A$2:$D$70,4,FALSE)</f>
        <v>#N/A</v>
      </c>
      <c r="K4597" s="4" t="e">
        <f t="shared" si="1086"/>
        <v>#N/A</v>
      </c>
      <c r="L4597" s="5" t="e">
        <f t="shared" si="1077"/>
        <v>#N/A</v>
      </c>
      <c r="M4597" s="5" t="e">
        <f t="shared" si="1078"/>
        <v>#N/A</v>
      </c>
      <c r="N4597" s="156">
        <v>60</v>
      </c>
      <c r="P4597" s="12"/>
      <c r="Q4597" s="7">
        <f t="shared" si="1079"/>
        <v>7649226.9500000095</v>
      </c>
      <c r="R4597" s="44" t="e">
        <f>VLOOKUP(F4597,'Set up'!$A$2:$E$70,5,FALSE)</f>
        <v>#N/A</v>
      </c>
    </row>
    <row r="4598" spans="1:18" ht="16.2" customHeight="1" x14ac:dyDescent="0.3">
      <c r="A4598" s="150" t="s">
        <v>4325</v>
      </c>
      <c r="B4598" s="5">
        <f t="shared" si="1087"/>
        <v>11</v>
      </c>
      <c r="C4598" s="5">
        <f t="shared" si="1088"/>
        <v>2025</v>
      </c>
      <c r="D4598" s="150" t="s">
        <v>4284</v>
      </c>
      <c r="E4598" s="5" t="e">
        <f>VLOOKUP(F4598,'Set up'!$A$2:$C$70,2,FALSE)</f>
        <v>#N/A</v>
      </c>
      <c r="F4598" s="151" t="s">
        <v>4346</v>
      </c>
      <c r="G4598" s="151" t="s">
        <v>17</v>
      </c>
      <c r="H4598" s="150">
        <v>1</v>
      </c>
      <c r="I4598" s="5" t="e">
        <f>VLOOKUP(F4598,'Set up'!$A$2:$C$70,3,FALSE)</f>
        <v>#N/A</v>
      </c>
      <c r="J4598" s="5" t="e">
        <f>VLOOKUP(F4598,'Set up'!$A$2:$D$70,4,FALSE)</f>
        <v>#N/A</v>
      </c>
      <c r="K4598" s="4" t="e">
        <f t="shared" si="1086"/>
        <v>#N/A</v>
      </c>
      <c r="L4598" s="5" t="e">
        <f t="shared" si="1077"/>
        <v>#N/A</v>
      </c>
      <c r="M4598" s="5" t="e">
        <f t="shared" si="1078"/>
        <v>#N/A</v>
      </c>
      <c r="N4598" s="156">
        <v>120</v>
      </c>
      <c r="P4598" s="12"/>
      <c r="Q4598" s="7">
        <f t="shared" si="1079"/>
        <v>7649346.9500000095</v>
      </c>
      <c r="R4598" s="44" t="e">
        <f>VLOOKUP(F4598,'Set up'!$A$2:$E$70,5,FALSE)</f>
        <v>#N/A</v>
      </c>
    </row>
    <row r="4599" spans="1:18" ht="16.2" customHeight="1" x14ac:dyDescent="0.3">
      <c r="A4599" s="150" t="s">
        <v>4325</v>
      </c>
      <c r="B4599" s="5">
        <f t="shared" si="1087"/>
        <v>11</v>
      </c>
      <c r="C4599" s="5">
        <f t="shared" si="1088"/>
        <v>2025</v>
      </c>
      <c r="D4599" s="150" t="s">
        <v>4284</v>
      </c>
      <c r="E4599" s="5" t="e">
        <f>VLOOKUP(F4599,'Set up'!$A$2:$C$70,2,FALSE)</f>
        <v>#N/A</v>
      </c>
      <c r="F4599" s="151" t="s">
        <v>4346</v>
      </c>
      <c r="G4599" s="151" t="s">
        <v>2144</v>
      </c>
      <c r="H4599" s="150">
        <v>1</v>
      </c>
      <c r="I4599" s="5" t="e">
        <f>VLOOKUP(F4599,'Set up'!$A$2:$C$70,3,FALSE)</f>
        <v>#N/A</v>
      </c>
      <c r="J4599" s="5" t="e">
        <f>VLOOKUP(F4599,'Set up'!$A$2:$D$70,4,FALSE)</f>
        <v>#N/A</v>
      </c>
      <c r="K4599" s="4" t="e">
        <f t="shared" si="1086"/>
        <v>#N/A</v>
      </c>
      <c r="L4599" s="5" t="e">
        <f t="shared" si="1077"/>
        <v>#N/A</v>
      </c>
      <c r="M4599" s="5" t="e">
        <f t="shared" si="1078"/>
        <v>#N/A</v>
      </c>
      <c r="N4599" s="156">
        <v>283.8</v>
      </c>
      <c r="P4599" s="12"/>
      <c r="Q4599" s="7">
        <f t="shared" si="1079"/>
        <v>7649630.7500000093</v>
      </c>
      <c r="R4599" s="44" t="e">
        <f>VLOOKUP(F4599,'Set up'!$A$2:$E$70,5,FALSE)</f>
        <v>#N/A</v>
      </c>
    </row>
    <row r="4600" spans="1:18" ht="16.2" customHeight="1" x14ac:dyDescent="0.3">
      <c r="A4600" s="150" t="s">
        <v>4325</v>
      </c>
      <c r="B4600" s="5">
        <f t="shared" si="1087"/>
        <v>11</v>
      </c>
      <c r="C4600" s="5">
        <f t="shared" si="1088"/>
        <v>2025</v>
      </c>
      <c r="D4600" s="150" t="s">
        <v>4284</v>
      </c>
      <c r="E4600" s="5" t="e">
        <f>VLOOKUP(F4600,'Set up'!$A$2:$C$70,2,FALSE)</f>
        <v>#N/A</v>
      </c>
      <c r="F4600" s="151" t="s">
        <v>4346</v>
      </c>
      <c r="G4600" s="151" t="s">
        <v>4349</v>
      </c>
      <c r="H4600" s="150">
        <v>1</v>
      </c>
      <c r="I4600" s="5" t="e">
        <f>VLOOKUP(F4600,'Set up'!$A$2:$C$70,3,FALSE)</f>
        <v>#N/A</v>
      </c>
      <c r="J4600" s="5" t="e">
        <f>VLOOKUP(F4600,'Set up'!$A$2:$D$70,4,FALSE)</f>
        <v>#N/A</v>
      </c>
      <c r="K4600" s="4" t="e">
        <f t="shared" si="1086"/>
        <v>#N/A</v>
      </c>
      <c r="L4600" s="5" t="e">
        <f t="shared" si="1077"/>
        <v>#N/A</v>
      </c>
      <c r="M4600" s="5" t="e">
        <f t="shared" si="1078"/>
        <v>#N/A</v>
      </c>
      <c r="N4600" s="156">
        <v>195</v>
      </c>
      <c r="P4600" s="12"/>
      <c r="Q4600" s="7">
        <f t="shared" si="1079"/>
        <v>7649825.7500000093</v>
      </c>
      <c r="R4600" s="44" t="e">
        <f>VLOOKUP(F4600,'Set up'!$A$2:$E$70,5,FALSE)</f>
        <v>#N/A</v>
      </c>
    </row>
    <row r="4601" spans="1:18" ht="16.2" customHeight="1" x14ac:dyDescent="0.3">
      <c r="A4601" s="150" t="s">
        <v>4325</v>
      </c>
      <c r="B4601" s="5">
        <f t="shared" si="1087"/>
        <v>11</v>
      </c>
      <c r="C4601" s="5">
        <f t="shared" si="1088"/>
        <v>2025</v>
      </c>
      <c r="D4601" s="150" t="s">
        <v>4285</v>
      </c>
      <c r="E4601" s="5" t="str">
        <f>VLOOKUP(F4601,'Set up'!$A$2:$C$70,2,FALSE)</f>
        <v>C00000019</v>
      </c>
      <c r="F4601" s="151" t="s">
        <v>400</v>
      </c>
      <c r="G4601" s="151" t="s">
        <v>3122</v>
      </c>
      <c r="H4601" s="150">
        <v>1</v>
      </c>
      <c r="I4601" s="5" t="str">
        <f>VLOOKUP(F4601,'Set up'!$A$2:$C$70,3,FALSE)</f>
        <v>Cash</v>
      </c>
      <c r="J4601" s="5">
        <f>VLOOKUP(F4601,'Set up'!$A$2:$D$70,4,FALSE)</f>
        <v>0</v>
      </c>
      <c r="K4601" s="4">
        <f t="shared" si="1086"/>
        <v>45966</v>
      </c>
      <c r="L4601" s="5">
        <f t="shared" si="1077"/>
        <v>11</v>
      </c>
      <c r="M4601" s="5">
        <f t="shared" si="1078"/>
        <v>2025</v>
      </c>
      <c r="N4601" s="156">
        <v>1687.5</v>
      </c>
      <c r="P4601" s="12"/>
      <c r="Q4601" s="7">
        <f t="shared" si="1079"/>
        <v>7651513.2500000093</v>
      </c>
      <c r="R4601" s="44" t="str">
        <f>VLOOKUP(F4601,'Set up'!$A$2:$E$70,5,FALSE)</f>
        <v>Trsf</v>
      </c>
    </row>
    <row r="4602" spans="1:18" ht="16.2" customHeight="1" x14ac:dyDescent="0.3">
      <c r="A4602" s="150" t="s">
        <v>4325</v>
      </c>
      <c r="B4602" s="5">
        <f t="shared" si="1087"/>
        <v>11</v>
      </c>
      <c r="C4602" s="5">
        <f t="shared" si="1088"/>
        <v>2025</v>
      </c>
      <c r="D4602" s="150" t="s">
        <v>4285</v>
      </c>
      <c r="E4602" s="5" t="str">
        <f>VLOOKUP(F4602,'Set up'!$A$2:$C$70,2,FALSE)</f>
        <v>C00000019</v>
      </c>
      <c r="F4602" s="151" t="s">
        <v>400</v>
      </c>
      <c r="G4602" s="151" t="s">
        <v>1411</v>
      </c>
      <c r="H4602" s="150">
        <v>1</v>
      </c>
      <c r="I4602" s="5" t="str">
        <f>VLOOKUP(F4602,'Set up'!$A$2:$C$70,3,FALSE)</f>
        <v>Cash</v>
      </c>
      <c r="J4602" s="5">
        <f>VLOOKUP(F4602,'Set up'!$A$2:$D$70,4,FALSE)</f>
        <v>0</v>
      </c>
      <c r="K4602" s="4">
        <f t="shared" si="1086"/>
        <v>45966</v>
      </c>
      <c r="L4602" s="5">
        <f t="shared" si="1077"/>
        <v>11</v>
      </c>
      <c r="M4602" s="5">
        <f t="shared" si="1078"/>
        <v>2025</v>
      </c>
      <c r="N4602" s="156">
        <v>388.8</v>
      </c>
      <c r="P4602" s="12"/>
      <c r="Q4602" s="7">
        <f t="shared" si="1079"/>
        <v>7651902.0500000091</v>
      </c>
      <c r="R4602" s="44" t="str">
        <f>VLOOKUP(F4602,'Set up'!$A$2:$E$70,5,FALSE)</f>
        <v>Trsf</v>
      </c>
    </row>
    <row r="4603" spans="1:18" ht="16.2" customHeight="1" x14ac:dyDescent="0.3">
      <c r="A4603" s="150" t="s">
        <v>4325</v>
      </c>
      <c r="B4603" s="5">
        <f t="shared" si="1087"/>
        <v>11</v>
      </c>
      <c r="C4603" s="5">
        <f t="shared" si="1088"/>
        <v>2025</v>
      </c>
      <c r="D4603" s="150" t="s">
        <v>4285</v>
      </c>
      <c r="E4603" s="5" t="str">
        <f>VLOOKUP(F4603,'Set up'!$A$2:$C$70,2,FALSE)</f>
        <v>C00000019</v>
      </c>
      <c r="F4603" s="151" t="s">
        <v>400</v>
      </c>
      <c r="G4603" s="151" t="s">
        <v>945</v>
      </c>
      <c r="H4603" s="150">
        <v>1</v>
      </c>
      <c r="I4603" s="5" t="str">
        <f>VLOOKUP(F4603,'Set up'!$A$2:$C$70,3,FALSE)</f>
        <v>Cash</v>
      </c>
      <c r="J4603" s="5">
        <f>VLOOKUP(F4603,'Set up'!$A$2:$D$70,4,FALSE)</f>
        <v>0</v>
      </c>
      <c r="K4603" s="4">
        <f t="shared" si="1086"/>
        <v>45966</v>
      </c>
      <c r="L4603" s="5">
        <f t="shared" si="1077"/>
        <v>11</v>
      </c>
      <c r="M4603" s="5">
        <f t="shared" si="1078"/>
        <v>2025</v>
      </c>
      <c r="N4603" s="156">
        <v>115</v>
      </c>
      <c r="P4603" s="12"/>
      <c r="Q4603" s="7">
        <f t="shared" si="1079"/>
        <v>7652017.0500000091</v>
      </c>
      <c r="R4603" s="44" t="str">
        <f>VLOOKUP(F4603,'Set up'!$A$2:$E$70,5,FALSE)</f>
        <v>Trsf</v>
      </c>
    </row>
    <row r="4604" spans="1:18" ht="16.2" customHeight="1" x14ac:dyDescent="0.3">
      <c r="A4604" s="150" t="s">
        <v>4325</v>
      </c>
      <c r="B4604" s="5">
        <f t="shared" si="1087"/>
        <v>11</v>
      </c>
      <c r="C4604" s="5">
        <f t="shared" si="1088"/>
        <v>2025</v>
      </c>
      <c r="D4604" s="150" t="s">
        <v>4285</v>
      </c>
      <c r="E4604" s="5" t="str">
        <f>VLOOKUP(F4604,'Set up'!$A$2:$C$70,2,FALSE)</f>
        <v>C00000019</v>
      </c>
      <c r="F4604" s="151" t="s">
        <v>400</v>
      </c>
      <c r="G4604" s="151" t="s">
        <v>949</v>
      </c>
      <c r="H4604" s="150">
        <v>2</v>
      </c>
      <c r="I4604" s="5" t="str">
        <f>VLOOKUP(F4604,'Set up'!$A$2:$C$70,3,FALSE)</f>
        <v>Cash</v>
      </c>
      <c r="J4604" s="5">
        <f>VLOOKUP(F4604,'Set up'!$A$2:$D$70,4,FALSE)</f>
        <v>0</v>
      </c>
      <c r="K4604" s="4">
        <f t="shared" si="1086"/>
        <v>45966</v>
      </c>
      <c r="L4604" s="5">
        <f t="shared" si="1077"/>
        <v>11</v>
      </c>
      <c r="M4604" s="5">
        <f t="shared" si="1078"/>
        <v>2025</v>
      </c>
      <c r="N4604" s="156">
        <v>120</v>
      </c>
      <c r="P4604" s="12"/>
      <c r="Q4604" s="7">
        <f t="shared" si="1079"/>
        <v>7652137.0500000091</v>
      </c>
      <c r="R4604" s="44" t="str">
        <f>VLOOKUP(F4604,'Set up'!$A$2:$E$70,5,FALSE)</f>
        <v>Trsf</v>
      </c>
    </row>
    <row r="4605" spans="1:18" ht="16.2" customHeight="1" x14ac:dyDescent="0.3">
      <c r="A4605" s="150" t="s">
        <v>4326</v>
      </c>
      <c r="B4605" s="5">
        <f t="shared" si="1087"/>
        <v>11</v>
      </c>
      <c r="C4605" s="5">
        <f t="shared" si="1088"/>
        <v>2025</v>
      </c>
      <c r="D4605" s="150" t="s">
        <v>4286</v>
      </c>
      <c r="E4605" s="5" t="str">
        <f>VLOOKUP(F4605,'Set up'!$A$2:$C$70,2,FALSE)</f>
        <v>C00000049</v>
      </c>
      <c r="F4605" s="151" t="s">
        <v>2728</v>
      </c>
      <c r="G4605" s="151" t="s">
        <v>3122</v>
      </c>
      <c r="H4605" s="150">
        <v>1</v>
      </c>
      <c r="I4605" s="5" t="str">
        <f>VLOOKUP(F4605,'Set up'!$A$2:$C$70,3,FALSE)</f>
        <v>Cash</v>
      </c>
      <c r="J4605" s="5">
        <f>VLOOKUP(F4605,'Set up'!$A$2:$D$70,4,FALSE)</f>
        <v>0</v>
      </c>
      <c r="K4605" s="4">
        <f t="shared" si="1086"/>
        <v>45967</v>
      </c>
      <c r="L4605" s="5">
        <f t="shared" si="1077"/>
        <v>11</v>
      </c>
      <c r="M4605" s="5">
        <f t="shared" si="1078"/>
        <v>2025</v>
      </c>
      <c r="N4605" s="156">
        <v>1687.5</v>
      </c>
      <c r="P4605" s="12"/>
      <c r="Q4605" s="7">
        <f t="shared" si="1079"/>
        <v>7653824.5500000091</v>
      </c>
      <c r="R4605" s="44" t="str">
        <f>VLOOKUP(F4605,'Set up'!$A$2:$E$70,5,FALSE)</f>
        <v>Cash</v>
      </c>
    </row>
    <row r="4606" spans="1:18" ht="16.2" customHeight="1" x14ac:dyDescent="0.3">
      <c r="A4606" s="150" t="s">
        <v>4326</v>
      </c>
      <c r="B4606" s="5">
        <f t="shared" si="1087"/>
        <v>11</v>
      </c>
      <c r="C4606" s="5">
        <f t="shared" si="1088"/>
        <v>2025</v>
      </c>
      <c r="D4606" s="150" t="s">
        <v>4286</v>
      </c>
      <c r="E4606" s="5" t="str">
        <f>VLOOKUP(F4606,'Set up'!$A$2:$C$70,2,FALSE)</f>
        <v>C00000049</v>
      </c>
      <c r="F4606" s="151" t="s">
        <v>2728</v>
      </c>
      <c r="G4606" s="151" t="s">
        <v>2570</v>
      </c>
      <c r="H4606" s="150">
        <v>4</v>
      </c>
      <c r="I4606" s="5" t="str">
        <f>VLOOKUP(F4606,'Set up'!$A$2:$C$70,3,FALSE)</f>
        <v>Cash</v>
      </c>
      <c r="J4606" s="5">
        <f>VLOOKUP(F4606,'Set up'!$A$2:$D$70,4,FALSE)</f>
        <v>0</v>
      </c>
      <c r="K4606" s="4">
        <f t="shared" si="1086"/>
        <v>45967</v>
      </c>
      <c r="L4606" s="5">
        <f t="shared" si="1077"/>
        <v>11</v>
      </c>
      <c r="M4606" s="5">
        <f t="shared" si="1078"/>
        <v>2025</v>
      </c>
      <c r="N4606" s="156">
        <v>864</v>
      </c>
      <c r="P4606" s="12"/>
      <c r="Q4606" s="7">
        <f t="shared" si="1079"/>
        <v>7654688.5500000091</v>
      </c>
      <c r="R4606" s="44" t="str">
        <f>VLOOKUP(F4606,'Set up'!$A$2:$E$70,5,FALSE)</f>
        <v>Cash</v>
      </c>
    </row>
    <row r="4607" spans="1:18" ht="16.2" customHeight="1" x14ac:dyDescent="0.3">
      <c r="A4607" s="150" t="s">
        <v>4326</v>
      </c>
      <c r="B4607" s="5">
        <f t="shared" si="1087"/>
        <v>11</v>
      </c>
      <c r="C4607" s="5">
        <f t="shared" si="1088"/>
        <v>2025</v>
      </c>
      <c r="D4607" s="150" t="s">
        <v>4286</v>
      </c>
      <c r="E4607" s="5" t="str">
        <f>VLOOKUP(F4607,'Set up'!$A$2:$C$70,2,FALSE)</f>
        <v>C00000049</v>
      </c>
      <c r="F4607" s="151" t="s">
        <v>2728</v>
      </c>
      <c r="G4607" s="151" t="s">
        <v>17</v>
      </c>
      <c r="H4607" s="150">
        <v>1</v>
      </c>
      <c r="I4607" s="5" t="str">
        <f>VLOOKUP(F4607,'Set up'!$A$2:$C$70,3,FALSE)</f>
        <v>Cash</v>
      </c>
      <c r="J4607" s="5">
        <f>VLOOKUP(F4607,'Set up'!$A$2:$D$70,4,FALSE)</f>
        <v>0</v>
      </c>
      <c r="K4607" s="4">
        <f t="shared" si="1086"/>
        <v>45967</v>
      </c>
      <c r="L4607" s="5">
        <f t="shared" si="1077"/>
        <v>11</v>
      </c>
      <c r="M4607" s="5">
        <f t="shared" si="1078"/>
        <v>2025</v>
      </c>
      <c r="N4607" s="156">
        <v>120</v>
      </c>
      <c r="P4607" s="12"/>
      <c r="Q4607" s="7">
        <f t="shared" si="1079"/>
        <v>7654808.5500000091</v>
      </c>
      <c r="R4607" s="44" t="str">
        <f>VLOOKUP(F4607,'Set up'!$A$2:$E$70,5,FALSE)</f>
        <v>Cash</v>
      </c>
    </row>
    <row r="4608" spans="1:18" ht="16.2" customHeight="1" x14ac:dyDescent="0.3">
      <c r="A4608" s="150" t="s">
        <v>4327</v>
      </c>
      <c r="B4608" s="5">
        <f t="shared" si="1087"/>
        <v>11</v>
      </c>
      <c r="C4608" s="5">
        <f t="shared" si="1088"/>
        <v>2025</v>
      </c>
      <c r="D4608" s="150" t="s">
        <v>4287</v>
      </c>
      <c r="E4608" s="5" t="str">
        <f>VLOOKUP(F4608,'Set up'!$A$2:$C$70,2,FALSE)</f>
        <v>C00000042</v>
      </c>
      <c r="F4608" s="151" t="s">
        <v>2012</v>
      </c>
      <c r="G4608" s="151" t="s">
        <v>2646</v>
      </c>
      <c r="H4608" s="150">
        <v>3</v>
      </c>
      <c r="I4608" s="5" t="str">
        <f>VLOOKUP(F4608,'Set up'!$A$2:$C$70,3,FALSE)</f>
        <v>Cash</v>
      </c>
      <c r="J4608" s="5">
        <f>VLOOKUP(F4608,'Set up'!$A$2:$D$70,4,FALSE)</f>
        <v>0</v>
      </c>
      <c r="K4608" s="4">
        <f t="shared" si="1086"/>
        <v>45968</v>
      </c>
      <c r="L4608" s="5">
        <f t="shared" si="1077"/>
        <v>11</v>
      </c>
      <c r="M4608" s="5">
        <f t="shared" si="1078"/>
        <v>2025</v>
      </c>
      <c r="N4608" s="156">
        <v>187.5</v>
      </c>
      <c r="P4608" s="12"/>
      <c r="Q4608" s="7">
        <f t="shared" si="1079"/>
        <v>7654996.0500000091</v>
      </c>
      <c r="R4608" s="44" t="str">
        <f>VLOOKUP(F4608,'Set up'!$A$2:$E$70,5,FALSE)</f>
        <v>Trsf</v>
      </c>
    </row>
    <row r="4609" spans="1:18" ht="16.2" customHeight="1" x14ac:dyDescent="0.3">
      <c r="A4609" s="150" t="s">
        <v>4327</v>
      </c>
      <c r="B4609" s="5">
        <f t="shared" si="1087"/>
        <v>11</v>
      </c>
      <c r="C4609" s="5">
        <f t="shared" si="1088"/>
        <v>2025</v>
      </c>
      <c r="D4609" s="150" t="s">
        <v>4288</v>
      </c>
      <c r="E4609" s="5" t="str">
        <f>VLOOKUP(F4609,'Set up'!$A$2:$C$70,2,FALSE)</f>
        <v>C00000042</v>
      </c>
      <c r="F4609" s="151" t="s">
        <v>2012</v>
      </c>
      <c r="G4609" s="151" t="s">
        <v>3645</v>
      </c>
      <c r="H4609" s="150">
        <v>3</v>
      </c>
      <c r="I4609" s="5" t="str">
        <f>VLOOKUP(F4609,'Set up'!$A$2:$C$70,3,FALSE)</f>
        <v>Cash</v>
      </c>
      <c r="J4609" s="5">
        <f>VLOOKUP(F4609,'Set up'!$A$2:$D$70,4,FALSE)</f>
        <v>0</v>
      </c>
      <c r="K4609" s="4">
        <f t="shared" si="1086"/>
        <v>45968</v>
      </c>
      <c r="L4609" s="5">
        <f t="shared" si="1077"/>
        <v>11</v>
      </c>
      <c r="M4609" s="5">
        <f t="shared" si="1078"/>
        <v>2025</v>
      </c>
      <c r="N4609" s="156">
        <v>4657.5</v>
      </c>
      <c r="P4609" s="12"/>
      <c r="Q4609" s="7">
        <f t="shared" si="1079"/>
        <v>7659653.5500000091</v>
      </c>
      <c r="R4609" s="44" t="str">
        <f>VLOOKUP(F4609,'Set up'!$A$2:$E$70,5,FALSE)</f>
        <v>Trsf</v>
      </c>
    </row>
    <row r="4610" spans="1:18" ht="16.2" customHeight="1" x14ac:dyDescent="0.3">
      <c r="A4610" s="150" t="s">
        <v>4327</v>
      </c>
      <c r="B4610" s="5">
        <f t="shared" si="1087"/>
        <v>11</v>
      </c>
      <c r="C4610" s="5">
        <f t="shared" si="1088"/>
        <v>2025</v>
      </c>
      <c r="D4610" s="150" t="s">
        <v>4288</v>
      </c>
      <c r="E4610" s="5" t="str">
        <f>VLOOKUP(F4610,'Set up'!$A$2:$C$70,2,FALSE)</f>
        <v>C00000042</v>
      </c>
      <c r="F4610" s="151" t="s">
        <v>2012</v>
      </c>
      <c r="G4610" s="151" t="s">
        <v>3122</v>
      </c>
      <c r="H4610" s="150">
        <v>3</v>
      </c>
      <c r="I4610" s="5" t="str">
        <f>VLOOKUP(F4610,'Set up'!$A$2:$C$70,3,FALSE)</f>
        <v>Cash</v>
      </c>
      <c r="J4610" s="5">
        <f>VLOOKUP(F4610,'Set up'!$A$2:$D$70,4,FALSE)</f>
        <v>0</v>
      </c>
      <c r="K4610" s="4">
        <f t="shared" si="1086"/>
        <v>45968</v>
      </c>
      <c r="L4610" s="5">
        <f t="shared" si="1077"/>
        <v>11</v>
      </c>
      <c r="M4610" s="5">
        <f t="shared" si="1078"/>
        <v>2025</v>
      </c>
      <c r="N4610" s="156">
        <v>4657.5</v>
      </c>
      <c r="P4610" s="12"/>
      <c r="Q4610" s="7">
        <f t="shared" si="1079"/>
        <v>7664311.0500000091</v>
      </c>
      <c r="R4610" s="44" t="str">
        <f>VLOOKUP(F4610,'Set up'!$A$2:$E$70,5,FALSE)</f>
        <v>Trsf</v>
      </c>
    </row>
    <row r="4611" spans="1:18" ht="16.2" customHeight="1" x14ac:dyDescent="0.3">
      <c r="A4611" s="150" t="s">
        <v>4327</v>
      </c>
      <c r="B4611" s="5">
        <f t="shared" si="1087"/>
        <v>11</v>
      </c>
      <c r="C4611" s="5">
        <f t="shared" si="1088"/>
        <v>2025</v>
      </c>
      <c r="D4611" s="150" t="s">
        <v>4288</v>
      </c>
      <c r="E4611" s="5" t="str">
        <f>VLOOKUP(F4611,'Set up'!$A$2:$C$70,2,FALSE)</f>
        <v>C00000042</v>
      </c>
      <c r="F4611" s="151" t="s">
        <v>2012</v>
      </c>
      <c r="G4611" s="151" t="s">
        <v>1392</v>
      </c>
      <c r="H4611" s="150">
        <v>18</v>
      </c>
      <c r="I4611" s="5" t="str">
        <f>VLOOKUP(F4611,'Set up'!$A$2:$C$70,3,FALSE)</f>
        <v>Cash</v>
      </c>
      <c r="J4611" s="5">
        <f>VLOOKUP(F4611,'Set up'!$A$2:$D$70,4,FALSE)</f>
        <v>0</v>
      </c>
      <c r="K4611" s="4">
        <f t="shared" si="1086"/>
        <v>45968</v>
      </c>
      <c r="L4611" s="5">
        <f t="shared" ref="L4611:L4674" si="1089">MONTH(K4611)</f>
        <v>11</v>
      </c>
      <c r="M4611" s="5">
        <f t="shared" ref="M4611:M4674" si="1090">YEAR(K4611)</f>
        <v>2025</v>
      </c>
      <c r="N4611" s="156">
        <v>3186</v>
      </c>
      <c r="P4611" s="12"/>
      <c r="Q4611" s="7">
        <f t="shared" ref="Q4611:Q4674" si="1091">SUM(Q4610+N4611)</f>
        <v>7667497.0500000091</v>
      </c>
      <c r="R4611" s="44" t="str">
        <f>VLOOKUP(F4611,'Set up'!$A$2:$E$70,5,FALSE)</f>
        <v>Trsf</v>
      </c>
    </row>
    <row r="4612" spans="1:18" ht="16.2" customHeight="1" x14ac:dyDescent="0.3">
      <c r="A4612" s="150" t="s">
        <v>4327</v>
      </c>
      <c r="B4612" s="5">
        <f t="shared" si="1087"/>
        <v>11</v>
      </c>
      <c r="C4612" s="5">
        <f t="shared" si="1088"/>
        <v>2025</v>
      </c>
      <c r="D4612" s="150" t="s">
        <v>4288</v>
      </c>
      <c r="E4612" s="5" t="str">
        <f>VLOOKUP(F4612,'Set up'!$A$2:$C$70,2,FALSE)</f>
        <v>C00000042</v>
      </c>
      <c r="F4612" s="151" t="s">
        <v>2012</v>
      </c>
      <c r="G4612" s="151" t="s">
        <v>1922</v>
      </c>
      <c r="H4612" s="150">
        <v>9</v>
      </c>
      <c r="I4612" s="5" t="str">
        <f>VLOOKUP(F4612,'Set up'!$A$2:$C$70,3,FALSE)</f>
        <v>Cash</v>
      </c>
      <c r="J4612" s="5">
        <f>VLOOKUP(F4612,'Set up'!$A$2:$D$70,4,FALSE)</f>
        <v>0</v>
      </c>
      <c r="K4612" s="4">
        <f t="shared" si="1086"/>
        <v>45968</v>
      </c>
      <c r="L4612" s="5">
        <f t="shared" si="1089"/>
        <v>11</v>
      </c>
      <c r="M4612" s="5">
        <f t="shared" si="1090"/>
        <v>2025</v>
      </c>
      <c r="N4612" s="156">
        <v>2065.5</v>
      </c>
      <c r="P4612" s="12"/>
      <c r="Q4612" s="7">
        <f t="shared" si="1091"/>
        <v>7669562.5500000091</v>
      </c>
      <c r="R4612" s="44" t="str">
        <f>VLOOKUP(F4612,'Set up'!$A$2:$E$70,5,FALSE)</f>
        <v>Trsf</v>
      </c>
    </row>
    <row r="4613" spans="1:18" ht="16.2" customHeight="1" x14ac:dyDescent="0.3">
      <c r="A4613" s="150" t="s">
        <v>4327</v>
      </c>
      <c r="B4613" s="5">
        <f t="shared" si="1087"/>
        <v>11</v>
      </c>
      <c r="C4613" s="5">
        <f t="shared" si="1088"/>
        <v>2025</v>
      </c>
      <c r="D4613" s="150" t="s">
        <v>4288</v>
      </c>
      <c r="E4613" s="5" t="str">
        <f>VLOOKUP(F4613,'Set up'!$A$2:$C$70,2,FALSE)</f>
        <v>C00000042</v>
      </c>
      <c r="F4613" s="151" t="s">
        <v>2012</v>
      </c>
      <c r="G4613" s="151" t="s">
        <v>46</v>
      </c>
      <c r="H4613" s="150">
        <v>11</v>
      </c>
      <c r="I4613" s="5" t="str">
        <f>VLOOKUP(F4613,'Set up'!$A$2:$C$70,3,FALSE)</f>
        <v>Cash</v>
      </c>
      <c r="J4613" s="5">
        <f>VLOOKUP(F4613,'Set up'!$A$2:$D$70,4,FALSE)</f>
        <v>0</v>
      </c>
      <c r="K4613" s="4">
        <f t="shared" si="1086"/>
        <v>45968</v>
      </c>
      <c r="L4613" s="5">
        <f t="shared" si="1089"/>
        <v>11</v>
      </c>
      <c r="M4613" s="5">
        <f t="shared" si="1090"/>
        <v>2025</v>
      </c>
      <c r="N4613" s="156">
        <v>1265</v>
      </c>
      <c r="P4613" s="12"/>
      <c r="Q4613" s="7">
        <f t="shared" si="1091"/>
        <v>7670827.5500000091</v>
      </c>
      <c r="R4613" s="44" t="str">
        <f>VLOOKUP(F4613,'Set up'!$A$2:$E$70,5,FALSE)</f>
        <v>Trsf</v>
      </c>
    </row>
    <row r="4614" spans="1:18" ht="16.2" customHeight="1" x14ac:dyDescent="0.3">
      <c r="A4614" s="150" t="s">
        <v>4327</v>
      </c>
      <c r="B4614" s="5">
        <f t="shared" si="1087"/>
        <v>11</v>
      </c>
      <c r="C4614" s="5">
        <f t="shared" si="1088"/>
        <v>2025</v>
      </c>
      <c r="D4614" s="150" t="s">
        <v>4288</v>
      </c>
      <c r="E4614" s="5" t="str">
        <f>VLOOKUP(F4614,'Set up'!$A$2:$C$70,2,FALSE)</f>
        <v>C00000042</v>
      </c>
      <c r="F4614" s="151" t="s">
        <v>2012</v>
      </c>
      <c r="G4614" s="151" t="s">
        <v>1073</v>
      </c>
      <c r="H4614" s="150">
        <v>1</v>
      </c>
      <c r="I4614" s="5" t="str">
        <f>VLOOKUP(F4614,'Set up'!$A$2:$C$70,3,FALSE)</f>
        <v>Cash</v>
      </c>
      <c r="J4614" s="5">
        <f>VLOOKUP(F4614,'Set up'!$A$2:$D$70,4,FALSE)</f>
        <v>0</v>
      </c>
      <c r="K4614" s="4">
        <f t="shared" si="1086"/>
        <v>45968</v>
      </c>
      <c r="L4614" s="5">
        <f t="shared" si="1089"/>
        <v>11</v>
      </c>
      <c r="M4614" s="5">
        <f t="shared" si="1090"/>
        <v>2025</v>
      </c>
      <c r="N4614" s="156">
        <v>1050</v>
      </c>
      <c r="P4614" s="12"/>
      <c r="Q4614" s="7">
        <f t="shared" si="1091"/>
        <v>7671877.5500000091</v>
      </c>
      <c r="R4614" s="44" t="str">
        <f>VLOOKUP(F4614,'Set up'!$A$2:$E$70,5,FALSE)</f>
        <v>Trsf</v>
      </c>
    </row>
    <row r="4615" spans="1:18" ht="16.2" customHeight="1" x14ac:dyDescent="0.3">
      <c r="A4615" s="150" t="s">
        <v>4327</v>
      </c>
      <c r="B4615" s="5">
        <f t="shared" si="1087"/>
        <v>11</v>
      </c>
      <c r="C4615" s="5">
        <f t="shared" si="1088"/>
        <v>2025</v>
      </c>
      <c r="D4615" s="150" t="s">
        <v>4288</v>
      </c>
      <c r="E4615" s="5" t="str">
        <f>VLOOKUP(F4615,'Set up'!$A$2:$C$70,2,FALSE)</f>
        <v>C00000042</v>
      </c>
      <c r="F4615" s="151" t="s">
        <v>2012</v>
      </c>
      <c r="G4615" s="151" t="s">
        <v>2744</v>
      </c>
      <c r="H4615" s="150">
        <v>1</v>
      </c>
      <c r="I4615" s="5" t="str">
        <f>VLOOKUP(F4615,'Set up'!$A$2:$C$70,3,FALSE)</f>
        <v>Cash</v>
      </c>
      <c r="J4615" s="5">
        <f>VLOOKUP(F4615,'Set up'!$A$2:$D$70,4,FALSE)</f>
        <v>0</v>
      </c>
      <c r="K4615" s="4">
        <f t="shared" si="1086"/>
        <v>45968</v>
      </c>
      <c r="L4615" s="5">
        <f t="shared" si="1089"/>
        <v>11</v>
      </c>
      <c r="M4615" s="5">
        <f t="shared" si="1090"/>
        <v>2025</v>
      </c>
      <c r="N4615" s="156">
        <v>1000</v>
      </c>
      <c r="P4615" s="12"/>
      <c r="Q4615" s="7">
        <f t="shared" si="1091"/>
        <v>7672877.5500000091</v>
      </c>
      <c r="R4615" s="44" t="str">
        <f>VLOOKUP(F4615,'Set up'!$A$2:$E$70,5,FALSE)</f>
        <v>Trsf</v>
      </c>
    </row>
    <row r="4616" spans="1:18" ht="16.2" customHeight="1" x14ac:dyDescent="0.3">
      <c r="A4616" s="150" t="s">
        <v>4327</v>
      </c>
      <c r="B4616" s="5">
        <f t="shared" si="1087"/>
        <v>11</v>
      </c>
      <c r="C4616" s="5">
        <f t="shared" si="1088"/>
        <v>2025</v>
      </c>
      <c r="D4616" s="150" t="s">
        <v>4289</v>
      </c>
      <c r="E4616" s="5" t="e">
        <f>VLOOKUP(F4616,'Set up'!$A$2:$C$70,2,FALSE)</f>
        <v>#N/A</v>
      </c>
      <c r="F4616" s="151" t="s">
        <v>4346</v>
      </c>
      <c r="G4616" s="151" t="s">
        <v>4350</v>
      </c>
      <c r="H4616" s="150">
        <v>1</v>
      </c>
      <c r="I4616" s="5" t="e">
        <f>VLOOKUP(F4616,'Set up'!$A$2:$C$70,3,FALSE)</f>
        <v>#N/A</v>
      </c>
      <c r="J4616" s="5" t="e">
        <f>VLOOKUP(F4616,'Set up'!$A$2:$D$70,4,FALSE)</f>
        <v>#N/A</v>
      </c>
      <c r="K4616" s="4" t="e">
        <f t="shared" si="1086"/>
        <v>#N/A</v>
      </c>
      <c r="L4616" s="5" t="e">
        <f t="shared" si="1089"/>
        <v>#N/A</v>
      </c>
      <c r="M4616" s="5" t="e">
        <f t="shared" si="1090"/>
        <v>#N/A</v>
      </c>
      <c r="N4616" s="156">
        <v>296</v>
      </c>
      <c r="P4616" s="12"/>
      <c r="Q4616" s="7">
        <f t="shared" si="1091"/>
        <v>7673173.5500000091</v>
      </c>
      <c r="R4616" s="44" t="e">
        <f>VLOOKUP(F4616,'Set up'!$A$2:$E$70,5,FALSE)</f>
        <v>#N/A</v>
      </c>
    </row>
    <row r="4617" spans="1:18" ht="16.2" customHeight="1" x14ac:dyDescent="0.3">
      <c r="A4617" s="150" t="s">
        <v>4328</v>
      </c>
      <c r="B4617" s="5">
        <f t="shared" si="1087"/>
        <v>11</v>
      </c>
      <c r="C4617" s="5">
        <f t="shared" si="1088"/>
        <v>2025</v>
      </c>
      <c r="D4617" s="150" t="s">
        <v>4290</v>
      </c>
      <c r="E4617" s="5" t="e">
        <f>VLOOKUP(F4617,'Set up'!$A$2:$C$70,2,FALSE)</f>
        <v>#N/A</v>
      </c>
      <c r="F4617" s="151" t="s">
        <v>4347</v>
      </c>
      <c r="G4617" s="151" t="s">
        <v>4351</v>
      </c>
      <c r="H4617" s="150">
        <v>1</v>
      </c>
      <c r="I4617" s="5" t="e">
        <f>VLOOKUP(F4617,'Set up'!$A$2:$C$70,3,FALSE)</f>
        <v>#N/A</v>
      </c>
      <c r="J4617" s="5" t="e">
        <f>VLOOKUP(F4617,'Set up'!$A$2:$D$70,4,FALSE)</f>
        <v>#N/A</v>
      </c>
      <c r="K4617" s="4" t="e">
        <f t="shared" si="1086"/>
        <v>#N/A</v>
      </c>
      <c r="L4617" s="5" t="e">
        <f t="shared" si="1089"/>
        <v>#N/A</v>
      </c>
      <c r="M4617" s="5" t="e">
        <f t="shared" si="1090"/>
        <v>#N/A</v>
      </c>
      <c r="N4617" s="156">
        <v>2580</v>
      </c>
      <c r="P4617" s="12"/>
      <c r="Q4617" s="7">
        <f t="shared" si="1091"/>
        <v>7675753.5500000091</v>
      </c>
      <c r="R4617" s="44" t="e">
        <f>VLOOKUP(F4617,'Set up'!$A$2:$E$70,5,FALSE)</f>
        <v>#N/A</v>
      </c>
    </row>
    <row r="4618" spans="1:18" ht="16.2" customHeight="1" x14ac:dyDescent="0.3">
      <c r="A4618" s="150" t="s">
        <v>4329</v>
      </c>
      <c r="B4618" s="5">
        <f t="shared" si="1087"/>
        <v>11</v>
      </c>
      <c r="C4618" s="5">
        <f t="shared" si="1088"/>
        <v>2025</v>
      </c>
      <c r="D4618" s="150" t="s">
        <v>4291</v>
      </c>
      <c r="E4618" s="5" t="e">
        <f>VLOOKUP(F4618,'Set up'!$A$2:$C$70,2,FALSE)</f>
        <v>#N/A</v>
      </c>
      <c r="F4618" s="151" t="s">
        <v>4346</v>
      </c>
      <c r="G4618" s="151" t="s">
        <v>2523</v>
      </c>
      <c r="H4618" s="150">
        <v>1</v>
      </c>
      <c r="I4618" s="5" t="e">
        <f>VLOOKUP(F4618,'Set up'!$A$2:$C$70,3,FALSE)</f>
        <v>#N/A</v>
      </c>
      <c r="J4618" s="5" t="e">
        <f>VLOOKUP(F4618,'Set up'!$A$2:$D$70,4,FALSE)</f>
        <v>#N/A</v>
      </c>
      <c r="K4618" s="4" t="e">
        <f t="shared" si="1086"/>
        <v>#N/A</v>
      </c>
      <c r="L4618" s="5" t="e">
        <f t="shared" si="1089"/>
        <v>#N/A</v>
      </c>
      <c r="M4618" s="5" t="e">
        <f t="shared" si="1090"/>
        <v>#N/A</v>
      </c>
      <c r="N4618" s="156">
        <v>216</v>
      </c>
      <c r="P4618" s="12"/>
      <c r="Q4618" s="7">
        <f t="shared" si="1091"/>
        <v>7675969.5500000091</v>
      </c>
      <c r="R4618" s="44" t="e">
        <f>VLOOKUP(F4618,'Set up'!$A$2:$E$70,5,FALSE)</f>
        <v>#N/A</v>
      </c>
    </row>
    <row r="4619" spans="1:18" ht="16.2" customHeight="1" x14ac:dyDescent="0.3">
      <c r="A4619" s="150" t="s">
        <v>4329</v>
      </c>
      <c r="B4619" s="5">
        <f t="shared" si="1087"/>
        <v>11</v>
      </c>
      <c r="C4619" s="5">
        <f t="shared" si="1088"/>
        <v>2025</v>
      </c>
      <c r="D4619" s="150" t="s">
        <v>4291</v>
      </c>
      <c r="E4619" s="5" t="e">
        <f>VLOOKUP(F4619,'Set up'!$A$2:$C$70,2,FALSE)</f>
        <v>#N/A</v>
      </c>
      <c r="F4619" s="151" t="s">
        <v>4346</v>
      </c>
      <c r="G4619" s="151" t="s">
        <v>2144</v>
      </c>
      <c r="H4619" s="150">
        <v>1</v>
      </c>
      <c r="I4619" s="5" t="e">
        <f>VLOOKUP(F4619,'Set up'!$A$2:$C$70,3,FALSE)</f>
        <v>#N/A</v>
      </c>
      <c r="J4619" s="5" t="e">
        <f>VLOOKUP(F4619,'Set up'!$A$2:$D$70,4,FALSE)</f>
        <v>#N/A</v>
      </c>
      <c r="K4619" s="4" t="e">
        <f t="shared" si="1086"/>
        <v>#N/A</v>
      </c>
      <c r="L4619" s="5" t="e">
        <f t="shared" si="1089"/>
        <v>#N/A</v>
      </c>
      <c r="M4619" s="5" t="e">
        <f t="shared" si="1090"/>
        <v>#N/A</v>
      </c>
      <c r="N4619" s="156">
        <v>283.8</v>
      </c>
      <c r="P4619" s="12"/>
      <c r="Q4619" s="7">
        <f t="shared" si="1091"/>
        <v>7676253.3500000089</v>
      </c>
      <c r="R4619" s="44" t="e">
        <f>VLOOKUP(F4619,'Set up'!$A$2:$E$70,5,FALSE)</f>
        <v>#N/A</v>
      </c>
    </row>
    <row r="4620" spans="1:18" ht="16.2" customHeight="1" x14ac:dyDescent="0.3">
      <c r="A4620" s="150" t="s">
        <v>4329</v>
      </c>
      <c r="B4620" s="5">
        <f t="shared" si="1087"/>
        <v>11</v>
      </c>
      <c r="C4620" s="5">
        <f t="shared" si="1088"/>
        <v>2025</v>
      </c>
      <c r="D4620" s="150" t="s">
        <v>4291</v>
      </c>
      <c r="E4620" s="5" t="e">
        <f>VLOOKUP(F4620,'Set up'!$A$2:$C$70,2,FALSE)</f>
        <v>#N/A</v>
      </c>
      <c r="F4620" s="151" t="s">
        <v>4346</v>
      </c>
      <c r="G4620" s="151" t="s">
        <v>4352</v>
      </c>
      <c r="H4620" s="150">
        <v>4</v>
      </c>
      <c r="I4620" s="5" t="e">
        <f>VLOOKUP(F4620,'Set up'!$A$2:$C$70,3,FALSE)</f>
        <v>#N/A</v>
      </c>
      <c r="J4620" s="5" t="e">
        <f>VLOOKUP(F4620,'Set up'!$A$2:$D$70,4,FALSE)</f>
        <v>#N/A</v>
      </c>
      <c r="K4620" s="4" t="e">
        <f t="shared" si="1086"/>
        <v>#N/A</v>
      </c>
      <c r="L4620" s="5" t="e">
        <f t="shared" si="1089"/>
        <v>#N/A</v>
      </c>
      <c r="M4620" s="5" t="e">
        <f t="shared" si="1090"/>
        <v>#N/A</v>
      </c>
      <c r="N4620" s="156">
        <v>780</v>
      </c>
      <c r="P4620" s="12"/>
      <c r="Q4620" s="7">
        <f t="shared" si="1091"/>
        <v>7677033.3500000089</v>
      </c>
      <c r="R4620" s="44" t="e">
        <f>VLOOKUP(F4620,'Set up'!$A$2:$E$70,5,FALSE)</f>
        <v>#N/A</v>
      </c>
    </row>
    <row r="4621" spans="1:18" ht="16.2" customHeight="1" x14ac:dyDescent="0.3">
      <c r="A4621" s="150" t="s">
        <v>4330</v>
      </c>
      <c r="B4621" s="5">
        <f t="shared" si="1087"/>
        <v>11</v>
      </c>
      <c r="C4621" s="5">
        <f t="shared" si="1088"/>
        <v>2025</v>
      </c>
      <c r="D4621" s="150" t="s">
        <v>4292</v>
      </c>
      <c r="E4621" s="5" t="str">
        <f>VLOOKUP(F4621,'Set up'!$A$2:$C$70,2,FALSE)</f>
        <v>C00000042</v>
      </c>
      <c r="F4621" s="151" t="s">
        <v>2012</v>
      </c>
      <c r="G4621" s="151" t="s">
        <v>2646</v>
      </c>
      <c r="H4621" s="150">
        <v>5</v>
      </c>
      <c r="I4621" s="5" t="str">
        <f>VLOOKUP(F4621,'Set up'!$A$2:$C$70,3,FALSE)</f>
        <v>Cash</v>
      </c>
      <c r="J4621" s="5">
        <f>VLOOKUP(F4621,'Set up'!$A$2:$D$70,4,FALSE)</f>
        <v>0</v>
      </c>
      <c r="K4621" s="4">
        <f t="shared" si="1086"/>
        <v>45972</v>
      </c>
      <c r="L4621" s="5">
        <f t="shared" si="1089"/>
        <v>11</v>
      </c>
      <c r="M4621" s="5">
        <f t="shared" si="1090"/>
        <v>2025</v>
      </c>
      <c r="N4621" s="156">
        <v>312.5</v>
      </c>
      <c r="P4621" s="12"/>
      <c r="Q4621" s="7">
        <f t="shared" si="1091"/>
        <v>7677345.8500000089</v>
      </c>
      <c r="R4621" s="44" t="str">
        <f>VLOOKUP(F4621,'Set up'!$A$2:$E$70,5,FALSE)</f>
        <v>Trsf</v>
      </c>
    </row>
    <row r="4622" spans="1:18" ht="16.2" customHeight="1" x14ac:dyDescent="0.3">
      <c r="A4622" s="150" t="s">
        <v>4330</v>
      </c>
      <c r="B4622" s="5">
        <f t="shared" si="1087"/>
        <v>11</v>
      </c>
      <c r="C4622" s="5">
        <f t="shared" si="1088"/>
        <v>2025</v>
      </c>
      <c r="D4622" s="150" t="s">
        <v>4293</v>
      </c>
      <c r="E4622" s="5" t="str">
        <f>VLOOKUP(F4622,'Set up'!$A$2:$C$70,2,FALSE)</f>
        <v>C00000042</v>
      </c>
      <c r="F4622" s="151" t="s">
        <v>2012</v>
      </c>
      <c r="G4622" s="151" t="s">
        <v>3645</v>
      </c>
      <c r="H4622" s="150">
        <v>10</v>
      </c>
      <c r="I4622" s="5" t="str">
        <f>VLOOKUP(F4622,'Set up'!$A$2:$C$70,3,FALSE)</f>
        <v>Cash</v>
      </c>
      <c r="J4622" s="5">
        <f>VLOOKUP(F4622,'Set up'!$A$2:$D$70,4,FALSE)</f>
        <v>0</v>
      </c>
      <c r="K4622" s="4">
        <f t="shared" si="1086"/>
        <v>45972</v>
      </c>
      <c r="L4622" s="5">
        <f t="shared" si="1089"/>
        <v>11</v>
      </c>
      <c r="M4622" s="5">
        <f t="shared" si="1090"/>
        <v>2025</v>
      </c>
      <c r="N4622" s="156">
        <v>15525</v>
      </c>
      <c r="P4622" s="12"/>
      <c r="Q4622" s="7">
        <f t="shared" si="1091"/>
        <v>7692870.8500000089</v>
      </c>
      <c r="R4622" s="44" t="str">
        <f>VLOOKUP(F4622,'Set up'!$A$2:$E$70,5,FALSE)</f>
        <v>Trsf</v>
      </c>
    </row>
    <row r="4623" spans="1:18" ht="16.2" customHeight="1" x14ac:dyDescent="0.3">
      <c r="A4623" s="150" t="s">
        <v>4330</v>
      </c>
      <c r="B4623" s="5">
        <f t="shared" si="1087"/>
        <v>11</v>
      </c>
      <c r="C4623" s="5">
        <f t="shared" si="1088"/>
        <v>2025</v>
      </c>
      <c r="D4623" s="150" t="s">
        <v>4293</v>
      </c>
      <c r="E4623" s="5" t="str">
        <f>VLOOKUP(F4623,'Set up'!$A$2:$C$70,2,FALSE)</f>
        <v>C00000042</v>
      </c>
      <c r="F4623" s="151" t="s">
        <v>2012</v>
      </c>
      <c r="G4623" s="151" t="s">
        <v>1392</v>
      </c>
      <c r="H4623" s="150">
        <v>30</v>
      </c>
      <c r="I4623" s="5" t="str">
        <f>VLOOKUP(F4623,'Set up'!$A$2:$C$70,3,FALSE)</f>
        <v>Cash</v>
      </c>
      <c r="J4623" s="5">
        <f>VLOOKUP(F4623,'Set up'!$A$2:$D$70,4,FALSE)</f>
        <v>0</v>
      </c>
      <c r="K4623" s="4">
        <f t="shared" si="1086"/>
        <v>45972</v>
      </c>
      <c r="L4623" s="5">
        <f t="shared" si="1089"/>
        <v>11</v>
      </c>
      <c r="M4623" s="5">
        <f t="shared" si="1090"/>
        <v>2025</v>
      </c>
      <c r="N4623" s="156">
        <v>5310</v>
      </c>
      <c r="P4623" s="12"/>
      <c r="Q4623" s="7">
        <f t="shared" si="1091"/>
        <v>7698180.8500000089</v>
      </c>
      <c r="R4623" s="44" t="str">
        <f>VLOOKUP(F4623,'Set up'!$A$2:$E$70,5,FALSE)</f>
        <v>Trsf</v>
      </c>
    </row>
    <row r="4624" spans="1:18" ht="16.2" customHeight="1" x14ac:dyDescent="0.3">
      <c r="A4624" s="150" t="s">
        <v>4330</v>
      </c>
      <c r="B4624" s="5">
        <f t="shared" si="1087"/>
        <v>11</v>
      </c>
      <c r="C4624" s="5">
        <f t="shared" si="1088"/>
        <v>2025</v>
      </c>
      <c r="D4624" s="150" t="s">
        <v>4293</v>
      </c>
      <c r="E4624" s="5" t="str">
        <f>VLOOKUP(F4624,'Set up'!$A$2:$C$70,2,FALSE)</f>
        <v>C00000042</v>
      </c>
      <c r="F4624" s="151" t="s">
        <v>2012</v>
      </c>
      <c r="G4624" s="151" t="s">
        <v>1922</v>
      </c>
      <c r="H4624" s="150">
        <v>15</v>
      </c>
      <c r="I4624" s="5" t="str">
        <f>VLOOKUP(F4624,'Set up'!$A$2:$C$70,3,FALSE)</f>
        <v>Cash</v>
      </c>
      <c r="J4624" s="5">
        <f>VLOOKUP(F4624,'Set up'!$A$2:$D$70,4,FALSE)</f>
        <v>0</v>
      </c>
      <c r="K4624" s="4">
        <f t="shared" si="1086"/>
        <v>45972</v>
      </c>
      <c r="L4624" s="5">
        <f t="shared" si="1089"/>
        <v>11</v>
      </c>
      <c r="M4624" s="5">
        <f t="shared" si="1090"/>
        <v>2025</v>
      </c>
      <c r="N4624" s="156">
        <v>3442.5</v>
      </c>
      <c r="P4624" s="12"/>
      <c r="Q4624" s="7">
        <f t="shared" si="1091"/>
        <v>7701623.3500000089</v>
      </c>
      <c r="R4624" s="44" t="str">
        <f>VLOOKUP(F4624,'Set up'!$A$2:$E$70,5,FALSE)</f>
        <v>Trsf</v>
      </c>
    </row>
    <row r="4625" spans="1:18" ht="16.2" customHeight="1" x14ac:dyDescent="0.3">
      <c r="A4625" s="150" t="s">
        <v>4330</v>
      </c>
      <c r="B4625" s="5">
        <f t="shared" si="1087"/>
        <v>11</v>
      </c>
      <c r="C4625" s="5">
        <f t="shared" si="1088"/>
        <v>2025</v>
      </c>
      <c r="D4625" s="150" t="s">
        <v>4293</v>
      </c>
      <c r="E4625" s="5" t="str">
        <f>VLOOKUP(F4625,'Set up'!$A$2:$C$70,2,FALSE)</f>
        <v>C00000042</v>
      </c>
      <c r="F4625" s="151" t="s">
        <v>2012</v>
      </c>
      <c r="G4625" s="151" t="s">
        <v>46</v>
      </c>
      <c r="H4625" s="150">
        <v>4</v>
      </c>
      <c r="I4625" s="5" t="str">
        <f>VLOOKUP(F4625,'Set up'!$A$2:$C$70,3,FALSE)</f>
        <v>Cash</v>
      </c>
      <c r="J4625" s="5">
        <f>VLOOKUP(F4625,'Set up'!$A$2:$D$70,4,FALSE)</f>
        <v>0</v>
      </c>
      <c r="K4625" s="4">
        <f t="shared" si="1086"/>
        <v>45972</v>
      </c>
      <c r="L4625" s="5">
        <f t="shared" si="1089"/>
        <v>11</v>
      </c>
      <c r="M4625" s="5">
        <f t="shared" si="1090"/>
        <v>2025</v>
      </c>
      <c r="N4625" s="156">
        <v>460</v>
      </c>
      <c r="P4625" s="12"/>
      <c r="Q4625" s="7">
        <f t="shared" si="1091"/>
        <v>7702083.3500000089</v>
      </c>
      <c r="R4625" s="44" t="str">
        <f>VLOOKUP(F4625,'Set up'!$A$2:$E$70,5,FALSE)</f>
        <v>Trsf</v>
      </c>
    </row>
    <row r="4626" spans="1:18" ht="16.2" customHeight="1" x14ac:dyDescent="0.3">
      <c r="A4626" s="150" t="s">
        <v>4330</v>
      </c>
      <c r="B4626" s="5">
        <f t="shared" si="1087"/>
        <v>11</v>
      </c>
      <c r="C4626" s="5">
        <f t="shared" si="1088"/>
        <v>2025</v>
      </c>
      <c r="D4626" s="150" t="s">
        <v>4293</v>
      </c>
      <c r="E4626" s="5" t="str">
        <f>VLOOKUP(F4626,'Set up'!$A$2:$C$70,2,FALSE)</f>
        <v>C00000042</v>
      </c>
      <c r="F4626" s="151" t="s">
        <v>2012</v>
      </c>
      <c r="G4626" s="151" t="s">
        <v>1073</v>
      </c>
      <c r="H4626" s="150">
        <v>2</v>
      </c>
      <c r="I4626" s="5" t="str">
        <f>VLOOKUP(F4626,'Set up'!$A$2:$C$70,3,FALSE)</f>
        <v>Cash</v>
      </c>
      <c r="J4626" s="5">
        <f>VLOOKUP(F4626,'Set up'!$A$2:$D$70,4,FALSE)</f>
        <v>0</v>
      </c>
      <c r="K4626" s="4">
        <f t="shared" si="1086"/>
        <v>45972</v>
      </c>
      <c r="L4626" s="5">
        <f t="shared" si="1089"/>
        <v>11</v>
      </c>
      <c r="M4626" s="5">
        <f t="shared" si="1090"/>
        <v>2025</v>
      </c>
      <c r="N4626" s="156">
        <v>2100</v>
      </c>
      <c r="P4626" s="12"/>
      <c r="Q4626" s="7">
        <f t="shared" si="1091"/>
        <v>7704183.3500000089</v>
      </c>
      <c r="R4626" s="44" t="str">
        <f>VLOOKUP(F4626,'Set up'!$A$2:$E$70,5,FALSE)</f>
        <v>Trsf</v>
      </c>
    </row>
    <row r="4627" spans="1:18" ht="16.2" customHeight="1" x14ac:dyDescent="0.3">
      <c r="A4627" s="150" t="s">
        <v>4330</v>
      </c>
      <c r="B4627" s="5">
        <f t="shared" si="1087"/>
        <v>11</v>
      </c>
      <c r="C4627" s="5">
        <f t="shared" si="1088"/>
        <v>2025</v>
      </c>
      <c r="D4627" s="150" t="s">
        <v>4293</v>
      </c>
      <c r="E4627" s="5" t="str">
        <f>VLOOKUP(F4627,'Set up'!$A$2:$C$70,2,FALSE)</f>
        <v>C00000042</v>
      </c>
      <c r="F4627" s="151" t="s">
        <v>2012</v>
      </c>
      <c r="G4627" s="151" t="s">
        <v>614</v>
      </c>
      <c r="H4627" s="150">
        <v>1</v>
      </c>
      <c r="I4627" s="5" t="str">
        <f>VLOOKUP(F4627,'Set up'!$A$2:$C$70,3,FALSE)</f>
        <v>Cash</v>
      </c>
      <c r="J4627" s="5">
        <f>VLOOKUP(F4627,'Set up'!$A$2:$D$70,4,FALSE)</f>
        <v>0</v>
      </c>
      <c r="K4627" s="4">
        <f t="shared" si="1086"/>
        <v>45972</v>
      </c>
      <c r="L4627" s="5">
        <f t="shared" si="1089"/>
        <v>11</v>
      </c>
      <c r="M4627" s="5">
        <f t="shared" si="1090"/>
        <v>2025</v>
      </c>
      <c r="N4627" s="156">
        <v>420</v>
      </c>
      <c r="P4627" s="12"/>
      <c r="Q4627" s="7">
        <f t="shared" si="1091"/>
        <v>7704603.3500000089</v>
      </c>
      <c r="R4627" s="44" t="str">
        <f>VLOOKUP(F4627,'Set up'!$A$2:$E$70,5,FALSE)</f>
        <v>Trsf</v>
      </c>
    </row>
    <row r="4628" spans="1:18" ht="16.2" customHeight="1" x14ac:dyDescent="0.3">
      <c r="A4628" s="150" t="s">
        <v>4330</v>
      </c>
      <c r="B4628" s="5">
        <f t="shared" si="1087"/>
        <v>11</v>
      </c>
      <c r="C4628" s="5">
        <f t="shared" si="1088"/>
        <v>2025</v>
      </c>
      <c r="D4628" s="150" t="s">
        <v>4293</v>
      </c>
      <c r="E4628" s="5" t="str">
        <f>VLOOKUP(F4628,'Set up'!$A$2:$C$70,2,FALSE)</f>
        <v>C00000042</v>
      </c>
      <c r="F4628" s="151" t="s">
        <v>2012</v>
      </c>
      <c r="G4628" s="151" t="s">
        <v>1469</v>
      </c>
      <c r="H4628" s="150">
        <v>1</v>
      </c>
      <c r="I4628" s="5" t="str">
        <f>VLOOKUP(F4628,'Set up'!$A$2:$C$70,3,FALSE)</f>
        <v>Cash</v>
      </c>
      <c r="J4628" s="5">
        <f>VLOOKUP(F4628,'Set up'!$A$2:$D$70,4,FALSE)</f>
        <v>0</v>
      </c>
      <c r="K4628" s="4">
        <f t="shared" si="1086"/>
        <v>45972</v>
      </c>
      <c r="L4628" s="5">
        <f t="shared" si="1089"/>
        <v>11</v>
      </c>
      <c r="M4628" s="5">
        <f t="shared" si="1090"/>
        <v>2025</v>
      </c>
      <c r="N4628" s="156">
        <v>410</v>
      </c>
      <c r="P4628" s="12"/>
      <c r="Q4628" s="7">
        <f t="shared" si="1091"/>
        <v>7705013.3500000089</v>
      </c>
      <c r="R4628" s="44" t="str">
        <f>VLOOKUP(F4628,'Set up'!$A$2:$E$70,5,FALSE)</f>
        <v>Trsf</v>
      </c>
    </row>
    <row r="4629" spans="1:18" ht="16.2" customHeight="1" x14ac:dyDescent="0.3">
      <c r="A4629" s="150" t="s">
        <v>4330</v>
      </c>
      <c r="B4629" s="5">
        <f t="shared" si="1087"/>
        <v>11</v>
      </c>
      <c r="C4629" s="5">
        <f t="shared" si="1088"/>
        <v>2025</v>
      </c>
      <c r="D4629" s="150" t="s">
        <v>4293</v>
      </c>
      <c r="E4629" s="5" t="str">
        <f>VLOOKUP(F4629,'Set up'!$A$2:$C$70,2,FALSE)</f>
        <v>C00000042</v>
      </c>
      <c r="F4629" s="151" t="s">
        <v>2012</v>
      </c>
      <c r="G4629" s="151" t="s">
        <v>949</v>
      </c>
      <c r="H4629" s="150">
        <v>1</v>
      </c>
      <c r="I4629" s="5" t="str">
        <f>VLOOKUP(F4629,'Set up'!$A$2:$C$70,3,FALSE)</f>
        <v>Cash</v>
      </c>
      <c r="J4629" s="5">
        <f>VLOOKUP(F4629,'Set up'!$A$2:$D$70,4,FALSE)</f>
        <v>0</v>
      </c>
      <c r="K4629" s="4">
        <f t="shared" si="1086"/>
        <v>45972</v>
      </c>
      <c r="L4629" s="5">
        <f t="shared" si="1089"/>
        <v>11</v>
      </c>
      <c r="M4629" s="5">
        <f t="shared" si="1090"/>
        <v>2025</v>
      </c>
      <c r="N4629" s="156">
        <v>60</v>
      </c>
      <c r="P4629" s="12"/>
      <c r="Q4629" s="7">
        <f t="shared" si="1091"/>
        <v>7705073.3500000089</v>
      </c>
      <c r="R4629" s="44" t="str">
        <f>VLOOKUP(F4629,'Set up'!$A$2:$E$70,5,FALSE)</f>
        <v>Trsf</v>
      </c>
    </row>
    <row r="4630" spans="1:18" ht="16.2" customHeight="1" x14ac:dyDescent="0.3">
      <c r="A4630" s="150" t="s">
        <v>4330</v>
      </c>
      <c r="B4630" s="5">
        <f t="shared" si="1087"/>
        <v>11</v>
      </c>
      <c r="C4630" s="5">
        <f t="shared" si="1088"/>
        <v>2025</v>
      </c>
      <c r="D4630" s="150" t="s">
        <v>4294</v>
      </c>
      <c r="E4630" s="5" t="str">
        <f>VLOOKUP(F4630,'Set up'!$A$2:$C$70,2,FALSE)</f>
        <v>C00000049</v>
      </c>
      <c r="F4630" s="151" t="s">
        <v>2728</v>
      </c>
      <c r="G4630" s="151" t="s">
        <v>4353</v>
      </c>
      <c r="H4630" s="150">
        <v>1</v>
      </c>
      <c r="I4630" s="5" t="str">
        <f>VLOOKUP(F4630,'Set up'!$A$2:$C$70,3,FALSE)</f>
        <v>Cash</v>
      </c>
      <c r="J4630" s="5">
        <f>VLOOKUP(F4630,'Set up'!$A$2:$D$70,4,FALSE)</f>
        <v>0</v>
      </c>
      <c r="K4630" s="4">
        <f t="shared" si="1086"/>
        <v>45972</v>
      </c>
      <c r="L4630" s="5">
        <f t="shared" si="1089"/>
        <v>11</v>
      </c>
      <c r="M4630" s="5">
        <f t="shared" si="1090"/>
        <v>2025</v>
      </c>
      <c r="N4630" s="156">
        <v>165</v>
      </c>
      <c r="P4630" s="12"/>
      <c r="Q4630" s="7">
        <f t="shared" si="1091"/>
        <v>7705238.3500000089</v>
      </c>
      <c r="R4630" s="44" t="str">
        <f>VLOOKUP(F4630,'Set up'!$A$2:$E$70,5,FALSE)</f>
        <v>Cash</v>
      </c>
    </row>
    <row r="4631" spans="1:18" ht="16.2" customHeight="1" x14ac:dyDescent="0.3">
      <c r="A4631" s="150" t="s">
        <v>4331</v>
      </c>
      <c r="B4631" s="5">
        <f t="shared" si="1087"/>
        <v>11</v>
      </c>
      <c r="C4631" s="5">
        <f t="shared" si="1088"/>
        <v>2025</v>
      </c>
      <c r="D4631" s="150" t="s">
        <v>4295</v>
      </c>
      <c r="E4631" s="5" t="e">
        <f>VLOOKUP(F4631,'Set up'!$A$2:$C$70,2,FALSE)</f>
        <v>#N/A</v>
      </c>
      <c r="F4631" s="151" t="s">
        <v>4346</v>
      </c>
      <c r="G4631" s="151" t="s">
        <v>3533</v>
      </c>
      <c r="H4631" s="150">
        <v>1</v>
      </c>
      <c r="I4631" s="5" t="e">
        <f>VLOOKUP(F4631,'Set up'!$A$2:$C$70,3,FALSE)</f>
        <v>#N/A</v>
      </c>
      <c r="J4631" s="5" t="e">
        <f>VLOOKUP(F4631,'Set up'!$A$2:$D$70,4,FALSE)</f>
        <v>#N/A</v>
      </c>
      <c r="K4631" s="4" t="e">
        <f t="shared" si="1086"/>
        <v>#N/A</v>
      </c>
      <c r="L4631" s="5" t="e">
        <f t="shared" si="1089"/>
        <v>#N/A</v>
      </c>
      <c r="M4631" s="5" t="e">
        <f t="shared" si="1090"/>
        <v>#N/A</v>
      </c>
      <c r="N4631" s="156">
        <v>1687.5</v>
      </c>
      <c r="P4631" s="12"/>
      <c r="Q4631" s="7">
        <f t="shared" si="1091"/>
        <v>7706925.8500000089</v>
      </c>
      <c r="R4631" s="44" t="e">
        <f>VLOOKUP(F4631,'Set up'!$A$2:$E$70,5,FALSE)</f>
        <v>#N/A</v>
      </c>
    </row>
    <row r="4632" spans="1:18" ht="16.2" customHeight="1" x14ac:dyDescent="0.3">
      <c r="A4632" s="150" t="s">
        <v>4331</v>
      </c>
      <c r="B4632" s="5">
        <f t="shared" si="1087"/>
        <v>11</v>
      </c>
      <c r="C4632" s="5">
        <f t="shared" si="1088"/>
        <v>2025</v>
      </c>
      <c r="D4632" s="150" t="s">
        <v>4295</v>
      </c>
      <c r="E4632" s="5" t="e">
        <f>VLOOKUP(F4632,'Set up'!$A$2:$C$70,2,FALSE)</f>
        <v>#N/A</v>
      </c>
      <c r="F4632" s="151" t="s">
        <v>4346</v>
      </c>
      <c r="G4632" s="151" t="s">
        <v>2523</v>
      </c>
      <c r="H4632" s="150">
        <v>2</v>
      </c>
      <c r="I4632" s="5" t="e">
        <f>VLOOKUP(F4632,'Set up'!$A$2:$C$70,3,FALSE)</f>
        <v>#N/A</v>
      </c>
      <c r="J4632" s="5" t="e">
        <f>VLOOKUP(F4632,'Set up'!$A$2:$D$70,4,FALSE)</f>
        <v>#N/A</v>
      </c>
      <c r="K4632" s="4" t="e">
        <f t="shared" si="1086"/>
        <v>#N/A</v>
      </c>
      <c r="L4632" s="5" t="e">
        <f t="shared" si="1089"/>
        <v>#N/A</v>
      </c>
      <c r="M4632" s="5" t="e">
        <f t="shared" si="1090"/>
        <v>#N/A</v>
      </c>
      <c r="N4632" s="156">
        <v>432</v>
      </c>
      <c r="P4632" s="12"/>
      <c r="Q4632" s="7">
        <f t="shared" si="1091"/>
        <v>7707357.8500000089</v>
      </c>
      <c r="R4632" s="44" t="e">
        <f>VLOOKUP(F4632,'Set up'!$A$2:$E$70,5,FALSE)</f>
        <v>#N/A</v>
      </c>
    </row>
    <row r="4633" spans="1:18" ht="16.2" customHeight="1" x14ac:dyDescent="0.3">
      <c r="A4633" s="150" t="s">
        <v>4331</v>
      </c>
      <c r="B4633" s="5">
        <f t="shared" si="1087"/>
        <v>11</v>
      </c>
      <c r="C4633" s="5">
        <f t="shared" si="1088"/>
        <v>2025</v>
      </c>
      <c r="D4633" s="150" t="s">
        <v>4295</v>
      </c>
      <c r="E4633" s="5" t="e">
        <f>VLOOKUP(F4633,'Set up'!$A$2:$C$70,2,FALSE)</f>
        <v>#N/A</v>
      </c>
      <c r="F4633" s="151" t="s">
        <v>4346</v>
      </c>
      <c r="G4633" s="151" t="s">
        <v>2144</v>
      </c>
      <c r="H4633" s="150">
        <v>1</v>
      </c>
      <c r="I4633" s="5" t="e">
        <f>VLOOKUP(F4633,'Set up'!$A$2:$C$70,3,FALSE)</f>
        <v>#N/A</v>
      </c>
      <c r="J4633" s="5" t="e">
        <f>VLOOKUP(F4633,'Set up'!$A$2:$D$70,4,FALSE)</f>
        <v>#N/A</v>
      </c>
      <c r="K4633" s="4" t="e">
        <f t="shared" si="1086"/>
        <v>#N/A</v>
      </c>
      <c r="L4633" s="5" t="e">
        <f t="shared" si="1089"/>
        <v>#N/A</v>
      </c>
      <c r="M4633" s="5" t="e">
        <f t="shared" si="1090"/>
        <v>#N/A</v>
      </c>
      <c r="N4633" s="156">
        <v>283.8</v>
      </c>
      <c r="P4633" s="12"/>
      <c r="Q4633" s="7">
        <f t="shared" si="1091"/>
        <v>7707641.6500000088</v>
      </c>
      <c r="R4633" s="44" t="e">
        <f>VLOOKUP(F4633,'Set up'!$A$2:$E$70,5,FALSE)</f>
        <v>#N/A</v>
      </c>
    </row>
    <row r="4634" spans="1:18" ht="16.2" customHeight="1" x14ac:dyDescent="0.3">
      <c r="A4634" s="150" t="s">
        <v>4331</v>
      </c>
      <c r="B4634" s="5">
        <f t="shared" si="1087"/>
        <v>11</v>
      </c>
      <c r="C4634" s="5">
        <f t="shared" si="1088"/>
        <v>2025</v>
      </c>
      <c r="D4634" s="150" t="s">
        <v>4295</v>
      </c>
      <c r="E4634" s="5" t="e">
        <f>VLOOKUP(F4634,'Set up'!$A$2:$C$70,2,FALSE)</f>
        <v>#N/A</v>
      </c>
      <c r="F4634" s="151" t="s">
        <v>4346</v>
      </c>
      <c r="G4634" s="151" t="s">
        <v>17</v>
      </c>
      <c r="H4634" s="150">
        <v>1</v>
      </c>
      <c r="I4634" s="5" t="e">
        <f>VLOOKUP(F4634,'Set up'!$A$2:$C$70,3,FALSE)</f>
        <v>#N/A</v>
      </c>
      <c r="J4634" s="5" t="e">
        <f>VLOOKUP(F4634,'Set up'!$A$2:$D$70,4,FALSE)</f>
        <v>#N/A</v>
      </c>
      <c r="K4634" s="4" t="e">
        <f t="shared" si="1086"/>
        <v>#N/A</v>
      </c>
      <c r="L4634" s="5" t="e">
        <f t="shared" si="1089"/>
        <v>#N/A</v>
      </c>
      <c r="M4634" s="5" t="e">
        <f t="shared" si="1090"/>
        <v>#N/A</v>
      </c>
      <c r="N4634" s="156">
        <v>120</v>
      </c>
      <c r="P4634" s="12"/>
      <c r="Q4634" s="7">
        <f t="shared" si="1091"/>
        <v>7707761.6500000088</v>
      </c>
      <c r="R4634" s="44" t="e">
        <f>VLOOKUP(F4634,'Set up'!$A$2:$E$70,5,FALSE)</f>
        <v>#N/A</v>
      </c>
    </row>
    <row r="4635" spans="1:18" ht="16.2" customHeight="1" x14ac:dyDescent="0.3">
      <c r="A4635" s="150" t="s">
        <v>4331</v>
      </c>
      <c r="B4635" s="5">
        <f t="shared" si="1087"/>
        <v>11</v>
      </c>
      <c r="C4635" s="5">
        <f t="shared" si="1088"/>
        <v>2025</v>
      </c>
      <c r="D4635" s="150" t="s">
        <v>4295</v>
      </c>
      <c r="E4635" s="5" t="e">
        <f>VLOOKUP(F4635,'Set up'!$A$2:$C$70,2,FALSE)</f>
        <v>#N/A</v>
      </c>
      <c r="F4635" s="151" t="s">
        <v>4346</v>
      </c>
      <c r="G4635" s="151" t="s">
        <v>4348</v>
      </c>
      <c r="H4635" s="150">
        <v>1</v>
      </c>
      <c r="I4635" s="5" t="e">
        <f>VLOOKUP(F4635,'Set up'!$A$2:$C$70,3,FALSE)</f>
        <v>#N/A</v>
      </c>
      <c r="J4635" s="5" t="e">
        <f>VLOOKUP(F4635,'Set up'!$A$2:$D$70,4,FALSE)</f>
        <v>#N/A</v>
      </c>
      <c r="K4635" s="4" t="e">
        <f t="shared" si="1086"/>
        <v>#N/A</v>
      </c>
      <c r="L4635" s="5" t="e">
        <f t="shared" si="1089"/>
        <v>#N/A</v>
      </c>
      <c r="M4635" s="5" t="e">
        <f t="shared" si="1090"/>
        <v>#N/A</v>
      </c>
      <c r="N4635" s="156">
        <v>60</v>
      </c>
      <c r="P4635" s="12"/>
      <c r="Q4635" s="7">
        <f t="shared" si="1091"/>
        <v>7707821.6500000088</v>
      </c>
      <c r="R4635" s="44" t="e">
        <f>VLOOKUP(F4635,'Set up'!$A$2:$E$70,5,FALSE)</f>
        <v>#N/A</v>
      </c>
    </row>
    <row r="4636" spans="1:18" ht="16.2" customHeight="1" x14ac:dyDescent="0.3">
      <c r="A4636" s="150" t="s">
        <v>4332</v>
      </c>
      <c r="B4636" s="5">
        <f t="shared" si="1087"/>
        <v>11</v>
      </c>
      <c r="C4636" s="5">
        <f t="shared" si="1088"/>
        <v>2025</v>
      </c>
      <c r="D4636" s="150" t="s">
        <v>4296</v>
      </c>
      <c r="E4636" s="5" t="str">
        <f>VLOOKUP(F4636,'Set up'!$A$2:$C$70,2,FALSE)</f>
        <v>C00000050</v>
      </c>
      <c r="F4636" s="151" t="s">
        <v>2656</v>
      </c>
      <c r="G4636" s="151" t="s">
        <v>3615</v>
      </c>
      <c r="H4636" s="150">
        <v>1</v>
      </c>
      <c r="I4636" s="5" t="str">
        <f>VLOOKUP(F4636,'Set up'!$A$2:$C$70,3,FALSE)</f>
        <v>Cash</v>
      </c>
      <c r="J4636" s="5">
        <f>VLOOKUP(F4636,'Set up'!$A$2:$D$70,4,FALSE)</f>
        <v>0</v>
      </c>
      <c r="K4636" s="4">
        <f t="shared" si="1086"/>
        <v>45974</v>
      </c>
      <c r="L4636" s="5">
        <f t="shared" si="1089"/>
        <v>11</v>
      </c>
      <c r="M4636" s="5">
        <f t="shared" si="1090"/>
        <v>2025</v>
      </c>
      <c r="N4636" s="156">
        <v>1687.5</v>
      </c>
      <c r="P4636" s="12"/>
      <c r="Q4636" s="7">
        <f t="shared" si="1091"/>
        <v>7709509.1500000088</v>
      </c>
      <c r="R4636" s="44" t="str">
        <f>VLOOKUP(F4636,'Set up'!$A$2:$E$70,5,FALSE)</f>
        <v>Cash</v>
      </c>
    </row>
    <row r="4637" spans="1:18" ht="16.2" customHeight="1" x14ac:dyDescent="0.3">
      <c r="A4637" s="150" t="s">
        <v>4332</v>
      </c>
      <c r="B4637" s="5">
        <f t="shared" si="1087"/>
        <v>11</v>
      </c>
      <c r="C4637" s="5">
        <f t="shared" si="1088"/>
        <v>2025</v>
      </c>
      <c r="D4637" s="150" t="s">
        <v>4296</v>
      </c>
      <c r="E4637" s="5" t="str">
        <f>VLOOKUP(F4637,'Set up'!$A$2:$C$70,2,FALSE)</f>
        <v>C00000050</v>
      </c>
      <c r="F4637" s="151" t="s">
        <v>2656</v>
      </c>
      <c r="G4637" s="151" t="s">
        <v>2129</v>
      </c>
      <c r="H4637" s="150">
        <v>2</v>
      </c>
      <c r="I4637" s="5" t="str">
        <f>VLOOKUP(F4637,'Set up'!$A$2:$C$70,3,FALSE)</f>
        <v>Cash</v>
      </c>
      <c r="J4637" s="5">
        <f>VLOOKUP(F4637,'Set up'!$A$2:$D$70,4,FALSE)</f>
        <v>0</v>
      </c>
      <c r="K4637" s="4">
        <f t="shared" si="1086"/>
        <v>45974</v>
      </c>
      <c r="L4637" s="5">
        <f t="shared" si="1089"/>
        <v>11</v>
      </c>
      <c r="M4637" s="5">
        <f t="shared" si="1090"/>
        <v>2025</v>
      </c>
      <c r="N4637" s="156">
        <v>532.79999999999995</v>
      </c>
      <c r="P4637" s="12"/>
      <c r="Q4637" s="7">
        <f t="shared" si="1091"/>
        <v>7710041.9500000086</v>
      </c>
      <c r="R4637" s="44" t="str">
        <f>VLOOKUP(F4637,'Set up'!$A$2:$E$70,5,FALSE)</f>
        <v>Cash</v>
      </c>
    </row>
    <row r="4638" spans="1:18" ht="16.2" customHeight="1" x14ac:dyDescent="0.3">
      <c r="A4638" s="150" t="s">
        <v>4332</v>
      </c>
      <c r="B4638" s="5">
        <f t="shared" si="1087"/>
        <v>11</v>
      </c>
      <c r="C4638" s="5">
        <f t="shared" si="1088"/>
        <v>2025</v>
      </c>
      <c r="D4638" s="150" t="s">
        <v>4296</v>
      </c>
      <c r="E4638" s="5" t="str">
        <f>VLOOKUP(F4638,'Set up'!$A$2:$C$70,2,FALSE)</f>
        <v>C00000050</v>
      </c>
      <c r="F4638" s="151" t="s">
        <v>2656</v>
      </c>
      <c r="G4638" s="151" t="s">
        <v>945</v>
      </c>
      <c r="H4638" s="150">
        <v>1</v>
      </c>
      <c r="I4638" s="5" t="str">
        <f>VLOOKUP(F4638,'Set up'!$A$2:$C$70,3,FALSE)</f>
        <v>Cash</v>
      </c>
      <c r="J4638" s="5">
        <f>VLOOKUP(F4638,'Set up'!$A$2:$D$70,4,FALSE)</f>
        <v>0</v>
      </c>
      <c r="K4638" s="4">
        <f t="shared" si="1086"/>
        <v>45974</v>
      </c>
      <c r="L4638" s="5">
        <f t="shared" si="1089"/>
        <v>11</v>
      </c>
      <c r="M4638" s="5">
        <f t="shared" si="1090"/>
        <v>2025</v>
      </c>
      <c r="N4638" s="156">
        <v>115</v>
      </c>
      <c r="P4638" s="12"/>
      <c r="Q4638" s="7">
        <f t="shared" si="1091"/>
        <v>7710156.9500000086</v>
      </c>
      <c r="R4638" s="44" t="str">
        <f>VLOOKUP(F4638,'Set up'!$A$2:$E$70,5,FALSE)</f>
        <v>Cash</v>
      </c>
    </row>
    <row r="4639" spans="1:18" ht="16.2" customHeight="1" x14ac:dyDescent="0.3">
      <c r="A4639" s="150" t="s">
        <v>4332</v>
      </c>
      <c r="B4639" s="5">
        <f t="shared" si="1087"/>
        <v>11</v>
      </c>
      <c r="C4639" s="5">
        <f t="shared" si="1088"/>
        <v>2025</v>
      </c>
      <c r="D4639" s="150" t="s">
        <v>4296</v>
      </c>
      <c r="E4639" s="5" t="str">
        <f>VLOOKUP(F4639,'Set up'!$A$2:$C$70,2,FALSE)</f>
        <v>C00000050</v>
      </c>
      <c r="F4639" s="151" t="s">
        <v>2656</v>
      </c>
      <c r="G4639" s="151" t="s">
        <v>2646</v>
      </c>
      <c r="H4639" s="150">
        <v>10</v>
      </c>
      <c r="I4639" s="5" t="str">
        <f>VLOOKUP(F4639,'Set up'!$A$2:$C$70,3,FALSE)</f>
        <v>Cash</v>
      </c>
      <c r="J4639" s="5">
        <f>VLOOKUP(F4639,'Set up'!$A$2:$D$70,4,FALSE)</f>
        <v>0</v>
      </c>
      <c r="K4639" s="4">
        <f t="shared" si="1086"/>
        <v>45974</v>
      </c>
      <c r="L4639" s="5">
        <f t="shared" si="1089"/>
        <v>11</v>
      </c>
      <c r="M4639" s="5">
        <f t="shared" si="1090"/>
        <v>2025</v>
      </c>
      <c r="N4639" s="156">
        <v>625</v>
      </c>
      <c r="P4639" s="12"/>
      <c r="Q4639" s="7">
        <f t="shared" si="1091"/>
        <v>7710781.9500000086</v>
      </c>
      <c r="R4639" s="44" t="str">
        <f>VLOOKUP(F4639,'Set up'!$A$2:$E$70,5,FALSE)</f>
        <v>Cash</v>
      </c>
    </row>
    <row r="4640" spans="1:18" ht="16.2" customHeight="1" x14ac:dyDescent="0.3">
      <c r="A4640" s="150" t="s">
        <v>4332</v>
      </c>
      <c r="B4640" s="5">
        <f t="shared" si="1087"/>
        <v>11</v>
      </c>
      <c r="C4640" s="5">
        <f t="shared" si="1088"/>
        <v>2025</v>
      </c>
      <c r="D4640" s="150" t="s">
        <v>4297</v>
      </c>
      <c r="E4640" s="5" t="str">
        <f>VLOOKUP(F4640,'Set up'!$A$2:$C$70,2,FALSE)</f>
        <v>C00000063</v>
      </c>
      <c r="F4640" s="151" t="s">
        <v>4198</v>
      </c>
      <c r="G4640" s="151" t="s">
        <v>3507</v>
      </c>
      <c r="H4640" s="150">
        <v>3</v>
      </c>
      <c r="I4640" s="5" t="str">
        <f>VLOOKUP(F4640,'Set up'!$A$2:$C$70,3,FALSE)</f>
        <v>Cash</v>
      </c>
      <c r="J4640" s="5">
        <f>VLOOKUP(F4640,'Set up'!$A$2:$D$70,4,FALSE)</f>
        <v>0</v>
      </c>
      <c r="K4640" s="4">
        <f t="shared" si="1086"/>
        <v>45974</v>
      </c>
      <c r="L4640" s="5">
        <f t="shared" si="1089"/>
        <v>11</v>
      </c>
      <c r="M4640" s="5">
        <f t="shared" si="1090"/>
        <v>2025</v>
      </c>
      <c r="N4640" s="156">
        <v>4860</v>
      </c>
      <c r="P4640" s="12"/>
      <c r="Q4640" s="7">
        <f t="shared" si="1091"/>
        <v>7715641.9500000086</v>
      </c>
      <c r="R4640" s="44" t="str">
        <f>VLOOKUP(F4640,'Set up'!$A$2:$E$70,5,FALSE)</f>
        <v>Cash</v>
      </c>
    </row>
    <row r="4641" spans="1:18" ht="16.2" customHeight="1" x14ac:dyDescent="0.3">
      <c r="A4641" s="150" t="s">
        <v>4332</v>
      </c>
      <c r="B4641" s="5">
        <f t="shared" si="1087"/>
        <v>11</v>
      </c>
      <c r="C4641" s="5">
        <f t="shared" si="1088"/>
        <v>2025</v>
      </c>
      <c r="D4641" s="150" t="s">
        <v>4297</v>
      </c>
      <c r="E4641" s="5" t="str">
        <f>VLOOKUP(F4641,'Set up'!$A$2:$C$70,2,FALSE)</f>
        <v>C00000063</v>
      </c>
      <c r="F4641" s="151" t="s">
        <v>4198</v>
      </c>
      <c r="G4641" s="151" t="s">
        <v>4278</v>
      </c>
      <c r="H4641" s="150">
        <v>4</v>
      </c>
      <c r="I4641" s="5" t="str">
        <f>VLOOKUP(F4641,'Set up'!$A$2:$C$70,3,FALSE)</f>
        <v>Cash</v>
      </c>
      <c r="J4641" s="5">
        <f>VLOOKUP(F4641,'Set up'!$A$2:$D$70,4,FALSE)</f>
        <v>0</v>
      </c>
      <c r="K4641" s="4">
        <f t="shared" si="1086"/>
        <v>45974</v>
      </c>
      <c r="L4641" s="5">
        <f t="shared" si="1089"/>
        <v>11</v>
      </c>
      <c r="M4641" s="5">
        <f t="shared" si="1090"/>
        <v>2025</v>
      </c>
      <c r="N4641" s="156">
        <v>1468.8</v>
      </c>
      <c r="P4641" s="12"/>
      <c r="Q4641" s="7">
        <f t="shared" si="1091"/>
        <v>7717110.7500000084</v>
      </c>
      <c r="R4641" s="44" t="str">
        <f>VLOOKUP(F4641,'Set up'!$A$2:$E$70,5,FALSE)</f>
        <v>Cash</v>
      </c>
    </row>
    <row r="4642" spans="1:18" ht="16.2" customHeight="1" x14ac:dyDescent="0.3">
      <c r="A4642" s="150" t="s">
        <v>4332</v>
      </c>
      <c r="B4642" s="5">
        <f t="shared" si="1087"/>
        <v>11</v>
      </c>
      <c r="C4642" s="5">
        <f t="shared" si="1088"/>
        <v>2025</v>
      </c>
      <c r="D4642" s="150" t="s">
        <v>4297</v>
      </c>
      <c r="E4642" s="5" t="str">
        <f>VLOOKUP(F4642,'Set up'!$A$2:$C$70,2,FALSE)</f>
        <v>C00000063</v>
      </c>
      <c r="F4642" s="151" t="s">
        <v>4198</v>
      </c>
      <c r="G4642" s="151" t="s">
        <v>4202</v>
      </c>
      <c r="H4642" s="150">
        <v>2</v>
      </c>
      <c r="I4642" s="5" t="str">
        <f>VLOOKUP(F4642,'Set up'!$A$2:$C$70,3,FALSE)</f>
        <v>Cash</v>
      </c>
      <c r="J4642" s="5">
        <f>VLOOKUP(F4642,'Set up'!$A$2:$D$70,4,FALSE)</f>
        <v>0</v>
      </c>
      <c r="K4642" s="4">
        <f t="shared" si="1086"/>
        <v>45974</v>
      </c>
      <c r="L4642" s="5">
        <f t="shared" si="1089"/>
        <v>11</v>
      </c>
      <c r="M4642" s="5">
        <f t="shared" si="1090"/>
        <v>2025</v>
      </c>
      <c r="N4642" s="156">
        <v>734.4</v>
      </c>
      <c r="P4642" s="12"/>
      <c r="Q4642" s="7">
        <f t="shared" si="1091"/>
        <v>7717845.1500000088</v>
      </c>
      <c r="R4642" s="44" t="str">
        <f>VLOOKUP(F4642,'Set up'!$A$2:$E$70,5,FALSE)</f>
        <v>Cash</v>
      </c>
    </row>
    <row r="4643" spans="1:18" ht="16.2" customHeight="1" x14ac:dyDescent="0.3">
      <c r="A4643" s="150" t="s">
        <v>4332</v>
      </c>
      <c r="B4643" s="5">
        <f t="shared" si="1087"/>
        <v>11</v>
      </c>
      <c r="C4643" s="5">
        <f t="shared" si="1088"/>
        <v>2025</v>
      </c>
      <c r="D4643" s="150" t="s">
        <v>4297</v>
      </c>
      <c r="E4643" s="5" t="str">
        <f>VLOOKUP(F4643,'Set up'!$A$2:$C$70,2,FALSE)</f>
        <v>C00000063</v>
      </c>
      <c r="F4643" s="151" t="s">
        <v>4198</v>
      </c>
      <c r="G4643" s="151" t="s">
        <v>1449</v>
      </c>
      <c r="H4643" s="150">
        <v>2</v>
      </c>
      <c r="I4643" s="5" t="str">
        <f>VLOOKUP(F4643,'Set up'!$A$2:$C$70,3,FALSE)</f>
        <v>Cash</v>
      </c>
      <c r="J4643" s="5">
        <f>VLOOKUP(F4643,'Set up'!$A$2:$D$70,4,FALSE)</f>
        <v>0</v>
      </c>
      <c r="K4643" s="4">
        <f t="shared" si="1086"/>
        <v>45974</v>
      </c>
      <c r="L4643" s="5">
        <f t="shared" si="1089"/>
        <v>11</v>
      </c>
      <c r="M4643" s="5">
        <f t="shared" si="1090"/>
        <v>2025</v>
      </c>
      <c r="N4643" s="156">
        <v>240</v>
      </c>
      <c r="P4643" s="12"/>
      <c r="Q4643" s="7">
        <f t="shared" si="1091"/>
        <v>7718085.1500000088</v>
      </c>
      <c r="R4643" s="44" t="str">
        <f>VLOOKUP(F4643,'Set up'!$A$2:$E$70,5,FALSE)</f>
        <v>Cash</v>
      </c>
    </row>
    <row r="4644" spans="1:18" ht="16.2" customHeight="1" x14ac:dyDescent="0.3">
      <c r="A4644" s="150" t="s">
        <v>4332</v>
      </c>
      <c r="B4644" s="5">
        <f t="shared" si="1087"/>
        <v>11</v>
      </c>
      <c r="C4644" s="5">
        <f t="shared" si="1088"/>
        <v>2025</v>
      </c>
      <c r="D4644" s="150" t="s">
        <v>4297</v>
      </c>
      <c r="E4644" s="5" t="str">
        <f>VLOOKUP(F4644,'Set up'!$A$2:$C$70,2,FALSE)</f>
        <v>C00000063</v>
      </c>
      <c r="F4644" s="151" t="s">
        <v>4198</v>
      </c>
      <c r="G4644" s="151" t="s">
        <v>4354</v>
      </c>
      <c r="H4644" s="150">
        <v>2</v>
      </c>
      <c r="I4644" s="5" t="str">
        <f>VLOOKUP(F4644,'Set up'!$A$2:$C$70,3,FALSE)</f>
        <v>Cash</v>
      </c>
      <c r="J4644" s="5">
        <f>VLOOKUP(F4644,'Set up'!$A$2:$D$70,4,FALSE)</f>
        <v>0</v>
      </c>
      <c r="K4644" s="4">
        <f t="shared" si="1086"/>
        <v>45974</v>
      </c>
      <c r="L4644" s="5">
        <f t="shared" si="1089"/>
        <v>11</v>
      </c>
      <c r="M4644" s="5">
        <f t="shared" si="1090"/>
        <v>2025</v>
      </c>
      <c r="N4644" s="156">
        <v>840</v>
      </c>
      <c r="P4644" s="12"/>
      <c r="Q4644" s="7">
        <f t="shared" si="1091"/>
        <v>7718925.1500000088</v>
      </c>
      <c r="R4644" s="44" t="str">
        <f>VLOOKUP(F4644,'Set up'!$A$2:$E$70,5,FALSE)</f>
        <v>Cash</v>
      </c>
    </row>
    <row r="4645" spans="1:18" ht="16.2" customHeight="1" x14ac:dyDescent="0.3">
      <c r="A4645" s="150" t="s">
        <v>4332</v>
      </c>
      <c r="B4645" s="5">
        <f t="shared" si="1087"/>
        <v>11</v>
      </c>
      <c r="C4645" s="5">
        <f t="shared" si="1088"/>
        <v>2025</v>
      </c>
      <c r="D4645" s="150" t="s">
        <v>4297</v>
      </c>
      <c r="E4645" s="5" t="str">
        <f>VLOOKUP(F4645,'Set up'!$A$2:$C$70,2,FALSE)</f>
        <v>C00000063</v>
      </c>
      <c r="F4645" s="151" t="s">
        <v>4198</v>
      </c>
      <c r="G4645" s="151" t="s">
        <v>714</v>
      </c>
      <c r="H4645" s="150">
        <v>2</v>
      </c>
      <c r="I4645" s="5" t="str">
        <f>VLOOKUP(F4645,'Set up'!$A$2:$C$70,3,FALSE)</f>
        <v>Cash</v>
      </c>
      <c r="J4645" s="5">
        <f>VLOOKUP(F4645,'Set up'!$A$2:$D$70,4,FALSE)</f>
        <v>0</v>
      </c>
      <c r="K4645" s="4">
        <f t="shared" si="1086"/>
        <v>45974</v>
      </c>
      <c r="L4645" s="5">
        <f t="shared" si="1089"/>
        <v>11</v>
      </c>
      <c r="M4645" s="5">
        <f t="shared" si="1090"/>
        <v>2025</v>
      </c>
      <c r="N4645" s="156">
        <v>125</v>
      </c>
      <c r="P4645" s="12"/>
      <c r="Q4645" s="7">
        <f t="shared" si="1091"/>
        <v>7719050.1500000088</v>
      </c>
      <c r="R4645" s="44" t="str">
        <f>VLOOKUP(F4645,'Set up'!$A$2:$E$70,5,FALSE)</f>
        <v>Cash</v>
      </c>
    </row>
    <row r="4646" spans="1:18" ht="16.2" customHeight="1" x14ac:dyDescent="0.3">
      <c r="A4646" s="150" t="s">
        <v>4332</v>
      </c>
      <c r="B4646" s="5">
        <f t="shared" si="1087"/>
        <v>11</v>
      </c>
      <c r="C4646" s="5">
        <f t="shared" si="1088"/>
        <v>2025</v>
      </c>
      <c r="D4646" s="150" t="s">
        <v>4297</v>
      </c>
      <c r="E4646" s="5" t="str">
        <f>VLOOKUP(F4646,'Set up'!$A$2:$C$70,2,FALSE)</f>
        <v>C00000063</v>
      </c>
      <c r="F4646" s="151" t="s">
        <v>4198</v>
      </c>
      <c r="G4646" s="151" t="s">
        <v>3511</v>
      </c>
      <c r="H4646" s="150">
        <v>2</v>
      </c>
      <c r="I4646" s="5" t="str">
        <f>VLOOKUP(F4646,'Set up'!$A$2:$C$70,3,FALSE)</f>
        <v>Cash</v>
      </c>
      <c r="J4646" s="5">
        <f>VLOOKUP(F4646,'Set up'!$A$2:$D$70,4,FALSE)</f>
        <v>0</v>
      </c>
      <c r="K4646" s="4">
        <f t="shared" si="1086"/>
        <v>45974</v>
      </c>
      <c r="L4646" s="5">
        <f t="shared" si="1089"/>
        <v>11</v>
      </c>
      <c r="M4646" s="5">
        <f t="shared" si="1090"/>
        <v>2025</v>
      </c>
      <c r="N4646" s="156">
        <v>120</v>
      </c>
      <c r="P4646" s="12"/>
      <c r="Q4646" s="7">
        <f t="shared" si="1091"/>
        <v>7719170.1500000088</v>
      </c>
      <c r="R4646" s="44" t="str">
        <f>VLOOKUP(F4646,'Set up'!$A$2:$E$70,5,FALSE)</f>
        <v>Cash</v>
      </c>
    </row>
    <row r="4647" spans="1:18" ht="16.2" customHeight="1" x14ac:dyDescent="0.3">
      <c r="A4647" s="150" t="s">
        <v>4332</v>
      </c>
      <c r="B4647" s="5">
        <f t="shared" si="1087"/>
        <v>11</v>
      </c>
      <c r="C4647" s="5">
        <f t="shared" si="1088"/>
        <v>2025</v>
      </c>
      <c r="D4647" s="150" t="s">
        <v>4297</v>
      </c>
      <c r="E4647" s="5" t="str">
        <f>VLOOKUP(F4647,'Set up'!$A$2:$C$70,2,FALSE)</f>
        <v>C00000063</v>
      </c>
      <c r="F4647" s="151" t="s">
        <v>4198</v>
      </c>
      <c r="G4647" s="151" t="s">
        <v>1637</v>
      </c>
      <c r="H4647" s="150">
        <v>2</v>
      </c>
      <c r="I4647" s="5" t="str">
        <f>VLOOKUP(F4647,'Set up'!$A$2:$C$70,3,FALSE)</f>
        <v>Cash</v>
      </c>
      <c r="J4647" s="5">
        <f>VLOOKUP(F4647,'Set up'!$A$2:$D$70,4,FALSE)</f>
        <v>0</v>
      </c>
      <c r="K4647" s="4">
        <f t="shared" si="1086"/>
        <v>45974</v>
      </c>
      <c r="L4647" s="5">
        <f t="shared" si="1089"/>
        <v>11</v>
      </c>
      <c r="M4647" s="5">
        <f t="shared" si="1090"/>
        <v>2025</v>
      </c>
      <c r="N4647" s="156">
        <v>800</v>
      </c>
      <c r="P4647" s="12"/>
      <c r="Q4647" s="7">
        <f t="shared" si="1091"/>
        <v>7719970.1500000088</v>
      </c>
      <c r="R4647" s="44" t="str">
        <f>VLOOKUP(F4647,'Set up'!$A$2:$E$70,5,FALSE)</f>
        <v>Cash</v>
      </c>
    </row>
    <row r="4648" spans="1:18" ht="16.2" customHeight="1" x14ac:dyDescent="0.3">
      <c r="A4648" s="150" t="s">
        <v>4332</v>
      </c>
      <c r="B4648" s="5">
        <f t="shared" si="1087"/>
        <v>11</v>
      </c>
      <c r="C4648" s="5">
        <f t="shared" si="1088"/>
        <v>2025</v>
      </c>
      <c r="D4648" s="150" t="s">
        <v>4297</v>
      </c>
      <c r="E4648" s="5" t="str">
        <f>VLOOKUP(F4648,'Set up'!$A$2:$C$70,2,FALSE)</f>
        <v>C00000063</v>
      </c>
      <c r="F4648" s="151" t="s">
        <v>4198</v>
      </c>
      <c r="G4648" s="151" t="s">
        <v>4267</v>
      </c>
      <c r="H4648" s="150">
        <v>1</v>
      </c>
      <c r="I4648" s="5" t="str">
        <f>VLOOKUP(F4648,'Set up'!$A$2:$C$70,3,FALSE)</f>
        <v>Cash</v>
      </c>
      <c r="J4648" s="5">
        <f>VLOOKUP(F4648,'Set up'!$A$2:$D$70,4,FALSE)</f>
        <v>0</v>
      </c>
      <c r="K4648" s="4">
        <f t="shared" si="1086"/>
        <v>45974</v>
      </c>
      <c r="L4648" s="5">
        <f t="shared" si="1089"/>
        <v>11</v>
      </c>
      <c r="M4648" s="5">
        <f t="shared" si="1090"/>
        <v>2025</v>
      </c>
      <c r="N4648" s="156">
        <v>57.6</v>
      </c>
      <c r="P4648" s="12"/>
      <c r="Q4648" s="7">
        <f t="shared" si="1091"/>
        <v>7720027.7500000084</v>
      </c>
      <c r="R4648" s="44" t="str">
        <f>VLOOKUP(F4648,'Set up'!$A$2:$E$70,5,FALSE)</f>
        <v>Cash</v>
      </c>
    </row>
    <row r="4649" spans="1:18" ht="16.2" customHeight="1" x14ac:dyDescent="0.3">
      <c r="A4649" s="150" t="s">
        <v>4331</v>
      </c>
      <c r="B4649" s="5">
        <f t="shared" si="1087"/>
        <v>11</v>
      </c>
      <c r="C4649" s="5">
        <f t="shared" si="1088"/>
        <v>2025</v>
      </c>
      <c r="D4649" s="150" t="s">
        <v>4298</v>
      </c>
      <c r="E4649" s="5" t="e">
        <f>VLOOKUP(F4649,'Set up'!$A$2:$C$70,2,FALSE)</f>
        <v>#N/A</v>
      </c>
      <c r="F4649" s="151" t="s">
        <v>4130</v>
      </c>
      <c r="G4649" s="151" t="s">
        <v>3122</v>
      </c>
      <c r="H4649" s="150">
        <v>1</v>
      </c>
      <c r="I4649" s="5" t="e">
        <f>VLOOKUP(F4649,'Set up'!$A$2:$C$70,3,FALSE)</f>
        <v>#N/A</v>
      </c>
      <c r="J4649" s="5" t="e">
        <f>VLOOKUP(F4649,'Set up'!$A$2:$D$70,4,FALSE)</f>
        <v>#N/A</v>
      </c>
      <c r="K4649" s="4" t="e">
        <f t="shared" si="1086"/>
        <v>#N/A</v>
      </c>
      <c r="L4649" s="5" t="e">
        <f t="shared" si="1089"/>
        <v>#N/A</v>
      </c>
      <c r="M4649" s="5" t="e">
        <f t="shared" si="1090"/>
        <v>#N/A</v>
      </c>
      <c r="N4649" s="156">
        <v>1687.5</v>
      </c>
      <c r="P4649" s="12"/>
      <c r="Q4649" s="7">
        <f t="shared" si="1091"/>
        <v>7721715.2500000084</v>
      </c>
      <c r="R4649" s="44" t="e">
        <f>VLOOKUP(F4649,'Set up'!$A$2:$E$70,5,FALSE)</f>
        <v>#N/A</v>
      </c>
    </row>
    <row r="4650" spans="1:18" ht="16.2" customHeight="1" x14ac:dyDescent="0.3">
      <c r="A4650" s="150" t="s">
        <v>4331</v>
      </c>
      <c r="B4650" s="5">
        <f t="shared" si="1087"/>
        <v>11</v>
      </c>
      <c r="C4650" s="5">
        <f t="shared" si="1088"/>
        <v>2025</v>
      </c>
      <c r="D4650" s="150" t="s">
        <v>4298</v>
      </c>
      <c r="E4650" s="5" t="e">
        <f>VLOOKUP(F4650,'Set up'!$A$2:$C$70,2,FALSE)</f>
        <v>#N/A</v>
      </c>
      <c r="F4650" s="151" t="s">
        <v>4130</v>
      </c>
      <c r="G4650" s="151" t="s">
        <v>707</v>
      </c>
      <c r="H4650" s="150">
        <v>1</v>
      </c>
      <c r="I4650" s="5" t="e">
        <f>VLOOKUP(F4650,'Set up'!$A$2:$C$70,3,FALSE)</f>
        <v>#N/A</v>
      </c>
      <c r="J4650" s="5" t="e">
        <f>VLOOKUP(F4650,'Set up'!$A$2:$D$70,4,FALSE)</f>
        <v>#N/A</v>
      </c>
      <c r="K4650" s="4" t="e">
        <f t="shared" si="1086"/>
        <v>#N/A</v>
      </c>
      <c r="L4650" s="5" t="e">
        <f t="shared" si="1089"/>
        <v>#N/A</v>
      </c>
      <c r="M4650" s="5" t="e">
        <f t="shared" si="1090"/>
        <v>#N/A</v>
      </c>
      <c r="N4650" s="156">
        <v>394.2</v>
      </c>
      <c r="P4650" s="12"/>
      <c r="Q4650" s="7">
        <f t="shared" si="1091"/>
        <v>7722109.4500000086</v>
      </c>
      <c r="R4650" s="44" t="e">
        <f>VLOOKUP(F4650,'Set up'!$A$2:$E$70,5,FALSE)</f>
        <v>#N/A</v>
      </c>
    </row>
    <row r="4651" spans="1:18" ht="16.2" customHeight="1" x14ac:dyDescent="0.3">
      <c r="A4651" s="150" t="s">
        <v>4331</v>
      </c>
      <c r="B4651" s="5">
        <f t="shared" si="1087"/>
        <v>11</v>
      </c>
      <c r="C4651" s="5">
        <f t="shared" si="1088"/>
        <v>2025</v>
      </c>
      <c r="D4651" s="150" t="s">
        <v>4298</v>
      </c>
      <c r="E4651" s="5" t="e">
        <f>VLOOKUP(F4651,'Set up'!$A$2:$C$70,2,FALSE)</f>
        <v>#N/A</v>
      </c>
      <c r="F4651" s="151" t="s">
        <v>4130</v>
      </c>
      <c r="G4651" s="151" t="s">
        <v>2556</v>
      </c>
      <c r="H4651" s="150">
        <v>1</v>
      </c>
      <c r="I4651" s="5" t="e">
        <f>VLOOKUP(F4651,'Set up'!$A$2:$C$70,3,FALSE)</f>
        <v>#N/A</v>
      </c>
      <c r="J4651" s="5" t="e">
        <f>VLOOKUP(F4651,'Set up'!$A$2:$D$70,4,FALSE)</f>
        <v>#N/A</v>
      </c>
      <c r="K4651" s="4" t="e">
        <f t="shared" si="1086"/>
        <v>#N/A</v>
      </c>
      <c r="L4651" s="5" t="e">
        <f t="shared" si="1089"/>
        <v>#N/A</v>
      </c>
      <c r="M4651" s="5" t="e">
        <f t="shared" si="1090"/>
        <v>#N/A</v>
      </c>
      <c r="N4651" s="156">
        <v>394.2</v>
      </c>
      <c r="P4651" s="12"/>
      <c r="Q4651" s="7">
        <f t="shared" si="1091"/>
        <v>7722503.6500000088</v>
      </c>
      <c r="R4651" s="44" t="e">
        <f>VLOOKUP(F4651,'Set up'!$A$2:$E$70,5,FALSE)</f>
        <v>#N/A</v>
      </c>
    </row>
    <row r="4652" spans="1:18" ht="16.2" customHeight="1" x14ac:dyDescent="0.3">
      <c r="A4652" s="150" t="s">
        <v>4331</v>
      </c>
      <c r="B4652" s="5">
        <f t="shared" si="1087"/>
        <v>11</v>
      </c>
      <c r="C4652" s="5">
        <f t="shared" si="1088"/>
        <v>2025</v>
      </c>
      <c r="D4652" s="150" t="s">
        <v>4298</v>
      </c>
      <c r="E4652" s="5" t="e">
        <f>VLOOKUP(F4652,'Set up'!$A$2:$C$70,2,FALSE)</f>
        <v>#N/A</v>
      </c>
      <c r="F4652" s="151" t="s">
        <v>4130</v>
      </c>
      <c r="G4652" s="151" t="s">
        <v>4204</v>
      </c>
      <c r="H4652" s="150">
        <v>1</v>
      </c>
      <c r="I4652" s="5" t="e">
        <f>VLOOKUP(F4652,'Set up'!$A$2:$C$70,3,FALSE)</f>
        <v>#N/A</v>
      </c>
      <c r="J4652" s="5" t="e">
        <f>VLOOKUP(F4652,'Set up'!$A$2:$D$70,4,FALSE)</f>
        <v>#N/A</v>
      </c>
      <c r="K4652" s="4" t="e">
        <f t="shared" si="1086"/>
        <v>#N/A</v>
      </c>
      <c r="L4652" s="5" t="e">
        <f t="shared" si="1089"/>
        <v>#N/A</v>
      </c>
      <c r="M4652" s="5" t="e">
        <f t="shared" si="1090"/>
        <v>#N/A</v>
      </c>
      <c r="N4652" s="156">
        <v>160</v>
      </c>
      <c r="P4652" s="12"/>
      <c r="Q4652" s="7">
        <f t="shared" si="1091"/>
        <v>7722663.6500000088</v>
      </c>
      <c r="R4652" s="44" t="e">
        <f>VLOOKUP(F4652,'Set up'!$A$2:$E$70,5,FALSE)</f>
        <v>#N/A</v>
      </c>
    </row>
    <row r="4653" spans="1:18" ht="16.2" customHeight="1" x14ac:dyDescent="0.3">
      <c r="A4653" s="150" t="s">
        <v>4331</v>
      </c>
      <c r="B4653" s="5">
        <f t="shared" si="1087"/>
        <v>11</v>
      </c>
      <c r="C4653" s="5">
        <f t="shared" si="1088"/>
        <v>2025</v>
      </c>
      <c r="D4653" s="150" t="s">
        <v>4298</v>
      </c>
      <c r="E4653" s="5" t="e">
        <f>VLOOKUP(F4653,'Set up'!$A$2:$C$70,2,FALSE)</f>
        <v>#N/A</v>
      </c>
      <c r="F4653" s="151" t="s">
        <v>4130</v>
      </c>
      <c r="G4653" s="151" t="s">
        <v>1405</v>
      </c>
      <c r="H4653" s="150">
        <v>1</v>
      </c>
      <c r="I4653" s="5" t="e">
        <f>VLOOKUP(F4653,'Set up'!$A$2:$C$70,3,FALSE)</f>
        <v>#N/A</v>
      </c>
      <c r="J4653" s="5" t="e">
        <f>VLOOKUP(F4653,'Set up'!$A$2:$D$70,4,FALSE)</f>
        <v>#N/A</v>
      </c>
      <c r="K4653" s="4" t="e">
        <f t="shared" si="1086"/>
        <v>#N/A</v>
      </c>
      <c r="L4653" s="5" t="e">
        <f t="shared" si="1089"/>
        <v>#N/A</v>
      </c>
      <c r="M4653" s="5" t="e">
        <f t="shared" si="1090"/>
        <v>#N/A</v>
      </c>
      <c r="N4653" s="156">
        <v>48</v>
      </c>
      <c r="P4653" s="12"/>
      <c r="Q4653" s="7">
        <f t="shared" si="1091"/>
        <v>7722711.6500000088</v>
      </c>
      <c r="R4653" s="44" t="e">
        <f>VLOOKUP(F4653,'Set up'!$A$2:$E$70,5,FALSE)</f>
        <v>#N/A</v>
      </c>
    </row>
    <row r="4654" spans="1:18" ht="16.2" customHeight="1" x14ac:dyDescent="0.3">
      <c r="A4654" s="150" t="s">
        <v>4331</v>
      </c>
      <c r="B4654" s="5">
        <f t="shared" si="1087"/>
        <v>11</v>
      </c>
      <c r="C4654" s="5">
        <f t="shared" si="1088"/>
        <v>2025</v>
      </c>
      <c r="D4654" s="150" t="s">
        <v>4298</v>
      </c>
      <c r="E4654" s="5" t="e">
        <f>VLOOKUP(F4654,'Set up'!$A$2:$C$70,2,FALSE)</f>
        <v>#N/A</v>
      </c>
      <c r="F4654" s="151" t="s">
        <v>4130</v>
      </c>
      <c r="G4654" s="151" t="s">
        <v>2144</v>
      </c>
      <c r="H4654" s="150">
        <v>1</v>
      </c>
      <c r="I4654" s="5" t="e">
        <f>VLOOKUP(F4654,'Set up'!$A$2:$C$70,3,FALSE)</f>
        <v>#N/A</v>
      </c>
      <c r="J4654" s="5" t="e">
        <f>VLOOKUP(F4654,'Set up'!$A$2:$D$70,4,FALSE)</f>
        <v>#N/A</v>
      </c>
      <c r="K4654" s="4" t="e">
        <f t="shared" si="1086"/>
        <v>#N/A</v>
      </c>
      <c r="L4654" s="5" t="e">
        <f t="shared" si="1089"/>
        <v>#N/A</v>
      </c>
      <c r="M4654" s="5" t="e">
        <f t="shared" si="1090"/>
        <v>#N/A</v>
      </c>
      <c r="N4654" s="156">
        <v>286</v>
      </c>
      <c r="P4654" s="12"/>
      <c r="Q4654" s="7">
        <f t="shared" si="1091"/>
        <v>7722997.6500000088</v>
      </c>
      <c r="R4654" s="44" t="e">
        <f>VLOOKUP(F4654,'Set up'!$A$2:$E$70,5,FALSE)</f>
        <v>#N/A</v>
      </c>
    </row>
    <row r="4655" spans="1:18" ht="16.2" customHeight="1" x14ac:dyDescent="0.3">
      <c r="A4655" s="150" t="s">
        <v>4331</v>
      </c>
      <c r="B4655" s="5">
        <f t="shared" si="1087"/>
        <v>11</v>
      </c>
      <c r="C4655" s="5">
        <f t="shared" si="1088"/>
        <v>2025</v>
      </c>
      <c r="D4655" s="150" t="s">
        <v>4298</v>
      </c>
      <c r="E4655" s="5" t="e">
        <f>VLOOKUP(F4655,'Set up'!$A$2:$C$70,2,FALSE)</f>
        <v>#N/A</v>
      </c>
      <c r="F4655" s="151" t="s">
        <v>4130</v>
      </c>
      <c r="G4655" s="151" t="s">
        <v>945</v>
      </c>
      <c r="H4655" s="150">
        <v>1</v>
      </c>
      <c r="I4655" s="5" t="e">
        <f>VLOOKUP(F4655,'Set up'!$A$2:$C$70,3,FALSE)</f>
        <v>#N/A</v>
      </c>
      <c r="J4655" s="5" t="e">
        <f>VLOOKUP(F4655,'Set up'!$A$2:$D$70,4,FALSE)</f>
        <v>#N/A</v>
      </c>
      <c r="K4655" s="4" t="e">
        <f t="shared" si="1086"/>
        <v>#N/A</v>
      </c>
      <c r="L4655" s="5" t="e">
        <f t="shared" si="1089"/>
        <v>#N/A</v>
      </c>
      <c r="M4655" s="5" t="e">
        <f t="shared" si="1090"/>
        <v>#N/A</v>
      </c>
      <c r="N4655" s="156">
        <v>120</v>
      </c>
      <c r="P4655" s="12"/>
      <c r="Q4655" s="7">
        <f t="shared" si="1091"/>
        <v>7723117.6500000088</v>
      </c>
      <c r="R4655" s="44" t="e">
        <f>VLOOKUP(F4655,'Set up'!$A$2:$E$70,5,FALSE)</f>
        <v>#N/A</v>
      </c>
    </row>
    <row r="4656" spans="1:18" ht="16.2" customHeight="1" x14ac:dyDescent="0.3">
      <c r="A4656" s="150" t="s">
        <v>4331</v>
      </c>
      <c r="B4656" s="5">
        <f t="shared" si="1087"/>
        <v>11</v>
      </c>
      <c r="C4656" s="5">
        <f t="shared" si="1088"/>
        <v>2025</v>
      </c>
      <c r="D4656" s="150" t="s">
        <v>4298</v>
      </c>
      <c r="E4656" s="5" t="e">
        <f>VLOOKUP(F4656,'Set up'!$A$2:$C$70,2,FALSE)</f>
        <v>#N/A</v>
      </c>
      <c r="F4656" s="151" t="s">
        <v>4130</v>
      </c>
      <c r="G4656" s="151" t="s">
        <v>2646</v>
      </c>
      <c r="H4656" s="150">
        <v>2</v>
      </c>
      <c r="I4656" s="5" t="e">
        <f>VLOOKUP(F4656,'Set up'!$A$2:$C$70,3,FALSE)</f>
        <v>#N/A</v>
      </c>
      <c r="J4656" s="5" t="e">
        <f>VLOOKUP(F4656,'Set up'!$A$2:$D$70,4,FALSE)</f>
        <v>#N/A</v>
      </c>
      <c r="K4656" s="4" t="e">
        <f t="shared" si="1086"/>
        <v>#N/A</v>
      </c>
      <c r="L4656" s="5" t="e">
        <f t="shared" si="1089"/>
        <v>#N/A</v>
      </c>
      <c r="M4656" s="5" t="e">
        <f t="shared" si="1090"/>
        <v>#N/A</v>
      </c>
      <c r="N4656" s="156">
        <v>125</v>
      </c>
      <c r="P4656" s="12"/>
      <c r="Q4656" s="7">
        <f t="shared" si="1091"/>
        <v>7723242.6500000088</v>
      </c>
      <c r="R4656" s="44" t="e">
        <f>VLOOKUP(F4656,'Set up'!$A$2:$E$70,5,FALSE)</f>
        <v>#N/A</v>
      </c>
    </row>
    <row r="4657" spans="1:18" ht="16.2" customHeight="1" x14ac:dyDescent="0.3">
      <c r="A4657" s="150" t="s">
        <v>4333</v>
      </c>
      <c r="B4657" s="5">
        <f t="shared" si="1087"/>
        <v>11</v>
      </c>
      <c r="C4657" s="5">
        <f t="shared" si="1088"/>
        <v>2025</v>
      </c>
      <c r="D4657" s="150" t="s">
        <v>4299</v>
      </c>
      <c r="E4657" s="5" t="str">
        <f>VLOOKUP(F4657,'Set up'!$A$2:$C$70,2,FALSE)</f>
        <v>C00000010</v>
      </c>
      <c r="F4657" s="151" t="s">
        <v>62</v>
      </c>
      <c r="G4657" s="151" t="s">
        <v>3645</v>
      </c>
      <c r="H4657" s="150">
        <v>10</v>
      </c>
      <c r="I4657" s="5">
        <f>VLOOKUP(F4657,'Set up'!$A$2:$C$70,3,FALSE)</f>
        <v>120</v>
      </c>
      <c r="J4657" s="5">
        <f>VLOOKUP(F4657,'Set up'!$A$2:$D$70,4,FALSE)</f>
        <v>120</v>
      </c>
      <c r="K4657" s="4">
        <f t="shared" si="1086"/>
        <v>46095</v>
      </c>
      <c r="L4657" s="5">
        <f t="shared" si="1089"/>
        <v>3</v>
      </c>
      <c r="M4657" s="5">
        <f t="shared" si="1090"/>
        <v>2026</v>
      </c>
      <c r="N4657" s="156">
        <v>15300</v>
      </c>
      <c r="P4657" s="12"/>
      <c r="Q4657" s="7">
        <f t="shared" si="1091"/>
        <v>7738542.6500000088</v>
      </c>
      <c r="R4657" s="44" t="str">
        <f>VLOOKUP(F4657,'Set up'!$A$2:$E$70,5,FALSE)</f>
        <v>Trsf</v>
      </c>
    </row>
    <row r="4658" spans="1:18" ht="16.2" customHeight="1" x14ac:dyDescent="0.3">
      <c r="A4658" s="150" t="s">
        <v>4333</v>
      </c>
      <c r="B4658" s="5">
        <f t="shared" si="1087"/>
        <v>11</v>
      </c>
      <c r="C4658" s="5">
        <f t="shared" si="1088"/>
        <v>2025</v>
      </c>
      <c r="D4658" s="150" t="s">
        <v>4299</v>
      </c>
      <c r="E4658" s="5" t="str">
        <f>VLOOKUP(F4658,'Set up'!$A$2:$C$70,2,FALSE)</f>
        <v>C00000010</v>
      </c>
      <c r="F4658" s="151" t="s">
        <v>62</v>
      </c>
      <c r="G4658" s="151" t="s">
        <v>2434</v>
      </c>
      <c r="H4658" s="150">
        <v>20</v>
      </c>
      <c r="I4658" s="5">
        <f>VLOOKUP(F4658,'Set up'!$A$2:$C$70,3,FALSE)</f>
        <v>120</v>
      </c>
      <c r="J4658" s="5">
        <f>VLOOKUP(F4658,'Set up'!$A$2:$D$70,4,FALSE)</f>
        <v>120</v>
      </c>
      <c r="K4658" s="4">
        <f t="shared" ref="K4658:K4721" si="1092">A4658+J4658</f>
        <v>46095</v>
      </c>
      <c r="L4658" s="5">
        <f t="shared" si="1089"/>
        <v>3</v>
      </c>
      <c r="M4658" s="5">
        <f t="shared" si="1090"/>
        <v>2026</v>
      </c>
      <c r="N4658" s="156">
        <v>4292</v>
      </c>
      <c r="P4658" s="12"/>
      <c r="Q4658" s="7">
        <f t="shared" si="1091"/>
        <v>7742834.6500000088</v>
      </c>
      <c r="R4658" s="44" t="str">
        <f>VLOOKUP(F4658,'Set up'!$A$2:$E$70,5,FALSE)</f>
        <v>Trsf</v>
      </c>
    </row>
    <row r="4659" spans="1:18" ht="16.2" customHeight="1" x14ac:dyDescent="0.3">
      <c r="A4659" s="150" t="s">
        <v>4333</v>
      </c>
      <c r="B4659" s="5">
        <f t="shared" ref="B4659:B4722" si="1093">MONTH(A4659)</f>
        <v>11</v>
      </c>
      <c r="C4659" s="5">
        <f t="shared" ref="C4659:C4722" si="1094">YEAR(A4659)</f>
        <v>2025</v>
      </c>
      <c r="D4659" s="150" t="s">
        <v>4299</v>
      </c>
      <c r="E4659" s="5" t="str">
        <f>VLOOKUP(F4659,'Set up'!$A$2:$C$70,2,FALSE)</f>
        <v>C00000010</v>
      </c>
      <c r="F4659" s="151" t="s">
        <v>62</v>
      </c>
      <c r="G4659" s="151" t="s">
        <v>614</v>
      </c>
      <c r="H4659" s="150">
        <v>1</v>
      </c>
      <c r="I4659" s="5">
        <f>VLOOKUP(F4659,'Set up'!$A$2:$C$70,3,FALSE)</f>
        <v>120</v>
      </c>
      <c r="J4659" s="5">
        <f>VLOOKUP(F4659,'Set up'!$A$2:$D$70,4,FALSE)</f>
        <v>120</v>
      </c>
      <c r="K4659" s="4">
        <f t="shared" si="1092"/>
        <v>46095</v>
      </c>
      <c r="L4659" s="5">
        <f t="shared" si="1089"/>
        <v>3</v>
      </c>
      <c r="M4659" s="5">
        <f t="shared" si="1090"/>
        <v>2026</v>
      </c>
      <c r="N4659" s="156">
        <v>395</v>
      </c>
      <c r="P4659" s="12"/>
      <c r="Q4659" s="7">
        <f t="shared" si="1091"/>
        <v>7743229.6500000088</v>
      </c>
      <c r="R4659" s="44" t="str">
        <f>VLOOKUP(F4659,'Set up'!$A$2:$E$70,5,FALSE)</f>
        <v>Trsf</v>
      </c>
    </row>
    <row r="4660" spans="1:18" ht="16.2" customHeight="1" x14ac:dyDescent="0.3">
      <c r="A4660" s="150" t="s">
        <v>4333</v>
      </c>
      <c r="B4660" s="5">
        <f t="shared" si="1093"/>
        <v>11</v>
      </c>
      <c r="C4660" s="5">
        <f t="shared" si="1094"/>
        <v>2025</v>
      </c>
      <c r="D4660" s="150" t="s">
        <v>4299</v>
      </c>
      <c r="E4660" s="5" t="str">
        <f>VLOOKUP(F4660,'Set up'!$A$2:$C$70,2,FALSE)</f>
        <v>C00000010</v>
      </c>
      <c r="F4660" s="151" t="s">
        <v>62</v>
      </c>
      <c r="G4660" s="151" t="s">
        <v>46</v>
      </c>
      <c r="H4660" s="150">
        <v>8</v>
      </c>
      <c r="I4660" s="5">
        <f>VLOOKUP(F4660,'Set up'!$A$2:$C$70,3,FALSE)</f>
        <v>120</v>
      </c>
      <c r="J4660" s="5">
        <f>VLOOKUP(F4660,'Set up'!$A$2:$D$70,4,FALSE)</f>
        <v>120</v>
      </c>
      <c r="K4660" s="4">
        <f t="shared" si="1092"/>
        <v>46095</v>
      </c>
      <c r="L4660" s="5">
        <f t="shared" si="1089"/>
        <v>3</v>
      </c>
      <c r="M4660" s="5">
        <f t="shared" si="1090"/>
        <v>2026</v>
      </c>
      <c r="N4660" s="156">
        <v>920</v>
      </c>
      <c r="P4660" s="12"/>
      <c r="Q4660" s="7">
        <f t="shared" si="1091"/>
        <v>7744149.6500000088</v>
      </c>
      <c r="R4660" s="44" t="str">
        <f>VLOOKUP(F4660,'Set up'!$A$2:$E$70,5,FALSE)</f>
        <v>Trsf</v>
      </c>
    </row>
    <row r="4661" spans="1:18" ht="16.2" customHeight="1" x14ac:dyDescent="0.3">
      <c r="A4661" s="150" t="s">
        <v>4333</v>
      </c>
      <c r="B4661" s="5">
        <f t="shared" si="1093"/>
        <v>11</v>
      </c>
      <c r="C4661" s="5">
        <f t="shared" si="1094"/>
        <v>2025</v>
      </c>
      <c r="D4661" s="150" t="s">
        <v>4299</v>
      </c>
      <c r="E4661" s="5" t="str">
        <f>VLOOKUP(F4661,'Set up'!$A$2:$C$70,2,FALSE)</f>
        <v>C00000010</v>
      </c>
      <c r="F4661" s="151" t="s">
        <v>62</v>
      </c>
      <c r="G4661" s="151" t="s">
        <v>946</v>
      </c>
      <c r="H4661" s="150">
        <v>4</v>
      </c>
      <c r="I4661" s="5">
        <f>VLOOKUP(F4661,'Set up'!$A$2:$C$70,3,FALSE)</f>
        <v>120</v>
      </c>
      <c r="J4661" s="5">
        <f>VLOOKUP(F4661,'Set up'!$A$2:$D$70,4,FALSE)</f>
        <v>120</v>
      </c>
      <c r="K4661" s="4">
        <f t="shared" si="1092"/>
        <v>46095</v>
      </c>
      <c r="L4661" s="5">
        <f t="shared" si="1089"/>
        <v>3</v>
      </c>
      <c r="M4661" s="5">
        <f t="shared" si="1090"/>
        <v>2026</v>
      </c>
      <c r="N4661" s="156">
        <v>230.4</v>
      </c>
      <c r="P4661" s="12"/>
      <c r="Q4661" s="7">
        <f t="shared" si="1091"/>
        <v>7744380.0500000091</v>
      </c>
      <c r="R4661" s="44" t="str">
        <f>VLOOKUP(F4661,'Set up'!$A$2:$E$70,5,FALSE)</f>
        <v>Trsf</v>
      </c>
    </row>
    <row r="4662" spans="1:18" ht="16.2" customHeight="1" x14ac:dyDescent="0.3">
      <c r="A4662" s="150" t="s">
        <v>4334</v>
      </c>
      <c r="B4662" s="5">
        <f t="shared" si="1093"/>
        <v>11</v>
      </c>
      <c r="C4662" s="5">
        <f t="shared" si="1094"/>
        <v>2025</v>
      </c>
      <c r="D4662" s="150" t="s">
        <v>4300</v>
      </c>
      <c r="E4662" s="5" t="e">
        <f>VLOOKUP(F4662,'Set up'!$A$2:$C$70,2,FALSE)</f>
        <v>#N/A</v>
      </c>
      <c r="F4662" s="151" t="s">
        <v>4346</v>
      </c>
      <c r="G4662" s="151" t="s">
        <v>2523</v>
      </c>
      <c r="H4662" s="150">
        <v>4</v>
      </c>
      <c r="I4662" s="5" t="e">
        <f>VLOOKUP(F4662,'Set up'!$A$2:$C$70,3,FALSE)</f>
        <v>#N/A</v>
      </c>
      <c r="J4662" s="5" t="e">
        <f>VLOOKUP(F4662,'Set up'!$A$2:$D$70,4,FALSE)</f>
        <v>#N/A</v>
      </c>
      <c r="K4662" s="4" t="e">
        <f t="shared" si="1092"/>
        <v>#N/A</v>
      </c>
      <c r="L4662" s="5" t="e">
        <f t="shared" si="1089"/>
        <v>#N/A</v>
      </c>
      <c r="M4662" s="5" t="e">
        <f t="shared" si="1090"/>
        <v>#N/A</v>
      </c>
      <c r="N4662" s="156">
        <v>864</v>
      </c>
      <c r="P4662" s="12"/>
      <c r="Q4662" s="7">
        <f t="shared" si="1091"/>
        <v>7745244.0500000091</v>
      </c>
      <c r="R4662" s="44" t="e">
        <f>VLOOKUP(F4662,'Set up'!$A$2:$E$70,5,FALSE)</f>
        <v>#N/A</v>
      </c>
    </row>
    <row r="4663" spans="1:18" ht="16.2" customHeight="1" x14ac:dyDescent="0.3">
      <c r="A4663" s="150" t="s">
        <v>4334</v>
      </c>
      <c r="B4663" s="5">
        <f t="shared" si="1093"/>
        <v>11</v>
      </c>
      <c r="C4663" s="5">
        <f t="shared" si="1094"/>
        <v>2025</v>
      </c>
      <c r="D4663" s="150" t="s">
        <v>4300</v>
      </c>
      <c r="E4663" s="5" t="e">
        <f>VLOOKUP(F4663,'Set up'!$A$2:$C$70,2,FALSE)</f>
        <v>#N/A</v>
      </c>
      <c r="F4663" s="151" t="s">
        <v>4346</v>
      </c>
      <c r="G4663" s="151" t="s">
        <v>2144</v>
      </c>
      <c r="H4663" s="150">
        <v>2</v>
      </c>
      <c r="I4663" s="5" t="e">
        <f>VLOOKUP(F4663,'Set up'!$A$2:$C$70,3,FALSE)</f>
        <v>#N/A</v>
      </c>
      <c r="J4663" s="5" t="e">
        <f>VLOOKUP(F4663,'Set up'!$A$2:$D$70,4,FALSE)</f>
        <v>#N/A</v>
      </c>
      <c r="K4663" s="4" t="e">
        <f t="shared" si="1092"/>
        <v>#N/A</v>
      </c>
      <c r="L4663" s="5" t="e">
        <f t="shared" si="1089"/>
        <v>#N/A</v>
      </c>
      <c r="M4663" s="5" t="e">
        <f t="shared" si="1090"/>
        <v>#N/A</v>
      </c>
      <c r="N4663" s="156">
        <v>567.6</v>
      </c>
      <c r="P4663" s="12"/>
      <c r="Q4663" s="7">
        <f t="shared" si="1091"/>
        <v>7745811.6500000088</v>
      </c>
      <c r="R4663" s="44" t="e">
        <f>VLOOKUP(F4663,'Set up'!$A$2:$E$70,5,FALSE)</f>
        <v>#N/A</v>
      </c>
    </row>
    <row r="4664" spans="1:18" ht="16.2" customHeight="1" x14ac:dyDescent="0.3">
      <c r="A4664" s="150" t="s">
        <v>4335</v>
      </c>
      <c r="B4664" s="5">
        <f t="shared" si="1093"/>
        <v>11</v>
      </c>
      <c r="C4664" s="5">
        <f t="shared" si="1094"/>
        <v>2025</v>
      </c>
      <c r="D4664" s="150" t="s">
        <v>4301</v>
      </c>
      <c r="E4664" s="5" t="str">
        <f>VLOOKUP(F4664,'Set up'!$A$2:$C$70,2,FALSE)</f>
        <v>C00000013</v>
      </c>
      <c r="F4664" s="151" t="s">
        <v>3549</v>
      </c>
      <c r="G4664" s="151" t="s">
        <v>3507</v>
      </c>
      <c r="H4664" s="150">
        <v>2</v>
      </c>
      <c r="I4664" s="5" t="str">
        <f>VLOOKUP(F4664,'Set up'!$A$2:$C$70,3,FALSE)</f>
        <v>Cash</v>
      </c>
      <c r="J4664" s="5">
        <f>VLOOKUP(F4664,'Set up'!$A$2:$D$70,4,FALSE)</f>
        <v>0</v>
      </c>
      <c r="K4664" s="4">
        <f t="shared" si="1092"/>
        <v>45978</v>
      </c>
      <c r="L4664" s="5">
        <f t="shared" si="1089"/>
        <v>11</v>
      </c>
      <c r="M4664" s="5">
        <f t="shared" si="1090"/>
        <v>2025</v>
      </c>
      <c r="N4664" s="156">
        <v>3465</v>
      </c>
      <c r="P4664" s="12"/>
      <c r="Q4664" s="7">
        <f t="shared" si="1091"/>
        <v>7749276.6500000088</v>
      </c>
      <c r="R4664" s="44" t="str">
        <f>VLOOKUP(F4664,'Set up'!$A$2:$E$70,5,FALSE)</f>
        <v>Chq</v>
      </c>
    </row>
    <row r="4665" spans="1:18" ht="16.2" customHeight="1" x14ac:dyDescent="0.3">
      <c r="A4665" s="150" t="s">
        <v>4335</v>
      </c>
      <c r="B4665" s="5">
        <f t="shared" si="1093"/>
        <v>11</v>
      </c>
      <c r="C4665" s="5">
        <f t="shared" si="1094"/>
        <v>2025</v>
      </c>
      <c r="D4665" s="150" t="s">
        <v>4301</v>
      </c>
      <c r="E4665" s="5" t="str">
        <f>VLOOKUP(F4665,'Set up'!$A$2:$C$70,2,FALSE)</f>
        <v>C00000013</v>
      </c>
      <c r="F4665" s="151" t="s">
        <v>3549</v>
      </c>
      <c r="G4665" s="151" t="s">
        <v>1443</v>
      </c>
      <c r="H4665" s="150">
        <v>2</v>
      </c>
      <c r="I4665" s="5" t="str">
        <f>VLOOKUP(F4665,'Set up'!$A$2:$C$70,3,FALSE)</f>
        <v>Cash</v>
      </c>
      <c r="J4665" s="5">
        <f>VLOOKUP(F4665,'Set up'!$A$2:$D$70,4,FALSE)</f>
        <v>0</v>
      </c>
      <c r="K4665" s="4">
        <f t="shared" si="1092"/>
        <v>45978</v>
      </c>
      <c r="L4665" s="5">
        <f t="shared" si="1089"/>
        <v>11</v>
      </c>
      <c r="M4665" s="5">
        <f t="shared" si="1090"/>
        <v>2025</v>
      </c>
      <c r="N4665" s="156">
        <v>810</v>
      </c>
      <c r="P4665" s="12"/>
      <c r="Q4665" s="7">
        <f t="shared" si="1091"/>
        <v>7750086.6500000088</v>
      </c>
      <c r="R4665" s="44" t="str">
        <f>VLOOKUP(F4665,'Set up'!$A$2:$E$70,5,FALSE)</f>
        <v>Chq</v>
      </c>
    </row>
    <row r="4666" spans="1:18" ht="16.2" customHeight="1" x14ac:dyDescent="0.3">
      <c r="A4666" s="150" t="s">
        <v>4335</v>
      </c>
      <c r="B4666" s="5">
        <f t="shared" si="1093"/>
        <v>11</v>
      </c>
      <c r="C4666" s="5">
        <f t="shared" si="1094"/>
        <v>2025</v>
      </c>
      <c r="D4666" s="150" t="s">
        <v>4301</v>
      </c>
      <c r="E4666" s="5" t="str">
        <f>VLOOKUP(F4666,'Set up'!$A$2:$C$70,2,FALSE)</f>
        <v>C00000013</v>
      </c>
      <c r="F4666" s="151" t="s">
        <v>3549</v>
      </c>
      <c r="G4666" s="151" t="s">
        <v>1444</v>
      </c>
      <c r="H4666" s="150">
        <v>1</v>
      </c>
      <c r="I4666" s="5" t="str">
        <f>VLOOKUP(F4666,'Set up'!$A$2:$C$70,3,FALSE)</f>
        <v>Cash</v>
      </c>
      <c r="J4666" s="5">
        <f>VLOOKUP(F4666,'Set up'!$A$2:$D$70,4,FALSE)</f>
        <v>0</v>
      </c>
      <c r="K4666" s="4">
        <f t="shared" si="1092"/>
        <v>45978</v>
      </c>
      <c r="L4666" s="5">
        <f t="shared" si="1089"/>
        <v>11</v>
      </c>
      <c r="M4666" s="5">
        <f t="shared" si="1090"/>
        <v>2025</v>
      </c>
      <c r="N4666" s="156">
        <v>405</v>
      </c>
      <c r="P4666" s="12"/>
      <c r="Q4666" s="7">
        <f t="shared" si="1091"/>
        <v>7750491.6500000088</v>
      </c>
      <c r="R4666" s="44" t="str">
        <f>VLOOKUP(F4666,'Set up'!$A$2:$E$70,5,FALSE)</f>
        <v>Chq</v>
      </c>
    </row>
    <row r="4667" spans="1:18" ht="16.2" customHeight="1" x14ac:dyDescent="0.3">
      <c r="A4667" s="150" t="s">
        <v>4335</v>
      </c>
      <c r="B4667" s="5">
        <f t="shared" si="1093"/>
        <v>11</v>
      </c>
      <c r="C4667" s="5">
        <f t="shared" si="1094"/>
        <v>2025</v>
      </c>
      <c r="D4667" s="150" t="s">
        <v>4301</v>
      </c>
      <c r="E4667" s="5" t="str">
        <f>VLOOKUP(F4667,'Set up'!$A$2:$C$70,2,FALSE)</f>
        <v>C00000013</v>
      </c>
      <c r="F4667" s="151" t="s">
        <v>3549</v>
      </c>
      <c r="G4667" s="151" t="s">
        <v>3508</v>
      </c>
      <c r="H4667" s="150">
        <v>3</v>
      </c>
      <c r="I4667" s="5" t="str">
        <f>VLOOKUP(F4667,'Set up'!$A$2:$C$70,3,FALSE)</f>
        <v>Cash</v>
      </c>
      <c r="J4667" s="5">
        <f>VLOOKUP(F4667,'Set up'!$A$2:$D$70,4,FALSE)</f>
        <v>0</v>
      </c>
      <c r="K4667" s="4">
        <f t="shared" si="1092"/>
        <v>45978</v>
      </c>
      <c r="L4667" s="5">
        <f t="shared" si="1089"/>
        <v>11</v>
      </c>
      <c r="M4667" s="5">
        <f t="shared" si="1090"/>
        <v>2025</v>
      </c>
      <c r="N4667" s="156">
        <v>851.4</v>
      </c>
      <c r="P4667" s="12"/>
      <c r="Q4667" s="7">
        <f t="shared" si="1091"/>
        <v>7751343.0500000091</v>
      </c>
      <c r="R4667" s="44" t="str">
        <f>VLOOKUP(F4667,'Set up'!$A$2:$E$70,5,FALSE)</f>
        <v>Chq</v>
      </c>
    </row>
    <row r="4668" spans="1:18" ht="16.2" customHeight="1" x14ac:dyDescent="0.3">
      <c r="A4668" s="150" t="s">
        <v>4335</v>
      </c>
      <c r="B4668" s="5">
        <f t="shared" si="1093"/>
        <v>11</v>
      </c>
      <c r="C4668" s="5">
        <f t="shared" si="1094"/>
        <v>2025</v>
      </c>
      <c r="D4668" s="150" t="s">
        <v>4301</v>
      </c>
      <c r="E4668" s="5" t="str">
        <f>VLOOKUP(F4668,'Set up'!$A$2:$C$70,2,FALSE)</f>
        <v>C00000013</v>
      </c>
      <c r="F4668" s="151" t="s">
        <v>3549</v>
      </c>
      <c r="G4668" s="151" t="s">
        <v>4355</v>
      </c>
      <c r="H4668" s="150">
        <v>1</v>
      </c>
      <c r="I4668" s="5" t="str">
        <f>VLOOKUP(F4668,'Set up'!$A$2:$C$70,3,FALSE)</f>
        <v>Cash</v>
      </c>
      <c r="J4668" s="5">
        <f>VLOOKUP(F4668,'Set up'!$A$2:$D$70,4,FALSE)</f>
        <v>0</v>
      </c>
      <c r="K4668" s="4">
        <f t="shared" si="1092"/>
        <v>45978</v>
      </c>
      <c r="L4668" s="5">
        <f t="shared" si="1089"/>
        <v>11</v>
      </c>
      <c r="M4668" s="5">
        <f t="shared" si="1090"/>
        <v>2025</v>
      </c>
      <c r="N4668" s="156">
        <v>175</v>
      </c>
      <c r="P4668" s="12"/>
      <c r="Q4668" s="7">
        <f t="shared" si="1091"/>
        <v>7751518.0500000091</v>
      </c>
      <c r="R4668" s="44" t="str">
        <f>VLOOKUP(F4668,'Set up'!$A$2:$E$70,5,FALSE)</f>
        <v>Chq</v>
      </c>
    </row>
    <row r="4669" spans="1:18" ht="16.2" customHeight="1" x14ac:dyDescent="0.3">
      <c r="A4669" s="150" t="s">
        <v>4335</v>
      </c>
      <c r="B4669" s="5">
        <f t="shared" si="1093"/>
        <v>11</v>
      </c>
      <c r="C4669" s="5">
        <f t="shared" si="1094"/>
        <v>2025</v>
      </c>
      <c r="D4669" s="150" t="s">
        <v>4301</v>
      </c>
      <c r="E4669" s="5" t="str">
        <f>VLOOKUP(F4669,'Set up'!$A$2:$C$70,2,FALSE)</f>
        <v>C00000013</v>
      </c>
      <c r="F4669" s="151" t="s">
        <v>3549</v>
      </c>
      <c r="G4669" s="151" t="s">
        <v>1637</v>
      </c>
      <c r="H4669" s="150">
        <v>1</v>
      </c>
      <c r="I4669" s="5" t="str">
        <f>VLOOKUP(F4669,'Set up'!$A$2:$C$70,3,FALSE)</f>
        <v>Cash</v>
      </c>
      <c r="J4669" s="5">
        <f>VLOOKUP(F4669,'Set up'!$A$2:$D$70,4,FALSE)</f>
        <v>0</v>
      </c>
      <c r="K4669" s="4">
        <f t="shared" si="1092"/>
        <v>45978</v>
      </c>
      <c r="L4669" s="5">
        <f t="shared" si="1089"/>
        <v>11</v>
      </c>
      <c r="M4669" s="5">
        <f t="shared" si="1090"/>
        <v>2025</v>
      </c>
      <c r="N4669" s="156">
        <v>430</v>
      </c>
      <c r="P4669" s="12"/>
      <c r="Q4669" s="7">
        <f t="shared" si="1091"/>
        <v>7751948.0500000091</v>
      </c>
      <c r="R4669" s="44" t="str">
        <f>VLOOKUP(F4669,'Set up'!$A$2:$E$70,5,FALSE)</f>
        <v>Chq</v>
      </c>
    </row>
    <row r="4670" spans="1:18" ht="16.2" customHeight="1" x14ac:dyDescent="0.3">
      <c r="A4670" s="150" t="s">
        <v>4335</v>
      </c>
      <c r="B4670" s="5">
        <f t="shared" si="1093"/>
        <v>11</v>
      </c>
      <c r="C4670" s="5">
        <f t="shared" si="1094"/>
        <v>2025</v>
      </c>
      <c r="D4670" s="150" t="s">
        <v>4301</v>
      </c>
      <c r="E4670" s="5" t="str">
        <f>VLOOKUP(F4670,'Set up'!$A$2:$C$70,2,FALSE)</f>
        <v>C00000013</v>
      </c>
      <c r="F4670" s="151" t="s">
        <v>3549</v>
      </c>
      <c r="G4670" s="151" t="s">
        <v>1449</v>
      </c>
      <c r="H4670" s="150">
        <v>3</v>
      </c>
      <c r="I4670" s="5" t="str">
        <f>VLOOKUP(F4670,'Set up'!$A$2:$C$70,3,FALSE)</f>
        <v>Cash</v>
      </c>
      <c r="J4670" s="5">
        <f>VLOOKUP(F4670,'Set up'!$A$2:$D$70,4,FALSE)</f>
        <v>0</v>
      </c>
      <c r="K4670" s="4">
        <f t="shared" si="1092"/>
        <v>45978</v>
      </c>
      <c r="L4670" s="5">
        <f t="shared" si="1089"/>
        <v>11</v>
      </c>
      <c r="M4670" s="5">
        <f t="shared" si="1090"/>
        <v>2025</v>
      </c>
      <c r="N4670" s="156">
        <v>360</v>
      </c>
      <c r="P4670" s="12"/>
      <c r="Q4670" s="7">
        <f t="shared" si="1091"/>
        <v>7752308.0500000091</v>
      </c>
      <c r="R4670" s="44" t="str">
        <f>VLOOKUP(F4670,'Set up'!$A$2:$E$70,5,FALSE)</f>
        <v>Chq</v>
      </c>
    </row>
    <row r="4671" spans="1:18" ht="16.2" customHeight="1" x14ac:dyDescent="0.3">
      <c r="A4671" s="150" t="s">
        <v>4335</v>
      </c>
      <c r="B4671" s="5">
        <f t="shared" si="1093"/>
        <v>11</v>
      </c>
      <c r="C4671" s="5">
        <f t="shared" si="1094"/>
        <v>2025</v>
      </c>
      <c r="D4671" s="150" t="s">
        <v>4301</v>
      </c>
      <c r="E4671" s="5" t="str">
        <f>VLOOKUP(F4671,'Set up'!$A$2:$C$70,2,FALSE)</f>
        <v>C00000013</v>
      </c>
      <c r="F4671" s="151" t="s">
        <v>3549</v>
      </c>
      <c r="G4671" s="151" t="s">
        <v>3509</v>
      </c>
      <c r="H4671" s="150">
        <v>1</v>
      </c>
      <c r="I4671" s="5" t="str">
        <f>VLOOKUP(F4671,'Set up'!$A$2:$C$70,3,FALSE)</f>
        <v>Cash</v>
      </c>
      <c r="J4671" s="5">
        <f>VLOOKUP(F4671,'Set up'!$A$2:$D$70,4,FALSE)</f>
        <v>0</v>
      </c>
      <c r="K4671" s="4">
        <f t="shared" si="1092"/>
        <v>45978</v>
      </c>
      <c r="L4671" s="5">
        <f t="shared" si="1089"/>
        <v>11</v>
      </c>
      <c r="M4671" s="5">
        <f t="shared" si="1090"/>
        <v>2025</v>
      </c>
      <c r="N4671" s="156">
        <v>55.2</v>
      </c>
      <c r="P4671" s="12"/>
      <c r="Q4671" s="7">
        <f t="shared" si="1091"/>
        <v>7752363.2500000093</v>
      </c>
      <c r="R4671" s="44" t="str">
        <f>VLOOKUP(F4671,'Set up'!$A$2:$E$70,5,FALSE)</f>
        <v>Chq</v>
      </c>
    </row>
    <row r="4672" spans="1:18" ht="16.2" customHeight="1" x14ac:dyDescent="0.3">
      <c r="A4672" s="150" t="s">
        <v>4335</v>
      </c>
      <c r="B4672" s="5">
        <f t="shared" si="1093"/>
        <v>11</v>
      </c>
      <c r="C4672" s="5">
        <f t="shared" si="1094"/>
        <v>2025</v>
      </c>
      <c r="D4672" s="150" t="s">
        <v>4302</v>
      </c>
      <c r="E4672" s="5" t="str">
        <f>VLOOKUP(F4672,'Set up'!$A$2:$C$70,2,FALSE)</f>
        <v>C00000049</v>
      </c>
      <c r="F4672" s="151" t="s">
        <v>2728</v>
      </c>
      <c r="G4672" s="151" t="s">
        <v>17</v>
      </c>
      <c r="H4672" s="150">
        <v>1</v>
      </c>
      <c r="I4672" s="5" t="str">
        <f>VLOOKUP(F4672,'Set up'!$A$2:$C$70,3,FALSE)</f>
        <v>Cash</v>
      </c>
      <c r="J4672" s="5">
        <f>VLOOKUP(F4672,'Set up'!$A$2:$D$70,4,FALSE)</f>
        <v>0</v>
      </c>
      <c r="K4672" s="4">
        <f t="shared" si="1092"/>
        <v>45978</v>
      </c>
      <c r="L4672" s="5">
        <f t="shared" si="1089"/>
        <v>11</v>
      </c>
      <c r="M4672" s="5">
        <f t="shared" si="1090"/>
        <v>2025</v>
      </c>
      <c r="N4672" s="156">
        <v>120</v>
      </c>
      <c r="P4672" s="12"/>
      <c r="Q4672" s="7">
        <f t="shared" si="1091"/>
        <v>7752483.2500000093</v>
      </c>
      <c r="R4672" s="44" t="str">
        <f>VLOOKUP(F4672,'Set up'!$A$2:$E$70,5,FALSE)</f>
        <v>Cash</v>
      </c>
    </row>
    <row r="4673" spans="1:18" ht="16.2" customHeight="1" x14ac:dyDescent="0.3">
      <c r="A4673" s="150" t="s">
        <v>4335</v>
      </c>
      <c r="B4673" s="5">
        <f t="shared" si="1093"/>
        <v>11</v>
      </c>
      <c r="C4673" s="5">
        <f t="shared" si="1094"/>
        <v>2025</v>
      </c>
      <c r="D4673" s="150" t="s">
        <v>4303</v>
      </c>
      <c r="E4673" s="5" t="str">
        <f>VLOOKUP(F4673,'Set up'!$A$2:$C$70,2,FALSE)</f>
        <v>C00000026</v>
      </c>
      <c r="F4673" s="151" t="s">
        <v>784</v>
      </c>
      <c r="G4673" s="151" t="s">
        <v>4348</v>
      </c>
      <c r="H4673" s="150">
        <v>1</v>
      </c>
      <c r="I4673" s="5" t="str">
        <f>VLOOKUP(F4673,'Set up'!$A$2:$C$70,3,FALSE)</f>
        <v>Cash</v>
      </c>
      <c r="J4673" s="5">
        <f>VLOOKUP(F4673,'Set up'!$A$2:$D$70,4,FALSE)</f>
        <v>0</v>
      </c>
      <c r="K4673" s="4">
        <f t="shared" si="1092"/>
        <v>45978</v>
      </c>
      <c r="L4673" s="5">
        <f t="shared" si="1089"/>
        <v>11</v>
      </c>
      <c r="M4673" s="5">
        <f t="shared" si="1090"/>
        <v>2025</v>
      </c>
      <c r="N4673" s="156">
        <v>60</v>
      </c>
      <c r="P4673" s="12"/>
      <c r="Q4673" s="7">
        <f t="shared" si="1091"/>
        <v>7752543.2500000093</v>
      </c>
      <c r="R4673" s="44" t="str">
        <f>VLOOKUP(F4673,'Set up'!$A$2:$E$70,5,FALSE)</f>
        <v>Trsf</v>
      </c>
    </row>
    <row r="4674" spans="1:18" ht="16.2" customHeight="1" x14ac:dyDescent="0.3">
      <c r="A4674" s="150" t="s">
        <v>4335</v>
      </c>
      <c r="B4674" s="5">
        <f t="shared" si="1093"/>
        <v>11</v>
      </c>
      <c r="C4674" s="5">
        <f t="shared" si="1094"/>
        <v>2025</v>
      </c>
      <c r="D4674" s="150" t="s">
        <v>4303</v>
      </c>
      <c r="E4674" s="5" t="str">
        <f>VLOOKUP(F4674,'Set up'!$A$2:$C$70,2,FALSE)</f>
        <v>C00000026</v>
      </c>
      <c r="F4674" s="151" t="s">
        <v>784</v>
      </c>
      <c r="G4674" s="151" t="s">
        <v>2635</v>
      </c>
      <c r="H4674" s="150">
        <v>1</v>
      </c>
      <c r="I4674" s="5" t="str">
        <f>VLOOKUP(F4674,'Set up'!$A$2:$C$70,3,FALSE)</f>
        <v>Cash</v>
      </c>
      <c r="J4674" s="5">
        <f>VLOOKUP(F4674,'Set up'!$A$2:$D$70,4,FALSE)</f>
        <v>0</v>
      </c>
      <c r="K4674" s="4">
        <f t="shared" si="1092"/>
        <v>45978</v>
      </c>
      <c r="L4674" s="5">
        <f t="shared" si="1089"/>
        <v>11</v>
      </c>
      <c r="M4674" s="5">
        <f t="shared" si="1090"/>
        <v>2025</v>
      </c>
      <c r="N4674" s="156">
        <v>62.5</v>
      </c>
      <c r="P4674" s="12"/>
      <c r="Q4674" s="7">
        <f t="shared" si="1091"/>
        <v>7752605.7500000093</v>
      </c>
      <c r="R4674" s="44" t="str">
        <f>VLOOKUP(F4674,'Set up'!$A$2:$E$70,5,FALSE)</f>
        <v>Trsf</v>
      </c>
    </row>
    <row r="4675" spans="1:18" ht="16.2" customHeight="1" x14ac:dyDescent="0.3">
      <c r="A4675" s="150" t="s">
        <v>4335</v>
      </c>
      <c r="B4675" s="5">
        <f t="shared" si="1093"/>
        <v>11</v>
      </c>
      <c r="C4675" s="5">
        <f t="shared" si="1094"/>
        <v>2025</v>
      </c>
      <c r="D4675" s="150" t="s">
        <v>4303</v>
      </c>
      <c r="E4675" s="5" t="str">
        <f>VLOOKUP(F4675,'Set up'!$A$2:$C$70,2,FALSE)</f>
        <v>C00000026</v>
      </c>
      <c r="F4675" s="151" t="s">
        <v>784</v>
      </c>
      <c r="G4675" s="151" t="s">
        <v>1660</v>
      </c>
      <c r="H4675" s="150">
        <v>1</v>
      </c>
      <c r="I4675" s="5" t="str">
        <f>VLOOKUP(F4675,'Set up'!$A$2:$C$70,3,FALSE)</f>
        <v>Cash</v>
      </c>
      <c r="J4675" s="5">
        <f>VLOOKUP(F4675,'Set up'!$A$2:$D$70,4,FALSE)</f>
        <v>0</v>
      </c>
      <c r="K4675" s="4">
        <f t="shared" si="1092"/>
        <v>45978</v>
      </c>
      <c r="L4675" s="5">
        <f t="shared" ref="L4675:L4738" si="1095">MONTH(K4675)</f>
        <v>11</v>
      </c>
      <c r="M4675" s="5">
        <f t="shared" ref="M4675:M4738" si="1096">YEAR(K4675)</f>
        <v>2025</v>
      </c>
      <c r="N4675" s="156">
        <v>175</v>
      </c>
      <c r="P4675" s="12"/>
      <c r="Q4675" s="7">
        <f t="shared" ref="Q4675:Q4737" si="1097">SUM(Q4674+N4675)</f>
        <v>7752780.7500000093</v>
      </c>
      <c r="R4675" s="44" t="str">
        <f>VLOOKUP(F4675,'Set up'!$A$2:$E$70,5,FALSE)</f>
        <v>Trsf</v>
      </c>
    </row>
    <row r="4676" spans="1:18" ht="16.2" customHeight="1" x14ac:dyDescent="0.3">
      <c r="A4676" s="150" t="s">
        <v>4335</v>
      </c>
      <c r="B4676" s="5">
        <f t="shared" si="1093"/>
        <v>11</v>
      </c>
      <c r="C4676" s="5">
        <f t="shared" si="1094"/>
        <v>2025</v>
      </c>
      <c r="D4676" s="150" t="s">
        <v>4304</v>
      </c>
      <c r="E4676" s="5" t="str">
        <f>VLOOKUP(F4676,'Set up'!$A$2:$C$70,2,FALSE)</f>
        <v>C00000042</v>
      </c>
      <c r="F4676" s="151" t="s">
        <v>2012</v>
      </c>
      <c r="G4676" s="151" t="s">
        <v>2646</v>
      </c>
      <c r="H4676" s="150">
        <v>1</v>
      </c>
      <c r="I4676" s="5" t="str">
        <f>VLOOKUP(F4676,'Set up'!$A$2:$C$70,3,FALSE)</f>
        <v>Cash</v>
      </c>
      <c r="J4676" s="5">
        <f>VLOOKUP(F4676,'Set up'!$A$2:$D$70,4,FALSE)</f>
        <v>0</v>
      </c>
      <c r="K4676" s="4">
        <f t="shared" si="1092"/>
        <v>45978</v>
      </c>
      <c r="L4676" s="5">
        <f t="shared" si="1095"/>
        <v>11</v>
      </c>
      <c r="M4676" s="5">
        <f t="shared" si="1096"/>
        <v>2025</v>
      </c>
      <c r="N4676" s="156">
        <v>62.5</v>
      </c>
      <c r="P4676" s="12"/>
      <c r="Q4676" s="7">
        <f t="shared" si="1097"/>
        <v>7752843.2500000093</v>
      </c>
      <c r="R4676" s="44" t="str">
        <f>VLOOKUP(F4676,'Set up'!$A$2:$E$70,5,FALSE)</f>
        <v>Trsf</v>
      </c>
    </row>
    <row r="4677" spans="1:18" ht="16.2" customHeight="1" x14ac:dyDescent="0.3">
      <c r="A4677" s="150" t="s">
        <v>4335</v>
      </c>
      <c r="B4677" s="5">
        <f t="shared" si="1093"/>
        <v>11</v>
      </c>
      <c r="C4677" s="5">
        <f t="shared" si="1094"/>
        <v>2025</v>
      </c>
      <c r="D4677" s="150" t="s">
        <v>4305</v>
      </c>
      <c r="E4677" s="5" t="str">
        <f>VLOOKUP(F4677,'Set up'!$A$2:$C$70,2,FALSE)</f>
        <v>C00000042</v>
      </c>
      <c r="F4677" s="151" t="s">
        <v>2012</v>
      </c>
      <c r="G4677" s="151" t="s">
        <v>3645</v>
      </c>
      <c r="H4677" s="150">
        <v>5</v>
      </c>
      <c r="I4677" s="5" t="str">
        <f>VLOOKUP(F4677,'Set up'!$A$2:$C$70,3,FALSE)</f>
        <v>Cash</v>
      </c>
      <c r="J4677" s="5">
        <f>VLOOKUP(F4677,'Set up'!$A$2:$D$70,4,FALSE)</f>
        <v>0</v>
      </c>
      <c r="K4677" s="4">
        <f t="shared" si="1092"/>
        <v>45978</v>
      </c>
      <c r="L4677" s="5">
        <f t="shared" si="1095"/>
        <v>11</v>
      </c>
      <c r="M4677" s="5">
        <f t="shared" si="1096"/>
        <v>2025</v>
      </c>
      <c r="N4677" s="156">
        <v>7762.5</v>
      </c>
      <c r="P4677" s="12"/>
      <c r="Q4677" s="7">
        <f t="shared" si="1097"/>
        <v>7760605.7500000093</v>
      </c>
      <c r="R4677" s="44" t="str">
        <f>VLOOKUP(F4677,'Set up'!$A$2:$E$70,5,FALSE)</f>
        <v>Trsf</v>
      </c>
    </row>
    <row r="4678" spans="1:18" ht="16.2" customHeight="1" x14ac:dyDescent="0.3">
      <c r="A4678" s="150" t="s">
        <v>4335</v>
      </c>
      <c r="B4678" s="5">
        <f t="shared" si="1093"/>
        <v>11</v>
      </c>
      <c r="C4678" s="5">
        <f t="shared" si="1094"/>
        <v>2025</v>
      </c>
      <c r="D4678" s="150" t="s">
        <v>4305</v>
      </c>
      <c r="E4678" s="5" t="str">
        <f>VLOOKUP(F4678,'Set up'!$A$2:$C$70,2,FALSE)</f>
        <v>C00000042</v>
      </c>
      <c r="F4678" s="151" t="s">
        <v>2012</v>
      </c>
      <c r="G4678" s="151" t="s">
        <v>4356</v>
      </c>
      <c r="H4678" s="150">
        <v>10</v>
      </c>
      <c r="I4678" s="5" t="str">
        <f>VLOOKUP(F4678,'Set up'!$A$2:$C$70,3,FALSE)</f>
        <v>Cash</v>
      </c>
      <c r="J4678" s="5">
        <f>VLOOKUP(F4678,'Set up'!$A$2:$D$70,4,FALSE)</f>
        <v>0</v>
      </c>
      <c r="K4678" s="4">
        <f t="shared" si="1092"/>
        <v>45978</v>
      </c>
      <c r="L4678" s="5">
        <f t="shared" si="1095"/>
        <v>11</v>
      </c>
      <c r="M4678" s="5">
        <f t="shared" si="1096"/>
        <v>2025</v>
      </c>
      <c r="N4678" s="156">
        <v>2183</v>
      </c>
      <c r="P4678" s="12"/>
      <c r="Q4678" s="7">
        <f t="shared" si="1097"/>
        <v>7762788.7500000093</v>
      </c>
      <c r="R4678" s="44" t="str">
        <f>VLOOKUP(F4678,'Set up'!$A$2:$E$70,5,FALSE)</f>
        <v>Trsf</v>
      </c>
    </row>
    <row r="4679" spans="1:18" ht="16.2" customHeight="1" x14ac:dyDescent="0.3">
      <c r="A4679" s="150" t="s">
        <v>4335</v>
      </c>
      <c r="B4679" s="5">
        <f t="shared" si="1093"/>
        <v>11</v>
      </c>
      <c r="C4679" s="5">
        <f t="shared" si="1094"/>
        <v>2025</v>
      </c>
      <c r="D4679" s="150" t="s">
        <v>4305</v>
      </c>
      <c r="E4679" s="5" t="str">
        <f>VLOOKUP(F4679,'Set up'!$A$2:$C$70,2,FALSE)</f>
        <v>C00000042</v>
      </c>
      <c r="F4679" s="151" t="s">
        <v>2012</v>
      </c>
      <c r="G4679" s="151" t="s">
        <v>1922</v>
      </c>
      <c r="H4679" s="150">
        <v>7</v>
      </c>
      <c r="I4679" s="5" t="str">
        <f>VLOOKUP(F4679,'Set up'!$A$2:$C$70,3,FALSE)</f>
        <v>Cash</v>
      </c>
      <c r="J4679" s="5">
        <f>VLOOKUP(F4679,'Set up'!$A$2:$D$70,4,FALSE)</f>
        <v>0</v>
      </c>
      <c r="K4679" s="4">
        <f t="shared" si="1092"/>
        <v>45978</v>
      </c>
      <c r="L4679" s="5">
        <f t="shared" si="1095"/>
        <v>11</v>
      </c>
      <c r="M4679" s="5">
        <f t="shared" si="1096"/>
        <v>2025</v>
      </c>
      <c r="N4679" s="156">
        <v>1606.5</v>
      </c>
      <c r="P4679" s="12"/>
      <c r="Q4679" s="7">
        <f t="shared" si="1097"/>
        <v>7764395.2500000093</v>
      </c>
      <c r="R4679" s="44" t="str">
        <f>VLOOKUP(F4679,'Set up'!$A$2:$E$70,5,FALSE)</f>
        <v>Trsf</v>
      </c>
    </row>
    <row r="4680" spans="1:18" ht="16.2" customHeight="1" x14ac:dyDescent="0.3">
      <c r="A4680" s="150" t="s">
        <v>4335</v>
      </c>
      <c r="B4680" s="5">
        <f t="shared" si="1093"/>
        <v>11</v>
      </c>
      <c r="C4680" s="5">
        <f t="shared" si="1094"/>
        <v>2025</v>
      </c>
      <c r="D4680" s="150" t="s">
        <v>4305</v>
      </c>
      <c r="E4680" s="5" t="str">
        <f>VLOOKUP(F4680,'Set up'!$A$2:$C$70,2,FALSE)</f>
        <v>C00000042</v>
      </c>
      <c r="F4680" s="151" t="s">
        <v>2012</v>
      </c>
      <c r="G4680" s="151" t="s">
        <v>46</v>
      </c>
      <c r="H4680" s="150">
        <v>4</v>
      </c>
      <c r="I4680" s="5" t="str">
        <f>VLOOKUP(F4680,'Set up'!$A$2:$C$70,3,FALSE)</f>
        <v>Cash</v>
      </c>
      <c r="J4680" s="5">
        <f>VLOOKUP(F4680,'Set up'!$A$2:$D$70,4,FALSE)</f>
        <v>0</v>
      </c>
      <c r="K4680" s="4">
        <f t="shared" si="1092"/>
        <v>45978</v>
      </c>
      <c r="L4680" s="5">
        <f t="shared" si="1095"/>
        <v>11</v>
      </c>
      <c r="M4680" s="5">
        <f t="shared" si="1096"/>
        <v>2025</v>
      </c>
      <c r="N4680" s="156">
        <v>460</v>
      </c>
      <c r="P4680" s="12"/>
      <c r="Q4680" s="7">
        <f t="shared" si="1097"/>
        <v>7764855.2500000093</v>
      </c>
      <c r="R4680" s="44" t="str">
        <f>VLOOKUP(F4680,'Set up'!$A$2:$E$70,5,FALSE)</f>
        <v>Trsf</v>
      </c>
    </row>
    <row r="4681" spans="1:18" ht="16.2" customHeight="1" x14ac:dyDescent="0.3">
      <c r="A4681" s="150" t="s">
        <v>4335</v>
      </c>
      <c r="B4681" s="5">
        <f t="shared" si="1093"/>
        <v>11</v>
      </c>
      <c r="C4681" s="5">
        <f t="shared" si="1094"/>
        <v>2025</v>
      </c>
      <c r="D4681" s="150" t="s">
        <v>4305</v>
      </c>
      <c r="E4681" s="5" t="str">
        <f>VLOOKUP(F4681,'Set up'!$A$2:$C$70,2,FALSE)</f>
        <v>C00000042</v>
      </c>
      <c r="F4681" s="151" t="s">
        <v>2012</v>
      </c>
      <c r="G4681" s="151" t="s">
        <v>1073</v>
      </c>
      <c r="H4681" s="150">
        <v>1</v>
      </c>
      <c r="I4681" s="5" t="str">
        <f>VLOOKUP(F4681,'Set up'!$A$2:$C$70,3,FALSE)</f>
        <v>Cash</v>
      </c>
      <c r="J4681" s="5">
        <f>VLOOKUP(F4681,'Set up'!$A$2:$D$70,4,FALSE)</f>
        <v>0</v>
      </c>
      <c r="K4681" s="4">
        <f t="shared" si="1092"/>
        <v>45978</v>
      </c>
      <c r="L4681" s="5">
        <f t="shared" si="1095"/>
        <v>11</v>
      </c>
      <c r="M4681" s="5">
        <f t="shared" si="1096"/>
        <v>2025</v>
      </c>
      <c r="N4681" s="156">
        <v>1050</v>
      </c>
      <c r="P4681" s="12"/>
      <c r="Q4681" s="7">
        <f t="shared" si="1097"/>
        <v>7765905.2500000093</v>
      </c>
      <c r="R4681" s="44" t="str">
        <f>VLOOKUP(F4681,'Set up'!$A$2:$E$70,5,FALSE)</f>
        <v>Trsf</v>
      </c>
    </row>
    <row r="4682" spans="1:18" ht="16.2" customHeight="1" x14ac:dyDescent="0.3">
      <c r="A4682" s="150" t="s">
        <v>4336</v>
      </c>
      <c r="B4682" s="5">
        <f t="shared" si="1093"/>
        <v>11</v>
      </c>
      <c r="C4682" s="5">
        <f t="shared" si="1094"/>
        <v>2025</v>
      </c>
      <c r="D4682" s="150" t="s">
        <v>4306</v>
      </c>
      <c r="E4682" s="5" t="str">
        <f>VLOOKUP(F4682,'Set up'!$A$2:$C$70,2,FALSE)</f>
        <v>C00000006</v>
      </c>
      <c r="F4682" s="151" t="s">
        <v>43</v>
      </c>
      <c r="G4682" s="151" t="s">
        <v>3122</v>
      </c>
      <c r="H4682" s="150">
        <v>1</v>
      </c>
      <c r="I4682" s="5" t="str">
        <f>VLOOKUP(F4682,'Set up'!$A$2:$C$70,3,FALSE)</f>
        <v>Cash</v>
      </c>
      <c r="J4682" s="5">
        <f>VLOOKUP(F4682,'Set up'!$A$2:$D$70,4,FALSE)</f>
        <v>0</v>
      </c>
      <c r="K4682" s="4">
        <f t="shared" si="1092"/>
        <v>45979</v>
      </c>
      <c r="L4682" s="5">
        <f t="shared" si="1095"/>
        <v>11</v>
      </c>
      <c r="M4682" s="5">
        <f t="shared" si="1096"/>
        <v>2025</v>
      </c>
      <c r="N4682" s="156">
        <v>1687.5</v>
      </c>
      <c r="P4682" s="12"/>
      <c r="Q4682" s="7">
        <f t="shared" si="1097"/>
        <v>7767592.7500000093</v>
      </c>
      <c r="R4682" s="44" t="str">
        <f>VLOOKUP(F4682,'Set up'!$A$2:$E$70,5,FALSE)</f>
        <v>Chq</v>
      </c>
    </row>
    <row r="4683" spans="1:18" ht="16.2" customHeight="1" x14ac:dyDescent="0.3">
      <c r="A4683" s="150" t="s">
        <v>4336</v>
      </c>
      <c r="B4683" s="5">
        <f t="shared" si="1093"/>
        <v>11</v>
      </c>
      <c r="C4683" s="5">
        <f t="shared" si="1094"/>
        <v>2025</v>
      </c>
      <c r="D4683" s="150" t="s">
        <v>4306</v>
      </c>
      <c r="E4683" s="5" t="str">
        <f>VLOOKUP(F4683,'Set up'!$A$2:$C$70,2,FALSE)</f>
        <v>C00000006</v>
      </c>
      <c r="F4683" s="151" t="s">
        <v>43</v>
      </c>
      <c r="G4683" s="151" t="s">
        <v>1796</v>
      </c>
      <c r="H4683" s="150">
        <v>2</v>
      </c>
      <c r="I4683" s="5" t="str">
        <f>VLOOKUP(F4683,'Set up'!$A$2:$C$70,3,FALSE)</f>
        <v>Cash</v>
      </c>
      <c r="J4683" s="5">
        <f>VLOOKUP(F4683,'Set up'!$A$2:$D$70,4,FALSE)</f>
        <v>0</v>
      </c>
      <c r="K4683" s="4">
        <f t="shared" si="1092"/>
        <v>45979</v>
      </c>
      <c r="L4683" s="5">
        <f t="shared" si="1095"/>
        <v>11</v>
      </c>
      <c r="M4683" s="5">
        <f t="shared" si="1096"/>
        <v>2025</v>
      </c>
      <c r="N4683" s="156">
        <v>432</v>
      </c>
      <c r="P4683" s="12"/>
      <c r="Q4683" s="7">
        <f t="shared" si="1097"/>
        <v>7768024.7500000093</v>
      </c>
      <c r="R4683" s="44" t="str">
        <f>VLOOKUP(F4683,'Set up'!$A$2:$E$70,5,FALSE)</f>
        <v>Chq</v>
      </c>
    </row>
    <row r="4684" spans="1:18" ht="16.2" customHeight="1" x14ac:dyDescent="0.3">
      <c r="A4684" s="150" t="s">
        <v>4336</v>
      </c>
      <c r="B4684" s="5">
        <f t="shared" si="1093"/>
        <v>11</v>
      </c>
      <c r="C4684" s="5">
        <f t="shared" si="1094"/>
        <v>2025</v>
      </c>
      <c r="D4684" s="150" t="s">
        <v>4306</v>
      </c>
      <c r="E4684" s="5" t="str">
        <f>VLOOKUP(F4684,'Set up'!$A$2:$C$70,2,FALSE)</f>
        <v>C00000006</v>
      </c>
      <c r="F4684" s="151" t="s">
        <v>43</v>
      </c>
      <c r="G4684" s="151" t="s">
        <v>46</v>
      </c>
      <c r="H4684" s="150">
        <v>2</v>
      </c>
      <c r="I4684" s="5" t="str">
        <f>VLOOKUP(F4684,'Set up'!$A$2:$C$70,3,FALSE)</f>
        <v>Cash</v>
      </c>
      <c r="J4684" s="5">
        <f>VLOOKUP(F4684,'Set up'!$A$2:$D$70,4,FALSE)</f>
        <v>0</v>
      </c>
      <c r="K4684" s="4">
        <f t="shared" si="1092"/>
        <v>45979</v>
      </c>
      <c r="L4684" s="5">
        <f t="shared" si="1095"/>
        <v>11</v>
      </c>
      <c r="M4684" s="5">
        <f t="shared" si="1096"/>
        <v>2025</v>
      </c>
      <c r="N4684" s="156">
        <v>230</v>
      </c>
      <c r="P4684" s="12"/>
      <c r="Q4684" s="7">
        <f t="shared" si="1097"/>
        <v>7768254.7500000093</v>
      </c>
      <c r="R4684" s="44" t="str">
        <f>VLOOKUP(F4684,'Set up'!$A$2:$E$70,5,FALSE)</f>
        <v>Chq</v>
      </c>
    </row>
    <row r="4685" spans="1:18" ht="16.2" customHeight="1" x14ac:dyDescent="0.3">
      <c r="A4685" s="150" t="s">
        <v>4336</v>
      </c>
      <c r="B4685" s="5">
        <f t="shared" si="1093"/>
        <v>11</v>
      </c>
      <c r="C4685" s="5">
        <f t="shared" si="1094"/>
        <v>2025</v>
      </c>
      <c r="D4685" s="150" t="s">
        <v>4306</v>
      </c>
      <c r="E4685" s="5" t="str">
        <f>VLOOKUP(F4685,'Set up'!$A$2:$C$70,2,FALSE)</f>
        <v>C00000006</v>
      </c>
      <c r="F4685" s="151" t="s">
        <v>43</v>
      </c>
      <c r="G4685" s="151" t="s">
        <v>4357</v>
      </c>
      <c r="H4685" s="150">
        <v>1</v>
      </c>
      <c r="I4685" s="5" t="str">
        <f>VLOOKUP(F4685,'Set up'!$A$2:$C$70,3,FALSE)</f>
        <v>Cash</v>
      </c>
      <c r="J4685" s="5">
        <f>VLOOKUP(F4685,'Set up'!$A$2:$D$70,4,FALSE)</f>
        <v>0</v>
      </c>
      <c r="K4685" s="4">
        <f t="shared" si="1092"/>
        <v>45979</v>
      </c>
      <c r="L4685" s="5">
        <f t="shared" si="1095"/>
        <v>11</v>
      </c>
      <c r="M4685" s="5">
        <f t="shared" si="1096"/>
        <v>2025</v>
      </c>
      <c r="N4685" s="156">
        <v>300</v>
      </c>
      <c r="P4685" s="12"/>
      <c r="Q4685" s="7">
        <f t="shared" si="1097"/>
        <v>7768554.7500000093</v>
      </c>
      <c r="R4685" s="44" t="str">
        <f>VLOOKUP(F4685,'Set up'!$A$2:$E$70,5,FALSE)</f>
        <v>Chq</v>
      </c>
    </row>
    <row r="4686" spans="1:18" ht="16.2" customHeight="1" x14ac:dyDescent="0.3">
      <c r="A4686" s="150" t="s">
        <v>4336</v>
      </c>
      <c r="B4686" s="5">
        <f t="shared" si="1093"/>
        <v>11</v>
      </c>
      <c r="C4686" s="5">
        <f t="shared" si="1094"/>
        <v>2025</v>
      </c>
      <c r="D4686" s="150" t="s">
        <v>4306</v>
      </c>
      <c r="E4686" s="5" t="str">
        <f>VLOOKUP(F4686,'Set up'!$A$2:$C$70,2,FALSE)</f>
        <v>C00000006</v>
      </c>
      <c r="F4686" s="151" t="s">
        <v>43</v>
      </c>
      <c r="G4686" s="151" t="s">
        <v>1660</v>
      </c>
      <c r="H4686" s="150">
        <v>1</v>
      </c>
      <c r="I4686" s="5" t="str">
        <f>VLOOKUP(F4686,'Set up'!$A$2:$C$70,3,FALSE)</f>
        <v>Cash</v>
      </c>
      <c r="J4686" s="5">
        <f>VLOOKUP(F4686,'Set up'!$A$2:$D$70,4,FALSE)</f>
        <v>0</v>
      </c>
      <c r="K4686" s="4">
        <f t="shared" si="1092"/>
        <v>45979</v>
      </c>
      <c r="L4686" s="5">
        <f t="shared" si="1095"/>
        <v>11</v>
      </c>
      <c r="M4686" s="5">
        <f t="shared" si="1096"/>
        <v>2025</v>
      </c>
      <c r="N4686" s="156">
        <v>165</v>
      </c>
      <c r="P4686" s="12"/>
      <c r="Q4686" s="7">
        <f t="shared" si="1097"/>
        <v>7768719.7500000093</v>
      </c>
      <c r="R4686" s="44" t="str">
        <f>VLOOKUP(F4686,'Set up'!$A$2:$E$70,5,FALSE)</f>
        <v>Chq</v>
      </c>
    </row>
    <row r="4687" spans="1:18" ht="16.2" customHeight="1" x14ac:dyDescent="0.3">
      <c r="A4687" s="150" t="s">
        <v>4336</v>
      </c>
      <c r="B4687" s="5">
        <f t="shared" si="1093"/>
        <v>11</v>
      </c>
      <c r="C4687" s="5">
        <f t="shared" si="1094"/>
        <v>2025</v>
      </c>
      <c r="D4687" s="150" t="s">
        <v>4306</v>
      </c>
      <c r="E4687" s="5" t="str">
        <f>VLOOKUP(F4687,'Set up'!$A$2:$C$70,2,FALSE)</f>
        <v>C00000006</v>
      </c>
      <c r="F4687" s="151" t="s">
        <v>43</v>
      </c>
      <c r="G4687" s="151" t="s">
        <v>4348</v>
      </c>
      <c r="H4687" s="150">
        <v>2</v>
      </c>
      <c r="I4687" s="5" t="str">
        <f>VLOOKUP(F4687,'Set up'!$A$2:$C$70,3,FALSE)</f>
        <v>Cash</v>
      </c>
      <c r="J4687" s="5">
        <f>VLOOKUP(F4687,'Set up'!$A$2:$D$70,4,FALSE)</f>
        <v>0</v>
      </c>
      <c r="K4687" s="4">
        <f t="shared" si="1092"/>
        <v>45979</v>
      </c>
      <c r="L4687" s="5">
        <f t="shared" si="1095"/>
        <v>11</v>
      </c>
      <c r="M4687" s="5">
        <f t="shared" si="1096"/>
        <v>2025</v>
      </c>
      <c r="N4687" s="156">
        <v>120</v>
      </c>
      <c r="P4687" s="12"/>
      <c r="Q4687" s="7">
        <f t="shared" si="1097"/>
        <v>7768839.7500000093</v>
      </c>
      <c r="R4687" s="44" t="str">
        <f>VLOOKUP(F4687,'Set up'!$A$2:$E$70,5,FALSE)</f>
        <v>Chq</v>
      </c>
    </row>
    <row r="4688" spans="1:18" ht="16.2" customHeight="1" x14ac:dyDescent="0.3">
      <c r="A4688" s="150" t="s">
        <v>4336</v>
      </c>
      <c r="B4688" s="5">
        <f t="shared" si="1093"/>
        <v>11</v>
      </c>
      <c r="C4688" s="5">
        <f t="shared" si="1094"/>
        <v>2025</v>
      </c>
      <c r="D4688" s="150" t="s">
        <v>4307</v>
      </c>
      <c r="E4688" s="5" t="e">
        <f>VLOOKUP(F4688,'Set up'!$A$2:$C$70,2,FALSE)</f>
        <v>#N/A</v>
      </c>
      <c r="F4688" s="151" t="s">
        <v>4346</v>
      </c>
      <c r="G4688" s="151" t="s">
        <v>3533</v>
      </c>
      <c r="H4688" s="150">
        <v>1</v>
      </c>
      <c r="I4688" s="5" t="e">
        <f>VLOOKUP(F4688,'Set up'!$A$2:$C$70,3,FALSE)</f>
        <v>#N/A</v>
      </c>
      <c r="J4688" s="5" t="e">
        <f>VLOOKUP(F4688,'Set up'!$A$2:$D$70,4,FALSE)</f>
        <v>#N/A</v>
      </c>
      <c r="K4688" s="4" t="e">
        <f t="shared" si="1092"/>
        <v>#N/A</v>
      </c>
      <c r="L4688" s="5" t="e">
        <f t="shared" si="1095"/>
        <v>#N/A</v>
      </c>
      <c r="M4688" s="5" t="e">
        <f t="shared" si="1096"/>
        <v>#N/A</v>
      </c>
      <c r="N4688" s="156">
        <v>1687.5</v>
      </c>
      <c r="P4688" s="12"/>
      <c r="Q4688" s="7">
        <f t="shared" si="1097"/>
        <v>7770527.2500000093</v>
      </c>
      <c r="R4688" s="44" t="e">
        <f>VLOOKUP(F4688,'Set up'!$A$2:$E$70,5,FALSE)</f>
        <v>#N/A</v>
      </c>
    </row>
    <row r="4689" spans="1:18" ht="16.2" customHeight="1" x14ac:dyDescent="0.3">
      <c r="A4689" s="150" t="s">
        <v>4336</v>
      </c>
      <c r="B4689" s="5">
        <f t="shared" si="1093"/>
        <v>11</v>
      </c>
      <c r="C4689" s="5">
        <f t="shared" si="1094"/>
        <v>2025</v>
      </c>
      <c r="D4689" s="150" t="s">
        <v>4307</v>
      </c>
      <c r="E4689" s="5" t="e">
        <f>VLOOKUP(F4689,'Set up'!$A$2:$C$70,2,FALSE)</f>
        <v>#N/A</v>
      </c>
      <c r="F4689" s="151" t="s">
        <v>4346</v>
      </c>
      <c r="G4689" s="151" t="s">
        <v>2523</v>
      </c>
      <c r="H4689" s="150">
        <v>2</v>
      </c>
      <c r="I4689" s="5" t="e">
        <f>VLOOKUP(F4689,'Set up'!$A$2:$C$70,3,FALSE)</f>
        <v>#N/A</v>
      </c>
      <c r="J4689" s="5" t="e">
        <f>VLOOKUP(F4689,'Set up'!$A$2:$D$70,4,FALSE)</f>
        <v>#N/A</v>
      </c>
      <c r="K4689" s="4" t="e">
        <f t="shared" si="1092"/>
        <v>#N/A</v>
      </c>
      <c r="L4689" s="5" t="e">
        <f t="shared" si="1095"/>
        <v>#N/A</v>
      </c>
      <c r="M4689" s="5" t="e">
        <f t="shared" si="1096"/>
        <v>#N/A</v>
      </c>
      <c r="N4689" s="156">
        <v>432</v>
      </c>
      <c r="P4689" s="12"/>
      <c r="Q4689" s="7">
        <f t="shared" si="1097"/>
        <v>7770959.2500000093</v>
      </c>
      <c r="R4689" s="44" t="e">
        <f>VLOOKUP(F4689,'Set up'!$A$2:$E$70,5,FALSE)</f>
        <v>#N/A</v>
      </c>
    </row>
    <row r="4690" spans="1:18" ht="16.2" customHeight="1" x14ac:dyDescent="0.3">
      <c r="A4690" s="150" t="s">
        <v>4336</v>
      </c>
      <c r="B4690" s="5">
        <f t="shared" si="1093"/>
        <v>11</v>
      </c>
      <c r="C4690" s="5">
        <f t="shared" si="1094"/>
        <v>2025</v>
      </c>
      <c r="D4690" s="150" t="s">
        <v>4307</v>
      </c>
      <c r="E4690" s="5" t="e">
        <f>VLOOKUP(F4690,'Set up'!$A$2:$C$70,2,FALSE)</f>
        <v>#N/A</v>
      </c>
      <c r="F4690" s="151" t="s">
        <v>4346</v>
      </c>
      <c r="G4690" s="151" t="s">
        <v>4348</v>
      </c>
      <c r="H4690" s="150">
        <v>1</v>
      </c>
      <c r="I4690" s="5" t="e">
        <f>VLOOKUP(F4690,'Set up'!$A$2:$C$70,3,FALSE)</f>
        <v>#N/A</v>
      </c>
      <c r="J4690" s="5" t="e">
        <f>VLOOKUP(F4690,'Set up'!$A$2:$D$70,4,FALSE)</f>
        <v>#N/A</v>
      </c>
      <c r="K4690" s="4" t="e">
        <f t="shared" si="1092"/>
        <v>#N/A</v>
      </c>
      <c r="L4690" s="5" t="e">
        <f t="shared" si="1095"/>
        <v>#N/A</v>
      </c>
      <c r="M4690" s="5" t="e">
        <f t="shared" si="1096"/>
        <v>#N/A</v>
      </c>
      <c r="N4690" s="156">
        <v>60</v>
      </c>
      <c r="P4690" s="12"/>
      <c r="Q4690" s="7">
        <f t="shared" si="1097"/>
        <v>7771019.2500000093</v>
      </c>
      <c r="R4690" s="44" t="e">
        <f>VLOOKUP(F4690,'Set up'!$A$2:$E$70,5,FALSE)</f>
        <v>#N/A</v>
      </c>
    </row>
    <row r="4691" spans="1:18" ht="16.2" customHeight="1" x14ac:dyDescent="0.3">
      <c r="A4691" s="150" t="s">
        <v>4336</v>
      </c>
      <c r="B4691" s="5">
        <f t="shared" si="1093"/>
        <v>11</v>
      </c>
      <c r="C4691" s="5">
        <f t="shared" si="1094"/>
        <v>2025</v>
      </c>
      <c r="D4691" s="150" t="s">
        <v>4307</v>
      </c>
      <c r="E4691" s="5" t="e">
        <f>VLOOKUP(F4691,'Set up'!$A$2:$C$70,2,FALSE)</f>
        <v>#N/A</v>
      </c>
      <c r="F4691" s="151" t="s">
        <v>4346</v>
      </c>
      <c r="G4691" s="151" t="s">
        <v>17</v>
      </c>
      <c r="H4691" s="150">
        <v>1</v>
      </c>
      <c r="I4691" s="5" t="e">
        <f>VLOOKUP(F4691,'Set up'!$A$2:$C$70,3,FALSE)</f>
        <v>#N/A</v>
      </c>
      <c r="J4691" s="5" t="e">
        <f>VLOOKUP(F4691,'Set up'!$A$2:$D$70,4,FALSE)</f>
        <v>#N/A</v>
      </c>
      <c r="K4691" s="4" t="e">
        <f t="shared" si="1092"/>
        <v>#N/A</v>
      </c>
      <c r="L4691" s="5" t="e">
        <f t="shared" si="1095"/>
        <v>#N/A</v>
      </c>
      <c r="M4691" s="5" t="e">
        <f t="shared" si="1096"/>
        <v>#N/A</v>
      </c>
      <c r="N4691" s="156">
        <v>120</v>
      </c>
      <c r="P4691" s="12"/>
      <c r="Q4691" s="7">
        <f t="shared" si="1097"/>
        <v>7771139.2500000093</v>
      </c>
      <c r="R4691" s="44" t="e">
        <f>VLOOKUP(F4691,'Set up'!$A$2:$E$70,5,FALSE)</f>
        <v>#N/A</v>
      </c>
    </row>
    <row r="4692" spans="1:18" ht="16.2" customHeight="1" x14ac:dyDescent="0.3">
      <c r="A4692" s="150" t="s">
        <v>4336</v>
      </c>
      <c r="B4692" s="5">
        <f t="shared" si="1093"/>
        <v>11</v>
      </c>
      <c r="C4692" s="5">
        <f t="shared" si="1094"/>
        <v>2025</v>
      </c>
      <c r="D4692" s="150" t="s">
        <v>4307</v>
      </c>
      <c r="E4692" s="5" t="e">
        <f>VLOOKUP(F4692,'Set up'!$A$2:$C$70,2,FALSE)</f>
        <v>#N/A</v>
      </c>
      <c r="F4692" s="151" t="s">
        <v>4346</v>
      </c>
      <c r="G4692" s="151" t="s">
        <v>2144</v>
      </c>
      <c r="H4692" s="150">
        <v>3</v>
      </c>
      <c r="I4692" s="5" t="e">
        <f>VLOOKUP(F4692,'Set up'!$A$2:$C$70,3,FALSE)</f>
        <v>#N/A</v>
      </c>
      <c r="J4692" s="5" t="e">
        <f>VLOOKUP(F4692,'Set up'!$A$2:$D$70,4,FALSE)</f>
        <v>#N/A</v>
      </c>
      <c r="K4692" s="4" t="e">
        <f t="shared" si="1092"/>
        <v>#N/A</v>
      </c>
      <c r="L4692" s="5" t="e">
        <f t="shared" si="1095"/>
        <v>#N/A</v>
      </c>
      <c r="M4692" s="5" t="e">
        <f t="shared" si="1096"/>
        <v>#N/A</v>
      </c>
      <c r="N4692" s="156">
        <v>851.4</v>
      </c>
      <c r="P4692" s="12"/>
      <c r="Q4692" s="7">
        <f t="shared" si="1097"/>
        <v>7771990.6500000097</v>
      </c>
      <c r="R4692" s="44" t="e">
        <f>VLOOKUP(F4692,'Set up'!$A$2:$E$70,5,FALSE)</f>
        <v>#N/A</v>
      </c>
    </row>
    <row r="4693" spans="1:18" ht="16.2" customHeight="1" x14ac:dyDescent="0.3">
      <c r="A4693" s="150" t="s">
        <v>4336</v>
      </c>
      <c r="B4693" s="5">
        <f t="shared" si="1093"/>
        <v>11</v>
      </c>
      <c r="C4693" s="5">
        <f t="shared" si="1094"/>
        <v>2025</v>
      </c>
      <c r="D4693" s="150" t="s">
        <v>4307</v>
      </c>
      <c r="E4693" s="5" t="e">
        <f>VLOOKUP(F4693,'Set up'!$A$2:$C$70,2,FALSE)</f>
        <v>#N/A</v>
      </c>
      <c r="F4693" s="151" t="s">
        <v>4346</v>
      </c>
      <c r="G4693" s="151" t="s">
        <v>4349</v>
      </c>
      <c r="H4693" s="150">
        <v>2</v>
      </c>
      <c r="I4693" s="5" t="e">
        <f>VLOOKUP(F4693,'Set up'!$A$2:$C$70,3,FALSE)</f>
        <v>#N/A</v>
      </c>
      <c r="J4693" s="5" t="e">
        <f>VLOOKUP(F4693,'Set up'!$A$2:$D$70,4,FALSE)</f>
        <v>#N/A</v>
      </c>
      <c r="K4693" s="4" t="e">
        <f t="shared" si="1092"/>
        <v>#N/A</v>
      </c>
      <c r="L4693" s="5" t="e">
        <f t="shared" si="1095"/>
        <v>#N/A</v>
      </c>
      <c r="M4693" s="5" t="e">
        <f t="shared" si="1096"/>
        <v>#N/A</v>
      </c>
      <c r="N4693" s="156">
        <v>390</v>
      </c>
      <c r="P4693" s="12"/>
      <c r="Q4693" s="7">
        <f t="shared" si="1097"/>
        <v>7772380.6500000097</v>
      </c>
      <c r="R4693" s="44" t="e">
        <f>VLOOKUP(F4693,'Set up'!$A$2:$E$70,5,FALSE)</f>
        <v>#N/A</v>
      </c>
    </row>
    <row r="4694" spans="1:18" ht="16.2" customHeight="1" x14ac:dyDescent="0.3">
      <c r="A4694" s="150" t="s">
        <v>4337</v>
      </c>
      <c r="B4694" s="5">
        <f t="shared" si="1093"/>
        <v>11</v>
      </c>
      <c r="C4694" s="5">
        <f t="shared" si="1094"/>
        <v>2025</v>
      </c>
      <c r="D4694" s="150" t="s">
        <v>4308</v>
      </c>
      <c r="E4694" s="5" t="str">
        <f>VLOOKUP(F4694,'Set up'!$A$2:$C$70,2,FALSE)</f>
        <v>C00000049</v>
      </c>
      <c r="F4694" s="151" t="s">
        <v>2728</v>
      </c>
      <c r="G4694" s="151" t="s">
        <v>3122</v>
      </c>
      <c r="H4694" s="150">
        <v>1</v>
      </c>
      <c r="I4694" s="5" t="str">
        <f>VLOOKUP(F4694,'Set up'!$A$2:$C$70,3,FALSE)</f>
        <v>Cash</v>
      </c>
      <c r="J4694" s="5">
        <f>VLOOKUP(F4694,'Set up'!$A$2:$D$70,4,FALSE)</f>
        <v>0</v>
      </c>
      <c r="K4694" s="4">
        <f t="shared" si="1092"/>
        <v>45981</v>
      </c>
      <c r="L4694" s="5">
        <f t="shared" si="1095"/>
        <v>11</v>
      </c>
      <c r="M4694" s="5">
        <f t="shared" si="1096"/>
        <v>2025</v>
      </c>
      <c r="N4694" s="156">
        <v>1687.5</v>
      </c>
      <c r="P4694" s="12"/>
      <c r="Q4694" s="7">
        <f t="shared" si="1097"/>
        <v>7774068.1500000097</v>
      </c>
      <c r="R4694" s="44" t="str">
        <f>VLOOKUP(F4694,'Set up'!$A$2:$E$70,5,FALSE)</f>
        <v>Cash</v>
      </c>
    </row>
    <row r="4695" spans="1:18" ht="16.2" customHeight="1" x14ac:dyDescent="0.3">
      <c r="A4695" s="150" t="s">
        <v>4337</v>
      </c>
      <c r="B4695" s="5">
        <f t="shared" si="1093"/>
        <v>11</v>
      </c>
      <c r="C4695" s="5">
        <f t="shared" si="1094"/>
        <v>2025</v>
      </c>
      <c r="D4695" s="150" t="s">
        <v>4308</v>
      </c>
      <c r="E4695" s="5" t="str">
        <f>VLOOKUP(F4695,'Set up'!$A$2:$C$70,2,FALSE)</f>
        <v>C00000049</v>
      </c>
      <c r="F4695" s="151" t="s">
        <v>2728</v>
      </c>
      <c r="G4695" s="151" t="s">
        <v>4046</v>
      </c>
      <c r="H4695" s="150">
        <v>2</v>
      </c>
      <c r="I4695" s="5" t="str">
        <f>VLOOKUP(F4695,'Set up'!$A$2:$C$70,3,FALSE)</f>
        <v>Cash</v>
      </c>
      <c r="J4695" s="5">
        <f>VLOOKUP(F4695,'Set up'!$A$2:$D$70,4,FALSE)</f>
        <v>0</v>
      </c>
      <c r="K4695" s="4">
        <f t="shared" si="1092"/>
        <v>45981</v>
      </c>
      <c r="L4695" s="5">
        <f t="shared" si="1095"/>
        <v>11</v>
      </c>
      <c r="M4695" s="5">
        <f t="shared" si="1096"/>
        <v>2025</v>
      </c>
      <c r="N4695" s="156">
        <v>432</v>
      </c>
      <c r="P4695" s="12"/>
      <c r="Q4695" s="7">
        <f t="shared" si="1097"/>
        <v>7774500.1500000097</v>
      </c>
      <c r="R4695" s="44" t="str">
        <f>VLOOKUP(F4695,'Set up'!$A$2:$E$70,5,FALSE)</f>
        <v>Cash</v>
      </c>
    </row>
    <row r="4696" spans="1:18" ht="16.2" customHeight="1" x14ac:dyDescent="0.3">
      <c r="A4696" s="150" t="s">
        <v>4337</v>
      </c>
      <c r="B4696" s="5">
        <f t="shared" si="1093"/>
        <v>11</v>
      </c>
      <c r="C4696" s="5">
        <f t="shared" si="1094"/>
        <v>2025</v>
      </c>
      <c r="D4696" s="150" t="s">
        <v>4308</v>
      </c>
      <c r="E4696" s="5" t="str">
        <f>VLOOKUP(F4696,'Set up'!$A$2:$C$70,2,FALSE)</f>
        <v>C00000049</v>
      </c>
      <c r="F4696" s="151" t="s">
        <v>2728</v>
      </c>
      <c r="G4696" s="151" t="s">
        <v>4358</v>
      </c>
      <c r="H4696" s="150">
        <v>1</v>
      </c>
      <c r="I4696" s="5" t="str">
        <f>VLOOKUP(F4696,'Set up'!$A$2:$C$70,3,FALSE)</f>
        <v>Cash</v>
      </c>
      <c r="J4696" s="5">
        <f>VLOOKUP(F4696,'Set up'!$A$2:$D$70,4,FALSE)</f>
        <v>0</v>
      </c>
      <c r="K4696" s="4">
        <f t="shared" si="1092"/>
        <v>45981</v>
      </c>
      <c r="L4696" s="5">
        <f t="shared" si="1095"/>
        <v>11</v>
      </c>
      <c r="M4696" s="5">
        <f t="shared" si="1096"/>
        <v>2025</v>
      </c>
      <c r="N4696" s="156">
        <v>960</v>
      </c>
      <c r="P4696" s="12"/>
      <c r="Q4696" s="7">
        <f t="shared" si="1097"/>
        <v>7775460.1500000097</v>
      </c>
      <c r="R4696" s="44" t="str">
        <f>VLOOKUP(F4696,'Set up'!$A$2:$E$70,5,FALSE)</f>
        <v>Cash</v>
      </c>
    </row>
    <row r="4697" spans="1:18" ht="16.2" customHeight="1" x14ac:dyDescent="0.3">
      <c r="A4697" s="150" t="s">
        <v>4338</v>
      </c>
      <c r="B4697" s="5">
        <f t="shared" si="1093"/>
        <v>11</v>
      </c>
      <c r="C4697" s="5">
        <f t="shared" si="1094"/>
        <v>2025</v>
      </c>
      <c r="D4697" s="150" t="s">
        <v>4309</v>
      </c>
      <c r="E4697" s="5" t="str">
        <f>VLOOKUP(F4697,'Set up'!$A$2:$C$70,2,FALSE)</f>
        <v>C00000019</v>
      </c>
      <c r="F4697" s="151" t="s">
        <v>400</v>
      </c>
      <c r="G4697" s="151" t="s">
        <v>3122</v>
      </c>
      <c r="H4697" s="150">
        <v>1</v>
      </c>
      <c r="I4697" s="5" t="str">
        <f>VLOOKUP(F4697,'Set up'!$A$2:$C$70,3,FALSE)</f>
        <v>Cash</v>
      </c>
      <c r="J4697" s="5">
        <f>VLOOKUP(F4697,'Set up'!$A$2:$D$70,4,FALSE)</f>
        <v>0</v>
      </c>
      <c r="K4697" s="4">
        <f t="shared" si="1092"/>
        <v>45982</v>
      </c>
      <c r="L4697" s="5">
        <f t="shared" si="1095"/>
        <v>11</v>
      </c>
      <c r="M4697" s="5">
        <f t="shared" si="1096"/>
        <v>2025</v>
      </c>
      <c r="N4697" s="156">
        <v>1687.5</v>
      </c>
      <c r="P4697" s="12"/>
      <c r="Q4697" s="7">
        <f t="shared" si="1097"/>
        <v>7777147.6500000097</v>
      </c>
      <c r="R4697" s="44" t="str">
        <f>VLOOKUP(F4697,'Set up'!$A$2:$E$70,5,FALSE)</f>
        <v>Trsf</v>
      </c>
    </row>
    <row r="4698" spans="1:18" ht="16.2" customHeight="1" x14ac:dyDescent="0.3">
      <c r="A4698" s="150" t="s">
        <v>4338</v>
      </c>
      <c r="B4698" s="5">
        <f t="shared" si="1093"/>
        <v>11</v>
      </c>
      <c r="C4698" s="5">
        <f t="shared" si="1094"/>
        <v>2025</v>
      </c>
      <c r="D4698" s="150" t="s">
        <v>4309</v>
      </c>
      <c r="E4698" s="5" t="str">
        <f>VLOOKUP(F4698,'Set up'!$A$2:$C$70,2,FALSE)</f>
        <v>C00000019</v>
      </c>
      <c r="F4698" s="151" t="s">
        <v>400</v>
      </c>
      <c r="G4698" s="151" t="s">
        <v>1411</v>
      </c>
      <c r="H4698" s="150">
        <v>1</v>
      </c>
      <c r="I4698" s="5" t="str">
        <f>VLOOKUP(F4698,'Set up'!$A$2:$C$70,3,FALSE)</f>
        <v>Cash</v>
      </c>
      <c r="J4698" s="5">
        <f>VLOOKUP(F4698,'Set up'!$A$2:$D$70,4,FALSE)</f>
        <v>0</v>
      </c>
      <c r="K4698" s="4">
        <f t="shared" si="1092"/>
        <v>45982</v>
      </c>
      <c r="L4698" s="5">
        <f t="shared" si="1095"/>
        <v>11</v>
      </c>
      <c r="M4698" s="5">
        <f t="shared" si="1096"/>
        <v>2025</v>
      </c>
      <c r="N4698" s="156">
        <v>388.8</v>
      </c>
      <c r="P4698" s="12"/>
      <c r="Q4698" s="7">
        <f t="shared" si="1097"/>
        <v>7777536.4500000095</v>
      </c>
      <c r="R4698" s="44" t="str">
        <f>VLOOKUP(F4698,'Set up'!$A$2:$E$70,5,FALSE)</f>
        <v>Trsf</v>
      </c>
    </row>
    <row r="4699" spans="1:18" ht="16.2" customHeight="1" x14ac:dyDescent="0.3">
      <c r="A4699" s="150" t="s">
        <v>4338</v>
      </c>
      <c r="B4699" s="5">
        <f t="shared" si="1093"/>
        <v>11</v>
      </c>
      <c r="C4699" s="5">
        <f t="shared" si="1094"/>
        <v>2025</v>
      </c>
      <c r="D4699" s="150" t="s">
        <v>4309</v>
      </c>
      <c r="E4699" s="5" t="str">
        <f>VLOOKUP(F4699,'Set up'!$A$2:$C$70,2,FALSE)</f>
        <v>C00000019</v>
      </c>
      <c r="F4699" s="151" t="s">
        <v>400</v>
      </c>
      <c r="G4699" s="151" t="s">
        <v>945</v>
      </c>
      <c r="H4699" s="150">
        <v>1</v>
      </c>
      <c r="I4699" s="5" t="str">
        <f>VLOOKUP(F4699,'Set up'!$A$2:$C$70,3,FALSE)</f>
        <v>Cash</v>
      </c>
      <c r="J4699" s="5">
        <f>VLOOKUP(F4699,'Set up'!$A$2:$D$70,4,FALSE)</f>
        <v>0</v>
      </c>
      <c r="K4699" s="4">
        <f t="shared" si="1092"/>
        <v>45982</v>
      </c>
      <c r="L4699" s="5">
        <f t="shared" si="1095"/>
        <v>11</v>
      </c>
      <c r="M4699" s="5">
        <f t="shared" si="1096"/>
        <v>2025</v>
      </c>
      <c r="N4699" s="156">
        <v>115</v>
      </c>
      <c r="P4699" s="12"/>
      <c r="Q4699" s="7">
        <f t="shared" si="1097"/>
        <v>7777651.4500000095</v>
      </c>
      <c r="R4699" s="44" t="str">
        <f>VLOOKUP(F4699,'Set up'!$A$2:$E$70,5,FALSE)</f>
        <v>Trsf</v>
      </c>
    </row>
    <row r="4700" spans="1:18" ht="16.2" customHeight="1" x14ac:dyDescent="0.3">
      <c r="A4700" s="150" t="s">
        <v>4338</v>
      </c>
      <c r="B4700" s="5">
        <f t="shared" si="1093"/>
        <v>11</v>
      </c>
      <c r="C4700" s="5">
        <f t="shared" si="1094"/>
        <v>2025</v>
      </c>
      <c r="D4700" s="150" t="s">
        <v>4309</v>
      </c>
      <c r="E4700" s="5" t="str">
        <f>VLOOKUP(F4700,'Set up'!$A$2:$C$70,2,FALSE)</f>
        <v>C00000019</v>
      </c>
      <c r="F4700" s="151" t="s">
        <v>400</v>
      </c>
      <c r="G4700" s="151" t="s">
        <v>2635</v>
      </c>
      <c r="H4700" s="150">
        <v>2</v>
      </c>
      <c r="I4700" s="5" t="str">
        <f>VLOOKUP(F4700,'Set up'!$A$2:$C$70,3,FALSE)</f>
        <v>Cash</v>
      </c>
      <c r="J4700" s="5">
        <f>VLOOKUP(F4700,'Set up'!$A$2:$D$70,4,FALSE)</f>
        <v>0</v>
      </c>
      <c r="K4700" s="4">
        <f t="shared" si="1092"/>
        <v>45982</v>
      </c>
      <c r="L4700" s="5">
        <f t="shared" si="1095"/>
        <v>11</v>
      </c>
      <c r="M4700" s="5">
        <f t="shared" si="1096"/>
        <v>2025</v>
      </c>
      <c r="N4700" s="156">
        <v>125</v>
      </c>
      <c r="P4700" s="12"/>
      <c r="Q4700" s="7">
        <f t="shared" si="1097"/>
        <v>7777776.4500000095</v>
      </c>
      <c r="R4700" s="44" t="str">
        <f>VLOOKUP(F4700,'Set up'!$A$2:$E$70,5,FALSE)</f>
        <v>Trsf</v>
      </c>
    </row>
    <row r="4701" spans="1:18" ht="16.2" customHeight="1" x14ac:dyDescent="0.3">
      <c r="A4701" s="150" t="s">
        <v>4338</v>
      </c>
      <c r="B4701" s="5">
        <f t="shared" si="1093"/>
        <v>11</v>
      </c>
      <c r="C4701" s="5">
        <f t="shared" si="1094"/>
        <v>2025</v>
      </c>
      <c r="D4701" s="150" t="s">
        <v>4309</v>
      </c>
      <c r="E4701" s="5" t="str">
        <f>VLOOKUP(F4701,'Set up'!$A$2:$C$70,2,FALSE)</f>
        <v>C00000019</v>
      </c>
      <c r="F4701" s="151" t="s">
        <v>400</v>
      </c>
      <c r="G4701" s="151" t="s">
        <v>2144</v>
      </c>
      <c r="H4701" s="150">
        <v>1</v>
      </c>
      <c r="I4701" s="5" t="str">
        <f>VLOOKUP(F4701,'Set up'!$A$2:$C$70,3,FALSE)</f>
        <v>Cash</v>
      </c>
      <c r="J4701" s="5">
        <f>VLOOKUP(F4701,'Set up'!$A$2:$D$70,4,FALSE)</f>
        <v>0</v>
      </c>
      <c r="K4701" s="4">
        <f t="shared" si="1092"/>
        <v>45982</v>
      </c>
      <c r="L4701" s="5">
        <f t="shared" si="1095"/>
        <v>11</v>
      </c>
      <c r="M4701" s="5">
        <f t="shared" si="1096"/>
        <v>2025</v>
      </c>
      <c r="N4701" s="156">
        <v>283.8</v>
      </c>
      <c r="P4701" s="12"/>
      <c r="Q4701" s="7">
        <f t="shared" si="1097"/>
        <v>7778060.2500000093</v>
      </c>
      <c r="R4701" s="44" t="str">
        <f>VLOOKUP(F4701,'Set up'!$A$2:$E$70,5,FALSE)</f>
        <v>Trsf</v>
      </c>
    </row>
    <row r="4702" spans="1:18" ht="16.2" customHeight="1" x14ac:dyDescent="0.3">
      <c r="A4702" s="150" t="s">
        <v>4338</v>
      </c>
      <c r="B4702" s="5">
        <f t="shared" si="1093"/>
        <v>11</v>
      </c>
      <c r="C4702" s="5">
        <f t="shared" si="1094"/>
        <v>2025</v>
      </c>
      <c r="D4702" s="150" t="s">
        <v>4309</v>
      </c>
      <c r="E4702" s="5" t="str">
        <f>VLOOKUP(F4702,'Set up'!$A$2:$C$70,2,FALSE)</f>
        <v>C00000019</v>
      </c>
      <c r="F4702" s="151" t="s">
        <v>400</v>
      </c>
      <c r="G4702" s="151" t="s">
        <v>2449</v>
      </c>
      <c r="H4702" s="150">
        <v>1</v>
      </c>
      <c r="I4702" s="5" t="str">
        <f>VLOOKUP(F4702,'Set up'!$A$2:$C$70,3,FALSE)</f>
        <v>Cash</v>
      </c>
      <c r="J4702" s="5">
        <f>VLOOKUP(F4702,'Set up'!$A$2:$D$70,4,FALSE)</f>
        <v>0</v>
      </c>
      <c r="K4702" s="4">
        <f t="shared" si="1092"/>
        <v>45982</v>
      </c>
      <c r="L4702" s="5">
        <f t="shared" si="1095"/>
        <v>11</v>
      </c>
      <c r="M4702" s="5">
        <f t="shared" si="1096"/>
        <v>2025</v>
      </c>
      <c r="N4702" s="156">
        <v>420</v>
      </c>
      <c r="P4702" s="12"/>
      <c r="Q4702" s="7">
        <f t="shared" si="1097"/>
        <v>7778480.2500000093</v>
      </c>
      <c r="R4702" s="44" t="str">
        <f>VLOOKUP(F4702,'Set up'!$A$2:$E$70,5,FALSE)</f>
        <v>Trsf</v>
      </c>
    </row>
    <row r="4703" spans="1:18" ht="16.2" customHeight="1" x14ac:dyDescent="0.3">
      <c r="A4703" s="150" t="s">
        <v>4338</v>
      </c>
      <c r="B4703" s="5">
        <f t="shared" si="1093"/>
        <v>11</v>
      </c>
      <c r="C4703" s="5">
        <f t="shared" si="1094"/>
        <v>2025</v>
      </c>
      <c r="D4703" s="150" t="s">
        <v>4310</v>
      </c>
      <c r="E4703" s="5" t="str">
        <f>VLOOKUP(F4703,'Set up'!$A$2:$C$70,2,FALSE)</f>
        <v>C00000041</v>
      </c>
      <c r="F4703" s="151" t="s">
        <v>1704</v>
      </c>
      <c r="G4703" s="151" t="s">
        <v>3864</v>
      </c>
      <c r="H4703" s="150">
        <v>1</v>
      </c>
      <c r="I4703" s="5" t="str">
        <f>VLOOKUP(F4703,'Set up'!$A$2:$C$70,3,FALSE)</f>
        <v>Cash</v>
      </c>
      <c r="J4703" s="5">
        <f>VLOOKUP(F4703,'Set up'!$A$2:$D$70,4,FALSE)</f>
        <v>0</v>
      </c>
      <c r="K4703" s="4">
        <f t="shared" si="1092"/>
        <v>45982</v>
      </c>
      <c r="L4703" s="5">
        <f t="shared" si="1095"/>
        <v>11</v>
      </c>
      <c r="M4703" s="5">
        <f t="shared" si="1096"/>
        <v>2025</v>
      </c>
      <c r="N4703" s="156">
        <v>1687.5</v>
      </c>
      <c r="P4703" s="12"/>
      <c r="Q4703" s="7">
        <f t="shared" si="1097"/>
        <v>7780167.7500000093</v>
      </c>
      <c r="R4703" s="44" t="str">
        <f>VLOOKUP(F4703,'Set up'!$A$2:$E$70,5,FALSE)</f>
        <v>Trsf</v>
      </c>
    </row>
    <row r="4704" spans="1:18" ht="16.2" customHeight="1" x14ac:dyDescent="0.3">
      <c r="A4704" s="150" t="s">
        <v>4338</v>
      </c>
      <c r="B4704" s="5">
        <f t="shared" si="1093"/>
        <v>11</v>
      </c>
      <c r="C4704" s="5">
        <f t="shared" si="1094"/>
        <v>2025</v>
      </c>
      <c r="D4704" s="150" t="s">
        <v>4310</v>
      </c>
      <c r="E4704" s="5" t="str">
        <f>VLOOKUP(F4704,'Set up'!$A$2:$C$70,2,FALSE)</f>
        <v>C00000041</v>
      </c>
      <c r="F4704" s="151" t="s">
        <v>1704</v>
      </c>
      <c r="G4704" s="151" t="s">
        <v>2523</v>
      </c>
      <c r="H4704" s="150">
        <v>4</v>
      </c>
      <c r="I4704" s="5" t="str">
        <f>VLOOKUP(F4704,'Set up'!$A$2:$C$70,3,FALSE)</f>
        <v>Cash</v>
      </c>
      <c r="J4704" s="5">
        <f>VLOOKUP(F4704,'Set up'!$A$2:$D$70,4,FALSE)</f>
        <v>0</v>
      </c>
      <c r="K4704" s="4">
        <f t="shared" si="1092"/>
        <v>45982</v>
      </c>
      <c r="L4704" s="5">
        <f t="shared" si="1095"/>
        <v>11</v>
      </c>
      <c r="M4704" s="5">
        <f t="shared" si="1096"/>
        <v>2025</v>
      </c>
      <c r="N4704" s="156">
        <v>876</v>
      </c>
      <c r="P4704" s="12"/>
      <c r="Q4704" s="7">
        <f t="shared" si="1097"/>
        <v>7781043.7500000093</v>
      </c>
      <c r="R4704" s="44" t="str">
        <f>VLOOKUP(F4704,'Set up'!$A$2:$E$70,5,FALSE)</f>
        <v>Trsf</v>
      </c>
    </row>
    <row r="4705" spans="1:18" ht="16.2" customHeight="1" x14ac:dyDescent="0.3">
      <c r="A4705" s="150" t="s">
        <v>4338</v>
      </c>
      <c r="B4705" s="5">
        <f t="shared" si="1093"/>
        <v>11</v>
      </c>
      <c r="C4705" s="5">
        <f t="shared" si="1094"/>
        <v>2025</v>
      </c>
      <c r="D4705" s="150" t="s">
        <v>4310</v>
      </c>
      <c r="E4705" s="5" t="str">
        <f>VLOOKUP(F4705,'Set up'!$A$2:$C$70,2,FALSE)</f>
        <v>C00000041</v>
      </c>
      <c r="F4705" s="151" t="s">
        <v>1704</v>
      </c>
      <c r="G4705" s="151" t="s">
        <v>2144</v>
      </c>
      <c r="H4705" s="150">
        <v>1</v>
      </c>
      <c r="I4705" s="5" t="str">
        <f>VLOOKUP(F4705,'Set up'!$A$2:$C$70,3,FALSE)</f>
        <v>Cash</v>
      </c>
      <c r="J4705" s="5">
        <f>VLOOKUP(F4705,'Set up'!$A$2:$D$70,4,FALSE)</f>
        <v>0</v>
      </c>
      <c r="K4705" s="4">
        <f t="shared" si="1092"/>
        <v>45982</v>
      </c>
      <c r="L4705" s="5">
        <f t="shared" si="1095"/>
        <v>11</v>
      </c>
      <c r="M4705" s="5">
        <f t="shared" si="1096"/>
        <v>2025</v>
      </c>
      <c r="N4705" s="156">
        <v>283.8</v>
      </c>
      <c r="P4705" s="12"/>
      <c r="Q4705" s="7">
        <f t="shared" si="1097"/>
        <v>7781327.5500000091</v>
      </c>
      <c r="R4705" s="44" t="str">
        <f>VLOOKUP(F4705,'Set up'!$A$2:$E$70,5,FALSE)</f>
        <v>Trsf</v>
      </c>
    </row>
    <row r="4706" spans="1:18" ht="16.2" customHeight="1" x14ac:dyDescent="0.3">
      <c r="A4706" s="150" t="s">
        <v>4338</v>
      </c>
      <c r="B4706" s="5">
        <f t="shared" si="1093"/>
        <v>11</v>
      </c>
      <c r="C4706" s="5">
        <f t="shared" si="1094"/>
        <v>2025</v>
      </c>
      <c r="D4706" s="150" t="s">
        <v>4311</v>
      </c>
      <c r="E4706" s="5" t="str">
        <f>VLOOKUP(F4706,'Set up'!$A$2:$C$70,2,FALSE)</f>
        <v>C00000061</v>
      </c>
      <c r="F4706" s="151" t="s">
        <v>3532</v>
      </c>
      <c r="G4706" s="151" t="s">
        <v>3122</v>
      </c>
      <c r="H4706" s="150">
        <v>1</v>
      </c>
      <c r="I4706" s="5" t="str">
        <f>VLOOKUP(F4706,'Set up'!$A$2:$C$70,3,FALSE)</f>
        <v>Cash</v>
      </c>
      <c r="J4706" s="5">
        <f>VLOOKUP(F4706,'Set up'!$A$2:$D$70,4,FALSE)</f>
        <v>0</v>
      </c>
      <c r="K4706" s="4">
        <f t="shared" si="1092"/>
        <v>45982</v>
      </c>
      <c r="L4706" s="5">
        <f t="shared" si="1095"/>
        <v>11</v>
      </c>
      <c r="M4706" s="5">
        <f t="shared" si="1096"/>
        <v>2025</v>
      </c>
      <c r="N4706" s="156">
        <v>1575</v>
      </c>
      <c r="P4706" s="12"/>
      <c r="Q4706" s="7">
        <f t="shared" si="1097"/>
        <v>7782902.5500000091</v>
      </c>
      <c r="R4706" s="44" t="str">
        <f>VLOOKUP(F4706,'Set up'!$A$2:$E$70,5,FALSE)</f>
        <v>Cash</v>
      </c>
    </row>
    <row r="4707" spans="1:18" ht="16.2" customHeight="1" x14ac:dyDescent="0.3">
      <c r="A4707" s="150" t="s">
        <v>4338</v>
      </c>
      <c r="B4707" s="5">
        <f t="shared" si="1093"/>
        <v>11</v>
      </c>
      <c r="C4707" s="5">
        <f t="shared" si="1094"/>
        <v>2025</v>
      </c>
      <c r="D4707" s="150" t="s">
        <v>4311</v>
      </c>
      <c r="E4707" s="5" t="str">
        <f>VLOOKUP(F4707,'Set up'!$A$2:$C$70,2,FALSE)</f>
        <v>C00000061</v>
      </c>
      <c r="F4707" s="151" t="s">
        <v>3532</v>
      </c>
      <c r="G4707" s="151" t="s">
        <v>46</v>
      </c>
      <c r="H4707" s="150">
        <v>1</v>
      </c>
      <c r="I4707" s="5" t="str">
        <f>VLOOKUP(F4707,'Set up'!$A$2:$C$70,3,FALSE)</f>
        <v>Cash</v>
      </c>
      <c r="J4707" s="5">
        <f>VLOOKUP(F4707,'Set up'!$A$2:$D$70,4,FALSE)</f>
        <v>0</v>
      </c>
      <c r="K4707" s="4">
        <f t="shared" si="1092"/>
        <v>45982</v>
      </c>
      <c r="L4707" s="5">
        <f t="shared" si="1095"/>
        <v>11</v>
      </c>
      <c r="M4707" s="5">
        <f t="shared" si="1096"/>
        <v>2025</v>
      </c>
      <c r="N4707" s="156">
        <v>115</v>
      </c>
      <c r="P4707" s="12"/>
      <c r="Q4707" s="7">
        <f t="shared" si="1097"/>
        <v>7783017.5500000091</v>
      </c>
      <c r="R4707" s="44" t="str">
        <f>VLOOKUP(F4707,'Set up'!$A$2:$E$70,5,FALSE)</f>
        <v>Cash</v>
      </c>
    </row>
    <row r="4708" spans="1:18" ht="16.2" customHeight="1" x14ac:dyDescent="0.3">
      <c r="A4708" s="150" t="s">
        <v>4338</v>
      </c>
      <c r="B4708" s="5">
        <f t="shared" si="1093"/>
        <v>11</v>
      </c>
      <c r="C4708" s="5">
        <f t="shared" si="1094"/>
        <v>2025</v>
      </c>
      <c r="D4708" s="150" t="s">
        <v>4312</v>
      </c>
      <c r="E4708" s="5" t="e">
        <f>VLOOKUP(F4708,'Set up'!$A$2:$C$70,2,FALSE)</f>
        <v>#N/A</v>
      </c>
      <c r="F4708" s="151" t="s">
        <v>4130</v>
      </c>
      <c r="G4708" s="151" t="s">
        <v>3122</v>
      </c>
      <c r="H4708" s="150">
        <v>1</v>
      </c>
      <c r="I4708" s="5" t="e">
        <f>VLOOKUP(F4708,'Set up'!$A$2:$C$70,3,FALSE)</f>
        <v>#N/A</v>
      </c>
      <c r="J4708" s="5" t="e">
        <f>VLOOKUP(F4708,'Set up'!$A$2:$D$70,4,FALSE)</f>
        <v>#N/A</v>
      </c>
      <c r="K4708" s="4" t="e">
        <f t="shared" si="1092"/>
        <v>#N/A</v>
      </c>
      <c r="L4708" s="5" t="e">
        <f t="shared" si="1095"/>
        <v>#N/A</v>
      </c>
      <c r="M4708" s="5" t="e">
        <f t="shared" si="1096"/>
        <v>#N/A</v>
      </c>
      <c r="N4708" s="156">
        <v>1687.5</v>
      </c>
      <c r="P4708" s="12"/>
      <c r="Q4708" s="7">
        <f t="shared" si="1097"/>
        <v>7784705.0500000091</v>
      </c>
      <c r="R4708" s="44" t="e">
        <f>VLOOKUP(F4708,'Set up'!$A$2:$E$70,5,FALSE)</f>
        <v>#N/A</v>
      </c>
    </row>
    <row r="4709" spans="1:18" ht="16.2" customHeight="1" x14ac:dyDescent="0.3">
      <c r="A4709" s="150" t="s">
        <v>4339</v>
      </c>
      <c r="B4709" s="5">
        <f t="shared" si="1093"/>
        <v>11</v>
      </c>
      <c r="C4709" s="5">
        <f t="shared" si="1094"/>
        <v>2025</v>
      </c>
      <c r="D4709" s="150" t="s">
        <v>4313</v>
      </c>
      <c r="E4709" s="5" t="str">
        <f>VLOOKUP(F4709,'Set up'!$A$2:$C$70,2,FALSE)</f>
        <v>C00000042</v>
      </c>
      <c r="F4709" s="151" t="s">
        <v>2012</v>
      </c>
      <c r="G4709" s="151" t="s">
        <v>2646</v>
      </c>
      <c r="H4709" s="150">
        <v>2</v>
      </c>
      <c r="I4709" s="5" t="str">
        <f>VLOOKUP(F4709,'Set up'!$A$2:$C$70,3,FALSE)</f>
        <v>Cash</v>
      </c>
      <c r="J4709" s="5">
        <f>VLOOKUP(F4709,'Set up'!$A$2:$D$70,4,FALSE)</f>
        <v>0</v>
      </c>
      <c r="K4709" s="4">
        <f t="shared" si="1092"/>
        <v>45983</v>
      </c>
      <c r="L4709" s="5">
        <f t="shared" si="1095"/>
        <v>11</v>
      </c>
      <c r="M4709" s="5">
        <f t="shared" si="1096"/>
        <v>2025</v>
      </c>
      <c r="N4709" s="156">
        <v>125</v>
      </c>
      <c r="P4709" s="12"/>
      <c r="Q4709" s="7">
        <f t="shared" si="1097"/>
        <v>7784830.0500000091</v>
      </c>
      <c r="R4709" s="44" t="str">
        <f>VLOOKUP(F4709,'Set up'!$A$2:$E$70,5,FALSE)</f>
        <v>Trsf</v>
      </c>
    </row>
    <row r="4710" spans="1:18" ht="16.2" customHeight="1" x14ac:dyDescent="0.3">
      <c r="A4710" s="150" t="s">
        <v>4339</v>
      </c>
      <c r="B4710" s="5">
        <f t="shared" si="1093"/>
        <v>11</v>
      </c>
      <c r="C4710" s="5">
        <f t="shared" si="1094"/>
        <v>2025</v>
      </c>
      <c r="D4710" s="150" t="s">
        <v>4314</v>
      </c>
      <c r="E4710" s="5" t="str">
        <f>VLOOKUP(F4710,'Set up'!$A$2:$C$70,2,FALSE)</f>
        <v>C00000042</v>
      </c>
      <c r="F4710" s="151" t="s">
        <v>2012</v>
      </c>
      <c r="G4710" s="151" t="s">
        <v>3645</v>
      </c>
      <c r="H4710" s="150">
        <v>5</v>
      </c>
      <c r="I4710" s="5" t="str">
        <f>VLOOKUP(F4710,'Set up'!$A$2:$C$70,3,FALSE)</f>
        <v>Cash</v>
      </c>
      <c r="J4710" s="5">
        <f>VLOOKUP(F4710,'Set up'!$A$2:$D$70,4,FALSE)</f>
        <v>0</v>
      </c>
      <c r="K4710" s="4">
        <f t="shared" si="1092"/>
        <v>45983</v>
      </c>
      <c r="L4710" s="5">
        <f t="shared" si="1095"/>
        <v>11</v>
      </c>
      <c r="M4710" s="5">
        <f t="shared" si="1096"/>
        <v>2025</v>
      </c>
      <c r="N4710" s="156">
        <v>7762.5</v>
      </c>
      <c r="P4710" s="12"/>
      <c r="Q4710" s="7">
        <f t="shared" si="1097"/>
        <v>7792592.5500000091</v>
      </c>
      <c r="R4710" s="44" t="str">
        <f>VLOOKUP(F4710,'Set up'!$A$2:$E$70,5,FALSE)</f>
        <v>Trsf</v>
      </c>
    </row>
    <row r="4711" spans="1:18" ht="16.2" customHeight="1" x14ac:dyDescent="0.3">
      <c r="A4711" s="150" t="s">
        <v>4339</v>
      </c>
      <c r="B4711" s="5">
        <f t="shared" si="1093"/>
        <v>11</v>
      </c>
      <c r="C4711" s="5">
        <f t="shared" si="1094"/>
        <v>2025</v>
      </c>
      <c r="D4711" s="150" t="s">
        <v>4314</v>
      </c>
      <c r="E4711" s="5" t="str">
        <f>VLOOKUP(F4711,'Set up'!$A$2:$C$70,2,FALSE)</f>
        <v>C00000042</v>
      </c>
      <c r="F4711" s="151" t="s">
        <v>2012</v>
      </c>
      <c r="G4711" s="151" t="s">
        <v>4356</v>
      </c>
      <c r="H4711" s="150">
        <v>15</v>
      </c>
      <c r="I4711" s="5" t="str">
        <f>VLOOKUP(F4711,'Set up'!$A$2:$C$70,3,FALSE)</f>
        <v>Cash</v>
      </c>
      <c r="J4711" s="5">
        <f>VLOOKUP(F4711,'Set up'!$A$2:$D$70,4,FALSE)</f>
        <v>0</v>
      </c>
      <c r="K4711" s="4">
        <f t="shared" si="1092"/>
        <v>45983</v>
      </c>
      <c r="L4711" s="5">
        <f t="shared" si="1095"/>
        <v>11</v>
      </c>
      <c r="M4711" s="5">
        <f t="shared" si="1096"/>
        <v>2025</v>
      </c>
      <c r="N4711" s="156">
        <v>3274.5</v>
      </c>
      <c r="P4711" s="12"/>
      <c r="Q4711" s="7">
        <f t="shared" si="1097"/>
        <v>7795867.0500000091</v>
      </c>
      <c r="R4711" s="44" t="str">
        <f>VLOOKUP(F4711,'Set up'!$A$2:$E$70,5,FALSE)</f>
        <v>Trsf</v>
      </c>
    </row>
    <row r="4712" spans="1:18" ht="16.2" customHeight="1" x14ac:dyDescent="0.3">
      <c r="A4712" s="150" t="s">
        <v>4339</v>
      </c>
      <c r="B4712" s="5">
        <f t="shared" si="1093"/>
        <v>11</v>
      </c>
      <c r="C4712" s="5">
        <f t="shared" si="1094"/>
        <v>2025</v>
      </c>
      <c r="D4712" s="150" t="s">
        <v>4314</v>
      </c>
      <c r="E4712" s="5" t="str">
        <f>VLOOKUP(F4712,'Set up'!$A$2:$C$70,2,FALSE)</f>
        <v>C00000042</v>
      </c>
      <c r="F4712" s="151" t="s">
        <v>2012</v>
      </c>
      <c r="G4712" s="151" t="s">
        <v>1922</v>
      </c>
      <c r="H4712" s="150">
        <v>7</v>
      </c>
      <c r="I4712" s="5" t="str">
        <f>VLOOKUP(F4712,'Set up'!$A$2:$C$70,3,FALSE)</f>
        <v>Cash</v>
      </c>
      <c r="J4712" s="5">
        <f>VLOOKUP(F4712,'Set up'!$A$2:$D$70,4,FALSE)</f>
        <v>0</v>
      </c>
      <c r="K4712" s="4">
        <f t="shared" si="1092"/>
        <v>45983</v>
      </c>
      <c r="L4712" s="5">
        <f t="shared" si="1095"/>
        <v>11</v>
      </c>
      <c r="M4712" s="5">
        <f t="shared" si="1096"/>
        <v>2025</v>
      </c>
      <c r="N4712" s="156">
        <v>1606.5</v>
      </c>
      <c r="P4712" s="12"/>
      <c r="Q4712" s="7">
        <f t="shared" si="1097"/>
        <v>7797473.5500000091</v>
      </c>
      <c r="R4712" s="44" t="str">
        <f>VLOOKUP(F4712,'Set up'!$A$2:$E$70,5,FALSE)</f>
        <v>Trsf</v>
      </c>
    </row>
    <row r="4713" spans="1:18" ht="16.2" customHeight="1" x14ac:dyDescent="0.3">
      <c r="A4713" s="150" t="s">
        <v>4339</v>
      </c>
      <c r="B4713" s="5">
        <f t="shared" si="1093"/>
        <v>11</v>
      </c>
      <c r="C4713" s="5">
        <f t="shared" si="1094"/>
        <v>2025</v>
      </c>
      <c r="D4713" s="150" t="s">
        <v>4314</v>
      </c>
      <c r="E4713" s="5" t="str">
        <f>VLOOKUP(F4713,'Set up'!$A$2:$C$70,2,FALSE)</f>
        <v>C00000042</v>
      </c>
      <c r="F4713" s="151" t="s">
        <v>2012</v>
      </c>
      <c r="G4713" s="151" t="s">
        <v>46</v>
      </c>
      <c r="H4713" s="150">
        <v>4</v>
      </c>
      <c r="I4713" s="5" t="str">
        <f>VLOOKUP(F4713,'Set up'!$A$2:$C$70,3,FALSE)</f>
        <v>Cash</v>
      </c>
      <c r="J4713" s="5">
        <f>VLOOKUP(F4713,'Set up'!$A$2:$D$70,4,FALSE)</f>
        <v>0</v>
      </c>
      <c r="K4713" s="4">
        <f t="shared" si="1092"/>
        <v>45983</v>
      </c>
      <c r="L4713" s="5">
        <f t="shared" si="1095"/>
        <v>11</v>
      </c>
      <c r="M4713" s="5">
        <f t="shared" si="1096"/>
        <v>2025</v>
      </c>
      <c r="N4713" s="156">
        <v>460</v>
      </c>
      <c r="P4713" s="12"/>
      <c r="Q4713" s="7">
        <f t="shared" si="1097"/>
        <v>7797933.5500000091</v>
      </c>
      <c r="R4713" s="44" t="str">
        <f>VLOOKUP(F4713,'Set up'!$A$2:$E$70,5,FALSE)</f>
        <v>Trsf</v>
      </c>
    </row>
    <row r="4714" spans="1:18" ht="16.2" customHeight="1" x14ac:dyDescent="0.3">
      <c r="A4714" s="150" t="s">
        <v>4339</v>
      </c>
      <c r="B4714" s="5">
        <f t="shared" si="1093"/>
        <v>11</v>
      </c>
      <c r="C4714" s="5">
        <f t="shared" si="1094"/>
        <v>2025</v>
      </c>
      <c r="D4714" s="150" t="s">
        <v>4314</v>
      </c>
      <c r="E4714" s="5" t="str">
        <f>VLOOKUP(F4714,'Set up'!$A$2:$C$70,2,FALSE)</f>
        <v>C00000042</v>
      </c>
      <c r="F4714" s="151" t="s">
        <v>2012</v>
      </c>
      <c r="G4714" s="151" t="s">
        <v>1073</v>
      </c>
      <c r="H4714" s="150">
        <v>1</v>
      </c>
      <c r="I4714" s="5" t="str">
        <f>VLOOKUP(F4714,'Set up'!$A$2:$C$70,3,FALSE)</f>
        <v>Cash</v>
      </c>
      <c r="J4714" s="5">
        <f>VLOOKUP(F4714,'Set up'!$A$2:$D$70,4,FALSE)</f>
        <v>0</v>
      </c>
      <c r="K4714" s="4">
        <f t="shared" si="1092"/>
        <v>45983</v>
      </c>
      <c r="L4714" s="5">
        <f t="shared" si="1095"/>
        <v>11</v>
      </c>
      <c r="M4714" s="5">
        <f t="shared" si="1096"/>
        <v>2025</v>
      </c>
      <c r="N4714" s="156">
        <v>1050</v>
      </c>
      <c r="P4714" s="12"/>
      <c r="Q4714" s="7">
        <f t="shared" si="1097"/>
        <v>7798983.5500000091</v>
      </c>
      <c r="R4714" s="44" t="str">
        <f>VLOOKUP(F4714,'Set up'!$A$2:$E$70,5,FALSE)</f>
        <v>Trsf</v>
      </c>
    </row>
    <row r="4715" spans="1:18" ht="16.2" customHeight="1" x14ac:dyDescent="0.3">
      <c r="A4715" s="150" t="s">
        <v>4340</v>
      </c>
      <c r="B4715" s="5">
        <f t="shared" si="1093"/>
        <v>11</v>
      </c>
      <c r="C4715" s="5">
        <f t="shared" si="1094"/>
        <v>2025</v>
      </c>
      <c r="D4715" s="150" t="s">
        <v>4315</v>
      </c>
      <c r="E4715" s="5" t="str">
        <f>VLOOKUP(F4715,'Set up'!$A$2:$C$70,2,FALSE)</f>
        <v>C00000003</v>
      </c>
      <c r="F4715" s="151" t="s">
        <v>20</v>
      </c>
      <c r="G4715" s="151" t="s">
        <v>3645</v>
      </c>
      <c r="H4715" s="150">
        <v>1</v>
      </c>
      <c r="I4715" s="5">
        <f>VLOOKUP(F4715,'Set up'!$A$2:$C$70,3,FALSE)</f>
        <v>45</v>
      </c>
      <c r="J4715" s="5">
        <f>VLOOKUP(F4715,'Set up'!$A$2:$D$70,4,FALSE)</f>
        <v>45</v>
      </c>
      <c r="K4715" s="4">
        <f t="shared" si="1092"/>
        <v>46030</v>
      </c>
      <c r="L4715" s="5">
        <f t="shared" si="1095"/>
        <v>1</v>
      </c>
      <c r="M4715" s="5">
        <f t="shared" si="1096"/>
        <v>2026</v>
      </c>
      <c r="N4715" s="156">
        <v>1642.5</v>
      </c>
      <c r="P4715" s="12"/>
      <c r="Q4715" s="7">
        <f t="shared" si="1097"/>
        <v>7800626.0500000091</v>
      </c>
      <c r="R4715" s="44" t="str">
        <f>VLOOKUP(F4715,'Set up'!$A$2:$E$70,5,FALSE)</f>
        <v>PD Chq</v>
      </c>
    </row>
    <row r="4716" spans="1:18" ht="16.2" customHeight="1" x14ac:dyDescent="0.3">
      <c r="A4716" s="150" t="s">
        <v>4340</v>
      </c>
      <c r="B4716" s="5">
        <f t="shared" si="1093"/>
        <v>11</v>
      </c>
      <c r="C4716" s="5">
        <f t="shared" si="1094"/>
        <v>2025</v>
      </c>
      <c r="D4716" s="150" t="s">
        <v>4315</v>
      </c>
      <c r="E4716" s="5" t="str">
        <f>VLOOKUP(F4716,'Set up'!$A$2:$C$70,2,FALSE)</f>
        <v>C00000003</v>
      </c>
      <c r="F4716" s="151" t="s">
        <v>20</v>
      </c>
      <c r="G4716" s="151" t="s">
        <v>4046</v>
      </c>
      <c r="H4716" s="150">
        <v>1</v>
      </c>
      <c r="I4716" s="5">
        <f>VLOOKUP(F4716,'Set up'!$A$2:$C$70,3,FALSE)</f>
        <v>45</v>
      </c>
      <c r="J4716" s="5">
        <f>VLOOKUP(F4716,'Set up'!$A$2:$D$70,4,FALSE)</f>
        <v>45</v>
      </c>
      <c r="K4716" s="4">
        <f t="shared" si="1092"/>
        <v>46030</v>
      </c>
      <c r="L4716" s="5">
        <f t="shared" si="1095"/>
        <v>1</v>
      </c>
      <c r="M4716" s="5">
        <f t="shared" si="1096"/>
        <v>2026</v>
      </c>
      <c r="N4716" s="156">
        <v>216</v>
      </c>
      <c r="P4716" s="12"/>
      <c r="Q4716" s="7">
        <f t="shared" si="1097"/>
        <v>7800842.0500000091</v>
      </c>
      <c r="R4716" s="44" t="str">
        <f>VLOOKUP(F4716,'Set up'!$A$2:$E$70,5,FALSE)</f>
        <v>PD Chq</v>
      </c>
    </row>
    <row r="4717" spans="1:18" ht="16.2" customHeight="1" x14ac:dyDescent="0.3">
      <c r="A4717" s="150" t="s">
        <v>4340</v>
      </c>
      <c r="B4717" s="5">
        <f t="shared" si="1093"/>
        <v>11</v>
      </c>
      <c r="C4717" s="5">
        <f t="shared" si="1094"/>
        <v>2025</v>
      </c>
      <c r="D4717" s="150" t="s">
        <v>4315</v>
      </c>
      <c r="E4717" s="5" t="str">
        <f>VLOOKUP(F4717,'Set up'!$A$2:$C$70,2,FALSE)</f>
        <v>C00000003</v>
      </c>
      <c r="F4717" s="151" t="s">
        <v>20</v>
      </c>
      <c r="G4717" s="151" t="s">
        <v>17</v>
      </c>
      <c r="H4717" s="150">
        <v>2</v>
      </c>
      <c r="I4717" s="5">
        <f>VLOOKUP(F4717,'Set up'!$A$2:$C$70,3,FALSE)</f>
        <v>45</v>
      </c>
      <c r="J4717" s="5">
        <f>VLOOKUP(F4717,'Set up'!$A$2:$D$70,4,FALSE)</f>
        <v>45</v>
      </c>
      <c r="K4717" s="4">
        <f t="shared" si="1092"/>
        <v>46030</v>
      </c>
      <c r="L4717" s="5">
        <f t="shared" si="1095"/>
        <v>1</v>
      </c>
      <c r="M4717" s="5">
        <f t="shared" si="1096"/>
        <v>2026</v>
      </c>
      <c r="N4717" s="156">
        <v>230</v>
      </c>
      <c r="P4717" s="12"/>
      <c r="Q4717" s="7">
        <f t="shared" si="1097"/>
        <v>7801072.0500000091</v>
      </c>
      <c r="R4717" s="44" t="str">
        <f>VLOOKUP(F4717,'Set up'!$A$2:$E$70,5,FALSE)</f>
        <v>PD Chq</v>
      </c>
    </row>
    <row r="4718" spans="1:18" ht="16.2" customHeight="1" x14ac:dyDescent="0.3">
      <c r="A4718" s="150" t="s">
        <v>4340</v>
      </c>
      <c r="B4718" s="5">
        <f t="shared" si="1093"/>
        <v>11</v>
      </c>
      <c r="C4718" s="5">
        <f t="shared" si="1094"/>
        <v>2025</v>
      </c>
      <c r="D4718" s="150" t="s">
        <v>4315</v>
      </c>
      <c r="E4718" s="5" t="str">
        <f>VLOOKUP(F4718,'Set up'!$A$2:$C$70,2,FALSE)</f>
        <v>C00000003</v>
      </c>
      <c r="F4718" s="151" t="s">
        <v>20</v>
      </c>
      <c r="G4718" s="151" t="s">
        <v>2635</v>
      </c>
      <c r="H4718" s="150">
        <v>4</v>
      </c>
      <c r="I4718" s="5">
        <f>VLOOKUP(F4718,'Set up'!$A$2:$C$70,3,FALSE)</f>
        <v>45</v>
      </c>
      <c r="J4718" s="5">
        <f>VLOOKUP(F4718,'Set up'!$A$2:$D$70,4,FALSE)</f>
        <v>45</v>
      </c>
      <c r="K4718" s="4">
        <f t="shared" si="1092"/>
        <v>46030</v>
      </c>
      <c r="L4718" s="5">
        <f t="shared" si="1095"/>
        <v>1</v>
      </c>
      <c r="M4718" s="5">
        <f t="shared" si="1096"/>
        <v>2026</v>
      </c>
      <c r="N4718" s="156">
        <v>260</v>
      </c>
      <c r="P4718" s="12"/>
      <c r="Q4718" s="7">
        <f t="shared" si="1097"/>
        <v>7801332.0500000091</v>
      </c>
      <c r="R4718" s="44" t="str">
        <f>VLOOKUP(F4718,'Set up'!$A$2:$E$70,5,FALSE)</f>
        <v>PD Chq</v>
      </c>
    </row>
    <row r="4719" spans="1:18" ht="16.2" customHeight="1" x14ac:dyDescent="0.3">
      <c r="A4719" s="150" t="s">
        <v>4340</v>
      </c>
      <c r="B4719" s="5">
        <f t="shared" si="1093"/>
        <v>11</v>
      </c>
      <c r="C4719" s="5">
        <f t="shared" si="1094"/>
        <v>2025</v>
      </c>
      <c r="D4719" s="150" t="s">
        <v>4315</v>
      </c>
      <c r="E4719" s="5" t="str">
        <f>VLOOKUP(F4719,'Set up'!$A$2:$C$70,2,FALSE)</f>
        <v>C00000003</v>
      </c>
      <c r="F4719" s="151" t="s">
        <v>20</v>
      </c>
      <c r="G4719" s="151" t="s">
        <v>3124</v>
      </c>
      <c r="H4719" s="150">
        <v>1</v>
      </c>
      <c r="I4719" s="5">
        <f>VLOOKUP(F4719,'Set up'!$A$2:$C$70,3,FALSE)</f>
        <v>45</v>
      </c>
      <c r="J4719" s="5">
        <f>VLOOKUP(F4719,'Set up'!$A$2:$D$70,4,FALSE)</f>
        <v>45</v>
      </c>
      <c r="K4719" s="4">
        <f t="shared" si="1092"/>
        <v>46030</v>
      </c>
      <c r="L4719" s="5">
        <f t="shared" si="1095"/>
        <v>1</v>
      </c>
      <c r="M4719" s="5">
        <f t="shared" si="1096"/>
        <v>2026</v>
      </c>
      <c r="N4719" s="156">
        <v>1450</v>
      </c>
      <c r="P4719" s="12"/>
      <c r="Q4719" s="7">
        <f t="shared" si="1097"/>
        <v>7802782.0500000091</v>
      </c>
      <c r="R4719" s="44" t="str">
        <f>VLOOKUP(F4719,'Set up'!$A$2:$E$70,5,FALSE)</f>
        <v>PD Chq</v>
      </c>
    </row>
    <row r="4720" spans="1:18" ht="16.2" customHeight="1" x14ac:dyDescent="0.3">
      <c r="A4720" s="150" t="s">
        <v>4340</v>
      </c>
      <c r="B4720" s="5">
        <f t="shared" si="1093"/>
        <v>11</v>
      </c>
      <c r="C4720" s="5">
        <f t="shared" si="1094"/>
        <v>2025</v>
      </c>
      <c r="D4720" s="150" t="s">
        <v>4316</v>
      </c>
      <c r="E4720" s="5" t="e">
        <f>VLOOKUP(F4720,'Set up'!$A$2:$C$70,2,FALSE)</f>
        <v>#N/A</v>
      </c>
      <c r="F4720" s="151" t="s">
        <v>4266</v>
      </c>
      <c r="G4720" s="151" t="s">
        <v>4279</v>
      </c>
      <c r="H4720" s="150">
        <v>2</v>
      </c>
      <c r="I4720" s="5" t="e">
        <f>VLOOKUP(F4720,'Set up'!$A$2:$C$70,3,FALSE)</f>
        <v>#N/A</v>
      </c>
      <c r="J4720" s="5" t="e">
        <f>VLOOKUP(F4720,'Set up'!$A$2:$D$70,4,FALSE)</f>
        <v>#N/A</v>
      </c>
      <c r="K4720" s="4" t="e">
        <f t="shared" si="1092"/>
        <v>#N/A</v>
      </c>
      <c r="L4720" s="5" t="e">
        <f t="shared" si="1095"/>
        <v>#N/A</v>
      </c>
      <c r="M4720" s="5" t="e">
        <f t="shared" si="1096"/>
        <v>#N/A</v>
      </c>
      <c r="N4720" s="156">
        <v>520</v>
      </c>
      <c r="P4720" s="12"/>
      <c r="Q4720" s="7">
        <f t="shared" si="1097"/>
        <v>7803302.0500000091</v>
      </c>
      <c r="R4720" s="44" t="e">
        <f>VLOOKUP(F4720,'Set up'!$A$2:$E$70,5,FALSE)</f>
        <v>#N/A</v>
      </c>
    </row>
    <row r="4721" spans="1:18" ht="16.2" customHeight="1" x14ac:dyDescent="0.3">
      <c r="A4721" s="150" t="s">
        <v>4341</v>
      </c>
      <c r="B4721" s="5">
        <f t="shared" si="1093"/>
        <v>11</v>
      </c>
      <c r="C4721" s="5">
        <f t="shared" si="1094"/>
        <v>2025</v>
      </c>
      <c r="D4721" s="150" t="s">
        <v>4317</v>
      </c>
      <c r="E4721" s="5" t="str">
        <f>VLOOKUP(F4721,'Set up'!$A$2:$C$70,2,FALSE)</f>
        <v>C00000042</v>
      </c>
      <c r="F4721" s="151" t="s">
        <v>2012</v>
      </c>
      <c r="G4721" s="151" t="s">
        <v>3645</v>
      </c>
      <c r="H4721" s="150">
        <v>5</v>
      </c>
      <c r="I4721" s="5" t="str">
        <f>VLOOKUP(F4721,'Set up'!$A$2:$C$70,3,FALSE)</f>
        <v>Cash</v>
      </c>
      <c r="J4721" s="5">
        <f>VLOOKUP(F4721,'Set up'!$A$2:$D$70,4,FALSE)</f>
        <v>0</v>
      </c>
      <c r="K4721" s="4">
        <f t="shared" si="1092"/>
        <v>45986</v>
      </c>
      <c r="L4721" s="5">
        <f t="shared" si="1095"/>
        <v>11</v>
      </c>
      <c r="M4721" s="5">
        <f t="shared" si="1096"/>
        <v>2025</v>
      </c>
      <c r="N4721" s="156">
        <v>7762.5</v>
      </c>
      <c r="P4721" s="12"/>
      <c r="Q4721" s="7">
        <f t="shared" si="1097"/>
        <v>7811064.5500000091</v>
      </c>
      <c r="R4721" s="44" t="str">
        <f>VLOOKUP(F4721,'Set up'!$A$2:$E$70,5,FALSE)</f>
        <v>Trsf</v>
      </c>
    </row>
    <row r="4722" spans="1:18" ht="16.2" customHeight="1" x14ac:dyDescent="0.3">
      <c r="A4722" s="150" t="s">
        <v>4341</v>
      </c>
      <c r="B4722" s="5">
        <f t="shared" si="1093"/>
        <v>11</v>
      </c>
      <c r="C4722" s="5">
        <f t="shared" si="1094"/>
        <v>2025</v>
      </c>
      <c r="D4722" s="150" t="s">
        <v>4317</v>
      </c>
      <c r="E4722" s="5" t="str">
        <f>VLOOKUP(F4722,'Set up'!$A$2:$C$70,2,FALSE)</f>
        <v>C00000042</v>
      </c>
      <c r="F4722" s="151" t="s">
        <v>2012</v>
      </c>
      <c r="G4722" s="151" t="s">
        <v>4356</v>
      </c>
      <c r="H4722" s="150">
        <v>3</v>
      </c>
      <c r="I4722" s="5" t="str">
        <f>VLOOKUP(F4722,'Set up'!$A$2:$C$70,3,FALSE)</f>
        <v>Cash</v>
      </c>
      <c r="J4722" s="5">
        <f>VLOOKUP(F4722,'Set up'!$A$2:$D$70,4,FALSE)</f>
        <v>0</v>
      </c>
      <c r="K4722" s="4">
        <f t="shared" ref="K4722:K4737" si="1098">A4722+J4722</f>
        <v>45986</v>
      </c>
      <c r="L4722" s="5">
        <f t="shared" si="1095"/>
        <v>11</v>
      </c>
      <c r="M4722" s="5">
        <f t="shared" si="1096"/>
        <v>2025</v>
      </c>
      <c r="N4722" s="156">
        <v>654.9</v>
      </c>
      <c r="P4722" s="12"/>
      <c r="Q4722" s="7">
        <f t="shared" si="1097"/>
        <v>7811719.4500000095</v>
      </c>
      <c r="R4722" s="44" t="str">
        <f>VLOOKUP(F4722,'Set up'!$A$2:$E$70,5,FALSE)</f>
        <v>Trsf</v>
      </c>
    </row>
    <row r="4723" spans="1:18" ht="16.2" customHeight="1" x14ac:dyDescent="0.3">
      <c r="A4723" s="150" t="s">
        <v>4341</v>
      </c>
      <c r="B4723" s="5">
        <f t="shared" ref="B4723:B4737" si="1099">MONTH(A4723)</f>
        <v>11</v>
      </c>
      <c r="C4723" s="5">
        <f t="shared" ref="C4723:C4737" si="1100">YEAR(A4723)</f>
        <v>2025</v>
      </c>
      <c r="D4723" s="150" t="s">
        <v>4317</v>
      </c>
      <c r="E4723" s="5" t="str">
        <f>VLOOKUP(F4723,'Set up'!$A$2:$C$70,2,FALSE)</f>
        <v>C00000042</v>
      </c>
      <c r="F4723" s="151" t="s">
        <v>2012</v>
      </c>
      <c r="G4723" s="151" t="s">
        <v>1922</v>
      </c>
      <c r="H4723" s="150">
        <v>3</v>
      </c>
      <c r="I4723" s="5" t="str">
        <f>VLOOKUP(F4723,'Set up'!$A$2:$C$70,3,FALSE)</f>
        <v>Cash</v>
      </c>
      <c r="J4723" s="5">
        <f>VLOOKUP(F4723,'Set up'!$A$2:$D$70,4,FALSE)</f>
        <v>0</v>
      </c>
      <c r="K4723" s="4">
        <f t="shared" si="1098"/>
        <v>45986</v>
      </c>
      <c r="L4723" s="5">
        <f t="shared" si="1095"/>
        <v>11</v>
      </c>
      <c r="M4723" s="5">
        <f t="shared" si="1096"/>
        <v>2025</v>
      </c>
      <c r="N4723" s="156">
        <v>688.5</v>
      </c>
      <c r="P4723" s="12"/>
      <c r="Q4723" s="7">
        <f t="shared" si="1097"/>
        <v>7812407.9500000095</v>
      </c>
      <c r="R4723" s="44" t="str">
        <f>VLOOKUP(F4723,'Set up'!$A$2:$E$70,5,FALSE)</f>
        <v>Trsf</v>
      </c>
    </row>
    <row r="4724" spans="1:18" ht="16.2" customHeight="1" x14ac:dyDescent="0.3">
      <c r="A4724" s="150" t="s">
        <v>4342</v>
      </c>
      <c r="B4724" s="5">
        <f t="shared" si="1099"/>
        <v>11</v>
      </c>
      <c r="C4724" s="5">
        <f t="shared" si="1100"/>
        <v>2025</v>
      </c>
      <c r="D4724" s="150" t="s">
        <v>4318</v>
      </c>
      <c r="E4724" s="5" t="str">
        <f>VLOOKUP(F4724,'Set up'!$A$2:$C$70,2,FALSE)</f>
        <v>C00000044</v>
      </c>
      <c r="F4724" s="151" t="s">
        <v>2929</v>
      </c>
      <c r="G4724" s="151" t="s">
        <v>3122</v>
      </c>
      <c r="H4724" s="150">
        <v>1</v>
      </c>
      <c r="I4724" s="5" t="str">
        <f>VLOOKUP(F4724,'Set up'!$A$2:$C$70,3,FALSE)</f>
        <v>Cash</v>
      </c>
      <c r="J4724" s="5">
        <f>VLOOKUP(F4724,'Set up'!$A$2:$D$70,4,FALSE)</f>
        <v>0</v>
      </c>
      <c r="K4724" s="4">
        <f t="shared" si="1098"/>
        <v>45987</v>
      </c>
      <c r="L4724" s="5">
        <f t="shared" si="1095"/>
        <v>11</v>
      </c>
      <c r="M4724" s="5">
        <f t="shared" si="1096"/>
        <v>2025</v>
      </c>
      <c r="N4724" s="156">
        <v>1687.5</v>
      </c>
      <c r="P4724" s="12"/>
      <c r="Q4724" s="7">
        <f t="shared" si="1097"/>
        <v>7814095.4500000095</v>
      </c>
      <c r="R4724" s="44" t="str">
        <f>VLOOKUP(F4724,'Set up'!$A$2:$E$70,5,FALSE)</f>
        <v>Cash</v>
      </c>
    </row>
    <row r="4725" spans="1:18" ht="16.2" customHeight="1" x14ac:dyDescent="0.3">
      <c r="A4725" s="150" t="s">
        <v>4342</v>
      </c>
      <c r="B4725" s="5">
        <f t="shared" si="1099"/>
        <v>11</v>
      </c>
      <c r="C4725" s="5">
        <f t="shared" si="1100"/>
        <v>2025</v>
      </c>
      <c r="D4725" s="150" t="s">
        <v>4318</v>
      </c>
      <c r="E4725" s="5" t="str">
        <f>VLOOKUP(F4725,'Set up'!$A$2:$C$70,2,FALSE)</f>
        <v>C00000044</v>
      </c>
      <c r="F4725" s="151" t="s">
        <v>2929</v>
      </c>
      <c r="G4725" s="151" t="s">
        <v>2570</v>
      </c>
      <c r="H4725" s="150">
        <v>2</v>
      </c>
      <c r="I4725" s="5" t="str">
        <f>VLOOKUP(F4725,'Set up'!$A$2:$C$70,3,FALSE)</f>
        <v>Cash</v>
      </c>
      <c r="J4725" s="5">
        <f>VLOOKUP(F4725,'Set up'!$A$2:$D$70,4,FALSE)</f>
        <v>0</v>
      </c>
      <c r="K4725" s="4">
        <f t="shared" si="1098"/>
        <v>45987</v>
      </c>
      <c r="L4725" s="5">
        <f t="shared" si="1095"/>
        <v>11</v>
      </c>
      <c r="M4725" s="5">
        <f t="shared" si="1096"/>
        <v>2025</v>
      </c>
      <c r="N4725" s="156">
        <v>432</v>
      </c>
      <c r="P4725" s="12"/>
      <c r="Q4725" s="7">
        <f t="shared" si="1097"/>
        <v>7814527.4500000095</v>
      </c>
      <c r="R4725" s="44" t="str">
        <f>VLOOKUP(F4725,'Set up'!$A$2:$E$70,5,FALSE)</f>
        <v>Cash</v>
      </c>
    </row>
    <row r="4726" spans="1:18" ht="16.2" customHeight="1" x14ac:dyDescent="0.3">
      <c r="A4726" s="150" t="s">
        <v>4342</v>
      </c>
      <c r="B4726" s="5">
        <f t="shared" si="1099"/>
        <v>11</v>
      </c>
      <c r="C4726" s="5">
        <f t="shared" si="1100"/>
        <v>2025</v>
      </c>
      <c r="D4726" s="150" t="s">
        <v>4318</v>
      </c>
      <c r="E4726" s="5" t="str">
        <f>VLOOKUP(F4726,'Set up'!$A$2:$C$70,2,FALSE)</f>
        <v>C00000044</v>
      </c>
      <c r="F4726" s="151" t="s">
        <v>2929</v>
      </c>
      <c r="G4726" s="151" t="s">
        <v>2449</v>
      </c>
      <c r="H4726" s="150">
        <v>1</v>
      </c>
      <c r="I4726" s="5" t="str">
        <f>VLOOKUP(F4726,'Set up'!$A$2:$C$70,3,FALSE)</f>
        <v>Cash</v>
      </c>
      <c r="J4726" s="5">
        <f>VLOOKUP(F4726,'Set up'!$A$2:$D$70,4,FALSE)</f>
        <v>0</v>
      </c>
      <c r="K4726" s="4">
        <f t="shared" si="1098"/>
        <v>45987</v>
      </c>
      <c r="L4726" s="5">
        <f t="shared" si="1095"/>
        <v>11</v>
      </c>
      <c r="M4726" s="5">
        <f t="shared" si="1096"/>
        <v>2025</v>
      </c>
      <c r="N4726" s="156">
        <v>400</v>
      </c>
      <c r="P4726" s="12"/>
      <c r="Q4726" s="7">
        <f t="shared" si="1097"/>
        <v>7814927.4500000095</v>
      </c>
      <c r="R4726" s="44" t="str">
        <f>VLOOKUP(F4726,'Set up'!$A$2:$E$70,5,FALSE)</f>
        <v>Cash</v>
      </c>
    </row>
    <row r="4727" spans="1:18" ht="16.2" customHeight="1" x14ac:dyDescent="0.3">
      <c r="A4727" s="150" t="s">
        <v>4342</v>
      </c>
      <c r="B4727" s="5">
        <f t="shared" si="1099"/>
        <v>11</v>
      </c>
      <c r="C4727" s="5">
        <f t="shared" si="1100"/>
        <v>2025</v>
      </c>
      <c r="D4727" s="150" t="s">
        <v>4319</v>
      </c>
      <c r="E4727" s="5" t="str">
        <f>VLOOKUP(F4727,'Set up'!$A$2:$C$70,2,FALSE)</f>
        <v>C00000049</v>
      </c>
      <c r="F4727" s="151" t="s">
        <v>2728</v>
      </c>
      <c r="G4727" s="151" t="s">
        <v>4353</v>
      </c>
      <c r="H4727" s="150">
        <v>1</v>
      </c>
      <c r="I4727" s="5" t="str">
        <f>VLOOKUP(F4727,'Set up'!$A$2:$C$70,3,FALSE)</f>
        <v>Cash</v>
      </c>
      <c r="J4727" s="5">
        <f>VLOOKUP(F4727,'Set up'!$A$2:$D$70,4,FALSE)</f>
        <v>0</v>
      </c>
      <c r="K4727" s="4">
        <f t="shared" si="1098"/>
        <v>45987</v>
      </c>
      <c r="L4727" s="5">
        <f t="shared" si="1095"/>
        <v>11</v>
      </c>
      <c r="M4727" s="5">
        <f t="shared" si="1096"/>
        <v>2025</v>
      </c>
      <c r="N4727" s="156">
        <v>165</v>
      </c>
      <c r="P4727" s="12"/>
      <c r="Q4727" s="7">
        <f t="shared" si="1097"/>
        <v>7815092.4500000095</v>
      </c>
      <c r="R4727" s="44" t="str">
        <f>VLOOKUP(F4727,'Set up'!$A$2:$E$70,5,FALSE)</f>
        <v>Cash</v>
      </c>
    </row>
    <row r="4728" spans="1:18" ht="16.2" customHeight="1" x14ac:dyDescent="0.3">
      <c r="A4728" s="150" t="s">
        <v>4343</v>
      </c>
      <c r="B4728" s="5">
        <f t="shared" si="1099"/>
        <v>11</v>
      </c>
      <c r="C4728" s="5">
        <f t="shared" si="1100"/>
        <v>2025</v>
      </c>
      <c r="D4728" s="150" t="s">
        <v>4320</v>
      </c>
      <c r="E4728" s="5" t="str">
        <f>VLOOKUP(F4728,'Set up'!$A$2:$C$70,2,FALSE)</f>
        <v>C00000009</v>
      </c>
      <c r="F4728" s="151" t="s">
        <v>58</v>
      </c>
      <c r="G4728" s="151" t="s">
        <v>4348</v>
      </c>
      <c r="H4728" s="150">
        <v>5</v>
      </c>
      <c r="I4728" s="5">
        <f>VLOOKUP(F4728,'Set up'!$A$2:$C$70,3,FALSE)</f>
        <v>60</v>
      </c>
      <c r="J4728" s="5">
        <f>VLOOKUP(F4728,'Set up'!$A$2:$D$70,4,FALSE)</f>
        <v>60</v>
      </c>
      <c r="K4728" s="4">
        <f t="shared" si="1098"/>
        <v>46048</v>
      </c>
      <c r="L4728" s="5">
        <f t="shared" si="1095"/>
        <v>1</v>
      </c>
      <c r="M4728" s="5">
        <f t="shared" si="1096"/>
        <v>2026</v>
      </c>
      <c r="N4728" s="156">
        <v>290</v>
      </c>
      <c r="P4728" s="12"/>
      <c r="Q4728" s="7">
        <f t="shared" si="1097"/>
        <v>7815382.4500000095</v>
      </c>
      <c r="R4728" s="44" t="str">
        <f>VLOOKUP(F4728,'Set up'!$A$2:$E$70,5,FALSE)</f>
        <v>Chq</v>
      </c>
    </row>
    <row r="4729" spans="1:18" ht="16.2" customHeight="1" x14ac:dyDescent="0.3">
      <c r="A4729" s="150" t="s">
        <v>4344</v>
      </c>
      <c r="B4729" s="5">
        <f t="shared" si="1099"/>
        <v>11</v>
      </c>
      <c r="C4729" s="5">
        <f t="shared" si="1100"/>
        <v>2025</v>
      </c>
      <c r="D4729" s="150" t="s">
        <v>4321</v>
      </c>
      <c r="E4729" s="5" t="str">
        <f>VLOOKUP(F4729,'Set up'!$A$2:$C$70,2,FALSE)</f>
        <v>C00000045</v>
      </c>
      <c r="F4729" s="151" t="s">
        <v>2271</v>
      </c>
      <c r="G4729" s="151" t="s">
        <v>4134</v>
      </c>
      <c r="H4729" s="150">
        <v>2</v>
      </c>
      <c r="I4729" s="5" t="str">
        <f>VLOOKUP(F4729,'Set up'!$A$2:$C$70,3,FALSE)</f>
        <v>Cash</v>
      </c>
      <c r="J4729" s="5">
        <f>VLOOKUP(F4729,'Set up'!$A$2:$D$70,4,FALSE)</f>
        <v>0</v>
      </c>
      <c r="K4729" s="4">
        <f t="shared" si="1098"/>
        <v>45989</v>
      </c>
      <c r="L4729" s="5">
        <f t="shared" si="1095"/>
        <v>11</v>
      </c>
      <c r="M4729" s="5">
        <f t="shared" si="1096"/>
        <v>2025</v>
      </c>
      <c r="N4729" s="156">
        <v>479.6</v>
      </c>
      <c r="P4729" s="12"/>
      <c r="Q4729" s="7">
        <f t="shared" si="1097"/>
        <v>7815862.0500000091</v>
      </c>
      <c r="R4729" s="44" t="str">
        <f>VLOOKUP(F4729,'Set up'!$A$2:$E$70,5,FALSE)</f>
        <v>Trsf</v>
      </c>
    </row>
    <row r="4730" spans="1:18" ht="16.2" customHeight="1" x14ac:dyDescent="0.3">
      <c r="A4730" s="150" t="s">
        <v>4345</v>
      </c>
      <c r="B4730" s="5">
        <f t="shared" si="1099"/>
        <v>11</v>
      </c>
      <c r="C4730" s="5">
        <f t="shared" si="1100"/>
        <v>2025</v>
      </c>
      <c r="D4730" s="150" t="s">
        <v>4322</v>
      </c>
      <c r="E4730" s="5" t="e">
        <f>VLOOKUP(F4730,'Set up'!$A$2:$C$70,2,FALSE)</f>
        <v>#N/A</v>
      </c>
      <c r="F4730" s="151" t="s">
        <v>4130</v>
      </c>
      <c r="G4730" s="151" t="s">
        <v>3122</v>
      </c>
      <c r="H4730" s="150">
        <v>1</v>
      </c>
      <c r="I4730" s="5" t="e">
        <f>VLOOKUP(F4730,'Set up'!$A$2:$C$70,3,FALSE)</f>
        <v>#N/A</v>
      </c>
      <c r="J4730" s="5" t="e">
        <f>VLOOKUP(F4730,'Set up'!$A$2:$D$70,4,FALSE)</f>
        <v>#N/A</v>
      </c>
      <c r="K4730" s="4" t="e">
        <f t="shared" si="1098"/>
        <v>#N/A</v>
      </c>
      <c r="L4730" s="5" t="e">
        <f t="shared" si="1095"/>
        <v>#N/A</v>
      </c>
      <c r="M4730" s="5" t="e">
        <f t="shared" si="1096"/>
        <v>#N/A</v>
      </c>
      <c r="N4730" s="156">
        <v>1687.5</v>
      </c>
      <c r="P4730" s="12"/>
      <c r="Q4730" s="7">
        <f t="shared" si="1097"/>
        <v>7817549.5500000091</v>
      </c>
      <c r="R4730" s="44" t="e">
        <f>VLOOKUP(F4730,'Set up'!$A$2:$E$70,5,FALSE)</f>
        <v>#N/A</v>
      </c>
    </row>
    <row r="4731" spans="1:18" ht="16.2" customHeight="1" x14ac:dyDescent="0.3">
      <c r="A4731" s="150" t="s">
        <v>4345</v>
      </c>
      <c r="B4731" s="5">
        <f t="shared" si="1099"/>
        <v>11</v>
      </c>
      <c r="C4731" s="5">
        <f t="shared" si="1100"/>
        <v>2025</v>
      </c>
      <c r="D4731" s="150" t="s">
        <v>4322</v>
      </c>
      <c r="E4731" s="5" t="e">
        <f>VLOOKUP(F4731,'Set up'!$A$2:$C$70,2,FALSE)</f>
        <v>#N/A</v>
      </c>
      <c r="F4731" s="151" t="s">
        <v>4130</v>
      </c>
      <c r="G4731" s="151" t="s">
        <v>707</v>
      </c>
      <c r="H4731" s="150">
        <v>1</v>
      </c>
      <c r="I4731" s="5" t="e">
        <f>VLOOKUP(F4731,'Set up'!$A$2:$C$70,3,FALSE)</f>
        <v>#N/A</v>
      </c>
      <c r="J4731" s="5" t="e">
        <f>VLOOKUP(F4731,'Set up'!$A$2:$D$70,4,FALSE)</f>
        <v>#N/A</v>
      </c>
      <c r="K4731" s="4" t="e">
        <f t="shared" si="1098"/>
        <v>#N/A</v>
      </c>
      <c r="L4731" s="5" t="e">
        <f t="shared" si="1095"/>
        <v>#N/A</v>
      </c>
      <c r="M4731" s="5" t="e">
        <f t="shared" si="1096"/>
        <v>#N/A</v>
      </c>
      <c r="N4731" s="156">
        <v>394.2</v>
      </c>
      <c r="P4731" s="12"/>
      <c r="Q4731" s="7">
        <f t="shared" si="1097"/>
        <v>7817943.7500000093</v>
      </c>
      <c r="R4731" s="44" t="e">
        <f>VLOOKUP(F4731,'Set up'!$A$2:$E$70,5,FALSE)</f>
        <v>#N/A</v>
      </c>
    </row>
    <row r="4732" spans="1:18" ht="16.2" customHeight="1" x14ac:dyDescent="0.3">
      <c r="A4732" s="150" t="s">
        <v>4345</v>
      </c>
      <c r="B4732" s="5">
        <f t="shared" si="1099"/>
        <v>11</v>
      </c>
      <c r="C4732" s="5">
        <f t="shared" si="1100"/>
        <v>2025</v>
      </c>
      <c r="D4732" s="150" t="s">
        <v>4322</v>
      </c>
      <c r="E4732" s="5" t="e">
        <f>VLOOKUP(F4732,'Set up'!$A$2:$C$70,2,FALSE)</f>
        <v>#N/A</v>
      </c>
      <c r="F4732" s="151" t="s">
        <v>4130</v>
      </c>
      <c r="G4732" s="151" t="s">
        <v>2144</v>
      </c>
      <c r="H4732" s="150">
        <v>1</v>
      </c>
      <c r="I4732" s="5" t="e">
        <f>VLOOKUP(F4732,'Set up'!$A$2:$C$70,3,FALSE)</f>
        <v>#N/A</v>
      </c>
      <c r="J4732" s="5" t="e">
        <f>VLOOKUP(F4732,'Set up'!$A$2:$D$70,4,FALSE)</f>
        <v>#N/A</v>
      </c>
      <c r="K4732" s="4" t="e">
        <f t="shared" si="1098"/>
        <v>#N/A</v>
      </c>
      <c r="L4732" s="5" t="e">
        <f t="shared" si="1095"/>
        <v>#N/A</v>
      </c>
      <c r="M4732" s="5" t="e">
        <f t="shared" si="1096"/>
        <v>#N/A</v>
      </c>
      <c r="N4732" s="156">
        <v>286</v>
      </c>
      <c r="P4732" s="12"/>
      <c r="Q4732" s="7">
        <f t="shared" si="1097"/>
        <v>7818229.7500000093</v>
      </c>
      <c r="R4732" s="44" t="e">
        <f>VLOOKUP(F4732,'Set up'!$A$2:$E$70,5,FALSE)</f>
        <v>#N/A</v>
      </c>
    </row>
    <row r="4733" spans="1:18" ht="16.2" customHeight="1" x14ac:dyDescent="0.3">
      <c r="A4733" s="150" t="s">
        <v>4345</v>
      </c>
      <c r="B4733" s="5">
        <f t="shared" si="1099"/>
        <v>11</v>
      </c>
      <c r="C4733" s="5">
        <f t="shared" si="1100"/>
        <v>2025</v>
      </c>
      <c r="D4733" s="150" t="s">
        <v>4322</v>
      </c>
      <c r="E4733" s="5" t="e">
        <f>VLOOKUP(F4733,'Set up'!$A$2:$C$70,2,FALSE)</f>
        <v>#N/A</v>
      </c>
      <c r="F4733" s="151" t="s">
        <v>4130</v>
      </c>
      <c r="G4733" s="151" t="s">
        <v>4204</v>
      </c>
      <c r="H4733" s="150">
        <v>1</v>
      </c>
      <c r="I4733" s="5" t="e">
        <f>VLOOKUP(F4733,'Set up'!$A$2:$C$70,3,FALSE)</f>
        <v>#N/A</v>
      </c>
      <c r="J4733" s="5" t="e">
        <f>VLOOKUP(F4733,'Set up'!$A$2:$D$70,4,FALSE)</f>
        <v>#N/A</v>
      </c>
      <c r="K4733" s="4" t="e">
        <f t="shared" si="1098"/>
        <v>#N/A</v>
      </c>
      <c r="L4733" s="5" t="e">
        <f t="shared" si="1095"/>
        <v>#N/A</v>
      </c>
      <c r="M4733" s="5" t="e">
        <f t="shared" si="1096"/>
        <v>#N/A</v>
      </c>
      <c r="N4733" s="156">
        <v>160</v>
      </c>
      <c r="P4733" s="12"/>
      <c r="Q4733" s="7">
        <f t="shared" si="1097"/>
        <v>7818389.7500000093</v>
      </c>
      <c r="R4733" s="44" t="e">
        <f>VLOOKUP(F4733,'Set up'!$A$2:$E$70,5,FALSE)</f>
        <v>#N/A</v>
      </c>
    </row>
    <row r="4734" spans="1:18" ht="16.2" customHeight="1" x14ac:dyDescent="0.3">
      <c r="A4734" s="150" t="s">
        <v>4345</v>
      </c>
      <c r="B4734" s="5">
        <f t="shared" si="1099"/>
        <v>11</v>
      </c>
      <c r="C4734" s="5">
        <f t="shared" si="1100"/>
        <v>2025</v>
      </c>
      <c r="D4734" s="150" t="s">
        <v>4322</v>
      </c>
      <c r="E4734" s="5" t="e">
        <f>VLOOKUP(F4734,'Set up'!$A$2:$C$70,2,FALSE)</f>
        <v>#N/A</v>
      </c>
      <c r="F4734" s="151" t="s">
        <v>4130</v>
      </c>
      <c r="G4734" s="151" t="s">
        <v>945</v>
      </c>
      <c r="H4734" s="150">
        <v>1</v>
      </c>
      <c r="I4734" s="5" t="e">
        <f>VLOOKUP(F4734,'Set up'!$A$2:$C$70,3,FALSE)</f>
        <v>#N/A</v>
      </c>
      <c r="J4734" s="5" t="e">
        <f>VLOOKUP(F4734,'Set up'!$A$2:$D$70,4,FALSE)</f>
        <v>#N/A</v>
      </c>
      <c r="K4734" s="4" t="e">
        <f t="shared" si="1098"/>
        <v>#N/A</v>
      </c>
      <c r="L4734" s="5" t="e">
        <f t="shared" si="1095"/>
        <v>#N/A</v>
      </c>
      <c r="M4734" s="5" t="e">
        <f t="shared" si="1096"/>
        <v>#N/A</v>
      </c>
      <c r="N4734" s="156">
        <v>120</v>
      </c>
      <c r="P4734" s="12"/>
      <c r="Q4734" s="7">
        <f t="shared" si="1097"/>
        <v>7818509.7500000093</v>
      </c>
      <c r="R4734" s="44" t="e">
        <f>VLOOKUP(F4734,'Set up'!$A$2:$E$70,5,FALSE)</f>
        <v>#N/A</v>
      </c>
    </row>
    <row r="4735" spans="1:18" ht="16.2" customHeight="1" x14ac:dyDescent="0.3">
      <c r="A4735" s="150" t="s">
        <v>4345</v>
      </c>
      <c r="B4735" s="5">
        <f t="shared" si="1099"/>
        <v>11</v>
      </c>
      <c r="C4735" s="5">
        <f t="shared" si="1100"/>
        <v>2025</v>
      </c>
      <c r="D4735" s="150" t="s">
        <v>4322</v>
      </c>
      <c r="E4735" s="5" t="e">
        <f>VLOOKUP(F4735,'Set up'!$A$2:$C$70,2,FALSE)</f>
        <v>#N/A</v>
      </c>
      <c r="F4735" s="151" t="s">
        <v>4130</v>
      </c>
      <c r="G4735" s="151" t="s">
        <v>2646</v>
      </c>
      <c r="H4735" s="150">
        <v>3</v>
      </c>
      <c r="I4735" s="5" t="e">
        <f>VLOOKUP(F4735,'Set up'!$A$2:$C$70,3,FALSE)</f>
        <v>#N/A</v>
      </c>
      <c r="J4735" s="5" t="e">
        <f>VLOOKUP(F4735,'Set up'!$A$2:$D$70,4,FALSE)</f>
        <v>#N/A</v>
      </c>
      <c r="K4735" s="4" t="e">
        <f t="shared" si="1098"/>
        <v>#N/A</v>
      </c>
      <c r="L4735" s="5" t="e">
        <f t="shared" si="1095"/>
        <v>#N/A</v>
      </c>
      <c r="M4735" s="5" t="e">
        <f t="shared" si="1096"/>
        <v>#N/A</v>
      </c>
      <c r="N4735" s="156">
        <v>187.5</v>
      </c>
      <c r="P4735" s="12"/>
      <c r="Q4735" s="7">
        <f t="shared" si="1097"/>
        <v>7818697.2500000093</v>
      </c>
      <c r="R4735" s="44" t="e">
        <f>VLOOKUP(F4735,'Set up'!$A$2:$E$70,5,FALSE)</f>
        <v>#N/A</v>
      </c>
    </row>
    <row r="4736" spans="1:18" ht="16.2" customHeight="1" x14ac:dyDescent="0.3">
      <c r="A4736" s="150" t="s">
        <v>4345</v>
      </c>
      <c r="B4736" s="5">
        <f t="shared" si="1099"/>
        <v>11</v>
      </c>
      <c r="C4736" s="5">
        <f t="shared" si="1100"/>
        <v>2025</v>
      </c>
      <c r="D4736" s="150" t="s">
        <v>4323</v>
      </c>
      <c r="E4736" s="5" t="str">
        <f>VLOOKUP(F4736,'Set up'!$A$2:$C$70,2,FALSE)</f>
        <v>C00000049</v>
      </c>
      <c r="F4736" s="151" t="s">
        <v>2728</v>
      </c>
      <c r="G4736" s="151" t="s">
        <v>3122</v>
      </c>
      <c r="H4736" s="150">
        <v>1</v>
      </c>
      <c r="I4736" s="5" t="str">
        <f>VLOOKUP(F4736,'Set up'!$A$2:$C$70,3,FALSE)</f>
        <v>Cash</v>
      </c>
      <c r="J4736" s="5">
        <f>VLOOKUP(F4736,'Set up'!$A$2:$D$70,4,FALSE)</f>
        <v>0</v>
      </c>
      <c r="K4736" s="4">
        <f t="shared" si="1098"/>
        <v>45990</v>
      </c>
      <c r="L4736" s="5">
        <f t="shared" si="1095"/>
        <v>11</v>
      </c>
      <c r="M4736" s="5">
        <f t="shared" si="1096"/>
        <v>2025</v>
      </c>
      <c r="N4736" s="156">
        <v>1687.5</v>
      </c>
      <c r="P4736" s="12"/>
      <c r="Q4736" s="7">
        <f t="shared" si="1097"/>
        <v>7820384.7500000093</v>
      </c>
      <c r="R4736" s="44" t="str">
        <f>VLOOKUP(F4736,'Set up'!$A$2:$E$70,5,FALSE)</f>
        <v>Cash</v>
      </c>
    </row>
    <row r="4737" spans="1:18" s="167" customFormat="1" ht="16.2" customHeight="1" x14ac:dyDescent="0.3">
      <c r="A4737" s="159" t="s">
        <v>4345</v>
      </c>
      <c r="B4737" s="160">
        <f t="shared" si="1099"/>
        <v>11</v>
      </c>
      <c r="C4737" s="160">
        <f t="shared" si="1100"/>
        <v>2025</v>
      </c>
      <c r="D4737" s="159" t="s">
        <v>4323</v>
      </c>
      <c r="E4737" s="160" t="str">
        <f>VLOOKUP(F4737,'Set up'!$A$2:$C$70,2,FALSE)</f>
        <v>C00000049</v>
      </c>
      <c r="F4737" s="161" t="s">
        <v>2728</v>
      </c>
      <c r="G4737" s="161" t="s">
        <v>4046</v>
      </c>
      <c r="H4737" s="159">
        <v>2</v>
      </c>
      <c r="I4737" s="160" t="str">
        <f>VLOOKUP(F4737,'Set up'!$A$2:$C$70,3,FALSE)</f>
        <v>Cash</v>
      </c>
      <c r="J4737" s="160">
        <f>VLOOKUP(F4737,'Set up'!$A$2:$D$70,4,FALSE)</f>
        <v>0</v>
      </c>
      <c r="K4737" s="162">
        <f t="shared" si="1098"/>
        <v>45990</v>
      </c>
      <c r="L4737" s="5">
        <f t="shared" si="1095"/>
        <v>11</v>
      </c>
      <c r="M4737" s="5">
        <f t="shared" si="1096"/>
        <v>2025</v>
      </c>
      <c r="N4737" s="163">
        <v>432</v>
      </c>
      <c r="O4737" s="164"/>
      <c r="P4737" s="164"/>
      <c r="Q4737" s="165">
        <f t="shared" si="1097"/>
        <v>7820816.7500000093</v>
      </c>
      <c r="R4737" s="166" t="str">
        <f>VLOOKUP(F4737,'Set up'!$A$2:$E$70,5,FALSE)</f>
        <v>Cash</v>
      </c>
    </row>
    <row r="4738" spans="1:18" ht="16.2" customHeight="1" x14ac:dyDescent="0.3">
      <c r="A4738" s="150" t="s">
        <v>4400</v>
      </c>
      <c r="B4738" s="5">
        <f t="shared" ref="B4738" si="1101">MONTH(A4738)</f>
        <v>12</v>
      </c>
      <c r="C4738" s="5">
        <f t="shared" ref="C4738" si="1102">YEAR(A4738)</f>
        <v>2025</v>
      </c>
      <c r="D4738" s="150" t="s">
        <v>4359</v>
      </c>
      <c r="E4738" s="5" t="str">
        <f>VLOOKUP(F4738,'Set up'!$A$2:$C$70,2,FALSE)</f>
        <v>C00000042</v>
      </c>
      <c r="F4738" s="151" t="s">
        <v>2012</v>
      </c>
      <c r="G4738" s="151" t="s">
        <v>2646</v>
      </c>
      <c r="H4738" s="150">
        <v>4</v>
      </c>
      <c r="I4738" s="5" t="str">
        <f>VLOOKUP(F4738,'Set up'!$A$2:$C$70,3,FALSE)</f>
        <v>Cash</v>
      </c>
      <c r="J4738" s="5">
        <f>VLOOKUP(F4738,'Set up'!$A$2:$D$70,4,FALSE)</f>
        <v>0</v>
      </c>
      <c r="K4738" s="4">
        <f t="shared" ref="K4738" si="1103">A4738+J4738</f>
        <v>45992</v>
      </c>
      <c r="L4738" s="5">
        <f t="shared" si="1095"/>
        <v>12</v>
      </c>
      <c r="M4738" s="5">
        <f t="shared" si="1096"/>
        <v>2025</v>
      </c>
      <c r="N4738" s="156">
        <v>250</v>
      </c>
      <c r="P4738" s="12"/>
      <c r="Q4738" s="7">
        <f t="shared" ref="Q4738" si="1104">SUM(Q4737+N4738)</f>
        <v>7821066.7500000093</v>
      </c>
      <c r="R4738" s="44" t="str">
        <f>VLOOKUP(F4738,'Set up'!$A$2:$E$70,5,FALSE)</f>
        <v>Trsf</v>
      </c>
    </row>
    <row r="4739" spans="1:18" ht="16.2" customHeight="1" x14ac:dyDescent="0.3">
      <c r="A4739" s="150" t="s">
        <v>4400</v>
      </c>
      <c r="B4739" s="5">
        <f t="shared" ref="B4739:B4802" si="1105">MONTH(A4739)</f>
        <v>12</v>
      </c>
      <c r="C4739" s="5">
        <f t="shared" ref="C4739:C4802" si="1106">YEAR(A4739)</f>
        <v>2025</v>
      </c>
      <c r="D4739" s="150" t="s">
        <v>4360</v>
      </c>
      <c r="E4739" s="5" t="str">
        <f>VLOOKUP(F4739,'Set up'!$A$2:$C$70,2,FALSE)</f>
        <v>C00000042</v>
      </c>
      <c r="F4739" s="151" t="s">
        <v>2012</v>
      </c>
      <c r="G4739" s="151" t="s">
        <v>3645</v>
      </c>
      <c r="H4739" s="150">
        <v>7</v>
      </c>
      <c r="I4739" s="5" t="str">
        <f>VLOOKUP(F4739,'Set up'!$A$2:$C$70,3,FALSE)</f>
        <v>Cash</v>
      </c>
      <c r="J4739" s="5">
        <f>VLOOKUP(F4739,'Set up'!$A$2:$D$70,4,FALSE)</f>
        <v>0</v>
      </c>
      <c r="K4739" s="4">
        <f t="shared" ref="K4739:K4802" si="1107">A4739+J4739</f>
        <v>45992</v>
      </c>
      <c r="L4739" s="5">
        <f t="shared" ref="L4739:L4802" si="1108">MONTH(K4739)</f>
        <v>12</v>
      </c>
      <c r="M4739" s="5">
        <f t="shared" ref="M4739:M4802" si="1109">YEAR(K4739)</f>
        <v>2025</v>
      </c>
      <c r="N4739" s="156">
        <v>10867.5</v>
      </c>
      <c r="P4739" s="12"/>
      <c r="Q4739" s="7">
        <f t="shared" ref="Q4739:Q4802" si="1110">SUM(Q4738+N4739)</f>
        <v>7831934.2500000093</v>
      </c>
      <c r="R4739" s="44" t="str">
        <f>VLOOKUP(F4739,'Set up'!$A$2:$E$70,5,FALSE)</f>
        <v>Trsf</v>
      </c>
    </row>
    <row r="4740" spans="1:18" ht="16.2" customHeight="1" x14ac:dyDescent="0.3">
      <c r="A4740" s="150" t="s">
        <v>4400</v>
      </c>
      <c r="B4740" s="5">
        <f t="shared" si="1105"/>
        <v>12</v>
      </c>
      <c r="C4740" s="5">
        <f t="shared" si="1106"/>
        <v>2025</v>
      </c>
      <c r="D4740" s="150" t="s">
        <v>4360</v>
      </c>
      <c r="E4740" s="5" t="str">
        <f>VLOOKUP(F4740,'Set up'!$A$2:$C$70,2,FALSE)</f>
        <v>C00000042</v>
      </c>
      <c r="F4740" s="151" t="s">
        <v>2012</v>
      </c>
      <c r="G4740" s="151" t="s">
        <v>1392</v>
      </c>
      <c r="H4740" s="150">
        <v>16</v>
      </c>
      <c r="I4740" s="5" t="str">
        <f>VLOOKUP(F4740,'Set up'!$A$2:$C$70,3,FALSE)</f>
        <v>Cash</v>
      </c>
      <c r="J4740" s="5">
        <f>VLOOKUP(F4740,'Set up'!$A$2:$D$70,4,FALSE)</f>
        <v>0</v>
      </c>
      <c r="K4740" s="4">
        <f t="shared" si="1107"/>
        <v>45992</v>
      </c>
      <c r="L4740" s="5">
        <f t="shared" si="1108"/>
        <v>12</v>
      </c>
      <c r="M4740" s="5">
        <f t="shared" si="1109"/>
        <v>2025</v>
      </c>
      <c r="N4740" s="156">
        <v>2832</v>
      </c>
      <c r="P4740" s="12"/>
      <c r="Q4740" s="7">
        <f t="shared" si="1110"/>
        <v>7834766.2500000093</v>
      </c>
      <c r="R4740" s="44" t="str">
        <f>VLOOKUP(F4740,'Set up'!$A$2:$E$70,5,FALSE)</f>
        <v>Trsf</v>
      </c>
    </row>
    <row r="4741" spans="1:18" ht="16.2" customHeight="1" x14ac:dyDescent="0.3">
      <c r="A4741" s="150" t="s">
        <v>4400</v>
      </c>
      <c r="B4741" s="5">
        <f t="shared" si="1105"/>
        <v>12</v>
      </c>
      <c r="C4741" s="5">
        <f t="shared" si="1106"/>
        <v>2025</v>
      </c>
      <c r="D4741" s="150" t="s">
        <v>4360</v>
      </c>
      <c r="E4741" s="5" t="str">
        <f>VLOOKUP(F4741,'Set up'!$A$2:$C$70,2,FALSE)</f>
        <v>C00000042</v>
      </c>
      <c r="F4741" s="151" t="s">
        <v>2012</v>
      </c>
      <c r="G4741" s="151" t="s">
        <v>1922</v>
      </c>
      <c r="H4741" s="150">
        <v>9</v>
      </c>
      <c r="I4741" s="5" t="str">
        <f>VLOOKUP(F4741,'Set up'!$A$2:$C$70,3,FALSE)</f>
        <v>Cash</v>
      </c>
      <c r="J4741" s="5">
        <f>VLOOKUP(F4741,'Set up'!$A$2:$D$70,4,FALSE)</f>
        <v>0</v>
      </c>
      <c r="K4741" s="4">
        <f t="shared" si="1107"/>
        <v>45992</v>
      </c>
      <c r="L4741" s="5">
        <f t="shared" si="1108"/>
        <v>12</v>
      </c>
      <c r="M4741" s="5">
        <f t="shared" si="1109"/>
        <v>2025</v>
      </c>
      <c r="N4741" s="156">
        <v>2065.5</v>
      </c>
      <c r="P4741" s="12"/>
      <c r="Q4741" s="7">
        <f t="shared" si="1110"/>
        <v>7836831.7500000093</v>
      </c>
      <c r="R4741" s="44" t="str">
        <f>VLOOKUP(F4741,'Set up'!$A$2:$E$70,5,FALSE)</f>
        <v>Trsf</v>
      </c>
    </row>
    <row r="4742" spans="1:18" ht="16.2" customHeight="1" x14ac:dyDescent="0.3">
      <c r="A4742" s="150" t="s">
        <v>4400</v>
      </c>
      <c r="B4742" s="5">
        <f t="shared" si="1105"/>
        <v>12</v>
      </c>
      <c r="C4742" s="5">
        <f t="shared" si="1106"/>
        <v>2025</v>
      </c>
      <c r="D4742" s="150" t="s">
        <v>4360</v>
      </c>
      <c r="E4742" s="5" t="str">
        <f>VLOOKUP(F4742,'Set up'!$A$2:$C$70,2,FALSE)</f>
        <v>C00000042</v>
      </c>
      <c r="F4742" s="151" t="s">
        <v>2012</v>
      </c>
      <c r="G4742" s="151" t="s">
        <v>46</v>
      </c>
      <c r="H4742" s="150">
        <v>4</v>
      </c>
      <c r="I4742" s="5" t="str">
        <f>VLOOKUP(F4742,'Set up'!$A$2:$C$70,3,FALSE)</f>
        <v>Cash</v>
      </c>
      <c r="J4742" s="5">
        <f>VLOOKUP(F4742,'Set up'!$A$2:$D$70,4,FALSE)</f>
        <v>0</v>
      </c>
      <c r="K4742" s="4">
        <f t="shared" si="1107"/>
        <v>45992</v>
      </c>
      <c r="L4742" s="5">
        <f t="shared" si="1108"/>
        <v>12</v>
      </c>
      <c r="M4742" s="5">
        <f t="shared" si="1109"/>
        <v>2025</v>
      </c>
      <c r="N4742" s="156">
        <v>460</v>
      </c>
      <c r="P4742" s="12"/>
      <c r="Q4742" s="7">
        <f t="shared" si="1110"/>
        <v>7837291.7500000093</v>
      </c>
      <c r="R4742" s="44" t="str">
        <f>VLOOKUP(F4742,'Set up'!$A$2:$E$70,5,FALSE)</f>
        <v>Trsf</v>
      </c>
    </row>
    <row r="4743" spans="1:18" ht="16.2" customHeight="1" x14ac:dyDescent="0.3">
      <c r="A4743" s="150" t="s">
        <v>4400</v>
      </c>
      <c r="B4743" s="5">
        <f t="shared" si="1105"/>
        <v>12</v>
      </c>
      <c r="C4743" s="5">
        <f t="shared" si="1106"/>
        <v>2025</v>
      </c>
      <c r="D4743" s="150" t="s">
        <v>4360</v>
      </c>
      <c r="E4743" s="5" t="str">
        <f>VLOOKUP(F4743,'Set up'!$A$2:$C$70,2,FALSE)</f>
        <v>C00000042</v>
      </c>
      <c r="F4743" s="151" t="s">
        <v>2012</v>
      </c>
      <c r="G4743" s="151" t="s">
        <v>1073</v>
      </c>
      <c r="H4743" s="150">
        <v>1</v>
      </c>
      <c r="I4743" s="5" t="str">
        <f>VLOOKUP(F4743,'Set up'!$A$2:$C$70,3,FALSE)</f>
        <v>Cash</v>
      </c>
      <c r="J4743" s="5">
        <f>VLOOKUP(F4743,'Set up'!$A$2:$D$70,4,FALSE)</f>
        <v>0</v>
      </c>
      <c r="K4743" s="4">
        <f t="shared" si="1107"/>
        <v>45992</v>
      </c>
      <c r="L4743" s="5">
        <f t="shared" si="1108"/>
        <v>12</v>
      </c>
      <c r="M4743" s="5">
        <f t="shared" si="1109"/>
        <v>2025</v>
      </c>
      <c r="N4743" s="156">
        <v>1050</v>
      </c>
      <c r="P4743" s="12"/>
      <c r="Q4743" s="7">
        <f t="shared" si="1110"/>
        <v>7838341.7500000093</v>
      </c>
      <c r="R4743" s="44" t="str">
        <f>VLOOKUP(F4743,'Set up'!$A$2:$E$70,5,FALSE)</f>
        <v>Trsf</v>
      </c>
    </row>
    <row r="4744" spans="1:18" ht="16.2" customHeight="1" x14ac:dyDescent="0.3">
      <c r="A4744" s="150" t="s">
        <v>4400</v>
      </c>
      <c r="B4744" s="5">
        <f t="shared" si="1105"/>
        <v>12</v>
      </c>
      <c r="C4744" s="5">
        <f t="shared" si="1106"/>
        <v>2025</v>
      </c>
      <c r="D4744" s="150" t="s">
        <v>4360</v>
      </c>
      <c r="E4744" s="5" t="str">
        <f>VLOOKUP(F4744,'Set up'!$A$2:$C$70,2,FALSE)</f>
        <v>C00000042</v>
      </c>
      <c r="F4744" s="151" t="s">
        <v>2012</v>
      </c>
      <c r="G4744" s="151" t="s">
        <v>2744</v>
      </c>
      <c r="H4744" s="150">
        <v>1</v>
      </c>
      <c r="I4744" s="5" t="str">
        <f>VLOOKUP(F4744,'Set up'!$A$2:$C$70,3,FALSE)</f>
        <v>Cash</v>
      </c>
      <c r="J4744" s="5">
        <f>VLOOKUP(F4744,'Set up'!$A$2:$D$70,4,FALSE)</f>
        <v>0</v>
      </c>
      <c r="K4744" s="4">
        <f t="shared" si="1107"/>
        <v>45992</v>
      </c>
      <c r="L4744" s="5">
        <f t="shared" si="1108"/>
        <v>12</v>
      </c>
      <c r="M4744" s="5">
        <f t="shared" si="1109"/>
        <v>2025</v>
      </c>
      <c r="N4744" s="156">
        <v>1000</v>
      </c>
      <c r="P4744" s="12"/>
      <c r="Q4744" s="7">
        <f t="shared" si="1110"/>
        <v>7839341.7500000093</v>
      </c>
      <c r="R4744" s="44" t="str">
        <f>VLOOKUP(F4744,'Set up'!$A$2:$E$70,5,FALSE)</f>
        <v>Trsf</v>
      </c>
    </row>
    <row r="4745" spans="1:18" ht="16.2" customHeight="1" x14ac:dyDescent="0.3">
      <c r="A4745" s="150" t="s">
        <v>4401</v>
      </c>
      <c r="B4745" s="5">
        <f t="shared" si="1105"/>
        <v>12</v>
      </c>
      <c r="C4745" s="5">
        <f t="shared" si="1106"/>
        <v>2025</v>
      </c>
      <c r="D4745" s="150" t="s">
        <v>4361</v>
      </c>
      <c r="E4745" s="5" t="str">
        <f>VLOOKUP(F4745,'Set up'!$A$2:$C$70,2,FALSE)</f>
        <v>C00000041</v>
      </c>
      <c r="F4745" s="151" t="s">
        <v>1704</v>
      </c>
      <c r="G4745" s="151" t="s">
        <v>2524</v>
      </c>
      <c r="H4745" s="150">
        <v>2</v>
      </c>
      <c r="I4745" s="5" t="str">
        <f>VLOOKUP(F4745,'Set up'!$A$2:$C$70,3,FALSE)</f>
        <v>Cash</v>
      </c>
      <c r="J4745" s="5">
        <f>VLOOKUP(F4745,'Set up'!$A$2:$D$70,4,FALSE)</f>
        <v>0</v>
      </c>
      <c r="K4745" s="4">
        <f t="shared" si="1107"/>
        <v>45994</v>
      </c>
      <c r="L4745" s="5">
        <f t="shared" si="1108"/>
        <v>12</v>
      </c>
      <c r="M4745" s="5">
        <f t="shared" si="1109"/>
        <v>2025</v>
      </c>
      <c r="N4745" s="156">
        <v>370</v>
      </c>
      <c r="P4745" s="12"/>
      <c r="Q4745" s="7">
        <f t="shared" si="1110"/>
        <v>7839711.7500000093</v>
      </c>
      <c r="R4745" s="44" t="str">
        <f>VLOOKUP(F4745,'Set up'!$A$2:$E$70,5,FALSE)</f>
        <v>Trsf</v>
      </c>
    </row>
    <row r="4746" spans="1:18" ht="16.2" customHeight="1" x14ac:dyDescent="0.3">
      <c r="A4746" s="150" t="s">
        <v>4402</v>
      </c>
      <c r="B4746" s="5">
        <f t="shared" si="1105"/>
        <v>12</v>
      </c>
      <c r="C4746" s="5">
        <f t="shared" si="1106"/>
        <v>2025</v>
      </c>
      <c r="D4746" s="150" t="s">
        <v>4362</v>
      </c>
      <c r="E4746" s="5" t="str">
        <f>VLOOKUP(F4746,'Set up'!$A$2:$C$70,2,FALSE)</f>
        <v>C00000049</v>
      </c>
      <c r="F4746" s="151" t="s">
        <v>2728</v>
      </c>
      <c r="G4746" s="151" t="s">
        <v>3122</v>
      </c>
      <c r="H4746" s="150">
        <v>1</v>
      </c>
      <c r="I4746" s="5" t="str">
        <f>VLOOKUP(F4746,'Set up'!$A$2:$C$70,3,FALSE)</f>
        <v>Cash</v>
      </c>
      <c r="J4746" s="5">
        <f>VLOOKUP(F4746,'Set up'!$A$2:$D$70,4,FALSE)</f>
        <v>0</v>
      </c>
      <c r="K4746" s="4">
        <f t="shared" si="1107"/>
        <v>45995</v>
      </c>
      <c r="L4746" s="5">
        <f t="shared" si="1108"/>
        <v>12</v>
      </c>
      <c r="M4746" s="5">
        <f t="shared" si="1109"/>
        <v>2025</v>
      </c>
      <c r="N4746" s="156">
        <v>1687.5</v>
      </c>
      <c r="P4746" s="12"/>
      <c r="Q4746" s="7">
        <f t="shared" si="1110"/>
        <v>7841399.2500000093</v>
      </c>
      <c r="R4746" s="44" t="str">
        <f>VLOOKUP(F4746,'Set up'!$A$2:$E$70,5,FALSE)</f>
        <v>Cash</v>
      </c>
    </row>
    <row r="4747" spans="1:18" ht="16.2" customHeight="1" x14ac:dyDescent="0.3">
      <c r="A4747" s="150" t="s">
        <v>4402</v>
      </c>
      <c r="B4747" s="5">
        <f t="shared" si="1105"/>
        <v>12</v>
      </c>
      <c r="C4747" s="5">
        <f t="shared" si="1106"/>
        <v>2025</v>
      </c>
      <c r="D4747" s="150" t="s">
        <v>4362</v>
      </c>
      <c r="E4747" s="5" t="str">
        <f>VLOOKUP(F4747,'Set up'!$A$2:$C$70,2,FALSE)</f>
        <v>C00000049</v>
      </c>
      <c r="F4747" s="151" t="s">
        <v>2728</v>
      </c>
      <c r="G4747" s="151" t="s">
        <v>4046</v>
      </c>
      <c r="H4747" s="150">
        <v>1</v>
      </c>
      <c r="I4747" s="5" t="str">
        <f>VLOOKUP(F4747,'Set up'!$A$2:$C$70,3,FALSE)</f>
        <v>Cash</v>
      </c>
      <c r="J4747" s="5">
        <f>VLOOKUP(F4747,'Set up'!$A$2:$D$70,4,FALSE)</f>
        <v>0</v>
      </c>
      <c r="K4747" s="4">
        <f t="shared" si="1107"/>
        <v>45995</v>
      </c>
      <c r="L4747" s="5">
        <f t="shared" si="1108"/>
        <v>12</v>
      </c>
      <c r="M4747" s="5">
        <f t="shared" si="1109"/>
        <v>2025</v>
      </c>
      <c r="N4747" s="156">
        <v>216</v>
      </c>
      <c r="P4747" s="12"/>
      <c r="Q4747" s="7">
        <f t="shared" si="1110"/>
        <v>7841615.2500000093</v>
      </c>
      <c r="R4747" s="44" t="str">
        <f>VLOOKUP(F4747,'Set up'!$A$2:$E$70,5,FALSE)</f>
        <v>Cash</v>
      </c>
    </row>
    <row r="4748" spans="1:18" ht="16.2" customHeight="1" x14ac:dyDescent="0.3">
      <c r="A4748" s="150" t="s">
        <v>4402</v>
      </c>
      <c r="B4748" s="5">
        <f t="shared" si="1105"/>
        <v>12</v>
      </c>
      <c r="C4748" s="5">
        <f t="shared" si="1106"/>
        <v>2025</v>
      </c>
      <c r="D4748" s="150" t="s">
        <v>4363</v>
      </c>
      <c r="E4748" s="5" t="str">
        <f>VLOOKUP(F4748,'Set up'!$A$2:$C$70,2,FALSE)</f>
        <v>C00000042</v>
      </c>
      <c r="F4748" s="151" t="s">
        <v>2012</v>
      </c>
      <c r="G4748" s="151" t="s">
        <v>2646</v>
      </c>
      <c r="H4748" s="150">
        <v>3</v>
      </c>
      <c r="I4748" s="5" t="str">
        <f>VLOOKUP(F4748,'Set up'!$A$2:$C$70,3,FALSE)</f>
        <v>Cash</v>
      </c>
      <c r="J4748" s="5">
        <f>VLOOKUP(F4748,'Set up'!$A$2:$D$70,4,FALSE)</f>
        <v>0</v>
      </c>
      <c r="K4748" s="4">
        <f t="shared" si="1107"/>
        <v>45995</v>
      </c>
      <c r="L4748" s="5">
        <f t="shared" si="1108"/>
        <v>12</v>
      </c>
      <c r="M4748" s="5">
        <f t="shared" si="1109"/>
        <v>2025</v>
      </c>
      <c r="N4748" s="156">
        <v>187.5</v>
      </c>
      <c r="P4748" s="12"/>
      <c r="Q4748" s="7">
        <f t="shared" si="1110"/>
        <v>7841802.7500000093</v>
      </c>
      <c r="R4748" s="44" t="str">
        <f>VLOOKUP(F4748,'Set up'!$A$2:$E$70,5,FALSE)</f>
        <v>Trsf</v>
      </c>
    </row>
    <row r="4749" spans="1:18" ht="16.2" customHeight="1" x14ac:dyDescent="0.3">
      <c r="A4749" s="150" t="s">
        <v>4402</v>
      </c>
      <c r="B4749" s="5">
        <f t="shared" si="1105"/>
        <v>12</v>
      </c>
      <c r="C4749" s="5">
        <f t="shared" si="1106"/>
        <v>2025</v>
      </c>
      <c r="D4749" s="150" t="s">
        <v>4364</v>
      </c>
      <c r="E4749" s="5" t="str">
        <f>VLOOKUP(F4749,'Set up'!$A$2:$C$70,2,FALSE)</f>
        <v>C00000042</v>
      </c>
      <c r="F4749" s="151" t="s">
        <v>2012</v>
      </c>
      <c r="G4749" s="151" t="s">
        <v>3645</v>
      </c>
      <c r="H4749" s="150">
        <v>5</v>
      </c>
      <c r="I4749" s="5" t="str">
        <f>VLOOKUP(F4749,'Set up'!$A$2:$C$70,3,FALSE)</f>
        <v>Cash</v>
      </c>
      <c r="J4749" s="5">
        <f>VLOOKUP(F4749,'Set up'!$A$2:$D$70,4,FALSE)</f>
        <v>0</v>
      </c>
      <c r="K4749" s="4">
        <f t="shared" si="1107"/>
        <v>45995</v>
      </c>
      <c r="L4749" s="5">
        <f t="shared" si="1108"/>
        <v>12</v>
      </c>
      <c r="M4749" s="5">
        <f t="shared" si="1109"/>
        <v>2025</v>
      </c>
      <c r="N4749" s="156">
        <v>7762.5</v>
      </c>
      <c r="P4749" s="12"/>
      <c r="Q4749" s="7">
        <f t="shared" si="1110"/>
        <v>7849565.2500000093</v>
      </c>
      <c r="R4749" s="44" t="str">
        <f>VLOOKUP(F4749,'Set up'!$A$2:$E$70,5,FALSE)</f>
        <v>Trsf</v>
      </c>
    </row>
    <row r="4750" spans="1:18" ht="16.2" customHeight="1" x14ac:dyDescent="0.3">
      <c r="A4750" s="150" t="s">
        <v>4402</v>
      </c>
      <c r="B4750" s="5">
        <f t="shared" si="1105"/>
        <v>12</v>
      </c>
      <c r="C4750" s="5">
        <f t="shared" si="1106"/>
        <v>2025</v>
      </c>
      <c r="D4750" s="150" t="s">
        <v>4364</v>
      </c>
      <c r="E4750" s="5" t="str">
        <f>VLOOKUP(F4750,'Set up'!$A$2:$C$70,2,FALSE)</f>
        <v>C00000042</v>
      </c>
      <c r="F4750" s="151" t="s">
        <v>2012</v>
      </c>
      <c r="G4750" s="151" t="s">
        <v>1392</v>
      </c>
      <c r="H4750" s="150">
        <v>15</v>
      </c>
      <c r="I4750" s="5" t="str">
        <f>VLOOKUP(F4750,'Set up'!$A$2:$C$70,3,FALSE)</f>
        <v>Cash</v>
      </c>
      <c r="J4750" s="5">
        <f>VLOOKUP(F4750,'Set up'!$A$2:$D$70,4,FALSE)</f>
        <v>0</v>
      </c>
      <c r="K4750" s="4">
        <f t="shared" si="1107"/>
        <v>45995</v>
      </c>
      <c r="L4750" s="5">
        <f t="shared" si="1108"/>
        <v>12</v>
      </c>
      <c r="M4750" s="5">
        <f t="shared" si="1109"/>
        <v>2025</v>
      </c>
      <c r="N4750" s="156">
        <v>2655</v>
      </c>
      <c r="P4750" s="12"/>
      <c r="Q4750" s="7">
        <f t="shared" si="1110"/>
        <v>7852220.2500000093</v>
      </c>
      <c r="R4750" s="44" t="str">
        <f>VLOOKUP(F4750,'Set up'!$A$2:$E$70,5,FALSE)</f>
        <v>Trsf</v>
      </c>
    </row>
    <row r="4751" spans="1:18" ht="16.2" customHeight="1" x14ac:dyDescent="0.3">
      <c r="A4751" s="150" t="s">
        <v>4402</v>
      </c>
      <c r="B4751" s="5">
        <f t="shared" si="1105"/>
        <v>12</v>
      </c>
      <c r="C4751" s="5">
        <f t="shared" si="1106"/>
        <v>2025</v>
      </c>
      <c r="D4751" s="150" t="s">
        <v>4364</v>
      </c>
      <c r="E4751" s="5" t="str">
        <f>VLOOKUP(F4751,'Set up'!$A$2:$C$70,2,FALSE)</f>
        <v>C00000042</v>
      </c>
      <c r="F4751" s="151" t="s">
        <v>2012</v>
      </c>
      <c r="G4751" s="151" t="s">
        <v>1922</v>
      </c>
      <c r="H4751" s="150">
        <v>7</v>
      </c>
      <c r="I4751" s="5" t="str">
        <f>VLOOKUP(F4751,'Set up'!$A$2:$C$70,3,FALSE)</f>
        <v>Cash</v>
      </c>
      <c r="J4751" s="5">
        <f>VLOOKUP(F4751,'Set up'!$A$2:$D$70,4,FALSE)</f>
        <v>0</v>
      </c>
      <c r="K4751" s="4">
        <f t="shared" si="1107"/>
        <v>45995</v>
      </c>
      <c r="L4751" s="5">
        <f t="shared" si="1108"/>
        <v>12</v>
      </c>
      <c r="M4751" s="5">
        <f t="shared" si="1109"/>
        <v>2025</v>
      </c>
      <c r="N4751" s="156">
        <v>1606.5</v>
      </c>
      <c r="P4751" s="12"/>
      <c r="Q4751" s="7">
        <f t="shared" si="1110"/>
        <v>7853826.7500000093</v>
      </c>
      <c r="R4751" s="44" t="str">
        <f>VLOOKUP(F4751,'Set up'!$A$2:$E$70,5,FALSE)</f>
        <v>Trsf</v>
      </c>
    </row>
    <row r="4752" spans="1:18" ht="16.2" customHeight="1" x14ac:dyDescent="0.3">
      <c r="A4752" s="150" t="s">
        <v>4402</v>
      </c>
      <c r="B4752" s="5">
        <f t="shared" si="1105"/>
        <v>12</v>
      </c>
      <c r="C4752" s="5">
        <f t="shared" si="1106"/>
        <v>2025</v>
      </c>
      <c r="D4752" s="150" t="s">
        <v>4364</v>
      </c>
      <c r="E4752" s="5" t="str">
        <f>VLOOKUP(F4752,'Set up'!$A$2:$C$70,2,FALSE)</f>
        <v>C00000042</v>
      </c>
      <c r="F4752" s="151" t="s">
        <v>2012</v>
      </c>
      <c r="G4752" s="151" t="s">
        <v>46</v>
      </c>
      <c r="H4752" s="150">
        <v>4</v>
      </c>
      <c r="I4752" s="5" t="str">
        <f>VLOOKUP(F4752,'Set up'!$A$2:$C$70,3,FALSE)</f>
        <v>Cash</v>
      </c>
      <c r="J4752" s="5">
        <f>VLOOKUP(F4752,'Set up'!$A$2:$D$70,4,FALSE)</f>
        <v>0</v>
      </c>
      <c r="K4752" s="4">
        <f t="shared" si="1107"/>
        <v>45995</v>
      </c>
      <c r="L4752" s="5">
        <f t="shared" si="1108"/>
        <v>12</v>
      </c>
      <c r="M4752" s="5">
        <f t="shared" si="1109"/>
        <v>2025</v>
      </c>
      <c r="N4752" s="156">
        <v>460</v>
      </c>
      <c r="P4752" s="12"/>
      <c r="Q4752" s="7">
        <f t="shared" si="1110"/>
        <v>7854286.7500000093</v>
      </c>
      <c r="R4752" s="44" t="str">
        <f>VLOOKUP(F4752,'Set up'!$A$2:$E$70,5,FALSE)</f>
        <v>Trsf</v>
      </c>
    </row>
    <row r="4753" spans="1:18" ht="16.2" customHeight="1" x14ac:dyDescent="0.3">
      <c r="A4753" s="150" t="s">
        <v>4402</v>
      </c>
      <c r="B4753" s="5">
        <f t="shared" si="1105"/>
        <v>12</v>
      </c>
      <c r="C4753" s="5">
        <f t="shared" si="1106"/>
        <v>2025</v>
      </c>
      <c r="D4753" s="150" t="s">
        <v>4364</v>
      </c>
      <c r="E4753" s="5" t="str">
        <f>VLOOKUP(F4753,'Set up'!$A$2:$C$70,2,FALSE)</f>
        <v>C00000042</v>
      </c>
      <c r="F4753" s="151" t="s">
        <v>2012</v>
      </c>
      <c r="G4753" s="151" t="s">
        <v>1073</v>
      </c>
      <c r="H4753" s="150">
        <v>1</v>
      </c>
      <c r="I4753" s="5" t="str">
        <f>VLOOKUP(F4753,'Set up'!$A$2:$C$70,3,FALSE)</f>
        <v>Cash</v>
      </c>
      <c r="J4753" s="5">
        <f>VLOOKUP(F4753,'Set up'!$A$2:$D$70,4,FALSE)</f>
        <v>0</v>
      </c>
      <c r="K4753" s="4">
        <f t="shared" si="1107"/>
        <v>45995</v>
      </c>
      <c r="L4753" s="5">
        <f t="shared" si="1108"/>
        <v>12</v>
      </c>
      <c r="M4753" s="5">
        <f t="shared" si="1109"/>
        <v>2025</v>
      </c>
      <c r="N4753" s="156">
        <v>1050</v>
      </c>
      <c r="P4753" s="12"/>
      <c r="Q4753" s="7">
        <f t="shared" si="1110"/>
        <v>7855336.7500000093</v>
      </c>
      <c r="R4753" s="44" t="str">
        <f>VLOOKUP(F4753,'Set up'!$A$2:$E$70,5,FALSE)</f>
        <v>Trsf</v>
      </c>
    </row>
    <row r="4754" spans="1:18" ht="16.2" customHeight="1" x14ac:dyDescent="0.3">
      <c r="A4754" s="150" t="s">
        <v>4403</v>
      </c>
      <c r="B4754" s="5">
        <f t="shared" si="1105"/>
        <v>12</v>
      </c>
      <c r="C4754" s="5">
        <f t="shared" si="1106"/>
        <v>2025</v>
      </c>
      <c r="D4754" s="150" t="s">
        <v>4365</v>
      </c>
      <c r="E4754" s="5" t="str">
        <f>VLOOKUP(F4754,'Set up'!$A$2:$C$70,2,FALSE)</f>
        <v>C00000045</v>
      </c>
      <c r="F4754" s="151" t="s">
        <v>2271</v>
      </c>
      <c r="G4754" s="151" t="s">
        <v>3645</v>
      </c>
      <c r="H4754" s="150">
        <v>1</v>
      </c>
      <c r="I4754" s="5" t="str">
        <f>VLOOKUP(F4754,'Set up'!$A$2:$C$70,3,FALSE)</f>
        <v>Cash</v>
      </c>
      <c r="J4754" s="5">
        <f>VLOOKUP(F4754,'Set up'!$A$2:$D$70,4,FALSE)</f>
        <v>0</v>
      </c>
      <c r="K4754" s="4">
        <f t="shared" si="1107"/>
        <v>45996</v>
      </c>
      <c r="L4754" s="5">
        <f t="shared" si="1108"/>
        <v>12</v>
      </c>
      <c r="M4754" s="5">
        <f t="shared" si="1109"/>
        <v>2025</v>
      </c>
      <c r="N4754" s="156">
        <v>1552.5</v>
      </c>
      <c r="P4754" s="12"/>
      <c r="Q4754" s="7">
        <f t="shared" si="1110"/>
        <v>7856889.2500000093</v>
      </c>
      <c r="R4754" s="44" t="str">
        <f>VLOOKUP(F4754,'Set up'!$A$2:$E$70,5,FALSE)</f>
        <v>Trsf</v>
      </c>
    </row>
    <row r="4755" spans="1:18" ht="16.2" customHeight="1" x14ac:dyDescent="0.3">
      <c r="A4755" s="150" t="s">
        <v>4403</v>
      </c>
      <c r="B4755" s="5">
        <f t="shared" si="1105"/>
        <v>12</v>
      </c>
      <c r="C4755" s="5">
        <f t="shared" si="1106"/>
        <v>2025</v>
      </c>
      <c r="D4755" s="150" t="s">
        <v>4365</v>
      </c>
      <c r="E4755" s="5" t="str">
        <f>VLOOKUP(F4755,'Set up'!$A$2:$C$70,2,FALSE)</f>
        <v>C00000045</v>
      </c>
      <c r="F4755" s="151" t="s">
        <v>2271</v>
      </c>
      <c r="G4755" s="151" t="s">
        <v>1543</v>
      </c>
      <c r="H4755" s="150">
        <v>4</v>
      </c>
      <c r="I4755" s="5" t="str">
        <f>VLOOKUP(F4755,'Set up'!$A$2:$C$70,3,FALSE)</f>
        <v>Cash</v>
      </c>
      <c r="J4755" s="5">
        <f>VLOOKUP(F4755,'Set up'!$A$2:$D$70,4,FALSE)</f>
        <v>0</v>
      </c>
      <c r="K4755" s="4">
        <f t="shared" si="1107"/>
        <v>45996</v>
      </c>
      <c r="L4755" s="5">
        <f t="shared" si="1108"/>
        <v>12</v>
      </c>
      <c r="M4755" s="5">
        <f t="shared" si="1109"/>
        <v>2025</v>
      </c>
      <c r="N4755" s="156">
        <v>708</v>
      </c>
      <c r="P4755" s="12"/>
      <c r="Q4755" s="7">
        <f t="shared" si="1110"/>
        <v>7857597.2500000093</v>
      </c>
      <c r="R4755" s="44" t="str">
        <f>VLOOKUP(F4755,'Set up'!$A$2:$E$70,5,FALSE)</f>
        <v>Trsf</v>
      </c>
    </row>
    <row r="4756" spans="1:18" ht="16.2" customHeight="1" x14ac:dyDescent="0.3">
      <c r="A4756" s="150" t="s">
        <v>4403</v>
      </c>
      <c r="B4756" s="5">
        <f t="shared" si="1105"/>
        <v>12</v>
      </c>
      <c r="C4756" s="5">
        <f t="shared" si="1106"/>
        <v>2025</v>
      </c>
      <c r="D4756" s="150" t="s">
        <v>4366</v>
      </c>
      <c r="E4756" s="5" t="e">
        <f>VLOOKUP(F4756,'Set up'!$A$2:$C$70,2,FALSE)</f>
        <v>#N/A</v>
      </c>
      <c r="F4756" s="151" t="s">
        <v>4130</v>
      </c>
      <c r="G4756" s="151" t="s">
        <v>3122</v>
      </c>
      <c r="H4756" s="150">
        <v>1</v>
      </c>
      <c r="I4756" s="5" t="e">
        <f>VLOOKUP(F4756,'Set up'!$A$2:$C$70,3,FALSE)</f>
        <v>#N/A</v>
      </c>
      <c r="J4756" s="5" t="e">
        <f>VLOOKUP(F4756,'Set up'!$A$2:$D$70,4,FALSE)</f>
        <v>#N/A</v>
      </c>
      <c r="K4756" s="4" t="e">
        <f t="shared" si="1107"/>
        <v>#N/A</v>
      </c>
      <c r="L4756" s="5" t="e">
        <f t="shared" si="1108"/>
        <v>#N/A</v>
      </c>
      <c r="M4756" s="5" t="e">
        <f t="shared" si="1109"/>
        <v>#N/A</v>
      </c>
      <c r="N4756" s="156">
        <v>1687.5</v>
      </c>
      <c r="P4756" s="12"/>
      <c r="Q4756" s="7">
        <f t="shared" si="1110"/>
        <v>7859284.7500000093</v>
      </c>
      <c r="R4756" s="44" t="e">
        <f>VLOOKUP(F4756,'Set up'!$A$2:$E$70,5,FALSE)</f>
        <v>#N/A</v>
      </c>
    </row>
    <row r="4757" spans="1:18" ht="16.2" customHeight="1" x14ac:dyDescent="0.3">
      <c r="A4757" s="150" t="s">
        <v>4403</v>
      </c>
      <c r="B4757" s="5">
        <f t="shared" si="1105"/>
        <v>12</v>
      </c>
      <c r="C4757" s="5">
        <f t="shared" si="1106"/>
        <v>2025</v>
      </c>
      <c r="D4757" s="150" t="s">
        <v>4366</v>
      </c>
      <c r="E4757" s="5" t="e">
        <f>VLOOKUP(F4757,'Set up'!$A$2:$C$70,2,FALSE)</f>
        <v>#N/A</v>
      </c>
      <c r="F4757" s="151" t="s">
        <v>4130</v>
      </c>
      <c r="G4757" s="151" t="s">
        <v>707</v>
      </c>
      <c r="H4757" s="150">
        <v>1</v>
      </c>
      <c r="I4757" s="5" t="e">
        <f>VLOOKUP(F4757,'Set up'!$A$2:$C$70,3,FALSE)</f>
        <v>#N/A</v>
      </c>
      <c r="J4757" s="5" t="e">
        <f>VLOOKUP(F4757,'Set up'!$A$2:$D$70,4,FALSE)</f>
        <v>#N/A</v>
      </c>
      <c r="K4757" s="4" t="e">
        <f t="shared" si="1107"/>
        <v>#N/A</v>
      </c>
      <c r="L4757" s="5" t="e">
        <f t="shared" si="1108"/>
        <v>#N/A</v>
      </c>
      <c r="M4757" s="5" t="e">
        <f t="shared" si="1109"/>
        <v>#N/A</v>
      </c>
      <c r="N4757" s="156">
        <v>394.2</v>
      </c>
      <c r="P4757" s="12"/>
      <c r="Q4757" s="7">
        <f t="shared" si="1110"/>
        <v>7859678.9500000095</v>
      </c>
      <c r="R4757" s="44" t="e">
        <f>VLOOKUP(F4757,'Set up'!$A$2:$E$70,5,FALSE)</f>
        <v>#N/A</v>
      </c>
    </row>
    <row r="4758" spans="1:18" ht="16.2" customHeight="1" x14ac:dyDescent="0.3">
      <c r="A4758" s="150" t="s">
        <v>4403</v>
      </c>
      <c r="B4758" s="5">
        <f t="shared" si="1105"/>
        <v>12</v>
      </c>
      <c r="C4758" s="5">
        <f t="shared" si="1106"/>
        <v>2025</v>
      </c>
      <c r="D4758" s="150" t="s">
        <v>4366</v>
      </c>
      <c r="E4758" s="5" t="e">
        <f>VLOOKUP(F4758,'Set up'!$A$2:$C$70,2,FALSE)</f>
        <v>#N/A</v>
      </c>
      <c r="F4758" s="151" t="s">
        <v>4130</v>
      </c>
      <c r="G4758" s="151" t="s">
        <v>2556</v>
      </c>
      <c r="H4758" s="150">
        <v>1</v>
      </c>
      <c r="I4758" s="5" t="e">
        <f>VLOOKUP(F4758,'Set up'!$A$2:$C$70,3,FALSE)</f>
        <v>#N/A</v>
      </c>
      <c r="J4758" s="5" t="e">
        <f>VLOOKUP(F4758,'Set up'!$A$2:$D$70,4,FALSE)</f>
        <v>#N/A</v>
      </c>
      <c r="K4758" s="4" t="e">
        <f t="shared" si="1107"/>
        <v>#N/A</v>
      </c>
      <c r="L4758" s="5" t="e">
        <f t="shared" si="1108"/>
        <v>#N/A</v>
      </c>
      <c r="M4758" s="5" t="e">
        <f t="shared" si="1109"/>
        <v>#N/A</v>
      </c>
      <c r="N4758" s="156">
        <v>394.2</v>
      </c>
      <c r="P4758" s="12"/>
      <c r="Q4758" s="7">
        <f t="shared" si="1110"/>
        <v>7860073.1500000097</v>
      </c>
      <c r="R4758" s="44" t="e">
        <f>VLOOKUP(F4758,'Set up'!$A$2:$E$70,5,FALSE)</f>
        <v>#N/A</v>
      </c>
    </row>
    <row r="4759" spans="1:18" ht="16.2" customHeight="1" x14ac:dyDescent="0.3">
      <c r="A4759" s="150" t="s">
        <v>4403</v>
      </c>
      <c r="B4759" s="5">
        <f t="shared" si="1105"/>
        <v>12</v>
      </c>
      <c r="C4759" s="5">
        <f t="shared" si="1106"/>
        <v>2025</v>
      </c>
      <c r="D4759" s="150" t="s">
        <v>4366</v>
      </c>
      <c r="E4759" s="5" t="e">
        <f>VLOOKUP(F4759,'Set up'!$A$2:$C$70,2,FALSE)</f>
        <v>#N/A</v>
      </c>
      <c r="F4759" s="151" t="s">
        <v>4130</v>
      </c>
      <c r="G4759" s="151" t="s">
        <v>2144</v>
      </c>
      <c r="H4759" s="150">
        <v>1</v>
      </c>
      <c r="I4759" s="5" t="e">
        <f>VLOOKUP(F4759,'Set up'!$A$2:$C$70,3,FALSE)</f>
        <v>#N/A</v>
      </c>
      <c r="J4759" s="5" t="e">
        <f>VLOOKUP(F4759,'Set up'!$A$2:$D$70,4,FALSE)</f>
        <v>#N/A</v>
      </c>
      <c r="K4759" s="4" t="e">
        <f t="shared" si="1107"/>
        <v>#N/A</v>
      </c>
      <c r="L4759" s="5" t="e">
        <f t="shared" si="1108"/>
        <v>#N/A</v>
      </c>
      <c r="M4759" s="5" t="e">
        <f t="shared" si="1109"/>
        <v>#N/A</v>
      </c>
      <c r="N4759" s="156">
        <v>286</v>
      </c>
      <c r="P4759" s="12"/>
      <c r="Q4759" s="7">
        <f t="shared" si="1110"/>
        <v>7860359.1500000097</v>
      </c>
      <c r="R4759" s="44" t="e">
        <f>VLOOKUP(F4759,'Set up'!$A$2:$E$70,5,FALSE)</f>
        <v>#N/A</v>
      </c>
    </row>
    <row r="4760" spans="1:18" ht="16.2" customHeight="1" x14ac:dyDescent="0.3">
      <c r="A4760" s="150" t="s">
        <v>4403</v>
      </c>
      <c r="B4760" s="5">
        <f t="shared" si="1105"/>
        <v>12</v>
      </c>
      <c r="C4760" s="5">
        <f t="shared" si="1106"/>
        <v>2025</v>
      </c>
      <c r="D4760" s="150" t="s">
        <v>4366</v>
      </c>
      <c r="E4760" s="5" t="e">
        <f>VLOOKUP(F4760,'Set up'!$A$2:$C$70,2,FALSE)</f>
        <v>#N/A</v>
      </c>
      <c r="F4760" s="151" t="s">
        <v>4130</v>
      </c>
      <c r="G4760" s="151" t="s">
        <v>4204</v>
      </c>
      <c r="H4760" s="150">
        <v>2</v>
      </c>
      <c r="I4760" s="5" t="e">
        <f>VLOOKUP(F4760,'Set up'!$A$2:$C$70,3,FALSE)</f>
        <v>#N/A</v>
      </c>
      <c r="J4760" s="5" t="e">
        <f>VLOOKUP(F4760,'Set up'!$A$2:$D$70,4,FALSE)</f>
        <v>#N/A</v>
      </c>
      <c r="K4760" s="4" t="e">
        <f t="shared" si="1107"/>
        <v>#N/A</v>
      </c>
      <c r="L4760" s="5" t="e">
        <f t="shared" si="1108"/>
        <v>#N/A</v>
      </c>
      <c r="M4760" s="5" t="e">
        <f t="shared" si="1109"/>
        <v>#N/A</v>
      </c>
      <c r="N4760" s="156">
        <v>320</v>
      </c>
      <c r="P4760" s="12"/>
      <c r="Q4760" s="7">
        <f t="shared" si="1110"/>
        <v>7860679.1500000097</v>
      </c>
      <c r="R4760" s="44" t="e">
        <f>VLOOKUP(F4760,'Set up'!$A$2:$E$70,5,FALSE)</f>
        <v>#N/A</v>
      </c>
    </row>
    <row r="4761" spans="1:18" ht="16.2" customHeight="1" x14ac:dyDescent="0.3">
      <c r="A4761" s="150" t="s">
        <v>4404</v>
      </c>
      <c r="B4761" s="5">
        <f t="shared" si="1105"/>
        <v>12</v>
      </c>
      <c r="C4761" s="5">
        <f t="shared" si="1106"/>
        <v>2025</v>
      </c>
      <c r="D4761" s="150" t="s">
        <v>4367</v>
      </c>
      <c r="E4761" s="5" t="str">
        <f>VLOOKUP(F4761,'Set up'!$A$2:$C$70,2,FALSE)</f>
        <v>C00000061</v>
      </c>
      <c r="F4761" s="151" t="s">
        <v>3532</v>
      </c>
      <c r="G4761" s="151" t="s">
        <v>3122</v>
      </c>
      <c r="H4761" s="150">
        <v>5</v>
      </c>
      <c r="I4761" s="5" t="str">
        <f>VLOOKUP(F4761,'Set up'!$A$2:$C$70,3,FALSE)</f>
        <v>Cash</v>
      </c>
      <c r="J4761" s="5">
        <f>VLOOKUP(F4761,'Set up'!$A$2:$D$70,4,FALSE)</f>
        <v>0</v>
      </c>
      <c r="K4761" s="4">
        <f t="shared" si="1107"/>
        <v>45997</v>
      </c>
      <c r="L4761" s="5">
        <f t="shared" si="1108"/>
        <v>12</v>
      </c>
      <c r="M4761" s="5">
        <f t="shared" si="1109"/>
        <v>2025</v>
      </c>
      <c r="N4761" s="156">
        <v>7762.5</v>
      </c>
      <c r="P4761" s="12"/>
      <c r="Q4761" s="7">
        <f t="shared" si="1110"/>
        <v>7868441.6500000097</v>
      </c>
      <c r="R4761" s="44" t="str">
        <f>VLOOKUP(F4761,'Set up'!$A$2:$E$70,5,FALSE)</f>
        <v>Cash</v>
      </c>
    </row>
    <row r="4762" spans="1:18" ht="16.2" customHeight="1" x14ac:dyDescent="0.3">
      <c r="A4762" s="150" t="s">
        <v>4404</v>
      </c>
      <c r="B4762" s="5">
        <f t="shared" si="1105"/>
        <v>12</v>
      </c>
      <c r="C4762" s="5">
        <f t="shared" si="1106"/>
        <v>2025</v>
      </c>
      <c r="D4762" s="150" t="s">
        <v>4367</v>
      </c>
      <c r="E4762" s="5" t="str">
        <f>VLOOKUP(F4762,'Set up'!$A$2:$C$70,2,FALSE)</f>
        <v>C00000061</v>
      </c>
      <c r="F4762" s="151" t="s">
        <v>3532</v>
      </c>
      <c r="G4762" s="151" t="s">
        <v>2141</v>
      </c>
      <c r="H4762" s="150">
        <v>2</v>
      </c>
      <c r="I4762" s="5" t="str">
        <f>VLOOKUP(F4762,'Set up'!$A$2:$C$70,3,FALSE)</f>
        <v>Cash</v>
      </c>
      <c r="J4762" s="5">
        <f>VLOOKUP(F4762,'Set up'!$A$2:$D$70,4,FALSE)</f>
        <v>0</v>
      </c>
      <c r="K4762" s="4">
        <f t="shared" si="1107"/>
        <v>45997</v>
      </c>
      <c r="L4762" s="5">
        <f t="shared" si="1108"/>
        <v>12</v>
      </c>
      <c r="M4762" s="5">
        <f t="shared" si="1109"/>
        <v>2025</v>
      </c>
      <c r="N4762" s="156">
        <v>658.8</v>
      </c>
      <c r="P4762" s="12"/>
      <c r="Q4762" s="7">
        <f t="shared" si="1110"/>
        <v>7869100.4500000095</v>
      </c>
      <c r="R4762" s="44" t="str">
        <f>VLOOKUP(F4762,'Set up'!$A$2:$E$70,5,FALSE)</f>
        <v>Cash</v>
      </c>
    </row>
    <row r="4763" spans="1:18" ht="16.2" customHeight="1" x14ac:dyDescent="0.3">
      <c r="A4763" s="150" t="s">
        <v>4404</v>
      </c>
      <c r="B4763" s="5">
        <f t="shared" si="1105"/>
        <v>12</v>
      </c>
      <c r="C4763" s="5">
        <f t="shared" si="1106"/>
        <v>2025</v>
      </c>
      <c r="D4763" s="150" t="s">
        <v>4367</v>
      </c>
      <c r="E4763" s="5" t="str">
        <f>VLOOKUP(F4763,'Set up'!$A$2:$C$70,2,FALSE)</f>
        <v>C00000061</v>
      </c>
      <c r="F4763" s="151" t="s">
        <v>3532</v>
      </c>
      <c r="G4763" s="151" t="s">
        <v>945</v>
      </c>
      <c r="H4763" s="150">
        <v>3</v>
      </c>
      <c r="I4763" s="5" t="str">
        <f>VLOOKUP(F4763,'Set up'!$A$2:$C$70,3,FALSE)</f>
        <v>Cash</v>
      </c>
      <c r="J4763" s="5">
        <f>VLOOKUP(F4763,'Set up'!$A$2:$D$70,4,FALSE)</f>
        <v>0</v>
      </c>
      <c r="K4763" s="4">
        <f t="shared" si="1107"/>
        <v>45997</v>
      </c>
      <c r="L4763" s="5">
        <f t="shared" si="1108"/>
        <v>12</v>
      </c>
      <c r="M4763" s="5">
        <f t="shared" si="1109"/>
        <v>2025</v>
      </c>
      <c r="N4763" s="156">
        <v>345</v>
      </c>
      <c r="P4763" s="12"/>
      <c r="Q4763" s="7">
        <f t="shared" si="1110"/>
        <v>7869445.4500000095</v>
      </c>
      <c r="R4763" s="44" t="str">
        <f>VLOOKUP(F4763,'Set up'!$A$2:$E$70,5,FALSE)</f>
        <v>Cash</v>
      </c>
    </row>
    <row r="4764" spans="1:18" ht="16.2" customHeight="1" x14ac:dyDescent="0.3">
      <c r="A4764" s="150" t="s">
        <v>4404</v>
      </c>
      <c r="B4764" s="5">
        <f t="shared" si="1105"/>
        <v>12</v>
      </c>
      <c r="C4764" s="5">
        <f t="shared" si="1106"/>
        <v>2025</v>
      </c>
      <c r="D4764" s="150" t="s">
        <v>4367</v>
      </c>
      <c r="E4764" s="5" t="str">
        <f>VLOOKUP(F4764,'Set up'!$A$2:$C$70,2,FALSE)</f>
        <v>C00000061</v>
      </c>
      <c r="F4764" s="151" t="s">
        <v>3532</v>
      </c>
      <c r="G4764" s="151" t="s">
        <v>2635</v>
      </c>
      <c r="H4764" s="150">
        <v>10</v>
      </c>
      <c r="I4764" s="5" t="str">
        <f>VLOOKUP(F4764,'Set up'!$A$2:$C$70,3,FALSE)</f>
        <v>Cash</v>
      </c>
      <c r="J4764" s="5">
        <f>VLOOKUP(F4764,'Set up'!$A$2:$D$70,4,FALSE)</f>
        <v>0</v>
      </c>
      <c r="K4764" s="4">
        <f t="shared" si="1107"/>
        <v>45997</v>
      </c>
      <c r="L4764" s="5">
        <f t="shared" si="1108"/>
        <v>12</v>
      </c>
      <c r="M4764" s="5">
        <f t="shared" si="1109"/>
        <v>2025</v>
      </c>
      <c r="N4764" s="156">
        <v>525</v>
      </c>
      <c r="P4764" s="12"/>
      <c r="Q4764" s="7">
        <f t="shared" si="1110"/>
        <v>7869970.4500000095</v>
      </c>
      <c r="R4764" s="44" t="str">
        <f>VLOOKUP(F4764,'Set up'!$A$2:$E$70,5,FALSE)</f>
        <v>Cash</v>
      </c>
    </row>
    <row r="4765" spans="1:18" ht="16.2" customHeight="1" x14ac:dyDescent="0.3">
      <c r="A4765" s="150" t="s">
        <v>4404</v>
      </c>
      <c r="B4765" s="5">
        <f t="shared" si="1105"/>
        <v>12</v>
      </c>
      <c r="C4765" s="5">
        <f t="shared" si="1106"/>
        <v>2025</v>
      </c>
      <c r="D4765" s="150" t="s">
        <v>4368</v>
      </c>
      <c r="E4765" s="5" t="str">
        <f>VLOOKUP(F4765,'Set up'!$A$2:$C$70,2,FALSE)</f>
        <v>C00000046</v>
      </c>
      <c r="F4765" s="151" t="s">
        <v>2284</v>
      </c>
      <c r="G4765" s="151" t="s">
        <v>3122</v>
      </c>
      <c r="H4765" s="150">
        <v>1</v>
      </c>
      <c r="I4765" s="5" t="str">
        <f>VLOOKUP(F4765,'Set up'!$A$2:$C$70,3,FALSE)</f>
        <v>Cash</v>
      </c>
      <c r="J4765" s="5">
        <f>VLOOKUP(F4765,'Set up'!$A$2:$D$70,4,FALSE)</f>
        <v>0</v>
      </c>
      <c r="K4765" s="4">
        <f t="shared" si="1107"/>
        <v>45997</v>
      </c>
      <c r="L4765" s="5">
        <f t="shared" si="1108"/>
        <v>12</v>
      </c>
      <c r="M4765" s="5">
        <f t="shared" si="1109"/>
        <v>2025</v>
      </c>
      <c r="N4765" s="156">
        <v>1687.5</v>
      </c>
      <c r="P4765" s="12"/>
      <c r="Q4765" s="7">
        <f t="shared" si="1110"/>
        <v>7871657.9500000095</v>
      </c>
      <c r="R4765" s="44" t="str">
        <f>VLOOKUP(F4765,'Set up'!$A$2:$E$70,5,FALSE)</f>
        <v>Cash</v>
      </c>
    </row>
    <row r="4766" spans="1:18" ht="16.2" customHeight="1" x14ac:dyDescent="0.3">
      <c r="A4766" s="150" t="s">
        <v>4404</v>
      </c>
      <c r="B4766" s="5">
        <f t="shared" si="1105"/>
        <v>12</v>
      </c>
      <c r="C4766" s="5">
        <f t="shared" si="1106"/>
        <v>2025</v>
      </c>
      <c r="D4766" s="150" t="s">
        <v>4368</v>
      </c>
      <c r="E4766" s="5" t="str">
        <f>VLOOKUP(F4766,'Set up'!$A$2:$C$70,2,FALSE)</f>
        <v>C00000046</v>
      </c>
      <c r="F4766" s="151" t="s">
        <v>2284</v>
      </c>
      <c r="G4766" s="151" t="s">
        <v>1543</v>
      </c>
      <c r="H4766" s="150">
        <v>2</v>
      </c>
      <c r="I4766" s="5" t="str">
        <f>VLOOKUP(F4766,'Set up'!$A$2:$C$70,3,FALSE)</f>
        <v>Cash</v>
      </c>
      <c r="J4766" s="5">
        <f>VLOOKUP(F4766,'Set up'!$A$2:$D$70,4,FALSE)</f>
        <v>0</v>
      </c>
      <c r="K4766" s="4">
        <f t="shared" si="1107"/>
        <v>45997</v>
      </c>
      <c r="L4766" s="5">
        <f t="shared" si="1108"/>
        <v>12</v>
      </c>
      <c r="M4766" s="5">
        <f t="shared" si="1109"/>
        <v>2025</v>
      </c>
      <c r="N4766" s="156">
        <v>432</v>
      </c>
      <c r="P4766" s="12"/>
      <c r="Q4766" s="7">
        <f t="shared" si="1110"/>
        <v>7872089.9500000095</v>
      </c>
      <c r="R4766" s="44" t="str">
        <f>VLOOKUP(F4766,'Set up'!$A$2:$E$70,5,FALSE)</f>
        <v>Cash</v>
      </c>
    </row>
    <row r="4767" spans="1:18" ht="16.2" customHeight="1" x14ac:dyDescent="0.3">
      <c r="A4767" s="150" t="s">
        <v>4404</v>
      </c>
      <c r="B4767" s="5">
        <f t="shared" si="1105"/>
        <v>12</v>
      </c>
      <c r="C4767" s="5">
        <f t="shared" si="1106"/>
        <v>2025</v>
      </c>
      <c r="D4767" s="150" t="s">
        <v>4368</v>
      </c>
      <c r="E4767" s="5" t="str">
        <f>VLOOKUP(F4767,'Set up'!$A$2:$C$70,2,FALSE)</f>
        <v>C00000046</v>
      </c>
      <c r="F4767" s="151" t="s">
        <v>2284</v>
      </c>
      <c r="G4767" s="151" t="s">
        <v>945</v>
      </c>
      <c r="H4767" s="150">
        <v>1</v>
      </c>
      <c r="I4767" s="5" t="str">
        <f>VLOOKUP(F4767,'Set up'!$A$2:$C$70,3,FALSE)</f>
        <v>Cash</v>
      </c>
      <c r="J4767" s="5">
        <f>VLOOKUP(F4767,'Set up'!$A$2:$D$70,4,FALSE)</f>
        <v>0</v>
      </c>
      <c r="K4767" s="4">
        <f t="shared" si="1107"/>
        <v>45997</v>
      </c>
      <c r="L4767" s="5">
        <f t="shared" si="1108"/>
        <v>12</v>
      </c>
      <c r="M4767" s="5">
        <f t="shared" si="1109"/>
        <v>2025</v>
      </c>
      <c r="N4767" s="156">
        <v>120</v>
      </c>
      <c r="P4767" s="12"/>
      <c r="Q4767" s="7">
        <f t="shared" si="1110"/>
        <v>7872209.9500000095</v>
      </c>
      <c r="R4767" s="44" t="str">
        <f>VLOOKUP(F4767,'Set up'!$A$2:$E$70,5,FALSE)</f>
        <v>Cash</v>
      </c>
    </row>
    <row r="4768" spans="1:18" ht="16.2" customHeight="1" x14ac:dyDescent="0.3">
      <c r="A4768" s="150" t="s">
        <v>4404</v>
      </c>
      <c r="B4768" s="5">
        <f t="shared" si="1105"/>
        <v>12</v>
      </c>
      <c r="C4768" s="5">
        <f t="shared" si="1106"/>
        <v>2025</v>
      </c>
      <c r="D4768" s="150" t="s">
        <v>4368</v>
      </c>
      <c r="E4768" s="5" t="str">
        <f>VLOOKUP(F4768,'Set up'!$A$2:$C$70,2,FALSE)</f>
        <v>C00000046</v>
      </c>
      <c r="F4768" s="151" t="s">
        <v>2284</v>
      </c>
      <c r="G4768" s="151" t="s">
        <v>3122</v>
      </c>
      <c r="H4768" s="150">
        <v>1</v>
      </c>
      <c r="I4768" s="5" t="str">
        <f>VLOOKUP(F4768,'Set up'!$A$2:$C$70,3,FALSE)</f>
        <v>Cash</v>
      </c>
      <c r="J4768" s="5">
        <f>VLOOKUP(F4768,'Set up'!$A$2:$D$70,4,FALSE)</f>
        <v>0</v>
      </c>
      <c r="K4768" s="4">
        <f t="shared" si="1107"/>
        <v>45997</v>
      </c>
      <c r="L4768" s="5">
        <f t="shared" si="1108"/>
        <v>12</v>
      </c>
      <c r="M4768" s="5">
        <f t="shared" si="1109"/>
        <v>2025</v>
      </c>
      <c r="N4768" s="156">
        <v>1800</v>
      </c>
      <c r="P4768" s="12"/>
      <c r="Q4768" s="7">
        <f t="shared" si="1110"/>
        <v>7874009.9500000095</v>
      </c>
      <c r="R4768" s="44" t="str">
        <f>VLOOKUP(F4768,'Set up'!$A$2:$E$70,5,FALSE)</f>
        <v>Cash</v>
      </c>
    </row>
    <row r="4769" spans="1:18" ht="16.2" customHeight="1" x14ac:dyDescent="0.3">
      <c r="A4769" s="150" t="s">
        <v>4404</v>
      </c>
      <c r="B4769" s="5">
        <f t="shared" si="1105"/>
        <v>12</v>
      </c>
      <c r="C4769" s="5">
        <f t="shared" si="1106"/>
        <v>2025</v>
      </c>
      <c r="D4769" s="150" t="s">
        <v>4368</v>
      </c>
      <c r="E4769" s="5" t="str">
        <f>VLOOKUP(F4769,'Set up'!$A$2:$C$70,2,FALSE)</f>
        <v>C00000046</v>
      </c>
      <c r="F4769" s="151" t="s">
        <v>2284</v>
      </c>
      <c r="G4769" s="151" t="s">
        <v>1543</v>
      </c>
      <c r="H4769" s="150">
        <v>2</v>
      </c>
      <c r="I4769" s="5" t="str">
        <f>VLOOKUP(F4769,'Set up'!$A$2:$C$70,3,FALSE)</f>
        <v>Cash</v>
      </c>
      <c r="J4769" s="5">
        <f>VLOOKUP(F4769,'Set up'!$A$2:$D$70,4,FALSE)</f>
        <v>0</v>
      </c>
      <c r="K4769" s="4">
        <f t="shared" si="1107"/>
        <v>45997</v>
      </c>
      <c r="L4769" s="5">
        <f t="shared" si="1108"/>
        <v>12</v>
      </c>
      <c r="M4769" s="5">
        <f t="shared" si="1109"/>
        <v>2025</v>
      </c>
      <c r="N4769" s="156">
        <v>480</v>
      </c>
      <c r="P4769" s="12"/>
      <c r="Q4769" s="7">
        <f t="shared" si="1110"/>
        <v>7874489.9500000095</v>
      </c>
      <c r="R4769" s="44" t="str">
        <f>VLOOKUP(F4769,'Set up'!$A$2:$E$70,5,FALSE)</f>
        <v>Cash</v>
      </c>
    </row>
    <row r="4770" spans="1:18" ht="16.2" customHeight="1" x14ac:dyDescent="0.3">
      <c r="A4770" s="150" t="s">
        <v>4404</v>
      </c>
      <c r="B4770" s="5">
        <f t="shared" si="1105"/>
        <v>12</v>
      </c>
      <c r="C4770" s="5">
        <f t="shared" si="1106"/>
        <v>2025</v>
      </c>
      <c r="D4770" s="150" t="s">
        <v>4368</v>
      </c>
      <c r="E4770" s="5" t="str">
        <f>VLOOKUP(F4770,'Set up'!$A$2:$C$70,2,FALSE)</f>
        <v>C00000046</v>
      </c>
      <c r="F4770" s="151" t="s">
        <v>2284</v>
      </c>
      <c r="G4770" s="151" t="s">
        <v>945</v>
      </c>
      <c r="H4770" s="150">
        <v>1</v>
      </c>
      <c r="I4770" s="5" t="str">
        <f>VLOOKUP(F4770,'Set up'!$A$2:$C$70,3,FALSE)</f>
        <v>Cash</v>
      </c>
      <c r="J4770" s="5">
        <f>VLOOKUP(F4770,'Set up'!$A$2:$D$70,4,FALSE)</f>
        <v>0</v>
      </c>
      <c r="K4770" s="4">
        <f t="shared" si="1107"/>
        <v>45997</v>
      </c>
      <c r="L4770" s="5">
        <f t="shared" si="1108"/>
        <v>12</v>
      </c>
      <c r="M4770" s="5">
        <f t="shared" si="1109"/>
        <v>2025</v>
      </c>
      <c r="N4770" s="156">
        <v>140</v>
      </c>
      <c r="P4770" s="12"/>
      <c r="Q4770" s="7">
        <f t="shared" si="1110"/>
        <v>7874629.9500000095</v>
      </c>
      <c r="R4770" s="44" t="str">
        <f>VLOOKUP(F4770,'Set up'!$A$2:$E$70,5,FALSE)</f>
        <v>Cash</v>
      </c>
    </row>
    <row r="4771" spans="1:18" ht="16.2" customHeight="1" x14ac:dyDescent="0.3">
      <c r="A4771" s="150" t="s">
        <v>4405</v>
      </c>
      <c r="B4771" s="5">
        <f t="shared" si="1105"/>
        <v>12</v>
      </c>
      <c r="C4771" s="5">
        <f t="shared" si="1106"/>
        <v>2025</v>
      </c>
      <c r="D4771" s="150" t="s">
        <v>4369</v>
      </c>
      <c r="E4771" s="5" t="str">
        <f>VLOOKUP(F4771,'Set up'!$A$2:$C$70,2,FALSE)</f>
        <v>C00000044</v>
      </c>
      <c r="F4771" s="151" t="s">
        <v>2929</v>
      </c>
      <c r="G4771" s="151" t="s">
        <v>3122</v>
      </c>
      <c r="H4771" s="150">
        <v>1</v>
      </c>
      <c r="I4771" s="5" t="str">
        <f>VLOOKUP(F4771,'Set up'!$A$2:$C$70,3,FALSE)</f>
        <v>Cash</v>
      </c>
      <c r="J4771" s="5">
        <f>VLOOKUP(F4771,'Set up'!$A$2:$D$70,4,FALSE)</f>
        <v>0</v>
      </c>
      <c r="K4771" s="4">
        <f t="shared" si="1107"/>
        <v>45999</v>
      </c>
      <c r="L4771" s="5">
        <f t="shared" si="1108"/>
        <v>12</v>
      </c>
      <c r="M4771" s="5">
        <f t="shared" si="1109"/>
        <v>2025</v>
      </c>
      <c r="N4771" s="156">
        <v>1687.5</v>
      </c>
      <c r="P4771" s="12"/>
      <c r="Q4771" s="7">
        <f t="shared" si="1110"/>
        <v>7876317.4500000095</v>
      </c>
      <c r="R4771" s="44" t="str">
        <f>VLOOKUP(F4771,'Set up'!$A$2:$E$70,5,FALSE)</f>
        <v>Cash</v>
      </c>
    </row>
    <row r="4772" spans="1:18" ht="16.2" customHeight="1" x14ac:dyDescent="0.3">
      <c r="A4772" s="150" t="s">
        <v>4405</v>
      </c>
      <c r="B4772" s="5">
        <f t="shared" si="1105"/>
        <v>12</v>
      </c>
      <c r="C4772" s="5">
        <f t="shared" si="1106"/>
        <v>2025</v>
      </c>
      <c r="D4772" s="150" t="s">
        <v>4369</v>
      </c>
      <c r="E4772" s="5" t="str">
        <f>VLOOKUP(F4772,'Set up'!$A$2:$C$70,2,FALSE)</f>
        <v>C00000044</v>
      </c>
      <c r="F4772" s="151" t="s">
        <v>2929</v>
      </c>
      <c r="G4772" s="151" t="s">
        <v>2570</v>
      </c>
      <c r="H4772" s="150">
        <v>3</v>
      </c>
      <c r="I4772" s="5" t="str">
        <f>VLOOKUP(F4772,'Set up'!$A$2:$C$70,3,FALSE)</f>
        <v>Cash</v>
      </c>
      <c r="J4772" s="5">
        <f>VLOOKUP(F4772,'Set up'!$A$2:$D$70,4,FALSE)</f>
        <v>0</v>
      </c>
      <c r="K4772" s="4">
        <f t="shared" si="1107"/>
        <v>45999</v>
      </c>
      <c r="L4772" s="5">
        <f t="shared" si="1108"/>
        <v>12</v>
      </c>
      <c r="M4772" s="5">
        <f t="shared" si="1109"/>
        <v>2025</v>
      </c>
      <c r="N4772" s="156">
        <v>648</v>
      </c>
      <c r="P4772" s="12"/>
      <c r="Q4772" s="7">
        <f t="shared" si="1110"/>
        <v>7876965.4500000095</v>
      </c>
      <c r="R4772" s="44" t="str">
        <f>VLOOKUP(F4772,'Set up'!$A$2:$E$70,5,FALSE)</f>
        <v>Cash</v>
      </c>
    </row>
    <row r="4773" spans="1:18" ht="16.2" customHeight="1" x14ac:dyDescent="0.3">
      <c r="A4773" s="150" t="s">
        <v>4405</v>
      </c>
      <c r="B4773" s="5">
        <f t="shared" si="1105"/>
        <v>12</v>
      </c>
      <c r="C4773" s="5">
        <f t="shared" si="1106"/>
        <v>2025</v>
      </c>
      <c r="D4773" s="150" t="s">
        <v>4369</v>
      </c>
      <c r="E4773" s="5" t="str">
        <f>VLOOKUP(F4773,'Set up'!$A$2:$C$70,2,FALSE)</f>
        <v>C00000044</v>
      </c>
      <c r="F4773" s="151" t="s">
        <v>2929</v>
      </c>
      <c r="G4773" s="151" t="s">
        <v>945</v>
      </c>
      <c r="H4773" s="150">
        <v>1</v>
      </c>
      <c r="I4773" s="5" t="str">
        <f>VLOOKUP(F4773,'Set up'!$A$2:$C$70,3,FALSE)</f>
        <v>Cash</v>
      </c>
      <c r="J4773" s="5">
        <f>VLOOKUP(F4773,'Set up'!$A$2:$D$70,4,FALSE)</f>
        <v>0</v>
      </c>
      <c r="K4773" s="4">
        <f t="shared" si="1107"/>
        <v>45999</v>
      </c>
      <c r="L4773" s="5">
        <f t="shared" si="1108"/>
        <v>12</v>
      </c>
      <c r="M4773" s="5">
        <f t="shared" si="1109"/>
        <v>2025</v>
      </c>
      <c r="N4773" s="156">
        <v>115</v>
      </c>
      <c r="P4773" s="12"/>
      <c r="Q4773" s="7">
        <f t="shared" si="1110"/>
        <v>7877080.4500000095</v>
      </c>
      <c r="R4773" s="44" t="str">
        <f>VLOOKUP(F4773,'Set up'!$A$2:$E$70,5,FALSE)</f>
        <v>Cash</v>
      </c>
    </row>
    <row r="4774" spans="1:18" ht="16.2" customHeight="1" x14ac:dyDescent="0.3">
      <c r="A4774" s="150" t="s">
        <v>4406</v>
      </c>
      <c r="B4774" s="5">
        <f t="shared" si="1105"/>
        <v>12</v>
      </c>
      <c r="C4774" s="5">
        <f t="shared" si="1106"/>
        <v>2025</v>
      </c>
      <c r="D4774" s="150" t="s">
        <v>4370</v>
      </c>
      <c r="E4774" s="5" t="str">
        <f>VLOOKUP(F4774,'Set up'!$A$2:$C$70,2,FALSE)</f>
        <v>C00000042</v>
      </c>
      <c r="F4774" s="151" t="s">
        <v>2012</v>
      </c>
      <c r="G4774" s="151" t="s">
        <v>2646</v>
      </c>
      <c r="H4774" s="150">
        <v>2</v>
      </c>
      <c r="I4774" s="5" t="str">
        <f>VLOOKUP(F4774,'Set up'!$A$2:$C$70,3,FALSE)</f>
        <v>Cash</v>
      </c>
      <c r="J4774" s="5">
        <f>VLOOKUP(F4774,'Set up'!$A$2:$D$70,4,FALSE)</f>
        <v>0</v>
      </c>
      <c r="K4774" s="4">
        <f t="shared" si="1107"/>
        <v>46000</v>
      </c>
      <c r="L4774" s="5">
        <f t="shared" si="1108"/>
        <v>12</v>
      </c>
      <c r="M4774" s="5">
        <f t="shared" si="1109"/>
        <v>2025</v>
      </c>
      <c r="N4774" s="156">
        <v>125</v>
      </c>
      <c r="P4774" s="12"/>
      <c r="Q4774" s="7">
        <f t="shared" si="1110"/>
        <v>7877205.4500000095</v>
      </c>
      <c r="R4774" s="44" t="str">
        <f>VLOOKUP(F4774,'Set up'!$A$2:$E$70,5,FALSE)</f>
        <v>Trsf</v>
      </c>
    </row>
    <row r="4775" spans="1:18" ht="16.2" customHeight="1" x14ac:dyDescent="0.3">
      <c r="A4775" s="150" t="s">
        <v>4406</v>
      </c>
      <c r="B4775" s="5">
        <f t="shared" si="1105"/>
        <v>12</v>
      </c>
      <c r="C4775" s="5">
        <f t="shared" si="1106"/>
        <v>2025</v>
      </c>
      <c r="D4775" s="150" t="s">
        <v>4371</v>
      </c>
      <c r="E4775" s="5" t="str">
        <f>VLOOKUP(F4775,'Set up'!$A$2:$C$70,2,FALSE)</f>
        <v>C00000042</v>
      </c>
      <c r="F4775" s="151" t="s">
        <v>2012</v>
      </c>
      <c r="G4775" s="151" t="s">
        <v>3645</v>
      </c>
      <c r="H4775" s="150">
        <v>5</v>
      </c>
      <c r="I4775" s="5" t="str">
        <f>VLOOKUP(F4775,'Set up'!$A$2:$C$70,3,FALSE)</f>
        <v>Cash</v>
      </c>
      <c r="J4775" s="5">
        <f>VLOOKUP(F4775,'Set up'!$A$2:$D$70,4,FALSE)</f>
        <v>0</v>
      </c>
      <c r="K4775" s="4">
        <f t="shared" si="1107"/>
        <v>46000</v>
      </c>
      <c r="L4775" s="5">
        <f t="shared" si="1108"/>
        <v>12</v>
      </c>
      <c r="M4775" s="5">
        <f t="shared" si="1109"/>
        <v>2025</v>
      </c>
      <c r="N4775" s="156">
        <v>7762.5</v>
      </c>
      <c r="P4775" s="12"/>
      <c r="Q4775" s="7">
        <f t="shared" si="1110"/>
        <v>7884967.9500000095</v>
      </c>
      <c r="R4775" s="44" t="str">
        <f>VLOOKUP(F4775,'Set up'!$A$2:$E$70,5,FALSE)</f>
        <v>Trsf</v>
      </c>
    </row>
    <row r="4776" spans="1:18" ht="16.2" customHeight="1" x14ac:dyDescent="0.3">
      <c r="A4776" s="150" t="s">
        <v>4406</v>
      </c>
      <c r="B4776" s="5">
        <f t="shared" si="1105"/>
        <v>12</v>
      </c>
      <c r="C4776" s="5">
        <f t="shared" si="1106"/>
        <v>2025</v>
      </c>
      <c r="D4776" s="150" t="s">
        <v>4371</v>
      </c>
      <c r="E4776" s="5" t="str">
        <f>VLOOKUP(F4776,'Set up'!$A$2:$C$70,2,FALSE)</f>
        <v>C00000042</v>
      </c>
      <c r="F4776" s="151" t="s">
        <v>2012</v>
      </c>
      <c r="G4776" s="151" t="s">
        <v>1392</v>
      </c>
      <c r="H4776" s="150">
        <v>15</v>
      </c>
      <c r="I4776" s="5" t="str">
        <f>VLOOKUP(F4776,'Set up'!$A$2:$C$70,3,FALSE)</f>
        <v>Cash</v>
      </c>
      <c r="J4776" s="5">
        <f>VLOOKUP(F4776,'Set up'!$A$2:$D$70,4,FALSE)</f>
        <v>0</v>
      </c>
      <c r="K4776" s="4">
        <f t="shared" si="1107"/>
        <v>46000</v>
      </c>
      <c r="L4776" s="5">
        <f t="shared" si="1108"/>
        <v>12</v>
      </c>
      <c r="M4776" s="5">
        <f t="shared" si="1109"/>
        <v>2025</v>
      </c>
      <c r="N4776" s="156">
        <v>2655</v>
      </c>
      <c r="P4776" s="12"/>
      <c r="Q4776" s="7">
        <f t="shared" si="1110"/>
        <v>7887622.9500000095</v>
      </c>
      <c r="R4776" s="44" t="str">
        <f>VLOOKUP(F4776,'Set up'!$A$2:$E$70,5,FALSE)</f>
        <v>Trsf</v>
      </c>
    </row>
    <row r="4777" spans="1:18" ht="16.2" customHeight="1" x14ac:dyDescent="0.3">
      <c r="A4777" s="150" t="s">
        <v>4406</v>
      </c>
      <c r="B4777" s="5">
        <f t="shared" si="1105"/>
        <v>12</v>
      </c>
      <c r="C4777" s="5">
        <f t="shared" si="1106"/>
        <v>2025</v>
      </c>
      <c r="D4777" s="150" t="s">
        <v>4371</v>
      </c>
      <c r="E4777" s="5" t="str">
        <f>VLOOKUP(F4777,'Set up'!$A$2:$C$70,2,FALSE)</f>
        <v>C00000042</v>
      </c>
      <c r="F4777" s="151" t="s">
        <v>2012</v>
      </c>
      <c r="G4777" s="151" t="s">
        <v>1922</v>
      </c>
      <c r="H4777" s="150">
        <v>7</v>
      </c>
      <c r="I4777" s="5" t="str">
        <f>VLOOKUP(F4777,'Set up'!$A$2:$C$70,3,FALSE)</f>
        <v>Cash</v>
      </c>
      <c r="J4777" s="5">
        <f>VLOOKUP(F4777,'Set up'!$A$2:$D$70,4,FALSE)</f>
        <v>0</v>
      </c>
      <c r="K4777" s="4">
        <f t="shared" si="1107"/>
        <v>46000</v>
      </c>
      <c r="L4777" s="5">
        <f t="shared" si="1108"/>
        <v>12</v>
      </c>
      <c r="M4777" s="5">
        <f t="shared" si="1109"/>
        <v>2025</v>
      </c>
      <c r="N4777" s="156">
        <v>1606.5</v>
      </c>
      <c r="P4777" s="12"/>
      <c r="Q4777" s="7">
        <f t="shared" si="1110"/>
        <v>7889229.4500000095</v>
      </c>
      <c r="R4777" s="44" t="str">
        <f>VLOOKUP(F4777,'Set up'!$A$2:$E$70,5,FALSE)</f>
        <v>Trsf</v>
      </c>
    </row>
    <row r="4778" spans="1:18" ht="16.2" customHeight="1" x14ac:dyDescent="0.3">
      <c r="A4778" s="150" t="s">
        <v>4406</v>
      </c>
      <c r="B4778" s="5">
        <f t="shared" si="1105"/>
        <v>12</v>
      </c>
      <c r="C4778" s="5">
        <f t="shared" si="1106"/>
        <v>2025</v>
      </c>
      <c r="D4778" s="150" t="s">
        <v>4371</v>
      </c>
      <c r="E4778" s="5" t="str">
        <f>VLOOKUP(F4778,'Set up'!$A$2:$C$70,2,FALSE)</f>
        <v>C00000042</v>
      </c>
      <c r="F4778" s="151" t="s">
        <v>2012</v>
      </c>
      <c r="G4778" s="151" t="s">
        <v>46</v>
      </c>
      <c r="H4778" s="150">
        <v>4</v>
      </c>
      <c r="I4778" s="5" t="str">
        <f>VLOOKUP(F4778,'Set up'!$A$2:$C$70,3,FALSE)</f>
        <v>Cash</v>
      </c>
      <c r="J4778" s="5">
        <f>VLOOKUP(F4778,'Set up'!$A$2:$D$70,4,FALSE)</f>
        <v>0</v>
      </c>
      <c r="K4778" s="4">
        <f t="shared" si="1107"/>
        <v>46000</v>
      </c>
      <c r="L4778" s="5">
        <f t="shared" si="1108"/>
        <v>12</v>
      </c>
      <c r="M4778" s="5">
        <f t="shared" si="1109"/>
        <v>2025</v>
      </c>
      <c r="N4778" s="156">
        <v>460</v>
      </c>
      <c r="P4778" s="12"/>
      <c r="Q4778" s="7">
        <f t="shared" si="1110"/>
        <v>7889689.4500000095</v>
      </c>
      <c r="R4778" s="44" t="str">
        <f>VLOOKUP(F4778,'Set up'!$A$2:$E$70,5,FALSE)</f>
        <v>Trsf</v>
      </c>
    </row>
    <row r="4779" spans="1:18" ht="16.2" customHeight="1" x14ac:dyDescent="0.3">
      <c r="A4779" s="150" t="s">
        <v>4406</v>
      </c>
      <c r="B4779" s="5">
        <f t="shared" si="1105"/>
        <v>12</v>
      </c>
      <c r="C4779" s="5">
        <f t="shared" si="1106"/>
        <v>2025</v>
      </c>
      <c r="D4779" s="150" t="s">
        <v>4371</v>
      </c>
      <c r="E4779" s="5" t="str">
        <f>VLOOKUP(F4779,'Set up'!$A$2:$C$70,2,FALSE)</f>
        <v>C00000042</v>
      </c>
      <c r="F4779" s="151" t="s">
        <v>2012</v>
      </c>
      <c r="G4779" s="151" t="s">
        <v>1073</v>
      </c>
      <c r="H4779" s="150">
        <v>1</v>
      </c>
      <c r="I4779" s="5" t="str">
        <f>VLOOKUP(F4779,'Set up'!$A$2:$C$70,3,FALSE)</f>
        <v>Cash</v>
      </c>
      <c r="J4779" s="5">
        <f>VLOOKUP(F4779,'Set up'!$A$2:$D$70,4,FALSE)</f>
        <v>0</v>
      </c>
      <c r="K4779" s="4">
        <f t="shared" si="1107"/>
        <v>46000</v>
      </c>
      <c r="L4779" s="5">
        <f t="shared" si="1108"/>
        <v>12</v>
      </c>
      <c r="M4779" s="5">
        <f t="shared" si="1109"/>
        <v>2025</v>
      </c>
      <c r="N4779" s="156">
        <v>1050</v>
      </c>
      <c r="P4779" s="12"/>
      <c r="Q4779" s="7">
        <f t="shared" si="1110"/>
        <v>7890739.4500000095</v>
      </c>
      <c r="R4779" s="44" t="str">
        <f>VLOOKUP(F4779,'Set up'!$A$2:$E$70,5,FALSE)</f>
        <v>Trsf</v>
      </c>
    </row>
    <row r="4780" spans="1:18" ht="16.2" customHeight="1" x14ac:dyDescent="0.3">
      <c r="A4780" s="150" t="s">
        <v>4406</v>
      </c>
      <c r="B4780" s="5">
        <f t="shared" si="1105"/>
        <v>12</v>
      </c>
      <c r="C4780" s="5">
        <f t="shared" si="1106"/>
        <v>2025</v>
      </c>
      <c r="D4780" s="150" t="s">
        <v>4371</v>
      </c>
      <c r="E4780" s="5" t="str">
        <f>VLOOKUP(F4780,'Set up'!$A$2:$C$70,2,FALSE)</f>
        <v>C00000042</v>
      </c>
      <c r="F4780" s="151" t="s">
        <v>2012</v>
      </c>
      <c r="G4780" s="151" t="s">
        <v>2744</v>
      </c>
      <c r="H4780" s="150">
        <v>1</v>
      </c>
      <c r="I4780" s="5" t="str">
        <f>VLOOKUP(F4780,'Set up'!$A$2:$C$70,3,FALSE)</f>
        <v>Cash</v>
      </c>
      <c r="J4780" s="5">
        <f>VLOOKUP(F4780,'Set up'!$A$2:$D$70,4,FALSE)</f>
        <v>0</v>
      </c>
      <c r="K4780" s="4">
        <f t="shared" si="1107"/>
        <v>46000</v>
      </c>
      <c r="L4780" s="5">
        <f t="shared" si="1108"/>
        <v>12</v>
      </c>
      <c r="M4780" s="5">
        <f t="shared" si="1109"/>
        <v>2025</v>
      </c>
      <c r="N4780" s="156">
        <v>1000</v>
      </c>
      <c r="P4780" s="12"/>
      <c r="Q4780" s="7">
        <f t="shared" si="1110"/>
        <v>7891739.4500000095</v>
      </c>
      <c r="R4780" s="44" t="str">
        <f>VLOOKUP(F4780,'Set up'!$A$2:$E$70,5,FALSE)</f>
        <v>Trsf</v>
      </c>
    </row>
    <row r="4781" spans="1:18" ht="16.2" customHeight="1" x14ac:dyDescent="0.3">
      <c r="A4781" s="150" t="s">
        <v>4407</v>
      </c>
      <c r="B4781" s="5">
        <f t="shared" si="1105"/>
        <v>12</v>
      </c>
      <c r="C4781" s="5">
        <f t="shared" si="1106"/>
        <v>2025</v>
      </c>
      <c r="D4781" s="150" t="s">
        <v>4372</v>
      </c>
      <c r="E4781" s="5" t="str">
        <f>VLOOKUP(F4781,'Set up'!$A$2:$C$70,2,FALSE)</f>
        <v>C00000045</v>
      </c>
      <c r="F4781" s="151" t="s">
        <v>2271</v>
      </c>
      <c r="G4781" s="151" t="s">
        <v>46</v>
      </c>
      <c r="H4781" s="150">
        <v>4</v>
      </c>
      <c r="I4781" s="5" t="str">
        <f>VLOOKUP(F4781,'Set up'!$A$2:$C$70,3,FALSE)</f>
        <v>Cash</v>
      </c>
      <c r="J4781" s="5">
        <f>VLOOKUP(F4781,'Set up'!$A$2:$D$70,4,FALSE)</f>
        <v>0</v>
      </c>
      <c r="K4781" s="4">
        <f t="shared" si="1107"/>
        <v>46001</v>
      </c>
      <c r="L4781" s="5">
        <f t="shared" si="1108"/>
        <v>12</v>
      </c>
      <c r="M4781" s="5">
        <f t="shared" si="1109"/>
        <v>2025</v>
      </c>
      <c r="N4781" s="156">
        <v>460</v>
      </c>
      <c r="P4781" s="12"/>
      <c r="Q4781" s="7">
        <f t="shared" si="1110"/>
        <v>7892199.4500000095</v>
      </c>
      <c r="R4781" s="44" t="str">
        <f>VLOOKUP(F4781,'Set up'!$A$2:$E$70,5,FALSE)</f>
        <v>Trsf</v>
      </c>
    </row>
    <row r="4782" spans="1:18" ht="16.2" customHeight="1" x14ac:dyDescent="0.3">
      <c r="A4782" s="150" t="s">
        <v>4407</v>
      </c>
      <c r="B4782" s="5">
        <f t="shared" si="1105"/>
        <v>12</v>
      </c>
      <c r="C4782" s="5">
        <f t="shared" si="1106"/>
        <v>2025</v>
      </c>
      <c r="D4782" s="150" t="s">
        <v>4373</v>
      </c>
      <c r="E4782" s="5" t="str">
        <f>VLOOKUP(F4782,'Set up'!$A$2:$C$70,2,FALSE)</f>
        <v>C00000063</v>
      </c>
      <c r="F4782" s="151" t="s">
        <v>4198</v>
      </c>
      <c r="G4782" s="151" t="s">
        <v>3507</v>
      </c>
      <c r="H4782" s="150">
        <v>4</v>
      </c>
      <c r="I4782" s="5" t="str">
        <f>VLOOKUP(F4782,'Set up'!$A$2:$C$70,3,FALSE)</f>
        <v>Cash</v>
      </c>
      <c r="J4782" s="5">
        <f>VLOOKUP(F4782,'Set up'!$A$2:$D$70,4,FALSE)</f>
        <v>0</v>
      </c>
      <c r="K4782" s="4">
        <f t="shared" si="1107"/>
        <v>46001</v>
      </c>
      <c r="L4782" s="5">
        <f t="shared" si="1108"/>
        <v>12</v>
      </c>
      <c r="M4782" s="5">
        <f t="shared" si="1109"/>
        <v>2025</v>
      </c>
      <c r="N4782" s="156">
        <v>6480</v>
      </c>
      <c r="P4782" s="12"/>
      <c r="Q4782" s="7">
        <f t="shared" si="1110"/>
        <v>7898679.4500000095</v>
      </c>
      <c r="R4782" s="44" t="str">
        <f>VLOOKUP(F4782,'Set up'!$A$2:$E$70,5,FALSE)</f>
        <v>Cash</v>
      </c>
    </row>
    <row r="4783" spans="1:18" ht="16.2" customHeight="1" x14ac:dyDescent="0.3">
      <c r="A4783" s="150" t="s">
        <v>4407</v>
      </c>
      <c r="B4783" s="5">
        <f t="shared" si="1105"/>
        <v>12</v>
      </c>
      <c r="C4783" s="5">
        <f t="shared" si="1106"/>
        <v>2025</v>
      </c>
      <c r="D4783" s="150" t="s">
        <v>4373</v>
      </c>
      <c r="E4783" s="5" t="str">
        <f>VLOOKUP(F4783,'Set up'!$A$2:$C$70,2,FALSE)</f>
        <v>C00000063</v>
      </c>
      <c r="F4783" s="151" t="s">
        <v>4198</v>
      </c>
      <c r="G4783" s="151" t="s">
        <v>4201</v>
      </c>
      <c r="H4783" s="150">
        <v>1</v>
      </c>
      <c r="I4783" s="5" t="str">
        <f>VLOOKUP(F4783,'Set up'!$A$2:$C$70,3,FALSE)</f>
        <v>Cash</v>
      </c>
      <c r="J4783" s="5">
        <f>VLOOKUP(F4783,'Set up'!$A$2:$D$70,4,FALSE)</f>
        <v>0</v>
      </c>
      <c r="K4783" s="4">
        <f t="shared" si="1107"/>
        <v>46001</v>
      </c>
      <c r="L4783" s="5">
        <f t="shared" si="1108"/>
        <v>12</v>
      </c>
      <c r="M4783" s="5">
        <f t="shared" si="1109"/>
        <v>2025</v>
      </c>
      <c r="N4783" s="156">
        <v>1620</v>
      </c>
      <c r="P4783" s="12"/>
      <c r="Q4783" s="7">
        <f t="shared" si="1110"/>
        <v>7900299.4500000095</v>
      </c>
      <c r="R4783" s="44" t="str">
        <f>VLOOKUP(F4783,'Set up'!$A$2:$E$70,5,FALSE)</f>
        <v>Cash</v>
      </c>
    </row>
    <row r="4784" spans="1:18" ht="16.2" customHeight="1" x14ac:dyDescent="0.3">
      <c r="A4784" s="150" t="s">
        <v>4407</v>
      </c>
      <c r="B4784" s="5">
        <f t="shared" si="1105"/>
        <v>12</v>
      </c>
      <c r="C4784" s="5">
        <f t="shared" si="1106"/>
        <v>2025</v>
      </c>
      <c r="D4784" s="150" t="s">
        <v>4373</v>
      </c>
      <c r="E4784" s="5" t="str">
        <f>VLOOKUP(F4784,'Set up'!$A$2:$C$70,2,FALSE)</f>
        <v>C00000063</v>
      </c>
      <c r="F4784" s="151" t="s">
        <v>4198</v>
      </c>
      <c r="G4784" s="151" t="s">
        <v>4278</v>
      </c>
      <c r="H4784" s="150">
        <v>2</v>
      </c>
      <c r="I4784" s="5" t="str">
        <f>VLOOKUP(F4784,'Set up'!$A$2:$C$70,3,FALSE)</f>
        <v>Cash</v>
      </c>
      <c r="J4784" s="5">
        <f>VLOOKUP(F4784,'Set up'!$A$2:$D$70,4,FALSE)</f>
        <v>0</v>
      </c>
      <c r="K4784" s="4">
        <f t="shared" si="1107"/>
        <v>46001</v>
      </c>
      <c r="L4784" s="5">
        <f t="shared" si="1108"/>
        <v>12</v>
      </c>
      <c r="M4784" s="5">
        <f t="shared" si="1109"/>
        <v>2025</v>
      </c>
      <c r="N4784" s="156">
        <v>734.4</v>
      </c>
      <c r="P4784" s="12"/>
      <c r="Q4784" s="7">
        <f t="shared" si="1110"/>
        <v>7901033.8500000099</v>
      </c>
      <c r="R4784" s="44" t="str">
        <f>VLOOKUP(F4784,'Set up'!$A$2:$E$70,5,FALSE)</f>
        <v>Cash</v>
      </c>
    </row>
    <row r="4785" spans="1:18" ht="16.2" customHeight="1" x14ac:dyDescent="0.3">
      <c r="A4785" s="150" t="s">
        <v>4407</v>
      </c>
      <c r="B4785" s="5">
        <f t="shared" si="1105"/>
        <v>12</v>
      </c>
      <c r="C4785" s="5">
        <f t="shared" si="1106"/>
        <v>2025</v>
      </c>
      <c r="D4785" s="150" t="s">
        <v>4373</v>
      </c>
      <c r="E4785" s="5" t="str">
        <f>VLOOKUP(F4785,'Set up'!$A$2:$C$70,2,FALSE)</f>
        <v>C00000063</v>
      </c>
      <c r="F4785" s="151" t="s">
        <v>4198</v>
      </c>
      <c r="G4785" s="151" t="s">
        <v>4202</v>
      </c>
      <c r="H4785" s="150">
        <v>1</v>
      </c>
      <c r="I4785" s="5" t="str">
        <f>VLOOKUP(F4785,'Set up'!$A$2:$C$70,3,FALSE)</f>
        <v>Cash</v>
      </c>
      <c r="J4785" s="5">
        <f>VLOOKUP(F4785,'Set up'!$A$2:$D$70,4,FALSE)</f>
        <v>0</v>
      </c>
      <c r="K4785" s="4">
        <f t="shared" si="1107"/>
        <v>46001</v>
      </c>
      <c r="L4785" s="5">
        <f t="shared" si="1108"/>
        <v>12</v>
      </c>
      <c r="M4785" s="5">
        <f t="shared" si="1109"/>
        <v>2025</v>
      </c>
      <c r="N4785" s="156">
        <v>367.2</v>
      </c>
      <c r="P4785" s="12"/>
      <c r="Q4785" s="7">
        <f t="shared" si="1110"/>
        <v>7901401.0500000101</v>
      </c>
      <c r="R4785" s="44" t="str">
        <f>VLOOKUP(F4785,'Set up'!$A$2:$E$70,5,FALSE)</f>
        <v>Cash</v>
      </c>
    </row>
    <row r="4786" spans="1:18" ht="16.2" customHeight="1" x14ac:dyDescent="0.3">
      <c r="A4786" s="150" t="s">
        <v>4407</v>
      </c>
      <c r="B4786" s="5">
        <f t="shared" si="1105"/>
        <v>12</v>
      </c>
      <c r="C4786" s="5">
        <f t="shared" si="1106"/>
        <v>2025</v>
      </c>
      <c r="D4786" s="150" t="s">
        <v>4373</v>
      </c>
      <c r="E4786" s="5" t="str">
        <f>VLOOKUP(F4786,'Set up'!$A$2:$C$70,2,FALSE)</f>
        <v>C00000063</v>
      </c>
      <c r="F4786" s="151" t="s">
        <v>4198</v>
      </c>
      <c r="G4786" s="151" t="s">
        <v>3513</v>
      </c>
      <c r="H4786" s="150">
        <v>2</v>
      </c>
      <c r="I4786" s="5" t="str">
        <f>VLOOKUP(F4786,'Set up'!$A$2:$C$70,3,FALSE)</f>
        <v>Cash</v>
      </c>
      <c r="J4786" s="5">
        <f>VLOOKUP(F4786,'Set up'!$A$2:$D$70,4,FALSE)</f>
        <v>0</v>
      </c>
      <c r="K4786" s="4">
        <f t="shared" si="1107"/>
        <v>46001</v>
      </c>
      <c r="L4786" s="5">
        <f t="shared" si="1108"/>
        <v>12</v>
      </c>
      <c r="M4786" s="5">
        <f t="shared" si="1109"/>
        <v>2025</v>
      </c>
      <c r="N4786" s="156">
        <v>840</v>
      </c>
      <c r="P4786" s="12"/>
      <c r="Q4786" s="7">
        <f t="shared" si="1110"/>
        <v>7902241.0500000101</v>
      </c>
      <c r="R4786" s="44" t="str">
        <f>VLOOKUP(F4786,'Set up'!$A$2:$E$70,5,FALSE)</f>
        <v>Cash</v>
      </c>
    </row>
    <row r="4787" spans="1:18" ht="16.2" customHeight="1" x14ac:dyDescent="0.3">
      <c r="A4787" s="150" t="s">
        <v>4407</v>
      </c>
      <c r="B4787" s="5">
        <f t="shared" si="1105"/>
        <v>12</v>
      </c>
      <c r="C4787" s="5">
        <f t="shared" si="1106"/>
        <v>2025</v>
      </c>
      <c r="D4787" s="150" t="s">
        <v>4373</v>
      </c>
      <c r="E4787" s="5" t="str">
        <f>VLOOKUP(F4787,'Set up'!$A$2:$C$70,2,FALSE)</f>
        <v>C00000063</v>
      </c>
      <c r="F4787" s="151" t="s">
        <v>4198</v>
      </c>
      <c r="G4787" s="151" t="s">
        <v>1637</v>
      </c>
      <c r="H4787" s="150">
        <v>2</v>
      </c>
      <c r="I4787" s="5" t="str">
        <f>VLOOKUP(F4787,'Set up'!$A$2:$C$70,3,FALSE)</f>
        <v>Cash</v>
      </c>
      <c r="J4787" s="5">
        <f>VLOOKUP(F4787,'Set up'!$A$2:$D$70,4,FALSE)</f>
        <v>0</v>
      </c>
      <c r="K4787" s="4">
        <f t="shared" si="1107"/>
        <v>46001</v>
      </c>
      <c r="L4787" s="5">
        <f t="shared" si="1108"/>
        <v>12</v>
      </c>
      <c r="M4787" s="5">
        <f t="shared" si="1109"/>
        <v>2025</v>
      </c>
      <c r="N4787" s="156">
        <v>800</v>
      </c>
      <c r="P4787" s="12"/>
      <c r="Q4787" s="7">
        <f t="shared" si="1110"/>
        <v>7903041.0500000101</v>
      </c>
      <c r="R4787" s="44" t="str">
        <f>VLOOKUP(F4787,'Set up'!$A$2:$E$70,5,FALSE)</f>
        <v>Cash</v>
      </c>
    </row>
    <row r="4788" spans="1:18" ht="16.2" customHeight="1" x14ac:dyDescent="0.3">
      <c r="A4788" s="150" t="s">
        <v>4407</v>
      </c>
      <c r="B4788" s="5">
        <f t="shared" si="1105"/>
        <v>12</v>
      </c>
      <c r="C4788" s="5">
        <f t="shared" si="1106"/>
        <v>2025</v>
      </c>
      <c r="D4788" s="150" t="s">
        <v>4373</v>
      </c>
      <c r="E4788" s="5" t="str">
        <f>VLOOKUP(F4788,'Set up'!$A$2:$C$70,2,FALSE)</f>
        <v>C00000063</v>
      </c>
      <c r="F4788" s="151" t="s">
        <v>4198</v>
      </c>
      <c r="G4788" s="151" t="s">
        <v>4421</v>
      </c>
      <c r="H4788" s="150">
        <v>2</v>
      </c>
      <c r="I4788" s="5" t="str">
        <f>VLOOKUP(F4788,'Set up'!$A$2:$C$70,3,FALSE)</f>
        <v>Cash</v>
      </c>
      <c r="J4788" s="5">
        <f>VLOOKUP(F4788,'Set up'!$A$2:$D$70,4,FALSE)</f>
        <v>0</v>
      </c>
      <c r="K4788" s="4">
        <f t="shared" si="1107"/>
        <v>46001</v>
      </c>
      <c r="L4788" s="5">
        <f t="shared" si="1108"/>
        <v>12</v>
      </c>
      <c r="M4788" s="5">
        <f t="shared" si="1109"/>
        <v>2025</v>
      </c>
      <c r="N4788" s="156">
        <v>108</v>
      </c>
      <c r="P4788" s="12"/>
      <c r="Q4788" s="7">
        <f t="shared" si="1110"/>
        <v>7903149.0500000101</v>
      </c>
      <c r="R4788" s="44" t="str">
        <f>VLOOKUP(F4788,'Set up'!$A$2:$E$70,5,FALSE)</f>
        <v>Cash</v>
      </c>
    </row>
    <row r="4789" spans="1:18" ht="16.2" customHeight="1" x14ac:dyDescent="0.3">
      <c r="A4789" s="150" t="s">
        <v>4407</v>
      </c>
      <c r="B4789" s="5">
        <f t="shared" si="1105"/>
        <v>12</v>
      </c>
      <c r="C4789" s="5">
        <f t="shared" si="1106"/>
        <v>2025</v>
      </c>
      <c r="D4789" s="150" t="s">
        <v>4373</v>
      </c>
      <c r="E4789" s="5" t="str">
        <f>VLOOKUP(F4789,'Set up'!$A$2:$C$70,2,FALSE)</f>
        <v>C00000063</v>
      </c>
      <c r="F4789" s="151" t="s">
        <v>4198</v>
      </c>
      <c r="G4789" s="151" t="s">
        <v>4422</v>
      </c>
      <c r="H4789" s="150">
        <v>1</v>
      </c>
      <c r="I4789" s="5" t="str">
        <f>VLOOKUP(F4789,'Set up'!$A$2:$C$70,3,FALSE)</f>
        <v>Cash</v>
      </c>
      <c r="J4789" s="5">
        <f>VLOOKUP(F4789,'Set up'!$A$2:$D$70,4,FALSE)</f>
        <v>0</v>
      </c>
      <c r="K4789" s="4">
        <f t="shared" si="1107"/>
        <v>46001</v>
      </c>
      <c r="L4789" s="5">
        <f t="shared" si="1108"/>
        <v>12</v>
      </c>
      <c r="M4789" s="5">
        <f t="shared" si="1109"/>
        <v>2025</v>
      </c>
      <c r="N4789" s="156">
        <v>40</v>
      </c>
      <c r="P4789" s="12"/>
      <c r="Q4789" s="7">
        <f t="shared" si="1110"/>
        <v>7903189.0500000101</v>
      </c>
      <c r="R4789" s="44" t="str">
        <f>VLOOKUP(F4789,'Set up'!$A$2:$E$70,5,FALSE)</f>
        <v>Cash</v>
      </c>
    </row>
    <row r="4790" spans="1:18" ht="16.2" customHeight="1" x14ac:dyDescent="0.3">
      <c r="A4790" s="150" t="s">
        <v>4408</v>
      </c>
      <c r="B4790" s="5">
        <f t="shared" si="1105"/>
        <v>12</v>
      </c>
      <c r="C4790" s="5">
        <f t="shared" si="1106"/>
        <v>2025</v>
      </c>
      <c r="D4790" s="150" t="s">
        <v>4374</v>
      </c>
      <c r="E4790" s="5" t="e">
        <f>VLOOKUP(F4790,'Set up'!$A$2:$C$70,2,FALSE)</f>
        <v>#N/A</v>
      </c>
      <c r="F4790" s="151" t="s">
        <v>4130</v>
      </c>
      <c r="G4790" s="151" t="s">
        <v>3122</v>
      </c>
      <c r="H4790" s="150">
        <v>1</v>
      </c>
      <c r="I4790" s="5" t="e">
        <f>VLOOKUP(F4790,'Set up'!$A$2:$C$70,3,FALSE)</f>
        <v>#N/A</v>
      </c>
      <c r="J4790" s="5" t="e">
        <f>VLOOKUP(F4790,'Set up'!$A$2:$D$70,4,FALSE)</f>
        <v>#N/A</v>
      </c>
      <c r="K4790" s="4" t="e">
        <f t="shared" si="1107"/>
        <v>#N/A</v>
      </c>
      <c r="L4790" s="5" t="e">
        <f t="shared" si="1108"/>
        <v>#N/A</v>
      </c>
      <c r="M4790" s="5" t="e">
        <f t="shared" si="1109"/>
        <v>#N/A</v>
      </c>
      <c r="N4790" s="156">
        <v>1687.5</v>
      </c>
      <c r="P4790" s="12"/>
      <c r="Q4790" s="7">
        <f t="shared" si="1110"/>
        <v>7904876.5500000101</v>
      </c>
      <c r="R4790" s="44" t="e">
        <f>VLOOKUP(F4790,'Set up'!$A$2:$E$70,5,FALSE)</f>
        <v>#N/A</v>
      </c>
    </row>
    <row r="4791" spans="1:18" ht="16.2" customHeight="1" x14ac:dyDescent="0.3">
      <c r="A4791" s="150" t="s">
        <v>4408</v>
      </c>
      <c r="B4791" s="5">
        <f t="shared" si="1105"/>
        <v>12</v>
      </c>
      <c r="C4791" s="5">
        <f t="shared" si="1106"/>
        <v>2025</v>
      </c>
      <c r="D4791" s="150" t="s">
        <v>4375</v>
      </c>
      <c r="E4791" s="5" t="str">
        <f>VLOOKUP(F4791,'Set up'!$A$2:$C$70,2,FALSE)</f>
        <v>C00000042</v>
      </c>
      <c r="F4791" s="151" t="s">
        <v>2012</v>
      </c>
      <c r="G4791" s="151" t="s">
        <v>2646</v>
      </c>
      <c r="H4791" s="150">
        <v>3</v>
      </c>
      <c r="I4791" s="5" t="str">
        <f>VLOOKUP(F4791,'Set up'!$A$2:$C$70,3,FALSE)</f>
        <v>Cash</v>
      </c>
      <c r="J4791" s="5">
        <f>VLOOKUP(F4791,'Set up'!$A$2:$D$70,4,FALSE)</f>
        <v>0</v>
      </c>
      <c r="K4791" s="4">
        <f t="shared" si="1107"/>
        <v>46003</v>
      </c>
      <c r="L4791" s="5">
        <f t="shared" si="1108"/>
        <v>12</v>
      </c>
      <c r="M4791" s="5">
        <f t="shared" si="1109"/>
        <v>2025</v>
      </c>
      <c r="N4791" s="156">
        <v>187.5</v>
      </c>
      <c r="P4791" s="12"/>
      <c r="Q4791" s="7">
        <f t="shared" si="1110"/>
        <v>7905064.0500000101</v>
      </c>
      <c r="R4791" s="44" t="str">
        <f>VLOOKUP(F4791,'Set up'!$A$2:$E$70,5,FALSE)</f>
        <v>Trsf</v>
      </c>
    </row>
    <row r="4792" spans="1:18" ht="16.2" customHeight="1" x14ac:dyDescent="0.3">
      <c r="A4792" s="150" t="s">
        <v>4408</v>
      </c>
      <c r="B4792" s="5">
        <f t="shared" si="1105"/>
        <v>12</v>
      </c>
      <c r="C4792" s="5">
        <f t="shared" si="1106"/>
        <v>2025</v>
      </c>
      <c r="D4792" s="150" t="s">
        <v>4376</v>
      </c>
      <c r="E4792" s="5" t="str">
        <f>VLOOKUP(F4792,'Set up'!$A$2:$C$70,2,FALSE)</f>
        <v>C00000042</v>
      </c>
      <c r="F4792" s="151" t="s">
        <v>2012</v>
      </c>
      <c r="G4792" s="151" t="s">
        <v>3645</v>
      </c>
      <c r="H4792" s="150">
        <v>7</v>
      </c>
      <c r="I4792" s="5" t="str">
        <f>VLOOKUP(F4792,'Set up'!$A$2:$C$70,3,FALSE)</f>
        <v>Cash</v>
      </c>
      <c r="J4792" s="5">
        <f>VLOOKUP(F4792,'Set up'!$A$2:$D$70,4,FALSE)</f>
        <v>0</v>
      </c>
      <c r="K4792" s="4">
        <f t="shared" si="1107"/>
        <v>46003</v>
      </c>
      <c r="L4792" s="5">
        <f t="shared" si="1108"/>
        <v>12</v>
      </c>
      <c r="M4792" s="5">
        <f t="shared" si="1109"/>
        <v>2025</v>
      </c>
      <c r="N4792" s="156">
        <v>10867.5</v>
      </c>
      <c r="P4792" s="12"/>
      <c r="Q4792" s="7">
        <f t="shared" si="1110"/>
        <v>7915931.5500000101</v>
      </c>
      <c r="R4792" s="44" t="str">
        <f>VLOOKUP(F4792,'Set up'!$A$2:$E$70,5,FALSE)</f>
        <v>Trsf</v>
      </c>
    </row>
    <row r="4793" spans="1:18" ht="16.2" customHeight="1" x14ac:dyDescent="0.3">
      <c r="A4793" s="150" t="s">
        <v>4408</v>
      </c>
      <c r="B4793" s="5">
        <f t="shared" si="1105"/>
        <v>12</v>
      </c>
      <c r="C4793" s="5">
        <f t="shared" si="1106"/>
        <v>2025</v>
      </c>
      <c r="D4793" s="150" t="s">
        <v>4376</v>
      </c>
      <c r="E4793" s="5" t="str">
        <f>VLOOKUP(F4793,'Set up'!$A$2:$C$70,2,FALSE)</f>
        <v>C00000042</v>
      </c>
      <c r="F4793" s="151" t="s">
        <v>2012</v>
      </c>
      <c r="G4793" s="151" t="s">
        <v>1392</v>
      </c>
      <c r="H4793" s="150">
        <v>15</v>
      </c>
      <c r="I4793" s="5" t="str">
        <f>VLOOKUP(F4793,'Set up'!$A$2:$C$70,3,FALSE)</f>
        <v>Cash</v>
      </c>
      <c r="J4793" s="5">
        <f>VLOOKUP(F4793,'Set up'!$A$2:$D$70,4,FALSE)</f>
        <v>0</v>
      </c>
      <c r="K4793" s="4">
        <f t="shared" si="1107"/>
        <v>46003</v>
      </c>
      <c r="L4793" s="5">
        <f t="shared" si="1108"/>
        <v>12</v>
      </c>
      <c r="M4793" s="5">
        <f t="shared" si="1109"/>
        <v>2025</v>
      </c>
      <c r="N4793" s="156">
        <v>2655</v>
      </c>
      <c r="P4793" s="12"/>
      <c r="Q4793" s="7">
        <f t="shared" si="1110"/>
        <v>7918586.5500000101</v>
      </c>
      <c r="R4793" s="44" t="str">
        <f>VLOOKUP(F4793,'Set up'!$A$2:$E$70,5,FALSE)</f>
        <v>Trsf</v>
      </c>
    </row>
    <row r="4794" spans="1:18" ht="16.2" customHeight="1" x14ac:dyDescent="0.3">
      <c r="A4794" s="150" t="s">
        <v>4408</v>
      </c>
      <c r="B4794" s="5">
        <f t="shared" si="1105"/>
        <v>12</v>
      </c>
      <c r="C4794" s="5">
        <f t="shared" si="1106"/>
        <v>2025</v>
      </c>
      <c r="D4794" s="150" t="s">
        <v>4376</v>
      </c>
      <c r="E4794" s="5" t="str">
        <f>VLOOKUP(F4794,'Set up'!$A$2:$C$70,2,FALSE)</f>
        <v>C00000042</v>
      </c>
      <c r="F4794" s="151" t="s">
        <v>2012</v>
      </c>
      <c r="G4794" s="151" t="s">
        <v>1922</v>
      </c>
      <c r="H4794" s="150">
        <v>10</v>
      </c>
      <c r="I4794" s="5" t="str">
        <f>VLOOKUP(F4794,'Set up'!$A$2:$C$70,3,FALSE)</f>
        <v>Cash</v>
      </c>
      <c r="J4794" s="5">
        <f>VLOOKUP(F4794,'Set up'!$A$2:$D$70,4,FALSE)</f>
        <v>0</v>
      </c>
      <c r="K4794" s="4">
        <f t="shared" si="1107"/>
        <v>46003</v>
      </c>
      <c r="L4794" s="5">
        <f t="shared" si="1108"/>
        <v>12</v>
      </c>
      <c r="M4794" s="5">
        <f t="shared" si="1109"/>
        <v>2025</v>
      </c>
      <c r="N4794" s="156">
        <v>2295</v>
      </c>
      <c r="P4794" s="12"/>
      <c r="Q4794" s="7">
        <f t="shared" si="1110"/>
        <v>7920881.5500000101</v>
      </c>
      <c r="R4794" s="44" t="str">
        <f>VLOOKUP(F4794,'Set up'!$A$2:$E$70,5,FALSE)</f>
        <v>Trsf</v>
      </c>
    </row>
    <row r="4795" spans="1:18" ht="16.2" customHeight="1" x14ac:dyDescent="0.3">
      <c r="A4795" s="150" t="s">
        <v>4408</v>
      </c>
      <c r="B4795" s="5">
        <f t="shared" si="1105"/>
        <v>12</v>
      </c>
      <c r="C4795" s="5">
        <f t="shared" si="1106"/>
        <v>2025</v>
      </c>
      <c r="D4795" s="150" t="s">
        <v>4376</v>
      </c>
      <c r="E4795" s="5" t="str">
        <f>VLOOKUP(F4795,'Set up'!$A$2:$C$70,2,FALSE)</f>
        <v>C00000042</v>
      </c>
      <c r="F4795" s="151" t="s">
        <v>2012</v>
      </c>
      <c r="G4795" s="151" t="s">
        <v>2744</v>
      </c>
      <c r="H4795" s="150">
        <v>1</v>
      </c>
      <c r="I4795" s="5" t="str">
        <f>VLOOKUP(F4795,'Set up'!$A$2:$C$70,3,FALSE)</f>
        <v>Cash</v>
      </c>
      <c r="J4795" s="5">
        <f>VLOOKUP(F4795,'Set up'!$A$2:$D$70,4,FALSE)</f>
        <v>0</v>
      </c>
      <c r="K4795" s="4">
        <f t="shared" si="1107"/>
        <v>46003</v>
      </c>
      <c r="L4795" s="5">
        <f t="shared" si="1108"/>
        <v>12</v>
      </c>
      <c r="M4795" s="5">
        <f t="shared" si="1109"/>
        <v>2025</v>
      </c>
      <c r="N4795" s="156">
        <v>1000</v>
      </c>
      <c r="P4795" s="12"/>
      <c r="Q4795" s="7">
        <f t="shared" si="1110"/>
        <v>7921881.5500000101</v>
      </c>
      <c r="R4795" s="44" t="str">
        <f>VLOOKUP(F4795,'Set up'!$A$2:$E$70,5,FALSE)</f>
        <v>Trsf</v>
      </c>
    </row>
    <row r="4796" spans="1:18" ht="16.2" customHeight="1" x14ac:dyDescent="0.3">
      <c r="A4796" s="150" t="s">
        <v>4408</v>
      </c>
      <c r="B4796" s="5">
        <f t="shared" si="1105"/>
        <v>12</v>
      </c>
      <c r="C4796" s="5">
        <f t="shared" si="1106"/>
        <v>2025</v>
      </c>
      <c r="D4796" s="150" t="s">
        <v>4377</v>
      </c>
      <c r="E4796" s="5" t="str">
        <f>VLOOKUP(F4796,'Set up'!$A$2:$C$70,2,FALSE)</f>
        <v>C00000049</v>
      </c>
      <c r="F4796" s="151" t="s">
        <v>2728</v>
      </c>
      <c r="G4796" s="151" t="s">
        <v>4423</v>
      </c>
      <c r="H4796" s="150">
        <v>1</v>
      </c>
      <c r="I4796" s="5" t="str">
        <f>VLOOKUP(F4796,'Set up'!$A$2:$C$70,3,FALSE)</f>
        <v>Cash</v>
      </c>
      <c r="J4796" s="5">
        <f>VLOOKUP(F4796,'Set up'!$A$2:$D$70,4,FALSE)</f>
        <v>0</v>
      </c>
      <c r="K4796" s="4">
        <f t="shared" si="1107"/>
        <v>46003</v>
      </c>
      <c r="L4796" s="5">
        <f t="shared" si="1108"/>
        <v>12</v>
      </c>
      <c r="M4796" s="5">
        <f t="shared" si="1109"/>
        <v>2025</v>
      </c>
      <c r="N4796" s="156">
        <v>42</v>
      </c>
      <c r="P4796" s="12"/>
      <c r="Q4796" s="7">
        <f t="shared" si="1110"/>
        <v>7921923.5500000101</v>
      </c>
      <c r="R4796" s="44" t="str">
        <f>VLOOKUP(F4796,'Set up'!$A$2:$E$70,5,FALSE)</f>
        <v>Cash</v>
      </c>
    </row>
    <row r="4797" spans="1:18" ht="16.2" customHeight="1" x14ac:dyDescent="0.3">
      <c r="A4797" s="150" t="s">
        <v>4408</v>
      </c>
      <c r="B4797" s="5">
        <f t="shared" si="1105"/>
        <v>12</v>
      </c>
      <c r="C4797" s="5">
        <f t="shared" si="1106"/>
        <v>2025</v>
      </c>
      <c r="D4797" s="150" t="s">
        <v>4377</v>
      </c>
      <c r="E4797" s="5" t="str">
        <f>VLOOKUP(F4797,'Set up'!$A$2:$C$70,2,FALSE)</f>
        <v>C00000049</v>
      </c>
      <c r="F4797" s="151" t="s">
        <v>2728</v>
      </c>
      <c r="G4797" s="151" t="s">
        <v>4424</v>
      </c>
      <c r="H4797" s="150">
        <v>1</v>
      </c>
      <c r="I4797" s="5" t="str">
        <f>VLOOKUP(F4797,'Set up'!$A$2:$C$70,3,FALSE)</f>
        <v>Cash</v>
      </c>
      <c r="J4797" s="5">
        <f>VLOOKUP(F4797,'Set up'!$A$2:$D$70,4,FALSE)</f>
        <v>0</v>
      </c>
      <c r="K4797" s="4">
        <f t="shared" si="1107"/>
        <v>46003</v>
      </c>
      <c r="L4797" s="5">
        <f t="shared" si="1108"/>
        <v>12</v>
      </c>
      <c r="M4797" s="5">
        <f t="shared" si="1109"/>
        <v>2025</v>
      </c>
      <c r="N4797" s="156">
        <v>200</v>
      </c>
      <c r="P4797" s="12"/>
      <c r="Q4797" s="7">
        <f t="shared" si="1110"/>
        <v>7922123.5500000101</v>
      </c>
      <c r="R4797" s="44" t="str">
        <f>VLOOKUP(F4797,'Set up'!$A$2:$E$70,5,FALSE)</f>
        <v>Cash</v>
      </c>
    </row>
    <row r="4798" spans="1:18" ht="16.2" customHeight="1" x14ac:dyDescent="0.3">
      <c r="A4798" s="150" t="s">
        <v>4409</v>
      </c>
      <c r="B4798" s="5">
        <f t="shared" si="1105"/>
        <v>12</v>
      </c>
      <c r="C4798" s="5">
        <f t="shared" si="1106"/>
        <v>2025</v>
      </c>
      <c r="D4798" s="150" t="s">
        <v>4378</v>
      </c>
      <c r="E4798" s="5" t="str">
        <f>VLOOKUP(F4798,'Set up'!$A$2:$C$70,2,FALSE)</f>
        <v>C00000050</v>
      </c>
      <c r="F4798" s="151" t="s">
        <v>2656</v>
      </c>
      <c r="G4798" s="151" t="s">
        <v>3615</v>
      </c>
      <c r="H4798" s="150">
        <v>1</v>
      </c>
      <c r="I4798" s="5" t="str">
        <f>VLOOKUP(F4798,'Set up'!$A$2:$C$70,3,FALSE)</f>
        <v>Cash</v>
      </c>
      <c r="J4798" s="5">
        <f>VLOOKUP(F4798,'Set up'!$A$2:$D$70,4,FALSE)</f>
        <v>0</v>
      </c>
      <c r="K4798" s="4">
        <f t="shared" si="1107"/>
        <v>46004</v>
      </c>
      <c r="L4798" s="5">
        <f t="shared" si="1108"/>
        <v>12</v>
      </c>
      <c r="M4798" s="5">
        <f t="shared" si="1109"/>
        <v>2025</v>
      </c>
      <c r="N4798" s="156">
        <v>1687.5</v>
      </c>
      <c r="P4798" s="12"/>
      <c r="Q4798" s="7">
        <f t="shared" si="1110"/>
        <v>7923811.0500000101</v>
      </c>
      <c r="R4798" s="44" t="str">
        <f>VLOOKUP(F4798,'Set up'!$A$2:$E$70,5,FALSE)</f>
        <v>Cash</v>
      </c>
    </row>
    <row r="4799" spans="1:18" ht="16.2" customHeight="1" x14ac:dyDescent="0.3">
      <c r="A4799" s="150" t="s">
        <v>4409</v>
      </c>
      <c r="B4799" s="5">
        <f t="shared" si="1105"/>
        <v>12</v>
      </c>
      <c r="C4799" s="5">
        <f t="shared" si="1106"/>
        <v>2025</v>
      </c>
      <c r="D4799" s="150" t="s">
        <v>4378</v>
      </c>
      <c r="E4799" s="5" t="str">
        <f>VLOOKUP(F4799,'Set up'!$A$2:$C$70,2,FALSE)</f>
        <v>C00000050</v>
      </c>
      <c r="F4799" s="151" t="s">
        <v>2656</v>
      </c>
      <c r="G4799" s="151" t="s">
        <v>2129</v>
      </c>
      <c r="H4799" s="150">
        <v>2</v>
      </c>
      <c r="I4799" s="5" t="str">
        <f>VLOOKUP(F4799,'Set up'!$A$2:$C$70,3,FALSE)</f>
        <v>Cash</v>
      </c>
      <c r="J4799" s="5">
        <f>VLOOKUP(F4799,'Set up'!$A$2:$D$70,4,FALSE)</f>
        <v>0</v>
      </c>
      <c r="K4799" s="4">
        <f t="shared" si="1107"/>
        <v>46004</v>
      </c>
      <c r="L4799" s="5">
        <f t="shared" si="1108"/>
        <v>12</v>
      </c>
      <c r="M4799" s="5">
        <f t="shared" si="1109"/>
        <v>2025</v>
      </c>
      <c r="N4799" s="156">
        <v>532.79999999999995</v>
      </c>
      <c r="P4799" s="12"/>
      <c r="Q4799" s="7">
        <f t="shared" si="1110"/>
        <v>7924343.8500000099</v>
      </c>
      <c r="R4799" s="44" t="str">
        <f>VLOOKUP(F4799,'Set up'!$A$2:$E$70,5,FALSE)</f>
        <v>Cash</v>
      </c>
    </row>
    <row r="4800" spans="1:18" ht="16.2" customHeight="1" x14ac:dyDescent="0.3">
      <c r="A4800" s="150" t="s">
        <v>4409</v>
      </c>
      <c r="B4800" s="5">
        <f t="shared" si="1105"/>
        <v>12</v>
      </c>
      <c r="C4800" s="5">
        <f t="shared" si="1106"/>
        <v>2025</v>
      </c>
      <c r="D4800" s="150" t="s">
        <v>4378</v>
      </c>
      <c r="E4800" s="5" t="str">
        <f>VLOOKUP(F4800,'Set up'!$A$2:$C$70,2,FALSE)</f>
        <v>C00000050</v>
      </c>
      <c r="F4800" s="151" t="s">
        <v>2656</v>
      </c>
      <c r="G4800" s="151" t="s">
        <v>945</v>
      </c>
      <c r="H4800" s="150">
        <v>1</v>
      </c>
      <c r="I4800" s="5" t="str">
        <f>VLOOKUP(F4800,'Set up'!$A$2:$C$70,3,FALSE)</f>
        <v>Cash</v>
      </c>
      <c r="J4800" s="5">
        <f>VLOOKUP(F4800,'Set up'!$A$2:$D$70,4,FALSE)</f>
        <v>0</v>
      </c>
      <c r="K4800" s="4">
        <f t="shared" si="1107"/>
        <v>46004</v>
      </c>
      <c r="L4800" s="5">
        <f t="shared" si="1108"/>
        <v>12</v>
      </c>
      <c r="M4800" s="5">
        <f t="shared" si="1109"/>
        <v>2025</v>
      </c>
      <c r="N4800" s="156">
        <v>115</v>
      </c>
      <c r="P4800" s="12"/>
      <c r="Q4800" s="7">
        <f t="shared" si="1110"/>
        <v>7924458.8500000099</v>
      </c>
      <c r="R4800" s="44" t="str">
        <f>VLOOKUP(F4800,'Set up'!$A$2:$E$70,5,FALSE)</f>
        <v>Cash</v>
      </c>
    </row>
    <row r="4801" spans="1:18" ht="16.2" customHeight="1" x14ac:dyDescent="0.3">
      <c r="A4801" s="150" t="s">
        <v>4409</v>
      </c>
      <c r="B4801" s="5">
        <f t="shared" si="1105"/>
        <v>12</v>
      </c>
      <c r="C4801" s="5">
        <f t="shared" si="1106"/>
        <v>2025</v>
      </c>
      <c r="D4801" s="150" t="s">
        <v>4378</v>
      </c>
      <c r="E4801" s="5" t="str">
        <f>VLOOKUP(F4801,'Set up'!$A$2:$C$70,2,FALSE)</f>
        <v>C00000050</v>
      </c>
      <c r="F4801" s="151" t="s">
        <v>2656</v>
      </c>
      <c r="G4801" s="151" t="s">
        <v>2646</v>
      </c>
      <c r="H4801" s="150">
        <v>5</v>
      </c>
      <c r="I4801" s="5" t="str">
        <f>VLOOKUP(F4801,'Set up'!$A$2:$C$70,3,FALSE)</f>
        <v>Cash</v>
      </c>
      <c r="J4801" s="5">
        <f>VLOOKUP(F4801,'Set up'!$A$2:$D$70,4,FALSE)</f>
        <v>0</v>
      </c>
      <c r="K4801" s="4">
        <f t="shared" si="1107"/>
        <v>46004</v>
      </c>
      <c r="L4801" s="5">
        <f t="shared" si="1108"/>
        <v>12</v>
      </c>
      <c r="M4801" s="5">
        <f t="shared" si="1109"/>
        <v>2025</v>
      </c>
      <c r="N4801" s="156">
        <v>312.5</v>
      </c>
      <c r="P4801" s="12"/>
      <c r="Q4801" s="7">
        <f t="shared" si="1110"/>
        <v>7924771.3500000099</v>
      </c>
      <c r="R4801" s="44" t="str">
        <f>VLOOKUP(F4801,'Set up'!$A$2:$E$70,5,FALSE)</f>
        <v>Cash</v>
      </c>
    </row>
    <row r="4802" spans="1:18" ht="16.2" customHeight="1" x14ac:dyDescent="0.3">
      <c r="A4802" s="150" t="s">
        <v>4410</v>
      </c>
      <c r="B4802" s="5">
        <f t="shared" si="1105"/>
        <v>12</v>
      </c>
      <c r="C4802" s="5">
        <f t="shared" si="1106"/>
        <v>2025</v>
      </c>
      <c r="D4802" s="150" t="s">
        <v>4379</v>
      </c>
      <c r="E4802" s="5" t="str">
        <f>VLOOKUP(F4802,'Set up'!$A$2:$C$70,2,FALSE)</f>
        <v>C00000063</v>
      </c>
      <c r="F4802" s="151" t="s">
        <v>4198</v>
      </c>
      <c r="G4802" s="151" t="s">
        <v>4348</v>
      </c>
      <c r="H4802" s="150">
        <v>6</v>
      </c>
      <c r="I4802" s="5" t="str">
        <f>VLOOKUP(F4802,'Set up'!$A$2:$C$70,3,FALSE)</f>
        <v>Cash</v>
      </c>
      <c r="J4802" s="5">
        <f>VLOOKUP(F4802,'Set up'!$A$2:$D$70,4,FALSE)</f>
        <v>0</v>
      </c>
      <c r="K4802" s="4">
        <f t="shared" si="1107"/>
        <v>46006</v>
      </c>
      <c r="L4802" s="5">
        <f t="shared" si="1108"/>
        <v>12</v>
      </c>
      <c r="M4802" s="5">
        <f t="shared" si="1109"/>
        <v>2025</v>
      </c>
      <c r="N4802" s="156">
        <v>360</v>
      </c>
      <c r="P4802" s="12"/>
      <c r="Q4802" s="7">
        <f t="shared" si="1110"/>
        <v>7925131.3500000099</v>
      </c>
      <c r="R4802" s="44" t="str">
        <f>VLOOKUP(F4802,'Set up'!$A$2:$E$70,5,FALSE)</f>
        <v>Cash</v>
      </c>
    </row>
    <row r="4803" spans="1:18" ht="16.2" customHeight="1" x14ac:dyDescent="0.3">
      <c r="A4803" s="150" t="s">
        <v>4410</v>
      </c>
      <c r="B4803" s="5">
        <f t="shared" ref="B4803:B4864" si="1111">MONTH(A4803)</f>
        <v>12</v>
      </c>
      <c r="C4803" s="5">
        <f t="shared" ref="C4803:C4864" si="1112">YEAR(A4803)</f>
        <v>2025</v>
      </c>
      <c r="D4803" s="150" t="s">
        <v>4379</v>
      </c>
      <c r="E4803" s="5" t="str">
        <f>VLOOKUP(F4803,'Set up'!$A$2:$C$70,2,FALSE)</f>
        <v>C00000063</v>
      </c>
      <c r="F4803" s="151" t="s">
        <v>4198</v>
      </c>
      <c r="G4803" s="151" t="s">
        <v>4051</v>
      </c>
      <c r="H4803" s="150">
        <v>4</v>
      </c>
      <c r="I4803" s="5" t="str">
        <f>VLOOKUP(F4803,'Set up'!$A$2:$C$70,3,FALSE)</f>
        <v>Cash</v>
      </c>
      <c r="J4803" s="5">
        <f>VLOOKUP(F4803,'Set up'!$A$2:$D$70,4,FALSE)</f>
        <v>0</v>
      </c>
      <c r="K4803" s="4">
        <f t="shared" ref="K4803:K4864" si="1113">A4803+J4803</f>
        <v>46006</v>
      </c>
      <c r="L4803" s="5">
        <f t="shared" ref="L4803:L4865" si="1114">MONTH(K4803)</f>
        <v>12</v>
      </c>
      <c r="M4803" s="5">
        <f t="shared" ref="M4803:M4865" si="1115">YEAR(K4803)</f>
        <v>2025</v>
      </c>
      <c r="N4803" s="156">
        <v>480</v>
      </c>
      <c r="P4803" s="12"/>
      <c r="Q4803" s="7">
        <f t="shared" ref="Q4803:Q4864" si="1116">SUM(Q4802+N4803)</f>
        <v>7925611.3500000099</v>
      </c>
      <c r="R4803" s="44" t="str">
        <f>VLOOKUP(F4803,'Set up'!$A$2:$E$70,5,FALSE)</f>
        <v>Cash</v>
      </c>
    </row>
    <row r="4804" spans="1:18" ht="16.2" customHeight="1" x14ac:dyDescent="0.3">
      <c r="A4804" s="150" t="s">
        <v>4411</v>
      </c>
      <c r="B4804" s="5">
        <f t="shared" si="1111"/>
        <v>12</v>
      </c>
      <c r="C4804" s="5">
        <f t="shared" si="1112"/>
        <v>2025</v>
      </c>
      <c r="D4804" s="150" t="s">
        <v>4380</v>
      </c>
      <c r="E4804" s="5" t="str">
        <f>VLOOKUP(F4804,'Set up'!$A$2:$C$70,2,FALSE)</f>
        <v>C00000042</v>
      </c>
      <c r="F4804" s="151" t="s">
        <v>2012</v>
      </c>
      <c r="G4804" s="151" t="s">
        <v>2646</v>
      </c>
      <c r="H4804" s="150">
        <v>2</v>
      </c>
      <c r="I4804" s="5" t="str">
        <f>VLOOKUP(F4804,'Set up'!$A$2:$C$70,3,FALSE)</f>
        <v>Cash</v>
      </c>
      <c r="J4804" s="5">
        <f>VLOOKUP(F4804,'Set up'!$A$2:$D$70,4,FALSE)</f>
        <v>0</v>
      </c>
      <c r="K4804" s="4">
        <f t="shared" si="1113"/>
        <v>46009</v>
      </c>
      <c r="L4804" s="5">
        <f t="shared" si="1114"/>
        <v>12</v>
      </c>
      <c r="M4804" s="5">
        <f t="shared" si="1115"/>
        <v>2025</v>
      </c>
      <c r="N4804" s="156">
        <v>125</v>
      </c>
      <c r="P4804" s="12"/>
      <c r="Q4804" s="7">
        <f t="shared" si="1116"/>
        <v>7925736.3500000099</v>
      </c>
      <c r="R4804" s="44" t="str">
        <f>VLOOKUP(F4804,'Set up'!$A$2:$E$70,5,FALSE)</f>
        <v>Trsf</v>
      </c>
    </row>
    <row r="4805" spans="1:18" ht="16.2" customHeight="1" x14ac:dyDescent="0.3">
      <c r="A4805" s="150" t="s">
        <v>4411</v>
      </c>
      <c r="B4805" s="5">
        <f t="shared" si="1111"/>
        <v>12</v>
      </c>
      <c r="C4805" s="5">
        <f t="shared" si="1112"/>
        <v>2025</v>
      </c>
      <c r="D4805" s="150" t="s">
        <v>4381</v>
      </c>
      <c r="E4805" s="5" t="str">
        <f>VLOOKUP(F4805,'Set up'!$A$2:$C$70,2,FALSE)</f>
        <v>C00000042</v>
      </c>
      <c r="F4805" s="151" t="s">
        <v>2012</v>
      </c>
      <c r="G4805" s="151" t="s">
        <v>3645</v>
      </c>
      <c r="H4805" s="150">
        <v>5</v>
      </c>
      <c r="I4805" s="5" t="str">
        <f>VLOOKUP(F4805,'Set up'!$A$2:$C$70,3,FALSE)</f>
        <v>Cash</v>
      </c>
      <c r="J4805" s="5">
        <f>VLOOKUP(F4805,'Set up'!$A$2:$D$70,4,FALSE)</f>
        <v>0</v>
      </c>
      <c r="K4805" s="4">
        <f t="shared" si="1113"/>
        <v>46009</v>
      </c>
      <c r="L4805" s="5">
        <f t="shared" si="1114"/>
        <v>12</v>
      </c>
      <c r="M4805" s="5">
        <f t="shared" si="1115"/>
        <v>2025</v>
      </c>
      <c r="N4805" s="156">
        <v>7762.5</v>
      </c>
      <c r="P4805" s="12"/>
      <c r="Q4805" s="7">
        <f t="shared" si="1116"/>
        <v>7933498.8500000099</v>
      </c>
      <c r="R4805" s="44" t="str">
        <f>VLOOKUP(F4805,'Set up'!$A$2:$E$70,5,FALSE)</f>
        <v>Trsf</v>
      </c>
    </row>
    <row r="4806" spans="1:18" ht="16.2" customHeight="1" x14ac:dyDescent="0.3">
      <c r="A4806" s="150" t="s">
        <v>4411</v>
      </c>
      <c r="B4806" s="5">
        <f t="shared" si="1111"/>
        <v>12</v>
      </c>
      <c r="C4806" s="5">
        <f t="shared" si="1112"/>
        <v>2025</v>
      </c>
      <c r="D4806" s="150" t="s">
        <v>4381</v>
      </c>
      <c r="E4806" s="5" t="str">
        <f>VLOOKUP(F4806,'Set up'!$A$2:$C$70,2,FALSE)</f>
        <v>C00000042</v>
      </c>
      <c r="F4806" s="151" t="s">
        <v>2012</v>
      </c>
      <c r="G4806" s="151" t="s">
        <v>1392</v>
      </c>
      <c r="H4806" s="150">
        <v>15</v>
      </c>
      <c r="I4806" s="5" t="str">
        <f>VLOOKUP(F4806,'Set up'!$A$2:$C$70,3,FALSE)</f>
        <v>Cash</v>
      </c>
      <c r="J4806" s="5">
        <f>VLOOKUP(F4806,'Set up'!$A$2:$D$70,4,FALSE)</f>
        <v>0</v>
      </c>
      <c r="K4806" s="4">
        <f t="shared" si="1113"/>
        <v>46009</v>
      </c>
      <c r="L4806" s="5">
        <f t="shared" si="1114"/>
        <v>12</v>
      </c>
      <c r="M4806" s="5">
        <f t="shared" si="1115"/>
        <v>2025</v>
      </c>
      <c r="N4806" s="156">
        <v>2655</v>
      </c>
      <c r="P4806" s="12"/>
      <c r="Q4806" s="7">
        <f t="shared" si="1116"/>
        <v>7936153.8500000099</v>
      </c>
      <c r="R4806" s="44" t="str">
        <f>VLOOKUP(F4806,'Set up'!$A$2:$E$70,5,FALSE)</f>
        <v>Trsf</v>
      </c>
    </row>
    <row r="4807" spans="1:18" ht="16.2" customHeight="1" x14ac:dyDescent="0.3">
      <c r="A4807" s="150" t="s">
        <v>4411</v>
      </c>
      <c r="B4807" s="5">
        <f t="shared" si="1111"/>
        <v>12</v>
      </c>
      <c r="C4807" s="5">
        <f t="shared" si="1112"/>
        <v>2025</v>
      </c>
      <c r="D4807" s="150" t="s">
        <v>4381</v>
      </c>
      <c r="E4807" s="5" t="str">
        <f>VLOOKUP(F4807,'Set up'!$A$2:$C$70,2,FALSE)</f>
        <v>C00000042</v>
      </c>
      <c r="F4807" s="151" t="s">
        <v>2012</v>
      </c>
      <c r="G4807" s="151" t="s">
        <v>1922</v>
      </c>
      <c r="H4807" s="150">
        <v>7</v>
      </c>
      <c r="I4807" s="5" t="str">
        <f>VLOOKUP(F4807,'Set up'!$A$2:$C$70,3,FALSE)</f>
        <v>Cash</v>
      </c>
      <c r="J4807" s="5">
        <f>VLOOKUP(F4807,'Set up'!$A$2:$D$70,4,FALSE)</f>
        <v>0</v>
      </c>
      <c r="K4807" s="4">
        <f t="shared" si="1113"/>
        <v>46009</v>
      </c>
      <c r="L4807" s="5">
        <f t="shared" si="1114"/>
        <v>12</v>
      </c>
      <c r="M4807" s="5">
        <f t="shared" si="1115"/>
        <v>2025</v>
      </c>
      <c r="N4807" s="156">
        <v>1606.5</v>
      </c>
      <c r="P4807" s="12"/>
      <c r="Q4807" s="7">
        <f t="shared" si="1116"/>
        <v>7937760.3500000099</v>
      </c>
      <c r="R4807" s="44" t="str">
        <f>VLOOKUP(F4807,'Set up'!$A$2:$E$70,5,FALSE)</f>
        <v>Trsf</v>
      </c>
    </row>
    <row r="4808" spans="1:18" ht="16.2" customHeight="1" x14ac:dyDescent="0.3">
      <c r="A4808" s="150" t="s">
        <v>4411</v>
      </c>
      <c r="B4808" s="5">
        <f t="shared" si="1111"/>
        <v>12</v>
      </c>
      <c r="C4808" s="5">
        <f t="shared" si="1112"/>
        <v>2025</v>
      </c>
      <c r="D4808" s="150" t="s">
        <v>4381</v>
      </c>
      <c r="E4808" s="5" t="str">
        <f>VLOOKUP(F4808,'Set up'!$A$2:$C$70,2,FALSE)</f>
        <v>C00000042</v>
      </c>
      <c r="F4808" s="151" t="s">
        <v>2012</v>
      </c>
      <c r="G4808" s="151" t="s">
        <v>46</v>
      </c>
      <c r="H4808" s="150">
        <v>8</v>
      </c>
      <c r="I4808" s="5" t="str">
        <f>VLOOKUP(F4808,'Set up'!$A$2:$C$70,3,FALSE)</f>
        <v>Cash</v>
      </c>
      <c r="J4808" s="5">
        <f>VLOOKUP(F4808,'Set up'!$A$2:$D$70,4,FALSE)</f>
        <v>0</v>
      </c>
      <c r="K4808" s="4">
        <f t="shared" si="1113"/>
        <v>46009</v>
      </c>
      <c r="L4808" s="5">
        <f t="shared" si="1114"/>
        <v>12</v>
      </c>
      <c r="M4808" s="5">
        <f t="shared" si="1115"/>
        <v>2025</v>
      </c>
      <c r="N4808" s="156">
        <v>920</v>
      </c>
      <c r="P4808" s="12"/>
      <c r="Q4808" s="7">
        <f t="shared" si="1116"/>
        <v>7938680.3500000099</v>
      </c>
      <c r="R4808" s="44" t="str">
        <f>VLOOKUP(F4808,'Set up'!$A$2:$E$70,5,FALSE)</f>
        <v>Trsf</v>
      </c>
    </row>
    <row r="4809" spans="1:18" ht="16.2" customHeight="1" x14ac:dyDescent="0.3">
      <c r="A4809" s="150" t="s">
        <v>4411</v>
      </c>
      <c r="B4809" s="5">
        <f t="shared" si="1111"/>
        <v>12</v>
      </c>
      <c r="C4809" s="5">
        <f t="shared" si="1112"/>
        <v>2025</v>
      </c>
      <c r="D4809" s="150" t="s">
        <v>4381</v>
      </c>
      <c r="E4809" s="5" t="str">
        <f>VLOOKUP(F4809,'Set up'!$A$2:$C$70,2,FALSE)</f>
        <v>C00000042</v>
      </c>
      <c r="F4809" s="151" t="s">
        <v>2012</v>
      </c>
      <c r="G4809" s="151" t="s">
        <v>1073</v>
      </c>
      <c r="H4809" s="150">
        <v>1</v>
      </c>
      <c r="I4809" s="5" t="str">
        <f>VLOOKUP(F4809,'Set up'!$A$2:$C$70,3,FALSE)</f>
        <v>Cash</v>
      </c>
      <c r="J4809" s="5">
        <f>VLOOKUP(F4809,'Set up'!$A$2:$D$70,4,FALSE)</f>
        <v>0</v>
      </c>
      <c r="K4809" s="4">
        <f t="shared" si="1113"/>
        <v>46009</v>
      </c>
      <c r="L4809" s="5">
        <f t="shared" si="1114"/>
        <v>12</v>
      </c>
      <c r="M4809" s="5">
        <f t="shared" si="1115"/>
        <v>2025</v>
      </c>
      <c r="N4809" s="156">
        <v>1050</v>
      </c>
      <c r="P4809" s="12"/>
      <c r="Q4809" s="7">
        <f t="shared" si="1116"/>
        <v>7939730.3500000099</v>
      </c>
      <c r="R4809" s="44" t="str">
        <f>VLOOKUP(F4809,'Set up'!$A$2:$E$70,5,FALSE)</f>
        <v>Trsf</v>
      </c>
    </row>
    <row r="4810" spans="1:18" ht="16.2" customHeight="1" x14ac:dyDescent="0.3">
      <c r="A4810" s="150" t="s">
        <v>4412</v>
      </c>
      <c r="B4810" s="5">
        <f t="shared" si="1111"/>
        <v>12</v>
      </c>
      <c r="C4810" s="5">
        <f t="shared" si="1112"/>
        <v>2025</v>
      </c>
      <c r="D4810" s="150" t="s">
        <v>4382</v>
      </c>
      <c r="E4810" s="5" t="str">
        <f>VLOOKUP(F4810,'Set up'!$A$2:$C$70,2,FALSE)</f>
        <v>C00000044</v>
      </c>
      <c r="F4810" s="151" t="s">
        <v>2929</v>
      </c>
      <c r="G4810" s="151" t="s">
        <v>3122</v>
      </c>
      <c r="H4810" s="150">
        <v>1</v>
      </c>
      <c r="I4810" s="5" t="str">
        <f>VLOOKUP(F4810,'Set up'!$A$2:$C$70,3,FALSE)</f>
        <v>Cash</v>
      </c>
      <c r="J4810" s="5">
        <f>VLOOKUP(F4810,'Set up'!$A$2:$D$70,4,FALSE)</f>
        <v>0</v>
      </c>
      <c r="K4810" s="4">
        <f t="shared" si="1113"/>
        <v>46010</v>
      </c>
      <c r="L4810" s="5">
        <f t="shared" si="1114"/>
        <v>12</v>
      </c>
      <c r="M4810" s="5">
        <f t="shared" si="1115"/>
        <v>2025</v>
      </c>
      <c r="N4810" s="156">
        <v>1687.5</v>
      </c>
      <c r="P4810" s="12"/>
      <c r="Q4810" s="7">
        <f t="shared" si="1116"/>
        <v>7941417.8500000099</v>
      </c>
      <c r="R4810" s="44" t="str">
        <f>VLOOKUP(F4810,'Set up'!$A$2:$E$70,5,FALSE)</f>
        <v>Cash</v>
      </c>
    </row>
    <row r="4811" spans="1:18" ht="16.2" customHeight="1" x14ac:dyDescent="0.3">
      <c r="A4811" s="150" t="s">
        <v>4412</v>
      </c>
      <c r="B4811" s="5">
        <f t="shared" si="1111"/>
        <v>12</v>
      </c>
      <c r="C4811" s="5">
        <f t="shared" si="1112"/>
        <v>2025</v>
      </c>
      <c r="D4811" s="150" t="s">
        <v>4382</v>
      </c>
      <c r="E4811" s="5" t="str">
        <f>VLOOKUP(F4811,'Set up'!$A$2:$C$70,2,FALSE)</f>
        <v>C00000044</v>
      </c>
      <c r="F4811" s="151" t="s">
        <v>2929</v>
      </c>
      <c r="G4811" s="151" t="s">
        <v>2570</v>
      </c>
      <c r="H4811" s="150">
        <v>2</v>
      </c>
      <c r="I4811" s="5" t="str">
        <f>VLOOKUP(F4811,'Set up'!$A$2:$C$70,3,FALSE)</f>
        <v>Cash</v>
      </c>
      <c r="J4811" s="5">
        <f>VLOOKUP(F4811,'Set up'!$A$2:$D$70,4,FALSE)</f>
        <v>0</v>
      </c>
      <c r="K4811" s="4">
        <f t="shared" si="1113"/>
        <v>46010</v>
      </c>
      <c r="L4811" s="5">
        <f t="shared" si="1114"/>
        <v>12</v>
      </c>
      <c r="M4811" s="5">
        <f t="shared" si="1115"/>
        <v>2025</v>
      </c>
      <c r="N4811" s="156">
        <v>432</v>
      </c>
      <c r="P4811" s="12"/>
      <c r="Q4811" s="7">
        <f t="shared" si="1116"/>
        <v>7941849.8500000099</v>
      </c>
      <c r="R4811" s="44" t="str">
        <f>VLOOKUP(F4811,'Set up'!$A$2:$E$70,5,FALSE)</f>
        <v>Cash</v>
      </c>
    </row>
    <row r="4812" spans="1:18" ht="16.2" customHeight="1" x14ac:dyDescent="0.3">
      <c r="A4812" s="150" t="s">
        <v>4412</v>
      </c>
      <c r="B4812" s="5">
        <f t="shared" si="1111"/>
        <v>12</v>
      </c>
      <c r="C4812" s="5">
        <f t="shared" si="1112"/>
        <v>2025</v>
      </c>
      <c r="D4812" s="150" t="s">
        <v>4382</v>
      </c>
      <c r="E4812" s="5" t="str">
        <f>VLOOKUP(F4812,'Set up'!$A$2:$C$70,2,FALSE)</f>
        <v>C00000044</v>
      </c>
      <c r="F4812" s="151" t="s">
        <v>2929</v>
      </c>
      <c r="G4812" s="151" t="s">
        <v>2738</v>
      </c>
      <c r="H4812" s="150">
        <v>5</v>
      </c>
      <c r="I4812" s="5" t="str">
        <f>VLOOKUP(F4812,'Set up'!$A$2:$C$70,3,FALSE)</f>
        <v>Cash</v>
      </c>
      <c r="J4812" s="5">
        <f>VLOOKUP(F4812,'Set up'!$A$2:$D$70,4,FALSE)</f>
        <v>0</v>
      </c>
      <c r="K4812" s="4">
        <f t="shared" si="1113"/>
        <v>46010</v>
      </c>
      <c r="L4812" s="5">
        <f t="shared" si="1114"/>
        <v>12</v>
      </c>
      <c r="M4812" s="5">
        <f t="shared" si="1115"/>
        <v>2025</v>
      </c>
      <c r="N4812" s="156">
        <v>875</v>
      </c>
      <c r="P4812" s="12"/>
      <c r="Q4812" s="7">
        <f t="shared" si="1116"/>
        <v>7942724.8500000099</v>
      </c>
      <c r="R4812" s="44" t="str">
        <f>VLOOKUP(F4812,'Set up'!$A$2:$E$70,5,FALSE)</f>
        <v>Cash</v>
      </c>
    </row>
    <row r="4813" spans="1:18" ht="16.2" customHeight="1" x14ac:dyDescent="0.3">
      <c r="A4813" s="150" t="s">
        <v>4412</v>
      </c>
      <c r="B4813" s="5">
        <f t="shared" si="1111"/>
        <v>12</v>
      </c>
      <c r="C4813" s="5">
        <f t="shared" si="1112"/>
        <v>2025</v>
      </c>
      <c r="D4813" s="150" t="s">
        <v>4382</v>
      </c>
      <c r="E4813" s="5" t="str">
        <f>VLOOKUP(F4813,'Set up'!$A$2:$C$70,2,FALSE)</f>
        <v>C00000044</v>
      </c>
      <c r="F4813" s="151" t="s">
        <v>2929</v>
      </c>
      <c r="G4813" s="151" t="s">
        <v>1715</v>
      </c>
      <c r="H4813" s="150">
        <v>1</v>
      </c>
      <c r="I4813" s="5" t="str">
        <f>VLOOKUP(F4813,'Set up'!$A$2:$C$70,3,FALSE)</f>
        <v>Cash</v>
      </c>
      <c r="J4813" s="5">
        <f>VLOOKUP(F4813,'Set up'!$A$2:$D$70,4,FALSE)</f>
        <v>0</v>
      </c>
      <c r="K4813" s="4">
        <f t="shared" si="1113"/>
        <v>46010</v>
      </c>
      <c r="L4813" s="5">
        <f t="shared" si="1114"/>
        <v>12</v>
      </c>
      <c r="M4813" s="5">
        <f t="shared" si="1115"/>
        <v>2025</v>
      </c>
      <c r="N4813" s="156">
        <v>165</v>
      </c>
      <c r="P4813" s="12"/>
      <c r="Q4813" s="7">
        <f t="shared" si="1116"/>
        <v>7942889.8500000099</v>
      </c>
      <c r="R4813" s="44" t="str">
        <f>VLOOKUP(F4813,'Set up'!$A$2:$E$70,5,FALSE)</f>
        <v>Cash</v>
      </c>
    </row>
    <row r="4814" spans="1:18" ht="16.2" customHeight="1" x14ac:dyDescent="0.3">
      <c r="A4814" s="150" t="s">
        <v>4412</v>
      </c>
      <c r="B4814" s="5">
        <f t="shared" si="1111"/>
        <v>12</v>
      </c>
      <c r="C4814" s="5">
        <f t="shared" si="1112"/>
        <v>2025</v>
      </c>
      <c r="D4814" s="150" t="s">
        <v>4383</v>
      </c>
      <c r="E4814" s="5" t="str">
        <f>VLOOKUP(F4814,'Set up'!$A$2:$C$70,2,FALSE)</f>
        <v>C00000019</v>
      </c>
      <c r="F4814" s="151" t="s">
        <v>400</v>
      </c>
      <c r="G4814" s="151" t="s">
        <v>3226</v>
      </c>
      <c r="H4814" s="150">
        <v>1</v>
      </c>
      <c r="I4814" s="5" t="str">
        <f>VLOOKUP(F4814,'Set up'!$A$2:$C$70,3,FALSE)</f>
        <v>Cash</v>
      </c>
      <c r="J4814" s="5">
        <f>VLOOKUP(F4814,'Set up'!$A$2:$D$70,4,FALSE)</f>
        <v>0</v>
      </c>
      <c r="K4814" s="4">
        <f t="shared" si="1113"/>
        <v>46010</v>
      </c>
      <c r="L4814" s="5">
        <f t="shared" si="1114"/>
        <v>12</v>
      </c>
      <c r="M4814" s="5">
        <f t="shared" si="1115"/>
        <v>2025</v>
      </c>
      <c r="N4814" s="156">
        <v>250</v>
      </c>
      <c r="P4814" s="12"/>
      <c r="Q4814" s="7">
        <f t="shared" si="1116"/>
        <v>7943139.8500000099</v>
      </c>
      <c r="R4814" s="44" t="str">
        <f>VLOOKUP(F4814,'Set up'!$A$2:$E$70,5,FALSE)</f>
        <v>Trsf</v>
      </c>
    </row>
    <row r="4815" spans="1:18" ht="16.2" customHeight="1" x14ac:dyDescent="0.3">
      <c r="A4815" s="150" t="s">
        <v>4412</v>
      </c>
      <c r="B4815" s="5">
        <f t="shared" si="1111"/>
        <v>12</v>
      </c>
      <c r="C4815" s="5">
        <f t="shared" si="1112"/>
        <v>2025</v>
      </c>
      <c r="D4815" s="150" t="s">
        <v>4383</v>
      </c>
      <c r="E4815" s="5" t="str">
        <f>VLOOKUP(F4815,'Set up'!$A$2:$C$70,2,FALSE)</f>
        <v>C00000019</v>
      </c>
      <c r="F4815" s="151" t="s">
        <v>400</v>
      </c>
      <c r="G4815" s="151" t="s">
        <v>1469</v>
      </c>
      <c r="H4815" s="150">
        <v>1</v>
      </c>
      <c r="I4815" s="5" t="str">
        <f>VLOOKUP(F4815,'Set up'!$A$2:$C$70,3,FALSE)</f>
        <v>Cash</v>
      </c>
      <c r="J4815" s="5">
        <f>VLOOKUP(F4815,'Set up'!$A$2:$D$70,4,FALSE)</f>
        <v>0</v>
      </c>
      <c r="K4815" s="4">
        <f t="shared" si="1113"/>
        <v>46010</v>
      </c>
      <c r="L4815" s="5">
        <f t="shared" si="1114"/>
        <v>12</v>
      </c>
      <c r="M4815" s="5">
        <f t="shared" si="1115"/>
        <v>2025</v>
      </c>
      <c r="N4815" s="156">
        <v>410</v>
      </c>
      <c r="P4815" s="12"/>
      <c r="Q4815" s="7">
        <f t="shared" si="1116"/>
        <v>7943549.8500000099</v>
      </c>
      <c r="R4815" s="44" t="str">
        <f>VLOOKUP(F4815,'Set up'!$A$2:$E$70,5,FALSE)</f>
        <v>Trsf</v>
      </c>
    </row>
    <row r="4816" spans="1:18" ht="16.2" customHeight="1" x14ac:dyDescent="0.3">
      <c r="A4816" s="150" t="s">
        <v>4412</v>
      </c>
      <c r="B4816" s="5">
        <f t="shared" si="1111"/>
        <v>12</v>
      </c>
      <c r="C4816" s="5">
        <f t="shared" si="1112"/>
        <v>2025</v>
      </c>
      <c r="D4816" s="150" t="s">
        <v>4383</v>
      </c>
      <c r="E4816" s="5" t="str">
        <f>VLOOKUP(F4816,'Set up'!$A$2:$C$70,2,FALSE)</f>
        <v>C00000019</v>
      </c>
      <c r="F4816" s="151" t="s">
        <v>400</v>
      </c>
      <c r="G4816" s="151" t="s">
        <v>945</v>
      </c>
      <c r="H4816" s="150">
        <v>1</v>
      </c>
      <c r="I4816" s="5" t="str">
        <f>VLOOKUP(F4816,'Set up'!$A$2:$C$70,3,FALSE)</f>
        <v>Cash</v>
      </c>
      <c r="J4816" s="5">
        <f>VLOOKUP(F4816,'Set up'!$A$2:$D$70,4,FALSE)</f>
        <v>0</v>
      </c>
      <c r="K4816" s="4">
        <f t="shared" si="1113"/>
        <v>46010</v>
      </c>
      <c r="L4816" s="5">
        <f t="shared" si="1114"/>
        <v>12</v>
      </c>
      <c r="M4816" s="5">
        <f t="shared" si="1115"/>
        <v>2025</v>
      </c>
      <c r="N4816" s="156">
        <v>115</v>
      </c>
      <c r="P4816" s="12"/>
      <c r="Q4816" s="7">
        <f t="shared" si="1116"/>
        <v>7943664.8500000099</v>
      </c>
      <c r="R4816" s="44" t="str">
        <f>VLOOKUP(F4816,'Set up'!$A$2:$E$70,5,FALSE)</f>
        <v>Trsf</v>
      </c>
    </row>
    <row r="4817" spans="1:18" ht="16.2" customHeight="1" x14ac:dyDescent="0.3">
      <c r="A4817" s="150" t="s">
        <v>4412</v>
      </c>
      <c r="B4817" s="5">
        <f t="shared" si="1111"/>
        <v>12</v>
      </c>
      <c r="C4817" s="5">
        <f t="shared" si="1112"/>
        <v>2025</v>
      </c>
      <c r="D4817" s="150" t="s">
        <v>4383</v>
      </c>
      <c r="E4817" s="5" t="str">
        <f>VLOOKUP(F4817,'Set up'!$A$2:$C$70,2,FALSE)</f>
        <v>C00000019</v>
      </c>
      <c r="F4817" s="151" t="s">
        <v>400</v>
      </c>
      <c r="G4817" s="151" t="s">
        <v>894</v>
      </c>
      <c r="H4817" s="150">
        <v>1</v>
      </c>
      <c r="I4817" s="5" t="str">
        <f>VLOOKUP(F4817,'Set up'!$A$2:$C$70,3,FALSE)</f>
        <v>Cash</v>
      </c>
      <c r="J4817" s="5">
        <f>VLOOKUP(F4817,'Set up'!$A$2:$D$70,4,FALSE)</f>
        <v>0</v>
      </c>
      <c r="K4817" s="4">
        <f t="shared" si="1113"/>
        <v>46010</v>
      </c>
      <c r="L4817" s="5">
        <f t="shared" si="1114"/>
        <v>12</v>
      </c>
      <c r="M4817" s="5">
        <f t="shared" si="1115"/>
        <v>2025</v>
      </c>
      <c r="N4817" s="156">
        <v>160</v>
      </c>
      <c r="P4817" s="12"/>
      <c r="Q4817" s="7">
        <f t="shared" si="1116"/>
        <v>7943824.8500000099</v>
      </c>
      <c r="R4817" s="44" t="str">
        <f>VLOOKUP(F4817,'Set up'!$A$2:$E$70,5,FALSE)</f>
        <v>Trsf</v>
      </c>
    </row>
    <row r="4818" spans="1:18" ht="16.2" customHeight="1" x14ac:dyDescent="0.3">
      <c r="A4818" s="150" t="s">
        <v>4412</v>
      </c>
      <c r="B4818" s="5">
        <f t="shared" si="1111"/>
        <v>12</v>
      </c>
      <c r="C4818" s="5">
        <f t="shared" si="1112"/>
        <v>2025</v>
      </c>
      <c r="D4818" s="150" t="s">
        <v>4383</v>
      </c>
      <c r="E4818" s="5" t="str">
        <f>VLOOKUP(F4818,'Set up'!$A$2:$C$70,2,FALSE)</f>
        <v>C00000019</v>
      </c>
      <c r="F4818" s="151" t="s">
        <v>400</v>
      </c>
      <c r="G4818" s="151" t="s">
        <v>2646</v>
      </c>
      <c r="H4818" s="150">
        <v>2</v>
      </c>
      <c r="I4818" s="5" t="str">
        <f>VLOOKUP(F4818,'Set up'!$A$2:$C$70,3,FALSE)</f>
        <v>Cash</v>
      </c>
      <c r="J4818" s="5">
        <f>VLOOKUP(F4818,'Set up'!$A$2:$D$70,4,FALSE)</f>
        <v>0</v>
      </c>
      <c r="K4818" s="4">
        <f t="shared" si="1113"/>
        <v>46010</v>
      </c>
      <c r="L4818" s="5">
        <f t="shared" si="1114"/>
        <v>12</v>
      </c>
      <c r="M4818" s="5">
        <f t="shared" si="1115"/>
        <v>2025</v>
      </c>
      <c r="N4818" s="156">
        <v>125</v>
      </c>
      <c r="P4818" s="12"/>
      <c r="Q4818" s="7">
        <f t="shared" si="1116"/>
        <v>7943949.8500000099</v>
      </c>
      <c r="R4818" s="44" t="str">
        <f>VLOOKUP(F4818,'Set up'!$A$2:$E$70,5,FALSE)</f>
        <v>Trsf</v>
      </c>
    </row>
    <row r="4819" spans="1:18" ht="16.2" customHeight="1" x14ac:dyDescent="0.3">
      <c r="A4819" s="150" t="s">
        <v>4413</v>
      </c>
      <c r="B4819" s="5">
        <f t="shared" si="1111"/>
        <v>12</v>
      </c>
      <c r="C4819" s="5">
        <f t="shared" si="1112"/>
        <v>2025</v>
      </c>
      <c r="D4819" s="150" t="s">
        <v>4384</v>
      </c>
      <c r="E4819" s="5" t="str">
        <f>VLOOKUP(F4819,'Set up'!$A$2:$C$70,2,FALSE)</f>
        <v>C00000027</v>
      </c>
      <c r="F4819" s="151" t="s">
        <v>859</v>
      </c>
      <c r="G4819" s="151" t="s">
        <v>3122</v>
      </c>
      <c r="H4819" s="150">
        <v>2</v>
      </c>
      <c r="I4819" s="5" t="str">
        <f>VLOOKUP(F4819,'Set up'!$A$2:$C$70,3,FALSE)</f>
        <v>Cash</v>
      </c>
      <c r="J4819" s="5">
        <f>VLOOKUP(F4819,'Set up'!$A$2:$D$70,4,FALSE)</f>
        <v>0</v>
      </c>
      <c r="K4819" s="4">
        <f t="shared" si="1113"/>
        <v>46011</v>
      </c>
      <c r="L4819" s="5">
        <f t="shared" si="1114"/>
        <v>12</v>
      </c>
      <c r="M4819" s="5">
        <f t="shared" si="1115"/>
        <v>2025</v>
      </c>
      <c r="N4819" s="156">
        <v>3375</v>
      </c>
      <c r="P4819" s="12"/>
      <c r="Q4819" s="7">
        <f t="shared" si="1116"/>
        <v>7947324.8500000099</v>
      </c>
      <c r="R4819" s="44" t="str">
        <f>VLOOKUP(F4819,'Set up'!$A$2:$E$70,5,FALSE)</f>
        <v>Trsf</v>
      </c>
    </row>
    <row r="4820" spans="1:18" ht="16.2" customHeight="1" x14ac:dyDescent="0.3">
      <c r="A4820" s="150" t="s">
        <v>4413</v>
      </c>
      <c r="B4820" s="5">
        <f t="shared" si="1111"/>
        <v>12</v>
      </c>
      <c r="C4820" s="5">
        <f t="shared" si="1112"/>
        <v>2025</v>
      </c>
      <c r="D4820" s="150" t="s">
        <v>4384</v>
      </c>
      <c r="E4820" s="5" t="str">
        <f>VLOOKUP(F4820,'Set up'!$A$2:$C$70,2,FALSE)</f>
        <v>C00000027</v>
      </c>
      <c r="F4820" s="151" t="s">
        <v>859</v>
      </c>
      <c r="G4820" s="151" t="s">
        <v>1744</v>
      </c>
      <c r="H4820" s="150">
        <v>1</v>
      </c>
      <c r="I4820" s="5" t="str">
        <f>VLOOKUP(F4820,'Set up'!$A$2:$C$70,3,FALSE)</f>
        <v>Cash</v>
      </c>
      <c r="J4820" s="5">
        <f>VLOOKUP(F4820,'Set up'!$A$2:$D$70,4,FALSE)</f>
        <v>0</v>
      </c>
      <c r="K4820" s="4">
        <f t="shared" si="1113"/>
        <v>46011</v>
      </c>
      <c r="L4820" s="5">
        <f t="shared" si="1114"/>
        <v>12</v>
      </c>
      <c r="M4820" s="5">
        <f t="shared" si="1115"/>
        <v>2025</v>
      </c>
      <c r="N4820" s="156">
        <v>1108.4000000000001</v>
      </c>
      <c r="P4820" s="12"/>
      <c r="Q4820" s="7">
        <f t="shared" si="1116"/>
        <v>7948433.2500000102</v>
      </c>
      <c r="R4820" s="44" t="str">
        <f>VLOOKUP(F4820,'Set up'!$A$2:$E$70,5,FALSE)</f>
        <v>Trsf</v>
      </c>
    </row>
    <row r="4821" spans="1:18" ht="16.2" customHeight="1" x14ac:dyDescent="0.3">
      <c r="A4821" s="150" t="s">
        <v>4413</v>
      </c>
      <c r="B4821" s="5">
        <f t="shared" si="1111"/>
        <v>12</v>
      </c>
      <c r="C4821" s="5">
        <f t="shared" si="1112"/>
        <v>2025</v>
      </c>
      <c r="D4821" s="150" t="s">
        <v>4384</v>
      </c>
      <c r="E4821" s="5" t="str">
        <f>VLOOKUP(F4821,'Set up'!$A$2:$C$70,2,FALSE)</f>
        <v>C00000027</v>
      </c>
      <c r="F4821" s="151" t="s">
        <v>859</v>
      </c>
      <c r="G4821" s="151" t="s">
        <v>894</v>
      </c>
      <c r="H4821" s="150">
        <v>1</v>
      </c>
      <c r="I4821" s="5" t="str">
        <f>VLOOKUP(F4821,'Set up'!$A$2:$C$70,3,FALSE)</f>
        <v>Cash</v>
      </c>
      <c r="J4821" s="5">
        <f>VLOOKUP(F4821,'Set up'!$A$2:$D$70,4,FALSE)</f>
        <v>0</v>
      </c>
      <c r="K4821" s="4">
        <f t="shared" si="1113"/>
        <v>46011</v>
      </c>
      <c r="L4821" s="5">
        <f t="shared" si="1114"/>
        <v>12</v>
      </c>
      <c r="M4821" s="5">
        <f t="shared" si="1115"/>
        <v>2025</v>
      </c>
      <c r="N4821" s="156">
        <v>160</v>
      </c>
      <c r="P4821" s="12"/>
      <c r="Q4821" s="7">
        <f t="shared" si="1116"/>
        <v>7948593.2500000102</v>
      </c>
      <c r="R4821" s="44" t="str">
        <f>VLOOKUP(F4821,'Set up'!$A$2:$E$70,5,FALSE)</f>
        <v>Trsf</v>
      </c>
    </row>
    <row r="4822" spans="1:18" ht="16.2" customHeight="1" x14ac:dyDescent="0.3">
      <c r="A4822" s="150" t="s">
        <v>4413</v>
      </c>
      <c r="B4822" s="5">
        <f t="shared" si="1111"/>
        <v>12</v>
      </c>
      <c r="C4822" s="5">
        <f t="shared" si="1112"/>
        <v>2025</v>
      </c>
      <c r="D4822" s="150" t="s">
        <v>4384</v>
      </c>
      <c r="E4822" s="5" t="str">
        <f>VLOOKUP(F4822,'Set up'!$A$2:$C$70,2,FALSE)</f>
        <v>C00000027</v>
      </c>
      <c r="F4822" s="151" t="s">
        <v>859</v>
      </c>
      <c r="G4822" s="151" t="s">
        <v>2144</v>
      </c>
      <c r="H4822" s="150">
        <v>2</v>
      </c>
      <c r="I4822" s="5" t="str">
        <f>VLOOKUP(F4822,'Set up'!$A$2:$C$70,3,FALSE)</f>
        <v>Cash</v>
      </c>
      <c r="J4822" s="5">
        <f>VLOOKUP(F4822,'Set up'!$A$2:$D$70,4,FALSE)</f>
        <v>0</v>
      </c>
      <c r="K4822" s="4">
        <f t="shared" si="1113"/>
        <v>46011</v>
      </c>
      <c r="L4822" s="5">
        <f t="shared" si="1114"/>
        <v>12</v>
      </c>
      <c r="M4822" s="5">
        <f t="shared" si="1115"/>
        <v>2025</v>
      </c>
      <c r="N4822" s="156">
        <v>563.20000000000005</v>
      </c>
      <c r="P4822" s="12"/>
      <c r="Q4822" s="7">
        <f t="shared" si="1116"/>
        <v>7949156.4500000104</v>
      </c>
      <c r="R4822" s="44" t="str">
        <f>VLOOKUP(F4822,'Set up'!$A$2:$E$70,5,FALSE)</f>
        <v>Trsf</v>
      </c>
    </row>
    <row r="4823" spans="1:18" ht="16.2" customHeight="1" x14ac:dyDescent="0.3">
      <c r="A4823" s="150" t="s">
        <v>4413</v>
      </c>
      <c r="B4823" s="5">
        <f t="shared" si="1111"/>
        <v>12</v>
      </c>
      <c r="C4823" s="5">
        <f t="shared" si="1112"/>
        <v>2025</v>
      </c>
      <c r="D4823" s="150" t="s">
        <v>4384</v>
      </c>
      <c r="E4823" s="5" t="str">
        <f>VLOOKUP(F4823,'Set up'!$A$2:$C$70,2,FALSE)</f>
        <v>C00000027</v>
      </c>
      <c r="F4823" s="151" t="s">
        <v>859</v>
      </c>
      <c r="G4823" s="151" t="s">
        <v>2449</v>
      </c>
      <c r="H4823" s="150">
        <v>1</v>
      </c>
      <c r="I4823" s="5" t="str">
        <f>VLOOKUP(F4823,'Set up'!$A$2:$C$70,3,FALSE)</f>
        <v>Cash</v>
      </c>
      <c r="J4823" s="5">
        <f>VLOOKUP(F4823,'Set up'!$A$2:$D$70,4,FALSE)</f>
        <v>0</v>
      </c>
      <c r="K4823" s="4">
        <f t="shared" si="1113"/>
        <v>46011</v>
      </c>
      <c r="L4823" s="5">
        <f t="shared" si="1114"/>
        <v>12</v>
      </c>
      <c r="M4823" s="5">
        <f t="shared" si="1115"/>
        <v>2025</v>
      </c>
      <c r="N4823" s="156">
        <v>420</v>
      </c>
      <c r="P4823" s="12"/>
      <c r="Q4823" s="7">
        <f t="shared" si="1116"/>
        <v>7949576.4500000104</v>
      </c>
      <c r="R4823" s="44" t="str">
        <f>VLOOKUP(F4823,'Set up'!$A$2:$E$70,5,FALSE)</f>
        <v>Trsf</v>
      </c>
    </row>
    <row r="4824" spans="1:18" ht="16.2" customHeight="1" x14ac:dyDescent="0.3">
      <c r="A4824" s="150" t="s">
        <v>4413</v>
      </c>
      <c r="B4824" s="5">
        <f t="shared" si="1111"/>
        <v>12</v>
      </c>
      <c r="C4824" s="5">
        <f t="shared" si="1112"/>
        <v>2025</v>
      </c>
      <c r="D4824" s="150" t="s">
        <v>4384</v>
      </c>
      <c r="E4824" s="5" t="str">
        <f>VLOOKUP(F4824,'Set up'!$A$2:$C$70,2,FALSE)</f>
        <v>C00000027</v>
      </c>
      <c r="F4824" s="151" t="s">
        <v>859</v>
      </c>
      <c r="G4824" s="151" t="s">
        <v>1746</v>
      </c>
      <c r="H4824" s="150">
        <v>1</v>
      </c>
      <c r="I4824" s="5" t="str">
        <f>VLOOKUP(F4824,'Set up'!$A$2:$C$70,3,FALSE)</f>
        <v>Cash</v>
      </c>
      <c r="J4824" s="5">
        <f>VLOOKUP(F4824,'Set up'!$A$2:$D$70,4,FALSE)</f>
        <v>0</v>
      </c>
      <c r="K4824" s="4">
        <f t="shared" si="1113"/>
        <v>46011</v>
      </c>
      <c r="L4824" s="5">
        <f t="shared" si="1114"/>
        <v>12</v>
      </c>
      <c r="M4824" s="5">
        <f t="shared" si="1115"/>
        <v>2025</v>
      </c>
      <c r="N4824" s="156">
        <v>240</v>
      </c>
      <c r="P4824" s="12"/>
      <c r="Q4824" s="7">
        <f t="shared" si="1116"/>
        <v>7949816.4500000104</v>
      </c>
      <c r="R4824" s="44" t="str">
        <f>VLOOKUP(F4824,'Set up'!$A$2:$E$70,5,FALSE)</f>
        <v>Trsf</v>
      </c>
    </row>
    <row r="4825" spans="1:18" ht="16.2" customHeight="1" x14ac:dyDescent="0.3">
      <c r="A4825" s="150" t="s">
        <v>4413</v>
      </c>
      <c r="B4825" s="5">
        <f t="shared" si="1111"/>
        <v>12</v>
      </c>
      <c r="C4825" s="5">
        <f t="shared" si="1112"/>
        <v>2025</v>
      </c>
      <c r="D4825" s="150" t="s">
        <v>4384</v>
      </c>
      <c r="E4825" s="5" t="str">
        <f>VLOOKUP(F4825,'Set up'!$A$2:$C$70,2,FALSE)</f>
        <v>C00000027</v>
      </c>
      <c r="F4825" s="151" t="s">
        <v>859</v>
      </c>
      <c r="G4825" s="151" t="s">
        <v>945</v>
      </c>
      <c r="H4825" s="150">
        <v>2</v>
      </c>
      <c r="I4825" s="5" t="str">
        <f>VLOOKUP(F4825,'Set up'!$A$2:$C$70,3,FALSE)</f>
        <v>Cash</v>
      </c>
      <c r="J4825" s="5">
        <f>VLOOKUP(F4825,'Set up'!$A$2:$D$70,4,FALSE)</f>
        <v>0</v>
      </c>
      <c r="K4825" s="4">
        <f t="shared" si="1113"/>
        <v>46011</v>
      </c>
      <c r="L4825" s="5">
        <f t="shared" si="1114"/>
        <v>12</v>
      </c>
      <c r="M4825" s="5">
        <f t="shared" si="1115"/>
        <v>2025</v>
      </c>
      <c r="N4825" s="156">
        <v>240</v>
      </c>
      <c r="P4825" s="12"/>
      <c r="Q4825" s="7">
        <f t="shared" si="1116"/>
        <v>7950056.4500000104</v>
      </c>
      <c r="R4825" s="44" t="str">
        <f>VLOOKUP(F4825,'Set up'!$A$2:$E$70,5,FALSE)</f>
        <v>Trsf</v>
      </c>
    </row>
    <row r="4826" spans="1:18" ht="16.2" customHeight="1" x14ac:dyDescent="0.3">
      <c r="A4826" s="150" t="s">
        <v>4413</v>
      </c>
      <c r="B4826" s="5">
        <f t="shared" si="1111"/>
        <v>12</v>
      </c>
      <c r="C4826" s="5">
        <f t="shared" si="1112"/>
        <v>2025</v>
      </c>
      <c r="D4826" s="150" t="s">
        <v>4384</v>
      </c>
      <c r="E4826" s="5" t="str">
        <f>VLOOKUP(F4826,'Set up'!$A$2:$C$70,2,FALSE)</f>
        <v>C00000027</v>
      </c>
      <c r="F4826" s="151" t="s">
        <v>859</v>
      </c>
      <c r="G4826" s="151" t="s">
        <v>4348</v>
      </c>
      <c r="H4826" s="150">
        <v>6</v>
      </c>
      <c r="I4826" s="5" t="str">
        <f>VLOOKUP(F4826,'Set up'!$A$2:$C$70,3,FALSE)</f>
        <v>Cash</v>
      </c>
      <c r="J4826" s="5">
        <f>VLOOKUP(F4826,'Set up'!$A$2:$D$70,4,FALSE)</f>
        <v>0</v>
      </c>
      <c r="K4826" s="4">
        <f t="shared" si="1113"/>
        <v>46011</v>
      </c>
      <c r="L4826" s="5">
        <f t="shared" si="1114"/>
        <v>12</v>
      </c>
      <c r="M4826" s="5">
        <f t="shared" si="1115"/>
        <v>2025</v>
      </c>
      <c r="N4826" s="156">
        <v>360</v>
      </c>
      <c r="P4826" s="12"/>
      <c r="Q4826" s="7">
        <f t="shared" si="1116"/>
        <v>7950416.4500000104</v>
      </c>
      <c r="R4826" s="44" t="str">
        <f>VLOOKUP(F4826,'Set up'!$A$2:$E$70,5,FALSE)</f>
        <v>Trsf</v>
      </c>
    </row>
    <row r="4827" spans="1:18" ht="16.2" customHeight="1" x14ac:dyDescent="0.3">
      <c r="A4827" s="150" t="s">
        <v>4413</v>
      </c>
      <c r="B4827" s="5">
        <f t="shared" si="1111"/>
        <v>12</v>
      </c>
      <c r="C4827" s="5">
        <f t="shared" si="1112"/>
        <v>2025</v>
      </c>
      <c r="D4827" s="150" t="s">
        <v>4385</v>
      </c>
      <c r="E4827" s="5" t="e">
        <f>VLOOKUP(F4827,'Set up'!$A$2:$C$70,2,FALSE)</f>
        <v>#N/A</v>
      </c>
      <c r="F4827" s="151" t="s">
        <v>4130</v>
      </c>
      <c r="G4827" s="151" t="s">
        <v>3122</v>
      </c>
      <c r="H4827" s="150">
        <v>1</v>
      </c>
      <c r="I4827" s="5" t="e">
        <f>VLOOKUP(F4827,'Set up'!$A$2:$C$70,3,FALSE)</f>
        <v>#N/A</v>
      </c>
      <c r="J4827" s="5" t="e">
        <f>VLOOKUP(F4827,'Set up'!$A$2:$D$70,4,FALSE)</f>
        <v>#N/A</v>
      </c>
      <c r="K4827" s="4" t="e">
        <f t="shared" si="1113"/>
        <v>#N/A</v>
      </c>
      <c r="L4827" s="5" t="e">
        <f t="shared" si="1114"/>
        <v>#N/A</v>
      </c>
      <c r="M4827" s="5" t="e">
        <f t="shared" si="1115"/>
        <v>#N/A</v>
      </c>
      <c r="N4827" s="156">
        <v>1687.5</v>
      </c>
      <c r="P4827" s="12"/>
      <c r="Q4827" s="7">
        <f t="shared" si="1116"/>
        <v>7952103.9500000104</v>
      </c>
      <c r="R4827" s="44" t="e">
        <f>VLOOKUP(F4827,'Set up'!$A$2:$E$70,5,FALSE)</f>
        <v>#N/A</v>
      </c>
    </row>
    <row r="4828" spans="1:18" ht="16.2" customHeight="1" x14ac:dyDescent="0.3">
      <c r="A4828" s="150" t="s">
        <v>4413</v>
      </c>
      <c r="B4828" s="5">
        <f t="shared" si="1111"/>
        <v>12</v>
      </c>
      <c r="C4828" s="5">
        <f t="shared" si="1112"/>
        <v>2025</v>
      </c>
      <c r="D4828" s="150" t="s">
        <v>4385</v>
      </c>
      <c r="E4828" s="5" t="e">
        <f>VLOOKUP(F4828,'Set up'!$A$2:$C$70,2,FALSE)</f>
        <v>#N/A</v>
      </c>
      <c r="F4828" s="151" t="s">
        <v>4130</v>
      </c>
      <c r="G4828" s="151" t="s">
        <v>707</v>
      </c>
      <c r="H4828" s="150">
        <v>1</v>
      </c>
      <c r="I4828" s="5" t="e">
        <f>VLOOKUP(F4828,'Set up'!$A$2:$C$70,3,FALSE)</f>
        <v>#N/A</v>
      </c>
      <c r="J4828" s="5" t="e">
        <f>VLOOKUP(F4828,'Set up'!$A$2:$D$70,4,FALSE)</f>
        <v>#N/A</v>
      </c>
      <c r="K4828" s="4" t="e">
        <f t="shared" si="1113"/>
        <v>#N/A</v>
      </c>
      <c r="L4828" s="5" t="e">
        <f t="shared" si="1114"/>
        <v>#N/A</v>
      </c>
      <c r="M4828" s="5" t="e">
        <f t="shared" si="1115"/>
        <v>#N/A</v>
      </c>
      <c r="N4828" s="156">
        <v>394.2</v>
      </c>
      <c r="P4828" s="12"/>
      <c r="Q4828" s="7">
        <f t="shared" si="1116"/>
        <v>7952498.1500000106</v>
      </c>
      <c r="R4828" s="44" t="e">
        <f>VLOOKUP(F4828,'Set up'!$A$2:$E$70,5,FALSE)</f>
        <v>#N/A</v>
      </c>
    </row>
    <row r="4829" spans="1:18" ht="16.2" customHeight="1" x14ac:dyDescent="0.3">
      <c r="A4829" s="150" t="s">
        <v>4413</v>
      </c>
      <c r="B4829" s="5">
        <f t="shared" si="1111"/>
        <v>12</v>
      </c>
      <c r="C4829" s="5">
        <f t="shared" si="1112"/>
        <v>2025</v>
      </c>
      <c r="D4829" s="150" t="s">
        <v>4385</v>
      </c>
      <c r="E4829" s="5" t="e">
        <f>VLOOKUP(F4829,'Set up'!$A$2:$C$70,2,FALSE)</f>
        <v>#N/A</v>
      </c>
      <c r="F4829" s="151" t="s">
        <v>4130</v>
      </c>
      <c r="G4829" s="151" t="s">
        <v>2556</v>
      </c>
      <c r="H4829" s="150">
        <v>1</v>
      </c>
      <c r="I4829" s="5" t="e">
        <f>VLOOKUP(F4829,'Set up'!$A$2:$C$70,3,FALSE)</f>
        <v>#N/A</v>
      </c>
      <c r="J4829" s="5" t="e">
        <f>VLOOKUP(F4829,'Set up'!$A$2:$D$70,4,FALSE)</f>
        <v>#N/A</v>
      </c>
      <c r="K4829" s="4" t="e">
        <f t="shared" si="1113"/>
        <v>#N/A</v>
      </c>
      <c r="L4829" s="5" t="e">
        <f t="shared" si="1114"/>
        <v>#N/A</v>
      </c>
      <c r="M4829" s="5" t="e">
        <f t="shared" si="1115"/>
        <v>#N/A</v>
      </c>
      <c r="N4829" s="156">
        <v>394.2</v>
      </c>
      <c r="P4829" s="12"/>
      <c r="Q4829" s="7">
        <f t="shared" si="1116"/>
        <v>7952892.3500000108</v>
      </c>
      <c r="R4829" s="44" t="e">
        <f>VLOOKUP(F4829,'Set up'!$A$2:$E$70,5,FALSE)</f>
        <v>#N/A</v>
      </c>
    </row>
    <row r="4830" spans="1:18" ht="16.2" customHeight="1" x14ac:dyDescent="0.3">
      <c r="A4830" s="150" t="s">
        <v>4413</v>
      </c>
      <c r="B4830" s="5">
        <f t="shared" si="1111"/>
        <v>12</v>
      </c>
      <c r="C4830" s="5">
        <f t="shared" si="1112"/>
        <v>2025</v>
      </c>
      <c r="D4830" s="150" t="s">
        <v>4385</v>
      </c>
      <c r="E4830" s="5" t="e">
        <f>VLOOKUP(F4830,'Set up'!$A$2:$C$70,2,FALSE)</f>
        <v>#N/A</v>
      </c>
      <c r="F4830" s="151" t="s">
        <v>4130</v>
      </c>
      <c r="G4830" s="151" t="s">
        <v>2144</v>
      </c>
      <c r="H4830" s="150">
        <v>1</v>
      </c>
      <c r="I4830" s="5" t="e">
        <f>VLOOKUP(F4830,'Set up'!$A$2:$C$70,3,FALSE)</f>
        <v>#N/A</v>
      </c>
      <c r="J4830" s="5" t="e">
        <f>VLOOKUP(F4830,'Set up'!$A$2:$D$70,4,FALSE)</f>
        <v>#N/A</v>
      </c>
      <c r="K4830" s="4" t="e">
        <f t="shared" si="1113"/>
        <v>#N/A</v>
      </c>
      <c r="L4830" s="5" t="e">
        <f t="shared" si="1114"/>
        <v>#N/A</v>
      </c>
      <c r="M4830" s="5" t="e">
        <f t="shared" si="1115"/>
        <v>#N/A</v>
      </c>
      <c r="N4830" s="156">
        <v>286</v>
      </c>
      <c r="P4830" s="12"/>
      <c r="Q4830" s="7">
        <f t="shared" si="1116"/>
        <v>7953178.3500000108</v>
      </c>
      <c r="R4830" s="44" t="e">
        <f>VLOOKUP(F4830,'Set up'!$A$2:$E$70,5,FALSE)</f>
        <v>#N/A</v>
      </c>
    </row>
    <row r="4831" spans="1:18" ht="16.2" customHeight="1" x14ac:dyDescent="0.3">
      <c r="A4831" s="150" t="s">
        <v>4413</v>
      </c>
      <c r="B4831" s="5">
        <f t="shared" si="1111"/>
        <v>12</v>
      </c>
      <c r="C4831" s="5">
        <f t="shared" si="1112"/>
        <v>2025</v>
      </c>
      <c r="D4831" s="150" t="s">
        <v>4385</v>
      </c>
      <c r="E4831" s="5" t="e">
        <f>VLOOKUP(F4831,'Set up'!$A$2:$C$70,2,FALSE)</f>
        <v>#N/A</v>
      </c>
      <c r="F4831" s="151" t="s">
        <v>4130</v>
      </c>
      <c r="G4831" s="151" t="s">
        <v>4204</v>
      </c>
      <c r="H4831" s="150">
        <v>2</v>
      </c>
      <c r="I4831" s="5" t="e">
        <f>VLOOKUP(F4831,'Set up'!$A$2:$C$70,3,FALSE)</f>
        <v>#N/A</v>
      </c>
      <c r="J4831" s="5" t="e">
        <f>VLOOKUP(F4831,'Set up'!$A$2:$D$70,4,FALSE)</f>
        <v>#N/A</v>
      </c>
      <c r="K4831" s="4" t="e">
        <f t="shared" si="1113"/>
        <v>#N/A</v>
      </c>
      <c r="L4831" s="5" t="e">
        <f t="shared" si="1114"/>
        <v>#N/A</v>
      </c>
      <c r="M4831" s="5" t="e">
        <f t="shared" si="1115"/>
        <v>#N/A</v>
      </c>
      <c r="N4831" s="156">
        <v>320</v>
      </c>
      <c r="P4831" s="12"/>
      <c r="Q4831" s="7">
        <f t="shared" si="1116"/>
        <v>7953498.3500000108</v>
      </c>
      <c r="R4831" s="44" t="e">
        <f>VLOOKUP(F4831,'Set up'!$A$2:$E$70,5,FALSE)</f>
        <v>#N/A</v>
      </c>
    </row>
    <row r="4832" spans="1:18" ht="16.2" customHeight="1" x14ac:dyDescent="0.3">
      <c r="A4832" s="150" t="s">
        <v>4413</v>
      </c>
      <c r="B4832" s="5">
        <f t="shared" si="1111"/>
        <v>12</v>
      </c>
      <c r="C4832" s="5">
        <f t="shared" si="1112"/>
        <v>2025</v>
      </c>
      <c r="D4832" s="150" t="s">
        <v>4385</v>
      </c>
      <c r="E4832" s="5" t="e">
        <f>VLOOKUP(F4832,'Set up'!$A$2:$C$70,2,FALSE)</f>
        <v>#N/A</v>
      </c>
      <c r="F4832" s="151" t="s">
        <v>4130</v>
      </c>
      <c r="G4832" s="151" t="s">
        <v>945</v>
      </c>
      <c r="H4832" s="150">
        <v>1</v>
      </c>
      <c r="I4832" s="5" t="e">
        <f>VLOOKUP(F4832,'Set up'!$A$2:$C$70,3,FALSE)</f>
        <v>#N/A</v>
      </c>
      <c r="J4832" s="5" t="e">
        <f>VLOOKUP(F4832,'Set up'!$A$2:$D$70,4,FALSE)</f>
        <v>#N/A</v>
      </c>
      <c r="K4832" s="4" t="e">
        <f t="shared" si="1113"/>
        <v>#N/A</v>
      </c>
      <c r="L4832" s="5" t="e">
        <f t="shared" si="1114"/>
        <v>#N/A</v>
      </c>
      <c r="M4832" s="5" t="e">
        <f t="shared" si="1115"/>
        <v>#N/A</v>
      </c>
      <c r="N4832" s="156">
        <v>120</v>
      </c>
      <c r="P4832" s="12"/>
      <c r="Q4832" s="7">
        <f t="shared" si="1116"/>
        <v>7953618.3500000108</v>
      </c>
      <c r="R4832" s="44" t="e">
        <f>VLOOKUP(F4832,'Set up'!$A$2:$E$70,5,FALSE)</f>
        <v>#N/A</v>
      </c>
    </row>
    <row r="4833" spans="1:18" ht="16.2" customHeight="1" x14ac:dyDescent="0.3">
      <c r="A4833" s="150" t="s">
        <v>4413</v>
      </c>
      <c r="B4833" s="5">
        <f t="shared" si="1111"/>
        <v>12</v>
      </c>
      <c r="C4833" s="5">
        <f t="shared" si="1112"/>
        <v>2025</v>
      </c>
      <c r="D4833" s="150" t="s">
        <v>4385</v>
      </c>
      <c r="E4833" s="5" t="e">
        <f>VLOOKUP(F4833,'Set up'!$A$2:$C$70,2,FALSE)</f>
        <v>#N/A</v>
      </c>
      <c r="F4833" s="151" t="s">
        <v>4130</v>
      </c>
      <c r="G4833" s="151" t="s">
        <v>2646</v>
      </c>
      <c r="H4833" s="150">
        <v>2</v>
      </c>
      <c r="I4833" s="5" t="e">
        <f>VLOOKUP(F4833,'Set up'!$A$2:$C$70,3,FALSE)</f>
        <v>#N/A</v>
      </c>
      <c r="J4833" s="5" t="e">
        <f>VLOOKUP(F4833,'Set up'!$A$2:$D$70,4,FALSE)</f>
        <v>#N/A</v>
      </c>
      <c r="K4833" s="4" t="e">
        <f t="shared" si="1113"/>
        <v>#N/A</v>
      </c>
      <c r="L4833" s="5" t="e">
        <f t="shared" si="1114"/>
        <v>#N/A</v>
      </c>
      <c r="M4833" s="5" t="e">
        <f t="shared" si="1115"/>
        <v>#N/A</v>
      </c>
      <c r="N4833" s="156">
        <v>125</v>
      </c>
      <c r="P4833" s="12"/>
      <c r="Q4833" s="7">
        <f t="shared" si="1116"/>
        <v>7953743.3500000108</v>
      </c>
      <c r="R4833" s="44" t="e">
        <f>VLOOKUP(F4833,'Set up'!$A$2:$E$70,5,FALSE)</f>
        <v>#N/A</v>
      </c>
    </row>
    <row r="4834" spans="1:18" ht="16.2" customHeight="1" x14ac:dyDescent="0.3">
      <c r="A4834" s="150" t="s">
        <v>4414</v>
      </c>
      <c r="B4834" s="5">
        <f t="shared" si="1111"/>
        <v>12</v>
      </c>
      <c r="C4834" s="5">
        <f t="shared" si="1112"/>
        <v>2025</v>
      </c>
      <c r="D4834" s="150" t="s">
        <v>4386</v>
      </c>
      <c r="E4834" s="5" t="str">
        <f>VLOOKUP(F4834,'Set up'!$A$2:$C$70,2,FALSE)</f>
        <v>C00000049</v>
      </c>
      <c r="F4834" s="151" t="s">
        <v>2728</v>
      </c>
      <c r="G4834" s="151" t="s">
        <v>4425</v>
      </c>
      <c r="H4834" s="150">
        <v>1</v>
      </c>
      <c r="I4834" s="5" t="str">
        <f>VLOOKUP(F4834,'Set up'!$A$2:$C$70,3,FALSE)</f>
        <v>Cash</v>
      </c>
      <c r="J4834" s="5">
        <f>VLOOKUP(F4834,'Set up'!$A$2:$D$70,4,FALSE)</f>
        <v>0</v>
      </c>
      <c r="K4834" s="4">
        <f t="shared" si="1113"/>
        <v>46013</v>
      </c>
      <c r="L4834" s="5">
        <f t="shared" si="1114"/>
        <v>12</v>
      </c>
      <c r="M4834" s="5">
        <f t="shared" si="1115"/>
        <v>2025</v>
      </c>
      <c r="N4834" s="156">
        <v>480</v>
      </c>
      <c r="P4834" s="12"/>
      <c r="Q4834" s="7">
        <f t="shared" si="1116"/>
        <v>7954223.3500000108</v>
      </c>
      <c r="R4834" s="44" t="str">
        <f>VLOOKUP(F4834,'Set up'!$A$2:$E$70,5,FALSE)</f>
        <v>Cash</v>
      </c>
    </row>
    <row r="4835" spans="1:18" ht="16.2" customHeight="1" x14ac:dyDescent="0.3">
      <c r="A4835" s="150" t="s">
        <v>4414</v>
      </c>
      <c r="B4835" s="5">
        <f t="shared" si="1111"/>
        <v>12</v>
      </c>
      <c r="C4835" s="5">
        <f t="shared" si="1112"/>
        <v>2025</v>
      </c>
      <c r="D4835" s="150" t="s">
        <v>4386</v>
      </c>
      <c r="E4835" s="5" t="str">
        <f>VLOOKUP(F4835,'Set up'!$A$2:$C$70,2,FALSE)</f>
        <v>C00000049</v>
      </c>
      <c r="F4835" s="151" t="s">
        <v>2728</v>
      </c>
      <c r="G4835" s="151" t="s">
        <v>4204</v>
      </c>
      <c r="H4835" s="150">
        <v>1</v>
      </c>
      <c r="I4835" s="5" t="str">
        <f>VLOOKUP(F4835,'Set up'!$A$2:$C$70,3,FALSE)</f>
        <v>Cash</v>
      </c>
      <c r="J4835" s="5">
        <f>VLOOKUP(F4835,'Set up'!$A$2:$D$70,4,FALSE)</f>
        <v>0</v>
      </c>
      <c r="K4835" s="4">
        <f t="shared" si="1113"/>
        <v>46013</v>
      </c>
      <c r="L4835" s="5">
        <f t="shared" si="1114"/>
        <v>12</v>
      </c>
      <c r="M4835" s="5">
        <f t="shared" si="1115"/>
        <v>2025</v>
      </c>
      <c r="N4835" s="156">
        <v>165</v>
      </c>
      <c r="P4835" s="12"/>
      <c r="Q4835" s="7">
        <f t="shared" si="1116"/>
        <v>7954388.3500000108</v>
      </c>
      <c r="R4835" s="44" t="str">
        <f>VLOOKUP(F4835,'Set up'!$A$2:$E$70,5,FALSE)</f>
        <v>Cash</v>
      </c>
    </row>
    <row r="4836" spans="1:18" ht="16.2" customHeight="1" x14ac:dyDescent="0.3">
      <c r="A4836" s="150" t="s">
        <v>4414</v>
      </c>
      <c r="B4836" s="5">
        <f t="shared" si="1111"/>
        <v>12</v>
      </c>
      <c r="C4836" s="5">
        <f t="shared" si="1112"/>
        <v>2025</v>
      </c>
      <c r="D4836" s="150" t="s">
        <v>4386</v>
      </c>
      <c r="E4836" s="5" t="str">
        <f>VLOOKUP(F4836,'Set up'!$A$2:$C$70,2,FALSE)</f>
        <v>C00000049</v>
      </c>
      <c r="F4836" s="151" t="s">
        <v>2728</v>
      </c>
      <c r="G4836" s="151" t="s">
        <v>17</v>
      </c>
      <c r="H4836" s="150">
        <v>1</v>
      </c>
      <c r="I4836" s="5" t="str">
        <f>VLOOKUP(F4836,'Set up'!$A$2:$C$70,3,FALSE)</f>
        <v>Cash</v>
      </c>
      <c r="J4836" s="5">
        <f>VLOOKUP(F4836,'Set up'!$A$2:$D$70,4,FALSE)</f>
        <v>0</v>
      </c>
      <c r="K4836" s="4">
        <f t="shared" si="1113"/>
        <v>46013</v>
      </c>
      <c r="L4836" s="5">
        <f t="shared" si="1114"/>
        <v>12</v>
      </c>
      <c r="M4836" s="5">
        <f t="shared" si="1115"/>
        <v>2025</v>
      </c>
      <c r="N4836" s="156">
        <v>120</v>
      </c>
      <c r="P4836" s="12"/>
      <c r="Q4836" s="7">
        <f t="shared" si="1116"/>
        <v>7954508.3500000108</v>
      </c>
      <c r="R4836" s="44" t="str">
        <f>VLOOKUP(F4836,'Set up'!$A$2:$E$70,5,FALSE)</f>
        <v>Cash</v>
      </c>
    </row>
    <row r="4837" spans="1:18" ht="16.2" customHeight="1" x14ac:dyDescent="0.3">
      <c r="A4837" s="150" t="s">
        <v>4413</v>
      </c>
      <c r="B4837" s="5">
        <f t="shared" si="1111"/>
        <v>12</v>
      </c>
      <c r="C4837" s="5">
        <f t="shared" si="1112"/>
        <v>2025</v>
      </c>
      <c r="D4837" s="150" t="s">
        <v>4387</v>
      </c>
      <c r="E4837" s="5" t="str">
        <f>VLOOKUP(F4837,'Set up'!$A$2:$C$70,2,FALSE)</f>
        <v>C00000061</v>
      </c>
      <c r="F4837" s="151" t="s">
        <v>3532</v>
      </c>
      <c r="G4837" s="151" t="s">
        <v>2141</v>
      </c>
      <c r="H4837" s="150">
        <v>3</v>
      </c>
      <c r="I4837" s="5" t="str">
        <f>VLOOKUP(F4837,'Set up'!$A$2:$C$70,3,FALSE)</f>
        <v>Cash</v>
      </c>
      <c r="J4837" s="5">
        <f>VLOOKUP(F4837,'Set up'!$A$2:$D$70,4,FALSE)</f>
        <v>0</v>
      </c>
      <c r="K4837" s="4">
        <f t="shared" si="1113"/>
        <v>46011</v>
      </c>
      <c r="L4837" s="5">
        <f t="shared" si="1114"/>
        <v>12</v>
      </c>
      <c r="M4837" s="5">
        <f t="shared" si="1115"/>
        <v>2025</v>
      </c>
      <c r="N4837" s="156">
        <v>988.2</v>
      </c>
      <c r="P4837" s="12"/>
      <c r="Q4837" s="7">
        <f t="shared" si="1116"/>
        <v>7955496.550000011</v>
      </c>
      <c r="R4837" s="44" t="str">
        <f>VLOOKUP(F4837,'Set up'!$A$2:$E$70,5,FALSE)</f>
        <v>Cash</v>
      </c>
    </row>
    <row r="4838" spans="1:18" ht="16.2" customHeight="1" x14ac:dyDescent="0.3">
      <c r="A4838" s="150" t="s">
        <v>4413</v>
      </c>
      <c r="B4838" s="5">
        <f t="shared" si="1111"/>
        <v>12</v>
      </c>
      <c r="C4838" s="5">
        <f t="shared" si="1112"/>
        <v>2025</v>
      </c>
      <c r="D4838" s="150" t="s">
        <v>4387</v>
      </c>
      <c r="E4838" s="5" t="str">
        <f>VLOOKUP(F4838,'Set up'!$A$2:$C$70,2,FALSE)</f>
        <v>C00000061</v>
      </c>
      <c r="F4838" s="151" t="s">
        <v>3532</v>
      </c>
      <c r="G4838" s="151" t="s">
        <v>2635</v>
      </c>
      <c r="H4838" s="150">
        <v>10</v>
      </c>
      <c r="I4838" s="5" t="str">
        <f>VLOOKUP(F4838,'Set up'!$A$2:$C$70,3,FALSE)</f>
        <v>Cash</v>
      </c>
      <c r="J4838" s="5">
        <f>VLOOKUP(F4838,'Set up'!$A$2:$D$70,4,FALSE)</f>
        <v>0</v>
      </c>
      <c r="K4838" s="4">
        <f t="shared" si="1113"/>
        <v>46011</v>
      </c>
      <c r="L4838" s="5">
        <f t="shared" si="1114"/>
        <v>12</v>
      </c>
      <c r="M4838" s="5">
        <f t="shared" si="1115"/>
        <v>2025</v>
      </c>
      <c r="N4838" s="156">
        <v>525</v>
      </c>
      <c r="P4838" s="12"/>
      <c r="Q4838" s="7">
        <f t="shared" si="1116"/>
        <v>7956021.550000011</v>
      </c>
      <c r="R4838" s="44" t="str">
        <f>VLOOKUP(F4838,'Set up'!$A$2:$E$70,5,FALSE)</f>
        <v>Cash</v>
      </c>
    </row>
    <row r="4839" spans="1:18" ht="16.2" customHeight="1" x14ac:dyDescent="0.3">
      <c r="A4839" s="150" t="s">
        <v>4414</v>
      </c>
      <c r="B4839" s="5">
        <f t="shared" si="1111"/>
        <v>12</v>
      </c>
      <c r="C4839" s="5">
        <f t="shared" si="1112"/>
        <v>2025</v>
      </c>
      <c r="D4839" s="150" t="s">
        <v>4388</v>
      </c>
      <c r="E4839" s="5" t="str">
        <f>VLOOKUP(F4839,'Set up'!$A$2:$C$70,2,FALSE)</f>
        <v>C00000019</v>
      </c>
      <c r="F4839" s="151" t="s">
        <v>400</v>
      </c>
      <c r="G4839" s="151" t="s">
        <v>3226</v>
      </c>
      <c r="H4839" s="150">
        <v>1</v>
      </c>
      <c r="I4839" s="5" t="str">
        <f>VLOOKUP(F4839,'Set up'!$A$2:$C$70,3,FALSE)</f>
        <v>Cash</v>
      </c>
      <c r="J4839" s="5">
        <f>VLOOKUP(F4839,'Set up'!$A$2:$D$70,4,FALSE)</f>
        <v>0</v>
      </c>
      <c r="K4839" s="4">
        <f t="shared" si="1113"/>
        <v>46013</v>
      </c>
      <c r="L4839" s="5">
        <f t="shared" si="1114"/>
        <v>12</v>
      </c>
      <c r="M4839" s="5">
        <f t="shared" si="1115"/>
        <v>2025</v>
      </c>
      <c r="N4839" s="156">
        <v>250</v>
      </c>
      <c r="P4839" s="12"/>
      <c r="Q4839" s="7">
        <f t="shared" si="1116"/>
        <v>7956271.550000011</v>
      </c>
      <c r="R4839" s="44" t="str">
        <f>VLOOKUP(F4839,'Set up'!$A$2:$E$70,5,FALSE)</f>
        <v>Trsf</v>
      </c>
    </row>
    <row r="4840" spans="1:18" ht="16.2" customHeight="1" x14ac:dyDescent="0.3">
      <c r="A4840" s="150" t="s">
        <v>4414</v>
      </c>
      <c r="B4840" s="5">
        <f t="shared" si="1111"/>
        <v>12</v>
      </c>
      <c r="C4840" s="5">
        <f t="shared" si="1112"/>
        <v>2025</v>
      </c>
      <c r="D4840" s="150" t="s">
        <v>4388</v>
      </c>
      <c r="E4840" s="5" t="str">
        <f>VLOOKUP(F4840,'Set up'!$A$2:$C$70,2,FALSE)</f>
        <v>C00000019</v>
      </c>
      <c r="F4840" s="151" t="s">
        <v>400</v>
      </c>
      <c r="G4840" s="151" t="s">
        <v>768</v>
      </c>
      <c r="H4840" s="150">
        <v>1</v>
      </c>
      <c r="I4840" s="5" t="str">
        <f>VLOOKUP(F4840,'Set up'!$A$2:$C$70,3,FALSE)</f>
        <v>Cash</v>
      </c>
      <c r="J4840" s="5">
        <f>VLOOKUP(F4840,'Set up'!$A$2:$D$70,4,FALSE)</f>
        <v>0</v>
      </c>
      <c r="K4840" s="4">
        <f t="shared" si="1113"/>
        <v>46013</v>
      </c>
      <c r="L4840" s="5">
        <f t="shared" si="1114"/>
        <v>12</v>
      </c>
      <c r="M4840" s="5">
        <f t="shared" si="1115"/>
        <v>2025</v>
      </c>
      <c r="N4840" s="156">
        <v>160</v>
      </c>
      <c r="P4840" s="12"/>
      <c r="Q4840" s="7">
        <f t="shared" si="1116"/>
        <v>7956431.550000011</v>
      </c>
      <c r="R4840" s="44" t="str">
        <f>VLOOKUP(F4840,'Set up'!$A$2:$E$70,5,FALSE)</f>
        <v>Trsf</v>
      </c>
    </row>
    <row r="4841" spans="1:18" ht="16.2" customHeight="1" x14ac:dyDescent="0.3">
      <c r="A4841" s="150" t="s">
        <v>4415</v>
      </c>
      <c r="B4841" s="5">
        <f t="shared" si="1111"/>
        <v>12</v>
      </c>
      <c r="C4841" s="5">
        <f t="shared" si="1112"/>
        <v>2025</v>
      </c>
      <c r="D4841" s="150" t="s">
        <v>4389</v>
      </c>
      <c r="E4841" s="5" t="str">
        <f>VLOOKUP(F4841,'Set up'!$A$2:$C$70,2,FALSE)</f>
        <v>C00000042</v>
      </c>
      <c r="F4841" s="151" t="s">
        <v>2012</v>
      </c>
      <c r="G4841" s="151" t="s">
        <v>2646</v>
      </c>
      <c r="H4841" s="150">
        <v>2</v>
      </c>
      <c r="I4841" s="5" t="str">
        <f>VLOOKUP(F4841,'Set up'!$A$2:$C$70,3,FALSE)</f>
        <v>Cash</v>
      </c>
      <c r="J4841" s="5">
        <f>VLOOKUP(F4841,'Set up'!$A$2:$D$70,4,FALSE)</f>
        <v>0</v>
      </c>
      <c r="K4841" s="4">
        <f t="shared" si="1113"/>
        <v>46014</v>
      </c>
      <c r="L4841" s="5">
        <f t="shared" si="1114"/>
        <v>12</v>
      </c>
      <c r="M4841" s="5">
        <f t="shared" si="1115"/>
        <v>2025</v>
      </c>
      <c r="N4841" s="156">
        <v>125</v>
      </c>
      <c r="P4841" s="12"/>
      <c r="Q4841" s="7">
        <f t="shared" si="1116"/>
        <v>7956556.550000011</v>
      </c>
      <c r="R4841" s="44" t="str">
        <f>VLOOKUP(F4841,'Set up'!$A$2:$E$70,5,FALSE)</f>
        <v>Trsf</v>
      </c>
    </row>
    <row r="4842" spans="1:18" ht="16.2" customHeight="1" x14ac:dyDescent="0.3">
      <c r="A4842" s="150" t="s">
        <v>4415</v>
      </c>
      <c r="B4842" s="5">
        <f t="shared" si="1111"/>
        <v>12</v>
      </c>
      <c r="C4842" s="5">
        <f t="shared" si="1112"/>
        <v>2025</v>
      </c>
      <c r="D4842" s="150" t="s">
        <v>4390</v>
      </c>
      <c r="E4842" s="5" t="str">
        <f>VLOOKUP(F4842,'Set up'!$A$2:$C$70,2,FALSE)</f>
        <v>C00000042</v>
      </c>
      <c r="F4842" s="151" t="s">
        <v>2012</v>
      </c>
      <c r="G4842" s="151" t="s">
        <v>3645</v>
      </c>
      <c r="H4842" s="150">
        <v>5</v>
      </c>
      <c r="I4842" s="5" t="str">
        <f>VLOOKUP(F4842,'Set up'!$A$2:$C$70,3,FALSE)</f>
        <v>Cash</v>
      </c>
      <c r="J4842" s="5">
        <f>VLOOKUP(F4842,'Set up'!$A$2:$D$70,4,FALSE)</f>
        <v>0</v>
      </c>
      <c r="K4842" s="4">
        <f t="shared" si="1113"/>
        <v>46014</v>
      </c>
      <c r="L4842" s="5">
        <f t="shared" si="1114"/>
        <v>12</v>
      </c>
      <c r="M4842" s="5">
        <f t="shared" si="1115"/>
        <v>2025</v>
      </c>
      <c r="N4842" s="156">
        <v>7762.5</v>
      </c>
      <c r="P4842" s="12"/>
      <c r="Q4842" s="7">
        <f t="shared" si="1116"/>
        <v>7964319.050000011</v>
      </c>
      <c r="R4842" s="44" t="str">
        <f>VLOOKUP(F4842,'Set up'!$A$2:$E$70,5,FALSE)</f>
        <v>Trsf</v>
      </c>
    </row>
    <row r="4843" spans="1:18" ht="16.2" customHeight="1" x14ac:dyDescent="0.3">
      <c r="A4843" s="150" t="s">
        <v>4415</v>
      </c>
      <c r="B4843" s="5">
        <f t="shared" si="1111"/>
        <v>12</v>
      </c>
      <c r="C4843" s="5">
        <f t="shared" si="1112"/>
        <v>2025</v>
      </c>
      <c r="D4843" s="150" t="s">
        <v>4390</v>
      </c>
      <c r="E4843" s="5" t="str">
        <f>VLOOKUP(F4843,'Set up'!$A$2:$C$70,2,FALSE)</f>
        <v>C00000042</v>
      </c>
      <c r="F4843" s="151" t="s">
        <v>2012</v>
      </c>
      <c r="G4843" s="151" t="s">
        <v>1392</v>
      </c>
      <c r="H4843" s="150">
        <v>15</v>
      </c>
      <c r="I4843" s="5" t="str">
        <f>VLOOKUP(F4843,'Set up'!$A$2:$C$70,3,FALSE)</f>
        <v>Cash</v>
      </c>
      <c r="J4843" s="5">
        <f>VLOOKUP(F4843,'Set up'!$A$2:$D$70,4,FALSE)</f>
        <v>0</v>
      </c>
      <c r="K4843" s="4">
        <f t="shared" si="1113"/>
        <v>46014</v>
      </c>
      <c r="L4843" s="5">
        <f t="shared" si="1114"/>
        <v>12</v>
      </c>
      <c r="M4843" s="5">
        <f t="shared" si="1115"/>
        <v>2025</v>
      </c>
      <c r="N4843" s="156">
        <v>2655</v>
      </c>
      <c r="P4843" s="12"/>
      <c r="Q4843" s="7">
        <f t="shared" si="1116"/>
        <v>7966974.050000011</v>
      </c>
      <c r="R4843" s="44" t="str">
        <f>VLOOKUP(F4843,'Set up'!$A$2:$E$70,5,FALSE)</f>
        <v>Trsf</v>
      </c>
    </row>
    <row r="4844" spans="1:18" ht="16.2" customHeight="1" x14ac:dyDescent="0.3">
      <c r="A4844" s="150" t="s">
        <v>4415</v>
      </c>
      <c r="B4844" s="5">
        <f t="shared" si="1111"/>
        <v>12</v>
      </c>
      <c r="C4844" s="5">
        <f t="shared" si="1112"/>
        <v>2025</v>
      </c>
      <c r="D4844" s="150" t="s">
        <v>4390</v>
      </c>
      <c r="E4844" s="5" t="str">
        <f>VLOOKUP(F4844,'Set up'!$A$2:$C$70,2,FALSE)</f>
        <v>C00000042</v>
      </c>
      <c r="F4844" s="151" t="s">
        <v>2012</v>
      </c>
      <c r="G4844" s="151" t="s">
        <v>1922</v>
      </c>
      <c r="H4844" s="150">
        <v>7</v>
      </c>
      <c r="I4844" s="5" t="str">
        <f>VLOOKUP(F4844,'Set up'!$A$2:$C$70,3,FALSE)</f>
        <v>Cash</v>
      </c>
      <c r="J4844" s="5">
        <f>VLOOKUP(F4844,'Set up'!$A$2:$D$70,4,FALSE)</f>
        <v>0</v>
      </c>
      <c r="K4844" s="4">
        <f t="shared" si="1113"/>
        <v>46014</v>
      </c>
      <c r="L4844" s="5">
        <f t="shared" si="1114"/>
        <v>12</v>
      </c>
      <c r="M4844" s="5">
        <f t="shared" si="1115"/>
        <v>2025</v>
      </c>
      <c r="N4844" s="156">
        <v>1606.5</v>
      </c>
      <c r="P4844" s="12"/>
      <c r="Q4844" s="7">
        <f t="shared" si="1116"/>
        <v>7968580.550000011</v>
      </c>
      <c r="R4844" s="44" t="str">
        <f>VLOOKUP(F4844,'Set up'!$A$2:$E$70,5,FALSE)</f>
        <v>Trsf</v>
      </c>
    </row>
    <row r="4845" spans="1:18" ht="16.2" customHeight="1" x14ac:dyDescent="0.3">
      <c r="A4845" s="150" t="s">
        <v>4415</v>
      </c>
      <c r="B4845" s="5">
        <f t="shared" si="1111"/>
        <v>12</v>
      </c>
      <c r="C4845" s="5">
        <f t="shared" si="1112"/>
        <v>2025</v>
      </c>
      <c r="D4845" s="150" t="s">
        <v>4390</v>
      </c>
      <c r="E4845" s="5" t="str">
        <f>VLOOKUP(F4845,'Set up'!$A$2:$C$70,2,FALSE)</f>
        <v>C00000042</v>
      </c>
      <c r="F4845" s="151" t="s">
        <v>2012</v>
      </c>
      <c r="G4845" s="151" t="s">
        <v>2744</v>
      </c>
      <c r="H4845" s="150">
        <v>1</v>
      </c>
      <c r="I4845" s="5" t="str">
        <f>VLOOKUP(F4845,'Set up'!$A$2:$C$70,3,FALSE)</f>
        <v>Cash</v>
      </c>
      <c r="J4845" s="5">
        <f>VLOOKUP(F4845,'Set up'!$A$2:$D$70,4,FALSE)</f>
        <v>0</v>
      </c>
      <c r="K4845" s="4">
        <f t="shared" si="1113"/>
        <v>46014</v>
      </c>
      <c r="L4845" s="5">
        <f t="shared" si="1114"/>
        <v>12</v>
      </c>
      <c r="M4845" s="5">
        <f t="shared" si="1115"/>
        <v>2025</v>
      </c>
      <c r="N4845" s="156">
        <v>1000</v>
      </c>
      <c r="P4845" s="12"/>
      <c r="Q4845" s="7">
        <f t="shared" si="1116"/>
        <v>7969580.550000011</v>
      </c>
      <c r="R4845" s="44" t="str">
        <f>VLOOKUP(F4845,'Set up'!$A$2:$E$70,5,FALSE)</f>
        <v>Trsf</v>
      </c>
    </row>
    <row r="4846" spans="1:18" ht="16.2" customHeight="1" x14ac:dyDescent="0.3">
      <c r="A4846" s="150" t="s">
        <v>4416</v>
      </c>
      <c r="B4846" s="5">
        <f t="shared" si="1111"/>
        <v>12</v>
      </c>
      <c r="C4846" s="5">
        <f t="shared" si="1112"/>
        <v>2025</v>
      </c>
      <c r="D4846" s="150" t="s">
        <v>4391</v>
      </c>
      <c r="E4846" s="5" t="str">
        <f>VLOOKUP(F4846,'Set up'!$A$2:$C$70,2,FALSE)</f>
        <v>C00000042</v>
      </c>
      <c r="F4846" s="151" t="s">
        <v>2012</v>
      </c>
      <c r="G4846" s="151" t="s">
        <v>2646</v>
      </c>
      <c r="H4846" s="150">
        <v>3</v>
      </c>
      <c r="I4846" s="5" t="str">
        <f>VLOOKUP(F4846,'Set up'!$A$2:$C$70,3,FALSE)</f>
        <v>Cash</v>
      </c>
      <c r="J4846" s="5">
        <f>VLOOKUP(F4846,'Set up'!$A$2:$D$70,4,FALSE)</f>
        <v>0</v>
      </c>
      <c r="K4846" s="4">
        <f t="shared" si="1113"/>
        <v>46017</v>
      </c>
      <c r="L4846" s="5">
        <f t="shared" si="1114"/>
        <v>12</v>
      </c>
      <c r="M4846" s="5">
        <f t="shared" si="1115"/>
        <v>2025</v>
      </c>
      <c r="N4846" s="156">
        <v>187.5</v>
      </c>
      <c r="P4846" s="12"/>
      <c r="Q4846" s="7">
        <f t="shared" si="1116"/>
        <v>7969768.050000011</v>
      </c>
      <c r="R4846" s="44" t="str">
        <f>VLOOKUP(F4846,'Set up'!$A$2:$E$70,5,FALSE)</f>
        <v>Trsf</v>
      </c>
    </row>
    <row r="4847" spans="1:18" ht="16.2" customHeight="1" x14ac:dyDescent="0.3">
      <c r="A4847" s="150" t="s">
        <v>4416</v>
      </c>
      <c r="B4847" s="5">
        <f t="shared" si="1111"/>
        <v>12</v>
      </c>
      <c r="C4847" s="5">
        <f t="shared" si="1112"/>
        <v>2025</v>
      </c>
      <c r="D4847" s="150" t="s">
        <v>4392</v>
      </c>
      <c r="E4847" s="5" t="str">
        <f>VLOOKUP(F4847,'Set up'!$A$2:$C$70,2,FALSE)</f>
        <v>C00000042</v>
      </c>
      <c r="F4847" s="151" t="s">
        <v>2012</v>
      </c>
      <c r="G4847" s="151" t="s">
        <v>3645</v>
      </c>
      <c r="H4847" s="150">
        <v>5</v>
      </c>
      <c r="I4847" s="5" t="str">
        <f>VLOOKUP(F4847,'Set up'!$A$2:$C$70,3,FALSE)</f>
        <v>Cash</v>
      </c>
      <c r="J4847" s="5">
        <f>VLOOKUP(F4847,'Set up'!$A$2:$D$70,4,FALSE)</f>
        <v>0</v>
      </c>
      <c r="K4847" s="4">
        <f t="shared" si="1113"/>
        <v>46017</v>
      </c>
      <c r="L4847" s="5">
        <f t="shared" si="1114"/>
        <v>12</v>
      </c>
      <c r="M4847" s="5">
        <f t="shared" si="1115"/>
        <v>2025</v>
      </c>
      <c r="N4847" s="156">
        <v>7762.5</v>
      </c>
      <c r="P4847" s="12"/>
      <c r="Q4847" s="7">
        <f t="shared" si="1116"/>
        <v>7977530.550000011</v>
      </c>
      <c r="R4847" s="44" t="str">
        <f>VLOOKUP(F4847,'Set up'!$A$2:$E$70,5,FALSE)</f>
        <v>Trsf</v>
      </c>
    </row>
    <row r="4848" spans="1:18" ht="16.2" customHeight="1" x14ac:dyDescent="0.3">
      <c r="A4848" s="150" t="s">
        <v>4416</v>
      </c>
      <c r="B4848" s="5">
        <f t="shared" si="1111"/>
        <v>12</v>
      </c>
      <c r="C4848" s="5">
        <f t="shared" si="1112"/>
        <v>2025</v>
      </c>
      <c r="D4848" s="150" t="s">
        <v>4392</v>
      </c>
      <c r="E4848" s="5" t="str">
        <f>VLOOKUP(F4848,'Set up'!$A$2:$C$70,2,FALSE)</f>
        <v>C00000042</v>
      </c>
      <c r="F4848" s="151" t="s">
        <v>2012</v>
      </c>
      <c r="G4848" s="151" t="s">
        <v>1392</v>
      </c>
      <c r="H4848" s="150">
        <v>15</v>
      </c>
      <c r="I4848" s="5" t="str">
        <f>VLOOKUP(F4848,'Set up'!$A$2:$C$70,3,FALSE)</f>
        <v>Cash</v>
      </c>
      <c r="J4848" s="5">
        <f>VLOOKUP(F4848,'Set up'!$A$2:$D$70,4,FALSE)</f>
        <v>0</v>
      </c>
      <c r="K4848" s="4">
        <f t="shared" si="1113"/>
        <v>46017</v>
      </c>
      <c r="L4848" s="5">
        <f t="shared" si="1114"/>
        <v>12</v>
      </c>
      <c r="M4848" s="5">
        <f t="shared" si="1115"/>
        <v>2025</v>
      </c>
      <c r="N4848" s="156">
        <v>2655</v>
      </c>
      <c r="P4848" s="12"/>
      <c r="Q4848" s="7">
        <f t="shared" si="1116"/>
        <v>7980185.550000011</v>
      </c>
      <c r="R4848" s="44" t="str">
        <f>VLOOKUP(F4848,'Set up'!$A$2:$E$70,5,FALSE)</f>
        <v>Trsf</v>
      </c>
    </row>
    <row r="4849" spans="1:18" ht="16.2" customHeight="1" x14ac:dyDescent="0.3">
      <c r="A4849" s="150" t="s">
        <v>4416</v>
      </c>
      <c r="B4849" s="5">
        <f t="shared" si="1111"/>
        <v>12</v>
      </c>
      <c r="C4849" s="5">
        <f t="shared" si="1112"/>
        <v>2025</v>
      </c>
      <c r="D4849" s="150" t="s">
        <v>4392</v>
      </c>
      <c r="E4849" s="5" t="str">
        <f>VLOOKUP(F4849,'Set up'!$A$2:$C$70,2,FALSE)</f>
        <v>C00000042</v>
      </c>
      <c r="F4849" s="151" t="s">
        <v>2012</v>
      </c>
      <c r="G4849" s="151" t="s">
        <v>1922</v>
      </c>
      <c r="H4849" s="150">
        <v>8</v>
      </c>
      <c r="I4849" s="5" t="str">
        <f>VLOOKUP(F4849,'Set up'!$A$2:$C$70,3,FALSE)</f>
        <v>Cash</v>
      </c>
      <c r="J4849" s="5">
        <f>VLOOKUP(F4849,'Set up'!$A$2:$D$70,4,FALSE)</f>
        <v>0</v>
      </c>
      <c r="K4849" s="4">
        <f t="shared" si="1113"/>
        <v>46017</v>
      </c>
      <c r="L4849" s="5">
        <f t="shared" si="1114"/>
        <v>12</v>
      </c>
      <c r="M4849" s="5">
        <f t="shared" si="1115"/>
        <v>2025</v>
      </c>
      <c r="N4849" s="156">
        <v>1836</v>
      </c>
      <c r="P4849" s="12"/>
      <c r="Q4849" s="7">
        <f t="shared" si="1116"/>
        <v>7982021.550000011</v>
      </c>
      <c r="R4849" s="44" t="str">
        <f>VLOOKUP(F4849,'Set up'!$A$2:$E$70,5,FALSE)</f>
        <v>Trsf</v>
      </c>
    </row>
    <row r="4850" spans="1:18" ht="16.2" customHeight="1" x14ac:dyDescent="0.3">
      <c r="A4850" s="150" t="s">
        <v>4416</v>
      </c>
      <c r="B4850" s="5">
        <f t="shared" si="1111"/>
        <v>12</v>
      </c>
      <c r="C4850" s="5">
        <f t="shared" si="1112"/>
        <v>2025</v>
      </c>
      <c r="D4850" s="150" t="s">
        <v>4392</v>
      </c>
      <c r="E4850" s="5" t="str">
        <f>VLOOKUP(F4850,'Set up'!$A$2:$C$70,2,FALSE)</f>
        <v>C00000042</v>
      </c>
      <c r="F4850" s="151" t="s">
        <v>2012</v>
      </c>
      <c r="G4850" s="151" t="s">
        <v>46</v>
      </c>
      <c r="H4850" s="150">
        <v>4</v>
      </c>
      <c r="I4850" s="5" t="str">
        <f>VLOOKUP(F4850,'Set up'!$A$2:$C$70,3,FALSE)</f>
        <v>Cash</v>
      </c>
      <c r="J4850" s="5">
        <f>VLOOKUP(F4850,'Set up'!$A$2:$D$70,4,FALSE)</f>
        <v>0</v>
      </c>
      <c r="K4850" s="4">
        <f t="shared" si="1113"/>
        <v>46017</v>
      </c>
      <c r="L4850" s="5">
        <f t="shared" si="1114"/>
        <v>12</v>
      </c>
      <c r="M4850" s="5">
        <f t="shared" si="1115"/>
        <v>2025</v>
      </c>
      <c r="N4850" s="156">
        <v>460</v>
      </c>
      <c r="P4850" s="12"/>
      <c r="Q4850" s="7">
        <f t="shared" si="1116"/>
        <v>7982481.550000011</v>
      </c>
      <c r="R4850" s="44" t="str">
        <f>VLOOKUP(F4850,'Set up'!$A$2:$E$70,5,FALSE)</f>
        <v>Trsf</v>
      </c>
    </row>
    <row r="4851" spans="1:18" ht="16.2" customHeight="1" x14ac:dyDescent="0.3">
      <c r="A4851" s="150" t="s">
        <v>4417</v>
      </c>
      <c r="B4851" s="5">
        <f t="shared" si="1111"/>
        <v>12</v>
      </c>
      <c r="C4851" s="5">
        <f t="shared" si="1112"/>
        <v>2025</v>
      </c>
      <c r="D4851" s="150" t="s">
        <v>4393</v>
      </c>
      <c r="E4851" s="5" t="str">
        <f>VLOOKUP(F4851,'Set up'!$A$2:$C$70,2,FALSE)</f>
        <v>C00000064</v>
      </c>
      <c r="F4851" s="151" t="s">
        <v>4059</v>
      </c>
      <c r="G4851" s="151" t="s">
        <v>46</v>
      </c>
      <c r="H4851" s="150">
        <v>1</v>
      </c>
      <c r="I4851" s="5" t="str">
        <f>VLOOKUP(F4851,'Set up'!$A$2:$C$70,3,FALSE)</f>
        <v>Cash</v>
      </c>
      <c r="J4851" s="5">
        <f>VLOOKUP(F4851,'Set up'!$A$2:$D$70,4,FALSE)</f>
        <v>0</v>
      </c>
      <c r="K4851" s="4">
        <f t="shared" si="1113"/>
        <v>46018</v>
      </c>
      <c r="L4851" s="5">
        <f t="shared" si="1114"/>
        <v>12</v>
      </c>
      <c r="M4851" s="5">
        <f t="shared" si="1115"/>
        <v>2025</v>
      </c>
      <c r="N4851" s="156">
        <v>120</v>
      </c>
      <c r="P4851" s="12"/>
      <c r="Q4851" s="7">
        <f t="shared" si="1116"/>
        <v>7982601.550000011</v>
      </c>
      <c r="R4851" s="44" t="str">
        <f>VLOOKUP(F4851,'Set up'!$A$2:$E$70,5,FALSE)</f>
        <v>Cash</v>
      </c>
    </row>
    <row r="4852" spans="1:18" ht="16.2" customHeight="1" x14ac:dyDescent="0.3">
      <c r="A4852" s="150" t="s">
        <v>4417</v>
      </c>
      <c r="B4852" s="5">
        <f t="shared" si="1111"/>
        <v>12</v>
      </c>
      <c r="C4852" s="5">
        <f t="shared" si="1112"/>
        <v>2025</v>
      </c>
      <c r="D4852" s="150" t="s">
        <v>4394</v>
      </c>
      <c r="E4852" s="5" t="str">
        <f>VLOOKUP(F4852,'Set up'!$A$2:$C$70,2,FALSE)</f>
        <v>C00000019</v>
      </c>
      <c r="F4852" s="151" t="s">
        <v>400</v>
      </c>
      <c r="G4852" s="151" t="s">
        <v>3122</v>
      </c>
      <c r="H4852" s="150">
        <v>1</v>
      </c>
      <c r="I4852" s="5" t="str">
        <f>VLOOKUP(F4852,'Set up'!$A$2:$C$70,3,FALSE)</f>
        <v>Cash</v>
      </c>
      <c r="J4852" s="5">
        <f>VLOOKUP(F4852,'Set up'!$A$2:$D$70,4,FALSE)</f>
        <v>0</v>
      </c>
      <c r="K4852" s="4">
        <f t="shared" si="1113"/>
        <v>46018</v>
      </c>
      <c r="L4852" s="5">
        <f t="shared" si="1114"/>
        <v>12</v>
      </c>
      <c r="M4852" s="5">
        <f t="shared" si="1115"/>
        <v>2025</v>
      </c>
      <c r="N4852" s="156">
        <v>1687.5</v>
      </c>
      <c r="P4852" s="12"/>
      <c r="Q4852" s="7">
        <f t="shared" si="1116"/>
        <v>7984289.050000011</v>
      </c>
      <c r="R4852" s="44" t="str">
        <f>VLOOKUP(F4852,'Set up'!$A$2:$E$70,5,FALSE)</f>
        <v>Trsf</v>
      </c>
    </row>
    <row r="4853" spans="1:18" ht="16.2" customHeight="1" x14ac:dyDescent="0.3">
      <c r="A4853" s="150" t="s">
        <v>4417</v>
      </c>
      <c r="B4853" s="5">
        <f t="shared" si="1111"/>
        <v>12</v>
      </c>
      <c r="C4853" s="5">
        <f t="shared" si="1112"/>
        <v>2025</v>
      </c>
      <c r="D4853" s="150" t="s">
        <v>4394</v>
      </c>
      <c r="E4853" s="5" t="str">
        <f>VLOOKUP(F4853,'Set up'!$A$2:$C$70,2,FALSE)</f>
        <v>C00000019</v>
      </c>
      <c r="F4853" s="151" t="s">
        <v>400</v>
      </c>
      <c r="G4853" s="151" t="s">
        <v>945</v>
      </c>
      <c r="H4853" s="150">
        <v>1</v>
      </c>
      <c r="I4853" s="5" t="str">
        <f>VLOOKUP(F4853,'Set up'!$A$2:$C$70,3,FALSE)</f>
        <v>Cash</v>
      </c>
      <c r="J4853" s="5">
        <f>VLOOKUP(F4853,'Set up'!$A$2:$D$70,4,FALSE)</f>
        <v>0</v>
      </c>
      <c r="K4853" s="4">
        <f t="shared" si="1113"/>
        <v>46018</v>
      </c>
      <c r="L4853" s="5">
        <f t="shared" si="1114"/>
        <v>12</v>
      </c>
      <c r="M4853" s="5">
        <f t="shared" si="1115"/>
        <v>2025</v>
      </c>
      <c r="N4853" s="156">
        <v>115</v>
      </c>
      <c r="P4853" s="12"/>
      <c r="Q4853" s="7">
        <f t="shared" si="1116"/>
        <v>7984404.050000011</v>
      </c>
      <c r="R4853" s="44" t="str">
        <f>VLOOKUP(F4853,'Set up'!$A$2:$E$70,5,FALSE)</f>
        <v>Trsf</v>
      </c>
    </row>
    <row r="4854" spans="1:18" ht="16.2" customHeight="1" x14ac:dyDescent="0.3">
      <c r="A4854" s="150" t="s">
        <v>4418</v>
      </c>
      <c r="B4854" s="5">
        <f t="shared" si="1111"/>
        <v>12</v>
      </c>
      <c r="C4854" s="5">
        <f t="shared" si="1112"/>
        <v>2025</v>
      </c>
      <c r="D4854" s="150" t="s">
        <v>4395</v>
      </c>
      <c r="E4854" s="5" t="str">
        <f>VLOOKUP(F4854,'Set up'!$A$2:$C$70,2,FALSE)</f>
        <v>C00000061</v>
      </c>
      <c r="F4854" s="151" t="s">
        <v>3532</v>
      </c>
      <c r="G4854" s="151" t="s">
        <v>3122</v>
      </c>
      <c r="H4854" s="150">
        <v>1</v>
      </c>
      <c r="I4854" s="5" t="str">
        <f>VLOOKUP(F4854,'Set up'!$A$2:$C$70,3,FALSE)</f>
        <v>Cash</v>
      </c>
      <c r="J4854" s="5">
        <f>VLOOKUP(F4854,'Set up'!$A$2:$D$70,4,FALSE)</f>
        <v>0</v>
      </c>
      <c r="K4854" s="4">
        <f t="shared" si="1113"/>
        <v>46020</v>
      </c>
      <c r="L4854" s="5">
        <f t="shared" si="1114"/>
        <v>12</v>
      </c>
      <c r="M4854" s="5">
        <f t="shared" si="1115"/>
        <v>2025</v>
      </c>
      <c r="N4854" s="156">
        <v>1552.5</v>
      </c>
      <c r="P4854" s="12"/>
      <c r="Q4854" s="7">
        <f t="shared" si="1116"/>
        <v>7985956.550000011</v>
      </c>
      <c r="R4854" s="44" t="str">
        <f>VLOOKUP(F4854,'Set up'!$A$2:$E$70,5,FALSE)</f>
        <v>Cash</v>
      </c>
    </row>
    <row r="4855" spans="1:18" ht="16.2" customHeight="1" x14ac:dyDescent="0.3">
      <c r="A4855" s="150" t="s">
        <v>4418</v>
      </c>
      <c r="B4855" s="5">
        <f t="shared" si="1111"/>
        <v>12</v>
      </c>
      <c r="C4855" s="5">
        <f t="shared" si="1112"/>
        <v>2025</v>
      </c>
      <c r="D4855" s="150" t="s">
        <v>4395</v>
      </c>
      <c r="E4855" s="5" t="str">
        <f>VLOOKUP(F4855,'Set up'!$A$2:$C$70,2,FALSE)</f>
        <v>C00000061</v>
      </c>
      <c r="F4855" s="151" t="s">
        <v>3532</v>
      </c>
      <c r="G4855" s="151" t="s">
        <v>2141</v>
      </c>
      <c r="H4855" s="150">
        <v>1</v>
      </c>
      <c r="I4855" s="5" t="str">
        <f>VLOOKUP(F4855,'Set up'!$A$2:$C$70,3,FALSE)</f>
        <v>Cash</v>
      </c>
      <c r="J4855" s="5">
        <f>VLOOKUP(F4855,'Set up'!$A$2:$D$70,4,FALSE)</f>
        <v>0</v>
      </c>
      <c r="K4855" s="4">
        <f t="shared" si="1113"/>
        <v>46020</v>
      </c>
      <c r="L4855" s="5">
        <f t="shared" si="1114"/>
        <v>12</v>
      </c>
      <c r="M4855" s="5">
        <f t="shared" si="1115"/>
        <v>2025</v>
      </c>
      <c r="N4855" s="156">
        <v>329.4</v>
      </c>
      <c r="P4855" s="12"/>
      <c r="Q4855" s="7">
        <f t="shared" si="1116"/>
        <v>7986285.9500000114</v>
      </c>
      <c r="R4855" s="44" t="str">
        <f>VLOOKUP(F4855,'Set up'!$A$2:$E$70,5,FALSE)</f>
        <v>Cash</v>
      </c>
    </row>
    <row r="4856" spans="1:18" ht="16.2" customHeight="1" x14ac:dyDescent="0.3">
      <c r="A4856" s="150" t="s">
        <v>4418</v>
      </c>
      <c r="B4856" s="5">
        <f t="shared" si="1111"/>
        <v>12</v>
      </c>
      <c r="C4856" s="5">
        <f t="shared" si="1112"/>
        <v>2025</v>
      </c>
      <c r="D4856" s="150" t="s">
        <v>4395</v>
      </c>
      <c r="E4856" s="5" t="str">
        <f>VLOOKUP(F4856,'Set up'!$A$2:$C$70,2,FALSE)</f>
        <v>C00000061</v>
      </c>
      <c r="F4856" s="151" t="s">
        <v>3532</v>
      </c>
      <c r="G4856" s="151" t="s">
        <v>945</v>
      </c>
      <c r="H4856" s="150">
        <v>1</v>
      </c>
      <c r="I4856" s="5" t="str">
        <f>VLOOKUP(F4856,'Set up'!$A$2:$C$70,3,FALSE)</f>
        <v>Cash</v>
      </c>
      <c r="J4856" s="5">
        <f>VLOOKUP(F4856,'Set up'!$A$2:$D$70,4,FALSE)</f>
        <v>0</v>
      </c>
      <c r="K4856" s="4">
        <f t="shared" si="1113"/>
        <v>46020</v>
      </c>
      <c r="L4856" s="5">
        <f t="shared" si="1114"/>
        <v>12</v>
      </c>
      <c r="M4856" s="5">
        <f t="shared" si="1115"/>
        <v>2025</v>
      </c>
      <c r="N4856" s="156">
        <v>115</v>
      </c>
      <c r="P4856" s="12"/>
      <c r="Q4856" s="7">
        <f t="shared" si="1116"/>
        <v>7986400.9500000114</v>
      </c>
      <c r="R4856" s="44" t="str">
        <f>VLOOKUP(F4856,'Set up'!$A$2:$E$70,5,FALSE)</f>
        <v>Cash</v>
      </c>
    </row>
    <row r="4857" spans="1:18" ht="16.2" customHeight="1" x14ac:dyDescent="0.3">
      <c r="A4857" s="150" t="s">
        <v>4418</v>
      </c>
      <c r="B4857" s="5">
        <f t="shared" si="1111"/>
        <v>12</v>
      </c>
      <c r="C4857" s="5">
        <f t="shared" si="1112"/>
        <v>2025</v>
      </c>
      <c r="D4857" s="150" t="s">
        <v>4396</v>
      </c>
      <c r="E4857" s="5" t="e">
        <f>VLOOKUP(F4857,'Set up'!$A$2:$C$70,2,FALSE)</f>
        <v>#N/A</v>
      </c>
      <c r="F4857" s="151" t="s">
        <v>4130</v>
      </c>
      <c r="G4857" s="151" t="s">
        <v>3122</v>
      </c>
      <c r="H4857" s="150">
        <v>1</v>
      </c>
      <c r="I4857" s="5" t="e">
        <f>VLOOKUP(F4857,'Set up'!$A$2:$C$70,3,FALSE)</f>
        <v>#N/A</v>
      </c>
      <c r="J4857" s="5" t="e">
        <f>VLOOKUP(F4857,'Set up'!$A$2:$D$70,4,FALSE)</f>
        <v>#N/A</v>
      </c>
      <c r="K4857" s="4" t="e">
        <f t="shared" si="1113"/>
        <v>#N/A</v>
      </c>
      <c r="L4857" s="5" t="e">
        <f t="shared" si="1114"/>
        <v>#N/A</v>
      </c>
      <c r="M4857" s="5" t="e">
        <f t="shared" si="1115"/>
        <v>#N/A</v>
      </c>
      <c r="N4857" s="156">
        <v>1687.5</v>
      </c>
      <c r="P4857" s="12"/>
      <c r="Q4857" s="7">
        <f t="shared" si="1116"/>
        <v>7988088.4500000114</v>
      </c>
      <c r="R4857" s="44" t="e">
        <f>VLOOKUP(F4857,'Set up'!$A$2:$E$70,5,FALSE)</f>
        <v>#N/A</v>
      </c>
    </row>
    <row r="4858" spans="1:18" ht="16.2" customHeight="1" x14ac:dyDescent="0.3">
      <c r="A4858" s="150" t="s">
        <v>4419</v>
      </c>
      <c r="B4858" s="5">
        <f t="shared" si="1111"/>
        <v>12</v>
      </c>
      <c r="C4858" s="5">
        <f t="shared" si="1112"/>
        <v>2025</v>
      </c>
      <c r="D4858" s="150" t="s">
        <v>4397</v>
      </c>
      <c r="E4858" s="5" t="str">
        <f>VLOOKUP(F4858,'Set up'!$A$2:$C$70,2,FALSE)</f>
        <v>C00000042</v>
      </c>
      <c r="F4858" s="151" t="s">
        <v>2012</v>
      </c>
      <c r="G4858" s="151" t="s">
        <v>2646</v>
      </c>
      <c r="H4858" s="150">
        <v>3</v>
      </c>
      <c r="I4858" s="5" t="str">
        <f>VLOOKUP(F4858,'Set up'!$A$2:$C$70,3,FALSE)</f>
        <v>Cash</v>
      </c>
      <c r="J4858" s="5">
        <f>VLOOKUP(F4858,'Set up'!$A$2:$D$70,4,FALSE)</f>
        <v>0</v>
      </c>
      <c r="K4858" s="4">
        <f t="shared" si="1113"/>
        <v>46021</v>
      </c>
      <c r="L4858" s="5">
        <f t="shared" si="1114"/>
        <v>12</v>
      </c>
      <c r="M4858" s="5">
        <f t="shared" si="1115"/>
        <v>2025</v>
      </c>
      <c r="N4858" s="156">
        <v>187.5</v>
      </c>
      <c r="P4858" s="12"/>
      <c r="Q4858" s="7">
        <f t="shared" si="1116"/>
        <v>7988275.9500000114</v>
      </c>
      <c r="R4858" s="44" t="str">
        <f>VLOOKUP(F4858,'Set up'!$A$2:$E$70,5,FALSE)</f>
        <v>Trsf</v>
      </c>
    </row>
    <row r="4859" spans="1:18" ht="16.2" customHeight="1" x14ac:dyDescent="0.3">
      <c r="A4859" s="150" t="s">
        <v>4419</v>
      </c>
      <c r="B4859" s="5">
        <f t="shared" si="1111"/>
        <v>12</v>
      </c>
      <c r="C4859" s="5">
        <f t="shared" si="1112"/>
        <v>2025</v>
      </c>
      <c r="D4859" s="150" t="s">
        <v>4398</v>
      </c>
      <c r="E4859" s="5" t="str">
        <f>VLOOKUP(F4859,'Set up'!$A$2:$C$70,2,FALSE)</f>
        <v>C00000042</v>
      </c>
      <c r="F4859" s="151" t="s">
        <v>2012</v>
      </c>
      <c r="G4859" s="151" t="s">
        <v>3645</v>
      </c>
      <c r="H4859" s="150">
        <v>6</v>
      </c>
      <c r="I4859" s="5" t="str">
        <f>VLOOKUP(F4859,'Set up'!$A$2:$C$70,3,FALSE)</f>
        <v>Cash</v>
      </c>
      <c r="J4859" s="5">
        <f>VLOOKUP(F4859,'Set up'!$A$2:$D$70,4,FALSE)</f>
        <v>0</v>
      </c>
      <c r="K4859" s="4">
        <f t="shared" si="1113"/>
        <v>46021</v>
      </c>
      <c r="L4859" s="5">
        <f t="shared" si="1114"/>
        <v>12</v>
      </c>
      <c r="M4859" s="5">
        <f t="shared" si="1115"/>
        <v>2025</v>
      </c>
      <c r="N4859" s="156">
        <v>9315</v>
      </c>
      <c r="P4859" s="12"/>
      <c r="Q4859" s="7">
        <f t="shared" si="1116"/>
        <v>7997590.9500000114</v>
      </c>
      <c r="R4859" s="44" t="str">
        <f>VLOOKUP(F4859,'Set up'!$A$2:$E$70,5,FALSE)</f>
        <v>Trsf</v>
      </c>
    </row>
    <row r="4860" spans="1:18" ht="16.2" customHeight="1" x14ac:dyDescent="0.3">
      <c r="A4860" s="150" t="s">
        <v>4419</v>
      </c>
      <c r="B4860" s="5">
        <f t="shared" si="1111"/>
        <v>12</v>
      </c>
      <c r="C4860" s="5">
        <f t="shared" si="1112"/>
        <v>2025</v>
      </c>
      <c r="D4860" s="150" t="s">
        <v>4398</v>
      </c>
      <c r="E4860" s="5" t="str">
        <f>VLOOKUP(F4860,'Set up'!$A$2:$C$70,2,FALSE)</f>
        <v>C00000042</v>
      </c>
      <c r="F4860" s="151" t="s">
        <v>2012</v>
      </c>
      <c r="G4860" s="151" t="s">
        <v>1392</v>
      </c>
      <c r="H4860" s="150">
        <v>18</v>
      </c>
      <c r="I4860" s="5" t="str">
        <f>VLOOKUP(F4860,'Set up'!$A$2:$C$70,3,FALSE)</f>
        <v>Cash</v>
      </c>
      <c r="J4860" s="5">
        <f>VLOOKUP(F4860,'Set up'!$A$2:$D$70,4,FALSE)</f>
        <v>0</v>
      </c>
      <c r="K4860" s="4">
        <f t="shared" si="1113"/>
        <v>46021</v>
      </c>
      <c r="L4860" s="5">
        <f t="shared" si="1114"/>
        <v>12</v>
      </c>
      <c r="M4860" s="5">
        <f t="shared" si="1115"/>
        <v>2025</v>
      </c>
      <c r="N4860" s="156">
        <v>3186</v>
      </c>
      <c r="P4860" s="12"/>
      <c r="Q4860" s="7">
        <f t="shared" si="1116"/>
        <v>8000776.9500000114</v>
      </c>
      <c r="R4860" s="44" t="str">
        <f>VLOOKUP(F4860,'Set up'!$A$2:$E$70,5,FALSE)</f>
        <v>Trsf</v>
      </c>
    </row>
    <row r="4861" spans="1:18" ht="16.2" customHeight="1" x14ac:dyDescent="0.3">
      <c r="A4861" s="150" t="s">
        <v>4419</v>
      </c>
      <c r="B4861" s="5">
        <f t="shared" si="1111"/>
        <v>12</v>
      </c>
      <c r="C4861" s="5">
        <f t="shared" si="1112"/>
        <v>2025</v>
      </c>
      <c r="D4861" s="150" t="s">
        <v>4398</v>
      </c>
      <c r="E4861" s="5" t="str">
        <f>VLOOKUP(F4861,'Set up'!$A$2:$C$70,2,FALSE)</f>
        <v>C00000042</v>
      </c>
      <c r="F4861" s="151" t="s">
        <v>2012</v>
      </c>
      <c r="G4861" s="151" t="s">
        <v>1922</v>
      </c>
      <c r="H4861" s="150">
        <v>9</v>
      </c>
      <c r="I4861" s="5" t="str">
        <f>VLOOKUP(F4861,'Set up'!$A$2:$C$70,3,FALSE)</f>
        <v>Cash</v>
      </c>
      <c r="J4861" s="5">
        <f>VLOOKUP(F4861,'Set up'!$A$2:$D$70,4,FALSE)</f>
        <v>0</v>
      </c>
      <c r="K4861" s="4">
        <f t="shared" si="1113"/>
        <v>46021</v>
      </c>
      <c r="L4861" s="5">
        <f t="shared" si="1114"/>
        <v>12</v>
      </c>
      <c r="M4861" s="5">
        <f t="shared" si="1115"/>
        <v>2025</v>
      </c>
      <c r="N4861" s="156">
        <v>2065.5</v>
      </c>
      <c r="P4861" s="12"/>
      <c r="Q4861" s="7">
        <f t="shared" si="1116"/>
        <v>8002842.4500000114</v>
      </c>
      <c r="R4861" s="44" t="str">
        <f>VLOOKUP(F4861,'Set up'!$A$2:$E$70,5,FALSE)</f>
        <v>Trsf</v>
      </c>
    </row>
    <row r="4862" spans="1:18" ht="16.2" customHeight="1" x14ac:dyDescent="0.3">
      <c r="A4862" s="150" t="s">
        <v>4419</v>
      </c>
      <c r="B4862" s="5">
        <f t="shared" si="1111"/>
        <v>12</v>
      </c>
      <c r="C4862" s="5">
        <f t="shared" si="1112"/>
        <v>2025</v>
      </c>
      <c r="D4862" s="150" t="s">
        <v>4398</v>
      </c>
      <c r="E4862" s="5" t="str">
        <f>VLOOKUP(F4862,'Set up'!$A$2:$C$70,2,FALSE)</f>
        <v>C00000042</v>
      </c>
      <c r="F4862" s="151" t="s">
        <v>2012</v>
      </c>
      <c r="G4862" s="151" t="s">
        <v>46</v>
      </c>
      <c r="H4862" s="150">
        <v>4</v>
      </c>
      <c r="I4862" s="5" t="str">
        <f>VLOOKUP(F4862,'Set up'!$A$2:$C$70,3,FALSE)</f>
        <v>Cash</v>
      </c>
      <c r="J4862" s="5">
        <f>VLOOKUP(F4862,'Set up'!$A$2:$D$70,4,FALSE)</f>
        <v>0</v>
      </c>
      <c r="K4862" s="4">
        <f t="shared" si="1113"/>
        <v>46021</v>
      </c>
      <c r="L4862" s="5">
        <f t="shared" si="1114"/>
        <v>12</v>
      </c>
      <c r="M4862" s="5">
        <f t="shared" si="1115"/>
        <v>2025</v>
      </c>
      <c r="N4862" s="156">
        <v>460</v>
      </c>
      <c r="P4862" s="12"/>
      <c r="Q4862" s="7">
        <f t="shared" si="1116"/>
        <v>8003302.4500000114</v>
      </c>
      <c r="R4862" s="44" t="str">
        <f>VLOOKUP(F4862,'Set up'!$A$2:$E$70,5,FALSE)</f>
        <v>Trsf</v>
      </c>
    </row>
    <row r="4863" spans="1:18" ht="16.2" customHeight="1" x14ac:dyDescent="0.3">
      <c r="A4863" s="150" t="s">
        <v>4419</v>
      </c>
      <c r="B4863" s="5">
        <f t="shared" si="1111"/>
        <v>12</v>
      </c>
      <c r="C4863" s="5">
        <f t="shared" si="1112"/>
        <v>2025</v>
      </c>
      <c r="D4863" s="150" t="s">
        <v>4398</v>
      </c>
      <c r="E4863" s="5" t="str">
        <f>VLOOKUP(F4863,'Set up'!$A$2:$C$70,2,FALSE)</f>
        <v>C00000042</v>
      </c>
      <c r="F4863" s="151" t="s">
        <v>2012</v>
      </c>
      <c r="G4863" s="151" t="s">
        <v>1073</v>
      </c>
      <c r="H4863" s="150">
        <v>1</v>
      </c>
      <c r="I4863" s="5" t="str">
        <f>VLOOKUP(F4863,'Set up'!$A$2:$C$70,3,FALSE)</f>
        <v>Cash</v>
      </c>
      <c r="J4863" s="5">
        <f>VLOOKUP(F4863,'Set up'!$A$2:$D$70,4,FALSE)</f>
        <v>0</v>
      </c>
      <c r="K4863" s="4">
        <f t="shared" si="1113"/>
        <v>46021</v>
      </c>
      <c r="L4863" s="5">
        <f t="shared" si="1114"/>
        <v>12</v>
      </c>
      <c r="M4863" s="5">
        <f t="shared" si="1115"/>
        <v>2025</v>
      </c>
      <c r="N4863" s="156">
        <v>1050</v>
      </c>
      <c r="P4863" s="12"/>
      <c r="Q4863" s="7">
        <f t="shared" si="1116"/>
        <v>8004352.4500000114</v>
      </c>
      <c r="R4863" s="44" t="str">
        <f>VLOOKUP(F4863,'Set up'!$A$2:$E$70,5,FALSE)</f>
        <v>Trsf</v>
      </c>
    </row>
    <row r="4864" spans="1:18" s="167" customFormat="1" ht="16.8" customHeight="1" x14ac:dyDescent="0.3">
      <c r="A4864" s="159" t="s">
        <v>4420</v>
      </c>
      <c r="B4864" s="160">
        <f t="shared" si="1111"/>
        <v>12</v>
      </c>
      <c r="C4864" s="160">
        <f t="shared" si="1112"/>
        <v>2025</v>
      </c>
      <c r="D4864" s="159" t="s">
        <v>4399</v>
      </c>
      <c r="E4864" s="160" t="str">
        <f>VLOOKUP(F4864,'Set up'!$A$2:$C$70,2,FALSE)</f>
        <v>C00000042</v>
      </c>
      <c r="F4864" s="161" t="s">
        <v>2012</v>
      </c>
      <c r="G4864" s="169" t="s">
        <v>4426</v>
      </c>
      <c r="H4864" s="159">
        <v>1</v>
      </c>
      <c r="I4864" s="160" t="str">
        <f>VLOOKUP(F4864,'Set up'!$A$2:$C$70,3,FALSE)</f>
        <v>Cash</v>
      </c>
      <c r="J4864" s="160">
        <f>VLOOKUP(F4864,'Set up'!$A$2:$D$70,4,FALSE)</f>
        <v>0</v>
      </c>
      <c r="K4864" s="162">
        <f t="shared" si="1113"/>
        <v>46022</v>
      </c>
      <c r="L4864" s="160">
        <f t="shared" si="1114"/>
        <v>12</v>
      </c>
      <c r="M4864" s="160">
        <f t="shared" si="1115"/>
        <v>2025</v>
      </c>
      <c r="N4864" s="163">
        <v>4312.5</v>
      </c>
      <c r="O4864" s="164"/>
      <c r="P4864" s="164"/>
      <c r="Q4864" s="165">
        <f t="shared" si="1116"/>
        <v>8008664.9500000114</v>
      </c>
      <c r="R4864" s="166" t="str">
        <f>VLOOKUP(F4864,'Set up'!$A$2:$E$70,5,FALSE)</f>
        <v>Trsf</v>
      </c>
    </row>
    <row r="4865" spans="1:18" ht="16.8" customHeight="1" x14ac:dyDescent="0.3">
      <c r="A4865" s="150" t="s">
        <v>4427</v>
      </c>
      <c r="B4865" s="5">
        <f t="shared" ref="B4865" si="1117">MONTH(A4865)</f>
        <v>1</v>
      </c>
      <c r="C4865" s="5">
        <f t="shared" ref="C4865" si="1118">YEAR(A4865)</f>
        <v>2026</v>
      </c>
      <c r="D4865" s="150" t="s">
        <v>4447</v>
      </c>
      <c r="E4865" s="5" t="str">
        <f>VLOOKUP(F4865,'Set up'!$A$2:$C$70,2,FALSE)</f>
        <v>C00000042</v>
      </c>
      <c r="F4865" s="150" t="s">
        <v>2012</v>
      </c>
      <c r="G4865" s="150" t="s">
        <v>2646</v>
      </c>
      <c r="H4865" s="150">
        <v>4</v>
      </c>
      <c r="I4865" s="5" t="str">
        <f>VLOOKUP(F4865,'Set up'!$A$2:$C$70,3,FALSE)</f>
        <v>Cash</v>
      </c>
      <c r="J4865" s="5">
        <f>VLOOKUP(F4865,'Set up'!$A$2:$D$70,4,FALSE)</f>
        <v>0</v>
      </c>
      <c r="K4865" s="4">
        <f t="shared" ref="K4865" si="1119">A4865+J4865</f>
        <v>46025</v>
      </c>
      <c r="L4865" s="5">
        <f t="shared" si="1114"/>
        <v>1</v>
      </c>
      <c r="M4865" s="5">
        <f t="shared" si="1115"/>
        <v>2026</v>
      </c>
      <c r="N4865" s="168">
        <v>250</v>
      </c>
      <c r="P4865" s="12"/>
      <c r="Q4865" s="7">
        <f t="shared" ref="Q4865" si="1120">SUM(Q4864+N4865)</f>
        <v>8008914.9500000114</v>
      </c>
      <c r="R4865" s="44" t="str">
        <f>VLOOKUP(F4865,'Set up'!$A$2:$E$70,5,FALSE)</f>
        <v>Trsf</v>
      </c>
    </row>
    <row r="4866" spans="1:18" ht="16.8" customHeight="1" x14ac:dyDescent="0.3">
      <c r="A4866" s="150" t="s">
        <v>4427</v>
      </c>
      <c r="B4866" s="5">
        <f t="shared" ref="B4866:B4929" si="1121">MONTH(A4866)</f>
        <v>1</v>
      </c>
      <c r="C4866" s="5">
        <f t="shared" ref="C4866:C4929" si="1122">YEAR(A4866)</f>
        <v>2026</v>
      </c>
      <c r="D4866" s="150" t="s">
        <v>4448</v>
      </c>
      <c r="E4866" s="5" t="str">
        <f>VLOOKUP(F4866,'Set up'!$A$2:$C$70,2,FALSE)</f>
        <v>C00000042</v>
      </c>
      <c r="F4866" s="150" t="s">
        <v>2012</v>
      </c>
      <c r="G4866" s="150" t="s">
        <v>3645</v>
      </c>
      <c r="H4866" s="150">
        <v>8</v>
      </c>
      <c r="I4866" s="5" t="str">
        <f>VLOOKUP(F4866,'Set up'!$A$2:$C$70,3,FALSE)</f>
        <v>Cash</v>
      </c>
      <c r="J4866" s="5">
        <f>VLOOKUP(F4866,'Set up'!$A$2:$D$70,4,FALSE)</f>
        <v>0</v>
      </c>
      <c r="K4866" s="4">
        <f t="shared" ref="K4866:K4929" si="1123">A4866+J4866</f>
        <v>46025</v>
      </c>
      <c r="L4866" s="5">
        <f t="shared" ref="L4866:L4929" si="1124">MONTH(K4866)</f>
        <v>1</v>
      </c>
      <c r="M4866" s="5">
        <f t="shared" ref="M4866:M4929" si="1125">YEAR(K4866)</f>
        <v>2026</v>
      </c>
      <c r="N4866" s="168">
        <v>12240</v>
      </c>
      <c r="P4866" s="12"/>
      <c r="Q4866" s="7">
        <f t="shared" ref="Q4866:Q4929" si="1126">SUM(Q4865+N4866)</f>
        <v>8021154.9500000114</v>
      </c>
      <c r="R4866" s="44" t="str">
        <f>VLOOKUP(F4866,'Set up'!$A$2:$E$70,5,FALSE)</f>
        <v>Trsf</v>
      </c>
    </row>
    <row r="4867" spans="1:18" ht="16.8" customHeight="1" x14ac:dyDescent="0.3">
      <c r="A4867" s="150" t="s">
        <v>4427</v>
      </c>
      <c r="B4867" s="5">
        <f t="shared" si="1121"/>
        <v>1</v>
      </c>
      <c r="C4867" s="5">
        <f t="shared" si="1122"/>
        <v>2026</v>
      </c>
      <c r="D4867" s="150" t="s">
        <v>4448</v>
      </c>
      <c r="E4867" s="5" t="str">
        <f>VLOOKUP(F4867,'Set up'!$A$2:$C$70,2,FALSE)</f>
        <v>C00000042</v>
      </c>
      <c r="F4867" s="150" t="s">
        <v>2012</v>
      </c>
      <c r="G4867" s="150" t="s">
        <v>1392</v>
      </c>
      <c r="H4867" s="150">
        <v>24</v>
      </c>
      <c r="I4867" s="5" t="str">
        <f>VLOOKUP(F4867,'Set up'!$A$2:$C$70,3,FALSE)</f>
        <v>Cash</v>
      </c>
      <c r="J4867" s="5">
        <f>VLOOKUP(F4867,'Set up'!$A$2:$D$70,4,FALSE)</f>
        <v>0</v>
      </c>
      <c r="K4867" s="4">
        <f t="shared" si="1123"/>
        <v>46025</v>
      </c>
      <c r="L4867" s="5">
        <f t="shared" si="1124"/>
        <v>1</v>
      </c>
      <c r="M4867" s="5">
        <f t="shared" si="1125"/>
        <v>2026</v>
      </c>
      <c r="N4867" s="168">
        <v>4248</v>
      </c>
      <c r="P4867" s="12"/>
      <c r="Q4867" s="7">
        <f t="shared" si="1126"/>
        <v>8025402.9500000114</v>
      </c>
      <c r="R4867" s="44" t="str">
        <f>VLOOKUP(F4867,'Set up'!$A$2:$E$70,5,FALSE)</f>
        <v>Trsf</v>
      </c>
    </row>
    <row r="4868" spans="1:18" ht="16.8" customHeight="1" x14ac:dyDescent="0.3">
      <c r="A4868" s="150" t="s">
        <v>4427</v>
      </c>
      <c r="B4868" s="5">
        <f t="shared" si="1121"/>
        <v>1</v>
      </c>
      <c r="C4868" s="5">
        <f t="shared" si="1122"/>
        <v>2026</v>
      </c>
      <c r="D4868" s="150" t="s">
        <v>4448</v>
      </c>
      <c r="E4868" s="5" t="str">
        <f>VLOOKUP(F4868,'Set up'!$A$2:$C$70,2,FALSE)</f>
        <v>C00000042</v>
      </c>
      <c r="F4868" s="150" t="s">
        <v>2012</v>
      </c>
      <c r="G4868" s="150" t="s">
        <v>1922</v>
      </c>
      <c r="H4868" s="150">
        <v>12</v>
      </c>
      <c r="I4868" s="5" t="str">
        <f>VLOOKUP(F4868,'Set up'!$A$2:$C$70,3,FALSE)</f>
        <v>Cash</v>
      </c>
      <c r="J4868" s="5">
        <f>VLOOKUP(F4868,'Set up'!$A$2:$D$70,4,FALSE)</f>
        <v>0</v>
      </c>
      <c r="K4868" s="4">
        <f t="shared" si="1123"/>
        <v>46025</v>
      </c>
      <c r="L4868" s="5">
        <f t="shared" si="1124"/>
        <v>1</v>
      </c>
      <c r="M4868" s="5">
        <f t="shared" si="1125"/>
        <v>2026</v>
      </c>
      <c r="N4868" s="168">
        <v>2754</v>
      </c>
      <c r="P4868" s="12"/>
      <c r="Q4868" s="7">
        <f t="shared" si="1126"/>
        <v>8028156.9500000114</v>
      </c>
      <c r="R4868" s="44" t="str">
        <f>VLOOKUP(F4868,'Set up'!$A$2:$E$70,5,FALSE)</f>
        <v>Trsf</v>
      </c>
    </row>
    <row r="4869" spans="1:18" ht="16.8" customHeight="1" x14ac:dyDescent="0.3">
      <c r="A4869" s="150" t="s">
        <v>4427</v>
      </c>
      <c r="B4869" s="5">
        <f t="shared" si="1121"/>
        <v>1</v>
      </c>
      <c r="C4869" s="5">
        <f t="shared" si="1122"/>
        <v>2026</v>
      </c>
      <c r="D4869" s="150" t="s">
        <v>4448</v>
      </c>
      <c r="E4869" s="5" t="str">
        <f>VLOOKUP(F4869,'Set up'!$A$2:$C$70,2,FALSE)</f>
        <v>C00000042</v>
      </c>
      <c r="F4869" s="150" t="s">
        <v>2012</v>
      </c>
      <c r="G4869" s="150" t="s">
        <v>46</v>
      </c>
      <c r="H4869" s="150">
        <v>4</v>
      </c>
      <c r="I4869" s="5" t="str">
        <f>VLOOKUP(F4869,'Set up'!$A$2:$C$70,3,FALSE)</f>
        <v>Cash</v>
      </c>
      <c r="J4869" s="5">
        <f>VLOOKUP(F4869,'Set up'!$A$2:$D$70,4,FALSE)</f>
        <v>0</v>
      </c>
      <c r="K4869" s="4">
        <f t="shared" si="1123"/>
        <v>46025</v>
      </c>
      <c r="L4869" s="5">
        <f t="shared" si="1124"/>
        <v>1</v>
      </c>
      <c r="M4869" s="5">
        <f t="shared" si="1125"/>
        <v>2026</v>
      </c>
      <c r="N4869" s="168">
        <v>460</v>
      </c>
      <c r="P4869" s="12"/>
      <c r="Q4869" s="7">
        <f t="shared" si="1126"/>
        <v>8028616.9500000114</v>
      </c>
      <c r="R4869" s="44" t="str">
        <f>VLOOKUP(F4869,'Set up'!$A$2:$E$70,5,FALSE)</f>
        <v>Trsf</v>
      </c>
    </row>
    <row r="4870" spans="1:18" ht="16.8" customHeight="1" x14ac:dyDescent="0.3">
      <c r="A4870" s="150" t="s">
        <v>4427</v>
      </c>
      <c r="B4870" s="5">
        <f t="shared" si="1121"/>
        <v>1</v>
      </c>
      <c r="C4870" s="5">
        <f t="shared" si="1122"/>
        <v>2026</v>
      </c>
      <c r="D4870" s="150" t="s">
        <v>4448</v>
      </c>
      <c r="E4870" s="5" t="str">
        <f>VLOOKUP(F4870,'Set up'!$A$2:$C$70,2,FALSE)</f>
        <v>C00000042</v>
      </c>
      <c r="F4870" s="150" t="s">
        <v>2012</v>
      </c>
      <c r="G4870" s="150" t="s">
        <v>2744</v>
      </c>
      <c r="H4870" s="150">
        <v>1</v>
      </c>
      <c r="I4870" s="5" t="str">
        <f>VLOOKUP(F4870,'Set up'!$A$2:$C$70,3,FALSE)</f>
        <v>Cash</v>
      </c>
      <c r="J4870" s="5">
        <f>VLOOKUP(F4870,'Set up'!$A$2:$D$70,4,FALSE)</f>
        <v>0</v>
      </c>
      <c r="K4870" s="4">
        <f t="shared" si="1123"/>
        <v>46025</v>
      </c>
      <c r="L4870" s="5">
        <f t="shared" si="1124"/>
        <v>1</v>
      </c>
      <c r="M4870" s="5">
        <f t="shared" si="1125"/>
        <v>2026</v>
      </c>
      <c r="N4870" s="168">
        <v>1000</v>
      </c>
      <c r="P4870" s="12"/>
      <c r="Q4870" s="7">
        <f t="shared" si="1126"/>
        <v>8029616.9500000114</v>
      </c>
      <c r="R4870" s="44" t="str">
        <f>VLOOKUP(F4870,'Set up'!$A$2:$E$70,5,FALSE)</f>
        <v>Trsf</v>
      </c>
    </row>
    <row r="4871" spans="1:18" ht="16.8" customHeight="1" x14ac:dyDescent="0.3">
      <c r="A4871" s="150" t="s">
        <v>4428</v>
      </c>
      <c r="B4871" s="5">
        <f t="shared" si="1121"/>
        <v>1</v>
      </c>
      <c r="C4871" s="5">
        <f t="shared" si="1122"/>
        <v>2026</v>
      </c>
      <c r="D4871" s="150" t="s">
        <v>4449</v>
      </c>
      <c r="E4871" s="5" t="str">
        <f>VLOOKUP(F4871,'Set up'!$A$2:$C$70,2,FALSE)</f>
        <v>C00000006</v>
      </c>
      <c r="F4871" s="150" t="s">
        <v>43</v>
      </c>
      <c r="G4871" s="150" t="s">
        <v>3122</v>
      </c>
      <c r="H4871" s="150">
        <v>1</v>
      </c>
      <c r="I4871" s="5" t="str">
        <f>VLOOKUP(F4871,'Set up'!$A$2:$C$70,3,FALSE)</f>
        <v>Cash</v>
      </c>
      <c r="J4871" s="5">
        <f>VLOOKUP(F4871,'Set up'!$A$2:$D$70,4,FALSE)</f>
        <v>0</v>
      </c>
      <c r="K4871" s="4">
        <f t="shared" si="1123"/>
        <v>46027</v>
      </c>
      <c r="L4871" s="5">
        <f t="shared" si="1124"/>
        <v>1</v>
      </c>
      <c r="M4871" s="5">
        <f t="shared" si="1125"/>
        <v>2026</v>
      </c>
      <c r="N4871" s="168">
        <v>1597.5</v>
      </c>
      <c r="P4871" s="12"/>
      <c r="Q4871" s="7">
        <f t="shared" si="1126"/>
        <v>8031214.4500000114</v>
      </c>
      <c r="R4871" s="44" t="str">
        <f>VLOOKUP(F4871,'Set up'!$A$2:$E$70,5,FALSE)</f>
        <v>Chq</v>
      </c>
    </row>
    <row r="4872" spans="1:18" ht="16.8" customHeight="1" x14ac:dyDescent="0.3">
      <c r="A4872" s="150" t="s">
        <v>4428</v>
      </c>
      <c r="B4872" s="5">
        <f t="shared" si="1121"/>
        <v>1</v>
      </c>
      <c r="C4872" s="5">
        <f t="shared" si="1122"/>
        <v>2026</v>
      </c>
      <c r="D4872" s="150" t="s">
        <v>4449</v>
      </c>
      <c r="E4872" s="5" t="str">
        <f>VLOOKUP(F4872,'Set up'!$A$2:$C$70,2,FALSE)</f>
        <v>C00000006</v>
      </c>
      <c r="F4872" s="150" t="s">
        <v>43</v>
      </c>
      <c r="G4872" s="150" t="s">
        <v>1796</v>
      </c>
      <c r="H4872" s="150">
        <v>2</v>
      </c>
      <c r="I4872" s="5" t="str">
        <f>VLOOKUP(F4872,'Set up'!$A$2:$C$70,3,FALSE)</f>
        <v>Cash</v>
      </c>
      <c r="J4872" s="5">
        <f>VLOOKUP(F4872,'Set up'!$A$2:$D$70,4,FALSE)</f>
        <v>0</v>
      </c>
      <c r="K4872" s="4">
        <f t="shared" si="1123"/>
        <v>46027</v>
      </c>
      <c r="L4872" s="5">
        <f t="shared" si="1124"/>
        <v>1</v>
      </c>
      <c r="M4872" s="5">
        <f t="shared" si="1125"/>
        <v>2026</v>
      </c>
      <c r="N4872" s="168">
        <v>414</v>
      </c>
      <c r="P4872" s="12"/>
      <c r="Q4872" s="7">
        <f t="shared" si="1126"/>
        <v>8031628.4500000114</v>
      </c>
      <c r="R4872" s="44" t="str">
        <f>VLOOKUP(F4872,'Set up'!$A$2:$E$70,5,FALSE)</f>
        <v>Chq</v>
      </c>
    </row>
    <row r="4873" spans="1:18" ht="16.8" customHeight="1" x14ac:dyDescent="0.3">
      <c r="A4873" s="150" t="s">
        <v>4428</v>
      </c>
      <c r="B4873" s="5">
        <f t="shared" si="1121"/>
        <v>1</v>
      </c>
      <c r="C4873" s="5">
        <f t="shared" si="1122"/>
        <v>2026</v>
      </c>
      <c r="D4873" s="150" t="s">
        <v>4449</v>
      </c>
      <c r="E4873" s="5" t="str">
        <f>VLOOKUP(F4873,'Set up'!$A$2:$C$70,2,FALSE)</f>
        <v>C00000006</v>
      </c>
      <c r="F4873" s="150" t="s">
        <v>43</v>
      </c>
      <c r="G4873" s="150" t="s">
        <v>1831</v>
      </c>
      <c r="H4873" s="150">
        <v>1</v>
      </c>
      <c r="I4873" s="5" t="str">
        <f>VLOOKUP(F4873,'Set up'!$A$2:$C$70,3,FALSE)</f>
        <v>Cash</v>
      </c>
      <c r="J4873" s="5">
        <f>VLOOKUP(F4873,'Set up'!$A$2:$D$70,4,FALSE)</f>
        <v>0</v>
      </c>
      <c r="K4873" s="4">
        <f t="shared" si="1123"/>
        <v>46027</v>
      </c>
      <c r="L4873" s="5">
        <f t="shared" si="1124"/>
        <v>1</v>
      </c>
      <c r="M4873" s="5">
        <f t="shared" si="1125"/>
        <v>2026</v>
      </c>
      <c r="N4873" s="168">
        <v>207</v>
      </c>
      <c r="P4873" s="12"/>
      <c r="Q4873" s="7">
        <f t="shared" si="1126"/>
        <v>8031835.4500000114</v>
      </c>
      <c r="R4873" s="44" t="str">
        <f>VLOOKUP(F4873,'Set up'!$A$2:$E$70,5,FALSE)</f>
        <v>Chq</v>
      </c>
    </row>
    <row r="4874" spans="1:18" ht="16.8" customHeight="1" x14ac:dyDescent="0.3">
      <c r="A4874" s="150" t="s">
        <v>4429</v>
      </c>
      <c r="B4874" s="5">
        <f t="shared" si="1121"/>
        <v>1</v>
      </c>
      <c r="C4874" s="5">
        <f t="shared" si="1122"/>
        <v>2026</v>
      </c>
      <c r="D4874" s="150" t="s">
        <v>4450</v>
      </c>
      <c r="E4874" s="5" t="str">
        <f>VLOOKUP(F4874,'Set up'!$A$2:$C$70,2,FALSE)</f>
        <v>C00000063</v>
      </c>
      <c r="F4874" s="150" t="s">
        <v>4198</v>
      </c>
      <c r="G4874" s="150" t="s">
        <v>3507</v>
      </c>
      <c r="H4874" s="150">
        <v>6</v>
      </c>
      <c r="I4874" s="5" t="str">
        <f>VLOOKUP(F4874,'Set up'!$A$2:$C$70,3,FALSE)</f>
        <v>Cash</v>
      </c>
      <c r="J4874" s="5">
        <f>VLOOKUP(F4874,'Set up'!$A$2:$D$70,4,FALSE)</f>
        <v>0</v>
      </c>
      <c r="K4874" s="4">
        <f t="shared" si="1123"/>
        <v>46028</v>
      </c>
      <c r="L4874" s="5">
        <f t="shared" si="1124"/>
        <v>1</v>
      </c>
      <c r="M4874" s="5">
        <f t="shared" si="1125"/>
        <v>2026</v>
      </c>
      <c r="N4874" s="168">
        <v>9720</v>
      </c>
      <c r="P4874" s="12"/>
      <c r="Q4874" s="7">
        <f t="shared" si="1126"/>
        <v>8041555.4500000114</v>
      </c>
      <c r="R4874" s="44" t="str">
        <f>VLOOKUP(F4874,'Set up'!$A$2:$E$70,5,FALSE)</f>
        <v>Cash</v>
      </c>
    </row>
    <row r="4875" spans="1:18" ht="16.8" customHeight="1" x14ac:dyDescent="0.3">
      <c r="A4875" s="150" t="s">
        <v>4429</v>
      </c>
      <c r="B4875" s="5">
        <f t="shared" si="1121"/>
        <v>1</v>
      </c>
      <c r="C4875" s="5">
        <f t="shared" si="1122"/>
        <v>2026</v>
      </c>
      <c r="D4875" s="150" t="s">
        <v>4450</v>
      </c>
      <c r="E4875" s="5" t="str">
        <f>VLOOKUP(F4875,'Set up'!$A$2:$C$70,2,FALSE)</f>
        <v>C00000063</v>
      </c>
      <c r="F4875" s="150" t="s">
        <v>4198</v>
      </c>
      <c r="G4875" s="150" t="s">
        <v>4278</v>
      </c>
      <c r="H4875" s="150">
        <v>6</v>
      </c>
      <c r="I4875" s="5" t="str">
        <f>VLOOKUP(F4875,'Set up'!$A$2:$C$70,3,FALSE)</f>
        <v>Cash</v>
      </c>
      <c r="J4875" s="5">
        <f>VLOOKUP(F4875,'Set up'!$A$2:$D$70,4,FALSE)</f>
        <v>0</v>
      </c>
      <c r="K4875" s="4">
        <f t="shared" si="1123"/>
        <v>46028</v>
      </c>
      <c r="L4875" s="5">
        <f t="shared" si="1124"/>
        <v>1</v>
      </c>
      <c r="M4875" s="5">
        <f t="shared" si="1125"/>
        <v>2026</v>
      </c>
      <c r="N4875" s="168">
        <v>2203.1999999999998</v>
      </c>
      <c r="P4875" s="12"/>
      <c r="Q4875" s="7">
        <f t="shared" si="1126"/>
        <v>8043758.6500000115</v>
      </c>
      <c r="R4875" s="44" t="str">
        <f>VLOOKUP(F4875,'Set up'!$A$2:$E$70,5,FALSE)</f>
        <v>Cash</v>
      </c>
    </row>
    <row r="4876" spans="1:18" ht="16.8" customHeight="1" x14ac:dyDescent="0.3">
      <c r="A4876" s="150" t="s">
        <v>4429</v>
      </c>
      <c r="B4876" s="5">
        <f t="shared" si="1121"/>
        <v>1</v>
      </c>
      <c r="C4876" s="5">
        <f t="shared" si="1122"/>
        <v>2026</v>
      </c>
      <c r="D4876" s="150" t="s">
        <v>4450</v>
      </c>
      <c r="E4876" s="5" t="str">
        <f>VLOOKUP(F4876,'Set up'!$A$2:$C$70,2,FALSE)</f>
        <v>C00000063</v>
      </c>
      <c r="F4876" s="150" t="s">
        <v>4198</v>
      </c>
      <c r="G4876" s="150" t="s">
        <v>4202</v>
      </c>
      <c r="H4876" s="150">
        <v>2</v>
      </c>
      <c r="I4876" s="5" t="str">
        <f>VLOOKUP(F4876,'Set up'!$A$2:$C$70,3,FALSE)</f>
        <v>Cash</v>
      </c>
      <c r="J4876" s="5">
        <f>VLOOKUP(F4876,'Set up'!$A$2:$D$70,4,FALSE)</f>
        <v>0</v>
      </c>
      <c r="K4876" s="4">
        <f t="shared" si="1123"/>
        <v>46028</v>
      </c>
      <c r="L4876" s="5">
        <f t="shared" si="1124"/>
        <v>1</v>
      </c>
      <c r="M4876" s="5">
        <f t="shared" si="1125"/>
        <v>2026</v>
      </c>
      <c r="N4876" s="168">
        <v>734.4</v>
      </c>
      <c r="P4876" s="12"/>
      <c r="Q4876" s="7">
        <f t="shared" si="1126"/>
        <v>8044493.0500000119</v>
      </c>
      <c r="R4876" s="44" t="str">
        <f>VLOOKUP(F4876,'Set up'!$A$2:$E$70,5,FALSE)</f>
        <v>Cash</v>
      </c>
    </row>
    <row r="4877" spans="1:18" ht="16.8" customHeight="1" x14ac:dyDescent="0.3">
      <c r="A4877" s="150" t="s">
        <v>4429</v>
      </c>
      <c r="B4877" s="5">
        <f t="shared" si="1121"/>
        <v>1</v>
      </c>
      <c r="C4877" s="5">
        <f t="shared" si="1122"/>
        <v>2026</v>
      </c>
      <c r="D4877" s="150" t="s">
        <v>4450</v>
      </c>
      <c r="E4877" s="5" t="str">
        <f>VLOOKUP(F4877,'Set up'!$A$2:$C$70,2,FALSE)</f>
        <v>C00000063</v>
      </c>
      <c r="F4877" s="150" t="s">
        <v>4198</v>
      </c>
      <c r="G4877" s="150" t="s">
        <v>1449</v>
      </c>
      <c r="H4877" s="150">
        <v>4</v>
      </c>
      <c r="I4877" s="5" t="str">
        <f>VLOOKUP(F4877,'Set up'!$A$2:$C$70,3,FALSE)</f>
        <v>Cash</v>
      </c>
      <c r="J4877" s="5">
        <f>VLOOKUP(F4877,'Set up'!$A$2:$D$70,4,FALSE)</f>
        <v>0</v>
      </c>
      <c r="K4877" s="4">
        <f t="shared" si="1123"/>
        <v>46028</v>
      </c>
      <c r="L4877" s="5">
        <f t="shared" si="1124"/>
        <v>1</v>
      </c>
      <c r="M4877" s="5">
        <f t="shared" si="1125"/>
        <v>2026</v>
      </c>
      <c r="N4877" s="168">
        <v>480</v>
      </c>
      <c r="P4877" s="12"/>
      <c r="Q4877" s="7">
        <f t="shared" si="1126"/>
        <v>8044973.0500000119</v>
      </c>
      <c r="R4877" s="44" t="str">
        <f>VLOOKUP(F4877,'Set up'!$A$2:$E$70,5,FALSE)</f>
        <v>Cash</v>
      </c>
    </row>
    <row r="4878" spans="1:18" ht="16.8" customHeight="1" x14ac:dyDescent="0.3">
      <c r="A4878" s="150" t="s">
        <v>4429</v>
      </c>
      <c r="B4878" s="5">
        <f t="shared" si="1121"/>
        <v>1</v>
      </c>
      <c r="C4878" s="5">
        <f t="shared" si="1122"/>
        <v>2026</v>
      </c>
      <c r="D4878" s="150" t="s">
        <v>4450</v>
      </c>
      <c r="E4878" s="5" t="str">
        <f>VLOOKUP(F4878,'Set up'!$A$2:$C$70,2,FALSE)</f>
        <v>C00000063</v>
      </c>
      <c r="F4878" s="150" t="s">
        <v>4198</v>
      </c>
      <c r="G4878" s="150" t="s">
        <v>4134</v>
      </c>
      <c r="H4878" s="150">
        <v>2</v>
      </c>
      <c r="I4878" s="5" t="str">
        <f>VLOOKUP(F4878,'Set up'!$A$2:$C$70,3,FALSE)</f>
        <v>Cash</v>
      </c>
      <c r="J4878" s="5">
        <f>VLOOKUP(F4878,'Set up'!$A$2:$D$70,4,FALSE)</f>
        <v>0</v>
      </c>
      <c r="K4878" s="4">
        <f t="shared" si="1123"/>
        <v>46028</v>
      </c>
      <c r="L4878" s="5">
        <f t="shared" si="1124"/>
        <v>1</v>
      </c>
      <c r="M4878" s="5">
        <f t="shared" si="1125"/>
        <v>2026</v>
      </c>
      <c r="N4878" s="168">
        <v>550</v>
      </c>
      <c r="P4878" s="12"/>
      <c r="Q4878" s="7">
        <f t="shared" si="1126"/>
        <v>8045523.0500000119</v>
      </c>
      <c r="R4878" s="44" t="str">
        <f>VLOOKUP(F4878,'Set up'!$A$2:$E$70,5,FALSE)</f>
        <v>Cash</v>
      </c>
    </row>
    <row r="4879" spans="1:18" ht="16.8" customHeight="1" x14ac:dyDescent="0.3">
      <c r="A4879" s="150" t="s">
        <v>4429</v>
      </c>
      <c r="B4879" s="5">
        <f t="shared" si="1121"/>
        <v>1</v>
      </c>
      <c r="C4879" s="5">
        <f t="shared" si="1122"/>
        <v>2026</v>
      </c>
      <c r="D4879" s="150" t="s">
        <v>4450</v>
      </c>
      <c r="E4879" s="5" t="str">
        <f>VLOOKUP(F4879,'Set up'!$A$2:$C$70,2,FALSE)</f>
        <v>C00000063</v>
      </c>
      <c r="F4879" s="150" t="s">
        <v>4198</v>
      </c>
      <c r="G4879" s="150" t="s">
        <v>714</v>
      </c>
      <c r="H4879" s="150">
        <v>4</v>
      </c>
      <c r="I4879" s="5" t="str">
        <f>VLOOKUP(F4879,'Set up'!$A$2:$C$70,3,FALSE)</f>
        <v>Cash</v>
      </c>
      <c r="J4879" s="5">
        <f>VLOOKUP(F4879,'Set up'!$A$2:$D$70,4,FALSE)</f>
        <v>0</v>
      </c>
      <c r="K4879" s="4">
        <f t="shared" si="1123"/>
        <v>46028</v>
      </c>
      <c r="L4879" s="5">
        <f t="shared" si="1124"/>
        <v>1</v>
      </c>
      <c r="M4879" s="5">
        <f t="shared" si="1125"/>
        <v>2026</v>
      </c>
      <c r="N4879" s="168">
        <v>250</v>
      </c>
      <c r="P4879" s="12"/>
      <c r="Q4879" s="7">
        <f t="shared" si="1126"/>
        <v>8045773.0500000119</v>
      </c>
      <c r="R4879" s="44" t="str">
        <f>VLOOKUP(F4879,'Set up'!$A$2:$E$70,5,FALSE)</f>
        <v>Cash</v>
      </c>
    </row>
    <row r="4880" spans="1:18" ht="16.8" customHeight="1" x14ac:dyDescent="0.3">
      <c r="A4880" s="150" t="s">
        <v>4429</v>
      </c>
      <c r="B4880" s="5">
        <f t="shared" si="1121"/>
        <v>1</v>
      </c>
      <c r="C4880" s="5">
        <f t="shared" si="1122"/>
        <v>2026</v>
      </c>
      <c r="D4880" s="150" t="s">
        <v>4450</v>
      </c>
      <c r="E4880" s="5" t="str">
        <f>VLOOKUP(F4880,'Set up'!$A$2:$C$70,2,FALSE)</f>
        <v>C00000063</v>
      </c>
      <c r="F4880" s="150" t="s">
        <v>4198</v>
      </c>
      <c r="G4880" s="150" t="s">
        <v>3511</v>
      </c>
      <c r="H4880" s="150">
        <v>4</v>
      </c>
      <c r="I4880" s="5" t="str">
        <f>VLOOKUP(F4880,'Set up'!$A$2:$C$70,3,FALSE)</f>
        <v>Cash</v>
      </c>
      <c r="J4880" s="5">
        <f>VLOOKUP(F4880,'Set up'!$A$2:$D$70,4,FALSE)</f>
        <v>0</v>
      </c>
      <c r="K4880" s="4">
        <f t="shared" si="1123"/>
        <v>46028</v>
      </c>
      <c r="L4880" s="5">
        <f t="shared" si="1124"/>
        <v>1</v>
      </c>
      <c r="M4880" s="5">
        <f t="shared" si="1125"/>
        <v>2026</v>
      </c>
      <c r="N4880" s="168">
        <v>240</v>
      </c>
      <c r="P4880" s="12"/>
      <c r="Q4880" s="7">
        <f t="shared" si="1126"/>
        <v>8046013.0500000119</v>
      </c>
      <c r="R4880" s="44" t="str">
        <f>VLOOKUP(F4880,'Set up'!$A$2:$E$70,5,FALSE)</f>
        <v>Cash</v>
      </c>
    </row>
    <row r="4881" spans="1:18" ht="16.8" customHeight="1" x14ac:dyDescent="0.3">
      <c r="A4881" s="150" t="s">
        <v>4429</v>
      </c>
      <c r="B4881" s="5">
        <f t="shared" si="1121"/>
        <v>1</v>
      </c>
      <c r="C4881" s="5">
        <f t="shared" si="1122"/>
        <v>2026</v>
      </c>
      <c r="D4881" s="150" t="s">
        <v>4450</v>
      </c>
      <c r="E4881" s="5" t="str">
        <f>VLOOKUP(F4881,'Set up'!$A$2:$C$70,2,FALSE)</f>
        <v>C00000063</v>
      </c>
      <c r="F4881" s="150" t="s">
        <v>4198</v>
      </c>
      <c r="G4881" s="150" t="s">
        <v>4267</v>
      </c>
      <c r="H4881" s="150">
        <v>1</v>
      </c>
      <c r="I4881" s="5" t="str">
        <f>VLOOKUP(F4881,'Set up'!$A$2:$C$70,3,FALSE)</f>
        <v>Cash</v>
      </c>
      <c r="J4881" s="5">
        <f>VLOOKUP(F4881,'Set up'!$A$2:$D$70,4,FALSE)</f>
        <v>0</v>
      </c>
      <c r="K4881" s="4">
        <f t="shared" si="1123"/>
        <v>46028</v>
      </c>
      <c r="L4881" s="5">
        <f t="shared" si="1124"/>
        <v>1</v>
      </c>
      <c r="M4881" s="5">
        <f t="shared" si="1125"/>
        <v>2026</v>
      </c>
      <c r="N4881" s="168">
        <v>57.6</v>
      </c>
      <c r="P4881" s="12"/>
      <c r="Q4881" s="7">
        <f t="shared" si="1126"/>
        <v>8046070.6500000115</v>
      </c>
      <c r="R4881" s="44" t="str">
        <f>VLOOKUP(F4881,'Set up'!$A$2:$E$70,5,FALSE)</f>
        <v>Cash</v>
      </c>
    </row>
    <row r="4882" spans="1:18" ht="16.8" customHeight="1" x14ac:dyDescent="0.3">
      <c r="A4882" s="150" t="s">
        <v>4429</v>
      </c>
      <c r="B4882" s="5">
        <f t="shared" si="1121"/>
        <v>1</v>
      </c>
      <c r="C4882" s="5">
        <f t="shared" si="1122"/>
        <v>2026</v>
      </c>
      <c r="D4882" s="150" t="s">
        <v>4451</v>
      </c>
      <c r="E4882" s="5" t="str">
        <f>VLOOKUP(F4882,'Set up'!$A$2:$C$70,2,FALSE)</f>
        <v>C00000044</v>
      </c>
      <c r="F4882" s="150" t="s">
        <v>2929</v>
      </c>
      <c r="G4882" s="150" t="s">
        <v>3122</v>
      </c>
      <c r="H4882" s="150">
        <v>1</v>
      </c>
      <c r="I4882" s="5" t="str">
        <f>VLOOKUP(F4882,'Set up'!$A$2:$C$70,3,FALSE)</f>
        <v>Cash</v>
      </c>
      <c r="J4882" s="5">
        <f>VLOOKUP(F4882,'Set up'!$A$2:$D$70,4,FALSE)</f>
        <v>0</v>
      </c>
      <c r="K4882" s="4">
        <f t="shared" si="1123"/>
        <v>46028</v>
      </c>
      <c r="L4882" s="5">
        <f t="shared" si="1124"/>
        <v>1</v>
      </c>
      <c r="M4882" s="5">
        <f t="shared" si="1125"/>
        <v>2026</v>
      </c>
      <c r="N4882" s="168">
        <v>1687.5</v>
      </c>
      <c r="P4882" s="12"/>
      <c r="Q4882" s="7">
        <f t="shared" si="1126"/>
        <v>8047758.1500000115</v>
      </c>
      <c r="R4882" s="44" t="str">
        <f>VLOOKUP(F4882,'Set up'!$A$2:$E$70,5,FALSE)</f>
        <v>Cash</v>
      </c>
    </row>
    <row r="4883" spans="1:18" ht="16.8" customHeight="1" x14ac:dyDescent="0.3">
      <c r="A4883" s="150" t="s">
        <v>4429</v>
      </c>
      <c r="B4883" s="5">
        <f t="shared" si="1121"/>
        <v>1</v>
      </c>
      <c r="C4883" s="5">
        <f t="shared" si="1122"/>
        <v>2026</v>
      </c>
      <c r="D4883" s="150" t="s">
        <v>4451</v>
      </c>
      <c r="E4883" s="5" t="str">
        <f>VLOOKUP(F4883,'Set up'!$A$2:$C$70,2,FALSE)</f>
        <v>C00000044</v>
      </c>
      <c r="F4883" s="150" t="s">
        <v>2929</v>
      </c>
      <c r="G4883" s="150" t="s">
        <v>2570</v>
      </c>
      <c r="H4883" s="150">
        <v>2</v>
      </c>
      <c r="I4883" s="5" t="str">
        <f>VLOOKUP(F4883,'Set up'!$A$2:$C$70,3,FALSE)</f>
        <v>Cash</v>
      </c>
      <c r="J4883" s="5">
        <f>VLOOKUP(F4883,'Set up'!$A$2:$D$70,4,FALSE)</f>
        <v>0</v>
      </c>
      <c r="K4883" s="4">
        <f t="shared" si="1123"/>
        <v>46028</v>
      </c>
      <c r="L4883" s="5">
        <f t="shared" si="1124"/>
        <v>1</v>
      </c>
      <c r="M4883" s="5">
        <f t="shared" si="1125"/>
        <v>2026</v>
      </c>
      <c r="N4883" s="168">
        <v>432</v>
      </c>
      <c r="P4883" s="12"/>
      <c r="Q4883" s="7">
        <f t="shared" si="1126"/>
        <v>8048190.1500000115</v>
      </c>
      <c r="R4883" s="44" t="str">
        <f>VLOOKUP(F4883,'Set up'!$A$2:$E$70,5,FALSE)</f>
        <v>Cash</v>
      </c>
    </row>
    <row r="4884" spans="1:18" ht="16.8" customHeight="1" x14ac:dyDescent="0.3">
      <c r="A4884" s="150" t="s">
        <v>4429</v>
      </c>
      <c r="B4884" s="5">
        <f t="shared" si="1121"/>
        <v>1</v>
      </c>
      <c r="C4884" s="5">
        <f t="shared" si="1122"/>
        <v>2026</v>
      </c>
      <c r="D4884" s="150" t="s">
        <v>4451</v>
      </c>
      <c r="E4884" s="5" t="str">
        <f>VLOOKUP(F4884,'Set up'!$A$2:$C$70,2,FALSE)</f>
        <v>C00000044</v>
      </c>
      <c r="F4884" s="150" t="s">
        <v>2929</v>
      </c>
      <c r="G4884" s="150" t="s">
        <v>46</v>
      </c>
      <c r="H4884" s="150">
        <v>1</v>
      </c>
      <c r="I4884" s="5" t="str">
        <f>VLOOKUP(F4884,'Set up'!$A$2:$C$70,3,FALSE)</f>
        <v>Cash</v>
      </c>
      <c r="J4884" s="5">
        <f>VLOOKUP(F4884,'Set up'!$A$2:$D$70,4,FALSE)</f>
        <v>0</v>
      </c>
      <c r="K4884" s="4">
        <f t="shared" si="1123"/>
        <v>46028</v>
      </c>
      <c r="L4884" s="5">
        <f t="shared" si="1124"/>
        <v>1</v>
      </c>
      <c r="M4884" s="5">
        <f t="shared" si="1125"/>
        <v>2026</v>
      </c>
      <c r="N4884" s="168">
        <v>115</v>
      </c>
      <c r="P4884" s="12"/>
      <c r="Q4884" s="7">
        <f t="shared" si="1126"/>
        <v>8048305.1500000115</v>
      </c>
      <c r="R4884" s="44" t="str">
        <f>VLOOKUP(F4884,'Set up'!$A$2:$E$70,5,FALSE)</f>
        <v>Cash</v>
      </c>
    </row>
    <row r="4885" spans="1:18" ht="16.8" customHeight="1" x14ac:dyDescent="0.3">
      <c r="A4885" s="150" t="s">
        <v>4429</v>
      </c>
      <c r="B4885" s="5">
        <f t="shared" si="1121"/>
        <v>1</v>
      </c>
      <c r="C4885" s="5">
        <f t="shared" si="1122"/>
        <v>2026</v>
      </c>
      <c r="D4885" s="150" t="s">
        <v>4451</v>
      </c>
      <c r="E4885" s="5" t="str">
        <f>VLOOKUP(F4885,'Set up'!$A$2:$C$70,2,FALSE)</f>
        <v>C00000044</v>
      </c>
      <c r="F4885" s="150" t="s">
        <v>2929</v>
      </c>
      <c r="G4885" s="150" t="s">
        <v>2646</v>
      </c>
      <c r="H4885" s="150">
        <v>1</v>
      </c>
      <c r="I4885" s="5" t="str">
        <f>VLOOKUP(F4885,'Set up'!$A$2:$C$70,3,FALSE)</f>
        <v>Cash</v>
      </c>
      <c r="J4885" s="5">
        <f>VLOOKUP(F4885,'Set up'!$A$2:$D$70,4,FALSE)</f>
        <v>0</v>
      </c>
      <c r="K4885" s="4">
        <f t="shared" si="1123"/>
        <v>46028</v>
      </c>
      <c r="L4885" s="5">
        <f t="shared" si="1124"/>
        <v>1</v>
      </c>
      <c r="M4885" s="5">
        <f t="shared" si="1125"/>
        <v>2026</v>
      </c>
      <c r="N4885" s="168">
        <v>62.5</v>
      </c>
      <c r="P4885" s="12"/>
      <c r="Q4885" s="7">
        <f t="shared" si="1126"/>
        <v>8048367.6500000115</v>
      </c>
      <c r="R4885" s="44" t="str">
        <f>VLOOKUP(F4885,'Set up'!$A$2:$E$70,5,FALSE)</f>
        <v>Cash</v>
      </c>
    </row>
    <row r="4886" spans="1:18" ht="16.8" customHeight="1" x14ac:dyDescent="0.3">
      <c r="A4886" s="150" t="s">
        <v>4430</v>
      </c>
      <c r="B4886" s="5">
        <f t="shared" si="1121"/>
        <v>1</v>
      </c>
      <c r="C4886" s="5">
        <f t="shared" si="1122"/>
        <v>2026</v>
      </c>
      <c r="D4886" s="150" t="s">
        <v>4452</v>
      </c>
      <c r="E4886" s="5" t="str">
        <f>VLOOKUP(F4886,'Set up'!$A$2:$C$70,2,FALSE)</f>
        <v>C00000042</v>
      </c>
      <c r="F4886" s="150" t="s">
        <v>2012</v>
      </c>
      <c r="G4886" s="150" t="s">
        <v>2646</v>
      </c>
      <c r="H4886" s="150">
        <v>3</v>
      </c>
      <c r="I4886" s="5" t="str">
        <f>VLOOKUP(F4886,'Set up'!$A$2:$C$70,3,FALSE)</f>
        <v>Cash</v>
      </c>
      <c r="J4886" s="5">
        <f>VLOOKUP(F4886,'Set up'!$A$2:$D$70,4,FALSE)</f>
        <v>0</v>
      </c>
      <c r="K4886" s="4">
        <f t="shared" si="1123"/>
        <v>46029</v>
      </c>
      <c r="L4886" s="5">
        <f t="shared" si="1124"/>
        <v>1</v>
      </c>
      <c r="M4886" s="5">
        <f t="shared" si="1125"/>
        <v>2026</v>
      </c>
      <c r="N4886" s="168">
        <v>187.5</v>
      </c>
      <c r="P4886" s="12"/>
      <c r="Q4886" s="7">
        <f t="shared" si="1126"/>
        <v>8048555.1500000115</v>
      </c>
      <c r="R4886" s="44" t="str">
        <f>VLOOKUP(F4886,'Set up'!$A$2:$E$70,5,FALSE)</f>
        <v>Trsf</v>
      </c>
    </row>
    <row r="4887" spans="1:18" ht="16.8" customHeight="1" x14ac:dyDescent="0.3">
      <c r="A4887" s="150" t="s">
        <v>4430</v>
      </c>
      <c r="B4887" s="5">
        <f t="shared" si="1121"/>
        <v>1</v>
      </c>
      <c r="C4887" s="5">
        <f t="shared" si="1122"/>
        <v>2026</v>
      </c>
      <c r="D4887" s="150" t="s">
        <v>4453</v>
      </c>
      <c r="E4887" s="5" t="str">
        <f>VLOOKUP(F4887,'Set up'!$A$2:$C$70,2,FALSE)</f>
        <v>C00000042</v>
      </c>
      <c r="F4887" s="150" t="s">
        <v>2012</v>
      </c>
      <c r="G4887" s="150" t="s">
        <v>3645</v>
      </c>
      <c r="H4887" s="150">
        <v>6</v>
      </c>
      <c r="I4887" s="5" t="str">
        <f>VLOOKUP(F4887,'Set up'!$A$2:$C$70,3,FALSE)</f>
        <v>Cash</v>
      </c>
      <c r="J4887" s="5">
        <f>VLOOKUP(F4887,'Set up'!$A$2:$D$70,4,FALSE)</f>
        <v>0</v>
      </c>
      <c r="K4887" s="4">
        <f t="shared" si="1123"/>
        <v>46029</v>
      </c>
      <c r="L4887" s="5">
        <f t="shared" si="1124"/>
        <v>1</v>
      </c>
      <c r="M4887" s="5">
        <f t="shared" si="1125"/>
        <v>2026</v>
      </c>
      <c r="N4887" s="168">
        <v>8910</v>
      </c>
      <c r="P4887" s="12"/>
      <c r="Q4887" s="7">
        <f t="shared" si="1126"/>
        <v>8057465.1500000115</v>
      </c>
      <c r="R4887" s="44" t="str">
        <f>VLOOKUP(F4887,'Set up'!$A$2:$E$70,5,FALSE)</f>
        <v>Trsf</v>
      </c>
    </row>
    <row r="4888" spans="1:18" ht="16.8" customHeight="1" x14ac:dyDescent="0.3">
      <c r="A4888" s="150" t="s">
        <v>4430</v>
      </c>
      <c r="B4888" s="5">
        <f t="shared" si="1121"/>
        <v>1</v>
      </c>
      <c r="C4888" s="5">
        <f t="shared" si="1122"/>
        <v>2026</v>
      </c>
      <c r="D4888" s="150" t="s">
        <v>4453</v>
      </c>
      <c r="E4888" s="5" t="str">
        <f>VLOOKUP(F4888,'Set up'!$A$2:$C$70,2,FALSE)</f>
        <v>C00000042</v>
      </c>
      <c r="F4888" s="150" t="s">
        <v>2012</v>
      </c>
      <c r="G4888" s="150" t="s">
        <v>1392</v>
      </c>
      <c r="H4888" s="150">
        <v>20</v>
      </c>
      <c r="I4888" s="5" t="str">
        <f>VLOOKUP(F4888,'Set up'!$A$2:$C$70,3,FALSE)</f>
        <v>Cash</v>
      </c>
      <c r="J4888" s="5">
        <f>VLOOKUP(F4888,'Set up'!$A$2:$D$70,4,FALSE)</f>
        <v>0</v>
      </c>
      <c r="K4888" s="4">
        <f t="shared" si="1123"/>
        <v>46029</v>
      </c>
      <c r="L4888" s="5">
        <f t="shared" si="1124"/>
        <v>1</v>
      </c>
      <c r="M4888" s="5">
        <f t="shared" si="1125"/>
        <v>2026</v>
      </c>
      <c r="N4888" s="168">
        <v>3540</v>
      </c>
      <c r="P4888" s="12"/>
      <c r="Q4888" s="7">
        <f t="shared" si="1126"/>
        <v>8061005.1500000115</v>
      </c>
      <c r="R4888" s="44" t="str">
        <f>VLOOKUP(F4888,'Set up'!$A$2:$E$70,5,FALSE)</f>
        <v>Trsf</v>
      </c>
    </row>
    <row r="4889" spans="1:18" ht="16.8" customHeight="1" x14ac:dyDescent="0.3">
      <c r="A4889" s="150" t="s">
        <v>4430</v>
      </c>
      <c r="B4889" s="5">
        <f t="shared" si="1121"/>
        <v>1</v>
      </c>
      <c r="C4889" s="5">
        <f t="shared" si="1122"/>
        <v>2026</v>
      </c>
      <c r="D4889" s="150" t="s">
        <v>4453</v>
      </c>
      <c r="E4889" s="5" t="str">
        <f>VLOOKUP(F4889,'Set up'!$A$2:$C$70,2,FALSE)</f>
        <v>C00000042</v>
      </c>
      <c r="F4889" s="150" t="s">
        <v>2012</v>
      </c>
      <c r="G4889" s="150" t="s">
        <v>1922</v>
      </c>
      <c r="H4889" s="150">
        <v>9</v>
      </c>
      <c r="I4889" s="5" t="str">
        <f>VLOOKUP(F4889,'Set up'!$A$2:$C$70,3,FALSE)</f>
        <v>Cash</v>
      </c>
      <c r="J4889" s="5">
        <f>VLOOKUP(F4889,'Set up'!$A$2:$D$70,4,FALSE)</f>
        <v>0</v>
      </c>
      <c r="K4889" s="4">
        <f t="shared" si="1123"/>
        <v>46029</v>
      </c>
      <c r="L4889" s="5">
        <f t="shared" si="1124"/>
        <v>1</v>
      </c>
      <c r="M4889" s="5">
        <f t="shared" si="1125"/>
        <v>2026</v>
      </c>
      <c r="N4889" s="168">
        <v>2065.5</v>
      </c>
      <c r="P4889" s="12"/>
      <c r="Q4889" s="7">
        <f t="shared" si="1126"/>
        <v>8063070.6500000115</v>
      </c>
      <c r="R4889" s="44" t="str">
        <f>VLOOKUP(F4889,'Set up'!$A$2:$E$70,5,FALSE)</f>
        <v>Trsf</v>
      </c>
    </row>
    <row r="4890" spans="1:18" ht="16.8" customHeight="1" x14ac:dyDescent="0.3">
      <c r="A4890" s="150" t="s">
        <v>4430</v>
      </c>
      <c r="B4890" s="5">
        <f t="shared" si="1121"/>
        <v>1</v>
      </c>
      <c r="C4890" s="5">
        <f t="shared" si="1122"/>
        <v>2026</v>
      </c>
      <c r="D4890" s="150" t="s">
        <v>4453</v>
      </c>
      <c r="E4890" s="5" t="str">
        <f>VLOOKUP(F4890,'Set up'!$A$2:$C$70,2,FALSE)</f>
        <v>C00000042</v>
      </c>
      <c r="F4890" s="150" t="s">
        <v>2012</v>
      </c>
      <c r="G4890" s="150" t="s">
        <v>46</v>
      </c>
      <c r="H4890" s="150">
        <v>4</v>
      </c>
      <c r="I4890" s="5" t="str">
        <f>VLOOKUP(F4890,'Set up'!$A$2:$C$70,3,FALSE)</f>
        <v>Cash</v>
      </c>
      <c r="J4890" s="5">
        <f>VLOOKUP(F4890,'Set up'!$A$2:$D$70,4,FALSE)</f>
        <v>0</v>
      </c>
      <c r="K4890" s="4">
        <f t="shared" si="1123"/>
        <v>46029</v>
      </c>
      <c r="L4890" s="5">
        <f t="shared" si="1124"/>
        <v>1</v>
      </c>
      <c r="M4890" s="5">
        <f t="shared" si="1125"/>
        <v>2026</v>
      </c>
      <c r="N4890" s="168">
        <v>460</v>
      </c>
      <c r="P4890" s="12"/>
      <c r="Q4890" s="7">
        <f t="shared" si="1126"/>
        <v>8063530.6500000115</v>
      </c>
      <c r="R4890" s="44" t="str">
        <f>VLOOKUP(F4890,'Set up'!$A$2:$E$70,5,FALSE)</f>
        <v>Trsf</v>
      </c>
    </row>
    <row r="4891" spans="1:18" ht="16.8" customHeight="1" x14ac:dyDescent="0.3">
      <c r="A4891" s="150" t="s">
        <v>4430</v>
      </c>
      <c r="B4891" s="5">
        <f t="shared" si="1121"/>
        <v>1</v>
      </c>
      <c r="C4891" s="5">
        <f t="shared" si="1122"/>
        <v>2026</v>
      </c>
      <c r="D4891" s="150" t="s">
        <v>4453</v>
      </c>
      <c r="E4891" s="5" t="str">
        <f>VLOOKUP(F4891,'Set up'!$A$2:$C$70,2,FALSE)</f>
        <v>C00000042</v>
      </c>
      <c r="F4891" s="150" t="s">
        <v>2012</v>
      </c>
      <c r="G4891" s="150" t="s">
        <v>2744</v>
      </c>
      <c r="H4891" s="150">
        <v>1</v>
      </c>
      <c r="I4891" s="5" t="str">
        <f>VLOOKUP(F4891,'Set up'!$A$2:$C$70,3,FALSE)</f>
        <v>Cash</v>
      </c>
      <c r="J4891" s="5">
        <f>VLOOKUP(F4891,'Set up'!$A$2:$D$70,4,FALSE)</f>
        <v>0</v>
      </c>
      <c r="K4891" s="4">
        <f t="shared" si="1123"/>
        <v>46029</v>
      </c>
      <c r="L4891" s="5">
        <f t="shared" si="1124"/>
        <v>1</v>
      </c>
      <c r="M4891" s="5">
        <f t="shared" si="1125"/>
        <v>2026</v>
      </c>
      <c r="N4891" s="168">
        <v>1000</v>
      </c>
      <c r="P4891" s="12"/>
      <c r="Q4891" s="7">
        <f t="shared" si="1126"/>
        <v>8064530.6500000115</v>
      </c>
      <c r="R4891" s="44" t="str">
        <f>VLOOKUP(F4891,'Set up'!$A$2:$E$70,5,FALSE)</f>
        <v>Trsf</v>
      </c>
    </row>
    <row r="4892" spans="1:18" ht="16.8" customHeight="1" x14ac:dyDescent="0.3">
      <c r="A4892" s="150" t="s">
        <v>4431</v>
      </c>
      <c r="B4892" s="5">
        <f t="shared" si="1121"/>
        <v>1</v>
      </c>
      <c r="C4892" s="5">
        <f t="shared" si="1122"/>
        <v>2026</v>
      </c>
      <c r="D4892" s="150" t="s">
        <v>4454</v>
      </c>
      <c r="E4892" s="5" t="str">
        <f>VLOOKUP(F4892,'Set up'!$A$2:$C$70,2,FALSE)</f>
        <v>C00000049</v>
      </c>
      <c r="F4892" s="150" t="s">
        <v>2728</v>
      </c>
      <c r="G4892" s="150" t="s">
        <v>4484</v>
      </c>
      <c r="H4892" s="150">
        <v>1</v>
      </c>
      <c r="I4892" s="5" t="str">
        <f>VLOOKUP(F4892,'Set up'!$A$2:$C$70,3,FALSE)</f>
        <v>Cash</v>
      </c>
      <c r="J4892" s="5">
        <f>VLOOKUP(F4892,'Set up'!$A$2:$D$70,4,FALSE)</f>
        <v>0</v>
      </c>
      <c r="K4892" s="4">
        <f t="shared" si="1123"/>
        <v>46030</v>
      </c>
      <c r="L4892" s="5">
        <f t="shared" si="1124"/>
        <v>1</v>
      </c>
      <c r="M4892" s="5">
        <f t="shared" si="1125"/>
        <v>2026</v>
      </c>
      <c r="N4892" s="168">
        <v>35</v>
      </c>
      <c r="P4892" s="12"/>
      <c r="Q4892" s="7">
        <f t="shared" si="1126"/>
        <v>8064565.6500000115</v>
      </c>
      <c r="R4892" s="44" t="str">
        <f>VLOOKUP(F4892,'Set up'!$A$2:$E$70,5,FALSE)</f>
        <v>Cash</v>
      </c>
    </row>
    <row r="4893" spans="1:18" ht="16.8" customHeight="1" x14ac:dyDescent="0.3">
      <c r="A4893" s="150" t="s">
        <v>4431</v>
      </c>
      <c r="B4893" s="5">
        <f t="shared" si="1121"/>
        <v>1</v>
      </c>
      <c r="C4893" s="5">
        <f t="shared" si="1122"/>
        <v>2026</v>
      </c>
      <c r="D4893" s="150" t="s">
        <v>4454</v>
      </c>
      <c r="E4893" s="5" t="str">
        <f>VLOOKUP(F4893,'Set up'!$A$2:$C$70,2,FALSE)</f>
        <v>C00000049</v>
      </c>
      <c r="F4893" s="150" t="s">
        <v>2728</v>
      </c>
      <c r="G4893" s="150" t="s">
        <v>4485</v>
      </c>
      <c r="H4893" s="150">
        <v>1</v>
      </c>
      <c r="I4893" s="5" t="str">
        <f>VLOOKUP(F4893,'Set up'!$A$2:$C$70,3,FALSE)</f>
        <v>Cash</v>
      </c>
      <c r="J4893" s="5">
        <f>VLOOKUP(F4893,'Set up'!$A$2:$D$70,4,FALSE)</f>
        <v>0</v>
      </c>
      <c r="K4893" s="4">
        <f t="shared" si="1123"/>
        <v>46030</v>
      </c>
      <c r="L4893" s="5">
        <f t="shared" si="1124"/>
        <v>1</v>
      </c>
      <c r="M4893" s="5">
        <f t="shared" si="1125"/>
        <v>2026</v>
      </c>
      <c r="N4893" s="168">
        <v>45</v>
      </c>
      <c r="P4893" s="12"/>
      <c r="Q4893" s="7">
        <f t="shared" si="1126"/>
        <v>8064610.6500000115</v>
      </c>
      <c r="R4893" s="44" t="str">
        <f>VLOOKUP(F4893,'Set up'!$A$2:$E$70,5,FALSE)</f>
        <v>Cash</v>
      </c>
    </row>
    <row r="4894" spans="1:18" ht="16.8" customHeight="1" x14ac:dyDescent="0.3">
      <c r="A4894" s="150" t="s">
        <v>4431</v>
      </c>
      <c r="B4894" s="5">
        <f t="shared" si="1121"/>
        <v>1</v>
      </c>
      <c r="C4894" s="5">
        <f t="shared" si="1122"/>
        <v>2026</v>
      </c>
      <c r="D4894" s="150" t="s">
        <v>4455</v>
      </c>
      <c r="E4894" s="5" t="str">
        <f>VLOOKUP(F4894,'Set up'!$A$2:$C$70,2,FALSE)</f>
        <v>C00000050</v>
      </c>
      <c r="F4894" s="150" t="s">
        <v>2656</v>
      </c>
      <c r="G4894" s="150" t="s">
        <v>3615</v>
      </c>
      <c r="H4894" s="150">
        <v>1</v>
      </c>
      <c r="I4894" s="5" t="str">
        <f>VLOOKUP(F4894,'Set up'!$A$2:$C$70,3,FALSE)</f>
        <v>Cash</v>
      </c>
      <c r="J4894" s="5">
        <f>VLOOKUP(F4894,'Set up'!$A$2:$D$70,4,FALSE)</f>
        <v>0</v>
      </c>
      <c r="K4894" s="4">
        <f t="shared" si="1123"/>
        <v>46030</v>
      </c>
      <c r="L4894" s="5">
        <f t="shared" si="1124"/>
        <v>1</v>
      </c>
      <c r="M4894" s="5">
        <f t="shared" si="1125"/>
        <v>2026</v>
      </c>
      <c r="N4894" s="168">
        <v>1642.5</v>
      </c>
      <c r="P4894" s="12"/>
      <c r="Q4894" s="7">
        <f t="shared" si="1126"/>
        <v>8066253.1500000115</v>
      </c>
      <c r="R4894" s="44" t="str">
        <f>VLOOKUP(F4894,'Set up'!$A$2:$E$70,5,FALSE)</f>
        <v>Cash</v>
      </c>
    </row>
    <row r="4895" spans="1:18" ht="16.8" customHeight="1" x14ac:dyDescent="0.3">
      <c r="A4895" s="150" t="s">
        <v>4431</v>
      </c>
      <c r="B4895" s="5">
        <f t="shared" si="1121"/>
        <v>1</v>
      </c>
      <c r="C4895" s="5">
        <f t="shared" si="1122"/>
        <v>2026</v>
      </c>
      <c r="D4895" s="150" t="s">
        <v>4455</v>
      </c>
      <c r="E4895" s="5" t="str">
        <f>VLOOKUP(F4895,'Set up'!$A$2:$C$70,2,FALSE)</f>
        <v>C00000050</v>
      </c>
      <c r="F4895" s="150" t="s">
        <v>2656</v>
      </c>
      <c r="G4895" s="150" t="s">
        <v>2129</v>
      </c>
      <c r="H4895" s="150">
        <v>1</v>
      </c>
      <c r="I4895" s="5" t="str">
        <f>VLOOKUP(F4895,'Set up'!$A$2:$C$70,3,FALSE)</f>
        <v>Cash</v>
      </c>
      <c r="J4895" s="5">
        <f>VLOOKUP(F4895,'Set up'!$A$2:$D$70,4,FALSE)</f>
        <v>0</v>
      </c>
      <c r="K4895" s="4">
        <f t="shared" si="1123"/>
        <v>46030</v>
      </c>
      <c r="L4895" s="5">
        <f t="shared" si="1124"/>
        <v>1</v>
      </c>
      <c r="M4895" s="5">
        <f t="shared" si="1125"/>
        <v>2026</v>
      </c>
      <c r="N4895" s="168">
        <v>266.39999999999998</v>
      </c>
      <c r="P4895" s="12"/>
      <c r="Q4895" s="7">
        <f t="shared" si="1126"/>
        <v>8066519.5500000119</v>
      </c>
      <c r="R4895" s="44" t="str">
        <f>VLOOKUP(F4895,'Set up'!$A$2:$E$70,5,FALSE)</f>
        <v>Cash</v>
      </c>
    </row>
    <row r="4896" spans="1:18" ht="16.8" customHeight="1" x14ac:dyDescent="0.3">
      <c r="A4896" s="150" t="s">
        <v>4431</v>
      </c>
      <c r="B4896" s="5">
        <f t="shared" si="1121"/>
        <v>1</v>
      </c>
      <c r="C4896" s="5">
        <f t="shared" si="1122"/>
        <v>2026</v>
      </c>
      <c r="D4896" s="150" t="s">
        <v>4455</v>
      </c>
      <c r="E4896" s="5" t="str">
        <f>VLOOKUP(F4896,'Set up'!$A$2:$C$70,2,FALSE)</f>
        <v>C00000050</v>
      </c>
      <c r="F4896" s="150" t="s">
        <v>2656</v>
      </c>
      <c r="G4896" s="150" t="s">
        <v>2523</v>
      </c>
      <c r="H4896" s="150">
        <v>1</v>
      </c>
      <c r="I4896" s="5" t="str">
        <f>VLOOKUP(F4896,'Set up'!$A$2:$C$70,3,FALSE)</f>
        <v>Cash</v>
      </c>
      <c r="J4896" s="5">
        <f>VLOOKUP(F4896,'Set up'!$A$2:$D$70,4,FALSE)</f>
        <v>0</v>
      </c>
      <c r="K4896" s="4">
        <f t="shared" si="1123"/>
        <v>46030</v>
      </c>
      <c r="L4896" s="5">
        <f t="shared" si="1124"/>
        <v>1</v>
      </c>
      <c r="M4896" s="5">
        <f t="shared" si="1125"/>
        <v>2026</v>
      </c>
      <c r="N4896" s="168">
        <v>216</v>
      </c>
      <c r="P4896" s="12"/>
      <c r="Q4896" s="7">
        <f t="shared" si="1126"/>
        <v>8066735.5500000119</v>
      </c>
      <c r="R4896" s="44" t="str">
        <f>VLOOKUP(F4896,'Set up'!$A$2:$E$70,5,FALSE)</f>
        <v>Cash</v>
      </c>
    </row>
    <row r="4897" spans="1:18" ht="16.8" customHeight="1" x14ac:dyDescent="0.3">
      <c r="A4897" s="150" t="s">
        <v>4431</v>
      </c>
      <c r="B4897" s="5">
        <f t="shared" si="1121"/>
        <v>1</v>
      </c>
      <c r="C4897" s="5">
        <f t="shared" si="1122"/>
        <v>2026</v>
      </c>
      <c r="D4897" s="150" t="s">
        <v>4455</v>
      </c>
      <c r="E4897" s="5" t="str">
        <f>VLOOKUP(F4897,'Set up'!$A$2:$C$70,2,FALSE)</f>
        <v>C00000050</v>
      </c>
      <c r="F4897" s="150" t="s">
        <v>2656</v>
      </c>
      <c r="G4897" s="150" t="s">
        <v>945</v>
      </c>
      <c r="H4897" s="150">
        <v>1</v>
      </c>
      <c r="I4897" s="5" t="str">
        <f>VLOOKUP(F4897,'Set up'!$A$2:$C$70,3,FALSE)</f>
        <v>Cash</v>
      </c>
      <c r="J4897" s="5">
        <f>VLOOKUP(F4897,'Set up'!$A$2:$D$70,4,FALSE)</f>
        <v>0</v>
      </c>
      <c r="K4897" s="4">
        <f t="shared" si="1123"/>
        <v>46030</v>
      </c>
      <c r="L4897" s="5">
        <f t="shared" si="1124"/>
        <v>1</v>
      </c>
      <c r="M4897" s="5">
        <f t="shared" si="1125"/>
        <v>2026</v>
      </c>
      <c r="N4897" s="168">
        <v>115</v>
      </c>
      <c r="P4897" s="12"/>
      <c r="Q4897" s="7">
        <f t="shared" si="1126"/>
        <v>8066850.5500000119</v>
      </c>
      <c r="R4897" s="44" t="str">
        <f>VLOOKUP(F4897,'Set up'!$A$2:$E$70,5,FALSE)</f>
        <v>Cash</v>
      </c>
    </row>
    <row r="4898" spans="1:18" ht="16.8" customHeight="1" x14ac:dyDescent="0.3">
      <c r="A4898" s="150" t="s">
        <v>4431</v>
      </c>
      <c r="B4898" s="5">
        <f t="shared" si="1121"/>
        <v>1</v>
      </c>
      <c r="C4898" s="5">
        <f t="shared" si="1122"/>
        <v>2026</v>
      </c>
      <c r="D4898" s="150" t="s">
        <v>4455</v>
      </c>
      <c r="E4898" s="5" t="str">
        <f>VLOOKUP(F4898,'Set up'!$A$2:$C$70,2,FALSE)</f>
        <v>C00000050</v>
      </c>
      <c r="F4898" s="150" t="s">
        <v>2656</v>
      </c>
      <c r="G4898" s="150" t="s">
        <v>800</v>
      </c>
      <c r="H4898" s="150">
        <v>1</v>
      </c>
      <c r="I4898" s="5" t="str">
        <f>VLOOKUP(F4898,'Set up'!$A$2:$C$70,3,FALSE)</f>
        <v>Cash</v>
      </c>
      <c r="J4898" s="5">
        <f>VLOOKUP(F4898,'Set up'!$A$2:$D$70,4,FALSE)</f>
        <v>0</v>
      </c>
      <c r="K4898" s="4">
        <f t="shared" si="1123"/>
        <v>46030</v>
      </c>
      <c r="L4898" s="5">
        <f t="shared" si="1124"/>
        <v>1</v>
      </c>
      <c r="M4898" s="5">
        <f t="shared" si="1125"/>
        <v>2026</v>
      </c>
      <c r="N4898" s="168">
        <v>225</v>
      </c>
      <c r="P4898" s="12"/>
      <c r="Q4898" s="7">
        <f t="shared" si="1126"/>
        <v>8067075.5500000119</v>
      </c>
      <c r="R4898" s="44" t="str">
        <f>VLOOKUP(F4898,'Set up'!$A$2:$E$70,5,FALSE)</f>
        <v>Cash</v>
      </c>
    </row>
    <row r="4899" spans="1:18" ht="16.8" customHeight="1" x14ac:dyDescent="0.3">
      <c r="A4899" s="150" t="s">
        <v>4431</v>
      </c>
      <c r="B4899" s="5">
        <f t="shared" si="1121"/>
        <v>1</v>
      </c>
      <c r="C4899" s="5">
        <f t="shared" si="1122"/>
        <v>2026</v>
      </c>
      <c r="D4899" s="150" t="s">
        <v>4455</v>
      </c>
      <c r="E4899" s="5" t="str">
        <f>VLOOKUP(F4899,'Set up'!$A$2:$C$70,2,FALSE)</f>
        <v>C00000050</v>
      </c>
      <c r="F4899" s="150" t="s">
        <v>2656</v>
      </c>
      <c r="G4899" s="150" t="s">
        <v>2519</v>
      </c>
      <c r="H4899" s="150">
        <v>12</v>
      </c>
      <c r="I4899" s="5" t="str">
        <f>VLOOKUP(F4899,'Set up'!$A$2:$C$70,3,FALSE)</f>
        <v>Cash</v>
      </c>
      <c r="J4899" s="5">
        <f>VLOOKUP(F4899,'Set up'!$A$2:$D$70,4,FALSE)</f>
        <v>0</v>
      </c>
      <c r="K4899" s="4">
        <f t="shared" si="1123"/>
        <v>46030</v>
      </c>
      <c r="L4899" s="5">
        <f t="shared" si="1124"/>
        <v>1</v>
      </c>
      <c r="M4899" s="5">
        <f t="shared" si="1125"/>
        <v>2026</v>
      </c>
      <c r="N4899" s="168">
        <v>540</v>
      </c>
      <c r="P4899" s="12"/>
      <c r="Q4899" s="7">
        <f t="shared" si="1126"/>
        <v>8067615.5500000119</v>
      </c>
      <c r="R4899" s="44" t="str">
        <f>VLOOKUP(F4899,'Set up'!$A$2:$E$70,5,FALSE)</f>
        <v>Cash</v>
      </c>
    </row>
    <row r="4900" spans="1:18" ht="16.8" customHeight="1" x14ac:dyDescent="0.3">
      <c r="A4900" s="150" t="s">
        <v>4432</v>
      </c>
      <c r="B4900" s="5">
        <f t="shared" si="1121"/>
        <v>1</v>
      </c>
      <c r="C4900" s="5">
        <f t="shared" si="1122"/>
        <v>2026</v>
      </c>
      <c r="D4900" s="150" t="s">
        <v>4456</v>
      </c>
      <c r="E4900" s="5" t="str">
        <f>VLOOKUP(F4900,'Set up'!$A$2:$C$70,2,FALSE)</f>
        <v>C00000027</v>
      </c>
      <c r="F4900" s="150" t="s">
        <v>859</v>
      </c>
      <c r="G4900" s="150" t="s">
        <v>3122</v>
      </c>
      <c r="H4900" s="150">
        <v>3</v>
      </c>
      <c r="I4900" s="5" t="str">
        <f>VLOOKUP(F4900,'Set up'!$A$2:$C$70,3,FALSE)</f>
        <v>Cash</v>
      </c>
      <c r="J4900" s="5">
        <f>VLOOKUP(F4900,'Set up'!$A$2:$D$70,4,FALSE)</f>
        <v>0</v>
      </c>
      <c r="K4900" s="4">
        <f t="shared" si="1123"/>
        <v>46031</v>
      </c>
      <c r="L4900" s="5">
        <f t="shared" si="1124"/>
        <v>1</v>
      </c>
      <c r="M4900" s="5">
        <f t="shared" si="1125"/>
        <v>2026</v>
      </c>
      <c r="N4900" s="168">
        <v>4995</v>
      </c>
      <c r="P4900" s="12"/>
      <c r="Q4900" s="7">
        <f t="shared" si="1126"/>
        <v>8072610.5500000119</v>
      </c>
      <c r="R4900" s="44" t="str">
        <f>VLOOKUP(F4900,'Set up'!$A$2:$E$70,5,FALSE)</f>
        <v>Trsf</v>
      </c>
    </row>
    <row r="4901" spans="1:18" ht="16.8" customHeight="1" x14ac:dyDescent="0.3">
      <c r="A4901" s="150" t="s">
        <v>4432</v>
      </c>
      <c r="B4901" s="5">
        <f t="shared" si="1121"/>
        <v>1</v>
      </c>
      <c r="C4901" s="5">
        <f t="shared" si="1122"/>
        <v>2026</v>
      </c>
      <c r="D4901" s="150" t="s">
        <v>4456</v>
      </c>
      <c r="E4901" s="5" t="str">
        <f>VLOOKUP(F4901,'Set up'!$A$2:$C$70,2,FALSE)</f>
        <v>C00000027</v>
      </c>
      <c r="F4901" s="150" t="s">
        <v>859</v>
      </c>
      <c r="G4901" s="150" t="s">
        <v>4046</v>
      </c>
      <c r="H4901" s="150">
        <v>7</v>
      </c>
      <c r="I4901" s="5" t="str">
        <f>VLOOKUP(F4901,'Set up'!$A$2:$C$70,3,FALSE)</f>
        <v>Cash</v>
      </c>
      <c r="J4901" s="5">
        <f>VLOOKUP(F4901,'Set up'!$A$2:$D$70,4,FALSE)</f>
        <v>0</v>
      </c>
      <c r="K4901" s="4">
        <f t="shared" si="1123"/>
        <v>46031</v>
      </c>
      <c r="L4901" s="5">
        <f t="shared" si="1124"/>
        <v>1</v>
      </c>
      <c r="M4901" s="5">
        <f t="shared" si="1125"/>
        <v>2026</v>
      </c>
      <c r="N4901" s="168">
        <v>1512</v>
      </c>
      <c r="P4901" s="12"/>
      <c r="Q4901" s="7">
        <f t="shared" si="1126"/>
        <v>8074122.5500000119</v>
      </c>
      <c r="R4901" s="44" t="str">
        <f>VLOOKUP(F4901,'Set up'!$A$2:$E$70,5,FALSE)</f>
        <v>Trsf</v>
      </c>
    </row>
    <row r="4902" spans="1:18" ht="16.8" customHeight="1" x14ac:dyDescent="0.3">
      <c r="A4902" s="150" t="s">
        <v>4432</v>
      </c>
      <c r="B4902" s="5">
        <f t="shared" si="1121"/>
        <v>1</v>
      </c>
      <c r="C4902" s="5">
        <f t="shared" si="1122"/>
        <v>2026</v>
      </c>
      <c r="D4902" s="150" t="s">
        <v>4456</v>
      </c>
      <c r="E4902" s="5" t="str">
        <f>VLOOKUP(F4902,'Set up'!$A$2:$C$70,2,FALSE)</f>
        <v>C00000027</v>
      </c>
      <c r="F4902" s="150" t="s">
        <v>859</v>
      </c>
      <c r="G4902" s="150" t="s">
        <v>4486</v>
      </c>
      <c r="H4902" s="150">
        <v>1</v>
      </c>
      <c r="I4902" s="5" t="str">
        <f>VLOOKUP(F4902,'Set up'!$A$2:$C$70,3,FALSE)</f>
        <v>Cash</v>
      </c>
      <c r="J4902" s="5">
        <f>VLOOKUP(F4902,'Set up'!$A$2:$D$70,4,FALSE)</f>
        <v>0</v>
      </c>
      <c r="K4902" s="4">
        <f t="shared" si="1123"/>
        <v>46031</v>
      </c>
      <c r="L4902" s="5">
        <f t="shared" si="1124"/>
        <v>1</v>
      </c>
      <c r="M4902" s="5">
        <f t="shared" si="1125"/>
        <v>2026</v>
      </c>
      <c r="N4902" s="168">
        <v>301.5</v>
      </c>
      <c r="P4902" s="12"/>
      <c r="Q4902" s="7">
        <f t="shared" si="1126"/>
        <v>8074424.0500000119</v>
      </c>
      <c r="R4902" s="44" t="str">
        <f>VLOOKUP(F4902,'Set up'!$A$2:$E$70,5,FALSE)</f>
        <v>Trsf</v>
      </c>
    </row>
    <row r="4903" spans="1:18" ht="16.8" customHeight="1" x14ac:dyDescent="0.3">
      <c r="A4903" s="150" t="s">
        <v>4432</v>
      </c>
      <c r="B4903" s="5">
        <f t="shared" si="1121"/>
        <v>1</v>
      </c>
      <c r="C4903" s="5">
        <f t="shared" si="1122"/>
        <v>2026</v>
      </c>
      <c r="D4903" s="150" t="s">
        <v>4456</v>
      </c>
      <c r="E4903" s="5" t="str">
        <f>VLOOKUP(F4903,'Set up'!$A$2:$C$70,2,FALSE)</f>
        <v>C00000027</v>
      </c>
      <c r="F4903" s="150" t="s">
        <v>859</v>
      </c>
      <c r="G4903" s="150" t="s">
        <v>4487</v>
      </c>
      <c r="H4903" s="150">
        <v>1</v>
      </c>
      <c r="I4903" s="5" t="str">
        <f>VLOOKUP(F4903,'Set up'!$A$2:$C$70,3,FALSE)</f>
        <v>Cash</v>
      </c>
      <c r="J4903" s="5">
        <f>VLOOKUP(F4903,'Set up'!$A$2:$D$70,4,FALSE)</f>
        <v>0</v>
      </c>
      <c r="K4903" s="4">
        <f t="shared" si="1123"/>
        <v>46031</v>
      </c>
      <c r="L4903" s="5">
        <f t="shared" si="1124"/>
        <v>1</v>
      </c>
      <c r="M4903" s="5">
        <f t="shared" si="1125"/>
        <v>2026</v>
      </c>
      <c r="N4903" s="168">
        <v>1088</v>
      </c>
      <c r="P4903" s="12"/>
      <c r="Q4903" s="7">
        <f t="shared" si="1126"/>
        <v>8075512.0500000119</v>
      </c>
      <c r="R4903" s="44" t="str">
        <f>VLOOKUP(F4903,'Set up'!$A$2:$E$70,5,FALSE)</f>
        <v>Trsf</v>
      </c>
    </row>
    <row r="4904" spans="1:18" ht="16.8" customHeight="1" x14ac:dyDescent="0.3">
      <c r="A4904" s="150" t="s">
        <v>4432</v>
      </c>
      <c r="B4904" s="5">
        <f t="shared" si="1121"/>
        <v>1</v>
      </c>
      <c r="C4904" s="5">
        <f t="shared" si="1122"/>
        <v>2026</v>
      </c>
      <c r="D4904" s="150" t="s">
        <v>4456</v>
      </c>
      <c r="E4904" s="5" t="str">
        <f>VLOOKUP(F4904,'Set up'!$A$2:$C$70,2,FALSE)</f>
        <v>C00000027</v>
      </c>
      <c r="F4904" s="150" t="s">
        <v>859</v>
      </c>
      <c r="G4904" s="150" t="s">
        <v>2144</v>
      </c>
      <c r="H4904" s="150">
        <v>2</v>
      </c>
      <c r="I4904" s="5" t="str">
        <f>VLOOKUP(F4904,'Set up'!$A$2:$C$70,3,FALSE)</f>
        <v>Cash</v>
      </c>
      <c r="J4904" s="5">
        <f>VLOOKUP(F4904,'Set up'!$A$2:$D$70,4,FALSE)</f>
        <v>0</v>
      </c>
      <c r="K4904" s="4">
        <f t="shared" si="1123"/>
        <v>46031</v>
      </c>
      <c r="L4904" s="5">
        <f t="shared" si="1124"/>
        <v>1</v>
      </c>
      <c r="M4904" s="5">
        <f t="shared" si="1125"/>
        <v>2026</v>
      </c>
      <c r="N4904" s="168">
        <v>563.20000000000005</v>
      </c>
      <c r="P4904" s="12"/>
      <c r="Q4904" s="7">
        <f t="shared" si="1126"/>
        <v>8076075.2500000121</v>
      </c>
      <c r="R4904" s="44" t="str">
        <f>VLOOKUP(F4904,'Set up'!$A$2:$E$70,5,FALSE)</f>
        <v>Trsf</v>
      </c>
    </row>
    <row r="4905" spans="1:18" ht="16.8" customHeight="1" x14ac:dyDescent="0.3">
      <c r="A4905" s="150" t="s">
        <v>4432</v>
      </c>
      <c r="B4905" s="5">
        <f t="shared" si="1121"/>
        <v>1</v>
      </c>
      <c r="C4905" s="5">
        <f t="shared" si="1122"/>
        <v>2026</v>
      </c>
      <c r="D4905" s="150" t="s">
        <v>4456</v>
      </c>
      <c r="E4905" s="5" t="str">
        <f>VLOOKUP(F4905,'Set up'!$A$2:$C$70,2,FALSE)</f>
        <v>C00000027</v>
      </c>
      <c r="F4905" s="150" t="s">
        <v>859</v>
      </c>
      <c r="G4905" s="150" t="s">
        <v>4348</v>
      </c>
      <c r="H4905" s="150">
        <v>6</v>
      </c>
      <c r="I4905" s="5" t="str">
        <f>VLOOKUP(F4905,'Set up'!$A$2:$C$70,3,FALSE)</f>
        <v>Cash</v>
      </c>
      <c r="J4905" s="5">
        <f>VLOOKUP(F4905,'Set up'!$A$2:$D$70,4,FALSE)</f>
        <v>0</v>
      </c>
      <c r="K4905" s="4">
        <f t="shared" si="1123"/>
        <v>46031</v>
      </c>
      <c r="L4905" s="5">
        <f t="shared" si="1124"/>
        <v>1</v>
      </c>
      <c r="M4905" s="5">
        <f t="shared" si="1125"/>
        <v>2026</v>
      </c>
      <c r="N4905" s="168">
        <v>360</v>
      </c>
      <c r="P4905" s="12"/>
      <c r="Q4905" s="7">
        <f t="shared" si="1126"/>
        <v>8076435.2500000121</v>
      </c>
      <c r="R4905" s="44" t="str">
        <f>VLOOKUP(F4905,'Set up'!$A$2:$E$70,5,FALSE)</f>
        <v>Trsf</v>
      </c>
    </row>
    <row r="4906" spans="1:18" ht="16.8" customHeight="1" x14ac:dyDescent="0.3">
      <c r="A4906" s="150" t="s">
        <v>4432</v>
      </c>
      <c r="B4906" s="5">
        <f t="shared" si="1121"/>
        <v>1</v>
      </c>
      <c r="C4906" s="5">
        <f t="shared" si="1122"/>
        <v>2026</v>
      </c>
      <c r="D4906" s="150" t="s">
        <v>4456</v>
      </c>
      <c r="E4906" s="5" t="str">
        <f>VLOOKUP(F4906,'Set up'!$A$2:$C$70,2,FALSE)</f>
        <v>C00000027</v>
      </c>
      <c r="F4906" s="150" t="s">
        <v>859</v>
      </c>
      <c r="G4906" s="150" t="s">
        <v>945</v>
      </c>
      <c r="H4906" s="150">
        <v>2</v>
      </c>
      <c r="I4906" s="5" t="str">
        <f>VLOOKUP(F4906,'Set up'!$A$2:$C$70,3,FALSE)</f>
        <v>Cash</v>
      </c>
      <c r="J4906" s="5">
        <f>VLOOKUP(F4906,'Set up'!$A$2:$D$70,4,FALSE)</f>
        <v>0</v>
      </c>
      <c r="K4906" s="4">
        <f t="shared" si="1123"/>
        <v>46031</v>
      </c>
      <c r="L4906" s="5">
        <f t="shared" si="1124"/>
        <v>1</v>
      </c>
      <c r="M4906" s="5">
        <f t="shared" si="1125"/>
        <v>2026</v>
      </c>
      <c r="N4906" s="168">
        <v>240</v>
      </c>
      <c r="P4906" s="12"/>
      <c r="Q4906" s="7">
        <f t="shared" si="1126"/>
        <v>8076675.2500000121</v>
      </c>
      <c r="R4906" s="44" t="str">
        <f>VLOOKUP(F4906,'Set up'!$A$2:$E$70,5,FALSE)</f>
        <v>Trsf</v>
      </c>
    </row>
    <row r="4907" spans="1:18" ht="16.8" customHeight="1" x14ac:dyDescent="0.3">
      <c r="A4907" s="150" t="s">
        <v>4432</v>
      </c>
      <c r="B4907" s="5">
        <f t="shared" si="1121"/>
        <v>1</v>
      </c>
      <c r="C4907" s="5">
        <f t="shared" si="1122"/>
        <v>2026</v>
      </c>
      <c r="D4907" s="150" t="s">
        <v>4456</v>
      </c>
      <c r="E4907" s="5" t="str">
        <f>VLOOKUP(F4907,'Set up'!$A$2:$C$70,2,FALSE)</f>
        <v>C00000027</v>
      </c>
      <c r="F4907" s="150" t="s">
        <v>859</v>
      </c>
      <c r="G4907" s="150" t="s">
        <v>4488</v>
      </c>
      <c r="H4907" s="150">
        <v>1</v>
      </c>
      <c r="I4907" s="5" t="str">
        <f>VLOOKUP(F4907,'Set up'!$A$2:$C$70,3,FALSE)</f>
        <v>Cash</v>
      </c>
      <c r="J4907" s="5">
        <f>VLOOKUP(F4907,'Set up'!$A$2:$D$70,4,FALSE)</f>
        <v>0</v>
      </c>
      <c r="K4907" s="4">
        <f t="shared" si="1123"/>
        <v>46031</v>
      </c>
      <c r="L4907" s="5">
        <f t="shared" si="1124"/>
        <v>1</v>
      </c>
      <c r="M4907" s="5">
        <f t="shared" si="1125"/>
        <v>2026</v>
      </c>
      <c r="N4907" s="168">
        <v>170</v>
      </c>
      <c r="P4907" s="12"/>
      <c r="Q4907" s="7">
        <f t="shared" si="1126"/>
        <v>8076845.2500000121</v>
      </c>
      <c r="R4907" s="44" t="str">
        <f>VLOOKUP(F4907,'Set up'!$A$2:$E$70,5,FALSE)</f>
        <v>Trsf</v>
      </c>
    </row>
    <row r="4908" spans="1:18" ht="16.8" customHeight="1" x14ac:dyDescent="0.3">
      <c r="A4908" s="150" t="s">
        <v>4433</v>
      </c>
      <c r="B4908" s="5">
        <f t="shared" si="1121"/>
        <v>1</v>
      </c>
      <c r="C4908" s="5">
        <f t="shared" si="1122"/>
        <v>2026</v>
      </c>
      <c r="D4908" s="150" t="s">
        <v>4457</v>
      </c>
      <c r="E4908" s="5" t="str">
        <f>VLOOKUP(F4908,'Set up'!$A$2:$C$70,2,FALSE)</f>
        <v>C00000010</v>
      </c>
      <c r="F4908" s="150" t="s">
        <v>62</v>
      </c>
      <c r="G4908" s="150" t="s">
        <v>3645</v>
      </c>
      <c r="H4908" s="150">
        <v>10</v>
      </c>
      <c r="I4908" s="5">
        <f>VLOOKUP(F4908,'Set up'!$A$2:$C$70,3,FALSE)</f>
        <v>120</v>
      </c>
      <c r="J4908" s="5">
        <f>VLOOKUP(F4908,'Set up'!$A$2:$D$70,4,FALSE)</f>
        <v>120</v>
      </c>
      <c r="K4908" s="4">
        <f t="shared" si="1123"/>
        <v>46152</v>
      </c>
      <c r="L4908" s="5">
        <f t="shared" si="1124"/>
        <v>5</v>
      </c>
      <c r="M4908" s="5">
        <f t="shared" si="1125"/>
        <v>2026</v>
      </c>
      <c r="N4908" s="168">
        <v>14850</v>
      </c>
      <c r="P4908" s="12"/>
      <c r="Q4908" s="7">
        <f t="shared" si="1126"/>
        <v>8091695.2500000121</v>
      </c>
      <c r="R4908" s="44" t="str">
        <f>VLOOKUP(F4908,'Set up'!$A$2:$E$70,5,FALSE)</f>
        <v>Trsf</v>
      </c>
    </row>
    <row r="4909" spans="1:18" ht="16.8" customHeight="1" x14ac:dyDescent="0.3">
      <c r="A4909" s="150" t="s">
        <v>4433</v>
      </c>
      <c r="B4909" s="5">
        <f t="shared" si="1121"/>
        <v>1</v>
      </c>
      <c r="C4909" s="5">
        <f t="shared" si="1122"/>
        <v>2026</v>
      </c>
      <c r="D4909" s="150" t="s">
        <v>4457</v>
      </c>
      <c r="E4909" s="5" t="str">
        <f>VLOOKUP(F4909,'Set up'!$A$2:$C$70,2,FALSE)</f>
        <v>C00000010</v>
      </c>
      <c r="F4909" s="150" t="s">
        <v>62</v>
      </c>
      <c r="G4909" s="150" t="s">
        <v>2434</v>
      </c>
      <c r="H4909" s="150">
        <v>10</v>
      </c>
      <c r="I4909" s="5">
        <f>VLOOKUP(F4909,'Set up'!$A$2:$C$70,3,FALSE)</f>
        <v>120</v>
      </c>
      <c r="J4909" s="5">
        <f>VLOOKUP(F4909,'Set up'!$A$2:$D$70,4,FALSE)</f>
        <v>120</v>
      </c>
      <c r="K4909" s="4">
        <f t="shared" si="1123"/>
        <v>46152</v>
      </c>
      <c r="L4909" s="5">
        <f t="shared" si="1124"/>
        <v>5</v>
      </c>
      <c r="M4909" s="5">
        <f t="shared" si="1125"/>
        <v>2026</v>
      </c>
      <c r="N4909" s="168">
        <v>2146</v>
      </c>
      <c r="P4909" s="12"/>
      <c r="Q4909" s="7">
        <f t="shared" si="1126"/>
        <v>8093841.2500000121</v>
      </c>
      <c r="R4909" s="44" t="str">
        <f>VLOOKUP(F4909,'Set up'!$A$2:$E$70,5,FALSE)</f>
        <v>Trsf</v>
      </c>
    </row>
    <row r="4910" spans="1:18" ht="16.8" customHeight="1" x14ac:dyDescent="0.3">
      <c r="A4910" s="150" t="s">
        <v>4433</v>
      </c>
      <c r="B4910" s="5">
        <f t="shared" si="1121"/>
        <v>1</v>
      </c>
      <c r="C4910" s="5">
        <f t="shared" si="1122"/>
        <v>2026</v>
      </c>
      <c r="D4910" s="150" t="s">
        <v>4457</v>
      </c>
      <c r="E4910" s="5" t="str">
        <f>VLOOKUP(F4910,'Set up'!$A$2:$C$70,2,FALSE)</f>
        <v>C00000010</v>
      </c>
      <c r="F4910" s="150" t="s">
        <v>62</v>
      </c>
      <c r="G4910" s="150" t="s">
        <v>614</v>
      </c>
      <c r="H4910" s="150">
        <v>1</v>
      </c>
      <c r="I4910" s="5">
        <f>VLOOKUP(F4910,'Set up'!$A$2:$C$70,3,FALSE)</f>
        <v>120</v>
      </c>
      <c r="J4910" s="5">
        <f>VLOOKUP(F4910,'Set up'!$A$2:$D$70,4,FALSE)</f>
        <v>120</v>
      </c>
      <c r="K4910" s="4">
        <f t="shared" si="1123"/>
        <v>46152</v>
      </c>
      <c r="L4910" s="5">
        <f t="shared" si="1124"/>
        <v>5</v>
      </c>
      <c r="M4910" s="5">
        <f t="shared" si="1125"/>
        <v>2026</v>
      </c>
      <c r="N4910" s="168">
        <v>395</v>
      </c>
      <c r="P4910" s="12"/>
      <c r="Q4910" s="7">
        <f t="shared" si="1126"/>
        <v>8094236.2500000121</v>
      </c>
      <c r="R4910" s="44" t="str">
        <f>VLOOKUP(F4910,'Set up'!$A$2:$E$70,5,FALSE)</f>
        <v>Trsf</v>
      </c>
    </row>
    <row r="4911" spans="1:18" ht="16.8" customHeight="1" x14ac:dyDescent="0.3">
      <c r="A4911" s="150" t="s">
        <v>4433</v>
      </c>
      <c r="B4911" s="5">
        <f t="shared" si="1121"/>
        <v>1</v>
      </c>
      <c r="C4911" s="5">
        <f t="shared" si="1122"/>
        <v>2026</v>
      </c>
      <c r="D4911" s="150" t="s">
        <v>4457</v>
      </c>
      <c r="E4911" s="5" t="str">
        <f>VLOOKUP(F4911,'Set up'!$A$2:$C$70,2,FALSE)</f>
        <v>C00000010</v>
      </c>
      <c r="F4911" s="150" t="s">
        <v>62</v>
      </c>
      <c r="G4911" s="150" t="s">
        <v>46</v>
      </c>
      <c r="H4911" s="150">
        <v>8</v>
      </c>
      <c r="I4911" s="5">
        <f>VLOOKUP(F4911,'Set up'!$A$2:$C$70,3,FALSE)</f>
        <v>120</v>
      </c>
      <c r="J4911" s="5">
        <f>VLOOKUP(F4911,'Set up'!$A$2:$D$70,4,FALSE)</f>
        <v>120</v>
      </c>
      <c r="K4911" s="4">
        <f t="shared" si="1123"/>
        <v>46152</v>
      </c>
      <c r="L4911" s="5">
        <f t="shared" si="1124"/>
        <v>5</v>
      </c>
      <c r="M4911" s="5">
        <f t="shared" si="1125"/>
        <v>2026</v>
      </c>
      <c r="N4911" s="168">
        <v>920</v>
      </c>
      <c r="P4911" s="12"/>
      <c r="Q4911" s="7">
        <f t="shared" si="1126"/>
        <v>8095156.2500000121</v>
      </c>
      <c r="R4911" s="44" t="str">
        <f>VLOOKUP(F4911,'Set up'!$A$2:$E$70,5,FALSE)</f>
        <v>Trsf</v>
      </c>
    </row>
    <row r="4912" spans="1:18" ht="16.8" customHeight="1" x14ac:dyDescent="0.3">
      <c r="A4912" s="150" t="s">
        <v>4433</v>
      </c>
      <c r="B4912" s="5">
        <f t="shared" si="1121"/>
        <v>1</v>
      </c>
      <c r="C4912" s="5">
        <f t="shared" si="1122"/>
        <v>2026</v>
      </c>
      <c r="D4912" s="150" t="s">
        <v>4457</v>
      </c>
      <c r="E4912" s="5" t="str">
        <f>VLOOKUP(F4912,'Set up'!$A$2:$C$70,2,FALSE)</f>
        <v>C00000010</v>
      </c>
      <c r="F4912" s="150" t="s">
        <v>62</v>
      </c>
      <c r="G4912" s="150" t="s">
        <v>946</v>
      </c>
      <c r="H4912" s="150">
        <v>4</v>
      </c>
      <c r="I4912" s="5">
        <f>VLOOKUP(F4912,'Set up'!$A$2:$C$70,3,FALSE)</f>
        <v>120</v>
      </c>
      <c r="J4912" s="5">
        <f>VLOOKUP(F4912,'Set up'!$A$2:$D$70,4,FALSE)</f>
        <v>120</v>
      </c>
      <c r="K4912" s="4">
        <f t="shared" si="1123"/>
        <v>46152</v>
      </c>
      <c r="L4912" s="5">
        <f t="shared" si="1124"/>
        <v>5</v>
      </c>
      <c r="M4912" s="5">
        <f t="shared" si="1125"/>
        <v>2026</v>
      </c>
      <c r="N4912" s="168">
        <v>230.4</v>
      </c>
      <c r="P4912" s="12"/>
      <c r="Q4912" s="7">
        <f t="shared" si="1126"/>
        <v>8095386.6500000125</v>
      </c>
      <c r="R4912" s="44" t="str">
        <f>VLOOKUP(F4912,'Set up'!$A$2:$E$70,5,FALSE)</f>
        <v>Trsf</v>
      </c>
    </row>
    <row r="4913" spans="1:18" ht="16.8" customHeight="1" x14ac:dyDescent="0.3">
      <c r="A4913" s="150" t="s">
        <v>4433</v>
      </c>
      <c r="B4913" s="5">
        <f t="shared" si="1121"/>
        <v>1</v>
      </c>
      <c r="C4913" s="5">
        <f t="shared" si="1122"/>
        <v>2026</v>
      </c>
      <c r="D4913" s="150" t="s">
        <v>4457</v>
      </c>
      <c r="E4913" s="5" t="str">
        <f>VLOOKUP(F4913,'Set up'!$A$2:$C$70,2,FALSE)</f>
        <v>C00000010</v>
      </c>
      <c r="F4913" s="150" t="s">
        <v>62</v>
      </c>
      <c r="G4913" s="150" t="s">
        <v>2449</v>
      </c>
      <c r="H4913" s="150">
        <v>2</v>
      </c>
      <c r="I4913" s="5">
        <f>VLOOKUP(F4913,'Set up'!$A$2:$C$70,3,FALSE)</f>
        <v>120</v>
      </c>
      <c r="J4913" s="5">
        <f>VLOOKUP(F4913,'Set up'!$A$2:$D$70,4,FALSE)</f>
        <v>120</v>
      </c>
      <c r="K4913" s="4">
        <f t="shared" si="1123"/>
        <v>46152</v>
      </c>
      <c r="L4913" s="5">
        <f t="shared" si="1124"/>
        <v>5</v>
      </c>
      <c r="M4913" s="5">
        <f t="shared" si="1125"/>
        <v>2026</v>
      </c>
      <c r="N4913" s="168">
        <v>840</v>
      </c>
      <c r="P4913" s="12"/>
      <c r="Q4913" s="7">
        <f t="shared" si="1126"/>
        <v>8096226.6500000125</v>
      </c>
      <c r="R4913" s="44" t="str">
        <f>VLOOKUP(F4913,'Set up'!$A$2:$E$70,5,FALSE)</f>
        <v>Trsf</v>
      </c>
    </row>
    <row r="4914" spans="1:18" ht="16.8" customHeight="1" x14ac:dyDescent="0.3">
      <c r="A4914" s="150" t="s">
        <v>4433</v>
      </c>
      <c r="B4914" s="5">
        <f t="shared" si="1121"/>
        <v>1</v>
      </c>
      <c r="C4914" s="5">
        <f t="shared" si="1122"/>
        <v>2026</v>
      </c>
      <c r="D4914" s="150" t="s">
        <v>4458</v>
      </c>
      <c r="E4914" s="5" t="str">
        <f>VLOOKUP(F4914,'Set up'!$A$2:$C$70,2,FALSE)</f>
        <v>C00000042</v>
      </c>
      <c r="F4914" s="150" t="s">
        <v>2012</v>
      </c>
      <c r="G4914" s="150" t="s">
        <v>2646</v>
      </c>
      <c r="H4914" s="150">
        <v>2</v>
      </c>
      <c r="I4914" s="5" t="str">
        <f>VLOOKUP(F4914,'Set up'!$A$2:$C$70,3,FALSE)</f>
        <v>Cash</v>
      </c>
      <c r="J4914" s="5">
        <f>VLOOKUP(F4914,'Set up'!$A$2:$D$70,4,FALSE)</f>
        <v>0</v>
      </c>
      <c r="K4914" s="4">
        <f t="shared" si="1123"/>
        <v>46032</v>
      </c>
      <c r="L4914" s="5">
        <f t="shared" si="1124"/>
        <v>1</v>
      </c>
      <c r="M4914" s="5">
        <f t="shared" si="1125"/>
        <v>2026</v>
      </c>
      <c r="N4914" s="168">
        <v>125</v>
      </c>
      <c r="P4914" s="12"/>
      <c r="Q4914" s="7">
        <f t="shared" si="1126"/>
        <v>8096351.6500000125</v>
      </c>
      <c r="R4914" s="44" t="str">
        <f>VLOOKUP(F4914,'Set up'!$A$2:$E$70,5,FALSE)</f>
        <v>Trsf</v>
      </c>
    </row>
    <row r="4915" spans="1:18" ht="16.8" customHeight="1" x14ac:dyDescent="0.3">
      <c r="A4915" s="150" t="s">
        <v>4433</v>
      </c>
      <c r="B4915" s="5">
        <f t="shared" si="1121"/>
        <v>1</v>
      </c>
      <c r="C4915" s="5">
        <f t="shared" si="1122"/>
        <v>2026</v>
      </c>
      <c r="D4915" s="150" t="s">
        <v>4459</v>
      </c>
      <c r="E4915" s="5" t="str">
        <f>VLOOKUP(F4915,'Set up'!$A$2:$C$70,2,FALSE)</f>
        <v>C00000042</v>
      </c>
      <c r="F4915" s="150" t="s">
        <v>2012</v>
      </c>
      <c r="G4915" s="150" t="s">
        <v>3645</v>
      </c>
      <c r="H4915" s="150">
        <v>5</v>
      </c>
      <c r="I4915" s="5" t="str">
        <f>VLOOKUP(F4915,'Set up'!$A$2:$C$70,3,FALSE)</f>
        <v>Cash</v>
      </c>
      <c r="J4915" s="5">
        <f>VLOOKUP(F4915,'Set up'!$A$2:$D$70,4,FALSE)</f>
        <v>0</v>
      </c>
      <c r="K4915" s="4">
        <f t="shared" si="1123"/>
        <v>46032</v>
      </c>
      <c r="L4915" s="5">
        <f t="shared" si="1124"/>
        <v>1</v>
      </c>
      <c r="M4915" s="5">
        <f t="shared" si="1125"/>
        <v>2026</v>
      </c>
      <c r="N4915" s="168">
        <v>7425</v>
      </c>
      <c r="P4915" s="12"/>
      <c r="Q4915" s="7">
        <f t="shared" si="1126"/>
        <v>8103776.6500000125</v>
      </c>
      <c r="R4915" s="44" t="str">
        <f>VLOOKUP(F4915,'Set up'!$A$2:$E$70,5,FALSE)</f>
        <v>Trsf</v>
      </c>
    </row>
    <row r="4916" spans="1:18" ht="16.8" customHeight="1" x14ac:dyDescent="0.3">
      <c r="A4916" s="150" t="s">
        <v>4433</v>
      </c>
      <c r="B4916" s="5">
        <f t="shared" si="1121"/>
        <v>1</v>
      </c>
      <c r="C4916" s="5">
        <f t="shared" si="1122"/>
        <v>2026</v>
      </c>
      <c r="D4916" s="150" t="s">
        <v>4459</v>
      </c>
      <c r="E4916" s="5" t="str">
        <f>VLOOKUP(F4916,'Set up'!$A$2:$C$70,2,FALSE)</f>
        <v>C00000042</v>
      </c>
      <c r="F4916" s="150" t="s">
        <v>2012</v>
      </c>
      <c r="G4916" s="150" t="s">
        <v>1392</v>
      </c>
      <c r="H4916" s="150">
        <v>11</v>
      </c>
      <c r="I4916" s="5" t="str">
        <f>VLOOKUP(F4916,'Set up'!$A$2:$C$70,3,FALSE)</f>
        <v>Cash</v>
      </c>
      <c r="J4916" s="5">
        <f>VLOOKUP(F4916,'Set up'!$A$2:$D$70,4,FALSE)</f>
        <v>0</v>
      </c>
      <c r="K4916" s="4">
        <f t="shared" si="1123"/>
        <v>46032</v>
      </c>
      <c r="L4916" s="5">
        <f t="shared" si="1124"/>
        <v>1</v>
      </c>
      <c r="M4916" s="5">
        <f t="shared" si="1125"/>
        <v>2026</v>
      </c>
      <c r="N4916" s="168">
        <v>1947</v>
      </c>
      <c r="P4916" s="12"/>
      <c r="Q4916" s="7">
        <f t="shared" si="1126"/>
        <v>8105723.6500000125</v>
      </c>
      <c r="R4916" s="44" t="str">
        <f>VLOOKUP(F4916,'Set up'!$A$2:$E$70,5,FALSE)</f>
        <v>Trsf</v>
      </c>
    </row>
    <row r="4917" spans="1:18" ht="16.8" customHeight="1" x14ac:dyDescent="0.3">
      <c r="A4917" s="150" t="s">
        <v>4433</v>
      </c>
      <c r="B4917" s="5">
        <f t="shared" si="1121"/>
        <v>1</v>
      </c>
      <c r="C4917" s="5">
        <f t="shared" si="1122"/>
        <v>2026</v>
      </c>
      <c r="D4917" s="150" t="s">
        <v>4459</v>
      </c>
      <c r="E4917" s="5" t="str">
        <f>VLOOKUP(F4917,'Set up'!$A$2:$C$70,2,FALSE)</f>
        <v>C00000042</v>
      </c>
      <c r="F4917" s="150" t="s">
        <v>2012</v>
      </c>
      <c r="G4917" s="150" t="s">
        <v>1922</v>
      </c>
      <c r="H4917" s="150">
        <v>6</v>
      </c>
      <c r="I4917" s="5" t="str">
        <f>VLOOKUP(F4917,'Set up'!$A$2:$C$70,3,FALSE)</f>
        <v>Cash</v>
      </c>
      <c r="J4917" s="5">
        <f>VLOOKUP(F4917,'Set up'!$A$2:$D$70,4,FALSE)</f>
        <v>0</v>
      </c>
      <c r="K4917" s="4">
        <f t="shared" si="1123"/>
        <v>46032</v>
      </c>
      <c r="L4917" s="5">
        <f t="shared" si="1124"/>
        <v>1</v>
      </c>
      <c r="M4917" s="5">
        <f t="shared" si="1125"/>
        <v>2026</v>
      </c>
      <c r="N4917" s="168">
        <v>1377</v>
      </c>
      <c r="P4917" s="12"/>
      <c r="Q4917" s="7">
        <f t="shared" si="1126"/>
        <v>8107100.6500000125</v>
      </c>
      <c r="R4917" s="44" t="str">
        <f>VLOOKUP(F4917,'Set up'!$A$2:$E$70,5,FALSE)</f>
        <v>Trsf</v>
      </c>
    </row>
    <row r="4918" spans="1:18" ht="16.8" customHeight="1" x14ac:dyDescent="0.3">
      <c r="A4918" s="150" t="s">
        <v>4433</v>
      </c>
      <c r="B4918" s="5">
        <f t="shared" si="1121"/>
        <v>1</v>
      </c>
      <c r="C4918" s="5">
        <f t="shared" si="1122"/>
        <v>2026</v>
      </c>
      <c r="D4918" s="150" t="s">
        <v>4459</v>
      </c>
      <c r="E4918" s="5" t="str">
        <f>VLOOKUP(F4918,'Set up'!$A$2:$C$70,2,FALSE)</f>
        <v>C00000042</v>
      </c>
      <c r="F4918" s="150" t="s">
        <v>2012</v>
      </c>
      <c r="G4918" s="150" t="s">
        <v>46</v>
      </c>
      <c r="H4918" s="150">
        <v>4</v>
      </c>
      <c r="I4918" s="5" t="str">
        <f>VLOOKUP(F4918,'Set up'!$A$2:$C$70,3,FALSE)</f>
        <v>Cash</v>
      </c>
      <c r="J4918" s="5">
        <f>VLOOKUP(F4918,'Set up'!$A$2:$D$70,4,FALSE)</f>
        <v>0</v>
      </c>
      <c r="K4918" s="4">
        <f t="shared" si="1123"/>
        <v>46032</v>
      </c>
      <c r="L4918" s="5">
        <f t="shared" si="1124"/>
        <v>1</v>
      </c>
      <c r="M4918" s="5">
        <f t="shared" si="1125"/>
        <v>2026</v>
      </c>
      <c r="N4918" s="168">
        <v>460</v>
      </c>
      <c r="P4918" s="12"/>
      <c r="Q4918" s="7">
        <f t="shared" si="1126"/>
        <v>8107560.6500000125</v>
      </c>
      <c r="R4918" s="44" t="str">
        <f>VLOOKUP(F4918,'Set up'!$A$2:$E$70,5,FALSE)</f>
        <v>Trsf</v>
      </c>
    </row>
    <row r="4919" spans="1:18" ht="16.8" customHeight="1" x14ac:dyDescent="0.3">
      <c r="A4919" s="150" t="s">
        <v>4433</v>
      </c>
      <c r="B4919" s="5">
        <f t="shared" si="1121"/>
        <v>1</v>
      </c>
      <c r="C4919" s="5">
        <f t="shared" si="1122"/>
        <v>2026</v>
      </c>
      <c r="D4919" s="150" t="s">
        <v>4459</v>
      </c>
      <c r="E4919" s="5" t="str">
        <f>VLOOKUP(F4919,'Set up'!$A$2:$C$70,2,FALSE)</f>
        <v>C00000042</v>
      </c>
      <c r="F4919" s="150" t="s">
        <v>2012</v>
      </c>
      <c r="G4919" s="150" t="s">
        <v>2744</v>
      </c>
      <c r="H4919" s="150">
        <v>1</v>
      </c>
      <c r="I4919" s="5" t="str">
        <f>VLOOKUP(F4919,'Set up'!$A$2:$C$70,3,FALSE)</f>
        <v>Cash</v>
      </c>
      <c r="J4919" s="5">
        <f>VLOOKUP(F4919,'Set up'!$A$2:$D$70,4,FALSE)</f>
        <v>0</v>
      </c>
      <c r="K4919" s="4">
        <f t="shared" si="1123"/>
        <v>46032</v>
      </c>
      <c r="L4919" s="5">
        <f t="shared" si="1124"/>
        <v>1</v>
      </c>
      <c r="M4919" s="5">
        <f t="shared" si="1125"/>
        <v>2026</v>
      </c>
      <c r="N4919" s="168">
        <v>1000</v>
      </c>
      <c r="P4919" s="12"/>
      <c r="Q4919" s="7">
        <f t="shared" si="1126"/>
        <v>8108560.6500000125</v>
      </c>
      <c r="R4919" s="44" t="str">
        <f>VLOOKUP(F4919,'Set up'!$A$2:$E$70,5,FALSE)</f>
        <v>Trsf</v>
      </c>
    </row>
    <row r="4920" spans="1:18" ht="16.8" customHeight="1" x14ac:dyDescent="0.3">
      <c r="A4920" s="150" t="s">
        <v>4434</v>
      </c>
      <c r="B4920" s="5">
        <f t="shared" si="1121"/>
        <v>1</v>
      </c>
      <c r="C4920" s="5">
        <f t="shared" si="1122"/>
        <v>2026</v>
      </c>
      <c r="D4920" s="150" t="s">
        <v>4460</v>
      </c>
      <c r="E4920" s="5" t="str">
        <f>VLOOKUP(F4920,'Set up'!$A$2:$C$70,2,FALSE)</f>
        <v>C00000042</v>
      </c>
      <c r="F4920" s="150" t="s">
        <v>2012</v>
      </c>
      <c r="G4920" s="150" t="s">
        <v>3122</v>
      </c>
      <c r="H4920" s="150">
        <v>1</v>
      </c>
      <c r="I4920" s="5" t="str">
        <f>VLOOKUP(F4920,'Set up'!$A$2:$C$70,3,FALSE)</f>
        <v>Cash</v>
      </c>
      <c r="J4920" s="5">
        <f>VLOOKUP(F4920,'Set up'!$A$2:$D$70,4,FALSE)</f>
        <v>0</v>
      </c>
      <c r="K4920" s="4">
        <f t="shared" si="1123"/>
        <v>46034</v>
      </c>
      <c r="L4920" s="5">
        <f t="shared" si="1124"/>
        <v>1</v>
      </c>
      <c r="M4920" s="5">
        <f t="shared" si="1125"/>
        <v>2026</v>
      </c>
      <c r="N4920" s="168">
        <v>1485</v>
      </c>
      <c r="P4920" s="12"/>
      <c r="Q4920" s="7">
        <f t="shared" si="1126"/>
        <v>8110045.6500000125</v>
      </c>
      <c r="R4920" s="44" t="str">
        <f>VLOOKUP(F4920,'Set up'!$A$2:$E$70,5,FALSE)</f>
        <v>Trsf</v>
      </c>
    </row>
    <row r="4921" spans="1:18" ht="16.8" customHeight="1" x14ac:dyDescent="0.3">
      <c r="A4921" s="150" t="s">
        <v>4434</v>
      </c>
      <c r="B4921" s="5">
        <f t="shared" si="1121"/>
        <v>1</v>
      </c>
      <c r="C4921" s="5">
        <f t="shared" si="1122"/>
        <v>2026</v>
      </c>
      <c r="D4921" s="150" t="s">
        <v>4460</v>
      </c>
      <c r="E4921" s="5" t="str">
        <f>VLOOKUP(F4921,'Set up'!$A$2:$C$70,2,FALSE)</f>
        <v>C00000042</v>
      </c>
      <c r="F4921" s="150" t="s">
        <v>2012</v>
      </c>
      <c r="G4921" s="150" t="s">
        <v>1543</v>
      </c>
      <c r="H4921" s="150">
        <v>1</v>
      </c>
      <c r="I4921" s="5" t="str">
        <f>VLOOKUP(F4921,'Set up'!$A$2:$C$70,3,FALSE)</f>
        <v>Cash</v>
      </c>
      <c r="J4921" s="5">
        <f>VLOOKUP(F4921,'Set up'!$A$2:$D$70,4,FALSE)</f>
        <v>0</v>
      </c>
      <c r="K4921" s="4">
        <f t="shared" si="1123"/>
        <v>46034</v>
      </c>
      <c r="L4921" s="5">
        <f t="shared" si="1124"/>
        <v>1</v>
      </c>
      <c r="M4921" s="5">
        <f t="shared" si="1125"/>
        <v>2026</v>
      </c>
      <c r="N4921" s="168">
        <v>177</v>
      </c>
      <c r="P4921" s="12"/>
      <c r="Q4921" s="7">
        <f t="shared" si="1126"/>
        <v>8110222.6500000125</v>
      </c>
      <c r="R4921" s="44" t="str">
        <f>VLOOKUP(F4921,'Set up'!$A$2:$E$70,5,FALSE)</f>
        <v>Trsf</v>
      </c>
    </row>
    <row r="4922" spans="1:18" ht="16.8" customHeight="1" x14ac:dyDescent="0.3">
      <c r="A4922" s="150" t="s">
        <v>4434</v>
      </c>
      <c r="B4922" s="5">
        <f t="shared" si="1121"/>
        <v>1</v>
      </c>
      <c r="C4922" s="5">
        <f t="shared" si="1122"/>
        <v>2026</v>
      </c>
      <c r="D4922" s="150" t="s">
        <v>4460</v>
      </c>
      <c r="E4922" s="5" t="str">
        <f>VLOOKUP(F4922,'Set up'!$A$2:$C$70,2,FALSE)</f>
        <v>C00000042</v>
      </c>
      <c r="F4922" s="150" t="s">
        <v>2012</v>
      </c>
      <c r="G4922" s="150" t="s">
        <v>2646</v>
      </c>
      <c r="H4922" s="150">
        <v>1</v>
      </c>
      <c r="I4922" s="5" t="str">
        <f>VLOOKUP(F4922,'Set up'!$A$2:$C$70,3,FALSE)</f>
        <v>Cash</v>
      </c>
      <c r="J4922" s="5">
        <f>VLOOKUP(F4922,'Set up'!$A$2:$D$70,4,FALSE)</f>
        <v>0</v>
      </c>
      <c r="K4922" s="4">
        <f t="shared" si="1123"/>
        <v>46034</v>
      </c>
      <c r="L4922" s="5">
        <f t="shared" si="1124"/>
        <v>1</v>
      </c>
      <c r="M4922" s="5">
        <f t="shared" si="1125"/>
        <v>2026</v>
      </c>
      <c r="N4922" s="168">
        <v>62.5</v>
      </c>
      <c r="P4922" s="12"/>
      <c r="Q4922" s="7">
        <f t="shared" si="1126"/>
        <v>8110285.1500000125</v>
      </c>
      <c r="R4922" s="44" t="str">
        <f>VLOOKUP(F4922,'Set up'!$A$2:$E$70,5,FALSE)</f>
        <v>Trsf</v>
      </c>
    </row>
    <row r="4923" spans="1:18" ht="16.8" customHeight="1" x14ac:dyDescent="0.3">
      <c r="A4923" s="150" t="s">
        <v>4434</v>
      </c>
      <c r="B4923" s="5">
        <f t="shared" si="1121"/>
        <v>1</v>
      </c>
      <c r="C4923" s="5">
        <f t="shared" si="1122"/>
        <v>2026</v>
      </c>
      <c r="D4923" s="150" t="s">
        <v>4460</v>
      </c>
      <c r="E4923" s="5" t="str">
        <f>VLOOKUP(F4923,'Set up'!$A$2:$C$70,2,FALSE)</f>
        <v>C00000042</v>
      </c>
      <c r="F4923" s="150" t="s">
        <v>2012</v>
      </c>
      <c r="G4923" s="150" t="s">
        <v>46</v>
      </c>
      <c r="H4923" s="150">
        <v>4</v>
      </c>
      <c r="I4923" s="5" t="str">
        <f>VLOOKUP(F4923,'Set up'!$A$2:$C$70,3,FALSE)</f>
        <v>Cash</v>
      </c>
      <c r="J4923" s="5">
        <f>VLOOKUP(F4923,'Set up'!$A$2:$D$70,4,FALSE)</f>
        <v>0</v>
      </c>
      <c r="K4923" s="4">
        <f t="shared" si="1123"/>
        <v>46034</v>
      </c>
      <c r="L4923" s="5">
        <f t="shared" si="1124"/>
        <v>1</v>
      </c>
      <c r="M4923" s="5">
        <f t="shared" si="1125"/>
        <v>2026</v>
      </c>
      <c r="N4923" s="168">
        <v>460</v>
      </c>
      <c r="P4923" s="12"/>
      <c r="Q4923" s="7">
        <f t="shared" si="1126"/>
        <v>8110745.1500000125</v>
      </c>
      <c r="R4923" s="44" t="str">
        <f>VLOOKUP(F4923,'Set up'!$A$2:$E$70,5,FALSE)</f>
        <v>Trsf</v>
      </c>
    </row>
    <row r="4924" spans="1:18" ht="16.8" customHeight="1" x14ac:dyDescent="0.3">
      <c r="A4924" s="150" t="s">
        <v>4434</v>
      </c>
      <c r="B4924" s="5">
        <f t="shared" si="1121"/>
        <v>1</v>
      </c>
      <c r="C4924" s="5">
        <f t="shared" si="1122"/>
        <v>2026</v>
      </c>
      <c r="D4924" s="150" t="s">
        <v>4461</v>
      </c>
      <c r="E4924" s="5" t="e">
        <f>VLOOKUP(F4924,'Set up'!$A$2:$C$70,2,FALSE)</f>
        <v>#N/A</v>
      </c>
      <c r="F4924" s="150" t="s">
        <v>4130</v>
      </c>
      <c r="G4924" s="150" t="s">
        <v>3122</v>
      </c>
      <c r="H4924" s="150">
        <v>1</v>
      </c>
      <c r="I4924" s="5" t="e">
        <f>VLOOKUP(F4924,'Set up'!$A$2:$C$70,3,FALSE)</f>
        <v>#N/A</v>
      </c>
      <c r="J4924" s="5" t="e">
        <f>VLOOKUP(F4924,'Set up'!$A$2:$D$70,4,FALSE)</f>
        <v>#N/A</v>
      </c>
      <c r="K4924" s="4" t="e">
        <f t="shared" si="1123"/>
        <v>#N/A</v>
      </c>
      <c r="L4924" s="5" t="e">
        <f t="shared" si="1124"/>
        <v>#N/A</v>
      </c>
      <c r="M4924" s="5" t="e">
        <f t="shared" si="1125"/>
        <v>#N/A</v>
      </c>
      <c r="N4924" s="168">
        <v>1687.5</v>
      </c>
      <c r="P4924" s="12"/>
      <c r="Q4924" s="7">
        <f t="shared" si="1126"/>
        <v>8112432.6500000125</v>
      </c>
      <c r="R4924" s="44" t="e">
        <f>VLOOKUP(F4924,'Set up'!$A$2:$E$70,5,FALSE)</f>
        <v>#N/A</v>
      </c>
    </row>
    <row r="4925" spans="1:18" ht="16.8" customHeight="1" x14ac:dyDescent="0.3">
      <c r="A4925" s="150" t="s">
        <v>4434</v>
      </c>
      <c r="B4925" s="5">
        <f t="shared" si="1121"/>
        <v>1</v>
      </c>
      <c r="C4925" s="5">
        <f t="shared" si="1122"/>
        <v>2026</v>
      </c>
      <c r="D4925" s="150" t="s">
        <v>4461</v>
      </c>
      <c r="E4925" s="5" t="e">
        <f>VLOOKUP(F4925,'Set up'!$A$2:$C$70,2,FALSE)</f>
        <v>#N/A</v>
      </c>
      <c r="F4925" s="150" t="s">
        <v>4130</v>
      </c>
      <c r="G4925" s="150" t="s">
        <v>707</v>
      </c>
      <c r="H4925" s="150">
        <v>1</v>
      </c>
      <c r="I4925" s="5" t="e">
        <f>VLOOKUP(F4925,'Set up'!$A$2:$C$70,3,FALSE)</f>
        <v>#N/A</v>
      </c>
      <c r="J4925" s="5" t="e">
        <f>VLOOKUP(F4925,'Set up'!$A$2:$D$70,4,FALSE)</f>
        <v>#N/A</v>
      </c>
      <c r="K4925" s="4" t="e">
        <f t="shared" si="1123"/>
        <v>#N/A</v>
      </c>
      <c r="L4925" s="5" t="e">
        <f t="shared" si="1124"/>
        <v>#N/A</v>
      </c>
      <c r="M4925" s="5" t="e">
        <f t="shared" si="1125"/>
        <v>#N/A</v>
      </c>
      <c r="N4925" s="168">
        <v>394.2</v>
      </c>
      <c r="P4925" s="12"/>
      <c r="Q4925" s="7">
        <f t="shared" si="1126"/>
        <v>8112826.8500000127</v>
      </c>
      <c r="R4925" s="44" t="e">
        <f>VLOOKUP(F4925,'Set up'!$A$2:$E$70,5,FALSE)</f>
        <v>#N/A</v>
      </c>
    </row>
    <row r="4926" spans="1:18" ht="16.8" customHeight="1" x14ac:dyDescent="0.3">
      <c r="A4926" s="150" t="s">
        <v>4434</v>
      </c>
      <c r="B4926" s="5">
        <f t="shared" si="1121"/>
        <v>1</v>
      </c>
      <c r="C4926" s="5">
        <f t="shared" si="1122"/>
        <v>2026</v>
      </c>
      <c r="D4926" s="150" t="s">
        <v>4461</v>
      </c>
      <c r="E4926" s="5" t="e">
        <f>VLOOKUP(F4926,'Set up'!$A$2:$C$70,2,FALSE)</f>
        <v>#N/A</v>
      </c>
      <c r="F4926" s="150" t="s">
        <v>4130</v>
      </c>
      <c r="G4926" s="150" t="s">
        <v>2556</v>
      </c>
      <c r="H4926" s="150">
        <v>1</v>
      </c>
      <c r="I4926" s="5" t="e">
        <f>VLOOKUP(F4926,'Set up'!$A$2:$C$70,3,FALSE)</f>
        <v>#N/A</v>
      </c>
      <c r="J4926" s="5" t="e">
        <f>VLOOKUP(F4926,'Set up'!$A$2:$D$70,4,FALSE)</f>
        <v>#N/A</v>
      </c>
      <c r="K4926" s="4" t="e">
        <f t="shared" si="1123"/>
        <v>#N/A</v>
      </c>
      <c r="L4926" s="5" t="e">
        <f t="shared" si="1124"/>
        <v>#N/A</v>
      </c>
      <c r="M4926" s="5" t="e">
        <f t="shared" si="1125"/>
        <v>#N/A</v>
      </c>
      <c r="N4926" s="168">
        <v>394.2</v>
      </c>
      <c r="P4926" s="12"/>
      <c r="Q4926" s="7">
        <f t="shared" si="1126"/>
        <v>8113221.0500000129</v>
      </c>
      <c r="R4926" s="44" t="e">
        <f>VLOOKUP(F4926,'Set up'!$A$2:$E$70,5,FALSE)</f>
        <v>#N/A</v>
      </c>
    </row>
    <row r="4927" spans="1:18" ht="16.8" customHeight="1" x14ac:dyDescent="0.3">
      <c r="A4927" s="150" t="s">
        <v>4434</v>
      </c>
      <c r="B4927" s="5">
        <f t="shared" si="1121"/>
        <v>1</v>
      </c>
      <c r="C4927" s="5">
        <f t="shared" si="1122"/>
        <v>2026</v>
      </c>
      <c r="D4927" s="150" t="s">
        <v>4461</v>
      </c>
      <c r="E4927" s="5" t="e">
        <f>VLOOKUP(F4927,'Set up'!$A$2:$C$70,2,FALSE)</f>
        <v>#N/A</v>
      </c>
      <c r="F4927" s="150" t="s">
        <v>4130</v>
      </c>
      <c r="G4927" s="150" t="s">
        <v>2144</v>
      </c>
      <c r="H4927" s="150">
        <v>1</v>
      </c>
      <c r="I4927" s="5" t="e">
        <f>VLOOKUP(F4927,'Set up'!$A$2:$C$70,3,FALSE)</f>
        <v>#N/A</v>
      </c>
      <c r="J4927" s="5" t="e">
        <f>VLOOKUP(F4927,'Set up'!$A$2:$D$70,4,FALSE)</f>
        <v>#N/A</v>
      </c>
      <c r="K4927" s="4" t="e">
        <f t="shared" si="1123"/>
        <v>#N/A</v>
      </c>
      <c r="L4927" s="5" t="e">
        <f t="shared" si="1124"/>
        <v>#N/A</v>
      </c>
      <c r="M4927" s="5" t="e">
        <f t="shared" si="1125"/>
        <v>#N/A</v>
      </c>
      <c r="N4927" s="168">
        <v>286</v>
      </c>
      <c r="P4927" s="12"/>
      <c r="Q4927" s="7">
        <f t="shared" si="1126"/>
        <v>8113507.0500000129</v>
      </c>
      <c r="R4927" s="44" t="e">
        <f>VLOOKUP(F4927,'Set up'!$A$2:$E$70,5,FALSE)</f>
        <v>#N/A</v>
      </c>
    </row>
    <row r="4928" spans="1:18" ht="16.8" customHeight="1" x14ac:dyDescent="0.3">
      <c r="A4928" s="150" t="s">
        <v>4434</v>
      </c>
      <c r="B4928" s="5">
        <f t="shared" si="1121"/>
        <v>1</v>
      </c>
      <c r="C4928" s="5">
        <f t="shared" si="1122"/>
        <v>2026</v>
      </c>
      <c r="D4928" s="150" t="s">
        <v>4461</v>
      </c>
      <c r="E4928" s="5" t="e">
        <f>VLOOKUP(F4928,'Set up'!$A$2:$C$70,2,FALSE)</f>
        <v>#N/A</v>
      </c>
      <c r="F4928" s="150" t="s">
        <v>4130</v>
      </c>
      <c r="G4928" s="150" t="s">
        <v>4204</v>
      </c>
      <c r="H4928" s="150">
        <v>1</v>
      </c>
      <c r="I4928" s="5" t="e">
        <f>VLOOKUP(F4928,'Set up'!$A$2:$C$70,3,FALSE)</f>
        <v>#N/A</v>
      </c>
      <c r="J4928" s="5" t="e">
        <f>VLOOKUP(F4928,'Set up'!$A$2:$D$70,4,FALSE)</f>
        <v>#N/A</v>
      </c>
      <c r="K4928" s="4" t="e">
        <f t="shared" si="1123"/>
        <v>#N/A</v>
      </c>
      <c r="L4928" s="5" t="e">
        <f t="shared" si="1124"/>
        <v>#N/A</v>
      </c>
      <c r="M4928" s="5" t="e">
        <f t="shared" si="1125"/>
        <v>#N/A</v>
      </c>
      <c r="N4928" s="168">
        <v>160</v>
      </c>
      <c r="P4928" s="12"/>
      <c r="Q4928" s="7">
        <f t="shared" si="1126"/>
        <v>8113667.0500000129</v>
      </c>
      <c r="R4928" s="44" t="e">
        <f>VLOOKUP(F4928,'Set up'!$A$2:$E$70,5,FALSE)</f>
        <v>#N/A</v>
      </c>
    </row>
    <row r="4929" spans="1:18" ht="16.8" customHeight="1" x14ac:dyDescent="0.3">
      <c r="A4929" s="150" t="s">
        <v>4434</v>
      </c>
      <c r="B4929" s="5">
        <f t="shared" si="1121"/>
        <v>1</v>
      </c>
      <c r="C4929" s="5">
        <f t="shared" si="1122"/>
        <v>2026</v>
      </c>
      <c r="D4929" s="150" t="s">
        <v>4461</v>
      </c>
      <c r="E4929" s="5" t="e">
        <f>VLOOKUP(F4929,'Set up'!$A$2:$C$70,2,FALSE)</f>
        <v>#N/A</v>
      </c>
      <c r="F4929" s="150" t="s">
        <v>4130</v>
      </c>
      <c r="G4929" s="150" t="s">
        <v>945</v>
      </c>
      <c r="H4929" s="150">
        <v>1</v>
      </c>
      <c r="I4929" s="5" t="e">
        <f>VLOOKUP(F4929,'Set up'!$A$2:$C$70,3,FALSE)</f>
        <v>#N/A</v>
      </c>
      <c r="J4929" s="5" t="e">
        <f>VLOOKUP(F4929,'Set up'!$A$2:$D$70,4,FALSE)</f>
        <v>#N/A</v>
      </c>
      <c r="K4929" s="4" t="e">
        <f t="shared" si="1123"/>
        <v>#N/A</v>
      </c>
      <c r="L4929" s="5" t="e">
        <f t="shared" si="1124"/>
        <v>#N/A</v>
      </c>
      <c r="M4929" s="5" t="e">
        <f t="shared" si="1125"/>
        <v>#N/A</v>
      </c>
      <c r="N4929" s="168">
        <v>120</v>
      </c>
      <c r="P4929" s="12"/>
      <c r="Q4929" s="7">
        <f t="shared" si="1126"/>
        <v>8113787.0500000129</v>
      </c>
      <c r="R4929" s="44" t="e">
        <f>VLOOKUP(F4929,'Set up'!$A$2:$E$70,5,FALSE)</f>
        <v>#N/A</v>
      </c>
    </row>
    <row r="4930" spans="1:18" ht="16.8" customHeight="1" x14ac:dyDescent="0.3">
      <c r="A4930" s="150" t="s">
        <v>4434</v>
      </c>
      <c r="B4930" s="5">
        <f t="shared" ref="B4930:B4990" si="1127">MONTH(A4930)</f>
        <v>1</v>
      </c>
      <c r="C4930" s="5">
        <f t="shared" ref="C4930:C4990" si="1128">YEAR(A4930)</f>
        <v>2026</v>
      </c>
      <c r="D4930" s="150" t="s">
        <v>4461</v>
      </c>
      <c r="E4930" s="5" t="e">
        <f>VLOOKUP(F4930,'Set up'!$A$2:$C$70,2,FALSE)</f>
        <v>#N/A</v>
      </c>
      <c r="F4930" s="150" t="s">
        <v>4130</v>
      </c>
      <c r="G4930" s="150" t="s">
        <v>2646</v>
      </c>
      <c r="H4930" s="150">
        <v>2</v>
      </c>
      <c r="I4930" s="5" t="e">
        <f>VLOOKUP(F4930,'Set up'!$A$2:$C$70,3,FALSE)</f>
        <v>#N/A</v>
      </c>
      <c r="J4930" s="5" t="e">
        <f>VLOOKUP(F4930,'Set up'!$A$2:$D$70,4,FALSE)</f>
        <v>#N/A</v>
      </c>
      <c r="K4930" s="4" t="e">
        <f t="shared" ref="K4930:K4991" si="1129">A4930+J4930</f>
        <v>#N/A</v>
      </c>
      <c r="L4930" s="5" t="e">
        <f t="shared" ref="L4930:L4990" si="1130">MONTH(K4930)</f>
        <v>#N/A</v>
      </c>
      <c r="M4930" s="5" t="e">
        <f t="shared" ref="M4930:M4990" si="1131">YEAR(K4930)</f>
        <v>#N/A</v>
      </c>
      <c r="N4930" s="168">
        <v>125</v>
      </c>
      <c r="P4930" s="12"/>
      <c r="Q4930" s="7">
        <f t="shared" ref="Q4930:Q4990" si="1132">SUM(Q4929+N4930)</f>
        <v>8113912.0500000129</v>
      </c>
      <c r="R4930" s="44" t="e">
        <f>VLOOKUP(F4930,'Set up'!$A$2:$E$70,5,FALSE)</f>
        <v>#N/A</v>
      </c>
    </row>
    <row r="4931" spans="1:18" ht="16.8" customHeight="1" x14ac:dyDescent="0.3">
      <c r="A4931" s="150" t="s">
        <v>4435</v>
      </c>
      <c r="B4931" s="5">
        <f t="shared" si="1127"/>
        <v>1</v>
      </c>
      <c r="C4931" s="5">
        <f t="shared" si="1128"/>
        <v>2026</v>
      </c>
      <c r="D4931" s="150" t="s">
        <v>4462</v>
      </c>
      <c r="E4931" s="5" t="str">
        <f>VLOOKUP(F4931,'Set up'!$A$2:$C$70,2,FALSE)</f>
        <v>C00000064</v>
      </c>
      <c r="F4931" s="150" t="s">
        <v>4059</v>
      </c>
      <c r="G4931" s="150" t="s">
        <v>4489</v>
      </c>
      <c r="H4931" s="150">
        <v>1</v>
      </c>
      <c r="I4931" s="5" t="str">
        <f>VLOOKUP(F4931,'Set up'!$A$2:$C$70,3,FALSE)</f>
        <v>Cash</v>
      </c>
      <c r="J4931" s="5">
        <f>VLOOKUP(F4931,'Set up'!$A$2:$D$70,4,FALSE)</f>
        <v>0</v>
      </c>
      <c r="K4931" s="4">
        <f t="shared" si="1129"/>
        <v>46035</v>
      </c>
      <c r="L4931" s="5">
        <f t="shared" si="1130"/>
        <v>1</v>
      </c>
      <c r="M4931" s="5">
        <f t="shared" si="1131"/>
        <v>2026</v>
      </c>
      <c r="N4931" s="168">
        <v>43</v>
      </c>
      <c r="P4931" s="12"/>
      <c r="Q4931" s="7">
        <f t="shared" si="1132"/>
        <v>8113955.0500000129</v>
      </c>
      <c r="R4931" s="44" t="str">
        <f>VLOOKUP(F4931,'Set up'!$A$2:$E$70,5,FALSE)</f>
        <v>Cash</v>
      </c>
    </row>
    <row r="4932" spans="1:18" ht="16.8" customHeight="1" x14ac:dyDescent="0.3">
      <c r="A4932" s="150" t="s">
        <v>4435</v>
      </c>
      <c r="B4932" s="5">
        <f t="shared" si="1127"/>
        <v>1</v>
      </c>
      <c r="C4932" s="5">
        <f t="shared" si="1128"/>
        <v>2026</v>
      </c>
      <c r="D4932" s="150" t="s">
        <v>4463</v>
      </c>
      <c r="E4932" s="5" t="str">
        <f>VLOOKUP(F4932,'Set up'!$A$2:$C$70,2,FALSE)</f>
        <v>C00000049</v>
      </c>
      <c r="F4932" s="150" t="s">
        <v>2728</v>
      </c>
      <c r="G4932" s="150" t="s">
        <v>4425</v>
      </c>
      <c r="H4932" s="150">
        <v>1</v>
      </c>
      <c r="I4932" s="5" t="str">
        <f>VLOOKUP(F4932,'Set up'!$A$2:$C$70,3,FALSE)</f>
        <v>Cash</v>
      </c>
      <c r="J4932" s="5">
        <f>VLOOKUP(F4932,'Set up'!$A$2:$D$70,4,FALSE)</f>
        <v>0</v>
      </c>
      <c r="K4932" s="4">
        <f t="shared" si="1129"/>
        <v>46035</v>
      </c>
      <c r="L4932" s="5">
        <f t="shared" si="1130"/>
        <v>1</v>
      </c>
      <c r="M4932" s="5">
        <f t="shared" si="1131"/>
        <v>2026</v>
      </c>
      <c r="N4932" s="168">
        <v>480</v>
      </c>
      <c r="P4932" s="12"/>
      <c r="Q4932" s="7">
        <f t="shared" si="1132"/>
        <v>8114435.0500000129</v>
      </c>
      <c r="R4932" s="44" t="str">
        <f>VLOOKUP(F4932,'Set up'!$A$2:$E$70,5,FALSE)</f>
        <v>Cash</v>
      </c>
    </row>
    <row r="4933" spans="1:18" ht="16.8" customHeight="1" x14ac:dyDescent="0.3">
      <c r="A4933" s="150" t="s">
        <v>4435</v>
      </c>
      <c r="B4933" s="5">
        <f t="shared" si="1127"/>
        <v>1</v>
      </c>
      <c r="C4933" s="5">
        <f t="shared" si="1128"/>
        <v>2026</v>
      </c>
      <c r="D4933" s="150" t="s">
        <v>4463</v>
      </c>
      <c r="E4933" s="5" t="str">
        <f>VLOOKUP(F4933,'Set up'!$A$2:$C$70,2,FALSE)</f>
        <v>C00000049</v>
      </c>
      <c r="F4933" s="150" t="s">
        <v>2728</v>
      </c>
      <c r="G4933" s="150" t="s">
        <v>4046</v>
      </c>
      <c r="H4933" s="150">
        <v>1</v>
      </c>
      <c r="I4933" s="5" t="str">
        <f>VLOOKUP(F4933,'Set up'!$A$2:$C$70,3,FALSE)</f>
        <v>Cash</v>
      </c>
      <c r="J4933" s="5">
        <f>VLOOKUP(F4933,'Set up'!$A$2:$D$70,4,FALSE)</f>
        <v>0</v>
      </c>
      <c r="K4933" s="4">
        <f t="shared" si="1129"/>
        <v>46035</v>
      </c>
      <c r="L4933" s="5">
        <f t="shared" si="1130"/>
        <v>1</v>
      </c>
      <c r="M4933" s="5">
        <f t="shared" si="1131"/>
        <v>2026</v>
      </c>
      <c r="N4933" s="168">
        <v>216</v>
      </c>
      <c r="P4933" s="12"/>
      <c r="Q4933" s="7">
        <f t="shared" si="1132"/>
        <v>8114651.0500000129</v>
      </c>
      <c r="R4933" s="44" t="str">
        <f>VLOOKUP(F4933,'Set up'!$A$2:$E$70,5,FALSE)</f>
        <v>Cash</v>
      </c>
    </row>
    <row r="4934" spans="1:18" ht="16.8" customHeight="1" x14ac:dyDescent="0.3">
      <c r="A4934" s="150" t="s">
        <v>4436</v>
      </c>
      <c r="B4934" s="5">
        <f t="shared" si="1127"/>
        <v>1</v>
      </c>
      <c r="C4934" s="5">
        <f t="shared" si="1128"/>
        <v>2026</v>
      </c>
      <c r="D4934" s="150" t="s">
        <v>4464</v>
      </c>
      <c r="E4934" s="5" t="str">
        <f>VLOOKUP(F4934,'Set up'!$A$2:$C$70,2,FALSE)</f>
        <v>C00000042</v>
      </c>
      <c r="F4934" s="150" t="s">
        <v>2012</v>
      </c>
      <c r="G4934" s="150" t="s">
        <v>2646</v>
      </c>
      <c r="H4934" s="150">
        <v>2</v>
      </c>
      <c r="I4934" s="5" t="str">
        <f>VLOOKUP(F4934,'Set up'!$A$2:$C$70,3,FALSE)</f>
        <v>Cash</v>
      </c>
      <c r="J4934" s="5">
        <f>VLOOKUP(F4934,'Set up'!$A$2:$D$70,4,FALSE)</f>
        <v>0</v>
      </c>
      <c r="K4934" s="4">
        <f t="shared" si="1129"/>
        <v>46036</v>
      </c>
      <c r="L4934" s="5">
        <f t="shared" si="1130"/>
        <v>1</v>
      </c>
      <c r="M4934" s="5">
        <f t="shared" si="1131"/>
        <v>2026</v>
      </c>
      <c r="N4934" s="168">
        <v>125</v>
      </c>
      <c r="P4934" s="12"/>
      <c r="Q4934" s="7">
        <f t="shared" si="1132"/>
        <v>8114776.0500000129</v>
      </c>
      <c r="R4934" s="44" t="str">
        <f>VLOOKUP(F4934,'Set up'!$A$2:$E$70,5,FALSE)</f>
        <v>Trsf</v>
      </c>
    </row>
    <row r="4935" spans="1:18" ht="16.8" customHeight="1" x14ac:dyDescent="0.3">
      <c r="A4935" s="150" t="s">
        <v>4436</v>
      </c>
      <c r="B4935" s="5">
        <f t="shared" si="1127"/>
        <v>1</v>
      </c>
      <c r="C4935" s="5">
        <f t="shared" si="1128"/>
        <v>2026</v>
      </c>
      <c r="D4935" s="150" t="s">
        <v>4465</v>
      </c>
      <c r="E4935" s="5" t="str">
        <f>VLOOKUP(F4935,'Set up'!$A$2:$C$70,2,FALSE)</f>
        <v>C00000042</v>
      </c>
      <c r="F4935" s="150" t="s">
        <v>2012</v>
      </c>
      <c r="G4935" s="150" t="s">
        <v>3645</v>
      </c>
      <c r="H4935" s="150">
        <v>5</v>
      </c>
      <c r="I4935" s="5" t="str">
        <f>VLOOKUP(F4935,'Set up'!$A$2:$C$70,3,FALSE)</f>
        <v>Cash</v>
      </c>
      <c r="J4935" s="5">
        <f>VLOOKUP(F4935,'Set up'!$A$2:$D$70,4,FALSE)</f>
        <v>0</v>
      </c>
      <c r="K4935" s="4">
        <f t="shared" si="1129"/>
        <v>46036</v>
      </c>
      <c r="L4935" s="5">
        <f t="shared" si="1130"/>
        <v>1</v>
      </c>
      <c r="M4935" s="5">
        <f t="shared" si="1131"/>
        <v>2026</v>
      </c>
      <c r="N4935" s="168">
        <v>7425</v>
      </c>
      <c r="P4935" s="12"/>
      <c r="Q4935" s="7">
        <f t="shared" si="1132"/>
        <v>8122201.0500000129</v>
      </c>
      <c r="R4935" s="44" t="str">
        <f>VLOOKUP(F4935,'Set up'!$A$2:$E$70,5,FALSE)</f>
        <v>Trsf</v>
      </c>
    </row>
    <row r="4936" spans="1:18" ht="16.8" customHeight="1" x14ac:dyDescent="0.3">
      <c r="A4936" s="150" t="s">
        <v>4436</v>
      </c>
      <c r="B4936" s="5">
        <f t="shared" si="1127"/>
        <v>1</v>
      </c>
      <c r="C4936" s="5">
        <f t="shared" si="1128"/>
        <v>2026</v>
      </c>
      <c r="D4936" s="150" t="s">
        <v>4465</v>
      </c>
      <c r="E4936" s="5" t="str">
        <f>VLOOKUP(F4936,'Set up'!$A$2:$C$70,2,FALSE)</f>
        <v>C00000042</v>
      </c>
      <c r="F4936" s="150" t="s">
        <v>2012</v>
      </c>
      <c r="G4936" s="150" t="s">
        <v>1392</v>
      </c>
      <c r="H4936" s="150">
        <v>13</v>
      </c>
      <c r="I4936" s="5" t="str">
        <f>VLOOKUP(F4936,'Set up'!$A$2:$C$70,3,FALSE)</f>
        <v>Cash</v>
      </c>
      <c r="J4936" s="5">
        <f>VLOOKUP(F4936,'Set up'!$A$2:$D$70,4,FALSE)</f>
        <v>0</v>
      </c>
      <c r="K4936" s="4">
        <f t="shared" si="1129"/>
        <v>46036</v>
      </c>
      <c r="L4936" s="5">
        <f t="shared" si="1130"/>
        <v>1</v>
      </c>
      <c r="M4936" s="5">
        <f t="shared" si="1131"/>
        <v>2026</v>
      </c>
      <c r="N4936" s="168">
        <v>2301</v>
      </c>
      <c r="P4936" s="12"/>
      <c r="Q4936" s="7">
        <f t="shared" si="1132"/>
        <v>8124502.0500000129</v>
      </c>
      <c r="R4936" s="44" t="str">
        <f>VLOOKUP(F4936,'Set up'!$A$2:$E$70,5,FALSE)</f>
        <v>Trsf</v>
      </c>
    </row>
    <row r="4937" spans="1:18" ht="16.8" customHeight="1" x14ac:dyDescent="0.3">
      <c r="A4937" s="150" t="s">
        <v>4436</v>
      </c>
      <c r="B4937" s="5">
        <f t="shared" si="1127"/>
        <v>1</v>
      </c>
      <c r="C4937" s="5">
        <f t="shared" si="1128"/>
        <v>2026</v>
      </c>
      <c r="D4937" s="150" t="s">
        <v>4465</v>
      </c>
      <c r="E4937" s="5" t="str">
        <f>VLOOKUP(F4937,'Set up'!$A$2:$C$70,2,FALSE)</f>
        <v>C00000042</v>
      </c>
      <c r="F4937" s="150" t="s">
        <v>2012</v>
      </c>
      <c r="G4937" s="150" t="s">
        <v>1922</v>
      </c>
      <c r="H4937" s="150">
        <v>7</v>
      </c>
      <c r="I4937" s="5" t="str">
        <f>VLOOKUP(F4937,'Set up'!$A$2:$C$70,3,FALSE)</f>
        <v>Cash</v>
      </c>
      <c r="J4937" s="5">
        <f>VLOOKUP(F4937,'Set up'!$A$2:$D$70,4,FALSE)</f>
        <v>0</v>
      </c>
      <c r="K4937" s="4">
        <f t="shared" si="1129"/>
        <v>46036</v>
      </c>
      <c r="L4937" s="5">
        <f t="shared" si="1130"/>
        <v>1</v>
      </c>
      <c r="M4937" s="5">
        <f t="shared" si="1131"/>
        <v>2026</v>
      </c>
      <c r="N4937" s="168">
        <v>1606.5</v>
      </c>
      <c r="P4937" s="12"/>
      <c r="Q4937" s="7">
        <f t="shared" si="1132"/>
        <v>8126108.5500000129</v>
      </c>
      <c r="R4937" s="44" t="str">
        <f>VLOOKUP(F4937,'Set up'!$A$2:$E$70,5,FALSE)</f>
        <v>Trsf</v>
      </c>
    </row>
    <row r="4938" spans="1:18" ht="16.8" customHeight="1" x14ac:dyDescent="0.3">
      <c r="A4938" s="150" t="s">
        <v>4436</v>
      </c>
      <c r="B4938" s="5">
        <f t="shared" si="1127"/>
        <v>1</v>
      </c>
      <c r="C4938" s="5">
        <f t="shared" si="1128"/>
        <v>2026</v>
      </c>
      <c r="D4938" s="150" t="s">
        <v>4465</v>
      </c>
      <c r="E4938" s="5" t="str">
        <f>VLOOKUP(F4938,'Set up'!$A$2:$C$70,2,FALSE)</f>
        <v>C00000042</v>
      </c>
      <c r="F4938" s="150" t="s">
        <v>2012</v>
      </c>
      <c r="G4938" s="150" t="s">
        <v>46</v>
      </c>
      <c r="H4938" s="150">
        <v>4</v>
      </c>
      <c r="I4938" s="5" t="str">
        <f>VLOOKUP(F4938,'Set up'!$A$2:$C$70,3,FALSE)</f>
        <v>Cash</v>
      </c>
      <c r="J4938" s="5">
        <f>VLOOKUP(F4938,'Set up'!$A$2:$D$70,4,FALSE)</f>
        <v>0</v>
      </c>
      <c r="K4938" s="4">
        <f t="shared" si="1129"/>
        <v>46036</v>
      </c>
      <c r="L4938" s="5">
        <f t="shared" si="1130"/>
        <v>1</v>
      </c>
      <c r="M4938" s="5">
        <f t="shared" si="1131"/>
        <v>2026</v>
      </c>
      <c r="N4938" s="168">
        <v>460</v>
      </c>
      <c r="P4938" s="12"/>
      <c r="Q4938" s="7">
        <f t="shared" si="1132"/>
        <v>8126568.5500000129</v>
      </c>
      <c r="R4938" s="44" t="str">
        <f>VLOOKUP(F4938,'Set up'!$A$2:$E$70,5,FALSE)</f>
        <v>Trsf</v>
      </c>
    </row>
    <row r="4939" spans="1:18" ht="16.8" customHeight="1" x14ac:dyDescent="0.3">
      <c r="A4939" s="150" t="s">
        <v>4436</v>
      </c>
      <c r="B4939" s="5">
        <f t="shared" si="1127"/>
        <v>1</v>
      </c>
      <c r="C4939" s="5">
        <f t="shared" si="1128"/>
        <v>2026</v>
      </c>
      <c r="D4939" s="150" t="s">
        <v>4465</v>
      </c>
      <c r="E4939" s="5" t="str">
        <f>VLOOKUP(F4939,'Set up'!$A$2:$C$70,2,FALSE)</f>
        <v>C00000042</v>
      </c>
      <c r="F4939" s="150" t="s">
        <v>2012</v>
      </c>
      <c r="G4939" s="150" t="s">
        <v>2744</v>
      </c>
      <c r="H4939" s="150">
        <v>1</v>
      </c>
      <c r="I4939" s="5" t="str">
        <f>VLOOKUP(F4939,'Set up'!$A$2:$C$70,3,FALSE)</f>
        <v>Cash</v>
      </c>
      <c r="J4939" s="5">
        <f>VLOOKUP(F4939,'Set up'!$A$2:$D$70,4,FALSE)</f>
        <v>0</v>
      </c>
      <c r="K4939" s="4">
        <f t="shared" si="1129"/>
        <v>46036</v>
      </c>
      <c r="L4939" s="5">
        <f t="shared" si="1130"/>
        <v>1</v>
      </c>
      <c r="M4939" s="5">
        <f t="shared" si="1131"/>
        <v>2026</v>
      </c>
      <c r="N4939" s="168">
        <v>1000</v>
      </c>
      <c r="P4939" s="12"/>
      <c r="Q4939" s="7">
        <f t="shared" si="1132"/>
        <v>8127568.5500000129</v>
      </c>
      <c r="R4939" s="44" t="str">
        <f>VLOOKUP(F4939,'Set up'!$A$2:$E$70,5,FALSE)</f>
        <v>Trsf</v>
      </c>
    </row>
    <row r="4940" spans="1:18" ht="16.8" customHeight="1" x14ac:dyDescent="0.3">
      <c r="A4940" s="150" t="s">
        <v>4437</v>
      </c>
      <c r="B4940" s="5">
        <f t="shared" si="1127"/>
        <v>1</v>
      </c>
      <c r="C4940" s="5">
        <f t="shared" si="1128"/>
        <v>2026</v>
      </c>
      <c r="D4940" s="150" t="s">
        <v>4466</v>
      </c>
      <c r="E4940" s="5" t="str">
        <f>VLOOKUP(F4940,'Set up'!$A$2:$C$70,2,FALSE)</f>
        <v>C00000042</v>
      </c>
      <c r="F4940" s="150" t="s">
        <v>2012</v>
      </c>
      <c r="G4940" s="150" t="s">
        <v>2646</v>
      </c>
      <c r="H4940" s="150">
        <v>2</v>
      </c>
      <c r="I4940" s="5" t="str">
        <f>VLOOKUP(F4940,'Set up'!$A$2:$C$70,3,FALSE)</f>
        <v>Cash</v>
      </c>
      <c r="J4940" s="5">
        <f>VLOOKUP(F4940,'Set up'!$A$2:$D$70,4,FALSE)</f>
        <v>0</v>
      </c>
      <c r="K4940" s="4">
        <f t="shared" si="1129"/>
        <v>46038</v>
      </c>
      <c r="L4940" s="5">
        <f t="shared" si="1130"/>
        <v>1</v>
      </c>
      <c r="M4940" s="5">
        <f t="shared" si="1131"/>
        <v>2026</v>
      </c>
      <c r="N4940" s="168">
        <v>125</v>
      </c>
      <c r="P4940" s="12"/>
      <c r="Q4940" s="7">
        <f t="shared" si="1132"/>
        <v>8127693.5500000129</v>
      </c>
      <c r="R4940" s="44" t="str">
        <f>VLOOKUP(F4940,'Set up'!$A$2:$E$70,5,FALSE)</f>
        <v>Trsf</v>
      </c>
    </row>
    <row r="4941" spans="1:18" ht="16.8" customHeight="1" x14ac:dyDescent="0.3">
      <c r="A4941" s="150" t="s">
        <v>4437</v>
      </c>
      <c r="B4941" s="5">
        <f t="shared" si="1127"/>
        <v>1</v>
      </c>
      <c r="C4941" s="5">
        <f t="shared" si="1128"/>
        <v>2026</v>
      </c>
      <c r="D4941" s="150" t="s">
        <v>4467</v>
      </c>
      <c r="E4941" s="5" t="str">
        <f>VLOOKUP(F4941,'Set up'!$A$2:$C$70,2,FALSE)</f>
        <v>C00000042</v>
      </c>
      <c r="F4941" s="150" t="s">
        <v>2012</v>
      </c>
      <c r="G4941" s="150" t="s">
        <v>3645</v>
      </c>
      <c r="H4941" s="150">
        <v>5</v>
      </c>
      <c r="I4941" s="5" t="str">
        <f>VLOOKUP(F4941,'Set up'!$A$2:$C$70,3,FALSE)</f>
        <v>Cash</v>
      </c>
      <c r="J4941" s="5">
        <f>VLOOKUP(F4941,'Set up'!$A$2:$D$70,4,FALSE)</f>
        <v>0</v>
      </c>
      <c r="K4941" s="4">
        <f t="shared" si="1129"/>
        <v>46038</v>
      </c>
      <c r="L4941" s="5">
        <f t="shared" si="1130"/>
        <v>1</v>
      </c>
      <c r="M4941" s="5">
        <f t="shared" si="1131"/>
        <v>2026</v>
      </c>
      <c r="N4941" s="168">
        <v>7425</v>
      </c>
      <c r="P4941" s="12"/>
      <c r="Q4941" s="7">
        <f t="shared" si="1132"/>
        <v>8135118.5500000129</v>
      </c>
      <c r="R4941" s="44" t="str">
        <f>VLOOKUP(F4941,'Set up'!$A$2:$E$70,5,FALSE)</f>
        <v>Trsf</v>
      </c>
    </row>
    <row r="4942" spans="1:18" ht="16.8" customHeight="1" x14ac:dyDescent="0.3">
      <c r="A4942" s="150" t="s">
        <v>4437</v>
      </c>
      <c r="B4942" s="5">
        <f t="shared" si="1127"/>
        <v>1</v>
      </c>
      <c r="C4942" s="5">
        <f t="shared" si="1128"/>
        <v>2026</v>
      </c>
      <c r="D4942" s="150" t="s">
        <v>4467</v>
      </c>
      <c r="E4942" s="5" t="str">
        <f>VLOOKUP(F4942,'Set up'!$A$2:$C$70,2,FALSE)</f>
        <v>C00000042</v>
      </c>
      <c r="F4942" s="150" t="s">
        <v>2012</v>
      </c>
      <c r="G4942" s="150" t="s">
        <v>1392</v>
      </c>
      <c r="H4942" s="150">
        <v>12</v>
      </c>
      <c r="I4942" s="5" t="str">
        <f>VLOOKUP(F4942,'Set up'!$A$2:$C$70,3,FALSE)</f>
        <v>Cash</v>
      </c>
      <c r="J4942" s="5">
        <f>VLOOKUP(F4942,'Set up'!$A$2:$D$70,4,FALSE)</f>
        <v>0</v>
      </c>
      <c r="K4942" s="4">
        <f t="shared" si="1129"/>
        <v>46038</v>
      </c>
      <c r="L4942" s="5">
        <f t="shared" si="1130"/>
        <v>1</v>
      </c>
      <c r="M4942" s="5">
        <f t="shared" si="1131"/>
        <v>2026</v>
      </c>
      <c r="N4942" s="168">
        <v>2124</v>
      </c>
      <c r="P4942" s="12"/>
      <c r="Q4942" s="7">
        <f t="shared" si="1132"/>
        <v>8137242.5500000129</v>
      </c>
      <c r="R4942" s="44" t="str">
        <f>VLOOKUP(F4942,'Set up'!$A$2:$E$70,5,FALSE)</f>
        <v>Trsf</v>
      </c>
    </row>
    <row r="4943" spans="1:18" ht="16.8" customHeight="1" x14ac:dyDescent="0.3">
      <c r="A4943" s="150" t="s">
        <v>4437</v>
      </c>
      <c r="B4943" s="5">
        <f t="shared" si="1127"/>
        <v>1</v>
      </c>
      <c r="C4943" s="5">
        <f t="shared" si="1128"/>
        <v>2026</v>
      </c>
      <c r="D4943" s="150" t="s">
        <v>4467</v>
      </c>
      <c r="E4943" s="5" t="str">
        <f>VLOOKUP(F4943,'Set up'!$A$2:$C$70,2,FALSE)</f>
        <v>C00000042</v>
      </c>
      <c r="F4943" s="150" t="s">
        <v>2012</v>
      </c>
      <c r="G4943" s="150" t="s">
        <v>1922</v>
      </c>
      <c r="H4943" s="150">
        <v>10</v>
      </c>
      <c r="I4943" s="5" t="str">
        <f>VLOOKUP(F4943,'Set up'!$A$2:$C$70,3,FALSE)</f>
        <v>Cash</v>
      </c>
      <c r="J4943" s="5">
        <f>VLOOKUP(F4943,'Set up'!$A$2:$D$70,4,FALSE)</f>
        <v>0</v>
      </c>
      <c r="K4943" s="4">
        <f t="shared" si="1129"/>
        <v>46038</v>
      </c>
      <c r="L4943" s="5">
        <f t="shared" si="1130"/>
        <v>1</v>
      </c>
      <c r="M4943" s="5">
        <f t="shared" si="1131"/>
        <v>2026</v>
      </c>
      <c r="N4943" s="168">
        <v>2295</v>
      </c>
      <c r="P4943" s="12"/>
      <c r="Q4943" s="7">
        <f t="shared" si="1132"/>
        <v>8139537.5500000129</v>
      </c>
      <c r="R4943" s="44" t="str">
        <f>VLOOKUP(F4943,'Set up'!$A$2:$E$70,5,FALSE)</f>
        <v>Trsf</v>
      </c>
    </row>
    <row r="4944" spans="1:18" ht="16.8" customHeight="1" x14ac:dyDescent="0.3">
      <c r="A4944" s="150" t="s">
        <v>4437</v>
      </c>
      <c r="B4944" s="5">
        <f t="shared" si="1127"/>
        <v>1</v>
      </c>
      <c r="C4944" s="5">
        <f t="shared" si="1128"/>
        <v>2026</v>
      </c>
      <c r="D4944" s="150" t="s">
        <v>4467</v>
      </c>
      <c r="E4944" s="5" t="str">
        <f>VLOOKUP(F4944,'Set up'!$A$2:$C$70,2,FALSE)</f>
        <v>C00000042</v>
      </c>
      <c r="F4944" s="150" t="s">
        <v>2012</v>
      </c>
      <c r="G4944" s="150" t="s">
        <v>1073</v>
      </c>
      <c r="H4944" s="150">
        <v>1</v>
      </c>
      <c r="I4944" s="5" t="str">
        <f>VLOOKUP(F4944,'Set up'!$A$2:$C$70,3,FALSE)</f>
        <v>Cash</v>
      </c>
      <c r="J4944" s="5">
        <f>VLOOKUP(F4944,'Set up'!$A$2:$D$70,4,FALSE)</f>
        <v>0</v>
      </c>
      <c r="K4944" s="4">
        <f t="shared" si="1129"/>
        <v>46038</v>
      </c>
      <c r="L4944" s="5">
        <f t="shared" si="1130"/>
        <v>1</v>
      </c>
      <c r="M4944" s="5">
        <f t="shared" si="1131"/>
        <v>2026</v>
      </c>
      <c r="N4944" s="168">
        <v>1050</v>
      </c>
      <c r="P4944" s="12"/>
      <c r="Q4944" s="7">
        <f t="shared" si="1132"/>
        <v>8140587.5500000129</v>
      </c>
      <c r="R4944" s="44" t="str">
        <f>VLOOKUP(F4944,'Set up'!$A$2:$E$70,5,FALSE)</f>
        <v>Trsf</v>
      </c>
    </row>
    <row r="4945" spans="1:18" ht="16.8" customHeight="1" x14ac:dyDescent="0.3">
      <c r="A4945" s="150" t="s">
        <v>4438</v>
      </c>
      <c r="B4945" s="5">
        <f t="shared" si="1127"/>
        <v>1</v>
      </c>
      <c r="C4945" s="5">
        <f t="shared" si="1128"/>
        <v>2026</v>
      </c>
      <c r="D4945" s="150" t="s">
        <v>4468</v>
      </c>
      <c r="E4945" s="5" t="str">
        <f>VLOOKUP(F4945,'Set up'!$A$2:$C$70,2,FALSE)</f>
        <v>C00000042</v>
      </c>
      <c r="F4945" s="150" t="s">
        <v>2012</v>
      </c>
      <c r="G4945" s="150" t="s">
        <v>1543</v>
      </c>
      <c r="H4945" s="150">
        <v>3</v>
      </c>
      <c r="I4945" s="5" t="str">
        <f>VLOOKUP(F4945,'Set up'!$A$2:$C$70,3,FALSE)</f>
        <v>Cash</v>
      </c>
      <c r="J4945" s="5">
        <f>VLOOKUP(F4945,'Set up'!$A$2:$D$70,4,FALSE)</f>
        <v>0</v>
      </c>
      <c r="K4945" s="4">
        <f t="shared" si="1129"/>
        <v>46041</v>
      </c>
      <c r="L4945" s="5">
        <f t="shared" si="1130"/>
        <v>1</v>
      </c>
      <c r="M4945" s="5">
        <f t="shared" si="1131"/>
        <v>2026</v>
      </c>
      <c r="N4945" s="168">
        <v>531</v>
      </c>
      <c r="P4945" s="12"/>
      <c r="Q4945" s="7">
        <f t="shared" si="1132"/>
        <v>8141118.5500000129</v>
      </c>
      <c r="R4945" s="44" t="str">
        <f>VLOOKUP(F4945,'Set up'!$A$2:$E$70,5,FALSE)</f>
        <v>Trsf</v>
      </c>
    </row>
    <row r="4946" spans="1:18" ht="16.8" customHeight="1" x14ac:dyDescent="0.3">
      <c r="A4946" s="150" t="s">
        <v>4439</v>
      </c>
      <c r="B4946" s="5">
        <f t="shared" si="1127"/>
        <v>1</v>
      </c>
      <c r="C4946" s="5">
        <f t="shared" si="1128"/>
        <v>2026</v>
      </c>
      <c r="D4946" s="150" t="s">
        <v>4469</v>
      </c>
      <c r="E4946" s="5" t="str">
        <f>VLOOKUP(F4946,'Set up'!$A$2:$C$70,2,FALSE)</f>
        <v>C00000042</v>
      </c>
      <c r="F4946" s="150" t="s">
        <v>2012</v>
      </c>
      <c r="G4946" s="150" t="s">
        <v>2646</v>
      </c>
      <c r="H4946" s="150">
        <v>2</v>
      </c>
      <c r="I4946" s="5" t="str">
        <f>VLOOKUP(F4946,'Set up'!$A$2:$C$70,3,FALSE)</f>
        <v>Cash</v>
      </c>
      <c r="J4946" s="5">
        <f>VLOOKUP(F4946,'Set up'!$A$2:$D$70,4,FALSE)</f>
        <v>0</v>
      </c>
      <c r="K4946" s="4">
        <f t="shared" si="1129"/>
        <v>46042</v>
      </c>
      <c r="L4946" s="5">
        <f t="shared" si="1130"/>
        <v>1</v>
      </c>
      <c r="M4946" s="5">
        <f t="shared" si="1131"/>
        <v>2026</v>
      </c>
      <c r="N4946" s="168">
        <v>125</v>
      </c>
      <c r="P4946" s="12"/>
      <c r="Q4946" s="7">
        <f t="shared" si="1132"/>
        <v>8141243.5500000129</v>
      </c>
      <c r="R4946" s="44" t="str">
        <f>VLOOKUP(F4946,'Set up'!$A$2:$E$70,5,FALSE)</f>
        <v>Trsf</v>
      </c>
    </row>
    <row r="4947" spans="1:18" ht="16.8" customHeight="1" x14ac:dyDescent="0.3">
      <c r="A4947" s="150" t="s">
        <v>4439</v>
      </c>
      <c r="B4947" s="5">
        <f t="shared" si="1127"/>
        <v>1</v>
      </c>
      <c r="C4947" s="5">
        <f t="shared" si="1128"/>
        <v>2026</v>
      </c>
      <c r="D4947" s="150" t="s">
        <v>4470</v>
      </c>
      <c r="E4947" s="5" t="str">
        <f>VLOOKUP(F4947,'Set up'!$A$2:$C$70,2,FALSE)</f>
        <v>C00000042</v>
      </c>
      <c r="F4947" s="150" t="s">
        <v>2012</v>
      </c>
      <c r="G4947" s="150" t="s">
        <v>3645</v>
      </c>
      <c r="H4947" s="150">
        <v>5</v>
      </c>
      <c r="I4947" s="5" t="str">
        <f>VLOOKUP(F4947,'Set up'!$A$2:$C$70,3,FALSE)</f>
        <v>Cash</v>
      </c>
      <c r="J4947" s="5">
        <f>VLOOKUP(F4947,'Set up'!$A$2:$D$70,4,FALSE)</f>
        <v>0</v>
      </c>
      <c r="K4947" s="4">
        <f t="shared" si="1129"/>
        <v>46042</v>
      </c>
      <c r="L4947" s="5">
        <f t="shared" si="1130"/>
        <v>1</v>
      </c>
      <c r="M4947" s="5">
        <f t="shared" si="1131"/>
        <v>2026</v>
      </c>
      <c r="N4947" s="168">
        <v>7425</v>
      </c>
      <c r="P4947" s="12"/>
      <c r="Q4947" s="7">
        <f t="shared" si="1132"/>
        <v>8148668.5500000129</v>
      </c>
      <c r="R4947" s="44" t="str">
        <f>VLOOKUP(F4947,'Set up'!$A$2:$E$70,5,FALSE)</f>
        <v>Trsf</v>
      </c>
    </row>
    <row r="4948" spans="1:18" ht="16.8" customHeight="1" x14ac:dyDescent="0.3">
      <c r="A4948" s="150" t="s">
        <v>4439</v>
      </c>
      <c r="B4948" s="5">
        <f t="shared" si="1127"/>
        <v>1</v>
      </c>
      <c r="C4948" s="5">
        <f t="shared" si="1128"/>
        <v>2026</v>
      </c>
      <c r="D4948" s="150" t="s">
        <v>4470</v>
      </c>
      <c r="E4948" s="5" t="str">
        <f>VLOOKUP(F4948,'Set up'!$A$2:$C$70,2,FALSE)</f>
        <v>C00000042</v>
      </c>
      <c r="F4948" s="150" t="s">
        <v>2012</v>
      </c>
      <c r="G4948" s="150" t="s">
        <v>1392</v>
      </c>
      <c r="H4948" s="150">
        <v>10</v>
      </c>
      <c r="I4948" s="5" t="str">
        <f>VLOOKUP(F4948,'Set up'!$A$2:$C$70,3,FALSE)</f>
        <v>Cash</v>
      </c>
      <c r="J4948" s="5">
        <f>VLOOKUP(F4948,'Set up'!$A$2:$D$70,4,FALSE)</f>
        <v>0</v>
      </c>
      <c r="K4948" s="4">
        <f t="shared" si="1129"/>
        <v>46042</v>
      </c>
      <c r="L4948" s="5">
        <f t="shared" si="1130"/>
        <v>1</v>
      </c>
      <c r="M4948" s="5">
        <f t="shared" si="1131"/>
        <v>2026</v>
      </c>
      <c r="N4948" s="168">
        <v>1770</v>
      </c>
      <c r="P4948" s="12"/>
      <c r="Q4948" s="7">
        <f t="shared" si="1132"/>
        <v>8150438.5500000129</v>
      </c>
      <c r="R4948" s="44" t="str">
        <f>VLOOKUP(F4948,'Set up'!$A$2:$E$70,5,FALSE)</f>
        <v>Trsf</v>
      </c>
    </row>
    <row r="4949" spans="1:18" ht="16.8" customHeight="1" x14ac:dyDescent="0.3">
      <c r="A4949" s="150" t="s">
        <v>4439</v>
      </c>
      <c r="B4949" s="5">
        <f t="shared" si="1127"/>
        <v>1</v>
      </c>
      <c r="C4949" s="5">
        <f t="shared" si="1128"/>
        <v>2026</v>
      </c>
      <c r="D4949" s="150" t="s">
        <v>4470</v>
      </c>
      <c r="E4949" s="5" t="str">
        <f>VLOOKUP(F4949,'Set up'!$A$2:$C$70,2,FALSE)</f>
        <v>C00000042</v>
      </c>
      <c r="F4949" s="150" t="s">
        <v>2012</v>
      </c>
      <c r="G4949" s="150" t="s">
        <v>1922</v>
      </c>
      <c r="H4949" s="150">
        <v>8</v>
      </c>
      <c r="I4949" s="5" t="str">
        <f>VLOOKUP(F4949,'Set up'!$A$2:$C$70,3,FALSE)</f>
        <v>Cash</v>
      </c>
      <c r="J4949" s="5">
        <f>VLOOKUP(F4949,'Set up'!$A$2:$D$70,4,FALSE)</f>
        <v>0</v>
      </c>
      <c r="K4949" s="4">
        <f t="shared" si="1129"/>
        <v>46042</v>
      </c>
      <c r="L4949" s="5">
        <f t="shared" si="1130"/>
        <v>1</v>
      </c>
      <c r="M4949" s="5">
        <f t="shared" si="1131"/>
        <v>2026</v>
      </c>
      <c r="N4949" s="168">
        <v>1836</v>
      </c>
      <c r="P4949" s="12"/>
      <c r="Q4949" s="7">
        <f t="shared" si="1132"/>
        <v>8152274.5500000129</v>
      </c>
      <c r="R4949" s="44" t="str">
        <f>VLOOKUP(F4949,'Set up'!$A$2:$E$70,5,FALSE)</f>
        <v>Trsf</v>
      </c>
    </row>
    <row r="4950" spans="1:18" ht="16.8" customHeight="1" x14ac:dyDescent="0.3">
      <c r="A4950" s="150" t="s">
        <v>4439</v>
      </c>
      <c r="B4950" s="5">
        <f t="shared" si="1127"/>
        <v>1</v>
      </c>
      <c r="C4950" s="5">
        <f t="shared" si="1128"/>
        <v>2026</v>
      </c>
      <c r="D4950" s="150" t="s">
        <v>4470</v>
      </c>
      <c r="E4950" s="5" t="str">
        <f>VLOOKUP(F4950,'Set up'!$A$2:$C$70,2,FALSE)</f>
        <v>C00000042</v>
      </c>
      <c r="F4950" s="150" t="s">
        <v>2012</v>
      </c>
      <c r="G4950" s="150" t="s">
        <v>1073</v>
      </c>
      <c r="H4950" s="150">
        <v>1</v>
      </c>
      <c r="I4950" s="5" t="str">
        <f>VLOOKUP(F4950,'Set up'!$A$2:$C$70,3,FALSE)</f>
        <v>Cash</v>
      </c>
      <c r="J4950" s="5">
        <f>VLOOKUP(F4950,'Set up'!$A$2:$D$70,4,FALSE)</f>
        <v>0</v>
      </c>
      <c r="K4950" s="4">
        <f t="shared" si="1129"/>
        <v>46042</v>
      </c>
      <c r="L4950" s="5">
        <f t="shared" si="1130"/>
        <v>1</v>
      </c>
      <c r="M4950" s="5">
        <f t="shared" si="1131"/>
        <v>2026</v>
      </c>
      <c r="N4950" s="168">
        <v>1050</v>
      </c>
      <c r="P4950" s="12"/>
      <c r="Q4950" s="7">
        <f t="shared" si="1132"/>
        <v>8153324.5500000129</v>
      </c>
      <c r="R4950" s="44" t="str">
        <f>VLOOKUP(F4950,'Set up'!$A$2:$E$70,5,FALSE)</f>
        <v>Trsf</v>
      </c>
    </row>
    <row r="4951" spans="1:18" ht="16.8" customHeight="1" x14ac:dyDescent="0.3">
      <c r="A4951" s="150" t="s">
        <v>4439</v>
      </c>
      <c r="B4951" s="5">
        <f t="shared" si="1127"/>
        <v>1</v>
      </c>
      <c r="C4951" s="5">
        <f t="shared" si="1128"/>
        <v>2026</v>
      </c>
      <c r="D4951" s="150" t="s">
        <v>4470</v>
      </c>
      <c r="E4951" s="5" t="str">
        <f>VLOOKUP(F4951,'Set up'!$A$2:$C$70,2,FALSE)</f>
        <v>C00000042</v>
      </c>
      <c r="F4951" s="150" t="s">
        <v>2012</v>
      </c>
      <c r="G4951" s="150" t="s">
        <v>46</v>
      </c>
      <c r="H4951" s="150">
        <v>4</v>
      </c>
      <c r="I4951" s="5" t="str">
        <f>VLOOKUP(F4951,'Set up'!$A$2:$C$70,3,FALSE)</f>
        <v>Cash</v>
      </c>
      <c r="J4951" s="5">
        <f>VLOOKUP(F4951,'Set up'!$A$2:$D$70,4,FALSE)</f>
        <v>0</v>
      </c>
      <c r="K4951" s="4">
        <f t="shared" si="1129"/>
        <v>46042</v>
      </c>
      <c r="L4951" s="5">
        <f t="shared" si="1130"/>
        <v>1</v>
      </c>
      <c r="M4951" s="5">
        <f t="shared" si="1131"/>
        <v>2026</v>
      </c>
      <c r="N4951" s="168">
        <v>460</v>
      </c>
      <c r="P4951" s="12"/>
      <c r="Q4951" s="7">
        <f t="shared" si="1132"/>
        <v>8153784.5500000129</v>
      </c>
      <c r="R4951" s="44" t="str">
        <f>VLOOKUP(F4951,'Set up'!$A$2:$E$70,5,FALSE)</f>
        <v>Trsf</v>
      </c>
    </row>
    <row r="4952" spans="1:18" ht="16.8" customHeight="1" x14ac:dyDescent="0.3">
      <c r="A4952" s="150" t="s">
        <v>4440</v>
      </c>
      <c r="B4952" s="5">
        <f t="shared" si="1127"/>
        <v>1</v>
      </c>
      <c r="C4952" s="5">
        <f t="shared" si="1128"/>
        <v>2026</v>
      </c>
      <c r="D4952" s="150" t="s">
        <v>4471</v>
      </c>
      <c r="E4952" s="5" t="str">
        <f>VLOOKUP(F4952,'Set up'!$A$2:$C$70,2,FALSE)</f>
        <v>C00000019</v>
      </c>
      <c r="F4952" s="150" t="s">
        <v>400</v>
      </c>
      <c r="G4952" s="150" t="s">
        <v>2646</v>
      </c>
      <c r="H4952" s="150">
        <v>3</v>
      </c>
      <c r="I4952" s="5" t="str">
        <f>VLOOKUP(F4952,'Set up'!$A$2:$C$70,3,FALSE)</f>
        <v>Cash</v>
      </c>
      <c r="J4952" s="5">
        <f>VLOOKUP(F4952,'Set up'!$A$2:$D$70,4,FALSE)</f>
        <v>0</v>
      </c>
      <c r="K4952" s="4">
        <f t="shared" si="1129"/>
        <v>46045</v>
      </c>
      <c r="L4952" s="5">
        <f t="shared" si="1130"/>
        <v>1</v>
      </c>
      <c r="M4952" s="5">
        <f t="shared" si="1131"/>
        <v>2026</v>
      </c>
      <c r="N4952" s="168">
        <v>187.5</v>
      </c>
      <c r="P4952" s="12"/>
      <c r="Q4952" s="7">
        <f t="shared" si="1132"/>
        <v>8153972.0500000129</v>
      </c>
      <c r="R4952" s="44" t="str">
        <f>VLOOKUP(F4952,'Set up'!$A$2:$E$70,5,FALSE)</f>
        <v>Trsf</v>
      </c>
    </row>
    <row r="4953" spans="1:18" ht="16.8" customHeight="1" x14ac:dyDescent="0.3">
      <c r="A4953" s="150" t="s">
        <v>4440</v>
      </c>
      <c r="B4953" s="5">
        <f t="shared" si="1127"/>
        <v>1</v>
      </c>
      <c r="C4953" s="5">
        <f t="shared" si="1128"/>
        <v>2026</v>
      </c>
      <c r="D4953" s="150" t="s">
        <v>4472</v>
      </c>
      <c r="E4953" s="5" t="str">
        <f>VLOOKUP(F4953,'Set up'!$A$2:$C$70,2,FALSE)</f>
        <v>C00000042</v>
      </c>
      <c r="F4953" s="150" t="s">
        <v>2012</v>
      </c>
      <c r="G4953" s="150" t="s">
        <v>2646</v>
      </c>
      <c r="H4953" s="150">
        <v>2</v>
      </c>
      <c r="I4953" s="5" t="str">
        <f>VLOOKUP(F4953,'Set up'!$A$2:$C$70,3,FALSE)</f>
        <v>Cash</v>
      </c>
      <c r="J4953" s="5">
        <f>VLOOKUP(F4953,'Set up'!$A$2:$D$70,4,FALSE)</f>
        <v>0</v>
      </c>
      <c r="K4953" s="4">
        <f t="shared" si="1129"/>
        <v>46045</v>
      </c>
      <c r="L4953" s="5">
        <f t="shared" si="1130"/>
        <v>1</v>
      </c>
      <c r="M4953" s="5">
        <f t="shared" si="1131"/>
        <v>2026</v>
      </c>
      <c r="N4953" s="168">
        <v>125</v>
      </c>
      <c r="P4953" s="12"/>
      <c r="Q4953" s="7">
        <f t="shared" si="1132"/>
        <v>8154097.0500000129</v>
      </c>
      <c r="R4953" s="44" t="str">
        <f>VLOOKUP(F4953,'Set up'!$A$2:$E$70,5,FALSE)</f>
        <v>Trsf</v>
      </c>
    </row>
    <row r="4954" spans="1:18" ht="16.8" customHeight="1" x14ac:dyDescent="0.3">
      <c r="A4954" s="150" t="s">
        <v>4440</v>
      </c>
      <c r="B4954" s="5">
        <f t="shared" si="1127"/>
        <v>1</v>
      </c>
      <c r="C4954" s="5">
        <f t="shared" si="1128"/>
        <v>2026</v>
      </c>
      <c r="D4954" s="150" t="s">
        <v>4473</v>
      </c>
      <c r="E4954" s="5" t="str">
        <f>VLOOKUP(F4954,'Set up'!$A$2:$C$70,2,FALSE)</f>
        <v>C00000042</v>
      </c>
      <c r="F4954" s="150" t="s">
        <v>2012</v>
      </c>
      <c r="G4954" s="150" t="s">
        <v>3645</v>
      </c>
      <c r="H4954" s="150">
        <v>5</v>
      </c>
      <c r="I4954" s="5" t="str">
        <f>VLOOKUP(F4954,'Set up'!$A$2:$C$70,3,FALSE)</f>
        <v>Cash</v>
      </c>
      <c r="J4954" s="5">
        <f>VLOOKUP(F4954,'Set up'!$A$2:$D$70,4,FALSE)</f>
        <v>0</v>
      </c>
      <c r="K4954" s="4">
        <f t="shared" si="1129"/>
        <v>46045</v>
      </c>
      <c r="L4954" s="5">
        <f t="shared" si="1130"/>
        <v>1</v>
      </c>
      <c r="M4954" s="5">
        <f t="shared" si="1131"/>
        <v>2026</v>
      </c>
      <c r="N4954" s="168">
        <v>7425</v>
      </c>
      <c r="P4954" s="12"/>
      <c r="Q4954" s="7">
        <f t="shared" si="1132"/>
        <v>8161522.0500000129</v>
      </c>
      <c r="R4954" s="44" t="str">
        <f>VLOOKUP(F4954,'Set up'!$A$2:$E$70,5,FALSE)</f>
        <v>Trsf</v>
      </c>
    </row>
    <row r="4955" spans="1:18" ht="16.8" customHeight="1" x14ac:dyDescent="0.3">
      <c r="A4955" s="150" t="s">
        <v>4440</v>
      </c>
      <c r="B4955" s="5">
        <f t="shared" si="1127"/>
        <v>1</v>
      </c>
      <c r="C4955" s="5">
        <f t="shared" si="1128"/>
        <v>2026</v>
      </c>
      <c r="D4955" s="150" t="s">
        <v>4473</v>
      </c>
      <c r="E4955" s="5" t="str">
        <f>VLOOKUP(F4955,'Set up'!$A$2:$C$70,2,FALSE)</f>
        <v>C00000042</v>
      </c>
      <c r="F4955" s="150" t="s">
        <v>2012</v>
      </c>
      <c r="G4955" s="150" t="s">
        <v>1392</v>
      </c>
      <c r="H4955" s="150">
        <v>14</v>
      </c>
      <c r="I4955" s="5" t="str">
        <f>VLOOKUP(F4955,'Set up'!$A$2:$C$70,3,FALSE)</f>
        <v>Cash</v>
      </c>
      <c r="J4955" s="5">
        <f>VLOOKUP(F4955,'Set up'!$A$2:$D$70,4,FALSE)</f>
        <v>0</v>
      </c>
      <c r="K4955" s="4">
        <f t="shared" si="1129"/>
        <v>46045</v>
      </c>
      <c r="L4955" s="5">
        <f t="shared" si="1130"/>
        <v>1</v>
      </c>
      <c r="M4955" s="5">
        <f t="shared" si="1131"/>
        <v>2026</v>
      </c>
      <c r="N4955" s="168">
        <v>2478</v>
      </c>
      <c r="P4955" s="12"/>
      <c r="Q4955" s="7">
        <f t="shared" si="1132"/>
        <v>8164000.0500000129</v>
      </c>
      <c r="R4955" s="44" t="str">
        <f>VLOOKUP(F4955,'Set up'!$A$2:$E$70,5,FALSE)</f>
        <v>Trsf</v>
      </c>
    </row>
    <row r="4956" spans="1:18" ht="16.8" customHeight="1" x14ac:dyDescent="0.3">
      <c r="A4956" s="150" t="s">
        <v>4440</v>
      </c>
      <c r="B4956" s="5">
        <f t="shared" si="1127"/>
        <v>1</v>
      </c>
      <c r="C4956" s="5">
        <f t="shared" si="1128"/>
        <v>2026</v>
      </c>
      <c r="D4956" s="150" t="s">
        <v>4473</v>
      </c>
      <c r="E4956" s="5" t="str">
        <f>VLOOKUP(F4956,'Set up'!$A$2:$C$70,2,FALSE)</f>
        <v>C00000042</v>
      </c>
      <c r="F4956" s="150" t="s">
        <v>2012</v>
      </c>
      <c r="G4956" s="150" t="s">
        <v>1922</v>
      </c>
      <c r="H4956" s="150">
        <v>8</v>
      </c>
      <c r="I4956" s="5" t="str">
        <f>VLOOKUP(F4956,'Set up'!$A$2:$C$70,3,FALSE)</f>
        <v>Cash</v>
      </c>
      <c r="J4956" s="5">
        <f>VLOOKUP(F4956,'Set up'!$A$2:$D$70,4,FALSE)</f>
        <v>0</v>
      </c>
      <c r="K4956" s="4">
        <f t="shared" si="1129"/>
        <v>46045</v>
      </c>
      <c r="L4956" s="5">
        <f t="shared" si="1130"/>
        <v>1</v>
      </c>
      <c r="M4956" s="5">
        <f t="shared" si="1131"/>
        <v>2026</v>
      </c>
      <c r="N4956" s="168">
        <v>1836</v>
      </c>
      <c r="P4956" s="12"/>
      <c r="Q4956" s="7">
        <f t="shared" si="1132"/>
        <v>8165836.0500000129</v>
      </c>
      <c r="R4956" s="44" t="str">
        <f>VLOOKUP(F4956,'Set up'!$A$2:$E$70,5,FALSE)</f>
        <v>Trsf</v>
      </c>
    </row>
    <row r="4957" spans="1:18" ht="16.8" customHeight="1" x14ac:dyDescent="0.3">
      <c r="A4957" s="150" t="s">
        <v>4440</v>
      </c>
      <c r="B4957" s="5">
        <f t="shared" si="1127"/>
        <v>1</v>
      </c>
      <c r="C4957" s="5">
        <f t="shared" si="1128"/>
        <v>2026</v>
      </c>
      <c r="D4957" s="150" t="s">
        <v>4473</v>
      </c>
      <c r="E4957" s="5" t="str">
        <f>VLOOKUP(F4957,'Set up'!$A$2:$C$70,2,FALSE)</f>
        <v>C00000042</v>
      </c>
      <c r="F4957" s="150" t="s">
        <v>2012</v>
      </c>
      <c r="G4957" s="150" t="s">
        <v>1073</v>
      </c>
      <c r="H4957" s="150">
        <v>1</v>
      </c>
      <c r="I4957" s="5" t="str">
        <f>VLOOKUP(F4957,'Set up'!$A$2:$C$70,3,FALSE)</f>
        <v>Cash</v>
      </c>
      <c r="J4957" s="5">
        <f>VLOOKUP(F4957,'Set up'!$A$2:$D$70,4,FALSE)</f>
        <v>0</v>
      </c>
      <c r="K4957" s="4">
        <f t="shared" si="1129"/>
        <v>46045</v>
      </c>
      <c r="L4957" s="5">
        <f t="shared" si="1130"/>
        <v>1</v>
      </c>
      <c r="M4957" s="5">
        <f t="shared" si="1131"/>
        <v>2026</v>
      </c>
      <c r="N4957" s="168">
        <v>1050</v>
      </c>
      <c r="P4957" s="12"/>
      <c r="Q4957" s="7">
        <f t="shared" si="1132"/>
        <v>8166886.0500000129</v>
      </c>
      <c r="R4957" s="44" t="str">
        <f>VLOOKUP(F4957,'Set up'!$A$2:$E$70,5,FALSE)</f>
        <v>Trsf</v>
      </c>
    </row>
    <row r="4958" spans="1:18" ht="16.8" customHeight="1" x14ac:dyDescent="0.3">
      <c r="A4958" s="150" t="s">
        <v>4440</v>
      </c>
      <c r="B4958" s="5">
        <f t="shared" si="1127"/>
        <v>1</v>
      </c>
      <c r="C4958" s="5">
        <f t="shared" si="1128"/>
        <v>2026</v>
      </c>
      <c r="D4958" s="150" t="s">
        <v>4473</v>
      </c>
      <c r="E4958" s="5" t="str">
        <f>VLOOKUP(F4958,'Set up'!$A$2:$C$70,2,FALSE)</f>
        <v>C00000042</v>
      </c>
      <c r="F4958" s="150" t="s">
        <v>2012</v>
      </c>
      <c r="G4958" s="150" t="s">
        <v>46</v>
      </c>
      <c r="H4958" s="150">
        <v>4</v>
      </c>
      <c r="I4958" s="5" t="str">
        <f>VLOOKUP(F4958,'Set up'!$A$2:$C$70,3,FALSE)</f>
        <v>Cash</v>
      </c>
      <c r="J4958" s="5">
        <f>VLOOKUP(F4958,'Set up'!$A$2:$D$70,4,FALSE)</f>
        <v>0</v>
      </c>
      <c r="K4958" s="4">
        <f t="shared" si="1129"/>
        <v>46045</v>
      </c>
      <c r="L4958" s="5">
        <f t="shared" si="1130"/>
        <v>1</v>
      </c>
      <c r="M4958" s="5">
        <f t="shared" si="1131"/>
        <v>2026</v>
      </c>
      <c r="N4958" s="168">
        <v>460</v>
      </c>
      <c r="P4958" s="12"/>
      <c r="Q4958" s="7">
        <f t="shared" si="1132"/>
        <v>8167346.0500000129</v>
      </c>
      <c r="R4958" s="44" t="str">
        <f>VLOOKUP(F4958,'Set up'!$A$2:$E$70,5,FALSE)</f>
        <v>Trsf</v>
      </c>
    </row>
    <row r="4959" spans="1:18" ht="16.8" customHeight="1" x14ac:dyDescent="0.3">
      <c r="A4959" s="150" t="s">
        <v>4440</v>
      </c>
      <c r="B4959" s="5">
        <f t="shared" si="1127"/>
        <v>1</v>
      </c>
      <c r="C4959" s="5">
        <f t="shared" si="1128"/>
        <v>2026</v>
      </c>
      <c r="D4959" s="150" t="s">
        <v>4474</v>
      </c>
      <c r="E4959" s="5" t="e">
        <f>VLOOKUP(F4959,'Set up'!$A$2:$C$70,2,FALSE)</f>
        <v>#N/A</v>
      </c>
      <c r="F4959" s="150" t="s">
        <v>4130</v>
      </c>
      <c r="G4959" s="150" t="s">
        <v>3122</v>
      </c>
      <c r="H4959" s="150">
        <v>1</v>
      </c>
      <c r="I4959" s="5" t="e">
        <f>VLOOKUP(F4959,'Set up'!$A$2:$C$70,3,FALSE)</f>
        <v>#N/A</v>
      </c>
      <c r="J4959" s="5" t="e">
        <f>VLOOKUP(F4959,'Set up'!$A$2:$D$70,4,FALSE)</f>
        <v>#N/A</v>
      </c>
      <c r="K4959" s="4" t="e">
        <f t="shared" si="1129"/>
        <v>#N/A</v>
      </c>
      <c r="L4959" s="5" t="e">
        <f t="shared" si="1130"/>
        <v>#N/A</v>
      </c>
      <c r="M4959" s="5" t="e">
        <f t="shared" si="1131"/>
        <v>#N/A</v>
      </c>
      <c r="N4959" s="168">
        <v>1687.5</v>
      </c>
      <c r="P4959" s="12"/>
      <c r="Q4959" s="7">
        <f t="shared" si="1132"/>
        <v>8169033.5500000129</v>
      </c>
      <c r="R4959" s="44" t="e">
        <f>VLOOKUP(F4959,'Set up'!$A$2:$E$70,5,FALSE)</f>
        <v>#N/A</v>
      </c>
    </row>
    <row r="4960" spans="1:18" ht="16.8" customHeight="1" x14ac:dyDescent="0.3">
      <c r="A4960" s="150" t="s">
        <v>4440</v>
      </c>
      <c r="B4960" s="5">
        <f t="shared" si="1127"/>
        <v>1</v>
      </c>
      <c r="C4960" s="5">
        <f t="shared" si="1128"/>
        <v>2026</v>
      </c>
      <c r="D4960" s="150" t="s">
        <v>4474</v>
      </c>
      <c r="E4960" s="5" t="e">
        <f>VLOOKUP(F4960,'Set up'!$A$2:$C$70,2,FALSE)</f>
        <v>#N/A</v>
      </c>
      <c r="F4960" s="150" t="s">
        <v>4130</v>
      </c>
      <c r="G4960" s="150" t="s">
        <v>707</v>
      </c>
      <c r="H4960" s="150">
        <v>1</v>
      </c>
      <c r="I4960" s="5" t="e">
        <f>VLOOKUP(F4960,'Set up'!$A$2:$C$70,3,FALSE)</f>
        <v>#N/A</v>
      </c>
      <c r="J4960" s="5" t="e">
        <f>VLOOKUP(F4960,'Set up'!$A$2:$D$70,4,FALSE)</f>
        <v>#N/A</v>
      </c>
      <c r="K4960" s="4" t="e">
        <f t="shared" si="1129"/>
        <v>#N/A</v>
      </c>
      <c r="L4960" s="5" t="e">
        <f t="shared" si="1130"/>
        <v>#N/A</v>
      </c>
      <c r="M4960" s="5" t="e">
        <f t="shared" si="1131"/>
        <v>#N/A</v>
      </c>
      <c r="N4960" s="168">
        <v>394.2</v>
      </c>
      <c r="P4960" s="12"/>
      <c r="Q4960" s="7">
        <f t="shared" si="1132"/>
        <v>8169427.750000013</v>
      </c>
      <c r="R4960" s="44" t="e">
        <f>VLOOKUP(F4960,'Set up'!$A$2:$E$70,5,FALSE)</f>
        <v>#N/A</v>
      </c>
    </row>
    <row r="4961" spans="1:18" ht="16.8" customHeight="1" x14ac:dyDescent="0.3">
      <c r="A4961" s="150" t="s">
        <v>4440</v>
      </c>
      <c r="B4961" s="5">
        <f t="shared" si="1127"/>
        <v>1</v>
      </c>
      <c r="C4961" s="5">
        <f t="shared" si="1128"/>
        <v>2026</v>
      </c>
      <c r="D4961" s="150" t="s">
        <v>4474</v>
      </c>
      <c r="E4961" s="5" t="e">
        <f>VLOOKUP(F4961,'Set up'!$A$2:$C$70,2,FALSE)</f>
        <v>#N/A</v>
      </c>
      <c r="F4961" s="150" t="s">
        <v>4130</v>
      </c>
      <c r="G4961" s="150" t="s">
        <v>2556</v>
      </c>
      <c r="H4961" s="150">
        <v>1</v>
      </c>
      <c r="I4961" s="5" t="e">
        <f>VLOOKUP(F4961,'Set up'!$A$2:$C$70,3,FALSE)</f>
        <v>#N/A</v>
      </c>
      <c r="J4961" s="5" t="e">
        <f>VLOOKUP(F4961,'Set up'!$A$2:$D$70,4,FALSE)</f>
        <v>#N/A</v>
      </c>
      <c r="K4961" s="4" t="e">
        <f t="shared" si="1129"/>
        <v>#N/A</v>
      </c>
      <c r="L4961" s="5" t="e">
        <f t="shared" si="1130"/>
        <v>#N/A</v>
      </c>
      <c r="M4961" s="5" t="e">
        <f t="shared" si="1131"/>
        <v>#N/A</v>
      </c>
      <c r="N4961" s="168">
        <v>394.2</v>
      </c>
      <c r="P4961" s="12"/>
      <c r="Q4961" s="7">
        <f t="shared" si="1132"/>
        <v>8169821.9500000132</v>
      </c>
      <c r="R4961" s="44" t="e">
        <f>VLOOKUP(F4961,'Set up'!$A$2:$E$70,5,FALSE)</f>
        <v>#N/A</v>
      </c>
    </row>
    <row r="4962" spans="1:18" ht="16.8" customHeight="1" x14ac:dyDescent="0.3">
      <c r="A4962" s="150" t="s">
        <v>4440</v>
      </c>
      <c r="B4962" s="5">
        <f t="shared" si="1127"/>
        <v>1</v>
      </c>
      <c r="C4962" s="5">
        <f t="shared" si="1128"/>
        <v>2026</v>
      </c>
      <c r="D4962" s="150" t="s">
        <v>4474</v>
      </c>
      <c r="E4962" s="5" t="e">
        <f>VLOOKUP(F4962,'Set up'!$A$2:$C$70,2,FALSE)</f>
        <v>#N/A</v>
      </c>
      <c r="F4962" s="150" t="s">
        <v>4130</v>
      </c>
      <c r="G4962" s="150" t="s">
        <v>2144</v>
      </c>
      <c r="H4962" s="150">
        <v>1</v>
      </c>
      <c r="I4962" s="5" t="e">
        <f>VLOOKUP(F4962,'Set up'!$A$2:$C$70,3,FALSE)</f>
        <v>#N/A</v>
      </c>
      <c r="J4962" s="5" t="e">
        <f>VLOOKUP(F4962,'Set up'!$A$2:$D$70,4,FALSE)</f>
        <v>#N/A</v>
      </c>
      <c r="K4962" s="4" t="e">
        <f t="shared" si="1129"/>
        <v>#N/A</v>
      </c>
      <c r="L4962" s="5" t="e">
        <f t="shared" si="1130"/>
        <v>#N/A</v>
      </c>
      <c r="M4962" s="5" t="e">
        <f t="shared" si="1131"/>
        <v>#N/A</v>
      </c>
      <c r="N4962" s="168">
        <v>286</v>
      </c>
      <c r="P4962" s="12"/>
      <c r="Q4962" s="7">
        <f t="shared" si="1132"/>
        <v>8170107.9500000132</v>
      </c>
      <c r="R4962" s="44" t="e">
        <f>VLOOKUP(F4962,'Set up'!$A$2:$E$70,5,FALSE)</f>
        <v>#N/A</v>
      </c>
    </row>
    <row r="4963" spans="1:18" ht="16.8" customHeight="1" x14ac:dyDescent="0.3">
      <c r="A4963" s="150" t="s">
        <v>4440</v>
      </c>
      <c r="B4963" s="5">
        <f t="shared" si="1127"/>
        <v>1</v>
      </c>
      <c r="C4963" s="5">
        <f t="shared" si="1128"/>
        <v>2026</v>
      </c>
      <c r="D4963" s="150" t="s">
        <v>4474</v>
      </c>
      <c r="E4963" s="5" t="e">
        <f>VLOOKUP(F4963,'Set up'!$A$2:$C$70,2,FALSE)</f>
        <v>#N/A</v>
      </c>
      <c r="F4963" s="150" t="s">
        <v>4130</v>
      </c>
      <c r="G4963" s="150" t="s">
        <v>4204</v>
      </c>
      <c r="H4963" s="150">
        <v>2</v>
      </c>
      <c r="I4963" s="5" t="e">
        <f>VLOOKUP(F4963,'Set up'!$A$2:$C$70,3,FALSE)</f>
        <v>#N/A</v>
      </c>
      <c r="J4963" s="5" t="e">
        <f>VLOOKUP(F4963,'Set up'!$A$2:$D$70,4,FALSE)</f>
        <v>#N/A</v>
      </c>
      <c r="K4963" s="4" t="e">
        <f t="shared" si="1129"/>
        <v>#N/A</v>
      </c>
      <c r="L4963" s="5" t="e">
        <f t="shared" si="1130"/>
        <v>#N/A</v>
      </c>
      <c r="M4963" s="5" t="e">
        <f t="shared" si="1131"/>
        <v>#N/A</v>
      </c>
      <c r="N4963" s="168">
        <v>320</v>
      </c>
      <c r="P4963" s="12"/>
      <c r="Q4963" s="7">
        <f t="shared" si="1132"/>
        <v>8170427.9500000132</v>
      </c>
      <c r="R4963" s="44" t="e">
        <f>VLOOKUP(F4963,'Set up'!$A$2:$E$70,5,FALSE)</f>
        <v>#N/A</v>
      </c>
    </row>
    <row r="4964" spans="1:18" ht="16.8" customHeight="1" x14ac:dyDescent="0.3">
      <c r="A4964" s="150" t="s">
        <v>4440</v>
      </c>
      <c r="B4964" s="5">
        <f t="shared" si="1127"/>
        <v>1</v>
      </c>
      <c r="C4964" s="5">
        <f t="shared" si="1128"/>
        <v>2026</v>
      </c>
      <c r="D4964" s="150" t="s">
        <v>4474</v>
      </c>
      <c r="E4964" s="5" t="e">
        <f>VLOOKUP(F4964,'Set up'!$A$2:$C$70,2,FALSE)</f>
        <v>#N/A</v>
      </c>
      <c r="F4964" s="150" t="s">
        <v>4130</v>
      </c>
      <c r="G4964" s="150" t="s">
        <v>945</v>
      </c>
      <c r="H4964" s="150">
        <v>1</v>
      </c>
      <c r="I4964" s="5" t="e">
        <f>VLOOKUP(F4964,'Set up'!$A$2:$C$70,3,FALSE)</f>
        <v>#N/A</v>
      </c>
      <c r="J4964" s="5" t="e">
        <f>VLOOKUP(F4964,'Set up'!$A$2:$D$70,4,FALSE)</f>
        <v>#N/A</v>
      </c>
      <c r="K4964" s="4" t="e">
        <f t="shared" si="1129"/>
        <v>#N/A</v>
      </c>
      <c r="L4964" s="5" t="e">
        <f t="shared" si="1130"/>
        <v>#N/A</v>
      </c>
      <c r="M4964" s="5" t="e">
        <f t="shared" si="1131"/>
        <v>#N/A</v>
      </c>
      <c r="N4964" s="168">
        <v>120</v>
      </c>
      <c r="P4964" s="12"/>
      <c r="Q4964" s="7">
        <f t="shared" si="1132"/>
        <v>8170547.9500000132</v>
      </c>
      <c r="R4964" s="44" t="e">
        <f>VLOOKUP(F4964,'Set up'!$A$2:$E$70,5,FALSE)</f>
        <v>#N/A</v>
      </c>
    </row>
    <row r="4965" spans="1:18" ht="16.8" customHeight="1" x14ac:dyDescent="0.3">
      <c r="A4965" s="150" t="s">
        <v>4440</v>
      </c>
      <c r="B4965" s="5">
        <f t="shared" si="1127"/>
        <v>1</v>
      </c>
      <c r="C4965" s="5">
        <f t="shared" si="1128"/>
        <v>2026</v>
      </c>
      <c r="D4965" s="150" t="s">
        <v>4474</v>
      </c>
      <c r="E4965" s="5" t="e">
        <f>VLOOKUP(F4965,'Set up'!$A$2:$C$70,2,FALSE)</f>
        <v>#N/A</v>
      </c>
      <c r="F4965" s="150" t="s">
        <v>4130</v>
      </c>
      <c r="G4965" s="150" t="s">
        <v>2646</v>
      </c>
      <c r="H4965" s="150">
        <v>2</v>
      </c>
      <c r="I4965" s="5" t="e">
        <f>VLOOKUP(F4965,'Set up'!$A$2:$C$70,3,FALSE)</f>
        <v>#N/A</v>
      </c>
      <c r="J4965" s="5" t="e">
        <f>VLOOKUP(F4965,'Set up'!$A$2:$D$70,4,FALSE)</f>
        <v>#N/A</v>
      </c>
      <c r="K4965" s="4" t="e">
        <f t="shared" si="1129"/>
        <v>#N/A</v>
      </c>
      <c r="L4965" s="5" t="e">
        <f t="shared" si="1130"/>
        <v>#N/A</v>
      </c>
      <c r="M4965" s="5" t="e">
        <f t="shared" si="1131"/>
        <v>#N/A</v>
      </c>
      <c r="N4965" s="168">
        <v>125</v>
      </c>
      <c r="P4965" s="12"/>
      <c r="Q4965" s="7">
        <f t="shared" si="1132"/>
        <v>8170672.9500000132</v>
      </c>
      <c r="R4965" s="44" t="e">
        <f>VLOOKUP(F4965,'Set up'!$A$2:$E$70,5,FALSE)</f>
        <v>#N/A</v>
      </c>
    </row>
    <row r="4966" spans="1:18" ht="16.8" customHeight="1" x14ac:dyDescent="0.3">
      <c r="A4966" s="150" t="s">
        <v>4441</v>
      </c>
      <c r="B4966" s="5">
        <f t="shared" si="1127"/>
        <v>1</v>
      </c>
      <c r="C4966" s="5">
        <f t="shared" si="1128"/>
        <v>2026</v>
      </c>
      <c r="D4966" s="150" t="s">
        <v>4475</v>
      </c>
      <c r="E4966" s="5" t="str">
        <f>VLOOKUP(F4966,'Set up'!$A$2:$C$70,2,FALSE)</f>
        <v>C00000019</v>
      </c>
      <c r="F4966" s="150" t="s">
        <v>400</v>
      </c>
      <c r="G4966" s="150" t="s">
        <v>3122</v>
      </c>
      <c r="H4966" s="150">
        <v>1</v>
      </c>
      <c r="I4966" s="5" t="str">
        <f>VLOOKUP(F4966,'Set up'!$A$2:$C$70,3,FALSE)</f>
        <v>Cash</v>
      </c>
      <c r="J4966" s="5">
        <f>VLOOKUP(F4966,'Set up'!$A$2:$D$70,4,FALSE)</f>
        <v>0</v>
      </c>
      <c r="K4966" s="4">
        <f t="shared" si="1129"/>
        <v>46046</v>
      </c>
      <c r="L4966" s="5">
        <f t="shared" si="1130"/>
        <v>1</v>
      </c>
      <c r="M4966" s="5">
        <f t="shared" si="1131"/>
        <v>2026</v>
      </c>
      <c r="N4966" s="168">
        <v>1687.5</v>
      </c>
      <c r="P4966" s="12"/>
      <c r="Q4966" s="7">
        <f t="shared" si="1132"/>
        <v>8172360.4500000132</v>
      </c>
      <c r="R4966" s="44" t="str">
        <f>VLOOKUP(F4966,'Set up'!$A$2:$E$70,5,FALSE)</f>
        <v>Trsf</v>
      </c>
    </row>
    <row r="4967" spans="1:18" ht="16.8" customHeight="1" x14ac:dyDescent="0.3">
      <c r="A4967" s="150" t="s">
        <v>4441</v>
      </c>
      <c r="B4967" s="5">
        <f t="shared" si="1127"/>
        <v>1</v>
      </c>
      <c r="C4967" s="5">
        <f t="shared" si="1128"/>
        <v>2026</v>
      </c>
      <c r="D4967" s="150" t="s">
        <v>4475</v>
      </c>
      <c r="E4967" s="5" t="str">
        <f>VLOOKUP(F4967,'Set up'!$A$2:$C$70,2,FALSE)</f>
        <v>C00000019</v>
      </c>
      <c r="F4967" s="150" t="s">
        <v>400</v>
      </c>
      <c r="G4967" s="150" t="s">
        <v>1411</v>
      </c>
      <c r="H4967" s="150">
        <v>1</v>
      </c>
      <c r="I4967" s="5" t="str">
        <f>VLOOKUP(F4967,'Set up'!$A$2:$C$70,3,FALSE)</f>
        <v>Cash</v>
      </c>
      <c r="J4967" s="5">
        <f>VLOOKUP(F4967,'Set up'!$A$2:$D$70,4,FALSE)</f>
        <v>0</v>
      </c>
      <c r="K4967" s="4">
        <f t="shared" si="1129"/>
        <v>46046</v>
      </c>
      <c r="L4967" s="5">
        <f t="shared" si="1130"/>
        <v>1</v>
      </c>
      <c r="M4967" s="5">
        <f t="shared" si="1131"/>
        <v>2026</v>
      </c>
      <c r="N4967" s="168">
        <v>388.8</v>
      </c>
      <c r="P4967" s="12"/>
      <c r="Q4967" s="7">
        <f t="shared" si="1132"/>
        <v>8172749.250000013</v>
      </c>
      <c r="R4967" s="44" t="str">
        <f>VLOOKUP(F4967,'Set up'!$A$2:$E$70,5,FALSE)</f>
        <v>Trsf</v>
      </c>
    </row>
    <row r="4968" spans="1:18" ht="16.8" customHeight="1" x14ac:dyDescent="0.3">
      <c r="A4968" s="150" t="s">
        <v>4442</v>
      </c>
      <c r="B4968" s="5">
        <f t="shared" si="1127"/>
        <v>1</v>
      </c>
      <c r="C4968" s="5">
        <f t="shared" si="1128"/>
        <v>2026</v>
      </c>
      <c r="D4968" s="150" t="s">
        <v>4476</v>
      </c>
      <c r="E4968" s="5" t="str">
        <f>VLOOKUP(F4968,'Set up'!$A$2:$C$70,2,FALSE)</f>
        <v>C00000044</v>
      </c>
      <c r="F4968" s="150" t="s">
        <v>2929</v>
      </c>
      <c r="G4968" s="150" t="s">
        <v>3122</v>
      </c>
      <c r="H4968" s="150">
        <v>1</v>
      </c>
      <c r="I4968" s="5" t="str">
        <f>VLOOKUP(F4968,'Set up'!$A$2:$C$70,3,FALSE)</f>
        <v>Cash</v>
      </c>
      <c r="J4968" s="5">
        <f>VLOOKUP(F4968,'Set up'!$A$2:$D$70,4,FALSE)</f>
        <v>0</v>
      </c>
      <c r="K4968" s="4">
        <f t="shared" si="1129"/>
        <v>46048</v>
      </c>
      <c r="L4968" s="5">
        <f t="shared" si="1130"/>
        <v>1</v>
      </c>
      <c r="M4968" s="5">
        <f t="shared" si="1131"/>
        <v>2026</v>
      </c>
      <c r="N4968" s="168">
        <v>1687.5</v>
      </c>
      <c r="P4968" s="12"/>
      <c r="Q4968" s="7">
        <f t="shared" si="1132"/>
        <v>8174436.750000013</v>
      </c>
      <c r="R4968" s="44" t="str">
        <f>VLOOKUP(F4968,'Set up'!$A$2:$E$70,5,FALSE)</f>
        <v>Cash</v>
      </c>
    </row>
    <row r="4969" spans="1:18" ht="16.8" customHeight="1" x14ac:dyDescent="0.3">
      <c r="A4969" s="150" t="s">
        <v>4442</v>
      </c>
      <c r="B4969" s="5">
        <f t="shared" si="1127"/>
        <v>1</v>
      </c>
      <c r="C4969" s="5">
        <f t="shared" si="1128"/>
        <v>2026</v>
      </c>
      <c r="D4969" s="150" t="s">
        <v>4476</v>
      </c>
      <c r="E4969" s="5" t="str">
        <f>VLOOKUP(F4969,'Set up'!$A$2:$C$70,2,FALSE)</f>
        <v>C00000044</v>
      </c>
      <c r="F4969" s="150" t="s">
        <v>2929</v>
      </c>
      <c r="G4969" s="150" t="s">
        <v>2570</v>
      </c>
      <c r="H4969" s="150">
        <v>3</v>
      </c>
      <c r="I4969" s="5" t="str">
        <f>VLOOKUP(F4969,'Set up'!$A$2:$C$70,3,FALSE)</f>
        <v>Cash</v>
      </c>
      <c r="J4969" s="5">
        <f>VLOOKUP(F4969,'Set up'!$A$2:$D$70,4,FALSE)</f>
        <v>0</v>
      </c>
      <c r="K4969" s="4">
        <f t="shared" si="1129"/>
        <v>46048</v>
      </c>
      <c r="L4969" s="5">
        <f t="shared" si="1130"/>
        <v>1</v>
      </c>
      <c r="M4969" s="5">
        <f t="shared" si="1131"/>
        <v>2026</v>
      </c>
      <c r="N4969" s="168">
        <v>648</v>
      </c>
      <c r="P4969" s="12"/>
      <c r="Q4969" s="7">
        <f t="shared" si="1132"/>
        <v>8175084.750000013</v>
      </c>
      <c r="R4969" s="44" t="str">
        <f>VLOOKUP(F4969,'Set up'!$A$2:$E$70,5,FALSE)</f>
        <v>Cash</v>
      </c>
    </row>
    <row r="4970" spans="1:18" ht="16.8" customHeight="1" x14ac:dyDescent="0.3">
      <c r="A4970" s="150" t="s">
        <v>4442</v>
      </c>
      <c r="B4970" s="5">
        <f t="shared" si="1127"/>
        <v>1</v>
      </c>
      <c r="C4970" s="5">
        <f t="shared" si="1128"/>
        <v>2026</v>
      </c>
      <c r="D4970" s="150" t="s">
        <v>4476</v>
      </c>
      <c r="E4970" s="5" t="str">
        <f>VLOOKUP(F4970,'Set up'!$A$2:$C$70,2,FALSE)</f>
        <v>C00000044</v>
      </c>
      <c r="F4970" s="150" t="s">
        <v>2929</v>
      </c>
      <c r="G4970" s="150" t="s">
        <v>46</v>
      </c>
      <c r="H4970" s="150">
        <v>1</v>
      </c>
      <c r="I4970" s="5" t="str">
        <f>VLOOKUP(F4970,'Set up'!$A$2:$C$70,3,FALSE)</f>
        <v>Cash</v>
      </c>
      <c r="J4970" s="5">
        <f>VLOOKUP(F4970,'Set up'!$A$2:$D$70,4,FALSE)</f>
        <v>0</v>
      </c>
      <c r="K4970" s="4">
        <f t="shared" si="1129"/>
        <v>46048</v>
      </c>
      <c r="L4970" s="5">
        <f t="shared" si="1130"/>
        <v>1</v>
      </c>
      <c r="M4970" s="5">
        <f t="shared" si="1131"/>
        <v>2026</v>
      </c>
      <c r="N4970" s="168">
        <v>115</v>
      </c>
      <c r="P4970" s="12"/>
      <c r="Q4970" s="7">
        <f t="shared" si="1132"/>
        <v>8175199.750000013</v>
      </c>
      <c r="R4970" s="44" t="str">
        <f>VLOOKUP(F4970,'Set up'!$A$2:$E$70,5,FALSE)</f>
        <v>Cash</v>
      </c>
    </row>
    <row r="4971" spans="1:18" ht="16.8" customHeight="1" x14ac:dyDescent="0.3">
      <c r="A4971" s="150" t="s">
        <v>4443</v>
      </c>
      <c r="B4971" s="5">
        <f t="shared" si="1127"/>
        <v>1</v>
      </c>
      <c r="C4971" s="5">
        <f t="shared" si="1128"/>
        <v>2026</v>
      </c>
      <c r="D4971" s="150" t="s">
        <v>4477</v>
      </c>
      <c r="E4971" s="5" t="str">
        <f>VLOOKUP(F4971,'Set up'!$A$2:$C$70,2,FALSE)</f>
        <v>C00000042</v>
      </c>
      <c r="F4971" s="150" t="s">
        <v>2012</v>
      </c>
      <c r="G4971" s="150" t="s">
        <v>3122</v>
      </c>
      <c r="H4971" s="150">
        <v>1</v>
      </c>
      <c r="I4971" s="5" t="str">
        <f>VLOOKUP(F4971,'Set up'!$A$2:$C$70,3,FALSE)</f>
        <v>Cash</v>
      </c>
      <c r="J4971" s="5">
        <f>VLOOKUP(F4971,'Set up'!$A$2:$D$70,4,FALSE)</f>
        <v>0</v>
      </c>
      <c r="K4971" s="4">
        <f t="shared" si="1129"/>
        <v>46049</v>
      </c>
      <c r="L4971" s="5">
        <f t="shared" si="1130"/>
        <v>1</v>
      </c>
      <c r="M4971" s="5">
        <f t="shared" si="1131"/>
        <v>2026</v>
      </c>
      <c r="N4971" s="168">
        <v>1485</v>
      </c>
      <c r="P4971" s="12"/>
      <c r="Q4971" s="7">
        <f t="shared" si="1132"/>
        <v>8176684.750000013</v>
      </c>
      <c r="R4971" s="44" t="str">
        <f>VLOOKUP(F4971,'Set up'!$A$2:$E$70,5,FALSE)</f>
        <v>Trsf</v>
      </c>
    </row>
    <row r="4972" spans="1:18" ht="16.8" customHeight="1" x14ac:dyDescent="0.3">
      <c r="A4972" s="150" t="s">
        <v>4442</v>
      </c>
      <c r="B4972" s="5">
        <f t="shared" si="1127"/>
        <v>1</v>
      </c>
      <c r="C4972" s="5">
        <f t="shared" si="1128"/>
        <v>2026</v>
      </c>
      <c r="D4972" s="150" t="s">
        <v>4478</v>
      </c>
      <c r="E4972" s="5" t="str">
        <f>VLOOKUP(F4972,'Set up'!$A$2:$C$70,2,FALSE)</f>
        <v>C00000050</v>
      </c>
      <c r="F4972" s="150" t="s">
        <v>2656</v>
      </c>
      <c r="G4972" s="150" t="s">
        <v>3615</v>
      </c>
      <c r="H4972" s="150">
        <v>1</v>
      </c>
      <c r="I4972" s="5" t="str">
        <f>VLOOKUP(F4972,'Set up'!$A$2:$C$70,3,FALSE)</f>
        <v>Cash</v>
      </c>
      <c r="J4972" s="5">
        <f>VLOOKUP(F4972,'Set up'!$A$2:$D$70,4,FALSE)</f>
        <v>0</v>
      </c>
      <c r="K4972" s="4">
        <f t="shared" si="1129"/>
        <v>46048</v>
      </c>
      <c r="L4972" s="5">
        <f t="shared" si="1130"/>
        <v>1</v>
      </c>
      <c r="M4972" s="5">
        <f t="shared" si="1131"/>
        <v>2026</v>
      </c>
      <c r="N4972" s="168">
        <v>1642.5</v>
      </c>
      <c r="P4972" s="12"/>
      <c r="Q4972" s="7">
        <f t="shared" si="1132"/>
        <v>8178327.250000013</v>
      </c>
      <c r="R4972" s="44" t="str">
        <f>VLOOKUP(F4972,'Set up'!$A$2:$E$70,5,FALSE)</f>
        <v>Cash</v>
      </c>
    </row>
    <row r="4973" spans="1:18" ht="16.8" customHeight="1" x14ac:dyDescent="0.3">
      <c r="A4973" s="150" t="s">
        <v>4442</v>
      </c>
      <c r="B4973" s="5">
        <f t="shared" si="1127"/>
        <v>1</v>
      </c>
      <c r="C4973" s="5">
        <f t="shared" si="1128"/>
        <v>2026</v>
      </c>
      <c r="D4973" s="150" t="s">
        <v>4478</v>
      </c>
      <c r="E4973" s="5" t="str">
        <f>VLOOKUP(F4973,'Set up'!$A$2:$C$70,2,FALSE)</f>
        <v>C00000050</v>
      </c>
      <c r="F4973" s="150" t="s">
        <v>2656</v>
      </c>
      <c r="G4973" s="150" t="s">
        <v>2129</v>
      </c>
      <c r="H4973" s="150">
        <v>1</v>
      </c>
      <c r="I4973" s="5" t="str">
        <f>VLOOKUP(F4973,'Set up'!$A$2:$C$70,3,FALSE)</f>
        <v>Cash</v>
      </c>
      <c r="J4973" s="5">
        <f>VLOOKUP(F4973,'Set up'!$A$2:$D$70,4,FALSE)</f>
        <v>0</v>
      </c>
      <c r="K4973" s="4">
        <f t="shared" si="1129"/>
        <v>46048</v>
      </c>
      <c r="L4973" s="5">
        <f t="shared" si="1130"/>
        <v>1</v>
      </c>
      <c r="M4973" s="5">
        <f t="shared" si="1131"/>
        <v>2026</v>
      </c>
      <c r="N4973" s="168">
        <v>266.39999999999998</v>
      </c>
      <c r="P4973" s="12"/>
      <c r="Q4973" s="7">
        <f t="shared" si="1132"/>
        <v>8178593.6500000134</v>
      </c>
      <c r="R4973" s="44" t="str">
        <f>VLOOKUP(F4973,'Set up'!$A$2:$E$70,5,FALSE)</f>
        <v>Cash</v>
      </c>
    </row>
    <row r="4974" spans="1:18" ht="16.8" customHeight="1" x14ac:dyDescent="0.3">
      <c r="A4974" s="150" t="s">
        <v>4442</v>
      </c>
      <c r="B4974" s="5">
        <f t="shared" si="1127"/>
        <v>1</v>
      </c>
      <c r="C4974" s="5">
        <f t="shared" si="1128"/>
        <v>2026</v>
      </c>
      <c r="D4974" s="150" t="s">
        <v>4478</v>
      </c>
      <c r="E4974" s="5" t="str">
        <f>VLOOKUP(F4974,'Set up'!$A$2:$C$70,2,FALSE)</f>
        <v>C00000050</v>
      </c>
      <c r="F4974" s="150" t="s">
        <v>2656</v>
      </c>
      <c r="G4974" s="150" t="s">
        <v>945</v>
      </c>
      <c r="H4974" s="150">
        <v>1</v>
      </c>
      <c r="I4974" s="5" t="str">
        <f>VLOOKUP(F4974,'Set up'!$A$2:$C$70,3,FALSE)</f>
        <v>Cash</v>
      </c>
      <c r="J4974" s="5">
        <f>VLOOKUP(F4974,'Set up'!$A$2:$D$70,4,FALSE)</f>
        <v>0</v>
      </c>
      <c r="K4974" s="4">
        <f t="shared" si="1129"/>
        <v>46048</v>
      </c>
      <c r="L4974" s="5">
        <f t="shared" si="1130"/>
        <v>1</v>
      </c>
      <c r="M4974" s="5">
        <f t="shared" si="1131"/>
        <v>2026</v>
      </c>
      <c r="N4974" s="168">
        <v>115</v>
      </c>
      <c r="P4974" s="12"/>
      <c r="Q4974" s="7">
        <f t="shared" si="1132"/>
        <v>8178708.6500000134</v>
      </c>
      <c r="R4974" s="44" t="str">
        <f>VLOOKUP(F4974,'Set up'!$A$2:$E$70,5,FALSE)</f>
        <v>Cash</v>
      </c>
    </row>
    <row r="4975" spans="1:18" ht="16.8" customHeight="1" x14ac:dyDescent="0.3">
      <c r="A4975" s="150" t="s">
        <v>4442</v>
      </c>
      <c r="B4975" s="5">
        <f t="shared" si="1127"/>
        <v>1</v>
      </c>
      <c r="C4975" s="5">
        <f t="shared" si="1128"/>
        <v>2026</v>
      </c>
      <c r="D4975" s="150" t="s">
        <v>4478</v>
      </c>
      <c r="E4975" s="5" t="str">
        <f>VLOOKUP(F4975,'Set up'!$A$2:$C$70,2,FALSE)</f>
        <v>C00000050</v>
      </c>
      <c r="F4975" s="150" t="s">
        <v>2656</v>
      </c>
      <c r="G4975" s="150" t="s">
        <v>2646</v>
      </c>
      <c r="H4975" s="150">
        <v>5</v>
      </c>
      <c r="I4975" s="5" t="str">
        <f>VLOOKUP(F4975,'Set up'!$A$2:$C$70,3,FALSE)</f>
        <v>Cash</v>
      </c>
      <c r="J4975" s="5">
        <f>VLOOKUP(F4975,'Set up'!$A$2:$D$70,4,FALSE)</f>
        <v>0</v>
      </c>
      <c r="K4975" s="4">
        <f t="shared" si="1129"/>
        <v>46048</v>
      </c>
      <c r="L4975" s="5">
        <f t="shared" si="1130"/>
        <v>1</v>
      </c>
      <c r="M4975" s="5">
        <f t="shared" si="1131"/>
        <v>2026</v>
      </c>
      <c r="N4975" s="168">
        <v>312.5</v>
      </c>
      <c r="P4975" s="12"/>
      <c r="Q4975" s="7">
        <f t="shared" si="1132"/>
        <v>8179021.1500000134</v>
      </c>
      <c r="R4975" s="44" t="str">
        <f>VLOOKUP(F4975,'Set up'!$A$2:$E$70,5,FALSE)</f>
        <v>Cash</v>
      </c>
    </row>
    <row r="4976" spans="1:18" ht="16.8" customHeight="1" x14ac:dyDescent="0.3">
      <c r="A4976" s="150" t="s">
        <v>4444</v>
      </c>
      <c r="B4976" s="5">
        <f t="shared" si="1127"/>
        <v>1</v>
      </c>
      <c r="C4976" s="5">
        <f t="shared" si="1128"/>
        <v>2026</v>
      </c>
      <c r="D4976" s="150" t="s">
        <v>4479</v>
      </c>
      <c r="E4976" s="5" t="str">
        <f>VLOOKUP(F4976,'Set up'!$A$2:$C$70,2,FALSE)</f>
        <v>C00000042</v>
      </c>
      <c r="F4976" s="150" t="s">
        <v>2012</v>
      </c>
      <c r="G4976" s="150" t="s">
        <v>2646</v>
      </c>
      <c r="H4976" s="150">
        <v>2</v>
      </c>
      <c r="I4976" s="5" t="str">
        <f>VLOOKUP(F4976,'Set up'!$A$2:$C$70,3,FALSE)</f>
        <v>Cash</v>
      </c>
      <c r="J4976" s="5">
        <f>VLOOKUP(F4976,'Set up'!$A$2:$D$70,4,FALSE)</f>
        <v>0</v>
      </c>
      <c r="K4976" s="4">
        <f t="shared" si="1129"/>
        <v>46050</v>
      </c>
      <c r="L4976" s="5">
        <f t="shared" si="1130"/>
        <v>1</v>
      </c>
      <c r="M4976" s="5">
        <f t="shared" si="1131"/>
        <v>2026</v>
      </c>
      <c r="N4976" s="168">
        <v>125</v>
      </c>
      <c r="P4976" s="12"/>
      <c r="Q4976" s="7">
        <f t="shared" si="1132"/>
        <v>8179146.1500000134</v>
      </c>
      <c r="R4976" s="44" t="str">
        <f>VLOOKUP(F4976,'Set up'!$A$2:$E$70,5,FALSE)</f>
        <v>Trsf</v>
      </c>
    </row>
    <row r="4977" spans="1:18" ht="16.8" customHeight="1" x14ac:dyDescent="0.3">
      <c r="A4977" s="150" t="s">
        <v>4444</v>
      </c>
      <c r="B4977" s="5">
        <f t="shared" si="1127"/>
        <v>1</v>
      </c>
      <c r="C4977" s="5">
        <f t="shared" si="1128"/>
        <v>2026</v>
      </c>
      <c r="D4977" s="150" t="s">
        <v>4480</v>
      </c>
      <c r="E4977" s="5" t="str">
        <f>VLOOKUP(F4977,'Set up'!$A$2:$C$70,2,FALSE)</f>
        <v>C00000042</v>
      </c>
      <c r="F4977" s="150" t="s">
        <v>2012</v>
      </c>
      <c r="G4977" s="150" t="s">
        <v>3645</v>
      </c>
      <c r="H4977" s="150">
        <v>5</v>
      </c>
      <c r="I4977" s="5" t="str">
        <f>VLOOKUP(F4977,'Set up'!$A$2:$C$70,3,FALSE)</f>
        <v>Cash</v>
      </c>
      <c r="J4977" s="5">
        <f>VLOOKUP(F4977,'Set up'!$A$2:$D$70,4,FALSE)</f>
        <v>0</v>
      </c>
      <c r="K4977" s="4">
        <f t="shared" si="1129"/>
        <v>46050</v>
      </c>
      <c r="L4977" s="5">
        <f t="shared" si="1130"/>
        <v>1</v>
      </c>
      <c r="M4977" s="5">
        <f t="shared" si="1131"/>
        <v>2026</v>
      </c>
      <c r="N4977" s="168">
        <v>7425</v>
      </c>
      <c r="P4977" s="12"/>
      <c r="Q4977" s="7">
        <f t="shared" si="1132"/>
        <v>8186571.1500000134</v>
      </c>
      <c r="R4977" s="44" t="str">
        <f>VLOOKUP(F4977,'Set up'!$A$2:$E$70,5,FALSE)</f>
        <v>Trsf</v>
      </c>
    </row>
    <row r="4978" spans="1:18" ht="16.8" customHeight="1" x14ac:dyDescent="0.3">
      <c r="A4978" s="150" t="s">
        <v>4444</v>
      </c>
      <c r="B4978" s="5">
        <f t="shared" si="1127"/>
        <v>1</v>
      </c>
      <c r="C4978" s="5">
        <f t="shared" si="1128"/>
        <v>2026</v>
      </c>
      <c r="D4978" s="150" t="s">
        <v>4480</v>
      </c>
      <c r="E4978" s="5" t="str">
        <f>VLOOKUP(F4978,'Set up'!$A$2:$C$70,2,FALSE)</f>
        <v>C00000042</v>
      </c>
      <c r="F4978" s="150" t="s">
        <v>2012</v>
      </c>
      <c r="G4978" s="150" t="s">
        <v>1392</v>
      </c>
      <c r="H4978" s="150">
        <v>15</v>
      </c>
      <c r="I4978" s="5" t="str">
        <f>VLOOKUP(F4978,'Set up'!$A$2:$C$70,3,FALSE)</f>
        <v>Cash</v>
      </c>
      <c r="J4978" s="5">
        <f>VLOOKUP(F4978,'Set up'!$A$2:$D$70,4,FALSE)</f>
        <v>0</v>
      </c>
      <c r="K4978" s="4">
        <f t="shared" si="1129"/>
        <v>46050</v>
      </c>
      <c r="L4978" s="5">
        <f t="shared" si="1130"/>
        <v>1</v>
      </c>
      <c r="M4978" s="5">
        <f t="shared" si="1131"/>
        <v>2026</v>
      </c>
      <c r="N4978" s="168">
        <v>2655</v>
      </c>
      <c r="P4978" s="12"/>
      <c r="Q4978" s="7">
        <f t="shared" si="1132"/>
        <v>8189226.1500000134</v>
      </c>
      <c r="R4978" s="44" t="str">
        <f>VLOOKUP(F4978,'Set up'!$A$2:$E$70,5,FALSE)</f>
        <v>Trsf</v>
      </c>
    </row>
    <row r="4979" spans="1:18" ht="16.8" customHeight="1" x14ac:dyDescent="0.3">
      <c r="A4979" s="150" t="s">
        <v>4444</v>
      </c>
      <c r="B4979" s="5">
        <f t="shared" si="1127"/>
        <v>1</v>
      </c>
      <c r="C4979" s="5">
        <f t="shared" si="1128"/>
        <v>2026</v>
      </c>
      <c r="D4979" s="150" t="s">
        <v>4480</v>
      </c>
      <c r="E4979" s="5" t="str">
        <f>VLOOKUP(F4979,'Set up'!$A$2:$C$70,2,FALSE)</f>
        <v>C00000042</v>
      </c>
      <c r="F4979" s="150" t="s">
        <v>2012</v>
      </c>
      <c r="G4979" s="150" t="s">
        <v>1922</v>
      </c>
      <c r="H4979" s="150">
        <v>8</v>
      </c>
      <c r="I4979" s="5" t="str">
        <f>VLOOKUP(F4979,'Set up'!$A$2:$C$70,3,FALSE)</f>
        <v>Cash</v>
      </c>
      <c r="J4979" s="5">
        <f>VLOOKUP(F4979,'Set up'!$A$2:$D$70,4,FALSE)</f>
        <v>0</v>
      </c>
      <c r="K4979" s="4">
        <f t="shared" si="1129"/>
        <v>46050</v>
      </c>
      <c r="L4979" s="5">
        <f t="shared" si="1130"/>
        <v>1</v>
      </c>
      <c r="M4979" s="5">
        <f t="shared" si="1131"/>
        <v>2026</v>
      </c>
      <c r="N4979" s="168">
        <v>1836</v>
      </c>
      <c r="P4979" s="12"/>
      <c r="Q4979" s="7">
        <f t="shared" si="1132"/>
        <v>8191062.1500000134</v>
      </c>
      <c r="R4979" s="44" t="str">
        <f>VLOOKUP(F4979,'Set up'!$A$2:$E$70,5,FALSE)</f>
        <v>Trsf</v>
      </c>
    </row>
    <row r="4980" spans="1:18" ht="16.8" customHeight="1" x14ac:dyDescent="0.3">
      <c r="A4980" s="150" t="s">
        <v>4444</v>
      </c>
      <c r="B4980" s="5">
        <f t="shared" si="1127"/>
        <v>1</v>
      </c>
      <c r="C4980" s="5">
        <f t="shared" si="1128"/>
        <v>2026</v>
      </c>
      <c r="D4980" s="150" t="s">
        <v>4480</v>
      </c>
      <c r="E4980" s="5" t="str">
        <f>VLOOKUP(F4980,'Set up'!$A$2:$C$70,2,FALSE)</f>
        <v>C00000042</v>
      </c>
      <c r="F4980" s="150" t="s">
        <v>2012</v>
      </c>
      <c r="G4980" s="150" t="s">
        <v>1073</v>
      </c>
      <c r="H4980" s="150">
        <v>1</v>
      </c>
      <c r="I4980" s="5" t="str">
        <f>VLOOKUP(F4980,'Set up'!$A$2:$C$70,3,FALSE)</f>
        <v>Cash</v>
      </c>
      <c r="J4980" s="5">
        <f>VLOOKUP(F4980,'Set up'!$A$2:$D$70,4,FALSE)</f>
        <v>0</v>
      </c>
      <c r="K4980" s="4">
        <f t="shared" si="1129"/>
        <v>46050</v>
      </c>
      <c r="L4980" s="5">
        <f t="shared" si="1130"/>
        <v>1</v>
      </c>
      <c r="M4980" s="5">
        <f t="shared" si="1131"/>
        <v>2026</v>
      </c>
      <c r="N4980" s="168">
        <v>1050</v>
      </c>
      <c r="P4980" s="12"/>
      <c r="Q4980" s="7">
        <f t="shared" si="1132"/>
        <v>8192112.1500000134</v>
      </c>
      <c r="R4980" s="44" t="str">
        <f>VLOOKUP(F4980,'Set up'!$A$2:$E$70,5,FALSE)</f>
        <v>Trsf</v>
      </c>
    </row>
    <row r="4981" spans="1:18" ht="16.8" customHeight="1" x14ac:dyDescent="0.3">
      <c r="A4981" s="150" t="s">
        <v>4444</v>
      </c>
      <c r="B4981" s="5">
        <f t="shared" si="1127"/>
        <v>1</v>
      </c>
      <c r="C4981" s="5">
        <f t="shared" si="1128"/>
        <v>2026</v>
      </c>
      <c r="D4981" s="150" t="s">
        <v>4480</v>
      </c>
      <c r="E4981" s="5" t="str">
        <f>VLOOKUP(F4981,'Set up'!$A$2:$C$70,2,FALSE)</f>
        <v>C00000042</v>
      </c>
      <c r="F4981" s="150" t="s">
        <v>2012</v>
      </c>
      <c r="G4981" s="150" t="s">
        <v>46</v>
      </c>
      <c r="H4981" s="150">
        <v>4</v>
      </c>
      <c r="I4981" s="5" t="str">
        <f>VLOOKUP(F4981,'Set up'!$A$2:$C$70,3,FALSE)</f>
        <v>Cash</v>
      </c>
      <c r="J4981" s="5">
        <f>VLOOKUP(F4981,'Set up'!$A$2:$D$70,4,FALSE)</f>
        <v>0</v>
      </c>
      <c r="K4981" s="4">
        <f t="shared" si="1129"/>
        <v>46050</v>
      </c>
      <c r="L4981" s="5">
        <f t="shared" si="1130"/>
        <v>1</v>
      </c>
      <c r="M4981" s="5">
        <f t="shared" si="1131"/>
        <v>2026</v>
      </c>
      <c r="N4981" s="168">
        <v>460</v>
      </c>
      <c r="P4981" s="12"/>
      <c r="Q4981" s="7">
        <f t="shared" si="1132"/>
        <v>8192572.1500000134</v>
      </c>
      <c r="R4981" s="44" t="str">
        <f>VLOOKUP(F4981,'Set up'!$A$2:$E$70,5,FALSE)</f>
        <v>Trsf</v>
      </c>
    </row>
    <row r="4982" spans="1:18" ht="16.8" customHeight="1" x14ac:dyDescent="0.3">
      <c r="A4982" s="150" t="s">
        <v>4445</v>
      </c>
      <c r="B4982" s="5">
        <f t="shared" si="1127"/>
        <v>1</v>
      </c>
      <c r="C4982" s="5">
        <f t="shared" si="1128"/>
        <v>2026</v>
      </c>
      <c r="D4982" s="150" t="s">
        <v>4481</v>
      </c>
      <c r="E4982" s="5" t="str">
        <f>VLOOKUP(F4982,'Set up'!$A$2:$C$70,2,FALSE)</f>
        <v>C00000064</v>
      </c>
      <c r="F4982" s="150" t="s">
        <v>4059</v>
      </c>
      <c r="G4982" s="150" t="s">
        <v>1997</v>
      </c>
      <c r="H4982" s="150">
        <v>1</v>
      </c>
      <c r="I4982" s="5" t="str">
        <f>VLOOKUP(F4982,'Set up'!$A$2:$C$70,3,FALSE)</f>
        <v>Cash</v>
      </c>
      <c r="J4982" s="5">
        <f>VLOOKUP(F4982,'Set up'!$A$2:$D$70,4,FALSE)</f>
        <v>0</v>
      </c>
      <c r="K4982" s="4">
        <f t="shared" si="1129"/>
        <v>46052</v>
      </c>
      <c r="L4982" s="5">
        <f t="shared" si="1130"/>
        <v>1</v>
      </c>
      <c r="M4982" s="5">
        <f t="shared" si="1131"/>
        <v>2026</v>
      </c>
      <c r="N4982" s="168">
        <v>2800</v>
      </c>
      <c r="P4982" s="12"/>
      <c r="Q4982" s="7">
        <f t="shared" si="1132"/>
        <v>8195372.1500000134</v>
      </c>
      <c r="R4982" s="44" t="str">
        <f>VLOOKUP(F4982,'Set up'!$A$2:$E$70,5,FALSE)</f>
        <v>Cash</v>
      </c>
    </row>
    <row r="4983" spans="1:18" ht="16.8" customHeight="1" x14ac:dyDescent="0.3">
      <c r="A4983" s="150" t="s">
        <v>4445</v>
      </c>
      <c r="B4983" s="5">
        <f t="shared" si="1127"/>
        <v>1</v>
      </c>
      <c r="C4983" s="5">
        <f t="shared" si="1128"/>
        <v>2026</v>
      </c>
      <c r="D4983" s="150" t="s">
        <v>4481</v>
      </c>
      <c r="E4983" s="5" t="str">
        <f>VLOOKUP(F4983,'Set up'!$A$2:$C$70,2,FALSE)</f>
        <v>C00000064</v>
      </c>
      <c r="F4983" s="150" t="s">
        <v>4059</v>
      </c>
      <c r="G4983" s="150" t="s">
        <v>1543</v>
      </c>
      <c r="H4983" s="150">
        <v>2</v>
      </c>
      <c r="I4983" s="5" t="str">
        <f>VLOOKUP(F4983,'Set up'!$A$2:$C$70,3,FALSE)</f>
        <v>Cash</v>
      </c>
      <c r="J4983" s="5">
        <f>VLOOKUP(F4983,'Set up'!$A$2:$D$70,4,FALSE)</f>
        <v>0</v>
      </c>
      <c r="K4983" s="4">
        <f t="shared" si="1129"/>
        <v>46052</v>
      </c>
      <c r="L4983" s="5">
        <f t="shared" si="1130"/>
        <v>1</v>
      </c>
      <c r="M4983" s="5">
        <f t="shared" si="1131"/>
        <v>2026</v>
      </c>
      <c r="N4983" s="168">
        <v>432</v>
      </c>
      <c r="P4983" s="12"/>
      <c r="Q4983" s="7">
        <f t="shared" si="1132"/>
        <v>8195804.1500000134</v>
      </c>
      <c r="R4983" s="44" t="str">
        <f>VLOOKUP(F4983,'Set up'!$A$2:$E$70,5,FALSE)</f>
        <v>Cash</v>
      </c>
    </row>
    <row r="4984" spans="1:18" ht="16.8" customHeight="1" x14ac:dyDescent="0.3">
      <c r="A4984" s="150" t="s">
        <v>4445</v>
      </c>
      <c r="B4984" s="5">
        <f t="shared" si="1127"/>
        <v>1</v>
      </c>
      <c r="C4984" s="5">
        <f t="shared" si="1128"/>
        <v>2026</v>
      </c>
      <c r="D4984" s="150" t="s">
        <v>4481</v>
      </c>
      <c r="E4984" s="5" t="str">
        <f>VLOOKUP(F4984,'Set up'!$A$2:$C$70,2,FALSE)</f>
        <v>C00000064</v>
      </c>
      <c r="F4984" s="150" t="s">
        <v>4059</v>
      </c>
      <c r="G4984" s="150" t="s">
        <v>46</v>
      </c>
      <c r="H4984" s="150">
        <v>1</v>
      </c>
      <c r="I4984" s="5" t="str">
        <f>VLOOKUP(F4984,'Set up'!$A$2:$C$70,3,FALSE)</f>
        <v>Cash</v>
      </c>
      <c r="J4984" s="5">
        <f>VLOOKUP(F4984,'Set up'!$A$2:$D$70,4,FALSE)</f>
        <v>0</v>
      </c>
      <c r="K4984" s="4">
        <f t="shared" si="1129"/>
        <v>46052</v>
      </c>
      <c r="L4984" s="5">
        <f t="shared" si="1130"/>
        <v>1</v>
      </c>
      <c r="M4984" s="5">
        <f t="shared" si="1131"/>
        <v>2026</v>
      </c>
      <c r="N4984" s="168">
        <v>120</v>
      </c>
      <c r="P4984" s="12"/>
      <c r="Q4984" s="7">
        <f t="shared" si="1132"/>
        <v>8195924.1500000134</v>
      </c>
      <c r="R4984" s="44" t="str">
        <f>VLOOKUP(F4984,'Set up'!$A$2:$E$70,5,FALSE)</f>
        <v>Cash</v>
      </c>
    </row>
    <row r="4985" spans="1:18" ht="16.8" customHeight="1" x14ac:dyDescent="0.3">
      <c r="A4985" s="150" t="s">
        <v>4446</v>
      </c>
      <c r="B4985" s="5">
        <f t="shared" si="1127"/>
        <v>1</v>
      </c>
      <c r="C4985" s="5">
        <f t="shared" si="1128"/>
        <v>2026</v>
      </c>
      <c r="D4985" s="150" t="s">
        <v>4482</v>
      </c>
      <c r="E4985" s="5" t="str">
        <f>VLOOKUP(F4985,'Set up'!$A$2:$C$70,2,FALSE)</f>
        <v>C00000042</v>
      </c>
      <c r="F4985" s="150" t="s">
        <v>2012</v>
      </c>
      <c r="G4985" s="150" t="s">
        <v>2646</v>
      </c>
      <c r="H4985" s="150">
        <v>3</v>
      </c>
      <c r="I4985" s="5" t="str">
        <f>VLOOKUP(F4985,'Set up'!$A$2:$C$70,3,FALSE)</f>
        <v>Cash</v>
      </c>
      <c r="J4985" s="5">
        <f>VLOOKUP(F4985,'Set up'!$A$2:$D$70,4,FALSE)</f>
        <v>0</v>
      </c>
      <c r="K4985" s="4">
        <f t="shared" si="1129"/>
        <v>46053</v>
      </c>
      <c r="L4985" s="5">
        <f t="shared" si="1130"/>
        <v>1</v>
      </c>
      <c r="M4985" s="5">
        <f t="shared" si="1131"/>
        <v>2026</v>
      </c>
      <c r="N4985" s="168">
        <v>187.5</v>
      </c>
      <c r="P4985" s="12"/>
      <c r="Q4985" s="7">
        <f t="shared" si="1132"/>
        <v>8196111.6500000134</v>
      </c>
      <c r="R4985" s="44" t="str">
        <f>VLOOKUP(F4985,'Set up'!$A$2:$E$70,5,FALSE)</f>
        <v>Trsf</v>
      </c>
    </row>
    <row r="4986" spans="1:18" ht="16.8" customHeight="1" x14ac:dyDescent="0.3">
      <c r="A4986" s="150" t="s">
        <v>4446</v>
      </c>
      <c r="B4986" s="5">
        <f t="shared" si="1127"/>
        <v>1</v>
      </c>
      <c r="C4986" s="5">
        <f t="shared" si="1128"/>
        <v>2026</v>
      </c>
      <c r="D4986" s="150" t="s">
        <v>4483</v>
      </c>
      <c r="E4986" s="5" t="str">
        <f>VLOOKUP(F4986,'Set up'!$A$2:$C$70,2,FALSE)</f>
        <v>C00000042</v>
      </c>
      <c r="F4986" s="150" t="s">
        <v>2012</v>
      </c>
      <c r="G4986" s="150" t="s">
        <v>3645</v>
      </c>
      <c r="H4986" s="150">
        <v>6</v>
      </c>
      <c r="I4986" s="5" t="str">
        <f>VLOOKUP(F4986,'Set up'!$A$2:$C$70,3,FALSE)</f>
        <v>Cash</v>
      </c>
      <c r="J4986" s="5">
        <f>VLOOKUP(F4986,'Set up'!$A$2:$D$70,4,FALSE)</f>
        <v>0</v>
      </c>
      <c r="K4986" s="4">
        <f t="shared" si="1129"/>
        <v>46053</v>
      </c>
      <c r="L4986" s="5">
        <f t="shared" si="1130"/>
        <v>1</v>
      </c>
      <c r="M4986" s="5">
        <f t="shared" si="1131"/>
        <v>2026</v>
      </c>
      <c r="N4986" s="168">
        <v>8910</v>
      </c>
      <c r="P4986" s="12"/>
      <c r="Q4986" s="7">
        <f t="shared" si="1132"/>
        <v>8205021.6500000134</v>
      </c>
      <c r="R4986" s="44" t="str">
        <f>VLOOKUP(F4986,'Set up'!$A$2:$E$70,5,FALSE)</f>
        <v>Trsf</v>
      </c>
    </row>
    <row r="4987" spans="1:18" ht="16.8" customHeight="1" x14ac:dyDescent="0.3">
      <c r="A4987" s="150" t="s">
        <v>4446</v>
      </c>
      <c r="B4987" s="5">
        <f t="shared" si="1127"/>
        <v>1</v>
      </c>
      <c r="C4987" s="5">
        <f t="shared" si="1128"/>
        <v>2026</v>
      </c>
      <c r="D4987" s="150" t="s">
        <v>4483</v>
      </c>
      <c r="E4987" s="5" t="str">
        <f>VLOOKUP(F4987,'Set up'!$A$2:$C$70,2,FALSE)</f>
        <v>C00000042</v>
      </c>
      <c r="F4987" s="150" t="s">
        <v>2012</v>
      </c>
      <c r="G4987" s="150" t="s">
        <v>1392</v>
      </c>
      <c r="H4987" s="150">
        <v>15</v>
      </c>
      <c r="I4987" s="5" t="str">
        <f>VLOOKUP(F4987,'Set up'!$A$2:$C$70,3,FALSE)</f>
        <v>Cash</v>
      </c>
      <c r="J4987" s="5">
        <f>VLOOKUP(F4987,'Set up'!$A$2:$D$70,4,FALSE)</f>
        <v>0</v>
      </c>
      <c r="K4987" s="4">
        <f t="shared" si="1129"/>
        <v>46053</v>
      </c>
      <c r="L4987" s="5">
        <f t="shared" si="1130"/>
        <v>1</v>
      </c>
      <c r="M4987" s="5">
        <f t="shared" si="1131"/>
        <v>2026</v>
      </c>
      <c r="N4987" s="168">
        <v>2655</v>
      </c>
      <c r="P4987" s="12"/>
      <c r="Q4987" s="7">
        <f t="shared" si="1132"/>
        <v>8207676.6500000134</v>
      </c>
      <c r="R4987" s="44" t="str">
        <f>VLOOKUP(F4987,'Set up'!$A$2:$E$70,5,FALSE)</f>
        <v>Trsf</v>
      </c>
    </row>
    <row r="4988" spans="1:18" ht="16.8" customHeight="1" x14ac:dyDescent="0.3">
      <c r="A4988" s="150" t="s">
        <v>4446</v>
      </c>
      <c r="B4988" s="5">
        <f t="shared" si="1127"/>
        <v>1</v>
      </c>
      <c r="C4988" s="5">
        <f t="shared" si="1128"/>
        <v>2026</v>
      </c>
      <c r="D4988" s="150" t="s">
        <v>4483</v>
      </c>
      <c r="E4988" s="5" t="str">
        <f>VLOOKUP(F4988,'Set up'!$A$2:$C$70,2,FALSE)</f>
        <v>C00000042</v>
      </c>
      <c r="F4988" s="150" t="s">
        <v>2012</v>
      </c>
      <c r="G4988" s="150" t="s">
        <v>1922</v>
      </c>
      <c r="H4988" s="150">
        <v>8</v>
      </c>
      <c r="I4988" s="5" t="str">
        <f>VLOOKUP(F4988,'Set up'!$A$2:$C$70,3,FALSE)</f>
        <v>Cash</v>
      </c>
      <c r="J4988" s="5">
        <f>VLOOKUP(F4988,'Set up'!$A$2:$D$70,4,FALSE)</f>
        <v>0</v>
      </c>
      <c r="K4988" s="4">
        <f t="shared" si="1129"/>
        <v>46053</v>
      </c>
      <c r="L4988" s="5">
        <f t="shared" si="1130"/>
        <v>1</v>
      </c>
      <c r="M4988" s="5">
        <f t="shared" si="1131"/>
        <v>2026</v>
      </c>
      <c r="N4988" s="168">
        <v>1836</v>
      </c>
      <c r="P4988" s="12"/>
      <c r="Q4988" s="7">
        <f t="shared" si="1132"/>
        <v>8209512.6500000134</v>
      </c>
      <c r="R4988" s="44" t="str">
        <f>VLOOKUP(F4988,'Set up'!$A$2:$E$70,5,FALSE)</f>
        <v>Trsf</v>
      </c>
    </row>
    <row r="4989" spans="1:18" ht="16.8" customHeight="1" x14ac:dyDescent="0.3">
      <c r="A4989" s="150" t="s">
        <v>4446</v>
      </c>
      <c r="B4989" s="5">
        <f t="shared" si="1127"/>
        <v>1</v>
      </c>
      <c r="C4989" s="5">
        <f t="shared" si="1128"/>
        <v>2026</v>
      </c>
      <c r="D4989" s="150" t="s">
        <v>4483</v>
      </c>
      <c r="E4989" s="5" t="str">
        <f>VLOOKUP(F4989,'Set up'!$A$2:$C$70,2,FALSE)</f>
        <v>C00000042</v>
      </c>
      <c r="F4989" s="150" t="s">
        <v>2012</v>
      </c>
      <c r="G4989" s="150" t="s">
        <v>1073</v>
      </c>
      <c r="H4989" s="150">
        <v>1</v>
      </c>
      <c r="I4989" s="5" t="str">
        <f>VLOOKUP(F4989,'Set up'!$A$2:$C$70,3,FALSE)</f>
        <v>Cash</v>
      </c>
      <c r="J4989" s="5">
        <f>VLOOKUP(F4989,'Set up'!$A$2:$D$70,4,FALSE)</f>
        <v>0</v>
      </c>
      <c r="K4989" s="4">
        <f t="shared" si="1129"/>
        <v>46053</v>
      </c>
      <c r="L4989" s="5">
        <f t="shared" si="1130"/>
        <v>1</v>
      </c>
      <c r="M4989" s="5">
        <f t="shared" si="1131"/>
        <v>2026</v>
      </c>
      <c r="N4989" s="168">
        <v>1050</v>
      </c>
      <c r="P4989" s="12"/>
      <c r="Q4989" s="7">
        <f t="shared" si="1132"/>
        <v>8210562.6500000134</v>
      </c>
      <c r="R4989" s="44" t="str">
        <f>VLOOKUP(F4989,'Set up'!$A$2:$E$70,5,FALSE)</f>
        <v>Trsf</v>
      </c>
    </row>
    <row r="4990" spans="1:18" ht="16.8" customHeight="1" x14ac:dyDescent="0.3">
      <c r="A4990" s="150" t="s">
        <v>4446</v>
      </c>
      <c r="B4990" s="5">
        <f t="shared" si="1127"/>
        <v>1</v>
      </c>
      <c r="C4990" s="5">
        <f t="shared" si="1128"/>
        <v>2026</v>
      </c>
      <c r="D4990" s="150" t="s">
        <v>4483</v>
      </c>
      <c r="E4990" s="5" t="str">
        <f>VLOOKUP(F4990,'Set up'!$A$2:$C$70,2,FALSE)</f>
        <v>C00000042</v>
      </c>
      <c r="F4990" s="150" t="s">
        <v>2012</v>
      </c>
      <c r="G4990" s="150" t="s">
        <v>46</v>
      </c>
      <c r="H4990" s="150">
        <v>4</v>
      </c>
      <c r="I4990" s="5" t="str">
        <f>VLOOKUP(F4990,'Set up'!$A$2:$C$70,3,FALSE)</f>
        <v>Cash</v>
      </c>
      <c r="J4990" s="5">
        <f>VLOOKUP(F4990,'Set up'!$A$2:$D$70,4,FALSE)</f>
        <v>0</v>
      </c>
      <c r="K4990" s="4">
        <f t="shared" si="1129"/>
        <v>46053</v>
      </c>
      <c r="L4990" s="5">
        <f t="shared" si="1130"/>
        <v>1</v>
      </c>
      <c r="M4990" s="5">
        <f t="shared" si="1131"/>
        <v>2026</v>
      </c>
      <c r="N4990" s="168">
        <v>460</v>
      </c>
      <c r="P4990" s="12"/>
      <c r="Q4990" s="7">
        <f t="shared" si="1132"/>
        <v>8211022.6500000134</v>
      </c>
      <c r="R4990" s="44" t="str">
        <f>VLOOKUP(F4990,'Set up'!$A$2:$E$70,5,FALSE)</f>
        <v>Trsf</v>
      </c>
    </row>
    <row r="4991" spans="1:18" ht="16.8" customHeight="1" x14ac:dyDescent="0.3">
      <c r="A4991" s="151" t="s">
        <v>4515</v>
      </c>
      <c r="B4991" s="5">
        <f t="shared" ref="B4991" si="1133">MONTH(A4991)</f>
        <v>2</v>
      </c>
      <c r="C4991" s="5">
        <f t="shared" ref="C4991" si="1134">YEAR(A4991)</f>
        <v>2026</v>
      </c>
      <c r="D4991" s="170" t="s">
        <v>4490</v>
      </c>
      <c r="E4991" s="5" t="e">
        <f>VLOOKUP(F4991,'Set up'!$A$2:$C$100,2,FALSE)</f>
        <v>#N/A</v>
      </c>
      <c r="F4991" s="150" t="s">
        <v>4130</v>
      </c>
      <c r="G4991" s="150" t="s">
        <v>3122</v>
      </c>
      <c r="H4991" s="150">
        <v>1</v>
      </c>
      <c r="I4991" s="5" t="e">
        <f>VLOOKUP(F4991,'Set up'!$A$2:$C$100,3,FALSE)</f>
        <v>#N/A</v>
      </c>
      <c r="J4991" s="5" t="e">
        <f>VLOOKUP(F4991,'Set up'!$A$2:$D$100,4,FALSE)</f>
        <v>#N/A</v>
      </c>
      <c r="K4991" s="4" t="e">
        <f t="shared" si="1129"/>
        <v>#N/A</v>
      </c>
      <c r="L4991" s="5" t="e">
        <f t="shared" ref="L4991" si="1135">MONTH(K4991)</f>
        <v>#N/A</v>
      </c>
      <c r="M4991" s="5" t="e">
        <f t="shared" ref="M4991" si="1136">YEAR(K4991)</f>
        <v>#N/A</v>
      </c>
      <c r="N4991" s="156">
        <v>1687.5</v>
      </c>
      <c r="P4991" s="12"/>
      <c r="Q4991" s="7">
        <f t="shared" ref="Q4991" si="1137">SUM(Q4990+N4991)</f>
        <v>8212710.1500000134</v>
      </c>
      <c r="R4991" s="44" t="e">
        <f>VLOOKUP(F4991,'Set up'!$A$2:$E$100,5,FALSE)</f>
        <v>#N/A</v>
      </c>
    </row>
    <row r="4992" spans="1:18" ht="16.8" customHeight="1" x14ac:dyDescent="0.3">
      <c r="A4992" s="151" t="s">
        <v>4515</v>
      </c>
      <c r="B4992" s="5">
        <f t="shared" ref="B4992:B5055" si="1138">MONTH(A4992)</f>
        <v>2</v>
      </c>
      <c r="C4992" s="5">
        <f t="shared" ref="C4992:C5055" si="1139">YEAR(A4992)</f>
        <v>2026</v>
      </c>
      <c r="D4992" s="170" t="s">
        <v>4490</v>
      </c>
      <c r="E4992" s="5" t="e">
        <f>VLOOKUP(F4992,'Set up'!$A$2:$C$100,2,FALSE)</f>
        <v>#N/A</v>
      </c>
      <c r="F4992" s="150" t="s">
        <v>4130</v>
      </c>
      <c r="G4992" s="150" t="s">
        <v>707</v>
      </c>
      <c r="H4992" s="150">
        <v>1</v>
      </c>
      <c r="I4992" s="5" t="e">
        <f>VLOOKUP(F4992,'Set up'!$A$2:$C$100,3,FALSE)</f>
        <v>#N/A</v>
      </c>
      <c r="J4992" s="5" t="e">
        <f>VLOOKUP(F4992,'Set up'!$A$2:$D$100,4,FALSE)</f>
        <v>#N/A</v>
      </c>
      <c r="K4992" s="4" t="e">
        <f t="shared" ref="K4992:K5055" si="1140">A4992+J4992</f>
        <v>#N/A</v>
      </c>
      <c r="L4992" s="5" t="e">
        <f t="shared" ref="L4992:L5055" si="1141">MONTH(K4992)</f>
        <v>#N/A</v>
      </c>
      <c r="M4992" s="5" t="e">
        <f t="shared" ref="M4992:M5055" si="1142">YEAR(K4992)</f>
        <v>#N/A</v>
      </c>
      <c r="N4992" s="156">
        <v>394.2</v>
      </c>
      <c r="P4992" s="12"/>
      <c r="Q4992" s="7">
        <f t="shared" ref="Q4992:Q5055" si="1143">SUM(Q4991+N4992)</f>
        <v>8213104.3500000136</v>
      </c>
      <c r="R4992" s="44" t="e">
        <f>VLOOKUP(F4992,'Set up'!$A$2:$E$100,5,FALSE)</f>
        <v>#N/A</v>
      </c>
    </row>
    <row r="4993" spans="1:18" ht="16.8" customHeight="1" x14ac:dyDescent="0.3">
      <c r="A4993" s="151" t="s">
        <v>4516</v>
      </c>
      <c r="B4993" s="5">
        <f t="shared" si="1138"/>
        <v>2</v>
      </c>
      <c r="C4993" s="5">
        <f t="shared" si="1139"/>
        <v>2026</v>
      </c>
      <c r="D4993" s="170" t="s">
        <v>4491</v>
      </c>
      <c r="E4993" s="5" t="str">
        <f>VLOOKUP(F4993,'Set up'!$A$2:$C$100,2,FALSE)</f>
        <v>C00000042</v>
      </c>
      <c r="F4993" s="150" t="s">
        <v>2012</v>
      </c>
      <c r="G4993" s="150" t="s">
        <v>2646</v>
      </c>
      <c r="H4993" s="150">
        <v>2</v>
      </c>
      <c r="I4993" s="5" t="str">
        <f>VLOOKUP(F4993,'Set up'!$A$2:$C$100,3,FALSE)</f>
        <v>Cash</v>
      </c>
      <c r="J4993" s="5">
        <f>VLOOKUP(F4993,'Set up'!$A$2:$D$100,4,FALSE)</f>
        <v>0</v>
      </c>
      <c r="K4993" s="4">
        <f t="shared" si="1140"/>
        <v>46057</v>
      </c>
      <c r="L4993" s="5">
        <f t="shared" si="1141"/>
        <v>2</v>
      </c>
      <c r="M4993" s="5">
        <f t="shared" si="1142"/>
        <v>2026</v>
      </c>
      <c r="N4993" s="156">
        <v>125</v>
      </c>
      <c r="P4993" s="12"/>
      <c r="Q4993" s="7">
        <f t="shared" si="1143"/>
        <v>8213229.3500000136</v>
      </c>
      <c r="R4993" s="44" t="str">
        <f>VLOOKUP(F4993,'Set up'!$A$2:$E$100,5,FALSE)</f>
        <v>Trsf</v>
      </c>
    </row>
    <row r="4994" spans="1:18" ht="16.8" customHeight="1" x14ac:dyDescent="0.3">
      <c r="A4994" s="151" t="s">
        <v>4516</v>
      </c>
      <c r="B4994" s="5">
        <f t="shared" si="1138"/>
        <v>2</v>
      </c>
      <c r="C4994" s="5">
        <f t="shared" si="1139"/>
        <v>2026</v>
      </c>
      <c r="D4994" s="170" t="s">
        <v>4492</v>
      </c>
      <c r="E4994" s="5" t="str">
        <f>VLOOKUP(F4994,'Set up'!$A$2:$C$100,2,FALSE)</f>
        <v>C00000042</v>
      </c>
      <c r="F4994" s="150" t="s">
        <v>2012</v>
      </c>
      <c r="G4994" s="150" t="s">
        <v>3645</v>
      </c>
      <c r="H4994" s="150">
        <v>5</v>
      </c>
      <c r="I4994" s="5" t="str">
        <f>VLOOKUP(F4994,'Set up'!$A$2:$C$100,3,FALSE)</f>
        <v>Cash</v>
      </c>
      <c r="J4994" s="5">
        <f>VLOOKUP(F4994,'Set up'!$A$2:$D$100,4,FALSE)</f>
        <v>0</v>
      </c>
      <c r="K4994" s="4">
        <f t="shared" si="1140"/>
        <v>46057</v>
      </c>
      <c r="L4994" s="5">
        <f t="shared" si="1141"/>
        <v>2</v>
      </c>
      <c r="M4994" s="5">
        <f t="shared" si="1142"/>
        <v>2026</v>
      </c>
      <c r="N4994" s="156">
        <v>7650</v>
      </c>
      <c r="P4994" s="12"/>
      <c r="Q4994" s="7">
        <f t="shared" si="1143"/>
        <v>8220879.3500000136</v>
      </c>
      <c r="R4994" s="44" t="str">
        <f>VLOOKUP(F4994,'Set up'!$A$2:$E$100,5,FALSE)</f>
        <v>Trsf</v>
      </c>
    </row>
    <row r="4995" spans="1:18" ht="16.8" customHeight="1" x14ac:dyDescent="0.3">
      <c r="A4995" s="151" t="s">
        <v>4516</v>
      </c>
      <c r="B4995" s="5">
        <f t="shared" si="1138"/>
        <v>2</v>
      </c>
      <c r="C4995" s="5">
        <f t="shared" si="1139"/>
        <v>2026</v>
      </c>
      <c r="D4995" s="170" t="s">
        <v>4492</v>
      </c>
      <c r="E4995" s="5" t="str">
        <f>VLOOKUP(F4995,'Set up'!$A$2:$C$100,2,FALSE)</f>
        <v>C00000042</v>
      </c>
      <c r="F4995" s="150" t="s">
        <v>2012</v>
      </c>
      <c r="G4995" s="150" t="s">
        <v>1392</v>
      </c>
      <c r="H4995" s="150">
        <v>15</v>
      </c>
      <c r="I4995" s="5" t="str">
        <f>VLOOKUP(F4995,'Set up'!$A$2:$C$100,3,FALSE)</f>
        <v>Cash</v>
      </c>
      <c r="J4995" s="5">
        <f>VLOOKUP(F4995,'Set up'!$A$2:$D$100,4,FALSE)</f>
        <v>0</v>
      </c>
      <c r="K4995" s="4">
        <f t="shared" si="1140"/>
        <v>46057</v>
      </c>
      <c r="L4995" s="5">
        <f t="shared" si="1141"/>
        <v>2</v>
      </c>
      <c r="M4995" s="5">
        <f t="shared" si="1142"/>
        <v>2026</v>
      </c>
      <c r="N4995" s="156">
        <v>2655</v>
      </c>
      <c r="P4995" s="12"/>
      <c r="Q4995" s="7">
        <f t="shared" si="1143"/>
        <v>8223534.3500000136</v>
      </c>
      <c r="R4995" s="44" t="str">
        <f>VLOOKUP(F4995,'Set up'!$A$2:$E$100,5,FALSE)</f>
        <v>Trsf</v>
      </c>
    </row>
    <row r="4996" spans="1:18" ht="16.8" customHeight="1" x14ac:dyDescent="0.3">
      <c r="A4996" s="151" t="s">
        <v>4516</v>
      </c>
      <c r="B4996" s="5">
        <f t="shared" si="1138"/>
        <v>2</v>
      </c>
      <c r="C4996" s="5">
        <f t="shared" si="1139"/>
        <v>2026</v>
      </c>
      <c r="D4996" s="170" t="s">
        <v>4492</v>
      </c>
      <c r="E4996" s="5" t="str">
        <f>VLOOKUP(F4996,'Set up'!$A$2:$C$100,2,FALSE)</f>
        <v>C00000042</v>
      </c>
      <c r="F4996" s="150" t="s">
        <v>2012</v>
      </c>
      <c r="G4996" s="150" t="s">
        <v>1922</v>
      </c>
      <c r="H4996" s="150">
        <v>7</v>
      </c>
      <c r="I4996" s="5" t="str">
        <f>VLOOKUP(F4996,'Set up'!$A$2:$C$100,3,FALSE)</f>
        <v>Cash</v>
      </c>
      <c r="J4996" s="5">
        <f>VLOOKUP(F4996,'Set up'!$A$2:$D$100,4,FALSE)</f>
        <v>0</v>
      </c>
      <c r="K4996" s="4">
        <f t="shared" si="1140"/>
        <v>46057</v>
      </c>
      <c r="L4996" s="5">
        <f t="shared" si="1141"/>
        <v>2</v>
      </c>
      <c r="M4996" s="5">
        <f t="shared" si="1142"/>
        <v>2026</v>
      </c>
      <c r="N4996" s="156">
        <v>1606.5</v>
      </c>
      <c r="P4996" s="12"/>
      <c r="Q4996" s="7">
        <f t="shared" si="1143"/>
        <v>8225140.8500000136</v>
      </c>
      <c r="R4996" s="44" t="str">
        <f>VLOOKUP(F4996,'Set up'!$A$2:$E$100,5,FALSE)</f>
        <v>Trsf</v>
      </c>
    </row>
    <row r="4997" spans="1:18" ht="16.8" customHeight="1" x14ac:dyDescent="0.3">
      <c r="A4997" s="151" t="s">
        <v>4516</v>
      </c>
      <c r="B4997" s="5">
        <f t="shared" si="1138"/>
        <v>2</v>
      </c>
      <c r="C4997" s="5">
        <f t="shared" si="1139"/>
        <v>2026</v>
      </c>
      <c r="D4997" s="170" t="s">
        <v>4492</v>
      </c>
      <c r="E4997" s="5" t="str">
        <f>VLOOKUP(F4997,'Set up'!$A$2:$C$100,2,FALSE)</f>
        <v>C00000042</v>
      </c>
      <c r="F4997" s="150" t="s">
        <v>2012</v>
      </c>
      <c r="G4997" s="150" t="s">
        <v>46</v>
      </c>
      <c r="H4997" s="150">
        <v>4</v>
      </c>
      <c r="I4997" s="5" t="str">
        <f>VLOOKUP(F4997,'Set up'!$A$2:$C$100,3,FALSE)</f>
        <v>Cash</v>
      </c>
      <c r="J4997" s="5">
        <f>VLOOKUP(F4997,'Set up'!$A$2:$D$100,4,FALSE)</f>
        <v>0</v>
      </c>
      <c r="K4997" s="4">
        <f t="shared" si="1140"/>
        <v>46057</v>
      </c>
      <c r="L4997" s="5">
        <f t="shared" si="1141"/>
        <v>2</v>
      </c>
      <c r="M4997" s="5">
        <f t="shared" si="1142"/>
        <v>2026</v>
      </c>
      <c r="N4997" s="156">
        <v>460</v>
      </c>
      <c r="P4997" s="12"/>
      <c r="Q4997" s="7">
        <f t="shared" si="1143"/>
        <v>8225600.8500000136</v>
      </c>
      <c r="R4997" s="44" t="str">
        <f>VLOOKUP(F4997,'Set up'!$A$2:$E$100,5,FALSE)</f>
        <v>Trsf</v>
      </c>
    </row>
    <row r="4998" spans="1:18" ht="16.8" customHeight="1" x14ac:dyDescent="0.3">
      <c r="A4998" s="151" t="s">
        <v>4516</v>
      </c>
      <c r="B4998" s="5">
        <f t="shared" si="1138"/>
        <v>2</v>
      </c>
      <c r="C4998" s="5">
        <f t="shared" si="1139"/>
        <v>2026</v>
      </c>
      <c r="D4998" s="170" t="s">
        <v>4492</v>
      </c>
      <c r="E4998" s="5" t="str">
        <f>VLOOKUP(F4998,'Set up'!$A$2:$C$100,2,FALSE)</f>
        <v>C00000042</v>
      </c>
      <c r="F4998" s="150" t="s">
        <v>2012</v>
      </c>
      <c r="G4998" s="150" t="s">
        <v>1073</v>
      </c>
      <c r="H4998" s="150">
        <v>1</v>
      </c>
      <c r="I4998" s="5" t="str">
        <f>VLOOKUP(F4998,'Set up'!$A$2:$C$100,3,FALSE)</f>
        <v>Cash</v>
      </c>
      <c r="J4998" s="5">
        <f>VLOOKUP(F4998,'Set up'!$A$2:$D$100,4,FALSE)</f>
        <v>0</v>
      </c>
      <c r="K4998" s="4">
        <f t="shared" si="1140"/>
        <v>46057</v>
      </c>
      <c r="L4998" s="5">
        <f t="shared" si="1141"/>
        <v>2</v>
      </c>
      <c r="M4998" s="5">
        <f t="shared" si="1142"/>
        <v>2026</v>
      </c>
      <c r="N4998" s="156">
        <v>1050</v>
      </c>
      <c r="P4998" s="12"/>
      <c r="Q4998" s="7">
        <f t="shared" si="1143"/>
        <v>8226650.8500000136</v>
      </c>
      <c r="R4998" s="44" t="str">
        <f>VLOOKUP(F4998,'Set up'!$A$2:$E$100,5,FALSE)</f>
        <v>Trsf</v>
      </c>
    </row>
    <row r="4999" spans="1:18" ht="16.8" customHeight="1" x14ac:dyDescent="0.3">
      <c r="A4999" s="151" t="s">
        <v>4517</v>
      </c>
      <c r="B4999" s="5">
        <f t="shared" si="1138"/>
        <v>2</v>
      </c>
      <c r="C4999" s="5">
        <f t="shared" si="1139"/>
        <v>2026</v>
      </c>
      <c r="D4999" s="170" t="s">
        <v>4493</v>
      </c>
      <c r="E4999" s="5" t="str">
        <f>VLOOKUP(F4999,'Set up'!$A$2:$C$100,2,FALSE)</f>
        <v>C00000042</v>
      </c>
      <c r="F4999" s="150" t="s">
        <v>2012</v>
      </c>
      <c r="G4999" s="150" t="s">
        <v>2646</v>
      </c>
      <c r="H4999" s="150">
        <v>2</v>
      </c>
      <c r="I4999" s="5" t="str">
        <f>VLOOKUP(F4999,'Set up'!$A$2:$C$100,3,FALSE)</f>
        <v>Cash</v>
      </c>
      <c r="J4999" s="5">
        <f>VLOOKUP(F4999,'Set up'!$A$2:$D$100,4,FALSE)</f>
        <v>0</v>
      </c>
      <c r="K4999" s="4">
        <f t="shared" si="1140"/>
        <v>46058</v>
      </c>
      <c r="L4999" s="5">
        <f t="shared" si="1141"/>
        <v>2</v>
      </c>
      <c r="M4999" s="5">
        <f t="shared" si="1142"/>
        <v>2026</v>
      </c>
      <c r="N4999" s="156">
        <v>125</v>
      </c>
      <c r="P4999" s="12"/>
      <c r="Q4999" s="7">
        <f t="shared" si="1143"/>
        <v>8226775.8500000136</v>
      </c>
      <c r="R4999" s="44" t="str">
        <f>VLOOKUP(F4999,'Set up'!$A$2:$E$100,5,FALSE)</f>
        <v>Trsf</v>
      </c>
    </row>
    <row r="5000" spans="1:18" ht="16.8" customHeight="1" x14ac:dyDescent="0.3">
      <c r="A5000" s="151" t="s">
        <v>4517</v>
      </c>
      <c r="B5000" s="5">
        <f t="shared" si="1138"/>
        <v>2</v>
      </c>
      <c r="C5000" s="5">
        <f t="shared" si="1139"/>
        <v>2026</v>
      </c>
      <c r="D5000" s="170" t="s">
        <v>4494</v>
      </c>
      <c r="E5000" s="5" t="str">
        <f>VLOOKUP(F5000,'Set up'!$A$2:$C$100,2,FALSE)</f>
        <v>C00000042</v>
      </c>
      <c r="F5000" s="150" t="s">
        <v>2012</v>
      </c>
      <c r="G5000" s="150" t="s">
        <v>3645</v>
      </c>
      <c r="H5000" s="150">
        <v>5</v>
      </c>
      <c r="I5000" s="5" t="str">
        <f>VLOOKUP(F5000,'Set up'!$A$2:$C$100,3,FALSE)</f>
        <v>Cash</v>
      </c>
      <c r="J5000" s="5">
        <f>VLOOKUP(F5000,'Set up'!$A$2:$D$100,4,FALSE)</f>
        <v>0</v>
      </c>
      <c r="K5000" s="4">
        <f t="shared" si="1140"/>
        <v>46058</v>
      </c>
      <c r="L5000" s="5">
        <f t="shared" si="1141"/>
        <v>2</v>
      </c>
      <c r="M5000" s="5">
        <f t="shared" si="1142"/>
        <v>2026</v>
      </c>
      <c r="N5000" s="156">
        <v>7650</v>
      </c>
      <c r="P5000" s="12"/>
      <c r="Q5000" s="7">
        <f t="shared" si="1143"/>
        <v>8234425.8500000136</v>
      </c>
      <c r="R5000" s="44" t="str">
        <f>VLOOKUP(F5000,'Set up'!$A$2:$E$100,5,FALSE)</f>
        <v>Trsf</v>
      </c>
    </row>
    <row r="5001" spans="1:18" ht="16.8" customHeight="1" x14ac:dyDescent="0.3">
      <c r="A5001" s="151" t="s">
        <v>4517</v>
      </c>
      <c r="B5001" s="5">
        <f t="shared" si="1138"/>
        <v>2</v>
      </c>
      <c r="C5001" s="5">
        <f t="shared" si="1139"/>
        <v>2026</v>
      </c>
      <c r="D5001" s="170" t="s">
        <v>4494</v>
      </c>
      <c r="E5001" s="5" t="str">
        <f>VLOOKUP(F5001,'Set up'!$A$2:$C$100,2,FALSE)</f>
        <v>C00000042</v>
      </c>
      <c r="F5001" s="150" t="s">
        <v>2012</v>
      </c>
      <c r="G5001" s="150" t="s">
        <v>1392</v>
      </c>
      <c r="H5001" s="150">
        <v>15</v>
      </c>
      <c r="I5001" s="5" t="str">
        <f>VLOOKUP(F5001,'Set up'!$A$2:$C$100,3,FALSE)</f>
        <v>Cash</v>
      </c>
      <c r="J5001" s="5">
        <f>VLOOKUP(F5001,'Set up'!$A$2:$D$100,4,FALSE)</f>
        <v>0</v>
      </c>
      <c r="K5001" s="4">
        <f t="shared" si="1140"/>
        <v>46058</v>
      </c>
      <c r="L5001" s="5">
        <f t="shared" si="1141"/>
        <v>2</v>
      </c>
      <c r="M5001" s="5">
        <f t="shared" si="1142"/>
        <v>2026</v>
      </c>
      <c r="N5001" s="156">
        <v>2655</v>
      </c>
      <c r="P5001" s="12"/>
      <c r="Q5001" s="7">
        <f t="shared" si="1143"/>
        <v>8237080.8500000136</v>
      </c>
      <c r="R5001" s="44" t="str">
        <f>VLOOKUP(F5001,'Set up'!$A$2:$E$100,5,FALSE)</f>
        <v>Trsf</v>
      </c>
    </row>
    <row r="5002" spans="1:18" ht="16.8" customHeight="1" x14ac:dyDescent="0.3">
      <c r="A5002" s="151" t="s">
        <v>4517</v>
      </c>
      <c r="B5002" s="5">
        <f t="shared" si="1138"/>
        <v>2</v>
      </c>
      <c r="C5002" s="5">
        <f t="shared" si="1139"/>
        <v>2026</v>
      </c>
      <c r="D5002" s="170" t="s">
        <v>4494</v>
      </c>
      <c r="E5002" s="5" t="str">
        <f>VLOOKUP(F5002,'Set up'!$A$2:$C$100,2,FALSE)</f>
        <v>C00000042</v>
      </c>
      <c r="F5002" s="150" t="s">
        <v>2012</v>
      </c>
      <c r="G5002" s="150" t="s">
        <v>1922</v>
      </c>
      <c r="H5002" s="150">
        <v>7</v>
      </c>
      <c r="I5002" s="5" t="str">
        <f>VLOOKUP(F5002,'Set up'!$A$2:$C$100,3,FALSE)</f>
        <v>Cash</v>
      </c>
      <c r="J5002" s="5">
        <f>VLOOKUP(F5002,'Set up'!$A$2:$D$100,4,FALSE)</f>
        <v>0</v>
      </c>
      <c r="K5002" s="4">
        <f t="shared" si="1140"/>
        <v>46058</v>
      </c>
      <c r="L5002" s="5">
        <f t="shared" si="1141"/>
        <v>2</v>
      </c>
      <c r="M5002" s="5">
        <f t="shared" si="1142"/>
        <v>2026</v>
      </c>
      <c r="N5002" s="156">
        <v>1606.5</v>
      </c>
      <c r="P5002" s="12"/>
      <c r="Q5002" s="7">
        <f t="shared" si="1143"/>
        <v>8238687.3500000136</v>
      </c>
      <c r="R5002" s="44" t="str">
        <f>VLOOKUP(F5002,'Set up'!$A$2:$E$100,5,FALSE)</f>
        <v>Trsf</v>
      </c>
    </row>
    <row r="5003" spans="1:18" ht="16.8" customHeight="1" x14ac:dyDescent="0.3">
      <c r="A5003" s="151" t="s">
        <v>4517</v>
      </c>
      <c r="B5003" s="5">
        <f t="shared" si="1138"/>
        <v>2</v>
      </c>
      <c r="C5003" s="5">
        <f t="shared" si="1139"/>
        <v>2026</v>
      </c>
      <c r="D5003" s="170" t="s">
        <v>4494</v>
      </c>
      <c r="E5003" s="5" t="str">
        <f>VLOOKUP(F5003,'Set up'!$A$2:$C$100,2,FALSE)</f>
        <v>C00000042</v>
      </c>
      <c r="F5003" s="150" t="s">
        <v>2012</v>
      </c>
      <c r="G5003" s="150" t="s">
        <v>46</v>
      </c>
      <c r="H5003" s="150">
        <v>4</v>
      </c>
      <c r="I5003" s="5" t="str">
        <f>VLOOKUP(F5003,'Set up'!$A$2:$C$100,3,FALSE)</f>
        <v>Cash</v>
      </c>
      <c r="J5003" s="5">
        <f>VLOOKUP(F5003,'Set up'!$A$2:$D$100,4,FALSE)</f>
        <v>0</v>
      </c>
      <c r="K5003" s="4">
        <f t="shared" si="1140"/>
        <v>46058</v>
      </c>
      <c r="L5003" s="5">
        <f t="shared" si="1141"/>
        <v>2</v>
      </c>
      <c r="M5003" s="5">
        <f t="shared" si="1142"/>
        <v>2026</v>
      </c>
      <c r="N5003" s="156">
        <v>460</v>
      </c>
      <c r="P5003" s="12"/>
      <c r="Q5003" s="7">
        <f t="shared" si="1143"/>
        <v>8239147.3500000136</v>
      </c>
      <c r="R5003" s="44" t="str">
        <f>VLOOKUP(F5003,'Set up'!$A$2:$E$100,5,FALSE)</f>
        <v>Trsf</v>
      </c>
    </row>
    <row r="5004" spans="1:18" ht="16.8" customHeight="1" x14ac:dyDescent="0.3">
      <c r="A5004" s="151" t="s">
        <v>4517</v>
      </c>
      <c r="B5004" s="5">
        <f t="shared" si="1138"/>
        <v>2</v>
      </c>
      <c r="C5004" s="5">
        <f t="shared" si="1139"/>
        <v>2026</v>
      </c>
      <c r="D5004" s="170" t="s">
        <v>4494</v>
      </c>
      <c r="E5004" s="5" t="str">
        <f>VLOOKUP(F5004,'Set up'!$A$2:$C$100,2,FALSE)</f>
        <v>C00000042</v>
      </c>
      <c r="F5004" s="150" t="s">
        <v>2012</v>
      </c>
      <c r="G5004" s="150" t="s">
        <v>1073</v>
      </c>
      <c r="H5004" s="150">
        <v>1</v>
      </c>
      <c r="I5004" s="5" t="str">
        <f>VLOOKUP(F5004,'Set up'!$A$2:$C$100,3,FALSE)</f>
        <v>Cash</v>
      </c>
      <c r="J5004" s="5">
        <f>VLOOKUP(F5004,'Set up'!$A$2:$D$100,4,FALSE)</f>
        <v>0</v>
      </c>
      <c r="K5004" s="4">
        <f t="shared" si="1140"/>
        <v>46058</v>
      </c>
      <c r="L5004" s="5">
        <f t="shared" si="1141"/>
        <v>2</v>
      </c>
      <c r="M5004" s="5">
        <f t="shared" si="1142"/>
        <v>2026</v>
      </c>
      <c r="N5004" s="156">
        <v>1050</v>
      </c>
      <c r="P5004" s="12"/>
      <c r="Q5004" s="7">
        <f t="shared" si="1143"/>
        <v>8240197.3500000136</v>
      </c>
      <c r="R5004" s="44" t="str">
        <f>VLOOKUP(F5004,'Set up'!$A$2:$E$100,5,FALSE)</f>
        <v>Trsf</v>
      </c>
    </row>
    <row r="5005" spans="1:18" ht="16.8" customHeight="1" x14ac:dyDescent="0.3">
      <c r="A5005" s="151" t="s">
        <v>4518</v>
      </c>
      <c r="B5005" s="5">
        <f t="shared" si="1138"/>
        <v>2</v>
      </c>
      <c r="C5005" s="5">
        <f t="shared" si="1139"/>
        <v>2026</v>
      </c>
      <c r="D5005" s="170" t="s">
        <v>4495</v>
      </c>
      <c r="E5005" s="5" t="str">
        <f>VLOOKUP(F5005,'Set up'!$A$2:$C$100,2,FALSE)</f>
        <v>C00000061</v>
      </c>
      <c r="F5005" s="150" t="s">
        <v>3532</v>
      </c>
      <c r="G5005" s="150" t="s">
        <v>3122</v>
      </c>
      <c r="H5005" s="150">
        <v>1</v>
      </c>
      <c r="I5005" s="5" t="str">
        <f>VLOOKUP(F5005,'Set up'!$A$2:$C$100,3,FALSE)</f>
        <v>Cash</v>
      </c>
      <c r="J5005" s="5">
        <f>VLOOKUP(F5005,'Set up'!$A$2:$D$100,4,FALSE)</f>
        <v>0</v>
      </c>
      <c r="K5005" s="4">
        <f t="shared" si="1140"/>
        <v>46059</v>
      </c>
      <c r="L5005" s="5">
        <f t="shared" si="1141"/>
        <v>2</v>
      </c>
      <c r="M5005" s="5">
        <f t="shared" si="1142"/>
        <v>2026</v>
      </c>
      <c r="N5005" s="156">
        <v>1552.5</v>
      </c>
      <c r="P5005" s="12"/>
      <c r="Q5005" s="7">
        <f t="shared" si="1143"/>
        <v>8241749.8500000136</v>
      </c>
      <c r="R5005" s="44" t="str">
        <f>VLOOKUP(F5005,'Set up'!$A$2:$E$100,5,FALSE)</f>
        <v>Cash</v>
      </c>
    </row>
    <row r="5006" spans="1:18" ht="16.8" customHeight="1" x14ac:dyDescent="0.3">
      <c r="A5006" s="151" t="s">
        <v>4518</v>
      </c>
      <c r="B5006" s="5">
        <f t="shared" si="1138"/>
        <v>2</v>
      </c>
      <c r="C5006" s="5">
        <f t="shared" si="1139"/>
        <v>2026</v>
      </c>
      <c r="D5006" s="170" t="s">
        <v>4495</v>
      </c>
      <c r="E5006" s="5" t="str">
        <f>VLOOKUP(F5006,'Set up'!$A$2:$C$100,2,FALSE)</f>
        <v>C00000061</v>
      </c>
      <c r="F5006" s="150" t="s">
        <v>3532</v>
      </c>
      <c r="G5006" s="150" t="s">
        <v>3639</v>
      </c>
      <c r="H5006" s="150">
        <v>2</v>
      </c>
      <c r="I5006" s="5" t="str">
        <f>VLOOKUP(F5006,'Set up'!$A$2:$C$100,3,FALSE)</f>
        <v>Cash</v>
      </c>
      <c r="J5006" s="5">
        <f>VLOOKUP(F5006,'Set up'!$A$2:$D$100,4,FALSE)</f>
        <v>0</v>
      </c>
      <c r="K5006" s="4">
        <f t="shared" si="1140"/>
        <v>46059</v>
      </c>
      <c r="L5006" s="5">
        <f t="shared" si="1141"/>
        <v>2</v>
      </c>
      <c r="M5006" s="5">
        <f t="shared" si="1142"/>
        <v>2026</v>
      </c>
      <c r="N5006" s="156">
        <v>817.4</v>
      </c>
      <c r="P5006" s="12"/>
      <c r="Q5006" s="7">
        <f t="shared" si="1143"/>
        <v>8242567.250000014</v>
      </c>
      <c r="R5006" s="44" t="str">
        <f>VLOOKUP(F5006,'Set up'!$A$2:$E$100,5,FALSE)</f>
        <v>Cash</v>
      </c>
    </row>
    <row r="5007" spans="1:18" ht="16.8" customHeight="1" x14ac:dyDescent="0.3">
      <c r="A5007" s="151" t="s">
        <v>4518</v>
      </c>
      <c r="B5007" s="5">
        <f t="shared" si="1138"/>
        <v>2</v>
      </c>
      <c r="C5007" s="5">
        <f t="shared" si="1139"/>
        <v>2026</v>
      </c>
      <c r="D5007" s="170" t="s">
        <v>4496</v>
      </c>
      <c r="E5007" s="5" t="e">
        <f>VLOOKUP(F5007,'Set up'!$A$2:$C$100,2,FALSE)</f>
        <v>#N/A</v>
      </c>
      <c r="F5007" s="150" t="s">
        <v>3837</v>
      </c>
      <c r="G5007" s="150" t="s">
        <v>3507</v>
      </c>
      <c r="H5007" s="150">
        <v>2</v>
      </c>
      <c r="I5007" s="5" t="e">
        <f>VLOOKUP(F5007,'Set up'!$A$2:$C$100,3,FALSE)</f>
        <v>#N/A</v>
      </c>
      <c r="J5007" s="5" t="e">
        <f>VLOOKUP(F5007,'Set up'!$A$2:$D$100,4,FALSE)</f>
        <v>#N/A</v>
      </c>
      <c r="K5007" s="4" t="e">
        <f t="shared" si="1140"/>
        <v>#N/A</v>
      </c>
      <c r="L5007" s="5" t="e">
        <f t="shared" si="1141"/>
        <v>#N/A</v>
      </c>
      <c r="M5007" s="5" t="e">
        <f t="shared" si="1142"/>
        <v>#N/A</v>
      </c>
      <c r="N5007" s="156">
        <v>3240</v>
      </c>
      <c r="P5007" s="12"/>
      <c r="Q5007" s="7">
        <f t="shared" si="1143"/>
        <v>8245807.250000014</v>
      </c>
      <c r="R5007" s="44" t="e">
        <f>VLOOKUP(F5007,'Set up'!$A$2:$E$100,5,FALSE)</f>
        <v>#N/A</v>
      </c>
    </row>
    <row r="5008" spans="1:18" ht="16.8" customHeight="1" x14ac:dyDescent="0.3">
      <c r="A5008" s="151" t="s">
        <v>4518</v>
      </c>
      <c r="B5008" s="5">
        <f t="shared" si="1138"/>
        <v>2</v>
      </c>
      <c r="C5008" s="5">
        <f t="shared" si="1139"/>
        <v>2026</v>
      </c>
      <c r="D5008" s="170" t="s">
        <v>4496</v>
      </c>
      <c r="E5008" s="5" t="e">
        <f>VLOOKUP(F5008,'Set up'!$A$2:$C$100,2,FALSE)</f>
        <v>#N/A</v>
      </c>
      <c r="F5008" s="150" t="s">
        <v>3837</v>
      </c>
      <c r="G5008" s="150" t="s">
        <v>4278</v>
      </c>
      <c r="H5008" s="150">
        <v>3</v>
      </c>
      <c r="I5008" s="5" t="e">
        <f>VLOOKUP(F5008,'Set up'!$A$2:$C$100,3,FALSE)</f>
        <v>#N/A</v>
      </c>
      <c r="J5008" s="5" t="e">
        <f>VLOOKUP(F5008,'Set up'!$A$2:$D$100,4,FALSE)</f>
        <v>#N/A</v>
      </c>
      <c r="K5008" s="4" t="e">
        <f t="shared" si="1140"/>
        <v>#N/A</v>
      </c>
      <c r="L5008" s="5" t="e">
        <f t="shared" si="1141"/>
        <v>#N/A</v>
      </c>
      <c r="M5008" s="5" t="e">
        <f t="shared" si="1142"/>
        <v>#N/A</v>
      </c>
      <c r="N5008" s="156">
        <v>1101.5999999999999</v>
      </c>
      <c r="P5008" s="12"/>
      <c r="Q5008" s="7">
        <f t="shared" si="1143"/>
        <v>8246908.8500000136</v>
      </c>
      <c r="R5008" s="44" t="e">
        <f>VLOOKUP(F5008,'Set up'!$A$2:$E$100,5,FALSE)</f>
        <v>#N/A</v>
      </c>
    </row>
    <row r="5009" spans="1:18" ht="16.8" customHeight="1" x14ac:dyDescent="0.3">
      <c r="A5009" s="151" t="s">
        <v>4518</v>
      </c>
      <c r="B5009" s="5">
        <f t="shared" si="1138"/>
        <v>2</v>
      </c>
      <c r="C5009" s="5">
        <f t="shared" si="1139"/>
        <v>2026</v>
      </c>
      <c r="D5009" s="170" t="s">
        <v>4496</v>
      </c>
      <c r="E5009" s="5" t="e">
        <f>VLOOKUP(F5009,'Set up'!$A$2:$C$100,2,FALSE)</f>
        <v>#N/A</v>
      </c>
      <c r="F5009" s="150" t="s">
        <v>3837</v>
      </c>
      <c r="G5009" s="150" t="s">
        <v>4202</v>
      </c>
      <c r="H5009" s="150">
        <v>1</v>
      </c>
      <c r="I5009" s="5" t="e">
        <f>VLOOKUP(F5009,'Set up'!$A$2:$C$100,3,FALSE)</f>
        <v>#N/A</v>
      </c>
      <c r="J5009" s="5" t="e">
        <f>VLOOKUP(F5009,'Set up'!$A$2:$D$100,4,FALSE)</f>
        <v>#N/A</v>
      </c>
      <c r="K5009" s="4" t="e">
        <f t="shared" si="1140"/>
        <v>#N/A</v>
      </c>
      <c r="L5009" s="5" t="e">
        <f t="shared" si="1141"/>
        <v>#N/A</v>
      </c>
      <c r="M5009" s="5" t="e">
        <f t="shared" si="1142"/>
        <v>#N/A</v>
      </c>
      <c r="N5009" s="156">
        <v>367.2</v>
      </c>
      <c r="P5009" s="12"/>
      <c r="Q5009" s="7">
        <f t="shared" si="1143"/>
        <v>8247276.0500000138</v>
      </c>
      <c r="R5009" s="44" t="e">
        <f>VLOOKUP(F5009,'Set up'!$A$2:$E$100,5,FALSE)</f>
        <v>#N/A</v>
      </c>
    </row>
    <row r="5010" spans="1:18" ht="16.8" customHeight="1" x14ac:dyDescent="0.3">
      <c r="A5010" s="151" t="s">
        <v>4518</v>
      </c>
      <c r="B5010" s="5">
        <f t="shared" si="1138"/>
        <v>2</v>
      </c>
      <c r="C5010" s="5">
        <f t="shared" si="1139"/>
        <v>2026</v>
      </c>
      <c r="D5010" s="170" t="s">
        <v>4496</v>
      </c>
      <c r="E5010" s="5" t="e">
        <f>VLOOKUP(F5010,'Set up'!$A$2:$C$100,2,FALSE)</f>
        <v>#N/A</v>
      </c>
      <c r="F5010" s="150" t="s">
        <v>3837</v>
      </c>
      <c r="G5010" s="150" t="s">
        <v>1449</v>
      </c>
      <c r="H5010" s="150">
        <v>4</v>
      </c>
      <c r="I5010" s="5" t="e">
        <f>VLOOKUP(F5010,'Set up'!$A$2:$C$100,3,FALSE)</f>
        <v>#N/A</v>
      </c>
      <c r="J5010" s="5" t="e">
        <f>VLOOKUP(F5010,'Set up'!$A$2:$D$100,4,FALSE)</f>
        <v>#N/A</v>
      </c>
      <c r="K5010" s="4" t="e">
        <f t="shared" si="1140"/>
        <v>#N/A</v>
      </c>
      <c r="L5010" s="5" t="e">
        <f t="shared" si="1141"/>
        <v>#N/A</v>
      </c>
      <c r="M5010" s="5" t="e">
        <f t="shared" si="1142"/>
        <v>#N/A</v>
      </c>
      <c r="N5010" s="156">
        <v>480</v>
      </c>
      <c r="P5010" s="12"/>
      <c r="Q5010" s="7">
        <f t="shared" si="1143"/>
        <v>8247756.0500000138</v>
      </c>
      <c r="R5010" s="44" t="e">
        <f>VLOOKUP(F5010,'Set up'!$A$2:$E$100,5,FALSE)</f>
        <v>#N/A</v>
      </c>
    </row>
    <row r="5011" spans="1:18" ht="16.8" customHeight="1" x14ac:dyDescent="0.3">
      <c r="A5011" s="151" t="s">
        <v>4518</v>
      </c>
      <c r="B5011" s="5">
        <f t="shared" si="1138"/>
        <v>2</v>
      </c>
      <c r="C5011" s="5">
        <f t="shared" si="1139"/>
        <v>2026</v>
      </c>
      <c r="D5011" s="170" t="s">
        <v>4496</v>
      </c>
      <c r="E5011" s="5" t="e">
        <f>VLOOKUP(F5011,'Set up'!$A$2:$C$100,2,FALSE)</f>
        <v>#N/A</v>
      </c>
      <c r="F5011" s="150" t="s">
        <v>3837</v>
      </c>
      <c r="G5011" s="150" t="s">
        <v>4134</v>
      </c>
      <c r="H5011" s="150">
        <v>6</v>
      </c>
      <c r="I5011" s="5" t="e">
        <f>VLOOKUP(F5011,'Set up'!$A$2:$C$100,3,FALSE)</f>
        <v>#N/A</v>
      </c>
      <c r="J5011" s="5" t="e">
        <f>VLOOKUP(F5011,'Set up'!$A$2:$D$100,4,FALSE)</f>
        <v>#N/A</v>
      </c>
      <c r="K5011" s="4" t="e">
        <f t="shared" si="1140"/>
        <v>#N/A</v>
      </c>
      <c r="L5011" s="5" t="e">
        <f t="shared" si="1141"/>
        <v>#N/A</v>
      </c>
      <c r="M5011" s="5" t="e">
        <f t="shared" si="1142"/>
        <v>#N/A</v>
      </c>
      <c r="N5011" s="156">
        <v>1650</v>
      </c>
      <c r="P5011" s="12"/>
      <c r="Q5011" s="7">
        <f t="shared" si="1143"/>
        <v>8249406.0500000138</v>
      </c>
      <c r="R5011" s="44" t="e">
        <f>VLOOKUP(F5011,'Set up'!$A$2:$E$100,5,FALSE)</f>
        <v>#N/A</v>
      </c>
    </row>
    <row r="5012" spans="1:18" ht="16.8" customHeight="1" x14ac:dyDescent="0.3">
      <c r="A5012" s="151" t="s">
        <v>4518</v>
      </c>
      <c r="B5012" s="5">
        <f t="shared" si="1138"/>
        <v>2</v>
      </c>
      <c r="C5012" s="5">
        <f t="shared" si="1139"/>
        <v>2026</v>
      </c>
      <c r="D5012" s="170" t="s">
        <v>4496</v>
      </c>
      <c r="E5012" s="5" t="e">
        <f>VLOOKUP(F5012,'Set up'!$A$2:$C$100,2,FALSE)</f>
        <v>#N/A</v>
      </c>
      <c r="F5012" s="150" t="s">
        <v>3837</v>
      </c>
      <c r="G5012" s="150" t="s">
        <v>714</v>
      </c>
      <c r="H5012" s="150">
        <v>3</v>
      </c>
      <c r="I5012" s="5" t="e">
        <f>VLOOKUP(F5012,'Set up'!$A$2:$C$100,3,FALSE)</f>
        <v>#N/A</v>
      </c>
      <c r="J5012" s="5" t="e">
        <f>VLOOKUP(F5012,'Set up'!$A$2:$D$100,4,FALSE)</f>
        <v>#N/A</v>
      </c>
      <c r="K5012" s="4" t="e">
        <f t="shared" si="1140"/>
        <v>#N/A</v>
      </c>
      <c r="L5012" s="5" t="e">
        <f t="shared" si="1141"/>
        <v>#N/A</v>
      </c>
      <c r="M5012" s="5" t="e">
        <f t="shared" si="1142"/>
        <v>#N/A</v>
      </c>
      <c r="N5012" s="156">
        <v>187.5</v>
      </c>
      <c r="P5012" s="12"/>
      <c r="Q5012" s="7">
        <f t="shared" si="1143"/>
        <v>8249593.5500000138</v>
      </c>
      <c r="R5012" s="44" t="e">
        <f>VLOOKUP(F5012,'Set up'!$A$2:$E$100,5,FALSE)</f>
        <v>#N/A</v>
      </c>
    </row>
    <row r="5013" spans="1:18" ht="16.8" customHeight="1" x14ac:dyDescent="0.3">
      <c r="A5013" s="151" t="s">
        <v>4518</v>
      </c>
      <c r="B5013" s="5">
        <f t="shared" si="1138"/>
        <v>2</v>
      </c>
      <c r="C5013" s="5">
        <f t="shared" si="1139"/>
        <v>2026</v>
      </c>
      <c r="D5013" s="170" t="s">
        <v>4496</v>
      </c>
      <c r="E5013" s="5" t="e">
        <f>VLOOKUP(F5013,'Set up'!$A$2:$C$100,2,FALSE)</f>
        <v>#N/A</v>
      </c>
      <c r="F5013" s="150" t="s">
        <v>3837</v>
      </c>
      <c r="G5013" s="150" t="s">
        <v>3511</v>
      </c>
      <c r="H5013" s="150">
        <v>3</v>
      </c>
      <c r="I5013" s="5" t="e">
        <f>VLOOKUP(F5013,'Set up'!$A$2:$C$100,3,FALSE)</f>
        <v>#N/A</v>
      </c>
      <c r="J5013" s="5" t="e">
        <f>VLOOKUP(F5013,'Set up'!$A$2:$D$100,4,FALSE)</f>
        <v>#N/A</v>
      </c>
      <c r="K5013" s="4" t="e">
        <f t="shared" si="1140"/>
        <v>#N/A</v>
      </c>
      <c r="L5013" s="5" t="e">
        <f t="shared" si="1141"/>
        <v>#N/A</v>
      </c>
      <c r="M5013" s="5" t="e">
        <f t="shared" si="1142"/>
        <v>#N/A</v>
      </c>
      <c r="N5013" s="156">
        <v>180</v>
      </c>
      <c r="P5013" s="12"/>
      <c r="Q5013" s="7">
        <f t="shared" si="1143"/>
        <v>8249773.5500000138</v>
      </c>
      <c r="R5013" s="44" t="e">
        <f>VLOOKUP(F5013,'Set up'!$A$2:$E$100,5,FALSE)</f>
        <v>#N/A</v>
      </c>
    </row>
    <row r="5014" spans="1:18" ht="16.8" customHeight="1" x14ac:dyDescent="0.3">
      <c r="A5014" s="151" t="s">
        <v>4518</v>
      </c>
      <c r="B5014" s="5">
        <f t="shared" si="1138"/>
        <v>2</v>
      </c>
      <c r="C5014" s="5">
        <f t="shared" si="1139"/>
        <v>2026</v>
      </c>
      <c r="D5014" s="170" t="s">
        <v>4496</v>
      </c>
      <c r="E5014" s="5" t="e">
        <f>VLOOKUP(F5014,'Set up'!$A$2:$C$100,2,FALSE)</f>
        <v>#N/A</v>
      </c>
      <c r="F5014" s="150" t="s">
        <v>3837</v>
      </c>
      <c r="G5014" s="150" t="s">
        <v>1637</v>
      </c>
      <c r="H5014" s="150">
        <v>2</v>
      </c>
      <c r="I5014" s="5" t="e">
        <f>VLOOKUP(F5014,'Set up'!$A$2:$C$100,3,FALSE)</f>
        <v>#N/A</v>
      </c>
      <c r="J5014" s="5" t="e">
        <f>VLOOKUP(F5014,'Set up'!$A$2:$D$100,4,FALSE)</f>
        <v>#N/A</v>
      </c>
      <c r="K5014" s="4" t="e">
        <f t="shared" si="1140"/>
        <v>#N/A</v>
      </c>
      <c r="L5014" s="5" t="e">
        <f t="shared" si="1141"/>
        <v>#N/A</v>
      </c>
      <c r="M5014" s="5" t="e">
        <f t="shared" si="1142"/>
        <v>#N/A</v>
      </c>
      <c r="N5014" s="156">
        <v>800</v>
      </c>
      <c r="P5014" s="12"/>
      <c r="Q5014" s="7">
        <f t="shared" si="1143"/>
        <v>8250573.5500000138</v>
      </c>
      <c r="R5014" s="44" t="e">
        <f>VLOOKUP(F5014,'Set up'!$A$2:$E$100,5,FALSE)</f>
        <v>#N/A</v>
      </c>
    </row>
    <row r="5015" spans="1:18" ht="16.8" customHeight="1" x14ac:dyDescent="0.3">
      <c r="A5015" s="151" t="s">
        <v>4518</v>
      </c>
      <c r="B5015" s="5">
        <f t="shared" si="1138"/>
        <v>2</v>
      </c>
      <c r="C5015" s="5">
        <f t="shared" si="1139"/>
        <v>2026</v>
      </c>
      <c r="D5015" s="170" t="s">
        <v>4496</v>
      </c>
      <c r="E5015" s="5" t="e">
        <f>VLOOKUP(F5015,'Set up'!$A$2:$C$100,2,FALSE)</f>
        <v>#N/A</v>
      </c>
      <c r="F5015" s="150" t="s">
        <v>3837</v>
      </c>
      <c r="G5015" s="150" t="s">
        <v>4267</v>
      </c>
      <c r="H5015" s="150">
        <v>1</v>
      </c>
      <c r="I5015" s="5" t="e">
        <f>VLOOKUP(F5015,'Set up'!$A$2:$C$100,3,FALSE)</f>
        <v>#N/A</v>
      </c>
      <c r="J5015" s="5" t="e">
        <f>VLOOKUP(F5015,'Set up'!$A$2:$D$100,4,FALSE)</f>
        <v>#N/A</v>
      </c>
      <c r="K5015" s="4" t="e">
        <f t="shared" si="1140"/>
        <v>#N/A</v>
      </c>
      <c r="L5015" s="5" t="e">
        <f t="shared" si="1141"/>
        <v>#N/A</v>
      </c>
      <c r="M5015" s="5" t="e">
        <f t="shared" si="1142"/>
        <v>#N/A</v>
      </c>
      <c r="N5015" s="156">
        <v>57.6</v>
      </c>
      <c r="P5015" s="12"/>
      <c r="Q5015" s="7">
        <f t="shared" si="1143"/>
        <v>8250631.1500000134</v>
      </c>
      <c r="R5015" s="44" t="e">
        <f>VLOOKUP(F5015,'Set up'!$A$2:$E$100,5,FALSE)</f>
        <v>#N/A</v>
      </c>
    </row>
    <row r="5016" spans="1:18" ht="16.8" customHeight="1" x14ac:dyDescent="0.3">
      <c r="A5016" s="151" t="s">
        <v>4518</v>
      </c>
      <c r="B5016" s="5">
        <f t="shared" si="1138"/>
        <v>2</v>
      </c>
      <c r="C5016" s="5">
        <f t="shared" si="1139"/>
        <v>2026</v>
      </c>
      <c r="D5016" s="170" t="s">
        <v>4496</v>
      </c>
      <c r="E5016" s="5" t="e">
        <f>VLOOKUP(F5016,'Set up'!$A$2:$C$100,2,FALSE)</f>
        <v>#N/A</v>
      </c>
      <c r="F5016" s="150" t="s">
        <v>3837</v>
      </c>
      <c r="G5016" s="150" t="s">
        <v>4421</v>
      </c>
      <c r="H5016" s="150">
        <v>1</v>
      </c>
      <c r="I5016" s="5" t="e">
        <f>VLOOKUP(F5016,'Set up'!$A$2:$C$100,3,FALSE)</f>
        <v>#N/A</v>
      </c>
      <c r="J5016" s="5" t="e">
        <f>VLOOKUP(F5016,'Set up'!$A$2:$D$100,4,FALSE)</f>
        <v>#N/A</v>
      </c>
      <c r="K5016" s="4" t="e">
        <f t="shared" si="1140"/>
        <v>#N/A</v>
      </c>
      <c r="L5016" s="5" t="e">
        <f t="shared" si="1141"/>
        <v>#N/A</v>
      </c>
      <c r="M5016" s="5" t="e">
        <f t="shared" si="1142"/>
        <v>#N/A</v>
      </c>
      <c r="N5016" s="156">
        <v>54</v>
      </c>
      <c r="P5016" s="12"/>
      <c r="Q5016" s="7">
        <f t="shared" si="1143"/>
        <v>8250685.1500000134</v>
      </c>
      <c r="R5016" s="44" t="e">
        <f>VLOOKUP(F5016,'Set up'!$A$2:$E$100,5,FALSE)</f>
        <v>#N/A</v>
      </c>
    </row>
    <row r="5017" spans="1:18" ht="16.8" customHeight="1" x14ac:dyDescent="0.3">
      <c r="A5017" s="151" t="s">
        <v>4518</v>
      </c>
      <c r="B5017" s="5">
        <f t="shared" si="1138"/>
        <v>2</v>
      </c>
      <c r="C5017" s="5">
        <f t="shared" si="1139"/>
        <v>2026</v>
      </c>
      <c r="D5017" s="170" t="s">
        <v>4496</v>
      </c>
      <c r="E5017" s="5" t="e">
        <f>VLOOKUP(F5017,'Set up'!$A$2:$C$100,2,FALSE)</f>
        <v>#N/A</v>
      </c>
      <c r="F5017" s="150" t="s">
        <v>3837</v>
      </c>
      <c r="G5017" s="150" t="s">
        <v>3841</v>
      </c>
      <c r="H5017" s="150">
        <v>1</v>
      </c>
      <c r="I5017" s="5" t="e">
        <f>VLOOKUP(F5017,'Set up'!$A$2:$C$100,3,FALSE)</f>
        <v>#N/A</v>
      </c>
      <c r="J5017" s="5" t="e">
        <f>VLOOKUP(F5017,'Set up'!$A$2:$D$100,4,FALSE)</f>
        <v>#N/A</v>
      </c>
      <c r="K5017" s="4" t="e">
        <f t="shared" si="1140"/>
        <v>#N/A</v>
      </c>
      <c r="L5017" s="5" t="e">
        <f t="shared" si="1141"/>
        <v>#N/A</v>
      </c>
      <c r="M5017" s="5" t="e">
        <f t="shared" si="1142"/>
        <v>#N/A</v>
      </c>
      <c r="N5017" s="156">
        <v>260</v>
      </c>
      <c r="P5017" s="12"/>
      <c r="Q5017" s="7">
        <f t="shared" si="1143"/>
        <v>8250945.1500000134</v>
      </c>
      <c r="R5017" s="44" t="e">
        <f>VLOOKUP(F5017,'Set up'!$A$2:$E$100,5,FALSE)</f>
        <v>#N/A</v>
      </c>
    </row>
    <row r="5018" spans="1:18" ht="16.8" customHeight="1" x14ac:dyDescent="0.3">
      <c r="A5018" s="151" t="s">
        <v>4518</v>
      </c>
      <c r="B5018" s="5">
        <f t="shared" si="1138"/>
        <v>2</v>
      </c>
      <c r="C5018" s="5">
        <f t="shared" si="1139"/>
        <v>2026</v>
      </c>
      <c r="D5018" s="170" t="s">
        <v>4496</v>
      </c>
      <c r="E5018" s="5" t="e">
        <f>VLOOKUP(F5018,'Set up'!$A$2:$C$100,2,FALSE)</f>
        <v>#N/A</v>
      </c>
      <c r="F5018" s="150" t="s">
        <v>3837</v>
      </c>
      <c r="G5018" s="150" t="s">
        <v>4529</v>
      </c>
      <c r="H5018" s="150">
        <v>2</v>
      </c>
      <c r="I5018" s="5" t="e">
        <f>VLOOKUP(F5018,'Set up'!$A$2:$C$100,3,FALSE)</f>
        <v>#N/A</v>
      </c>
      <c r="J5018" s="5" t="e">
        <f>VLOOKUP(F5018,'Set up'!$A$2:$D$100,4,FALSE)</f>
        <v>#N/A</v>
      </c>
      <c r="K5018" s="4" t="e">
        <f t="shared" si="1140"/>
        <v>#N/A</v>
      </c>
      <c r="L5018" s="5" t="e">
        <f t="shared" si="1141"/>
        <v>#N/A</v>
      </c>
      <c r="M5018" s="5" t="e">
        <f t="shared" si="1142"/>
        <v>#N/A</v>
      </c>
      <c r="N5018" s="156">
        <v>340</v>
      </c>
      <c r="P5018" s="12"/>
      <c r="Q5018" s="7">
        <f t="shared" si="1143"/>
        <v>8251285.1500000134</v>
      </c>
      <c r="R5018" s="44" t="e">
        <f>VLOOKUP(F5018,'Set up'!$A$2:$E$100,5,FALSE)</f>
        <v>#N/A</v>
      </c>
    </row>
    <row r="5019" spans="1:18" ht="16.8" customHeight="1" x14ac:dyDescent="0.3">
      <c r="A5019" s="151" t="s">
        <v>4519</v>
      </c>
      <c r="B5019" s="5">
        <f t="shared" si="1138"/>
        <v>2</v>
      </c>
      <c r="C5019" s="5">
        <f t="shared" si="1139"/>
        <v>2026</v>
      </c>
      <c r="D5019" s="170" t="s">
        <v>4497</v>
      </c>
      <c r="E5019" s="5" t="str">
        <f>VLOOKUP(F5019,'Set up'!$A$2:$C$100,2,FALSE)</f>
        <v>C00000042</v>
      </c>
      <c r="F5019" s="150" t="s">
        <v>2012</v>
      </c>
      <c r="G5019" s="150" t="s">
        <v>2646</v>
      </c>
      <c r="H5019" s="150">
        <v>2</v>
      </c>
      <c r="I5019" s="5" t="str">
        <f>VLOOKUP(F5019,'Set up'!$A$2:$C$100,3,FALSE)</f>
        <v>Cash</v>
      </c>
      <c r="J5019" s="5">
        <f>VLOOKUP(F5019,'Set up'!$A$2:$D$100,4,FALSE)</f>
        <v>0</v>
      </c>
      <c r="K5019" s="4">
        <f t="shared" si="1140"/>
        <v>46062</v>
      </c>
      <c r="L5019" s="5">
        <f t="shared" si="1141"/>
        <v>2</v>
      </c>
      <c r="M5019" s="5">
        <f t="shared" si="1142"/>
        <v>2026</v>
      </c>
      <c r="N5019" s="156">
        <v>125</v>
      </c>
      <c r="P5019" s="12"/>
      <c r="Q5019" s="7">
        <f t="shared" si="1143"/>
        <v>8251410.1500000134</v>
      </c>
      <c r="R5019" s="44" t="str">
        <f>VLOOKUP(F5019,'Set up'!$A$2:$E$100,5,FALSE)</f>
        <v>Trsf</v>
      </c>
    </row>
    <row r="5020" spans="1:18" ht="16.8" customHeight="1" x14ac:dyDescent="0.3">
      <c r="A5020" s="151" t="s">
        <v>4519</v>
      </c>
      <c r="B5020" s="5">
        <f t="shared" si="1138"/>
        <v>2</v>
      </c>
      <c r="C5020" s="5">
        <f t="shared" si="1139"/>
        <v>2026</v>
      </c>
      <c r="D5020" s="170" t="s">
        <v>4498</v>
      </c>
      <c r="E5020" s="5" t="str">
        <f>VLOOKUP(F5020,'Set up'!$A$2:$C$100,2,FALSE)</f>
        <v>C00000042</v>
      </c>
      <c r="F5020" s="150" t="s">
        <v>2012</v>
      </c>
      <c r="G5020" s="150" t="s">
        <v>3645</v>
      </c>
      <c r="H5020" s="150">
        <v>4</v>
      </c>
      <c r="I5020" s="5" t="str">
        <f>VLOOKUP(F5020,'Set up'!$A$2:$C$100,3,FALSE)</f>
        <v>Cash</v>
      </c>
      <c r="J5020" s="5">
        <f>VLOOKUP(F5020,'Set up'!$A$2:$D$100,4,FALSE)</f>
        <v>0</v>
      </c>
      <c r="K5020" s="4">
        <f t="shared" si="1140"/>
        <v>46062</v>
      </c>
      <c r="L5020" s="5">
        <f t="shared" si="1141"/>
        <v>2</v>
      </c>
      <c r="M5020" s="5">
        <f t="shared" si="1142"/>
        <v>2026</v>
      </c>
      <c r="N5020" s="156">
        <v>6120</v>
      </c>
      <c r="P5020" s="12"/>
      <c r="Q5020" s="7">
        <f t="shared" si="1143"/>
        <v>8257530.1500000134</v>
      </c>
      <c r="R5020" s="44" t="str">
        <f>VLOOKUP(F5020,'Set up'!$A$2:$E$100,5,FALSE)</f>
        <v>Trsf</v>
      </c>
    </row>
    <row r="5021" spans="1:18" ht="16.8" customHeight="1" x14ac:dyDescent="0.3">
      <c r="A5021" s="151" t="s">
        <v>4519</v>
      </c>
      <c r="B5021" s="5">
        <f t="shared" si="1138"/>
        <v>2</v>
      </c>
      <c r="C5021" s="5">
        <f t="shared" si="1139"/>
        <v>2026</v>
      </c>
      <c r="D5021" s="170" t="s">
        <v>4498</v>
      </c>
      <c r="E5021" s="5" t="str">
        <f>VLOOKUP(F5021,'Set up'!$A$2:$C$100,2,FALSE)</f>
        <v>C00000042</v>
      </c>
      <c r="F5021" s="150" t="s">
        <v>2012</v>
      </c>
      <c r="G5021" s="150" t="s">
        <v>1392</v>
      </c>
      <c r="H5021" s="150">
        <v>12</v>
      </c>
      <c r="I5021" s="5" t="str">
        <f>VLOOKUP(F5021,'Set up'!$A$2:$C$100,3,FALSE)</f>
        <v>Cash</v>
      </c>
      <c r="J5021" s="5">
        <f>VLOOKUP(F5021,'Set up'!$A$2:$D$100,4,FALSE)</f>
        <v>0</v>
      </c>
      <c r="K5021" s="4">
        <f t="shared" si="1140"/>
        <v>46062</v>
      </c>
      <c r="L5021" s="5">
        <f t="shared" si="1141"/>
        <v>2</v>
      </c>
      <c r="M5021" s="5">
        <f t="shared" si="1142"/>
        <v>2026</v>
      </c>
      <c r="N5021" s="156">
        <v>2124</v>
      </c>
      <c r="P5021" s="12"/>
      <c r="Q5021" s="7">
        <f t="shared" si="1143"/>
        <v>8259654.1500000134</v>
      </c>
      <c r="R5021" s="44" t="str">
        <f>VLOOKUP(F5021,'Set up'!$A$2:$E$100,5,FALSE)</f>
        <v>Trsf</v>
      </c>
    </row>
    <row r="5022" spans="1:18" ht="16.8" customHeight="1" x14ac:dyDescent="0.3">
      <c r="A5022" s="151" t="s">
        <v>4519</v>
      </c>
      <c r="B5022" s="5">
        <f t="shared" si="1138"/>
        <v>2</v>
      </c>
      <c r="C5022" s="5">
        <f t="shared" si="1139"/>
        <v>2026</v>
      </c>
      <c r="D5022" s="170" t="s">
        <v>4498</v>
      </c>
      <c r="E5022" s="5" t="str">
        <f>VLOOKUP(F5022,'Set up'!$A$2:$C$100,2,FALSE)</f>
        <v>C00000042</v>
      </c>
      <c r="F5022" s="150" t="s">
        <v>2012</v>
      </c>
      <c r="G5022" s="150" t="s">
        <v>1922</v>
      </c>
      <c r="H5022" s="150">
        <v>6</v>
      </c>
      <c r="I5022" s="5" t="str">
        <f>VLOOKUP(F5022,'Set up'!$A$2:$C$100,3,FALSE)</f>
        <v>Cash</v>
      </c>
      <c r="J5022" s="5">
        <f>VLOOKUP(F5022,'Set up'!$A$2:$D$100,4,FALSE)</f>
        <v>0</v>
      </c>
      <c r="K5022" s="4">
        <f t="shared" si="1140"/>
        <v>46062</v>
      </c>
      <c r="L5022" s="5">
        <f t="shared" si="1141"/>
        <v>2</v>
      </c>
      <c r="M5022" s="5">
        <f t="shared" si="1142"/>
        <v>2026</v>
      </c>
      <c r="N5022" s="156">
        <v>1377</v>
      </c>
      <c r="P5022" s="12"/>
      <c r="Q5022" s="7">
        <f t="shared" si="1143"/>
        <v>8261031.1500000134</v>
      </c>
      <c r="R5022" s="44" t="str">
        <f>VLOOKUP(F5022,'Set up'!$A$2:$E$100,5,FALSE)</f>
        <v>Trsf</v>
      </c>
    </row>
    <row r="5023" spans="1:18" ht="16.8" customHeight="1" x14ac:dyDescent="0.3">
      <c r="A5023" s="151" t="s">
        <v>4519</v>
      </c>
      <c r="B5023" s="5">
        <f t="shared" si="1138"/>
        <v>2</v>
      </c>
      <c r="C5023" s="5">
        <f t="shared" si="1139"/>
        <v>2026</v>
      </c>
      <c r="D5023" s="170" t="s">
        <v>4498</v>
      </c>
      <c r="E5023" s="5" t="str">
        <f>VLOOKUP(F5023,'Set up'!$A$2:$C$100,2,FALSE)</f>
        <v>C00000042</v>
      </c>
      <c r="F5023" s="150" t="s">
        <v>2012</v>
      </c>
      <c r="G5023" s="150" t="s">
        <v>46</v>
      </c>
      <c r="H5023" s="150">
        <v>4</v>
      </c>
      <c r="I5023" s="5" t="str">
        <f>VLOOKUP(F5023,'Set up'!$A$2:$C$100,3,FALSE)</f>
        <v>Cash</v>
      </c>
      <c r="J5023" s="5">
        <f>VLOOKUP(F5023,'Set up'!$A$2:$D$100,4,FALSE)</f>
        <v>0</v>
      </c>
      <c r="K5023" s="4">
        <f t="shared" si="1140"/>
        <v>46062</v>
      </c>
      <c r="L5023" s="5">
        <f t="shared" si="1141"/>
        <v>2</v>
      </c>
      <c r="M5023" s="5">
        <f t="shared" si="1142"/>
        <v>2026</v>
      </c>
      <c r="N5023" s="156">
        <v>460</v>
      </c>
      <c r="P5023" s="12"/>
      <c r="Q5023" s="7">
        <f t="shared" si="1143"/>
        <v>8261491.1500000134</v>
      </c>
      <c r="R5023" s="44" t="str">
        <f>VLOOKUP(F5023,'Set up'!$A$2:$E$100,5,FALSE)</f>
        <v>Trsf</v>
      </c>
    </row>
    <row r="5024" spans="1:18" ht="16.8" customHeight="1" x14ac:dyDescent="0.3">
      <c r="A5024" s="151" t="s">
        <v>4519</v>
      </c>
      <c r="B5024" s="5">
        <f t="shared" si="1138"/>
        <v>2</v>
      </c>
      <c r="C5024" s="5">
        <f t="shared" si="1139"/>
        <v>2026</v>
      </c>
      <c r="D5024" s="170" t="s">
        <v>4498</v>
      </c>
      <c r="E5024" s="5" t="str">
        <f>VLOOKUP(F5024,'Set up'!$A$2:$C$100,2,FALSE)</f>
        <v>C00000042</v>
      </c>
      <c r="F5024" s="150" t="s">
        <v>2012</v>
      </c>
      <c r="G5024" s="150" t="s">
        <v>2744</v>
      </c>
      <c r="H5024" s="150">
        <v>1</v>
      </c>
      <c r="I5024" s="5" t="str">
        <f>VLOOKUP(F5024,'Set up'!$A$2:$C$100,3,FALSE)</f>
        <v>Cash</v>
      </c>
      <c r="J5024" s="5">
        <f>VLOOKUP(F5024,'Set up'!$A$2:$D$100,4,FALSE)</f>
        <v>0</v>
      </c>
      <c r="K5024" s="4">
        <f t="shared" si="1140"/>
        <v>46062</v>
      </c>
      <c r="L5024" s="5">
        <f t="shared" si="1141"/>
        <v>2</v>
      </c>
      <c r="M5024" s="5">
        <f t="shared" si="1142"/>
        <v>2026</v>
      </c>
      <c r="N5024" s="156">
        <v>1000</v>
      </c>
      <c r="P5024" s="12"/>
      <c r="Q5024" s="7">
        <f t="shared" si="1143"/>
        <v>8262491.1500000134</v>
      </c>
      <c r="R5024" s="44" t="str">
        <f>VLOOKUP(F5024,'Set up'!$A$2:$E$100,5,FALSE)</f>
        <v>Trsf</v>
      </c>
    </row>
    <row r="5025" spans="1:18" ht="16.8" customHeight="1" x14ac:dyDescent="0.3">
      <c r="A5025" s="151" t="s">
        <v>4520</v>
      </c>
      <c r="B5025" s="5">
        <f t="shared" si="1138"/>
        <v>2</v>
      </c>
      <c r="C5025" s="5">
        <f t="shared" si="1139"/>
        <v>2026</v>
      </c>
      <c r="D5025" s="170" t="s">
        <v>4499</v>
      </c>
      <c r="E5025" s="5" t="str">
        <f>VLOOKUP(F5025,'Set up'!$A$2:$C$100,2,FALSE)</f>
        <v>C00000013</v>
      </c>
      <c r="F5025" s="150" t="s">
        <v>3549</v>
      </c>
      <c r="G5025" s="150" t="s">
        <v>3507</v>
      </c>
      <c r="H5025" s="150">
        <v>1</v>
      </c>
      <c r="I5025" s="5" t="str">
        <f>VLOOKUP(F5025,'Set up'!$A$2:$C$100,3,FALSE)</f>
        <v>Cash</v>
      </c>
      <c r="J5025" s="5">
        <f>VLOOKUP(F5025,'Set up'!$A$2:$D$100,4,FALSE)</f>
        <v>0</v>
      </c>
      <c r="K5025" s="4">
        <f t="shared" si="1140"/>
        <v>46063</v>
      </c>
      <c r="L5025" s="5">
        <f t="shared" si="1141"/>
        <v>2</v>
      </c>
      <c r="M5025" s="5">
        <f t="shared" si="1142"/>
        <v>2026</v>
      </c>
      <c r="N5025" s="156">
        <v>1687.5</v>
      </c>
      <c r="P5025" s="12"/>
      <c r="Q5025" s="7">
        <f t="shared" si="1143"/>
        <v>8264178.6500000134</v>
      </c>
      <c r="R5025" s="44" t="str">
        <f>VLOOKUP(F5025,'Set up'!$A$2:$E$100,5,FALSE)</f>
        <v>Chq</v>
      </c>
    </row>
    <row r="5026" spans="1:18" ht="16.8" customHeight="1" x14ac:dyDescent="0.3">
      <c r="A5026" s="151" t="s">
        <v>4520</v>
      </c>
      <c r="B5026" s="5">
        <f t="shared" si="1138"/>
        <v>2</v>
      </c>
      <c r="C5026" s="5">
        <f t="shared" si="1139"/>
        <v>2026</v>
      </c>
      <c r="D5026" s="170" t="s">
        <v>4499</v>
      </c>
      <c r="E5026" s="5" t="str">
        <f>VLOOKUP(F5026,'Set up'!$A$2:$C$100,2,FALSE)</f>
        <v>C00000013</v>
      </c>
      <c r="F5026" s="150" t="s">
        <v>3549</v>
      </c>
      <c r="G5026" s="150" t="s">
        <v>1443</v>
      </c>
      <c r="H5026" s="150">
        <v>1</v>
      </c>
      <c r="I5026" s="5" t="str">
        <f>VLOOKUP(F5026,'Set up'!$A$2:$C$100,3,FALSE)</f>
        <v>Cash</v>
      </c>
      <c r="J5026" s="5">
        <f>VLOOKUP(F5026,'Set up'!$A$2:$D$100,4,FALSE)</f>
        <v>0</v>
      </c>
      <c r="K5026" s="4">
        <f t="shared" si="1140"/>
        <v>46063</v>
      </c>
      <c r="L5026" s="5">
        <f t="shared" si="1141"/>
        <v>2</v>
      </c>
      <c r="M5026" s="5">
        <f t="shared" si="1142"/>
        <v>2026</v>
      </c>
      <c r="N5026" s="156">
        <v>388.8</v>
      </c>
      <c r="P5026" s="12"/>
      <c r="Q5026" s="7">
        <f t="shared" si="1143"/>
        <v>8264567.4500000132</v>
      </c>
      <c r="R5026" s="44" t="str">
        <f>VLOOKUP(F5026,'Set up'!$A$2:$E$100,5,FALSE)</f>
        <v>Chq</v>
      </c>
    </row>
    <row r="5027" spans="1:18" ht="16.8" customHeight="1" x14ac:dyDescent="0.3">
      <c r="A5027" s="151" t="s">
        <v>4520</v>
      </c>
      <c r="B5027" s="5">
        <f t="shared" si="1138"/>
        <v>2</v>
      </c>
      <c r="C5027" s="5">
        <f t="shared" si="1139"/>
        <v>2026</v>
      </c>
      <c r="D5027" s="170" t="s">
        <v>4499</v>
      </c>
      <c r="E5027" s="5" t="str">
        <f>VLOOKUP(F5027,'Set up'!$A$2:$C$100,2,FALSE)</f>
        <v>C00000013</v>
      </c>
      <c r="F5027" s="150" t="s">
        <v>3549</v>
      </c>
      <c r="G5027" s="150" t="s">
        <v>1444</v>
      </c>
      <c r="H5027" s="150">
        <v>1</v>
      </c>
      <c r="I5027" s="5" t="str">
        <f>VLOOKUP(F5027,'Set up'!$A$2:$C$100,3,FALSE)</f>
        <v>Cash</v>
      </c>
      <c r="J5027" s="5">
        <f>VLOOKUP(F5027,'Set up'!$A$2:$D$100,4,FALSE)</f>
        <v>0</v>
      </c>
      <c r="K5027" s="4">
        <f t="shared" si="1140"/>
        <v>46063</v>
      </c>
      <c r="L5027" s="5">
        <f t="shared" si="1141"/>
        <v>2</v>
      </c>
      <c r="M5027" s="5">
        <f t="shared" si="1142"/>
        <v>2026</v>
      </c>
      <c r="N5027" s="156">
        <v>388.8</v>
      </c>
      <c r="P5027" s="12"/>
      <c r="Q5027" s="7">
        <f t="shared" si="1143"/>
        <v>8264956.250000013</v>
      </c>
      <c r="R5027" s="44" t="str">
        <f>VLOOKUP(F5027,'Set up'!$A$2:$E$100,5,FALSE)</f>
        <v>Chq</v>
      </c>
    </row>
    <row r="5028" spans="1:18" ht="16.8" customHeight="1" x14ac:dyDescent="0.3">
      <c r="A5028" s="151" t="s">
        <v>4520</v>
      </c>
      <c r="B5028" s="5">
        <f t="shared" si="1138"/>
        <v>2</v>
      </c>
      <c r="C5028" s="5">
        <f t="shared" si="1139"/>
        <v>2026</v>
      </c>
      <c r="D5028" s="170" t="s">
        <v>4499</v>
      </c>
      <c r="E5028" s="5" t="str">
        <f>VLOOKUP(F5028,'Set up'!$A$2:$C$100,2,FALSE)</f>
        <v>C00000013</v>
      </c>
      <c r="F5028" s="150" t="s">
        <v>3549</v>
      </c>
      <c r="G5028" s="150" t="s">
        <v>3508</v>
      </c>
      <c r="H5028" s="150">
        <v>2</v>
      </c>
      <c r="I5028" s="5" t="str">
        <f>VLOOKUP(F5028,'Set up'!$A$2:$C$100,3,FALSE)</f>
        <v>Cash</v>
      </c>
      <c r="J5028" s="5">
        <f>VLOOKUP(F5028,'Set up'!$A$2:$D$100,4,FALSE)</f>
        <v>0</v>
      </c>
      <c r="K5028" s="4">
        <f t="shared" si="1140"/>
        <v>46063</v>
      </c>
      <c r="L5028" s="5">
        <f t="shared" si="1141"/>
        <v>2</v>
      </c>
      <c r="M5028" s="5">
        <f t="shared" si="1142"/>
        <v>2026</v>
      </c>
      <c r="N5028" s="156">
        <v>567.6</v>
      </c>
      <c r="P5028" s="12"/>
      <c r="Q5028" s="7">
        <f t="shared" si="1143"/>
        <v>8265523.8500000127</v>
      </c>
      <c r="R5028" s="44" t="str">
        <f>VLOOKUP(F5028,'Set up'!$A$2:$E$100,5,FALSE)</f>
        <v>Chq</v>
      </c>
    </row>
    <row r="5029" spans="1:18" ht="16.8" customHeight="1" x14ac:dyDescent="0.3">
      <c r="A5029" s="151" t="s">
        <v>4520</v>
      </c>
      <c r="B5029" s="5">
        <f t="shared" si="1138"/>
        <v>2</v>
      </c>
      <c r="C5029" s="5">
        <f t="shared" si="1139"/>
        <v>2026</v>
      </c>
      <c r="D5029" s="170" t="s">
        <v>4499</v>
      </c>
      <c r="E5029" s="5" t="str">
        <f>VLOOKUP(F5029,'Set up'!$A$2:$C$100,2,FALSE)</f>
        <v>C00000013</v>
      </c>
      <c r="F5029" s="150" t="s">
        <v>3549</v>
      </c>
      <c r="G5029" s="150" t="s">
        <v>4530</v>
      </c>
      <c r="H5029" s="150">
        <v>1</v>
      </c>
      <c r="I5029" s="5" t="str">
        <f>VLOOKUP(F5029,'Set up'!$A$2:$C$100,3,FALSE)</f>
        <v>Cash</v>
      </c>
      <c r="J5029" s="5">
        <f>VLOOKUP(F5029,'Set up'!$A$2:$D$100,4,FALSE)</f>
        <v>0</v>
      </c>
      <c r="K5029" s="4">
        <f t="shared" si="1140"/>
        <v>46063</v>
      </c>
      <c r="L5029" s="5">
        <f t="shared" si="1141"/>
        <v>2</v>
      </c>
      <c r="M5029" s="5">
        <f t="shared" si="1142"/>
        <v>2026</v>
      </c>
      <c r="N5029" s="156">
        <v>180</v>
      </c>
      <c r="P5029" s="12"/>
      <c r="Q5029" s="7">
        <f t="shared" si="1143"/>
        <v>8265703.8500000127</v>
      </c>
      <c r="R5029" s="44" t="str">
        <f>VLOOKUP(F5029,'Set up'!$A$2:$E$100,5,FALSE)</f>
        <v>Chq</v>
      </c>
    </row>
    <row r="5030" spans="1:18" ht="16.8" customHeight="1" x14ac:dyDescent="0.3">
      <c r="A5030" s="151" t="s">
        <v>4520</v>
      </c>
      <c r="B5030" s="5">
        <f t="shared" si="1138"/>
        <v>2</v>
      </c>
      <c r="C5030" s="5">
        <f t="shared" si="1139"/>
        <v>2026</v>
      </c>
      <c r="D5030" s="170" t="s">
        <v>4499</v>
      </c>
      <c r="E5030" s="5" t="str">
        <f>VLOOKUP(F5030,'Set up'!$A$2:$C$100,2,FALSE)</f>
        <v>C00000013</v>
      </c>
      <c r="F5030" s="150" t="s">
        <v>3549</v>
      </c>
      <c r="G5030" s="150" t="s">
        <v>1637</v>
      </c>
      <c r="H5030" s="150">
        <v>2</v>
      </c>
      <c r="I5030" s="5" t="str">
        <f>VLOOKUP(F5030,'Set up'!$A$2:$C$100,3,FALSE)</f>
        <v>Cash</v>
      </c>
      <c r="J5030" s="5">
        <f>VLOOKUP(F5030,'Set up'!$A$2:$D$100,4,FALSE)</f>
        <v>0</v>
      </c>
      <c r="K5030" s="4">
        <f t="shared" si="1140"/>
        <v>46063</v>
      </c>
      <c r="L5030" s="5">
        <f t="shared" si="1141"/>
        <v>2</v>
      </c>
      <c r="M5030" s="5">
        <f t="shared" si="1142"/>
        <v>2026</v>
      </c>
      <c r="N5030" s="156">
        <v>860</v>
      </c>
      <c r="P5030" s="12"/>
      <c r="Q5030" s="7">
        <f t="shared" si="1143"/>
        <v>8266563.8500000127</v>
      </c>
      <c r="R5030" s="44" t="str">
        <f>VLOOKUP(F5030,'Set up'!$A$2:$E$100,5,FALSE)</f>
        <v>Chq</v>
      </c>
    </row>
    <row r="5031" spans="1:18" ht="16.8" customHeight="1" x14ac:dyDescent="0.3">
      <c r="A5031" s="151" t="s">
        <v>4520</v>
      </c>
      <c r="B5031" s="5">
        <f t="shared" si="1138"/>
        <v>2</v>
      </c>
      <c r="C5031" s="5">
        <f t="shared" si="1139"/>
        <v>2026</v>
      </c>
      <c r="D5031" s="170" t="s">
        <v>4499</v>
      </c>
      <c r="E5031" s="5" t="str">
        <f>VLOOKUP(F5031,'Set up'!$A$2:$C$100,2,FALSE)</f>
        <v>C00000013</v>
      </c>
      <c r="F5031" s="150" t="s">
        <v>3549</v>
      </c>
      <c r="G5031" s="150" t="s">
        <v>1449</v>
      </c>
      <c r="H5031" s="150">
        <v>1</v>
      </c>
      <c r="I5031" s="5" t="str">
        <f>VLOOKUP(F5031,'Set up'!$A$2:$C$100,3,FALSE)</f>
        <v>Cash</v>
      </c>
      <c r="J5031" s="5">
        <f>VLOOKUP(F5031,'Set up'!$A$2:$D$100,4,FALSE)</f>
        <v>0</v>
      </c>
      <c r="K5031" s="4">
        <f t="shared" si="1140"/>
        <v>46063</v>
      </c>
      <c r="L5031" s="5">
        <f t="shared" si="1141"/>
        <v>2</v>
      </c>
      <c r="M5031" s="5">
        <f t="shared" si="1142"/>
        <v>2026</v>
      </c>
      <c r="N5031" s="156">
        <v>120</v>
      </c>
      <c r="P5031" s="12"/>
      <c r="Q5031" s="7">
        <f t="shared" si="1143"/>
        <v>8266683.8500000127</v>
      </c>
      <c r="R5031" s="44" t="str">
        <f>VLOOKUP(F5031,'Set up'!$A$2:$E$100,5,FALSE)</f>
        <v>Chq</v>
      </c>
    </row>
    <row r="5032" spans="1:18" ht="16.8" customHeight="1" x14ac:dyDescent="0.3">
      <c r="A5032" s="151" t="s">
        <v>4520</v>
      </c>
      <c r="B5032" s="5">
        <f t="shared" si="1138"/>
        <v>2</v>
      </c>
      <c r="C5032" s="5">
        <f t="shared" si="1139"/>
        <v>2026</v>
      </c>
      <c r="D5032" s="170" t="s">
        <v>4499</v>
      </c>
      <c r="E5032" s="5" t="str">
        <f>VLOOKUP(F5032,'Set up'!$A$2:$C$100,2,FALSE)</f>
        <v>C00000013</v>
      </c>
      <c r="F5032" s="150" t="s">
        <v>3549</v>
      </c>
      <c r="G5032" s="150" t="s">
        <v>3509</v>
      </c>
      <c r="H5032" s="150">
        <v>1</v>
      </c>
      <c r="I5032" s="5" t="str">
        <f>VLOOKUP(F5032,'Set up'!$A$2:$C$100,3,FALSE)</f>
        <v>Cash</v>
      </c>
      <c r="J5032" s="5">
        <f>VLOOKUP(F5032,'Set up'!$A$2:$D$100,4,FALSE)</f>
        <v>0</v>
      </c>
      <c r="K5032" s="4">
        <f t="shared" si="1140"/>
        <v>46063</v>
      </c>
      <c r="L5032" s="5">
        <f t="shared" si="1141"/>
        <v>2</v>
      </c>
      <c r="M5032" s="5">
        <f t="shared" si="1142"/>
        <v>2026</v>
      </c>
      <c r="N5032" s="156">
        <v>60</v>
      </c>
      <c r="P5032" s="12"/>
      <c r="Q5032" s="7">
        <f t="shared" si="1143"/>
        <v>8266743.8500000127</v>
      </c>
      <c r="R5032" s="44" t="str">
        <f>VLOOKUP(F5032,'Set up'!$A$2:$E$100,5,FALSE)</f>
        <v>Chq</v>
      </c>
    </row>
    <row r="5033" spans="1:18" ht="16.8" customHeight="1" x14ac:dyDescent="0.3">
      <c r="A5033" s="151" t="s">
        <v>4520</v>
      </c>
      <c r="B5033" s="5">
        <f t="shared" si="1138"/>
        <v>2</v>
      </c>
      <c r="C5033" s="5">
        <f t="shared" si="1139"/>
        <v>2026</v>
      </c>
      <c r="D5033" s="170" t="s">
        <v>4499</v>
      </c>
      <c r="E5033" s="5" t="str">
        <f>VLOOKUP(F5033,'Set up'!$A$2:$C$100,2,FALSE)</f>
        <v>C00000013</v>
      </c>
      <c r="F5033" s="150" t="s">
        <v>3549</v>
      </c>
      <c r="G5033" s="150" t="s">
        <v>4531</v>
      </c>
      <c r="H5033" s="150">
        <v>1</v>
      </c>
      <c r="I5033" s="5" t="str">
        <f>VLOOKUP(F5033,'Set up'!$A$2:$C$100,3,FALSE)</f>
        <v>Cash</v>
      </c>
      <c r="J5033" s="5">
        <f>VLOOKUP(F5033,'Set up'!$A$2:$D$100,4,FALSE)</f>
        <v>0</v>
      </c>
      <c r="K5033" s="4">
        <f t="shared" si="1140"/>
        <v>46063</v>
      </c>
      <c r="L5033" s="5">
        <f t="shared" si="1141"/>
        <v>2</v>
      </c>
      <c r="M5033" s="5">
        <f t="shared" si="1142"/>
        <v>2026</v>
      </c>
      <c r="N5033" s="156">
        <v>185</v>
      </c>
      <c r="P5033" s="12"/>
      <c r="Q5033" s="7">
        <f t="shared" si="1143"/>
        <v>8266928.8500000127</v>
      </c>
      <c r="R5033" s="44" t="str">
        <f>VLOOKUP(F5033,'Set up'!$A$2:$E$100,5,FALSE)</f>
        <v>Chq</v>
      </c>
    </row>
    <row r="5034" spans="1:18" ht="16.8" customHeight="1" x14ac:dyDescent="0.3">
      <c r="A5034" s="151" t="s">
        <v>4521</v>
      </c>
      <c r="B5034" s="5">
        <f t="shared" si="1138"/>
        <v>2</v>
      </c>
      <c r="C5034" s="5">
        <f t="shared" si="1139"/>
        <v>2026</v>
      </c>
      <c r="D5034" s="170" t="s">
        <v>4500</v>
      </c>
      <c r="E5034" s="5" t="str">
        <f>VLOOKUP(F5034,'Set up'!$A$2:$C$100,2,FALSE)</f>
        <v>C00000049</v>
      </c>
      <c r="F5034" s="150" t="s">
        <v>2728</v>
      </c>
      <c r="G5034" s="150" t="s">
        <v>4532</v>
      </c>
      <c r="H5034" s="150">
        <v>1</v>
      </c>
      <c r="I5034" s="5" t="str">
        <f>VLOOKUP(F5034,'Set up'!$A$2:$C$100,3,FALSE)</f>
        <v>Cash</v>
      </c>
      <c r="J5034" s="5">
        <f>VLOOKUP(F5034,'Set up'!$A$2:$D$100,4,FALSE)</f>
        <v>0</v>
      </c>
      <c r="K5034" s="4">
        <f t="shared" si="1140"/>
        <v>46064</v>
      </c>
      <c r="L5034" s="5">
        <f t="shared" si="1141"/>
        <v>2</v>
      </c>
      <c r="M5034" s="5">
        <f t="shared" si="1142"/>
        <v>2026</v>
      </c>
      <c r="N5034" s="156">
        <v>3200</v>
      </c>
      <c r="P5034" s="12"/>
      <c r="Q5034" s="7">
        <f t="shared" si="1143"/>
        <v>8270128.8500000127</v>
      </c>
      <c r="R5034" s="44" t="str">
        <f>VLOOKUP(F5034,'Set up'!$A$2:$E$100,5,FALSE)</f>
        <v>Cash</v>
      </c>
    </row>
    <row r="5035" spans="1:18" ht="16.8" customHeight="1" x14ac:dyDescent="0.3">
      <c r="A5035" s="151" t="s">
        <v>4521</v>
      </c>
      <c r="B5035" s="5">
        <f t="shared" si="1138"/>
        <v>2</v>
      </c>
      <c r="C5035" s="5">
        <f t="shared" si="1139"/>
        <v>2026</v>
      </c>
      <c r="D5035" s="170" t="s">
        <v>4500</v>
      </c>
      <c r="E5035" s="5" t="str">
        <f>VLOOKUP(F5035,'Set up'!$A$2:$C$100,2,FALSE)</f>
        <v>C00000049</v>
      </c>
      <c r="F5035" s="150" t="s">
        <v>2728</v>
      </c>
      <c r="G5035" s="150" t="s">
        <v>4046</v>
      </c>
      <c r="H5035" s="150">
        <v>1</v>
      </c>
      <c r="I5035" s="5" t="str">
        <f>VLOOKUP(F5035,'Set up'!$A$2:$C$100,3,FALSE)</f>
        <v>Cash</v>
      </c>
      <c r="J5035" s="5">
        <f>VLOOKUP(F5035,'Set up'!$A$2:$D$100,4,FALSE)</f>
        <v>0</v>
      </c>
      <c r="K5035" s="4">
        <f t="shared" si="1140"/>
        <v>46064</v>
      </c>
      <c r="L5035" s="5">
        <f t="shared" si="1141"/>
        <v>2</v>
      </c>
      <c r="M5035" s="5">
        <f t="shared" si="1142"/>
        <v>2026</v>
      </c>
      <c r="N5035" s="156">
        <v>216</v>
      </c>
      <c r="P5035" s="12"/>
      <c r="Q5035" s="7">
        <f t="shared" si="1143"/>
        <v>8270344.8500000127</v>
      </c>
      <c r="R5035" s="44" t="str">
        <f>VLOOKUP(F5035,'Set up'!$A$2:$E$100,5,FALSE)</f>
        <v>Cash</v>
      </c>
    </row>
    <row r="5036" spans="1:18" ht="16.8" customHeight="1" x14ac:dyDescent="0.3">
      <c r="A5036" s="151" t="s">
        <v>4521</v>
      </c>
      <c r="B5036" s="5">
        <f t="shared" si="1138"/>
        <v>2</v>
      </c>
      <c r="C5036" s="5">
        <f t="shared" si="1139"/>
        <v>2026</v>
      </c>
      <c r="D5036" s="170" t="s">
        <v>4500</v>
      </c>
      <c r="E5036" s="5" t="str">
        <f>VLOOKUP(F5036,'Set up'!$A$2:$C$100,2,FALSE)</f>
        <v>C00000049</v>
      </c>
      <c r="F5036" s="150" t="s">
        <v>2728</v>
      </c>
      <c r="G5036" s="150" t="s">
        <v>4533</v>
      </c>
      <c r="H5036" s="150">
        <v>2</v>
      </c>
      <c r="I5036" s="5" t="str">
        <f>VLOOKUP(F5036,'Set up'!$A$2:$C$100,3,FALSE)</f>
        <v>Cash</v>
      </c>
      <c r="J5036" s="5">
        <f>VLOOKUP(F5036,'Set up'!$A$2:$D$100,4,FALSE)</f>
        <v>0</v>
      </c>
      <c r="K5036" s="4">
        <f t="shared" si="1140"/>
        <v>46064</v>
      </c>
      <c r="L5036" s="5">
        <f t="shared" si="1141"/>
        <v>2</v>
      </c>
      <c r="M5036" s="5">
        <f t="shared" si="1142"/>
        <v>2026</v>
      </c>
      <c r="N5036" s="156">
        <v>330</v>
      </c>
      <c r="P5036" s="12"/>
      <c r="Q5036" s="7">
        <f t="shared" si="1143"/>
        <v>8270674.8500000127</v>
      </c>
      <c r="R5036" s="44" t="str">
        <f>VLOOKUP(F5036,'Set up'!$A$2:$E$100,5,FALSE)</f>
        <v>Cash</v>
      </c>
    </row>
    <row r="5037" spans="1:18" ht="16.8" customHeight="1" x14ac:dyDescent="0.3">
      <c r="A5037" s="151" t="s">
        <v>4521</v>
      </c>
      <c r="B5037" s="5">
        <f t="shared" si="1138"/>
        <v>2</v>
      </c>
      <c r="C5037" s="5">
        <f t="shared" si="1139"/>
        <v>2026</v>
      </c>
      <c r="D5037" s="170" t="s">
        <v>4500</v>
      </c>
      <c r="E5037" s="5" t="str">
        <f>VLOOKUP(F5037,'Set up'!$A$2:$C$100,2,FALSE)</f>
        <v>C00000049</v>
      </c>
      <c r="F5037" s="150" t="s">
        <v>2728</v>
      </c>
      <c r="G5037" s="150" t="s">
        <v>1908</v>
      </c>
      <c r="H5037" s="150">
        <v>1</v>
      </c>
      <c r="I5037" s="5" t="str">
        <f>VLOOKUP(F5037,'Set up'!$A$2:$C$100,3,FALSE)</f>
        <v>Cash</v>
      </c>
      <c r="J5037" s="5">
        <f>VLOOKUP(F5037,'Set up'!$A$2:$D$100,4,FALSE)</f>
        <v>0</v>
      </c>
      <c r="K5037" s="4">
        <f t="shared" si="1140"/>
        <v>46064</v>
      </c>
      <c r="L5037" s="5">
        <f t="shared" si="1141"/>
        <v>2</v>
      </c>
      <c r="M5037" s="5">
        <f t="shared" si="1142"/>
        <v>2026</v>
      </c>
      <c r="N5037" s="156">
        <v>175</v>
      </c>
      <c r="P5037" s="12"/>
      <c r="Q5037" s="7">
        <f t="shared" si="1143"/>
        <v>8270849.8500000127</v>
      </c>
      <c r="R5037" s="44" t="str">
        <f>VLOOKUP(F5037,'Set up'!$A$2:$E$100,5,FALSE)</f>
        <v>Cash</v>
      </c>
    </row>
    <row r="5038" spans="1:18" ht="16.8" customHeight="1" x14ac:dyDescent="0.3">
      <c r="A5038" s="151" t="s">
        <v>4521</v>
      </c>
      <c r="B5038" s="5">
        <f t="shared" si="1138"/>
        <v>2</v>
      </c>
      <c r="C5038" s="5">
        <f t="shared" si="1139"/>
        <v>2026</v>
      </c>
      <c r="D5038" s="170" t="s">
        <v>4500</v>
      </c>
      <c r="E5038" s="5" t="str">
        <f>VLOOKUP(F5038,'Set up'!$A$2:$C$100,2,FALSE)</f>
        <v>C00000049</v>
      </c>
      <c r="F5038" s="150" t="s">
        <v>2728</v>
      </c>
      <c r="G5038" s="150" t="s">
        <v>4534</v>
      </c>
      <c r="H5038" s="150">
        <v>1</v>
      </c>
      <c r="I5038" s="5" t="str">
        <f>VLOOKUP(F5038,'Set up'!$A$2:$C$100,3,FALSE)</f>
        <v>Cash</v>
      </c>
      <c r="J5038" s="5">
        <f>VLOOKUP(F5038,'Set up'!$A$2:$D$100,4,FALSE)</f>
        <v>0</v>
      </c>
      <c r="K5038" s="4">
        <f t="shared" si="1140"/>
        <v>46064</v>
      </c>
      <c r="L5038" s="5">
        <f t="shared" si="1141"/>
        <v>2</v>
      </c>
      <c r="M5038" s="5">
        <f t="shared" si="1142"/>
        <v>2026</v>
      </c>
      <c r="N5038" s="156">
        <v>200</v>
      </c>
      <c r="P5038" s="12"/>
      <c r="Q5038" s="7">
        <f t="shared" si="1143"/>
        <v>8271049.8500000127</v>
      </c>
      <c r="R5038" s="44" t="str">
        <f>VLOOKUP(F5038,'Set up'!$A$2:$E$100,5,FALSE)</f>
        <v>Cash</v>
      </c>
    </row>
    <row r="5039" spans="1:18" ht="16.8" customHeight="1" x14ac:dyDescent="0.3">
      <c r="A5039" s="151" t="s">
        <v>4521</v>
      </c>
      <c r="B5039" s="5">
        <f t="shared" si="1138"/>
        <v>2</v>
      </c>
      <c r="C5039" s="5">
        <f t="shared" si="1139"/>
        <v>2026</v>
      </c>
      <c r="D5039" s="170" t="s">
        <v>4500</v>
      </c>
      <c r="E5039" s="5" t="str">
        <f>VLOOKUP(F5039,'Set up'!$A$2:$C$100,2,FALSE)</f>
        <v>C00000049</v>
      </c>
      <c r="F5039" s="150" t="s">
        <v>2728</v>
      </c>
      <c r="G5039" s="150" t="s">
        <v>46</v>
      </c>
      <c r="H5039" s="150">
        <v>1</v>
      </c>
      <c r="I5039" s="5" t="str">
        <f>VLOOKUP(F5039,'Set up'!$A$2:$C$100,3,FALSE)</f>
        <v>Cash</v>
      </c>
      <c r="J5039" s="5">
        <f>VLOOKUP(F5039,'Set up'!$A$2:$D$100,4,FALSE)</f>
        <v>0</v>
      </c>
      <c r="K5039" s="4">
        <f t="shared" si="1140"/>
        <v>46064</v>
      </c>
      <c r="L5039" s="5">
        <f t="shared" si="1141"/>
        <v>2</v>
      </c>
      <c r="M5039" s="5">
        <f t="shared" si="1142"/>
        <v>2026</v>
      </c>
      <c r="N5039" s="156">
        <v>120</v>
      </c>
      <c r="P5039" s="12"/>
      <c r="Q5039" s="7">
        <f t="shared" si="1143"/>
        <v>8271169.8500000127</v>
      </c>
      <c r="R5039" s="44" t="str">
        <f>VLOOKUP(F5039,'Set up'!$A$2:$E$100,5,FALSE)</f>
        <v>Cash</v>
      </c>
    </row>
    <row r="5040" spans="1:18" ht="16.8" customHeight="1" x14ac:dyDescent="0.3">
      <c r="A5040" s="151" t="s">
        <v>4521</v>
      </c>
      <c r="B5040" s="5">
        <f t="shared" si="1138"/>
        <v>2</v>
      </c>
      <c r="C5040" s="5">
        <f t="shared" si="1139"/>
        <v>2026</v>
      </c>
      <c r="D5040" s="170" t="s">
        <v>4500</v>
      </c>
      <c r="E5040" s="5" t="str">
        <f>VLOOKUP(F5040,'Set up'!$A$2:$C$100,2,FALSE)</f>
        <v>C00000049</v>
      </c>
      <c r="F5040" s="150" t="s">
        <v>2728</v>
      </c>
      <c r="G5040" s="150" t="s">
        <v>4535</v>
      </c>
      <c r="H5040" s="150">
        <v>1</v>
      </c>
      <c r="I5040" s="5" t="str">
        <f>VLOOKUP(F5040,'Set up'!$A$2:$C$100,3,FALSE)</f>
        <v>Cash</v>
      </c>
      <c r="J5040" s="5">
        <f>VLOOKUP(F5040,'Set up'!$A$2:$D$100,4,FALSE)</f>
        <v>0</v>
      </c>
      <c r="K5040" s="4">
        <f t="shared" si="1140"/>
        <v>46064</v>
      </c>
      <c r="L5040" s="5">
        <f t="shared" si="1141"/>
        <v>2</v>
      </c>
      <c r="M5040" s="5">
        <f t="shared" si="1142"/>
        <v>2026</v>
      </c>
      <c r="N5040" s="156">
        <v>240</v>
      </c>
      <c r="P5040" s="12"/>
      <c r="Q5040" s="7">
        <f t="shared" si="1143"/>
        <v>8271409.8500000127</v>
      </c>
      <c r="R5040" s="44" t="str">
        <f>VLOOKUP(F5040,'Set up'!$A$2:$E$100,5,FALSE)</f>
        <v>Cash</v>
      </c>
    </row>
    <row r="5041" spans="1:18" ht="16.8" customHeight="1" x14ac:dyDescent="0.3">
      <c r="A5041" s="151" t="s">
        <v>4521</v>
      </c>
      <c r="B5041" s="5">
        <f t="shared" si="1138"/>
        <v>2</v>
      </c>
      <c r="C5041" s="5">
        <f t="shared" si="1139"/>
        <v>2026</v>
      </c>
      <c r="D5041" s="170" t="s">
        <v>4500</v>
      </c>
      <c r="E5041" s="5" t="str">
        <f>VLOOKUP(F5041,'Set up'!$A$2:$C$100,2,FALSE)</f>
        <v>C00000049</v>
      </c>
      <c r="F5041" s="150" t="s">
        <v>2728</v>
      </c>
      <c r="G5041" s="150" t="s">
        <v>4536</v>
      </c>
      <c r="H5041" s="150">
        <v>1</v>
      </c>
      <c r="I5041" s="5" t="str">
        <f>VLOOKUP(F5041,'Set up'!$A$2:$C$100,3,FALSE)</f>
        <v>Cash</v>
      </c>
      <c r="J5041" s="5">
        <f>VLOOKUP(F5041,'Set up'!$A$2:$D$100,4,FALSE)</f>
        <v>0</v>
      </c>
      <c r="K5041" s="4">
        <f t="shared" si="1140"/>
        <v>46064</v>
      </c>
      <c r="L5041" s="5">
        <f t="shared" si="1141"/>
        <v>2</v>
      </c>
      <c r="M5041" s="5">
        <f t="shared" si="1142"/>
        <v>2026</v>
      </c>
      <c r="N5041" s="156">
        <v>110</v>
      </c>
      <c r="P5041" s="12"/>
      <c r="Q5041" s="7">
        <f t="shared" si="1143"/>
        <v>8271519.8500000127</v>
      </c>
      <c r="R5041" s="44" t="str">
        <f>VLOOKUP(F5041,'Set up'!$A$2:$E$100,5,FALSE)</f>
        <v>Cash</v>
      </c>
    </row>
    <row r="5042" spans="1:18" ht="16.8" customHeight="1" x14ac:dyDescent="0.3">
      <c r="A5042" s="151" t="s">
        <v>4522</v>
      </c>
      <c r="B5042" s="5">
        <f t="shared" si="1138"/>
        <v>2</v>
      </c>
      <c r="C5042" s="5">
        <f t="shared" si="1139"/>
        <v>2026</v>
      </c>
      <c r="D5042" s="170" t="s">
        <v>4501</v>
      </c>
      <c r="E5042" s="5" t="e">
        <f>VLOOKUP(F5042,'Set up'!$A$2:$C$100,2,FALSE)</f>
        <v>#N/A</v>
      </c>
      <c r="F5042" s="150" t="s">
        <v>4130</v>
      </c>
      <c r="G5042" s="150" t="s">
        <v>3122</v>
      </c>
      <c r="H5042" s="150">
        <v>2</v>
      </c>
      <c r="I5042" s="5" t="e">
        <f>VLOOKUP(F5042,'Set up'!$A$2:$C$100,3,FALSE)</f>
        <v>#N/A</v>
      </c>
      <c r="J5042" s="5" t="e">
        <f>VLOOKUP(F5042,'Set up'!$A$2:$D$100,4,FALSE)</f>
        <v>#N/A</v>
      </c>
      <c r="K5042" s="4" t="e">
        <f t="shared" si="1140"/>
        <v>#N/A</v>
      </c>
      <c r="L5042" s="5" t="e">
        <f t="shared" si="1141"/>
        <v>#N/A</v>
      </c>
      <c r="M5042" s="5" t="e">
        <f t="shared" si="1142"/>
        <v>#N/A</v>
      </c>
      <c r="N5042" s="156">
        <v>3375</v>
      </c>
      <c r="P5042" s="12"/>
      <c r="Q5042" s="7">
        <f t="shared" si="1143"/>
        <v>8274894.8500000127</v>
      </c>
      <c r="R5042" s="44" t="e">
        <f>VLOOKUP(F5042,'Set up'!$A$2:$E$100,5,FALSE)</f>
        <v>#N/A</v>
      </c>
    </row>
    <row r="5043" spans="1:18" ht="16.8" customHeight="1" x14ac:dyDescent="0.3">
      <c r="A5043" s="151" t="s">
        <v>4522</v>
      </c>
      <c r="B5043" s="5">
        <f t="shared" si="1138"/>
        <v>2</v>
      </c>
      <c r="C5043" s="5">
        <f t="shared" si="1139"/>
        <v>2026</v>
      </c>
      <c r="D5043" s="170" t="s">
        <v>4501</v>
      </c>
      <c r="E5043" s="5" t="e">
        <f>VLOOKUP(F5043,'Set up'!$A$2:$C$100,2,FALSE)</f>
        <v>#N/A</v>
      </c>
      <c r="F5043" s="150" t="s">
        <v>4130</v>
      </c>
      <c r="G5043" s="150" t="s">
        <v>707</v>
      </c>
      <c r="H5043" s="150">
        <v>1</v>
      </c>
      <c r="I5043" s="5" t="e">
        <f>VLOOKUP(F5043,'Set up'!$A$2:$C$100,3,FALSE)</f>
        <v>#N/A</v>
      </c>
      <c r="J5043" s="5" t="e">
        <f>VLOOKUP(F5043,'Set up'!$A$2:$D$100,4,FALSE)</f>
        <v>#N/A</v>
      </c>
      <c r="K5043" s="4" t="e">
        <f t="shared" si="1140"/>
        <v>#N/A</v>
      </c>
      <c r="L5043" s="5" t="e">
        <f t="shared" si="1141"/>
        <v>#N/A</v>
      </c>
      <c r="M5043" s="5" t="e">
        <f t="shared" si="1142"/>
        <v>#N/A</v>
      </c>
      <c r="N5043" s="156">
        <v>394.2</v>
      </c>
      <c r="P5043" s="12"/>
      <c r="Q5043" s="7">
        <f t="shared" si="1143"/>
        <v>8275289.0500000129</v>
      </c>
      <c r="R5043" s="44" t="e">
        <f>VLOOKUP(F5043,'Set up'!$A$2:$E$100,5,FALSE)</f>
        <v>#N/A</v>
      </c>
    </row>
    <row r="5044" spans="1:18" ht="16.8" customHeight="1" x14ac:dyDescent="0.3">
      <c r="A5044" s="151" t="s">
        <v>4522</v>
      </c>
      <c r="B5044" s="5">
        <f t="shared" si="1138"/>
        <v>2</v>
      </c>
      <c r="C5044" s="5">
        <f t="shared" si="1139"/>
        <v>2026</v>
      </c>
      <c r="D5044" s="170" t="s">
        <v>4501</v>
      </c>
      <c r="E5044" s="5" t="e">
        <f>VLOOKUP(F5044,'Set up'!$A$2:$C$100,2,FALSE)</f>
        <v>#N/A</v>
      </c>
      <c r="F5044" s="150" t="s">
        <v>4130</v>
      </c>
      <c r="G5044" s="150" t="s">
        <v>2144</v>
      </c>
      <c r="H5044" s="150">
        <v>2</v>
      </c>
      <c r="I5044" s="5" t="e">
        <f>VLOOKUP(F5044,'Set up'!$A$2:$C$100,3,FALSE)</f>
        <v>#N/A</v>
      </c>
      <c r="J5044" s="5" t="e">
        <f>VLOOKUP(F5044,'Set up'!$A$2:$D$100,4,FALSE)</f>
        <v>#N/A</v>
      </c>
      <c r="K5044" s="4" t="e">
        <f t="shared" si="1140"/>
        <v>#N/A</v>
      </c>
      <c r="L5044" s="5" t="e">
        <f t="shared" si="1141"/>
        <v>#N/A</v>
      </c>
      <c r="M5044" s="5" t="e">
        <f t="shared" si="1142"/>
        <v>#N/A</v>
      </c>
      <c r="N5044" s="156">
        <v>572</v>
      </c>
      <c r="P5044" s="12"/>
      <c r="Q5044" s="7">
        <f t="shared" si="1143"/>
        <v>8275861.0500000129</v>
      </c>
      <c r="R5044" s="44" t="e">
        <f>VLOOKUP(F5044,'Set up'!$A$2:$E$100,5,FALSE)</f>
        <v>#N/A</v>
      </c>
    </row>
    <row r="5045" spans="1:18" ht="16.8" customHeight="1" x14ac:dyDescent="0.3">
      <c r="A5045" s="151" t="s">
        <v>4522</v>
      </c>
      <c r="B5045" s="5">
        <f t="shared" si="1138"/>
        <v>2</v>
      </c>
      <c r="C5045" s="5">
        <f t="shared" si="1139"/>
        <v>2026</v>
      </c>
      <c r="D5045" s="170" t="s">
        <v>4501</v>
      </c>
      <c r="E5045" s="5" t="e">
        <f>VLOOKUP(F5045,'Set up'!$A$2:$C$100,2,FALSE)</f>
        <v>#N/A</v>
      </c>
      <c r="F5045" s="150" t="s">
        <v>4130</v>
      </c>
      <c r="G5045" s="150" t="s">
        <v>4204</v>
      </c>
      <c r="H5045" s="150">
        <v>2</v>
      </c>
      <c r="I5045" s="5" t="e">
        <f>VLOOKUP(F5045,'Set up'!$A$2:$C$100,3,FALSE)</f>
        <v>#N/A</v>
      </c>
      <c r="J5045" s="5" t="e">
        <f>VLOOKUP(F5045,'Set up'!$A$2:$D$100,4,FALSE)</f>
        <v>#N/A</v>
      </c>
      <c r="K5045" s="4" t="e">
        <f t="shared" si="1140"/>
        <v>#N/A</v>
      </c>
      <c r="L5045" s="5" t="e">
        <f t="shared" si="1141"/>
        <v>#N/A</v>
      </c>
      <c r="M5045" s="5" t="e">
        <f t="shared" si="1142"/>
        <v>#N/A</v>
      </c>
      <c r="N5045" s="156">
        <v>320</v>
      </c>
      <c r="P5045" s="12"/>
      <c r="Q5045" s="7">
        <f t="shared" si="1143"/>
        <v>8276181.0500000129</v>
      </c>
      <c r="R5045" s="44" t="e">
        <f>VLOOKUP(F5045,'Set up'!$A$2:$E$100,5,FALSE)</f>
        <v>#N/A</v>
      </c>
    </row>
    <row r="5046" spans="1:18" ht="16.8" customHeight="1" x14ac:dyDescent="0.3">
      <c r="A5046" s="151" t="s">
        <v>4522</v>
      </c>
      <c r="B5046" s="5">
        <f t="shared" si="1138"/>
        <v>2</v>
      </c>
      <c r="C5046" s="5">
        <f t="shared" si="1139"/>
        <v>2026</v>
      </c>
      <c r="D5046" s="170" t="s">
        <v>4501</v>
      </c>
      <c r="E5046" s="5" t="e">
        <f>VLOOKUP(F5046,'Set up'!$A$2:$C$100,2,FALSE)</f>
        <v>#N/A</v>
      </c>
      <c r="F5046" s="150" t="s">
        <v>4130</v>
      </c>
      <c r="G5046" s="150" t="s">
        <v>2646</v>
      </c>
      <c r="H5046" s="150">
        <v>2</v>
      </c>
      <c r="I5046" s="5" t="e">
        <f>VLOOKUP(F5046,'Set up'!$A$2:$C$100,3,FALSE)</f>
        <v>#N/A</v>
      </c>
      <c r="J5046" s="5" t="e">
        <f>VLOOKUP(F5046,'Set up'!$A$2:$D$100,4,FALSE)</f>
        <v>#N/A</v>
      </c>
      <c r="K5046" s="4" t="e">
        <f t="shared" si="1140"/>
        <v>#N/A</v>
      </c>
      <c r="L5046" s="5" t="e">
        <f t="shared" si="1141"/>
        <v>#N/A</v>
      </c>
      <c r="M5046" s="5" t="e">
        <f t="shared" si="1142"/>
        <v>#N/A</v>
      </c>
      <c r="N5046" s="156">
        <v>125</v>
      </c>
      <c r="P5046" s="12"/>
      <c r="Q5046" s="7">
        <f t="shared" si="1143"/>
        <v>8276306.0500000129</v>
      </c>
      <c r="R5046" s="44" t="e">
        <f>VLOOKUP(F5046,'Set up'!$A$2:$E$100,5,FALSE)</f>
        <v>#N/A</v>
      </c>
    </row>
    <row r="5047" spans="1:18" ht="16.8" customHeight="1" x14ac:dyDescent="0.3">
      <c r="A5047" s="151" t="s">
        <v>4522</v>
      </c>
      <c r="B5047" s="5">
        <f t="shared" si="1138"/>
        <v>2</v>
      </c>
      <c r="C5047" s="5">
        <f t="shared" si="1139"/>
        <v>2026</v>
      </c>
      <c r="D5047" s="170" t="s">
        <v>4502</v>
      </c>
      <c r="E5047" s="5" t="str">
        <f>VLOOKUP(F5047,'Set up'!$A$2:$C$100,2,FALSE)</f>
        <v>C00000042</v>
      </c>
      <c r="F5047" s="150" t="s">
        <v>2012</v>
      </c>
      <c r="G5047" s="150" t="s">
        <v>2646</v>
      </c>
      <c r="H5047" s="150">
        <v>1</v>
      </c>
      <c r="I5047" s="5" t="str">
        <f>VLOOKUP(F5047,'Set up'!$A$2:$C$100,3,FALSE)</f>
        <v>Cash</v>
      </c>
      <c r="J5047" s="5">
        <f>VLOOKUP(F5047,'Set up'!$A$2:$D$100,4,FALSE)</f>
        <v>0</v>
      </c>
      <c r="K5047" s="4">
        <f t="shared" si="1140"/>
        <v>46065</v>
      </c>
      <c r="L5047" s="5">
        <f t="shared" si="1141"/>
        <v>2</v>
      </c>
      <c r="M5047" s="5">
        <f t="shared" si="1142"/>
        <v>2026</v>
      </c>
      <c r="N5047" s="156">
        <v>62.5</v>
      </c>
      <c r="P5047" s="12"/>
      <c r="Q5047" s="7">
        <f t="shared" si="1143"/>
        <v>8276368.5500000129</v>
      </c>
      <c r="R5047" s="44" t="str">
        <f>VLOOKUP(F5047,'Set up'!$A$2:$E$100,5,FALSE)</f>
        <v>Trsf</v>
      </c>
    </row>
    <row r="5048" spans="1:18" ht="16.8" customHeight="1" x14ac:dyDescent="0.3">
      <c r="A5048" s="151" t="s">
        <v>4522</v>
      </c>
      <c r="B5048" s="5">
        <f t="shared" si="1138"/>
        <v>2</v>
      </c>
      <c r="C5048" s="5">
        <f t="shared" si="1139"/>
        <v>2026</v>
      </c>
      <c r="D5048" s="170" t="s">
        <v>4503</v>
      </c>
      <c r="E5048" s="5" t="str">
        <f>VLOOKUP(F5048,'Set up'!$A$2:$C$100,2,FALSE)</f>
        <v>C00000042</v>
      </c>
      <c r="F5048" s="150" t="s">
        <v>2012</v>
      </c>
      <c r="G5048" s="150" t="s">
        <v>3507</v>
      </c>
      <c r="H5048" s="150">
        <v>3</v>
      </c>
      <c r="I5048" s="5" t="str">
        <f>VLOOKUP(F5048,'Set up'!$A$2:$C$100,3,FALSE)</f>
        <v>Cash</v>
      </c>
      <c r="J5048" s="5">
        <f>VLOOKUP(F5048,'Set up'!$A$2:$D$100,4,FALSE)</f>
        <v>0</v>
      </c>
      <c r="K5048" s="4">
        <f t="shared" si="1140"/>
        <v>46065</v>
      </c>
      <c r="L5048" s="5">
        <f t="shared" si="1141"/>
        <v>2</v>
      </c>
      <c r="M5048" s="5">
        <f t="shared" si="1142"/>
        <v>2026</v>
      </c>
      <c r="N5048" s="156">
        <v>4455</v>
      </c>
      <c r="P5048" s="12"/>
      <c r="Q5048" s="7">
        <f t="shared" si="1143"/>
        <v>8280823.5500000129</v>
      </c>
      <c r="R5048" s="44" t="str">
        <f>VLOOKUP(F5048,'Set up'!$A$2:$E$100,5,FALSE)</f>
        <v>Trsf</v>
      </c>
    </row>
    <row r="5049" spans="1:18" ht="16.8" customHeight="1" x14ac:dyDescent="0.3">
      <c r="A5049" s="151" t="s">
        <v>4522</v>
      </c>
      <c r="B5049" s="5">
        <f t="shared" si="1138"/>
        <v>2</v>
      </c>
      <c r="C5049" s="5">
        <f t="shared" si="1139"/>
        <v>2026</v>
      </c>
      <c r="D5049" s="170" t="s">
        <v>4503</v>
      </c>
      <c r="E5049" s="5" t="str">
        <f>VLOOKUP(F5049,'Set up'!$A$2:$C$100,2,FALSE)</f>
        <v>C00000042</v>
      </c>
      <c r="F5049" s="150" t="s">
        <v>2012</v>
      </c>
      <c r="G5049" s="150" t="s">
        <v>1392</v>
      </c>
      <c r="H5049" s="150">
        <v>6</v>
      </c>
      <c r="I5049" s="5" t="str">
        <f>VLOOKUP(F5049,'Set up'!$A$2:$C$100,3,FALSE)</f>
        <v>Cash</v>
      </c>
      <c r="J5049" s="5">
        <f>VLOOKUP(F5049,'Set up'!$A$2:$D$100,4,FALSE)</f>
        <v>0</v>
      </c>
      <c r="K5049" s="4">
        <f t="shared" si="1140"/>
        <v>46065</v>
      </c>
      <c r="L5049" s="5">
        <f t="shared" si="1141"/>
        <v>2</v>
      </c>
      <c r="M5049" s="5">
        <f t="shared" si="1142"/>
        <v>2026</v>
      </c>
      <c r="N5049" s="156">
        <v>1062</v>
      </c>
      <c r="P5049" s="12"/>
      <c r="Q5049" s="7">
        <f t="shared" si="1143"/>
        <v>8281885.5500000129</v>
      </c>
      <c r="R5049" s="44" t="str">
        <f>VLOOKUP(F5049,'Set up'!$A$2:$E$100,5,FALSE)</f>
        <v>Trsf</v>
      </c>
    </row>
    <row r="5050" spans="1:18" ht="16.8" customHeight="1" x14ac:dyDescent="0.3">
      <c r="A5050" s="151" t="s">
        <v>4522</v>
      </c>
      <c r="B5050" s="5">
        <f t="shared" si="1138"/>
        <v>2</v>
      </c>
      <c r="C5050" s="5">
        <f t="shared" si="1139"/>
        <v>2026</v>
      </c>
      <c r="D5050" s="170" t="s">
        <v>4503</v>
      </c>
      <c r="E5050" s="5" t="str">
        <f>VLOOKUP(F5050,'Set up'!$A$2:$C$100,2,FALSE)</f>
        <v>C00000042</v>
      </c>
      <c r="F5050" s="150" t="s">
        <v>2012</v>
      </c>
      <c r="G5050" s="150" t="s">
        <v>1922</v>
      </c>
      <c r="H5050" s="150">
        <v>3</v>
      </c>
      <c r="I5050" s="5" t="str">
        <f>VLOOKUP(F5050,'Set up'!$A$2:$C$100,3,FALSE)</f>
        <v>Cash</v>
      </c>
      <c r="J5050" s="5">
        <f>VLOOKUP(F5050,'Set up'!$A$2:$D$100,4,FALSE)</f>
        <v>0</v>
      </c>
      <c r="K5050" s="4">
        <f t="shared" si="1140"/>
        <v>46065</v>
      </c>
      <c r="L5050" s="5">
        <f t="shared" si="1141"/>
        <v>2</v>
      </c>
      <c r="M5050" s="5">
        <f t="shared" si="1142"/>
        <v>2026</v>
      </c>
      <c r="N5050" s="156">
        <v>688.5</v>
      </c>
      <c r="P5050" s="12"/>
      <c r="Q5050" s="7">
        <f t="shared" si="1143"/>
        <v>8282574.0500000129</v>
      </c>
      <c r="R5050" s="44" t="str">
        <f>VLOOKUP(F5050,'Set up'!$A$2:$E$100,5,FALSE)</f>
        <v>Trsf</v>
      </c>
    </row>
    <row r="5051" spans="1:18" ht="16.8" customHeight="1" x14ac:dyDescent="0.3">
      <c r="A5051" s="151" t="s">
        <v>4523</v>
      </c>
      <c r="B5051" s="5">
        <f t="shared" si="1138"/>
        <v>2</v>
      </c>
      <c r="C5051" s="5">
        <f t="shared" si="1139"/>
        <v>2026</v>
      </c>
      <c r="D5051" s="170" t="s">
        <v>4504</v>
      </c>
      <c r="E5051" s="5" t="str">
        <f>VLOOKUP(F5051,'Set up'!$A$2:$C$100,2,FALSE)</f>
        <v>C00000049</v>
      </c>
      <c r="F5051" s="150" t="s">
        <v>2728</v>
      </c>
      <c r="G5051" s="150" t="s">
        <v>4535</v>
      </c>
      <c r="H5051" s="150">
        <v>1</v>
      </c>
      <c r="I5051" s="5" t="str">
        <f>VLOOKUP(F5051,'Set up'!$A$2:$C$100,3,FALSE)</f>
        <v>Cash</v>
      </c>
      <c r="J5051" s="5">
        <f>VLOOKUP(F5051,'Set up'!$A$2:$D$100,4,FALSE)</f>
        <v>0</v>
      </c>
      <c r="K5051" s="4">
        <f t="shared" si="1140"/>
        <v>46066</v>
      </c>
      <c r="L5051" s="5">
        <f t="shared" si="1141"/>
        <v>2</v>
      </c>
      <c r="M5051" s="5">
        <f t="shared" si="1142"/>
        <v>2026</v>
      </c>
      <c r="N5051" s="156">
        <v>240</v>
      </c>
      <c r="P5051" s="12"/>
      <c r="Q5051" s="7">
        <f t="shared" si="1143"/>
        <v>8282814.0500000129</v>
      </c>
      <c r="R5051" s="44" t="str">
        <f>VLOOKUP(F5051,'Set up'!$A$2:$E$100,5,FALSE)</f>
        <v>Cash</v>
      </c>
    </row>
    <row r="5052" spans="1:18" ht="16.8" customHeight="1" x14ac:dyDescent="0.3">
      <c r="A5052" s="151" t="s">
        <v>4523</v>
      </c>
      <c r="B5052" s="5">
        <f t="shared" si="1138"/>
        <v>2</v>
      </c>
      <c r="C5052" s="5">
        <f t="shared" si="1139"/>
        <v>2026</v>
      </c>
      <c r="D5052" s="170" t="s">
        <v>4505</v>
      </c>
      <c r="E5052" s="5" t="str">
        <f>VLOOKUP(F5052,'Set up'!$A$2:$C$100,2,FALSE)</f>
        <v>C00000027</v>
      </c>
      <c r="F5052" s="150" t="s">
        <v>859</v>
      </c>
      <c r="G5052" s="150" t="s">
        <v>3122</v>
      </c>
      <c r="H5052" s="150">
        <v>2</v>
      </c>
      <c r="I5052" s="5" t="str">
        <f>VLOOKUP(F5052,'Set up'!$A$2:$C$100,3,FALSE)</f>
        <v>Cash</v>
      </c>
      <c r="J5052" s="5">
        <f>VLOOKUP(F5052,'Set up'!$A$2:$D$100,4,FALSE)</f>
        <v>0</v>
      </c>
      <c r="K5052" s="4">
        <f t="shared" si="1140"/>
        <v>46066</v>
      </c>
      <c r="L5052" s="5">
        <f t="shared" si="1141"/>
        <v>2</v>
      </c>
      <c r="M5052" s="5">
        <f t="shared" si="1142"/>
        <v>2026</v>
      </c>
      <c r="N5052" s="156">
        <v>3330</v>
      </c>
      <c r="P5052" s="12"/>
      <c r="Q5052" s="7">
        <f t="shared" si="1143"/>
        <v>8286144.0500000129</v>
      </c>
      <c r="R5052" s="44" t="str">
        <f>VLOOKUP(F5052,'Set up'!$A$2:$E$100,5,FALSE)</f>
        <v>Trsf</v>
      </c>
    </row>
    <row r="5053" spans="1:18" ht="16.8" customHeight="1" x14ac:dyDescent="0.3">
      <c r="A5053" s="151" t="s">
        <v>4523</v>
      </c>
      <c r="B5053" s="5">
        <f t="shared" si="1138"/>
        <v>2</v>
      </c>
      <c r="C5053" s="5">
        <f t="shared" si="1139"/>
        <v>2026</v>
      </c>
      <c r="D5053" s="170" t="s">
        <v>4505</v>
      </c>
      <c r="E5053" s="5" t="str">
        <f>VLOOKUP(F5053,'Set up'!$A$2:$C$100,2,FALSE)</f>
        <v>C00000027</v>
      </c>
      <c r="F5053" s="150" t="s">
        <v>859</v>
      </c>
      <c r="G5053" s="150" t="s">
        <v>4046</v>
      </c>
      <c r="H5053" s="150">
        <v>6</v>
      </c>
      <c r="I5053" s="5" t="str">
        <f>VLOOKUP(F5053,'Set up'!$A$2:$C$100,3,FALSE)</f>
        <v>Cash</v>
      </c>
      <c r="J5053" s="5">
        <f>VLOOKUP(F5053,'Set up'!$A$2:$D$100,4,FALSE)</f>
        <v>0</v>
      </c>
      <c r="K5053" s="4">
        <f t="shared" si="1140"/>
        <v>46066</v>
      </c>
      <c r="L5053" s="5">
        <f t="shared" si="1141"/>
        <v>2</v>
      </c>
      <c r="M5053" s="5">
        <f t="shared" si="1142"/>
        <v>2026</v>
      </c>
      <c r="N5053" s="156">
        <v>1296</v>
      </c>
      <c r="P5053" s="12"/>
      <c r="Q5053" s="7">
        <f t="shared" si="1143"/>
        <v>8287440.0500000129</v>
      </c>
      <c r="R5053" s="44" t="str">
        <f>VLOOKUP(F5053,'Set up'!$A$2:$E$100,5,FALSE)</f>
        <v>Trsf</v>
      </c>
    </row>
    <row r="5054" spans="1:18" ht="16.8" customHeight="1" x14ac:dyDescent="0.3">
      <c r="A5054" s="151" t="s">
        <v>4523</v>
      </c>
      <c r="B5054" s="5">
        <f t="shared" si="1138"/>
        <v>2</v>
      </c>
      <c r="C5054" s="5">
        <f t="shared" si="1139"/>
        <v>2026</v>
      </c>
      <c r="D5054" s="170" t="s">
        <v>4505</v>
      </c>
      <c r="E5054" s="5" t="str">
        <f>VLOOKUP(F5054,'Set up'!$A$2:$C$100,2,FALSE)</f>
        <v>C00000027</v>
      </c>
      <c r="F5054" s="150" t="s">
        <v>859</v>
      </c>
      <c r="G5054" s="150" t="s">
        <v>2144</v>
      </c>
      <c r="H5054" s="150">
        <v>1</v>
      </c>
      <c r="I5054" s="5" t="str">
        <f>VLOOKUP(F5054,'Set up'!$A$2:$C$100,3,FALSE)</f>
        <v>Cash</v>
      </c>
      <c r="J5054" s="5">
        <f>VLOOKUP(F5054,'Set up'!$A$2:$D$100,4,FALSE)</f>
        <v>0</v>
      </c>
      <c r="K5054" s="4">
        <f t="shared" si="1140"/>
        <v>46066</v>
      </c>
      <c r="L5054" s="5">
        <f t="shared" si="1141"/>
        <v>2</v>
      </c>
      <c r="M5054" s="5">
        <f t="shared" si="1142"/>
        <v>2026</v>
      </c>
      <c r="N5054" s="156">
        <v>281.60000000000002</v>
      </c>
      <c r="P5054" s="12"/>
      <c r="Q5054" s="7">
        <f t="shared" si="1143"/>
        <v>8287721.6500000125</v>
      </c>
      <c r="R5054" s="44" t="str">
        <f>VLOOKUP(F5054,'Set up'!$A$2:$E$100,5,FALSE)</f>
        <v>Trsf</v>
      </c>
    </row>
    <row r="5055" spans="1:18" ht="16.8" customHeight="1" x14ac:dyDescent="0.3">
      <c r="A5055" s="151" t="s">
        <v>4523</v>
      </c>
      <c r="B5055" s="5">
        <f t="shared" si="1138"/>
        <v>2</v>
      </c>
      <c r="C5055" s="5">
        <f t="shared" si="1139"/>
        <v>2026</v>
      </c>
      <c r="D5055" s="170" t="s">
        <v>4505</v>
      </c>
      <c r="E5055" s="5" t="str">
        <f>VLOOKUP(F5055,'Set up'!$A$2:$C$100,2,FALSE)</f>
        <v>C00000027</v>
      </c>
      <c r="F5055" s="150" t="s">
        <v>859</v>
      </c>
      <c r="G5055" s="150" t="s">
        <v>4348</v>
      </c>
      <c r="H5055" s="150">
        <v>6</v>
      </c>
      <c r="I5055" s="5" t="str">
        <f>VLOOKUP(F5055,'Set up'!$A$2:$C$100,3,FALSE)</f>
        <v>Cash</v>
      </c>
      <c r="J5055" s="5">
        <f>VLOOKUP(F5055,'Set up'!$A$2:$D$100,4,FALSE)</f>
        <v>0</v>
      </c>
      <c r="K5055" s="4">
        <f t="shared" si="1140"/>
        <v>46066</v>
      </c>
      <c r="L5055" s="5">
        <f t="shared" si="1141"/>
        <v>2</v>
      </c>
      <c r="M5055" s="5">
        <f t="shared" si="1142"/>
        <v>2026</v>
      </c>
      <c r="N5055" s="156">
        <v>360</v>
      </c>
      <c r="P5055" s="12"/>
      <c r="Q5055" s="7">
        <f t="shared" si="1143"/>
        <v>8288081.6500000125</v>
      </c>
      <c r="R5055" s="44" t="str">
        <f>VLOOKUP(F5055,'Set up'!$A$2:$E$100,5,FALSE)</f>
        <v>Trsf</v>
      </c>
    </row>
    <row r="5056" spans="1:18" ht="16.8" customHeight="1" x14ac:dyDescent="0.3">
      <c r="A5056" s="151" t="s">
        <v>4523</v>
      </c>
      <c r="B5056" s="5">
        <f t="shared" ref="B5056:B5091" si="1144">MONTH(A5056)</f>
        <v>2</v>
      </c>
      <c r="C5056" s="5">
        <f t="shared" ref="C5056:C5091" si="1145">YEAR(A5056)</f>
        <v>2026</v>
      </c>
      <c r="D5056" s="170" t="s">
        <v>4505</v>
      </c>
      <c r="E5056" s="5" t="str">
        <f>VLOOKUP(F5056,'Set up'!$A$2:$C$100,2,FALSE)</f>
        <v>C00000027</v>
      </c>
      <c r="F5056" s="150" t="s">
        <v>859</v>
      </c>
      <c r="G5056" s="150" t="s">
        <v>945</v>
      </c>
      <c r="H5056" s="150">
        <v>2</v>
      </c>
      <c r="I5056" s="5" t="str">
        <f>VLOOKUP(F5056,'Set up'!$A$2:$C$100,3,FALSE)</f>
        <v>Cash</v>
      </c>
      <c r="J5056" s="5">
        <f>VLOOKUP(F5056,'Set up'!$A$2:$D$100,4,FALSE)</f>
        <v>0</v>
      </c>
      <c r="K5056" s="4">
        <f t="shared" ref="K5056:K5091" si="1146">A5056+J5056</f>
        <v>46066</v>
      </c>
      <c r="L5056" s="5">
        <f t="shared" ref="L5056:L5091" si="1147">MONTH(K5056)</f>
        <v>2</v>
      </c>
      <c r="M5056" s="5">
        <f t="shared" ref="M5056:M5091" si="1148">YEAR(K5056)</f>
        <v>2026</v>
      </c>
      <c r="N5056" s="156">
        <v>240</v>
      </c>
      <c r="P5056" s="12"/>
      <c r="Q5056" s="7">
        <f t="shared" ref="Q5056:Q5091" si="1149">SUM(Q5055+N5056)</f>
        <v>8288321.6500000125</v>
      </c>
      <c r="R5056" s="44" t="str">
        <f>VLOOKUP(F5056,'Set up'!$A$2:$E$100,5,FALSE)</f>
        <v>Trsf</v>
      </c>
    </row>
    <row r="5057" spans="1:18" ht="16.8" customHeight="1" x14ac:dyDescent="0.3">
      <c r="A5057" s="151" t="s">
        <v>4523</v>
      </c>
      <c r="B5057" s="5">
        <f t="shared" si="1144"/>
        <v>2</v>
      </c>
      <c r="C5057" s="5">
        <f t="shared" si="1145"/>
        <v>2026</v>
      </c>
      <c r="D5057" s="170" t="s">
        <v>4505</v>
      </c>
      <c r="E5057" s="5" t="str">
        <f>VLOOKUP(F5057,'Set up'!$A$2:$C$100,2,FALSE)</f>
        <v>C00000027</v>
      </c>
      <c r="F5057" s="150" t="s">
        <v>859</v>
      </c>
      <c r="G5057" s="150" t="s">
        <v>2449</v>
      </c>
      <c r="H5057" s="150">
        <v>1</v>
      </c>
      <c r="I5057" s="5" t="str">
        <f>VLOOKUP(F5057,'Set up'!$A$2:$C$100,3,FALSE)</f>
        <v>Cash</v>
      </c>
      <c r="J5057" s="5">
        <f>VLOOKUP(F5057,'Set up'!$A$2:$D$100,4,FALSE)</f>
        <v>0</v>
      </c>
      <c r="K5057" s="4">
        <f t="shared" si="1146"/>
        <v>46066</v>
      </c>
      <c r="L5057" s="5">
        <f t="shared" si="1147"/>
        <v>2</v>
      </c>
      <c r="M5057" s="5">
        <f t="shared" si="1148"/>
        <v>2026</v>
      </c>
      <c r="N5057" s="156">
        <v>420</v>
      </c>
      <c r="P5057" s="12"/>
      <c r="Q5057" s="7">
        <f t="shared" si="1149"/>
        <v>8288741.6500000125</v>
      </c>
      <c r="R5057" s="44" t="str">
        <f>VLOOKUP(F5057,'Set up'!$A$2:$E$100,5,FALSE)</f>
        <v>Trsf</v>
      </c>
    </row>
    <row r="5058" spans="1:18" ht="16.8" customHeight="1" x14ac:dyDescent="0.3">
      <c r="A5058" s="151" t="s">
        <v>4523</v>
      </c>
      <c r="B5058" s="5">
        <f t="shared" si="1144"/>
        <v>2</v>
      </c>
      <c r="C5058" s="5">
        <f t="shared" si="1145"/>
        <v>2026</v>
      </c>
      <c r="D5058" s="170" t="s">
        <v>4506</v>
      </c>
      <c r="E5058" s="5" t="str">
        <f>VLOOKUP(F5058,'Set up'!$A$2:$C$100,2,FALSE)</f>
        <v>C00000003</v>
      </c>
      <c r="F5058" s="150" t="s">
        <v>20</v>
      </c>
      <c r="G5058" s="150" t="s">
        <v>3645</v>
      </c>
      <c r="H5058" s="150">
        <v>1</v>
      </c>
      <c r="I5058" s="5">
        <f>VLOOKUP(F5058,'Set up'!$A$2:$C$100,3,FALSE)</f>
        <v>45</v>
      </c>
      <c r="J5058" s="5">
        <f>VLOOKUP(F5058,'Set up'!$A$2:$D$100,4,FALSE)</f>
        <v>45</v>
      </c>
      <c r="K5058" s="4">
        <f t="shared" si="1146"/>
        <v>46111</v>
      </c>
      <c r="L5058" s="5">
        <f t="shared" si="1147"/>
        <v>3</v>
      </c>
      <c r="M5058" s="5">
        <f t="shared" si="1148"/>
        <v>2026</v>
      </c>
      <c r="N5058" s="156">
        <v>1642.5</v>
      </c>
      <c r="P5058" s="12"/>
      <c r="Q5058" s="7">
        <f t="shared" si="1149"/>
        <v>8290384.1500000125</v>
      </c>
      <c r="R5058" s="44" t="str">
        <f>VLOOKUP(F5058,'Set up'!$A$2:$E$100,5,FALSE)</f>
        <v>PD Chq</v>
      </c>
    </row>
    <row r="5059" spans="1:18" ht="16.8" customHeight="1" x14ac:dyDescent="0.3">
      <c r="A5059" s="151" t="s">
        <v>4523</v>
      </c>
      <c r="B5059" s="5">
        <f t="shared" si="1144"/>
        <v>2</v>
      </c>
      <c r="C5059" s="5">
        <f t="shared" si="1145"/>
        <v>2026</v>
      </c>
      <c r="D5059" s="170" t="s">
        <v>4506</v>
      </c>
      <c r="E5059" s="5" t="str">
        <f>VLOOKUP(F5059,'Set up'!$A$2:$C$100,2,FALSE)</f>
        <v>C00000003</v>
      </c>
      <c r="F5059" s="150" t="s">
        <v>20</v>
      </c>
      <c r="G5059" s="150" t="s">
        <v>17</v>
      </c>
      <c r="H5059" s="150">
        <v>2</v>
      </c>
      <c r="I5059" s="5">
        <f>VLOOKUP(F5059,'Set up'!$A$2:$C$100,3,FALSE)</f>
        <v>45</v>
      </c>
      <c r="J5059" s="5">
        <f>VLOOKUP(F5059,'Set up'!$A$2:$D$100,4,FALSE)</f>
        <v>45</v>
      </c>
      <c r="K5059" s="4">
        <f t="shared" si="1146"/>
        <v>46111</v>
      </c>
      <c r="L5059" s="5">
        <f t="shared" si="1147"/>
        <v>3</v>
      </c>
      <c r="M5059" s="5">
        <f t="shared" si="1148"/>
        <v>2026</v>
      </c>
      <c r="N5059" s="156">
        <v>230</v>
      </c>
      <c r="P5059" s="12"/>
      <c r="Q5059" s="7">
        <f t="shared" si="1149"/>
        <v>8290614.1500000125</v>
      </c>
      <c r="R5059" s="44" t="str">
        <f>VLOOKUP(F5059,'Set up'!$A$2:$E$100,5,FALSE)</f>
        <v>PD Chq</v>
      </c>
    </row>
    <row r="5060" spans="1:18" ht="16.8" customHeight="1" x14ac:dyDescent="0.3">
      <c r="A5060" s="151" t="s">
        <v>4523</v>
      </c>
      <c r="B5060" s="5">
        <f t="shared" si="1144"/>
        <v>2</v>
      </c>
      <c r="C5060" s="5">
        <f t="shared" si="1145"/>
        <v>2026</v>
      </c>
      <c r="D5060" s="170" t="s">
        <v>4506</v>
      </c>
      <c r="E5060" s="5" t="str">
        <f>VLOOKUP(F5060,'Set up'!$A$2:$C$100,2,FALSE)</f>
        <v>C00000003</v>
      </c>
      <c r="F5060" s="150" t="s">
        <v>20</v>
      </c>
      <c r="G5060" s="150" t="s">
        <v>949</v>
      </c>
      <c r="H5060" s="150">
        <v>3</v>
      </c>
      <c r="I5060" s="5">
        <f>VLOOKUP(F5060,'Set up'!$A$2:$C$100,3,FALSE)</f>
        <v>45</v>
      </c>
      <c r="J5060" s="5">
        <f>VLOOKUP(F5060,'Set up'!$A$2:$D$100,4,FALSE)</f>
        <v>45</v>
      </c>
      <c r="K5060" s="4">
        <f t="shared" si="1146"/>
        <v>46111</v>
      </c>
      <c r="L5060" s="5">
        <f t="shared" si="1147"/>
        <v>3</v>
      </c>
      <c r="M5060" s="5">
        <f t="shared" si="1148"/>
        <v>2026</v>
      </c>
      <c r="N5060" s="156">
        <v>180</v>
      </c>
      <c r="P5060" s="12"/>
      <c r="Q5060" s="7">
        <f t="shared" si="1149"/>
        <v>8290794.1500000125</v>
      </c>
      <c r="R5060" s="44" t="str">
        <f>VLOOKUP(F5060,'Set up'!$A$2:$E$100,5,FALSE)</f>
        <v>PD Chq</v>
      </c>
    </row>
    <row r="5061" spans="1:18" ht="16.8" customHeight="1" x14ac:dyDescent="0.3">
      <c r="A5061" s="151" t="s">
        <v>4524</v>
      </c>
      <c r="B5061" s="5">
        <f t="shared" si="1144"/>
        <v>2</v>
      </c>
      <c r="C5061" s="5">
        <f t="shared" si="1145"/>
        <v>2026</v>
      </c>
      <c r="D5061" s="170" t="s">
        <v>4507</v>
      </c>
      <c r="E5061" s="5" t="str">
        <f>VLOOKUP(F5061,'Set up'!$A$2:$C$100,2,FALSE)</f>
        <v>C00000044</v>
      </c>
      <c r="F5061" s="150" t="s">
        <v>2929</v>
      </c>
      <c r="G5061" s="150" t="s">
        <v>3122</v>
      </c>
      <c r="H5061" s="150">
        <v>1</v>
      </c>
      <c r="I5061" s="5" t="str">
        <f>VLOOKUP(F5061,'Set up'!$A$2:$C$100,3,FALSE)</f>
        <v>Cash</v>
      </c>
      <c r="J5061" s="5">
        <f>VLOOKUP(F5061,'Set up'!$A$2:$D$100,4,FALSE)</f>
        <v>0</v>
      </c>
      <c r="K5061" s="4">
        <f t="shared" si="1146"/>
        <v>46067</v>
      </c>
      <c r="L5061" s="5">
        <f t="shared" si="1147"/>
        <v>2</v>
      </c>
      <c r="M5061" s="5">
        <f t="shared" si="1148"/>
        <v>2026</v>
      </c>
      <c r="N5061" s="156">
        <v>1687.5</v>
      </c>
      <c r="P5061" s="12"/>
      <c r="Q5061" s="7">
        <f t="shared" si="1149"/>
        <v>8292481.6500000125</v>
      </c>
      <c r="R5061" s="44" t="str">
        <f>VLOOKUP(F5061,'Set up'!$A$2:$E$100,5,FALSE)</f>
        <v>Cash</v>
      </c>
    </row>
    <row r="5062" spans="1:18" ht="16.8" customHeight="1" x14ac:dyDescent="0.3">
      <c r="A5062" s="151" t="s">
        <v>4524</v>
      </c>
      <c r="B5062" s="5">
        <f t="shared" si="1144"/>
        <v>2</v>
      </c>
      <c r="C5062" s="5">
        <f t="shared" si="1145"/>
        <v>2026</v>
      </c>
      <c r="D5062" s="170" t="s">
        <v>4507</v>
      </c>
      <c r="E5062" s="5" t="str">
        <f>VLOOKUP(F5062,'Set up'!$A$2:$C$100,2,FALSE)</f>
        <v>C00000044</v>
      </c>
      <c r="F5062" s="150" t="s">
        <v>2929</v>
      </c>
      <c r="G5062" s="150" t="s">
        <v>2570</v>
      </c>
      <c r="H5062" s="150">
        <v>2</v>
      </c>
      <c r="I5062" s="5" t="str">
        <f>VLOOKUP(F5062,'Set up'!$A$2:$C$100,3,FALSE)</f>
        <v>Cash</v>
      </c>
      <c r="J5062" s="5">
        <f>VLOOKUP(F5062,'Set up'!$A$2:$D$100,4,FALSE)</f>
        <v>0</v>
      </c>
      <c r="K5062" s="4">
        <f t="shared" si="1146"/>
        <v>46067</v>
      </c>
      <c r="L5062" s="5">
        <f t="shared" si="1147"/>
        <v>2</v>
      </c>
      <c r="M5062" s="5">
        <f t="shared" si="1148"/>
        <v>2026</v>
      </c>
      <c r="N5062" s="156">
        <v>432</v>
      </c>
      <c r="P5062" s="12"/>
      <c r="Q5062" s="7">
        <f t="shared" si="1149"/>
        <v>8292913.6500000125</v>
      </c>
      <c r="R5062" s="44" t="str">
        <f>VLOOKUP(F5062,'Set up'!$A$2:$E$100,5,FALSE)</f>
        <v>Cash</v>
      </c>
    </row>
    <row r="5063" spans="1:18" ht="16.8" customHeight="1" x14ac:dyDescent="0.3">
      <c r="A5063" s="151" t="s">
        <v>4524</v>
      </c>
      <c r="B5063" s="5">
        <f t="shared" si="1144"/>
        <v>2</v>
      </c>
      <c r="C5063" s="5">
        <f t="shared" si="1145"/>
        <v>2026</v>
      </c>
      <c r="D5063" s="170" t="s">
        <v>4507</v>
      </c>
      <c r="E5063" s="5" t="str">
        <f>VLOOKUP(F5063,'Set up'!$A$2:$C$100,2,FALSE)</f>
        <v>C00000044</v>
      </c>
      <c r="F5063" s="150" t="s">
        <v>2929</v>
      </c>
      <c r="G5063" s="150" t="s">
        <v>4537</v>
      </c>
      <c r="H5063" s="150">
        <v>1</v>
      </c>
      <c r="I5063" s="5" t="str">
        <f>VLOOKUP(F5063,'Set up'!$A$2:$C$100,3,FALSE)</f>
        <v>Cash</v>
      </c>
      <c r="J5063" s="5">
        <f>VLOOKUP(F5063,'Set up'!$A$2:$D$100,4,FALSE)</f>
        <v>0</v>
      </c>
      <c r="K5063" s="4">
        <f t="shared" si="1146"/>
        <v>46067</v>
      </c>
      <c r="L5063" s="5">
        <f t="shared" si="1147"/>
        <v>2</v>
      </c>
      <c r="M5063" s="5">
        <f t="shared" si="1148"/>
        <v>2026</v>
      </c>
      <c r="N5063" s="156">
        <v>306</v>
      </c>
      <c r="P5063" s="12"/>
      <c r="Q5063" s="7">
        <f t="shared" si="1149"/>
        <v>8293219.6500000125</v>
      </c>
      <c r="R5063" s="44" t="str">
        <f>VLOOKUP(F5063,'Set up'!$A$2:$E$100,5,FALSE)</f>
        <v>Cash</v>
      </c>
    </row>
    <row r="5064" spans="1:18" ht="16.8" customHeight="1" x14ac:dyDescent="0.3">
      <c r="A5064" s="151" t="s">
        <v>4524</v>
      </c>
      <c r="B5064" s="5">
        <f t="shared" si="1144"/>
        <v>2</v>
      </c>
      <c r="C5064" s="5">
        <f t="shared" si="1145"/>
        <v>2026</v>
      </c>
      <c r="D5064" s="170" t="s">
        <v>4507</v>
      </c>
      <c r="E5064" s="5" t="str">
        <f>VLOOKUP(F5064,'Set up'!$A$2:$C$100,2,FALSE)</f>
        <v>C00000044</v>
      </c>
      <c r="F5064" s="150" t="s">
        <v>2929</v>
      </c>
      <c r="G5064" s="150" t="s">
        <v>2738</v>
      </c>
      <c r="H5064" s="150">
        <v>5</v>
      </c>
      <c r="I5064" s="5" t="str">
        <f>VLOOKUP(F5064,'Set up'!$A$2:$C$100,3,FALSE)</f>
        <v>Cash</v>
      </c>
      <c r="J5064" s="5">
        <f>VLOOKUP(F5064,'Set up'!$A$2:$D$100,4,FALSE)</f>
        <v>0</v>
      </c>
      <c r="K5064" s="4">
        <f t="shared" si="1146"/>
        <v>46067</v>
      </c>
      <c r="L5064" s="5">
        <f t="shared" si="1147"/>
        <v>2</v>
      </c>
      <c r="M5064" s="5">
        <f t="shared" si="1148"/>
        <v>2026</v>
      </c>
      <c r="N5064" s="156">
        <v>875</v>
      </c>
      <c r="P5064" s="12"/>
      <c r="Q5064" s="7">
        <f t="shared" si="1149"/>
        <v>8294094.6500000125</v>
      </c>
      <c r="R5064" s="44" t="str">
        <f>VLOOKUP(F5064,'Set up'!$A$2:$E$100,5,FALSE)</f>
        <v>Cash</v>
      </c>
    </row>
    <row r="5065" spans="1:18" ht="16.8" customHeight="1" x14ac:dyDescent="0.3">
      <c r="A5065" s="151" t="s">
        <v>4525</v>
      </c>
      <c r="B5065" s="5">
        <f t="shared" si="1144"/>
        <v>2</v>
      </c>
      <c r="C5065" s="5">
        <f t="shared" si="1145"/>
        <v>2026</v>
      </c>
      <c r="D5065" s="170" t="s">
        <v>4508</v>
      </c>
      <c r="E5065" s="5" t="str">
        <f>VLOOKUP(F5065,'Set up'!$A$2:$C$100,2,FALSE)</f>
        <v>C00000061</v>
      </c>
      <c r="F5065" s="150" t="s">
        <v>3532</v>
      </c>
      <c r="G5065" s="150" t="s">
        <v>3122</v>
      </c>
      <c r="H5065" s="150">
        <v>1</v>
      </c>
      <c r="I5065" s="5" t="str">
        <f>VLOOKUP(F5065,'Set up'!$A$2:$C$100,3,FALSE)</f>
        <v>Cash</v>
      </c>
      <c r="J5065" s="5">
        <f>VLOOKUP(F5065,'Set up'!$A$2:$D$100,4,FALSE)</f>
        <v>0</v>
      </c>
      <c r="K5065" s="4">
        <f t="shared" si="1146"/>
        <v>46076</v>
      </c>
      <c r="L5065" s="5">
        <f t="shared" si="1147"/>
        <v>2</v>
      </c>
      <c r="M5065" s="5">
        <f t="shared" si="1148"/>
        <v>2026</v>
      </c>
      <c r="N5065" s="156">
        <v>1552.5</v>
      </c>
      <c r="P5065" s="12"/>
      <c r="Q5065" s="7">
        <f t="shared" si="1149"/>
        <v>8295647.1500000125</v>
      </c>
      <c r="R5065" s="44" t="str">
        <f>VLOOKUP(F5065,'Set up'!$A$2:$E$100,5,FALSE)</f>
        <v>Cash</v>
      </c>
    </row>
    <row r="5066" spans="1:18" ht="16.8" customHeight="1" x14ac:dyDescent="0.3">
      <c r="A5066" s="151" t="s">
        <v>4525</v>
      </c>
      <c r="B5066" s="5">
        <f t="shared" si="1144"/>
        <v>2</v>
      </c>
      <c r="C5066" s="5">
        <f t="shared" si="1145"/>
        <v>2026</v>
      </c>
      <c r="D5066" s="170" t="s">
        <v>4508</v>
      </c>
      <c r="E5066" s="5" t="str">
        <f>VLOOKUP(F5066,'Set up'!$A$2:$C$100,2,FALSE)</f>
        <v>C00000061</v>
      </c>
      <c r="F5066" s="150" t="s">
        <v>3532</v>
      </c>
      <c r="G5066" s="150" t="s">
        <v>3639</v>
      </c>
      <c r="H5066" s="150">
        <v>1</v>
      </c>
      <c r="I5066" s="5" t="str">
        <f>VLOOKUP(F5066,'Set up'!$A$2:$C$100,3,FALSE)</f>
        <v>Cash</v>
      </c>
      <c r="J5066" s="5">
        <f>VLOOKUP(F5066,'Set up'!$A$2:$D$100,4,FALSE)</f>
        <v>0</v>
      </c>
      <c r="K5066" s="4">
        <f t="shared" si="1146"/>
        <v>46076</v>
      </c>
      <c r="L5066" s="5">
        <f t="shared" si="1147"/>
        <v>2</v>
      </c>
      <c r="M5066" s="5">
        <f t="shared" si="1148"/>
        <v>2026</v>
      </c>
      <c r="N5066" s="156">
        <v>408.7</v>
      </c>
      <c r="P5066" s="12"/>
      <c r="Q5066" s="7">
        <f t="shared" si="1149"/>
        <v>8296055.8500000127</v>
      </c>
      <c r="R5066" s="44" t="str">
        <f>VLOOKUP(F5066,'Set up'!$A$2:$E$100,5,FALSE)</f>
        <v>Cash</v>
      </c>
    </row>
    <row r="5067" spans="1:18" ht="16.8" customHeight="1" x14ac:dyDescent="0.3">
      <c r="A5067" s="151" t="s">
        <v>4525</v>
      </c>
      <c r="B5067" s="5">
        <f t="shared" si="1144"/>
        <v>2</v>
      </c>
      <c r="C5067" s="5">
        <f t="shared" si="1145"/>
        <v>2026</v>
      </c>
      <c r="D5067" s="170" t="s">
        <v>4508</v>
      </c>
      <c r="E5067" s="5" t="str">
        <f>VLOOKUP(F5067,'Set up'!$A$2:$C$100,2,FALSE)</f>
        <v>C00000061</v>
      </c>
      <c r="F5067" s="150" t="s">
        <v>3532</v>
      </c>
      <c r="G5067" s="150" t="s">
        <v>945</v>
      </c>
      <c r="H5067" s="150">
        <v>1</v>
      </c>
      <c r="I5067" s="5" t="str">
        <f>VLOOKUP(F5067,'Set up'!$A$2:$C$100,3,FALSE)</f>
        <v>Cash</v>
      </c>
      <c r="J5067" s="5">
        <f>VLOOKUP(F5067,'Set up'!$A$2:$D$100,4,FALSE)</f>
        <v>0</v>
      </c>
      <c r="K5067" s="4">
        <f t="shared" si="1146"/>
        <v>46076</v>
      </c>
      <c r="L5067" s="5">
        <f t="shared" si="1147"/>
        <v>2</v>
      </c>
      <c r="M5067" s="5">
        <f t="shared" si="1148"/>
        <v>2026</v>
      </c>
      <c r="N5067" s="156">
        <v>115</v>
      </c>
      <c r="P5067" s="12"/>
      <c r="Q5067" s="7">
        <f t="shared" si="1149"/>
        <v>8296170.8500000127</v>
      </c>
      <c r="R5067" s="44" t="str">
        <f>VLOOKUP(F5067,'Set up'!$A$2:$E$100,5,FALSE)</f>
        <v>Cash</v>
      </c>
    </row>
    <row r="5068" spans="1:18" ht="16.8" customHeight="1" x14ac:dyDescent="0.3">
      <c r="A5068" s="151" t="s">
        <v>4525</v>
      </c>
      <c r="B5068" s="5">
        <f t="shared" si="1144"/>
        <v>2</v>
      </c>
      <c r="C5068" s="5">
        <f t="shared" si="1145"/>
        <v>2026</v>
      </c>
      <c r="D5068" s="170" t="s">
        <v>4508</v>
      </c>
      <c r="E5068" s="5" t="str">
        <f>VLOOKUP(F5068,'Set up'!$A$2:$C$100,2,FALSE)</f>
        <v>C00000061</v>
      </c>
      <c r="F5068" s="150" t="s">
        <v>3532</v>
      </c>
      <c r="G5068" s="150" t="s">
        <v>949</v>
      </c>
      <c r="H5068" s="150">
        <v>1</v>
      </c>
      <c r="I5068" s="5" t="str">
        <f>VLOOKUP(F5068,'Set up'!$A$2:$C$100,3,FALSE)</f>
        <v>Cash</v>
      </c>
      <c r="J5068" s="5">
        <f>VLOOKUP(F5068,'Set up'!$A$2:$D$100,4,FALSE)</f>
        <v>0</v>
      </c>
      <c r="K5068" s="4">
        <f t="shared" si="1146"/>
        <v>46076</v>
      </c>
      <c r="L5068" s="5">
        <f t="shared" si="1147"/>
        <v>2</v>
      </c>
      <c r="M5068" s="5">
        <f t="shared" si="1148"/>
        <v>2026</v>
      </c>
      <c r="N5068" s="156">
        <v>60</v>
      </c>
      <c r="P5068" s="12"/>
      <c r="Q5068" s="7">
        <f t="shared" si="1149"/>
        <v>8296230.8500000127</v>
      </c>
      <c r="R5068" s="44" t="str">
        <f>VLOOKUP(F5068,'Set up'!$A$2:$E$100,5,FALSE)</f>
        <v>Cash</v>
      </c>
    </row>
    <row r="5069" spans="1:18" ht="16.8" customHeight="1" x14ac:dyDescent="0.3">
      <c r="A5069" s="151" t="s">
        <v>4525</v>
      </c>
      <c r="B5069" s="5">
        <f t="shared" si="1144"/>
        <v>2</v>
      </c>
      <c r="C5069" s="5">
        <f t="shared" si="1145"/>
        <v>2026</v>
      </c>
      <c r="D5069" s="170" t="s">
        <v>4509</v>
      </c>
      <c r="E5069" s="5" t="str">
        <f>VLOOKUP(F5069,'Set up'!$A$2:$C$100,2,FALSE)</f>
        <v>C00000049</v>
      </c>
      <c r="F5069" s="150" t="s">
        <v>2728</v>
      </c>
      <c r="G5069" s="150" t="s">
        <v>3122</v>
      </c>
      <c r="H5069" s="150">
        <v>1</v>
      </c>
      <c r="I5069" s="5" t="str">
        <f>VLOOKUP(F5069,'Set up'!$A$2:$C$100,3,FALSE)</f>
        <v>Cash</v>
      </c>
      <c r="J5069" s="5">
        <f>VLOOKUP(F5069,'Set up'!$A$2:$D$100,4,FALSE)</f>
        <v>0</v>
      </c>
      <c r="K5069" s="4">
        <f t="shared" si="1146"/>
        <v>46076</v>
      </c>
      <c r="L5069" s="5">
        <f t="shared" si="1147"/>
        <v>2</v>
      </c>
      <c r="M5069" s="5">
        <f t="shared" si="1148"/>
        <v>2026</v>
      </c>
      <c r="N5069" s="156">
        <v>1687.5</v>
      </c>
      <c r="P5069" s="12"/>
      <c r="Q5069" s="7">
        <f t="shared" si="1149"/>
        <v>8297918.3500000127</v>
      </c>
      <c r="R5069" s="44" t="str">
        <f>VLOOKUP(F5069,'Set up'!$A$2:$E$100,5,FALSE)</f>
        <v>Cash</v>
      </c>
    </row>
    <row r="5070" spans="1:18" ht="16.8" customHeight="1" x14ac:dyDescent="0.3">
      <c r="A5070" s="151" t="s">
        <v>4525</v>
      </c>
      <c r="B5070" s="5">
        <f t="shared" si="1144"/>
        <v>2</v>
      </c>
      <c r="C5070" s="5">
        <f t="shared" si="1145"/>
        <v>2026</v>
      </c>
      <c r="D5070" s="170" t="s">
        <v>4509</v>
      </c>
      <c r="E5070" s="5" t="str">
        <f>VLOOKUP(F5070,'Set up'!$A$2:$C$100,2,FALSE)</f>
        <v>C00000049</v>
      </c>
      <c r="F5070" s="150" t="s">
        <v>2728</v>
      </c>
      <c r="G5070" s="150" t="s">
        <v>4046</v>
      </c>
      <c r="H5070" s="150">
        <v>3</v>
      </c>
      <c r="I5070" s="5" t="str">
        <f>VLOOKUP(F5070,'Set up'!$A$2:$C$100,3,FALSE)</f>
        <v>Cash</v>
      </c>
      <c r="J5070" s="5">
        <f>VLOOKUP(F5070,'Set up'!$A$2:$D$100,4,FALSE)</f>
        <v>0</v>
      </c>
      <c r="K5070" s="4">
        <f t="shared" si="1146"/>
        <v>46076</v>
      </c>
      <c r="L5070" s="5">
        <f t="shared" si="1147"/>
        <v>2</v>
      </c>
      <c r="M5070" s="5">
        <f t="shared" si="1148"/>
        <v>2026</v>
      </c>
      <c r="N5070" s="156">
        <v>648</v>
      </c>
      <c r="P5070" s="12"/>
      <c r="Q5070" s="7">
        <f t="shared" si="1149"/>
        <v>8298566.3500000127</v>
      </c>
      <c r="R5070" s="44" t="str">
        <f>VLOOKUP(F5070,'Set up'!$A$2:$E$100,5,FALSE)</f>
        <v>Cash</v>
      </c>
    </row>
    <row r="5071" spans="1:18" ht="16.8" customHeight="1" x14ac:dyDescent="0.3">
      <c r="A5071" s="151" t="s">
        <v>4525</v>
      </c>
      <c r="B5071" s="5">
        <f t="shared" si="1144"/>
        <v>2</v>
      </c>
      <c r="C5071" s="5">
        <f t="shared" si="1145"/>
        <v>2026</v>
      </c>
      <c r="D5071" s="170" t="s">
        <v>4509</v>
      </c>
      <c r="E5071" s="5" t="str">
        <f>VLOOKUP(F5071,'Set up'!$A$2:$C$100,2,FALSE)</f>
        <v>C00000049</v>
      </c>
      <c r="F5071" s="150" t="s">
        <v>2728</v>
      </c>
      <c r="G5071" s="150" t="s">
        <v>4204</v>
      </c>
      <c r="H5071" s="150">
        <v>1</v>
      </c>
      <c r="I5071" s="5" t="str">
        <f>VLOOKUP(F5071,'Set up'!$A$2:$C$100,3,FALSE)</f>
        <v>Cash</v>
      </c>
      <c r="J5071" s="5">
        <f>VLOOKUP(F5071,'Set up'!$A$2:$D$100,4,FALSE)</f>
        <v>0</v>
      </c>
      <c r="K5071" s="4">
        <f t="shared" si="1146"/>
        <v>46076</v>
      </c>
      <c r="L5071" s="5">
        <f t="shared" si="1147"/>
        <v>2</v>
      </c>
      <c r="M5071" s="5">
        <f t="shared" si="1148"/>
        <v>2026</v>
      </c>
      <c r="N5071" s="156">
        <v>165</v>
      </c>
      <c r="P5071" s="12"/>
      <c r="Q5071" s="7">
        <f t="shared" si="1149"/>
        <v>8298731.3500000127</v>
      </c>
      <c r="R5071" s="44" t="str">
        <f>VLOOKUP(F5071,'Set up'!$A$2:$E$100,5,FALSE)</f>
        <v>Cash</v>
      </c>
    </row>
    <row r="5072" spans="1:18" ht="16.8" customHeight="1" x14ac:dyDescent="0.3">
      <c r="A5072" s="151" t="s">
        <v>4526</v>
      </c>
      <c r="B5072" s="5">
        <f t="shared" si="1144"/>
        <v>2</v>
      </c>
      <c r="C5072" s="5">
        <f t="shared" si="1145"/>
        <v>2026</v>
      </c>
      <c r="D5072" s="170" t="s">
        <v>4510</v>
      </c>
      <c r="E5072" s="5" t="str">
        <f>VLOOKUP(F5072,'Set up'!$A$2:$C$100,2,FALSE)</f>
        <v>C00000045</v>
      </c>
      <c r="F5072" s="150" t="s">
        <v>2271</v>
      </c>
      <c r="G5072" s="150" t="s">
        <v>3645</v>
      </c>
      <c r="H5072" s="150">
        <v>1</v>
      </c>
      <c r="I5072" s="5" t="str">
        <f>VLOOKUP(F5072,'Set up'!$A$2:$C$100,3,FALSE)</f>
        <v>Cash</v>
      </c>
      <c r="J5072" s="5">
        <f>VLOOKUP(F5072,'Set up'!$A$2:$D$100,4,FALSE)</f>
        <v>0</v>
      </c>
      <c r="K5072" s="4">
        <f t="shared" si="1146"/>
        <v>46078</v>
      </c>
      <c r="L5072" s="5">
        <f t="shared" si="1147"/>
        <v>2</v>
      </c>
      <c r="M5072" s="5">
        <f t="shared" si="1148"/>
        <v>2026</v>
      </c>
      <c r="N5072" s="156">
        <v>1485</v>
      </c>
      <c r="P5072" s="12"/>
      <c r="Q5072" s="7">
        <f t="shared" si="1149"/>
        <v>8300216.3500000127</v>
      </c>
      <c r="R5072" s="44" t="str">
        <f>VLOOKUP(F5072,'Set up'!$A$2:$E$100,5,FALSE)</f>
        <v>Trsf</v>
      </c>
    </row>
    <row r="5073" spans="1:18" ht="16.8" customHeight="1" x14ac:dyDescent="0.3">
      <c r="A5073" s="151" t="s">
        <v>4526</v>
      </c>
      <c r="B5073" s="5">
        <f t="shared" si="1144"/>
        <v>2</v>
      </c>
      <c r="C5073" s="5">
        <f t="shared" si="1145"/>
        <v>2026</v>
      </c>
      <c r="D5073" s="170" t="s">
        <v>4510</v>
      </c>
      <c r="E5073" s="5" t="str">
        <f>VLOOKUP(F5073,'Set up'!$A$2:$C$100,2,FALSE)</f>
        <v>C00000045</v>
      </c>
      <c r="F5073" s="150" t="s">
        <v>2271</v>
      </c>
      <c r="G5073" s="150" t="s">
        <v>1543</v>
      </c>
      <c r="H5073" s="150">
        <v>4</v>
      </c>
      <c r="I5073" s="5" t="str">
        <f>VLOOKUP(F5073,'Set up'!$A$2:$C$100,3,FALSE)</f>
        <v>Cash</v>
      </c>
      <c r="J5073" s="5">
        <f>VLOOKUP(F5073,'Set up'!$A$2:$D$100,4,FALSE)</f>
        <v>0</v>
      </c>
      <c r="K5073" s="4">
        <f t="shared" si="1146"/>
        <v>46078</v>
      </c>
      <c r="L5073" s="5">
        <f t="shared" si="1147"/>
        <v>2</v>
      </c>
      <c r="M5073" s="5">
        <f t="shared" si="1148"/>
        <v>2026</v>
      </c>
      <c r="N5073" s="156">
        <v>708</v>
      </c>
      <c r="P5073" s="12"/>
      <c r="Q5073" s="7">
        <f t="shared" si="1149"/>
        <v>8300924.3500000127</v>
      </c>
      <c r="R5073" s="44" t="str">
        <f>VLOOKUP(F5073,'Set up'!$A$2:$E$100,5,FALSE)</f>
        <v>Trsf</v>
      </c>
    </row>
    <row r="5074" spans="1:18" ht="16.8" customHeight="1" x14ac:dyDescent="0.3">
      <c r="A5074" s="151" t="s">
        <v>4526</v>
      </c>
      <c r="B5074" s="5">
        <f t="shared" si="1144"/>
        <v>2</v>
      </c>
      <c r="C5074" s="5">
        <f t="shared" si="1145"/>
        <v>2026</v>
      </c>
      <c r="D5074" s="170" t="s">
        <v>4511</v>
      </c>
      <c r="E5074" s="5" t="str">
        <f>VLOOKUP(F5074,'Set up'!$A$2:$C$100,2,FALSE)</f>
        <v>C00000019</v>
      </c>
      <c r="F5074" s="150" t="s">
        <v>400</v>
      </c>
      <c r="G5074" s="150" t="s">
        <v>3122</v>
      </c>
      <c r="H5074" s="150">
        <v>1</v>
      </c>
      <c r="I5074" s="5" t="str">
        <f>VLOOKUP(F5074,'Set up'!$A$2:$C$100,3,FALSE)</f>
        <v>Cash</v>
      </c>
      <c r="J5074" s="5">
        <f>VLOOKUP(F5074,'Set up'!$A$2:$D$100,4,FALSE)</f>
        <v>0</v>
      </c>
      <c r="K5074" s="4">
        <f t="shared" si="1146"/>
        <v>46078</v>
      </c>
      <c r="L5074" s="5">
        <f t="shared" si="1147"/>
        <v>2</v>
      </c>
      <c r="M5074" s="5">
        <f t="shared" si="1148"/>
        <v>2026</v>
      </c>
      <c r="N5074" s="156">
        <v>1687.5</v>
      </c>
      <c r="P5074" s="12"/>
      <c r="Q5074" s="7">
        <f t="shared" si="1149"/>
        <v>8302611.8500000127</v>
      </c>
      <c r="R5074" s="44" t="str">
        <f>VLOOKUP(F5074,'Set up'!$A$2:$E$100,5,FALSE)</f>
        <v>Trsf</v>
      </c>
    </row>
    <row r="5075" spans="1:18" ht="16.8" customHeight="1" x14ac:dyDescent="0.3">
      <c r="A5075" s="151" t="s">
        <v>4526</v>
      </c>
      <c r="B5075" s="5">
        <f t="shared" si="1144"/>
        <v>2</v>
      </c>
      <c r="C5075" s="5">
        <f t="shared" si="1145"/>
        <v>2026</v>
      </c>
      <c r="D5075" s="170" t="s">
        <v>4511</v>
      </c>
      <c r="E5075" s="5" t="str">
        <f>VLOOKUP(F5075,'Set up'!$A$2:$C$100,2,FALSE)</f>
        <v>C00000019</v>
      </c>
      <c r="F5075" s="150" t="s">
        <v>400</v>
      </c>
      <c r="G5075" s="150" t="s">
        <v>3639</v>
      </c>
      <c r="H5075" s="150">
        <v>1</v>
      </c>
      <c r="I5075" s="5" t="str">
        <f>VLOOKUP(F5075,'Set up'!$A$2:$C$100,3,FALSE)</f>
        <v>Cash</v>
      </c>
      <c r="J5075" s="5">
        <f>VLOOKUP(F5075,'Set up'!$A$2:$D$100,4,FALSE)</f>
        <v>0</v>
      </c>
      <c r="K5075" s="4">
        <f t="shared" si="1146"/>
        <v>46078</v>
      </c>
      <c r="L5075" s="5">
        <f t="shared" si="1147"/>
        <v>2</v>
      </c>
      <c r="M5075" s="5">
        <f t="shared" si="1148"/>
        <v>2026</v>
      </c>
      <c r="N5075" s="156">
        <v>482.4</v>
      </c>
      <c r="P5075" s="12"/>
      <c r="Q5075" s="7">
        <f t="shared" si="1149"/>
        <v>8303094.250000013</v>
      </c>
      <c r="R5075" s="44" t="str">
        <f>VLOOKUP(F5075,'Set up'!$A$2:$E$100,5,FALSE)</f>
        <v>Trsf</v>
      </c>
    </row>
    <row r="5076" spans="1:18" ht="16.8" customHeight="1" x14ac:dyDescent="0.3">
      <c r="A5076" s="151" t="s">
        <v>4526</v>
      </c>
      <c r="B5076" s="5">
        <f t="shared" si="1144"/>
        <v>2</v>
      </c>
      <c r="C5076" s="5">
        <f t="shared" si="1145"/>
        <v>2026</v>
      </c>
      <c r="D5076" s="170" t="s">
        <v>4511</v>
      </c>
      <c r="E5076" s="5" t="str">
        <f>VLOOKUP(F5076,'Set up'!$A$2:$C$100,2,FALSE)</f>
        <v>C00000019</v>
      </c>
      <c r="F5076" s="150" t="s">
        <v>400</v>
      </c>
      <c r="G5076" s="150" t="s">
        <v>1469</v>
      </c>
      <c r="H5076" s="150">
        <v>1</v>
      </c>
      <c r="I5076" s="5" t="str">
        <f>VLOOKUP(F5076,'Set up'!$A$2:$C$100,3,FALSE)</f>
        <v>Cash</v>
      </c>
      <c r="J5076" s="5">
        <f>VLOOKUP(F5076,'Set up'!$A$2:$D$100,4,FALSE)</f>
        <v>0</v>
      </c>
      <c r="K5076" s="4">
        <f t="shared" si="1146"/>
        <v>46078</v>
      </c>
      <c r="L5076" s="5">
        <f t="shared" si="1147"/>
        <v>2</v>
      </c>
      <c r="M5076" s="5">
        <f t="shared" si="1148"/>
        <v>2026</v>
      </c>
      <c r="N5076" s="156">
        <v>410</v>
      </c>
      <c r="P5076" s="12"/>
      <c r="Q5076" s="7">
        <f t="shared" si="1149"/>
        <v>8303504.250000013</v>
      </c>
      <c r="R5076" s="44" t="str">
        <f>VLOOKUP(F5076,'Set up'!$A$2:$E$100,5,FALSE)</f>
        <v>Trsf</v>
      </c>
    </row>
    <row r="5077" spans="1:18" ht="16.8" customHeight="1" x14ac:dyDescent="0.3">
      <c r="A5077" s="151" t="s">
        <v>4526</v>
      </c>
      <c r="B5077" s="5">
        <f t="shared" si="1144"/>
        <v>2</v>
      </c>
      <c r="C5077" s="5">
        <f t="shared" si="1145"/>
        <v>2026</v>
      </c>
      <c r="D5077" s="170" t="s">
        <v>4511</v>
      </c>
      <c r="E5077" s="5" t="str">
        <f>VLOOKUP(F5077,'Set up'!$A$2:$C$100,2,FALSE)</f>
        <v>C00000019</v>
      </c>
      <c r="F5077" s="150" t="s">
        <v>400</v>
      </c>
      <c r="G5077" s="150" t="s">
        <v>945</v>
      </c>
      <c r="H5077" s="150">
        <v>1</v>
      </c>
      <c r="I5077" s="5" t="str">
        <f>VLOOKUP(F5077,'Set up'!$A$2:$C$100,3,FALSE)</f>
        <v>Cash</v>
      </c>
      <c r="J5077" s="5">
        <f>VLOOKUP(F5077,'Set up'!$A$2:$D$100,4,FALSE)</f>
        <v>0</v>
      </c>
      <c r="K5077" s="4">
        <f t="shared" si="1146"/>
        <v>46078</v>
      </c>
      <c r="L5077" s="5">
        <f t="shared" si="1147"/>
        <v>2</v>
      </c>
      <c r="M5077" s="5">
        <f t="shared" si="1148"/>
        <v>2026</v>
      </c>
      <c r="N5077" s="156">
        <v>115</v>
      </c>
      <c r="P5077" s="12"/>
      <c r="Q5077" s="7">
        <f t="shared" si="1149"/>
        <v>8303619.250000013</v>
      </c>
      <c r="R5077" s="44" t="str">
        <f>VLOOKUP(F5077,'Set up'!$A$2:$E$100,5,FALSE)</f>
        <v>Trsf</v>
      </c>
    </row>
    <row r="5078" spans="1:18" ht="16.8" customHeight="1" x14ac:dyDescent="0.3">
      <c r="A5078" s="151" t="s">
        <v>4526</v>
      </c>
      <c r="B5078" s="5">
        <f t="shared" si="1144"/>
        <v>2</v>
      </c>
      <c r="C5078" s="5">
        <f t="shared" si="1145"/>
        <v>2026</v>
      </c>
      <c r="D5078" s="170" t="s">
        <v>4511</v>
      </c>
      <c r="E5078" s="5" t="str">
        <f>VLOOKUP(F5078,'Set up'!$A$2:$C$100,2,FALSE)</f>
        <v>C00000019</v>
      </c>
      <c r="F5078" s="150" t="s">
        <v>400</v>
      </c>
      <c r="G5078" s="150" t="s">
        <v>894</v>
      </c>
      <c r="H5078" s="150">
        <v>1</v>
      </c>
      <c r="I5078" s="5" t="str">
        <f>VLOOKUP(F5078,'Set up'!$A$2:$C$100,3,FALSE)</f>
        <v>Cash</v>
      </c>
      <c r="J5078" s="5">
        <f>VLOOKUP(F5078,'Set up'!$A$2:$D$100,4,FALSE)</f>
        <v>0</v>
      </c>
      <c r="K5078" s="4">
        <f t="shared" si="1146"/>
        <v>46078</v>
      </c>
      <c r="L5078" s="5">
        <f t="shared" si="1147"/>
        <v>2</v>
      </c>
      <c r="M5078" s="5">
        <f t="shared" si="1148"/>
        <v>2026</v>
      </c>
      <c r="N5078" s="156">
        <v>160</v>
      </c>
      <c r="P5078" s="12"/>
      <c r="Q5078" s="7">
        <f t="shared" si="1149"/>
        <v>8303779.250000013</v>
      </c>
      <c r="R5078" s="44" t="str">
        <f>VLOOKUP(F5078,'Set up'!$A$2:$E$100,5,FALSE)</f>
        <v>Trsf</v>
      </c>
    </row>
    <row r="5079" spans="1:18" ht="16.8" customHeight="1" x14ac:dyDescent="0.3">
      <c r="A5079" s="151" t="s">
        <v>4526</v>
      </c>
      <c r="B5079" s="5">
        <f t="shared" si="1144"/>
        <v>2</v>
      </c>
      <c r="C5079" s="5">
        <f t="shared" si="1145"/>
        <v>2026</v>
      </c>
      <c r="D5079" s="170" t="s">
        <v>4511</v>
      </c>
      <c r="E5079" s="5" t="str">
        <f>VLOOKUP(F5079,'Set up'!$A$2:$C$100,2,FALSE)</f>
        <v>C00000019</v>
      </c>
      <c r="F5079" s="150" t="s">
        <v>400</v>
      </c>
      <c r="G5079" s="150" t="s">
        <v>2646</v>
      </c>
      <c r="H5079" s="150">
        <v>3</v>
      </c>
      <c r="I5079" s="5" t="str">
        <f>VLOOKUP(F5079,'Set up'!$A$2:$C$100,3,FALSE)</f>
        <v>Cash</v>
      </c>
      <c r="J5079" s="5">
        <f>VLOOKUP(F5079,'Set up'!$A$2:$D$100,4,FALSE)</f>
        <v>0</v>
      </c>
      <c r="K5079" s="4">
        <f t="shared" si="1146"/>
        <v>46078</v>
      </c>
      <c r="L5079" s="5">
        <f t="shared" si="1147"/>
        <v>2</v>
      </c>
      <c r="M5079" s="5">
        <f t="shared" si="1148"/>
        <v>2026</v>
      </c>
      <c r="N5079" s="156">
        <v>187.5</v>
      </c>
      <c r="P5079" s="12"/>
      <c r="Q5079" s="7">
        <f t="shared" si="1149"/>
        <v>8303966.750000013</v>
      </c>
      <c r="R5079" s="44" t="str">
        <f>VLOOKUP(F5079,'Set up'!$A$2:$E$100,5,FALSE)</f>
        <v>Trsf</v>
      </c>
    </row>
    <row r="5080" spans="1:18" ht="16.8" customHeight="1" x14ac:dyDescent="0.3">
      <c r="A5080" s="151" t="s">
        <v>4527</v>
      </c>
      <c r="B5080" s="5">
        <f t="shared" si="1144"/>
        <v>2</v>
      </c>
      <c r="C5080" s="5">
        <f t="shared" si="1145"/>
        <v>2026</v>
      </c>
      <c r="D5080" s="170" t="s">
        <v>4512</v>
      </c>
      <c r="E5080" s="5" t="str">
        <f>VLOOKUP(F5080,'Set up'!$A$2:$C$100,2,FALSE)</f>
        <v>C00000061</v>
      </c>
      <c r="F5080" s="150" t="s">
        <v>3532</v>
      </c>
      <c r="G5080" s="150" t="s">
        <v>949</v>
      </c>
      <c r="H5080" s="150">
        <v>12</v>
      </c>
      <c r="I5080" s="5" t="str">
        <f>VLOOKUP(F5080,'Set up'!$A$2:$C$100,3,FALSE)</f>
        <v>Cash</v>
      </c>
      <c r="J5080" s="5">
        <f>VLOOKUP(F5080,'Set up'!$A$2:$D$100,4,FALSE)</f>
        <v>0</v>
      </c>
      <c r="K5080" s="4">
        <f t="shared" si="1146"/>
        <v>46079</v>
      </c>
      <c r="L5080" s="5">
        <f t="shared" si="1147"/>
        <v>2</v>
      </c>
      <c r="M5080" s="5">
        <f t="shared" si="1148"/>
        <v>2026</v>
      </c>
      <c r="N5080" s="156">
        <v>696</v>
      </c>
      <c r="P5080" s="12"/>
      <c r="Q5080" s="7">
        <f t="shared" si="1149"/>
        <v>8304662.750000013</v>
      </c>
      <c r="R5080" s="44" t="str">
        <f>VLOOKUP(F5080,'Set up'!$A$2:$E$100,5,FALSE)</f>
        <v>Cash</v>
      </c>
    </row>
    <row r="5081" spans="1:18" ht="16.8" customHeight="1" x14ac:dyDescent="0.3">
      <c r="A5081" s="151" t="s">
        <v>4527</v>
      </c>
      <c r="B5081" s="5">
        <f t="shared" si="1144"/>
        <v>2</v>
      </c>
      <c r="C5081" s="5">
        <f t="shared" si="1145"/>
        <v>2026</v>
      </c>
      <c r="D5081" s="170" t="s">
        <v>4513</v>
      </c>
      <c r="E5081" s="5" t="e">
        <f>VLOOKUP(F5081,'Set up'!$A$2:$C$100,2,FALSE)</f>
        <v>#N/A</v>
      </c>
      <c r="F5081" s="150" t="s">
        <v>4130</v>
      </c>
      <c r="G5081" s="150" t="s">
        <v>3122</v>
      </c>
      <c r="H5081" s="150">
        <v>1</v>
      </c>
      <c r="I5081" s="5" t="e">
        <f>VLOOKUP(F5081,'Set up'!$A$2:$C$100,3,FALSE)</f>
        <v>#N/A</v>
      </c>
      <c r="J5081" s="5" t="e">
        <f>VLOOKUP(F5081,'Set up'!$A$2:$D$100,4,FALSE)</f>
        <v>#N/A</v>
      </c>
      <c r="K5081" s="4" t="e">
        <f t="shared" si="1146"/>
        <v>#N/A</v>
      </c>
      <c r="L5081" s="5" t="e">
        <f t="shared" si="1147"/>
        <v>#N/A</v>
      </c>
      <c r="M5081" s="5" t="e">
        <f t="shared" si="1148"/>
        <v>#N/A</v>
      </c>
      <c r="N5081" s="156">
        <v>1687.5</v>
      </c>
      <c r="P5081" s="12"/>
      <c r="Q5081" s="7">
        <f t="shared" si="1149"/>
        <v>8306350.250000013</v>
      </c>
      <c r="R5081" s="44" t="e">
        <f>VLOOKUP(F5081,'Set up'!$A$2:$E$100,5,FALSE)</f>
        <v>#N/A</v>
      </c>
    </row>
    <row r="5082" spans="1:18" ht="16.8" customHeight="1" x14ac:dyDescent="0.3">
      <c r="A5082" s="151" t="s">
        <v>4527</v>
      </c>
      <c r="B5082" s="5">
        <f t="shared" si="1144"/>
        <v>2</v>
      </c>
      <c r="C5082" s="5">
        <f t="shared" si="1145"/>
        <v>2026</v>
      </c>
      <c r="D5082" s="170" t="s">
        <v>4513</v>
      </c>
      <c r="E5082" s="5" t="e">
        <f>VLOOKUP(F5082,'Set up'!$A$2:$C$100,2,FALSE)</f>
        <v>#N/A</v>
      </c>
      <c r="F5082" s="150" t="s">
        <v>4130</v>
      </c>
      <c r="G5082" s="150" t="s">
        <v>707</v>
      </c>
      <c r="H5082" s="150">
        <v>1</v>
      </c>
      <c r="I5082" s="5" t="e">
        <f>VLOOKUP(F5082,'Set up'!$A$2:$C$100,3,FALSE)</f>
        <v>#N/A</v>
      </c>
      <c r="J5082" s="5" t="e">
        <f>VLOOKUP(F5082,'Set up'!$A$2:$D$100,4,FALSE)</f>
        <v>#N/A</v>
      </c>
      <c r="K5082" s="4" t="e">
        <f t="shared" si="1146"/>
        <v>#N/A</v>
      </c>
      <c r="L5082" s="5" t="e">
        <f t="shared" si="1147"/>
        <v>#N/A</v>
      </c>
      <c r="M5082" s="5" t="e">
        <f t="shared" si="1148"/>
        <v>#N/A</v>
      </c>
      <c r="N5082" s="156">
        <v>394.2</v>
      </c>
      <c r="P5082" s="12"/>
      <c r="Q5082" s="7">
        <f t="shared" si="1149"/>
        <v>8306744.4500000132</v>
      </c>
      <c r="R5082" s="44" t="e">
        <f>VLOOKUP(F5082,'Set up'!$A$2:$E$100,5,FALSE)</f>
        <v>#N/A</v>
      </c>
    </row>
    <row r="5083" spans="1:18" ht="16.8" customHeight="1" x14ac:dyDescent="0.3">
      <c r="A5083" s="151" t="s">
        <v>4527</v>
      </c>
      <c r="B5083" s="5">
        <f t="shared" si="1144"/>
        <v>2</v>
      </c>
      <c r="C5083" s="5">
        <f t="shared" si="1145"/>
        <v>2026</v>
      </c>
      <c r="D5083" s="170" t="s">
        <v>4513</v>
      </c>
      <c r="E5083" s="5" t="e">
        <f>VLOOKUP(F5083,'Set up'!$A$2:$C$100,2,FALSE)</f>
        <v>#N/A</v>
      </c>
      <c r="F5083" s="150" t="s">
        <v>4130</v>
      </c>
      <c r="G5083" s="150" t="s">
        <v>2556</v>
      </c>
      <c r="H5083" s="150">
        <v>1</v>
      </c>
      <c r="I5083" s="5" t="e">
        <f>VLOOKUP(F5083,'Set up'!$A$2:$C$100,3,FALSE)</f>
        <v>#N/A</v>
      </c>
      <c r="J5083" s="5" t="e">
        <f>VLOOKUP(F5083,'Set up'!$A$2:$D$100,4,FALSE)</f>
        <v>#N/A</v>
      </c>
      <c r="K5083" s="4" t="e">
        <f t="shared" si="1146"/>
        <v>#N/A</v>
      </c>
      <c r="L5083" s="5" t="e">
        <f t="shared" si="1147"/>
        <v>#N/A</v>
      </c>
      <c r="M5083" s="5" t="e">
        <f t="shared" si="1148"/>
        <v>#N/A</v>
      </c>
      <c r="N5083" s="156">
        <v>394.2</v>
      </c>
      <c r="P5083" s="12"/>
      <c r="Q5083" s="7">
        <f t="shared" si="1149"/>
        <v>8307138.6500000134</v>
      </c>
      <c r="R5083" s="44" t="e">
        <f>VLOOKUP(F5083,'Set up'!$A$2:$E$100,5,FALSE)</f>
        <v>#N/A</v>
      </c>
    </row>
    <row r="5084" spans="1:18" ht="16.8" customHeight="1" x14ac:dyDescent="0.3">
      <c r="A5084" s="151" t="s">
        <v>4527</v>
      </c>
      <c r="B5084" s="5">
        <f t="shared" si="1144"/>
        <v>2</v>
      </c>
      <c r="C5084" s="5">
        <f t="shared" si="1145"/>
        <v>2026</v>
      </c>
      <c r="D5084" s="170" t="s">
        <v>4513</v>
      </c>
      <c r="E5084" s="5" t="e">
        <f>VLOOKUP(F5084,'Set up'!$A$2:$C$100,2,FALSE)</f>
        <v>#N/A</v>
      </c>
      <c r="F5084" s="150" t="s">
        <v>4130</v>
      </c>
      <c r="G5084" s="150" t="s">
        <v>2144</v>
      </c>
      <c r="H5084" s="150">
        <v>1</v>
      </c>
      <c r="I5084" s="5" t="e">
        <f>VLOOKUP(F5084,'Set up'!$A$2:$C$100,3,FALSE)</f>
        <v>#N/A</v>
      </c>
      <c r="J5084" s="5" t="e">
        <f>VLOOKUP(F5084,'Set up'!$A$2:$D$100,4,FALSE)</f>
        <v>#N/A</v>
      </c>
      <c r="K5084" s="4" t="e">
        <f t="shared" si="1146"/>
        <v>#N/A</v>
      </c>
      <c r="L5084" s="5" t="e">
        <f t="shared" si="1147"/>
        <v>#N/A</v>
      </c>
      <c r="M5084" s="5" t="e">
        <f t="shared" si="1148"/>
        <v>#N/A</v>
      </c>
      <c r="N5084" s="156">
        <v>286</v>
      </c>
      <c r="P5084" s="12"/>
      <c r="Q5084" s="7">
        <f t="shared" si="1149"/>
        <v>8307424.6500000134</v>
      </c>
      <c r="R5084" s="44" t="e">
        <f>VLOOKUP(F5084,'Set up'!$A$2:$E$100,5,FALSE)</f>
        <v>#N/A</v>
      </c>
    </row>
    <row r="5085" spans="1:18" ht="16.8" customHeight="1" x14ac:dyDescent="0.3">
      <c r="A5085" s="151" t="s">
        <v>4527</v>
      </c>
      <c r="B5085" s="5">
        <f t="shared" si="1144"/>
        <v>2</v>
      </c>
      <c r="C5085" s="5">
        <f t="shared" si="1145"/>
        <v>2026</v>
      </c>
      <c r="D5085" s="170" t="s">
        <v>4513</v>
      </c>
      <c r="E5085" s="5" t="e">
        <f>VLOOKUP(F5085,'Set up'!$A$2:$C$100,2,FALSE)</f>
        <v>#N/A</v>
      </c>
      <c r="F5085" s="150" t="s">
        <v>4130</v>
      </c>
      <c r="G5085" s="150" t="s">
        <v>4204</v>
      </c>
      <c r="H5085" s="150">
        <v>1</v>
      </c>
      <c r="I5085" s="5" t="e">
        <f>VLOOKUP(F5085,'Set up'!$A$2:$C$100,3,FALSE)</f>
        <v>#N/A</v>
      </c>
      <c r="J5085" s="5" t="e">
        <f>VLOOKUP(F5085,'Set up'!$A$2:$D$100,4,FALSE)</f>
        <v>#N/A</v>
      </c>
      <c r="K5085" s="4" t="e">
        <f t="shared" si="1146"/>
        <v>#N/A</v>
      </c>
      <c r="L5085" s="5" t="e">
        <f t="shared" si="1147"/>
        <v>#N/A</v>
      </c>
      <c r="M5085" s="5" t="e">
        <f t="shared" si="1148"/>
        <v>#N/A</v>
      </c>
      <c r="N5085" s="156">
        <v>160</v>
      </c>
      <c r="P5085" s="12"/>
      <c r="Q5085" s="7">
        <f t="shared" si="1149"/>
        <v>8307584.6500000134</v>
      </c>
      <c r="R5085" s="44" t="e">
        <f>VLOOKUP(F5085,'Set up'!$A$2:$E$100,5,FALSE)</f>
        <v>#N/A</v>
      </c>
    </row>
    <row r="5086" spans="1:18" ht="16.8" customHeight="1" x14ac:dyDescent="0.3">
      <c r="A5086" s="151" t="s">
        <v>4527</v>
      </c>
      <c r="B5086" s="5">
        <f t="shared" si="1144"/>
        <v>2</v>
      </c>
      <c r="C5086" s="5">
        <f t="shared" si="1145"/>
        <v>2026</v>
      </c>
      <c r="D5086" s="170" t="s">
        <v>4513</v>
      </c>
      <c r="E5086" s="5" t="e">
        <f>VLOOKUP(F5086,'Set up'!$A$2:$C$100,2,FALSE)</f>
        <v>#N/A</v>
      </c>
      <c r="F5086" s="150" t="s">
        <v>4130</v>
      </c>
      <c r="G5086" s="150" t="s">
        <v>945</v>
      </c>
      <c r="H5086" s="150">
        <v>1</v>
      </c>
      <c r="I5086" s="5" t="e">
        <f>VLOOKUP(F5086,'Set up'!$A$2:$C$100,3,FALSE)</f>
        <v>#N/A</v>
      </c>
      <c r="J5086" s="5" t="e">
        <f>VLOOKUP(F5086,'Set up'!$A$2:$D$100,4,FALSE)</f>
        <v>#N/A</v>
      </c>
      <c r="K5086" s="4" t="e">
        <f t="shared" si="1146"/>
        <v>#N/A</v>
      </c>
      <c r="L5086" s="5" t="e">
        <f t="shared" si="1147"/>
        <v>#N/A</v>
      </c>
      <c r="M5086" s="5" t="e">
        <f t="shared" si="1148"/>
        <v>#N/A</v>
      </c>
      <c r="N5086" s="156">
        <v>120</v>
      </c>
      <c r="P5086" s="12"/>
      <c r="Q5086" s="7">
        <f t="shared" si="1149"/>
        <v>8307704.6500000134</v>
      </c>
      <c r="R5086" s="44" t="e">
        <f>VLOOKUP(F5086,'Set up'!$A$2:$E$100,5,FALSE)</f>
        <v>#N/A</v>
      </c>
    </row>
    <row r="5087" spans="1:18" ht="16.8" customHeight="1" x14ac:dyDescent="0.3">
      <c r="A5087" s="151" t="s">
        <v>4527</v>
      </c>
      <c r="B5087" s="5">
        <f t="shared" si="1144"/>
        <v>2</v>
      </c>
      <c r="C5087" s="5">
        <f t="shared" si="1145"/>
        <v>2026</v>
      </c>
      <c r="D5087" s="170" t="s">
        <v>4513</v>
      </c>
      <c r="E5087" s="5" t="e">
        <f>VLOOKUP(F5087,'Set up'!$A$2:$C$100,2,FALSE)</f>
        <v>#N/A</v>
      </c>
      <c r="F5087" s="150" t="s">
        <v>4130</v>
      </c>
      <c r="G5087" s="150" t="s">
        <v>2646</v>
      </c>
      <c r="H5087" s="150">
        <v>2</v>
      </c>
      <c r="I5087" s="5" t="e">
        <f>VLOOKUP(F5087,'Set up'!$A$2:$C$100,3,FALSE)</f>
        <v>#N/A</v>
      </c>
      <c r="J5087" s="5" t="e">
        <f>VLOOKUP(F5087,'Set up'!$A$2:$D$100,4,FALSE)</f>
        <v>#N/A</v>
      </c>
      <c r="K5087" s="4" t="e">
        <f t="shared" si="1146"/>
        <v>#N/A</v>
      </c>
      <c r="L5087" s="5" t="e">
        <f t="shared" si="1147"/>
        <v>#N/A</v>
      </c>
      <c r="M5087" s="5" t="e">
        <f t="shared" si="1148"/>
        <v>#N/A</v>
      </c>
      <c r="N5087" s="156">
        <v>125</v>
      </c>
      <c r="P5087" s="12"/>
      <c r="Q5087" s="7">
        <f t="shared" si="1149"/>
        <v>8307829.6500000134</v>
      </c>
      <c r="R5087" s="44" t="e">
        <f>VLOOKUP(F5087,'Set up'!$A$2:$E$100,5,FALSE)</f>
        <v>#N/A</v>
      </c>
    </row>
    <row r="5088" spans="1:18" ht="16.8" customHeight="1" x14ac:dyDescent="0.3">
      <c r="A5088" s="151" t="s">
        <v>4527</v>
      </c>
      <c r="B5088" s="5">
        <f t="shared" si="1144"/>
        <v>2</v>
      </c>
      <c r="C5088" s="5">
        <f t="shared" si="1145"/>
        <v>2026</v>
      </c>
      <c r="D5088" s="170" t="s">
        <v>4513</v>
      </c>
      <c r="E5088" s="5" t="e">
        <f>VLOOKUP(F5088,'Set up'!$A$2:$C$100,2,FALSE)</f>
        <v>#N/A</v>
      </c>
      <c r="F5088" s="150" t="s">
        <v>4130</v>
      </c>
      <c r="G5088" s="150" t="s">
        <v>1405</v>
      </c>
      <c r="H5088" s="150">
        <v>3</v>
      </c>
      <c r="I5088" s="5" t="e">
        <f>VLOOKUP(F5088,'Set up'!$A$2:$C$100,3,FALSE)</f>
        <v>#N/A</v>
      </c>
      <c r="J5088" s="5" t="e">
        <f>VLOOKUP(F5088,'Set up'!$A$2:$D$100,4,FALSE)</f>
        <v>#N/A</v>
      </c>
      <c r="K5088" s="4" t="e">
        <f t="shared" si="1146"/>
        <v>#N/A</v>
      </c>
      <c r="L5088" s="5" t="e">
        <f t="shared" si="1147"/>
        <v>#N/A</v>
      </c>
      <c r="M5088" s="5" t="e">
        <f t="shared" si="1148"/>
        <v>#N/A</v>
      </c>
      <c r="N5088" s="156">
        <v>144</v>
      </c>
      <c r="P5088" s="12"/>
      <c r="Q5088" s="7">
        <f t="shared" si="1149"/>
        <v>8307973.6500000134</v>
      </c>
      <c r="R5088" s="44" t="e">
        <f>VLOOKUP(F5088,'Set up'!$A$2:$E$100,5,FALSE)</f>
        <v>#N/A</v>
      </c>
    </row>
    <row r="5089" spans="1:18" ht="16.8" customHeight="1" x14ac:dyDescent="0.3">
      <c r="A5089" s="151" t="s">
        <v>4528</v>
      </c>
      <c r="B5089" s="5">
        <f t="shared" si="1144"/>
        <v>2</v>
      </c>
      <c r="C5089" s="5">
        <f t="shared" si="1145"/>
        <v>2026</v>
      </c>
      <c r="D5089" s="170" t="s">
        <v>4514</v>
      </c>
      <c r="E5089" s="5" t="str">
        <f>VLOOKUP(F5089,'Set up'!$A$2:$C$100,2,FALSE)</f>
        <v>C00000050</v>
      </c>
      <c r="F5089" s="150" t="s">
        <v>2656</v>
      </c>
      <c r="G5089" s="150" t="s">
        <v>3615</v>
      </c>
      <c r="H5089" s="150">
        <v>1</v>
      </c>
      <c r="I5089" s="5" t="str">
        <f>VLOOKUP(F5089,'Set up'!$A$2:$C$100,3,FALSE)</f>
        <v>Cash</v>
      </c>
      <c r="J5089" s="5">
        <f>VLOOKUP(F5089,'Set up'!$A$2:$D$100,4,FALSE)</f>
        <v>0</v>
      </c>
      <c r="K5089" s="4">
        <f t="shared" si="1146"/>
        <v>46080</v>
      </c>
      <c r="L5089" s="5">
        <f t="shared" si="1147"/>
        <v>2</v>
      </c>
      <c r="M5089" s="5">
        <f t="shared" si="1148"/>
        <v>2026</v>
      </c>
      <c r="N5089" s="156">
        <v>1687.5</v>
      </c>
      <c r="P5089" s="12"/>
      <c r="Q5089" s="7">
        <f t="shared" si="1149"/>
        <v>8309661.1500000134</v>
      </c>
      <c r="R5089" s="44" t="str">
        <f>VLOOKUP(F5089,'Set up'!$A$2:$E$100,5,FALSE)</f>
        <v>Cash</v>
      </c>
    </row>
    <row r="5090" spans="1:18" ht="16.8" customHeight="1" x14ac:dyDescent="0.3">
      <c r="A5090" s="151" t="s">
        <v>4528</v>
      </c>
      <c r="B5090" s="5">
        <f t="shared" si="1144"/>
        <v>2</v>
      </c>
      <c r="C5090" s="5">
        <f t="shared" si="1145"/>
        <v>2026</v>
      </c>
      <c r="D5090" s="170" t="s">
        <v>4514</v>
      </c>
      <c r="E5090" s="5" t="str">
        <f>VLOOKUP(F5090,'Set up'!$A$2:$C$100,2,FALSE)</f>
        <v>C00000050</v>
      </c>
      <c r="F5090" s="150" t="s">
        <v>2656</v>
      </c>
      <c r="G5090" s="150" t="s">
        <v>2129</v>
      </c>
      <c r="H5090" s="150">
        <v>2</v>
      </c>
      <c r="I5090" s="5" t="str">
        <f>VLOOKUP(F5090,'Set up'!$A$2:$C$100,3,FALSE)</f>
        <v>Cash</v>
      </c>
      <c r="J5090" s="5">
        <f>VLOOKUP(F5090,'Set up'!$A$2:$D$100,4,FALSE)</f>
        <v>0</v>
      </c>
      <c r="K5090" s="4">
        <f t="shared" si="1146"/>
        <v>46080</v>
      </c>
      <c r="L5090" s="5">
        <f t="shared" si="1147"/>
        <v>2</v>
      </c>
      <c r="M5090" s="5">
        <f t="shared" si="1148"/>
        <v>2026</v>
      </c>
      <c r="N5090" s="156">
        <v>532.79999999999995</v>
      </c>
      <c r="P5090" s="12"/>
      <c r="Q5090" s="7">
        <f t="shared" si="1149"/>
        <v>8310193.9500000132</v>
      </c>
      <c r="R5090" s="44" t="str">
        <f>VLOOKUP(F5090,'Set up'!$A$2:$E$100,5,FALSE)</f>
        <v>Cash</v>
      </c>
    </row>
    <row r="5091" spans="1:18" ht="16.8" customHeight="1" x14ac:dyDescent="0.3">
      <c r="A5091" s="151" t="s">
        <v>4528</v>
      </c>
      <c r="B5091" s="5">
        <f t="shared" si="1144"/>
        <v>2</v>
      </c>
      <c r="C5091" s="5">
        <f t="shared" si="1145"/>
        <v>2026</v>
      </c>
      <c r="D5091" s="170" t="s">
        <v>4514</v>
      </c>
      <c r="E5091" s="5" t="str">
        <f>VLOOKUP(F5091,'Set up'!$A$2:$C$100,2,FALSE)</f>
        <v>C00000050</v>
      </c>
      <c r="F5091" s="150" t="s">
        <v>2656</v>
      </c>
      <c r="G5091" s="150" t="s">
        <v>945</v>
      </c>
      <c r="H5091" s="150">
        <v>1</v>
      </c>
      <c r="I5091" s="5" t="str">
        <f>VLOOKUP(F5091,'Set up'!$A$2:$C$100,3,FALSE)</f>
        <v>Cash</v>
      </c>
      <c r="J5091" s="5">
        <f>VLOOKUP(F5091,'Set up'!$A$2:$D$100,4,FALSE)</f>
        <v>0</v>
      </c>
      <c r="K5091" s="4">
        <f t="shared" si="1146"/>
        <v>46080</v>
      </c>
      <c r="L5091" s="5">
        <f t="shared" si="1147"/>
        <v>2</v>
      </c>
      <c r="M5091" s="5">
        <f t="shared" si="1148"/>
        <v>2026</v>
      </c>
      <c r="N5091" s="156">
        <v>115</v>
      </c>
      <c r="P5091" s="12"/>
      <c r="Q5091" s="7">
        <f t="shared" si="1149"/>
        <v>8310308.9500000132</v>
      </c>
      <c r="R5091" s="44" t="str">
        <f>VLOOKUP(F5091,'Set up'!$A$2:$E$100,5,FALSE)</f>
        <v>Cash</v>
      </c>
    </row>
    <row r="5092" spans="1:18" ht="16.8" customHeight="1" x14ac:dyDescent="0.3">
      <c r="A5092" s="151" t="s">
        <v>4538</v>
      </c>
      <c r="B5092" s="5">
        <f t="shared" ref="B5092" si="1150">MONTH(A5092)</f>
        <v>3</v>
      </c>
      <c r="C5092" s="5">
        <f t="shared" ref="C5092" si="1151">YEAR(A5092)</f>
        <v>2026</v>
      </c>
      <c r="D5092" s="170" t="s">
        <v>4551</v>
      </c>
      <c r="E5092" s="5" t="str">
        <f>VLOOKUP(F5092,'Set up'!$A$2:$C$100,2,FALSE)</f>
        <v>C00000010</v>
      </c>
      <c r="F5092" s="150" t="s">
        <v>62</v>
      </c>
      <c r="G5092" s="150" t="s">
        <v>3645</v>
      </c>
      <c r="H5092" s="150">
        <v>6</v>
      </c>
      <c r="I5092" s="5">
        <f>VLOOKUP(F5092,'Set up'!$A$2:$C$100,3,FALSE)</f>
        <v>120</v>
      </c>
      <c r="J5092" s="5">
        <f>VLOOKUP(F5092,'Set up'!$A$2:$D$100,4,FALSE)</f>
        <v>120</v>
      </c>
      <c r="K5092" s="4">
        <f t="shared" ref="K5092" si="1152">A5092+J5092</f>
        <v>46205</v>
      </c>
      <c r="L5092" s="5">
        <f t="shared" ref="L5092" si="1153">MONTH(K5092)</f>
        <v>7</v>
      </c>
      <c r="M5092" s="5">
        <f t="shared" ref="M5092" si="1154">YEAR(K5092)</f>
        <v>2026</v>
      </c>
      <c r="N5092" s="156">
        <v>8910</v>
      </c>
      <c r="P5092" s="12"/>
      <c r="Q5092" s="7">
        <f t="shared" ref="Q5092" si="1155">SUM(Q5091+N5092)</f>
        <v>8319218.9500000132</v>
      </c>
      <c r="R5092" s="44" t="str">
        <f>VLOOKUP(F5092,'Set up'!$A$2:$E$100,5,FALSE)</f>
        <v>Trsf</v>
      </c>
    </row>
    <row r="5093" spans="1:18" ht="16.8" customHeight="1" x14ac:dyDescent="0.3">
      <c r="A5093" s="151" t="s">
        <v>4538</v>
      </c>
      <c r="B5093" s="5">
        <f t="shared" ref="B5093:B5158" si="1156">MONTH(A5093)</f>
        <v>3</v>
      </c>
      <c r="C5093" s="5">
        <f t="shared" ref="C5093:C5158" si="1157">YEAR(A5093)</f>
        <v>2026</v>
      </c>
      <c r="D5093" s="170" t="s">
        <v>4551</v>
      </c>
      <c r="E5093" s="5" t="str">
        <f>VLOOKUP(F5093,'Set up'!$A$2:$C$100,2,FALSE)</f>
        <v>C00000010</v>
      </c>
      <c r="F5093" s="150" t="s">
        <v>62</v>
      </c>
      <c r="G5093" s="150" t="s">
        <v>1543</v>
      </c>
      <c r="H5093" s="150">
        <v>20</v>
      </c>
      <c r="I5093" s="5">
        <f>VLOOKUP(F5093,'Set up'!$A$2:$C$100,3,FALSE)</f>
        <v>120</v>
      </c>
      <c r="J5093" s="5">
        <f>VLOOKUP(F5093,'Set up'!$A$2:$D$100,4,FALSE)</f>
        <v>120</v>
      </c>
      <c r="K5093" s="4">
        <f t="shared" ref="K5093:K5158" si="1158">A5093+J5093</f>
        <v>46205</v>
      </c>
      <c r="L5093" s="5">
        <f t="shared" ref="L5093:L5158" si="1159">MONTH(K5093)</f>
        <v>7</v>
      </c>
      <c r="M5093" s="5">
        <f t="shared" ref="M5093:M5158" si="1160">YEAR(K5093)</f>
        <v>2026</v>
      </c>
      <c r="N5093" s="156">
        <v>3480</v>
      </c>
      <c r="P5093" s="12"/>
      <c r="Q5093" s="7">
        <f t="shared" ref="Q5093:Q5158" si="1161">SUM(Q5092+N5093)</f>
        <v>8322698.9500000132</v>
      </c>
      <c r="R5093" s="44" t="str">
        <f>VLOOKUP(F5093,'Set up'!$A$2:$E$100,5,FALSE)</f>
        <v>Trsf</v>
      </c>
    </row>
    <row r="5094" spans="1:18" ht="16.8" customHeight="1" x14ac:dyDescent="0.3">
      <c r="A5094" s="151" t="s">
        <v>4538</v>
      </c>
      <c r="B5094" s="5">
        <f t="shared" si="1156"/>
        <v>3</v>
      </c>
      <c r="C5094" s="5">
        <f t="shared" si="1157"/>
        <v>2026</v>
      </c>
      <c r="D5094" s="170" t="s">
        <v>4551</v>
      </c>
      <c r="E5094" s="5" t="str">
        <f>VLOOKUP(F5094,'Set up'!$A$2:$C$100,2,FALSE)</f>
        <v>C00000010</v>
      </c>
      <c r="F5094" s="150" t="s">
        <v>62</v>
      </c>
      <c r="G5094" s="150" t="s">
        <v>949</v>
      </c>
      <c r="H5094" s="150">
        <v>1</v>
      </c>
      <c r="I5094" s="5">
        <f>VLOOKUP(F5094,'Set up'!$A$2:$C$100,3,FALSE)</f>
        <v>120</v>
      </c>
      <c r="J5094" s="5">
        <f>VLOOKUP(F5094,'Set up'!$A$2:$D$100,4,FALSE)</f>
        <v>120</v>
      </c>
      <c r="K5094" s="4">
        <f t="shared" si="1158"/>
        <v>46205</v>
      </c>
      <c r="L5094" s="5">
        <f t="shared" si="1159"/>
        <v>7</v>
      </c>
      <c r="M5094" s="5">
        <f t="shared" si="1160"/>
        <v>2026</v>
      </c>
      <c r="N5094" s="156">
        <v>696</v>
      </c>
      <c r="P5094" s="12"/>
      <c r="Q5094" s="7">
        <f t="shared" si="1161"/>
        <v>8323394.9500000132</v>
      </c>
      <c r="R5094" s="44" t="str">
        <f>VLOOKUP(F5094,'Set up'!$A$2:$E$100,5,FALSE)</f>
        <v>Trsf</v>
      </c>
    </row>
    <row r="5095" spans="1:18" ht="16.8" customHeight="1" x14ac:dyDescent="0.3">
      <c r="A5095" s="151" t="s">
        <v>4538</v>
      </c>
      <c r="B5095" s="5">
        <f t="shared" si="1156"/>
        <v>3</v>
      </c>
      <c r="C5095" s="5">
        <f t="shared" si="1157"/>
        <v>2026</v>
      </c>
      <c r="D5095" s="170" t="s">
        <v>4551</v>
      </c>
      <c r="E5095" s="5" t="str">
        <f>VLOOKUP(F5095,'Set up'!$A$2:$C$100,2,FALSE)</f>
        <v>C00000010</v>
      </c>
      <c r="F5095" s="150" t="s">
        <v>62</v>
      </c>
      <c r="G5095" s="150" t="s">
        <v>46</v>
      </c>
      <c r="H5095" s="150">
        <v>4</v>
      </c>
      <c r="I5095" s="5">
        <f>VLOOKUP(F5095,'Set up'!$A$2:$C$100,3,FALSE)</f>
        <v>120</v>
      </c>
      <c r="J5095" s="5">
        <f>VLOOKUP(F5095,'Set up'!$A$2:$D$100,4,FALSE)</f>
        <v>120</v>
      </c>
      <c r="K5095" s="4">
        <f t="shared" si="1158"/>
        <v>46205</v>
      </c>
      <c r="L5095" s="5">
        <f t="shared" si="1159"/>
        <v>7</v>
      </c>
      <c r="M5095" s="5">
        <f t="shared" si="1160"/>
        <v>2026</v>
      </c>
      <c r="N5095" s="156">
        <v>460</v>
      </c>
      <c r="P5095" s="12"/>
      <c r="Q5095" s="7">
        <f t="shared" si="1161"/>
        <v>8323854.9500000132</v>
      </c>
      <c r="R5095" s="44" t="str">
        <f>VLOOKUP(F5095,'Set up'!$A$2:$E$100,5,FALSE)</f>
        <v>Trsf</v>
      </c>
    </row>
    <row r="5096" spans="1:18" ht="16.8" customHeight="1" x14ac:dyDescent="0.3">
      <c r="A5096" s="151" t="s">
        <v>4538</v>
      </c>
      <c r="B5096" s="5">
        <f t="shared" si="1156"/>
        <v>3</v>
      </c>
      <c r="C5096" s="5">
        <f t="shared" si="1157"/>
        <v>2026</v>
      </c>
      <c r="D5096" s="170" t="s">
        <v>4551</v>
      </c>
      <c r="E5096" s="5" t="str">
        <f>VLOOKUP(F5096,'Set up'!$A$2:$C$100,2,FALSE)</f>
        <v>C00000010</v>
      </c>
      <c r="F5096" s="150" t="s">
        <v>62</v>
      </c>
      <c r="G5096" s="150" t="s">
        <v>946</v>
      </c>
      <c r="H5096" s="150">
        <v>2</v>
      </c>
      <c r="I5096" s="5">
        <f>VLOOKUP(F5096,'Set up'!$A$2:$C$100,3,FALSE)</f>
        <v>120</v>
      </c>
      <c r="J5096" s="5">
        <f>VLOOKUP(F5096,'Set up'!$A$2:$D$100,4,FALSE)</f>
        <v>120</v>
      </c>
      <c r="K5096" s="4">
        <f t="shared" si="1158"/>
        <v>46205</v>
      </c>
      <c r="L5096" s="5">
        <f t="shared" si="1159"/>
        <v>7</v>
      </c>
      <c r="M5096" s="5">
        <f t="shared" si="1160"/>
        <v>2026</v>
      </c>
      <c r="N5096" s="156">
        <v>115.2</v>
      </c>
      <c r="P5096" s="12"/>
      <c r="Q5096" s="7">
        <f t="shared" si="1161"/>
        <v>8323970.1500000134</v>
      </c>
      <c r="R5096" s="44" t="str">
        <f>VLOOKUP(F5096,'Set up'!$A$2:$E$100,5,FALSE)</f>
        <v>Trsf</v>
      </c>
    </row>
    <row r="5097" spans="1:18" ht="16.8" customHeight="1" x14ac:dyDescent="0.3">
      <c r="A5097" s="151" t="s">
        <v>4538</v>
      </c>
      <c r="B5097" s="5">
        <f t="shared" si="1156"/>
        <v>3</v>
      </c>
      <c r="C5097" s="5">
        <f t="shared" si="1157"/>
        <v>2026</v>
      </c>
      <c r="D5097" s="170" t="s">
        <v>4552</v>
      </c>
      <c r="E5097" s="5" t="str">
        <f>VLOOKUP(F5097,'Set up'!$A$2:$C$100,2,FALSE)</f>
        <v>C00000041</v>
      </c>
      <c r="F5097" s="150" t="s">
        <v>1704</v>
      </c>
      <c r="G5097" s="150" t="s">
        <v>3864</v>
      </c>
      <c r="H5097" s="150">
        <v>1</v>
      </c>
      <c r="I5097" s="5" t="str">
        <f>VLOOKUP(F5097,'Set up'!$A$2:$C$100,3,FALSE)</f>
        <v>Cash</v>
      </c>
      <c r="J5097" s="5">
        <f>VLOOKUP(F5097,'Set up'!$A$2:$D$100,4,FALSE)</f>
        <v>0</v>
      </c>
      <c r="K5097" s="4">
        <f t="shared" si="1158"/>
        <v>46085</v>
      </c>
      <c r="L5097" s="5">
        <f t="shared" si="1159"/>
        <v>3</v>
      </c>
      <c r="M5097" s="5">
        <f t="shared" si="1160"/>
        <v>2026</v>
      </c>
      <c r="N5097" s="156">
        <v>1687.5</v>
      </c>
      <c r="P5097" s="12"/>
      <c r="Q5097" s="7">
        <f t="shared" si="1161"/>
        <v>8325657.6500000134</v>
      </c>
      <c r="R5097" s="44" t="str">
        <f>VLOOKUP(F5097,'Set up'!$A$2:$E$100,5,FALSE)</f>
        <v>Trsf</v>
      </c>
    </row>
    <row r="5098" spans="1:18" ht="16.8" customHeight="1" x14ac:dyDescent="0.3">
      <c r="A5098" s="151" t="s">
        <v>4539</v>
      </c>
      <c r="B5098" s="5">
        <f t="shared" si="1156"/>
        <v>3</v>
      </c>
      <c r="C5098" s="5">
        <f t="shared" si="1157"/>
        <v>2026</v>
      </c>
      <c r="D5098" s="170" t="s">
        <v>4553</v>
      </c>
      <c r="E5098" s="5" t="str">
        <f>VLOOKUP(F5098,'Set up'!$A$2:$C$100,2,FALSE)</f>
        <v>C00000006</v>
      </c>
      <c r="F5098" s="150" t="s">
        <v>43</v>
      </c>
      <c r="G5098" s="150" t="s">
        <v>3122</v>
      </c>
      <c r="H5098" s="150">
        <v>1</v>
      </c>
      <c r="I5098" s="5" t="str">
        <f>VLOOKUP(F5098,'Set up'!$A$2:$C$100,3,FALSE)</f>
        <v>Cash</v>
      </c>
      <c r="J5098" s="5">
        <f>VLOOKUP(F5098,'Set up'!$A$2:$D$100,4,FALSE)</f>
        <v>0</v>
      </c>
      <c r="K5098" s="4">
        <f t="shared" si="1158"/>
        <v>46086</v>
      </c>
      <c r="L5098" s="5">
        <f t="shared" si="1159"/>
        <v>3</v>
      </c>
      <c r="M5098" s="5">
        <f t="shared" si="1160"/>
        <v>2026</v>
      </c>
      <c r="N5098" s="156">
        <v>1597.5</v>
      </c>
      <c r="P5098" s="12"/>
      <c r="Q5098" s="7">
        <f t="shared" si="1161"/>
        <v>8327255.1500000134</v>
      </c>
      <c r="R5098" s="44" t="str">
        <f>VLOOKUP(F5098,'Set up'!$A$2:$E$100,5,FALSE)</f>
        <v>Chq</v>
      </c>
    </row>
    <row r="5099" spans="1:18" ht="16.8" customHeight="1" x14ac:dyDescent="0.3">
      <c r="A5099" s="151" t="s">
        <v>4539</v>
      </c>
      <c r="B5099" s="5">
        <f t="shared" si="1156"/>
        <v>3</v>
      </c>
      <c r="C5099" s="5">
        <f t="shared" si="1157"/>
        <v>2026</v>
      </c>
      <c r="D5099" s="170" t="s">
        <v>4553</v>
      </c>
      <c r="E5099" s="5" t="str">
        <f>VLOOKUP(F5099,'Set up'!$A$2:$C$100,2,FALSE)</f>
        <v>C00000006</v>
      </c>
      <c r="F5099" s="150" t="s">
        <v>43</v>
      </c>
      <c r="G5099" s="150" t="s">
        <v>1831</v>
      </c>
      <c r="H5099" s="150">
        <v>1</v>
      </c>
      <c r="I5099" s="5" t="str">
        <f>VLOOKUP(F5099,'Set up'!$A$2:$C$100,3,FALSE)</f>
        <v>Cash</v>
      </c>
      <c r="J5099" s="5">
        <f>VLOOKUP(F5099,'Set up'!$A$2:$D$100,4,FALSE)</f>
        <v>0</v>
      </c>
      <c r="K5099" s="4">
        <f t="shared" si="1158"/>
        <v>46086</v>
      </c>
      <c r="L5099" s="5">
        <f t="shared" si="1159"/>
        <v>3</v>
      </c>
      <c r="M5099" s="5">
        <f t="shared" si="1160"/>
        <v>2026</v>
      </c>
      <c r="N5099" s="156">
        <v>216</v>
      </c>
      <c r="P5099" s="12"/>
      <c r="Q5099" s="7">
        <f t="shared" si="1161"/>
        <v>8327471.1500000134</v>
      </c>
      <c r="R5099" s="44" t="str">
        <f>VLOOKUP(F5099,'Set up'!$A$2:$E$100,5,FALSE)</f>
        <v>Chq</v>
      </c>
    </row>
    <row r="5100" spans="1:18" ht="16.8" customHeight="1" x14ac:dyDescent="0.3">
      <c r="A5100" s="151" t="s">
        <v>4539</v>
      </c>
      <c r="B5100" s="5">
        <f t="shared" si="1156"/>
        <v>3</v>
      </c>
      <c r="C5100" s="5">
        <f t="shared" si="1157"/>
        <v>2026</v>
      </c>
      <c r="D5100" s="170" t="s">
        <v>4553</v>
      </c>
      <c r="E5100" s="5" t="str">
        <f>VLOOKUP(F5100,'Set up'!$A$2:$C$100,2,FALSE)</f>
        <v>C00000006</v>
      </c>
      <c r="F5100" s="150" t="s">
        <v>43</v>
      </c>
      <c r="G5100" s="150" t="s">
        <v>46</v>
      </c>
      <c r="H5100" s="150">
        <v>1</v>
      </c>
      <c r="I5100" s="5" t="str">
        <f>VLOOKUP(F5100,'Set up'!$A$2:$C$100,3,FALSE)</f>
        <v>Cash</v>
      </c>
      <c r="J5100" s="5">
        <f>VLOOKUP(F5100,'Set up'!$A$2:$D$100,4,FALSE)</f>
        <v>0</v>
      </c>
      <c r="K5100" s="4">
        <f t="shared" si="1158"/>
        <v>46086</v>
      </c>
      <c r="L5100" s="5">
        <f t="shared" si="1159"/>
        <v>3</v>
      </c>
      <c r="M5100" s="5">
        <f t="shared" si="1160"/>
        <v>2026</v>
      </c>
      <c r="N5100" s="156">
        <v>115</v>
      </c>
      <c r="P5100" s="12"/>
      <c r="Q5100" s="7">
        <f t="shared" si="1161"/>
        <v>8327586.1500000134</v>
      </c>
      <c r="R5100" s="44" t="str">
        <f>VLOOKUP(F5100,'Set up'!$A$2:$E$100,5,FALSE)</f>
        <v>Chq</v>
      </c>
    </row>
    <row r="5101" spans="1:18" ht="16.8" customHeight="1" x14ac:dyDescent="0.3">
      <c r="A5101" s="151" t="s">
        <v>4539</v>
      </c>
      <c r="B5101" s="5">
        <f t="shared" si="1156"/>
        <v>3</v>
      </c>
      <c r="C5101" s="5">
        <f t="shared" si="1157"/>
        <v>2026</v>
      </c>
      <c r="D5101" s="170" t="s">
        <v>4553</v>
      </c>
      <c r="E5101" s="5" t="str">
        <f>VLOOKUP(F5101,'Set up'!$A$2:$C$100,2,FALSE)</f>
        <v>C00000006</v>
      </c>
      <c r="F5101" s="150" t="s">
        <v>43</v>
      </c>
      <c r="G5101" s="150" t="s">
        <v>639</v>
      </c>
      <c r="H5101" s="150">
        <v>1</v>
      </c>
      <c r="I5101" s="5" t="str">
        <f>VLOOKUP(F5101,'Set up'!$A$2:$C$100,3,FALSE)</f>
        <v>Cash</v>
      </c>
      <c r="J5101" s="5">
        <f>VLOOKUP(F5101,'Set up'!$A$2:$D$100,4,FALSE)</f>
        <v>0</v>
      </c>
      <c r="K5101" s="4">
        <f t="shared" si="1158"/>
        <v>46086</v>
      </c>
      <c r="L5101" s="5">
        <f t="shared" si="1159"/>
        <v>3</v>
      </c>
      <c r="M5101" s="5">
        <f t="shared" si="1160"/>
        <v>2026</v>
      </c>
      <c r="N5101" s="156">
        <v>325</v>
      </c>
      <c r="P5101" s="12"/>
      <c r="Q5101" s="7">
        <f t="shared" si="1161"/>
        <v>8327911.1500000134</v>
      </c>
      <c r="R5101" s="44" t="str">
        <f>VLOOKUP(F5101,'Set up'!$A$2:$E$100,5,FALSE)</f>
        <v>Chq</v>
      </c>
    </row>
    <row r="5102" spans="1:18" ht="16.8" customHeight="1" x14ac:dyDescent="0.3">
      <c r="A5102" s="151" t="s">
        <v>4539</v>
      </c>
      <c r="B5102" s="5">
        <f t="shared" si="1156"/>
        <v>3</v>
      </c>
      <c r="C5102" s="5">
        <f t="shared" si="1157"/>
        <v>2026</v>
      </c>
      <c r="D5102" s="170" t="s">
        <v>4553</v>
      </c>
      <c r="E5102" s="5" t="str">
        <f>VLOOKUP(F5102,'Set up'!$A$2:$C$100,2,FALSE)</f>
        <v>C00000006</v>
      </c>
      <c r="F5102" s="150" t="s">
        <v>43</v>
      </c>
      <c r="G5102" s="150" t="s">
        <v>1793</v>
      </c>
      <c r="H5102" s="150">
        <v>2</v>
      </c>
      <c r="I5102" s="5" t="str">
        <f>VLOOKUP(F5102,'Set up'!$A$2:$C$100,3,FALSE)</f>
        <v>Cash</v>
      </c>
      <c r="J5102" s="5">
        <f>VLOOKUP(F5102,'Set up'!$A$2:$D$100,4,FALSE)</f>
        <v>0</v>
      </c>
      <c r="K5102" s="4">
        <f t="shared" si="1158"/>
        <v>46086</v>
      </c>
      <c r="L5102" s="5">
        <f t="shared" si="1159"/>
        <v>3</v>
      </c>
      <c r="M5102" s="5">
        <f t="shared" si="1160"/>
        <v>2026</v>
      </c>
      <c r="N5102" s="156">
        <v>350</v>
      </c>
      <c r="P5102" s="12"/>
      <c r="Q5102" s="7">
        <f t="shared" si="1161"/>
        <v>8328261.1500000134</v>
      </c>
      <c r="R5102" s="44" t="str">
        <f>VLOOKUP(F5102,'Set up'!$A$2:$E$100,5,FALSE)</f>
        <v>Chq</v>
      </c>
    </row>
    <row r="5103" spans="1:18" ht="16.8" customHeight="1" x14ac:dyDescent="0.3">
      <c r="A5103" s="151" t="s">
        <v>4539</v>
      </c>
      <c r="B5103" s="5">
        <f t="shared" si="1156"/>
        <v>3</v>
      </c>
      <c r="C5103" s="5">
        <f t="shared" si="1157"/>
        <v>2026</v>
      </c>
      <c r="D5103" s="170" t="s">
        <v>4553</v>
      </c>
      <c r="E5103" s="5" t="str">
        <f>VLOOKUP(F5103,'Set up'!$A$2:$C$100,2,FALSE)</f>
        <v>C00000006</v>
      </c>
      <c r="F5103" s="150" t="s">
        <v>43</v>
      </c>
      <c r="G5103" s="150" t="s">
        <v>4348</v>
      </c>
      <c r="H5103" s="150">
        <v>1</v>
      </c>
      <c r="I5103" s="5" t="str">
        <f>VLOOKUP(F5103,'Set up'!$A$2:$C$100,3,FALSE)</f>
        <v>Cash</v>
      </c>
      <c r="J5103" s="5">
        <f>VLOOKUP(F5103,'Set up'!$A$2:$D$100,4,FALSE)</f>
        <v>0</v>
      </c>
      <c r="K5103" s="4">
        <f t="shared" si="1158"/>
        <v>46086</v>
      </c>
      <c r="L5103" s="5">
        <f t="shared" si="1159"/>
        <v>3</v>
      </c>
      <c r="M5103" s="5">
        <f t="shared" si="1160"/>
        <v>2026</v>
      </c>
      <c r="N5103" s="156">
        <v>60</v>
      </c>
      <c r="P5103" s="12"/>
      <c r="Q5103" s="7">
        <f t="shared" si="1161"/>
        <v>8328321.1500000134</v>
      </c>
      <c r="R5103" s="44" t="str">
        <f>VLOOKUP(F5103,'Set up'!$A$2:$E$100,5,FALSE)</f>
        <v>Chq</v>
      </c>
    </row>
    <row r="5104" spans="1:18" ht="16.8" customHeight="1" x14ac:dyDescent="0.3">
      <c r="A5104" s="151" t="s">
        <v>4539</v>
      </c>
      <c r="B5104" s="5">
        <f t="shared" si="1156"/>
        <v>3</v>
      </c>
      <c r="C5104" s="5">
        <f t="shared" si="1157"/>
        <v>2026</v>
      </c>
      <c r="D5104" s="170" t="s">
        <v>4554</v>
      </c>
      <c r="E5104" s="5" t="str">
        <f>VLOOKUP(F5104,'Set up'!$A$2:$C$100,2,FALSE)</f>
        <v>C00000013</v>
      </c>
      <c r="F5104" s="150" t="s">
        <v>3549</v>
      </c>
      <c r="G5104" s="150" t="s">
        <v>3507</v>
      </c>
      <c r="H5104" s="150">
        <v>2</v>
      </c>
      <c r="I5104" s="5" t="str">
        <f>VLOOKUP(F5104,'Set up'!$A$2:$C$100,3,FALSE)</f>
        <v>Cash</v>
      </c>
      <c r="J5104" s="5">
        <f>VLOOKUP(F5104,'Set up'!$A$2:$D$100,4,FALSE)</f>
        <v>0</v>
      </c>
      <c r="K5104" s="4">
        <f t="shared" si="1158"/>
        <v>46086</v>
      </c>
      <c r="L5104" s="5">
        <f t="shared" si="1159"/>
        <v>3</v>
      </c>
      <c r="M5104" s="5">
        <f t="shared" si="1160"/>
        <v>2026</v>
      </c>
      <c r="N5104" s="156">
        <v>3375</v>
      </c>
      <c r="P5104" s="12"/>
      <c r="Q5104" s="7">
        <f t="shared" si="1161"/>
        <v>8331696.1500000134</v>
      </c>
      <c r="R5104" s="44" t="str">
        <f>VLOOKUP(F5104,'Set up'!$A$2:$E$100,5,FALSE)</f>
        <v>Chq</v>
      </c>
    </row>
    <row r="5105" spans="1:18" ht="16.8" customHeight="1" x14ac:dyDescent="0.3">
      <c r="A5105" s="151" t="s">
        <v>4539</v>
      </c>
      <c r="B5105" s="5">
        <f t="shared" si="1156"/>
        <v>3</v>
      </c>
      <c r="C5105" s="5">
        <f t="shared" si="1157"/>
        <v>2026</v>
      </c>
      <c r="D5105" s="170" t="s">
        <v>4554</v>
      </c>
      <c r="E5105" s="5" t="str">
        <f>VLOOKUP(F5105,'Set up'!$A$2:$C$100,2,FALSE)</f>
        <v>C00000013</v>
      </c>
      <c r="F5105" s="150" t="s">
        <v>3549</v>
      </c>
      <c r="G5105" s="150" t="s">
        <v>1443</v>
      </c>
      <c r="H5105" s="150">
        <v>1</v>
      </c>
      <c r="I5105" s="5" t="str">
        <f>VLOOKUP(F5105,'Set up'!$A$2:$C$100,3,FALSE)</f>
        <v>Cash</v>
      </c>
      <c r="J5105" s="5">
        <f>VLOOKUP(F5105,'Set up'!$A$2:$D$100,4,FALSE)</f>
        <v>0</v>
      </c>
      <c r="K5105" s="4">
        <f t="shared" si="1158"/>
        <v>46086</v>
      </c>
      <c r="L5105" s="5">
        <f t="shared" si="1159"/>
        <v>3</v>
      </c>
      <c r="M5105" s="5">
        <f t="shared" si="1160"/>
        <v>2026</v>
      </c>
      <c r="N5105" s="156">
        <v>388.8</v>
      </c>
      <c r="P5105" s="12"/>
      <c r="Q5105" s="7">
        <f t="shared" si="1161"/>
        <v>8332084.9500000132</v>
      </c>
      <c r="R5105" s="44" t="str">
        <f>VLOOKUP(F5105,'Set up'!$A$2:$E$100,5,FALSE)</f>
        <v>Chq</v>
      </c>
    </row>
    <row r="5106" spans="1:18" ht="16.8" customHeight="1" x14ac:dyDescent="0.3">
      <c r="A5106" s="151" t="s">
        <v>4539</v>
      </c>
      <c r="B5106" s="5">
        <f t="shared" si="1156"/>
        <v>3</v>
      </c>
      <c r="C5106" s="5">
        <f t="shared" si="1157"/>
        <v>2026</v>
      </c>
      <c r="D5106" s="170" t="s">
        <v>4554</v>
      </c>
      <c r="E5106" s="5" t="str">
        <f>VLOOKUP(F5106,'Set up'!$A$2:$C$100,2,FALSE)</f>
        <v>C00000013</v>
      </c>
      <c r="F5106" s="150" t="s">
        <v>3549</v>
      </c>
      <c r="G5106" s="150" t="s">
        <v>1444</v>
      </c>
      <c r="H5106" s="150">
        <v>2</v>
      </c>
      <c r="I5106" s="5" t="str">
        <f>VLOOKUP(F5106,'Set up'!$A$2:$C$100,3,FALSE)</f>
        <v>Cash</v>
      </c>
      <c r="J5106" s="5">
        <f>VLOOKUP(F5106,'Set up'!$A$2:$D$100,4,FALSE)</f>
        <v>0</v>
      </c>
      <c r="K5106" s="4">
        <f t="shared" si="1158"/>
        <v>46086</v>
      </c>
      <c r="L5106" s="5">
        <f t="shared" si="1159"/>
        <v>3</v>
      </c>
      <c r="M5106" s="5">
        <f t="shared" si="1160"/>
        <v>2026</v>
      </c>
      <c r="N5106" s="156">
        <v>777.6</v>
      </c>
      <c r="P5106" s="12"/>
      <c r="Q5106" s="7">
        <f t="shared" si="1161"/>
        <v>8332862.5500000129</v>
      </c>
      <c r="R5106" s="44" t="str">
        <f>VLOOKUP(F5106,'Set up'!$A$2:$E$100,5,FALSE)</f>
        <v>Chq</v>
      </c>
    </row>
    <row r="5107" spans="1:18" ht="16.8" customHeight="1" x14ac:dyDescent="0.3">
      <c r="A5107" s="151" t="s">
        <v>4539</v>
      </c>
      <c r="B5107" s="5">
        <f t="shared" si="1156"/>
        <v>3</v>
      </c>
      <c r="C5107" s="5">
        <f t="shared" si="1157"/>
        <v>2026</v>
      </c>
      <c r="D5107" s="170" t="s">
        <v>4554</v>
      </c>
      <c r="E5107" s="5" t="str">
        <f>VLOOKUP(F5107,'Set up'!$A$2:$C$100,2,FALSE)</f>
        <v>C00000013</v>
      </c>
      <c r="F5107" s="150" t="s">
        <v>3549</v>
      </c>
      <c r="G5107" s="150" t="s">
        <v>3508</v>
      </c>
      <c r="H5107" s="150">
        <v>3</v>
      </c>
      <c r="I5107" s="5" t="str">
        <f>VLOOKUP(F5107,'Set up'!$A$2:$C$100,3,FALSE)</f>
        <v>Cash</v>
      </c>
      <c r="J5107" s="5">
        <f>VLOOKUP(F5107,'Set up'!$A$2:$D$100,4,FALSE)</f>
        <v>0</v>
      </c>
      <c r="K5107" s="4">
        <f t="shared" si="1158"/>
        <v>46086</v>
      </c>
      <c r="L5107" s="5">
        <f t="shared" si="1159"/>
        <v>3</v>
      </c>
      <c r="M5107" s="5">
        <f t="shared" si="1160"/>
        <v>2026</v>
      </c>
      <c r="N5107" s="156">
        <v>851.4</v>
      </c>
      <c r="P5107" s="12"/>
      <c r="Q5107" s="7">
        <f t="shared" si="1161"/>
        <v>8333713.9500000132</v>
      </c>
      <c r="R5107" s="44" t="str">
        <f>VLOOKUP(F5107,'Set up'!$A$2:$E$100,5,FALSE)</f>
        <v>Chq</v>
      </c>
    </row>
    <row r="5108" spans="1:18" ht="16.8" customHeight="1" x14ac:dyDescent="0.3">
      <c r="A5108" s="151" t="s">
        <v>4539</v>
      </c>
      <c r="B5108" s="5">
        <f t="shared" si="1156"/>
        <v>3</v>
      </c>
      <c r="C5108" s="5">
        <f t="shared" si="1157"/>
        <v>2026</v>
      </c>
      <c r="D5108" s="170" t="s">
        <v>4554</v>
      </c>
      <c r="E5108" s="5" t="str">
        <f>VLOOKUP(F5108,'Set up'!$A$2:$C$100,2,FALSE)</f>
        <v>C00000013</v>
      </c>
      <c r="F5108" s="150" t="s">
        <v>3549</v>
      </c>
      <c r="G5108" s="150" t="s">
        <v>4579</v>
      </c>
      <c r="H5108" s="150">
        <v>1</v>
      </c>
      <c r="I5108" s="5" t="str">
        <f>VLOOKUP(F5108,'Set up'!$A$2:$C$100,3,FALSE)</f>
        <v>Cash</v>
      </c>
      <c r="J5108" s="5">
        <f>VLOOKUP(F5108,'Set up'!$A$2:$D$100,4,FALSE)</f>
        <v>0</v>
      </c>
      <c r="K5108" s="4">
        <f t="shared" si="1158"/>
        <v>46086</v>
      </c>
      <c r="L5108" s="5">
        <f t="shared" si="1159"/>
        <v>3</v>
      </c>
      <c r="M5108" s="5">
        <f t="shared" si="1160"/>
        <v>2026</v>
      </c>
      <c r="N5108" s="156">
        <v>875</v>
      </c>
      <c r="P5108" s="12"/>
      <c r="Q5108" s="7">
        <f t="shared" si="1161"/>
        <v>8334588.9500000132</v>
      </c>
      <c r="R5108" s="44" t="str">
        <f>VLOOKUP(F5108,'Set up'!$A$2:$E$100,5,FALSE)</f>
        <v>Chq</v>
      </c>
    </row>
    <row r="5109" spans="1:18" ht="16.8" customHeight="1" x14ac:dyDescent="0.3">
      <c r="A5109" s="151" t="s">
        <v>4539</v>
      </c>
      <c r="B5109" s="5">
        <f t="shared" si="1156"/>
        <v>3</v>
      </c>
      <c r="C5109" s="5">
        <f t="shared" si="1157"/>
        <v>2026</v>
      </c>
      <c r="D5109" s="170" t="s">
        <v>4554</v>
      </c>
      <c r="E5109" s="5" t="str">
        <f>VLOOKUP(F5109,'Set up'!$A$2:$C$100,2,FALSE)</f>
        <v>C00000013</v>
      </c>
      <c r="F5109" s="150" t="s">
        <v>3549</v>
      </c>
      <c r="G5109" s="150" t="s">
        <v>1637</v>
      </c>
      <c r="H5109" s="150">
        <v>2</v>
      </c>
      <c r="I5109" s="5" t="str">
        <f>VLOOKUP(F5109,'Set up'!$A$2:$C$100,3,FALSE)</f>
        <v>Cash</v>
      </c>
      <c r="J5109" s="5">
        <f>VLOOKUP(F5109,'Set up'!$A$2:$D$100,4,FALSE)</f>
        <v>0</v>
      </c>
      <c r="K5109" s="4">
        <f t="shared" si="1158"/>
        <v>46086</v>
      </c>
      <c r="L5109" s="5">
        <f t="shared" si="1159"/>
        <v>3</v>
      </c>
      <c r="M5109" s="5">
        <f t="shared" si="1160"/>
        <v>2026</v>
      </c>
      <c r="N5109" s="156">
        <v>860</v>
      </c>
      <c r="P5109" s="12"/>
      <c r="Q5109" s="7">
        <f t="shared" si="1161"/>
        <v>8335448.9500000132</v>
      </c>
      <c r="R5109" s="44" t="str">
        <f>VLOOKUP(F5109,'Set up'!$A$2:$E$100,5,FALSE)</f>
        <v>Chq</v>
      </c>
    </row>
    <row r="5110" spans="1:18" ht="16.8" customHeight="1" x14ac:dyDescent="0.3">
      <c r="A5110" s="151" t="s">
        <v>4539</v>
      </c>
      <c r="B5110" s="5">
        <f t="shared" si="1156"/>
        <v>3</v>
      </c>
      <c r="C5110" s="5">
        <f t="shared" si="1157"/>
        <v>2026</v>
      </c>
      <c r="D5110" s="170" t="s">
        <v>4554</v>
      </c>
      <c r="E5110" s="5" t="str">
        <f>VLOOKUP(F5110,'Set up'!$A$2:$C$100,2,FALSE)</f>
        <v>C00000013</v>
      </c>
      <c r="F5110" s="150" t="s">
        <v>3549</v>
      </c>
      <c r="G5110" s="150" t="s">
        <v>2635</v>
      </c>
      <c r="H5110" s="150">
        <v>2</v>
      </c>
      <c r="I5110" s="5" t="str">
        <f>VLOOKUP(F5110,'Set up'!$A$2:$C$100,3,FALSE)</f>
        <v>Cash</v>
      </c>
      <c r="J5110" s="5">
        <f>VLOOKUP(F5110,'Set up'!$A$2:$D$100,4,FALSE)</f>
        <v>0</v>
      </c>
      <c r="K5110" s="4">
        <f t="shared" si="1158"/>
        <v>46086</v>
      </c>
      <c r="L5110" s="5">
        <f t="shared" si="1159"/>
        <v>3</v>
      </c>
      <c r="M5110" s="5">
        <f t="shared" si="1160"/>
        <v>2026</v>
      </c>
      <c r="N5110" s="156">
        <v>125</v>
      </c>
      <c r="P5110" s="12"/>
      <c r="Q5110" s="7">
        <f t="shared" si="1161"/>
        <v>8335573.9500000132</v>
      </c>
      <c r="R5110" s="44" t="str">
        <f>VLOOKUP(F5110,'Set up'!$A$2:$E$100,5,FALSE)</f>
        <v>Chq</v>
      </c>
    </row>
    <row r="5111" spans="1:18" ht="16.8" customHeight="1" x14ac:dyDescent="0.3">
      <c r="A5111" s="151" t="s">
        <v>4539</v>
      </c>
      <c r="B5111" s="5">
        <f t="shared" si="1156"/>
        <v>3</v>
      </c>
      <c r="C5111" s="5">
        <f t="shared" si="1157"/>
        <v>2026</v>
      </c>
      <c r="D5111" s="170" t="s">
        <v>4554</v>
      </c>
      <c r="E5111" s="5" t="str">
        <f>VLOOKUP(F5111,'Set up'!$A$2:$C$100,2,FALSE)</f>
        <v>C00000013</v>
      </c>
      <c r="F5111" s="150" t="s">
        <v>3549</v>
      </c>
      <c r="G5111" s="150" t="s">
        <v>949</v>
      </c>
      <c r="H5111" s="150">
        <v>2</v>
      </c>
      <c r="I5111" s="5" t="str">
        <f>VLOOKUP(F5111,'Set up'!$A$2:$C$100,3,FALSE)</f>
        <v>Cash</v>
      </c>
      <c r="J5111" s="5">
        <f>VLOOKUP(F5111,'Set up'!$A$2:$D$100,4,FALSE)</f>
        <v>0</v>
      </c>
      <c r="K5111" s="4">
        <f t="shared" si="1158"/>
        <v>46086</v>
      </c>
      <c r="L5111" s="5">
        <f t="shared" si="1159"/>
        <v>3</v>
      </c>
      <c r="M5111" s="5">
        <f t="shared" si="1160"/>
        <v>2026</v>
      </c>
      <c r="N5111" s="156">
        <v>120</v>
      </c>
      <c r="P5111" s="12"/>
      <c r="Q5111" s="7">
        <f t="shared" si="1161"/>
        <v>8335693.9500000132</v>
      </c>
      <c r="R5111" s="44" t="str">
        <f>VLOOKUP(F5111,'Set up'!$A$2:$E$100,5,FALSE)</f>
        <v>Chq</v>
      </c>
    </row>
    <row r="5112" spans="1:18" ht="16.8" customHeight="1" x14ac:dyDescent="0.3">
      <c r="A5112" s="151" t="s">
        <v>4540</v>
      </c>
      <c r="B5112" s="5">
        <f t="shared" si="1156"/>
        <v>3</v>
      </c>
      <c r="C5112" s="5">
        <f t="shared" si="1157"/>
        <v>2026</v>
      </c>
      <c r="D5112" s="170" t="s">
        <v>4555</v>
      </c>
      <c r="E5112" s="5" t="str">
        <f>VLOOKUP(F5112,'Set up'!$A$2:$C$100,2,FALSE)</f>
        <v>C00000061</v>
      </c>
      <c r="F5112" s="150" t="s">
        <v>3532</v>
      </c>
      <c r="G5112" s="150" t="s">
        <v>3122</v>
      </c>
      <c r="H5112" s="150">
        <v>2</v>
      </c>
      <c r="I5112" s="5" t="str">
        <f>VLOOKUP(F5112,'Set up'!$A$2:$C$100,3,FALSE)</f>
        <v>Cash</v>
      </c>
      <c r="J5112" s="5">
        <f>VLOOKUP(F5112,'Set up'!$A$2:$D$100,4,FALSE)</f>
        <v>0</v>
      </c>
      <c r="K5112" s="4">
        <f t="shared" si="1158"/>
        <v>46088</v>
      </c>
      <c r="L5112" s="5">
        <f t="shared" si="1159"/>
        <v>3</v>
      </c>
      <c r="M5112" s="5">
        <f t="shared" si="1160"/>
        <v>2026</v>
      </c>
      <c r="N5112" s="156">
        <v>3105</v>
      </c>
      <c r="P5112" s="12"/>
      <c r="Q5112" s="7">
        <f t="shared" si="1161"/>
        <v>8338798.9500000132</v>
      </c>
      <c r="R5112" s="44" t="str">
        <f>VLOOKUP(F5112,'Set up'!$A$2:$E$100,5,FALSE)</f>
        <v>Cash</v>
      </c>
    </row>
    <row r="5113" spans="1:18" ht="16.8" customHeight="1" x14ac:dyDescent="0.3">
      <c r="A5113" s="151" t="s">
        <v>4540</v>
      </c>
      <c r="B5113" s="5">
        <f t="shared" si="1156"/>
        <v>3</v>
      </c>
      <c r="C5113" s="5">
        <f t="shared" si="1157"/>
        <v>2026</v>
      </c>
      <c r="D5113" s="170" t="s">
        <v>4555</v>
      </c>
      <c r="E5113" s="5" t="str">
        <f>VLOOKUP(F5113,'Set up'!$A$2:$C$100,2,FALSE)</f>
        <v>C00000061</v>
      </c>
      <c r="F5113" s="150" t="s">
        <v>3532</v>
      </c>
      <c r="G5113" s="150" t="s">
        <v>3639</v>
      </c>
      <c r="H5113" s="150">
        <v>2</v>
      </c>
      <c r="I5113" s="5" t="str">
        <f>VLOOKUP(F5113,'Set up'!$A$2:$C$100,3,FALSE)</f>
        <v>Cash</v>
      </c>
      <c r="J5113" s="5">
        <f>VLOOKUP(F5113,'Set up'!$A$2:$D$100,4,FALSE)</f>
        <v>0</v>
      </c>
      <c r="K5113" s="4">
        <f t="shared" si="1158"/>
        <v>46088</v>
      </c>
      <c r="L5113" s="5">
        <f t="shared" si="1159"/>
        <v>3</v>
      </c>
      <c r="M5113" s="5">
        <f t="shared" si="1160"/>
        <v>2026</v>
      </c>
      <c r="N5113" s="156">
        <v>817.4</v>
      </c>
      <c r="P5113" s="12"/>
      <c r="Q5113" s="7">
        <f t="shared" si="1161"/>
        <v>8339616.3500000136</v>
      </c>
      <c r="R5113" s="44" t="str">
        <f>VLOOKUP(F5113,'Set up'!$A$2:$E$100,5,FALSE)</f>
        <v>Cash</v>
      </c>
    </row>
    <row r="5114" spans="1:18" ht="16.8" customHeight="1" x14ac:dyDescent="0.3">
      <c r="A5114" s="151" t="s">
        <v>4540</v>
      </c>
      <c r="B5114" s="5">
        <f t="shared" si="1156"/>
        <v>3</v>
      </c>
      <c r="C5114" s="5">
        <f t="shared" si="1157"/>
        <v>2026</v>
      </c>
      <c r="D5114" s="170" t="s">
        <v>4555</v>
      </c>
      <c r="E5114" s="5" t="str">
        <f>VLOOKUP(F5114,'Set up'!$A$2:$C$100,2,FALSE)</f>
        <v>C00000061</v>
      </c>
      <c r="F5114" s="150" t="s">
        <v>3532</v>
      </c>
      <c r="G5114" s="150" t="s">
        <v>945</v>
      </c>
      <c r="H5114" s="150">
        <v>1</v>
      </c>
      <c r="I5114" s="5" t="str">
        <f>VLOOKUP(F5114,'Set up'!$A$2:$C$100,3,FALSE)</f>
        <v>Cash</v>
      </c>
      <c r="J5114" s="5">
        <f>VLOOKUP(F5114,'Set up'!$A$2:$D$100,4,FALSE)</f>
        <v>0</v>
      </c>
      <c r="K5114" s="4">
        <f t="shared" si="1158"/>
        <v>46088</v>
      </c>
      <c r="L5114" s="5">
        <f t="shared" si="1159"/>
        <v>3</v>
      </c>
      <c r="M5114" s="5">
        <f t="shared" si="1160"/>
        <v>2026</v>
      </c>
      <c r="N5114" s="156">
        <v>115</v>
      </c>
      <c r="P5114" s="12"/>
      <c r="Q5114" s="7">
        <f t="shared" si="1161"/>
        <v>8339731.3500000136</v>
      </c>
      <c r="R5114" s="44" t="str">
        <f>VLOOKUP(F5114,'Set up'!$A$2:$E$100,5,FALSE)</f>
        <v>Cash</v>
      </c>
    </row>
    <row r="5115" spans="1:18" ht="16.8" customHeight="1" x14ac:dyDescent="0.3">
      <c r="A5115" s="151" t="s">
        <v>4540</v>
      </c>
      <c r="B5115" s="5">
        <f t="shared" si="1156"/>
        <v>3</v>
      </c>
      <c r="C5115" s="5">
        <f t="shared" si="1157"/>
        <v>2026</v>
      </c>
      <c r="D5115" s="170" t="s">
        <v>4555</v>
      </c>
      <c r="E5115" s="5" t="str">
        <f>VLOOKUP(F5115,'Set up'!$A$2:$C$100,2,FALSE)</f>
        <v>C00000061</v>
      </c>
      <c r="F5115" s="150" t="s">
        <v>3532</v>
      </c>
      <c r="G5115" s="150" t="s">
        <v>2635</v>
      </c>
      <c r="H5115" s="150">
        <v>10</v>
      </c>
      <c r="I5115" s="5" t="str">
        <f>VLOOKUP(F5115,'Set up'!$A$2:$C$100,3,FALSE)</f>
        <v>Cash</v>
      </c>
      <c r="J5115" s="5">
        <f>VLOOKUP(F5115,'Set up'!$A$2:$D$100,4,FALSE)</f>
        <v>0</v>
      </c>
      <c r="K5115" s="4">
        <f t="shared" si="1158"/>
        <v>46088</v>
      </c>
      <c r="L5115" s="5">
        <f t="shared" si="1159"/>
        <v>3</v>
      </c>
      <c r="M5115" s="5">
        <f t="shared" si="1160"/>
        <v>2026</v>
      </c>
      <c r="N5115" s="156">
        <v>525</v>
      </c>
      <c r="P5115" s="12"/>
      <c r="Q5115" s="7">
        <f t="shared" si="1161"/>
        <v>8340256.3500000136</v>
      </c>
      <c r="R5115" s="44" t="str">
        <f>VLOOKUP(F5115,'Set up'!$A$2:$E$100,5,FALSE)</f>
        <v>Cash</v>
      </c>
    </row>
    <row r="5116" spans="1:18" ht="16.8" customHeight="1" x14ac:dyDescent="0.3">
      <c r="A5116" s="151" t="s">
        <v>4540</v>
      </c>
      <c r="B5116" s="5">
        <f t="shared" si="1156"/>
        <v>3</v>
      </c>
      <c r="C5116" s="5">
        <f t="shared" si="1157"/>
        <v>2026</v>
      </c>
      <c r="D5116" s="170" t="s">
        <v>4556</v>
      </c>
      <c r="E5116" s="5" t="str">
        <f>VLOOKUP(F5116,'Set up'!$A$2:$C$100,2,FALSE)</f>
        <v>C00000042</v>
      </c>
      <c r="F5116" s="150" t="s">
        <v>2012</v>
      </c>
      <c r="G5116" s="150" t="s">
        <v>2646</v>
      </c>
      <c r="H5116" s="150">
        <v>2</v>
      </c>
      <c r="I5116" s="5" t="str">
        <f>VLOOKUP(F5116,'Set up'!$A$2:$C$100,3,FALSE)</f>
        <v>Cash</v>
      </c>
      <c r="J5116" s="5">
        <f>VLOOKUP(F5116,'Set up'!$A$2:$D$100,4,FALSE)</f>
        <v>0</v>
      </c>
      <c r="K5116" s="4">
        <f t="shared" si="1158"/>
        <v>46088</v>
      </c>
      <c r="L5116" s="5">
        <f t="shared" si="1159"/>
        <v>3</v>
      </c>
      <c r="M5116" s="5">
        <f t="shared" si="1160"/>
        <v>2026</v>
      </c>
      <c r="N5116" s="156">
        <v>125</v>
      </c>
      <c r="P5116" s="12"/>
      <c r="Q5116" s="7">
        <f t="shared" si="1161"/>
        <v>8340381.3500000136</v>
      </c>
      <c r="R5116" s="44" t="str">
        <f>VLOOKUP(F5116,'Set up'!$A$2:$E$100,5,FALSE)</f>
        <v>Trsf</v>
      </c>
    </row>
    <row r="5117" spans="1:18" ht="16.8" customHeight="1" x14ac:dyDescent="0.3">
      <c r="A5117" s="151" t="s">
        <v>4540</v>
      </c>
      <c r="B5117" s="5">
        <f t="shared" si="1156"/>
        <v>3</v>
      </c>
      <c r="C5117" s="5">
        <f t="shared" si="1157"/>
        <v>2026</v>
      </c>
      <c r="D5117" s="170" t="s">
        <v>4557</v>
      </c>
      <c r="E5117" s="5" t="str">
        <f>VLOOKUP(F5117,'Set up'!$A$2:$C$100,2,FALSE)</f>
        <v>C00000042</v>
      </c>
      <c r="F5117" s="150" t="s">
        <v>2012</v>
      </c>
      <c r="G5117" s="150" t="s">
        <v>3645</v>
      </c>
      <c r="H5117" s="150">
        <v>4</v>
      </c>
      <c r="I5117" s="5" t="str">
        <f>VLOOKUP(F5117,'Set up'!$A$2:$C$100,3,FALSE)</f>
        <v>Cash</v>
      </c>
      <c r="J5117" s="5">
        <f>VLOOKUP(F5117,'Set up'!$A$2:$D$100,4,FALSE)</f>
        <v>0</v>
      </c>
      <c r="K5117" s="4">
        <f t="shared" si="1158"/>
        <v>46088</v>
      </c>
      <c r="L5117" s="5">
        <f t="shared" si="1159"/>
        <v>3</v>
      </c>
      <c r="M5117" s="5">
        <f t="shared" si="1160"/>
        <v>2026</v>
      </c>
      <c r="N5117" s="156">
        <v>6120</v>
      </c>
      <c r="P5117" s="12"/>
      <c r="Q5117" s="7">
        <f t="shared" si="1161"/>
        <v>8346501.3500000136</v>
      </c>
      <c r="R5117" s="44" t="str">
        <f>VLOOKUP(F5117,'Set up'!$A$2:$E$100,5,FALSE)</f>
        <v>Trsf</v>
      </c>
    </row>
    <row r="5118" spans="1:18" ht="16.8" customHeight="1" x14ac:dyDescent="0.3">
      <c r="A5118" s="151" t="s">
        <v>4540</v>
      </c>
      <c r="B5118" s="5">
        <f t="shared" si="1156"/>
        <v>3</v>
      </c>
      <c r="C5118" s="5">
        <f t="shared" si="1157"/>
        <v>2026</v>
      </c>
      <c r="D5118" s="170" t="s">
        <v>4557</v>
      </c>
      <c r="E5118" s="5" t="str">
        <f>VLOOKUP(F5118,'Set up'!$A$2:$C$100,2,FALSE)</f>
        <v>C00000042</v>
      </c>
      <c r="F5118" s="150" t="s">
        <v>2012</v>
      </c>
      <c r="G5118" s="150" t="s">
        <v>1392</v>
      </c>
      <c r="H5118" s="150">
        <v>12</v>
      </c>
      <c r="I5118" s="5" t="str">
        <f>VLOOKUP(F5118,'Set up'!$A$2:$C$100,3,FALSE)</f>
        <v>Cash</v>
      </c>
      <c r="J5118" s="5">
        <f>VLOOKUP(F5118,'Set up'!$A$2:$D$100,4,FALSE)</f>
        <v>0</v>
      </c>
      <c r="K5118" s="4">
        <f t="shared" si="1158"/>
        <v>46088</v>
      </c>
      <c r="L5118" s="5">
        <f t="shared" si="1159"/>
        <v>3</v>
      </c>
      <c r="M5118" s="5">
        <f t="shared" si="1160"/>
        <v>2026</v>
      </c>
      <c r="N5118" s="156">
        <v>2124</v>
      </c>
      <c r="P5118" s="12"/>
      <c r="Q5118" s="7">
        <f t="shared" si="1161"/>
        <v>8348625.3500000136</v>
      </c>
      <c r="R5118" s="44" t="str">
        <f>VLOOKUP(F5118,'Set up'!$A$2:$E$100,5,FALSE)</f>
        <v>Trsf</v>
      </c>
    </row>
    <row r="5119" spans="1:18" ht="16.8" customHeight="1" x14ac:dyDescent="0.3">
      <c r="A5119" s="151" t="s">
        <v>4540</v>
      </c>
      <c r="B5119" s="5">
        <f t="shared" si="1156"/>
        <v>3</v>
      </c>
      <c r="C5119" s="5">
        <f t="shared" si="1157"/>
        <v>2026</v>
      </c>
      <c r="D5119" s="170" t="s">
        <v>4557</v>
      </c>
      <c r="E5119" s="5" t="str">
        <f>VLOOKUP(F5119,'Set up'!$A$2:$C$100,2,FALSE)</f>
        <v>C00000042</v>
      </c>
      <c r="F5119" s="150" t="s">
        <v>2012</v>
      </c>
      <c r="G5119" s="150" t="s">
        <v>1922</v>
      </c>
      <c r="H5119" s="150">
        <v>6</v>
      </c>
      <c r="I5119" s="5" t="str">
        <f>VLOOKUP(F5119,'Set up'!$A$2:$C$100,3,FALSE)</f>
        <v>Cash</v>
      </c>
      <c r="J5119" s="5">
        <f>VLOOKUP(F5119,'Set up'!$A$2:$D$100,4,FALSE)</f>
        <v>0</v>
      </c>
      <c r="K5119" s="4">
        <f t="shared" si="1158"/>
        <v>46088</v>
      </c>
      <c r="L5119" s="5">
        <f t="shared" si="1159"/>
        <v>3</v>
      </c>
      <c r="M5119" s="5">
        <f t="shared" si="1160"/>
        <v>2026</v>
      </c>
      <c r="N5119" s="156">
        <v>1377</v>
      </c>
      <c r="P5119" s="12"/>
      <c r="Q5119" s="7">
        <f t="shared" si="1161"/>
        <v>8350002.3500000136</v>
      </c>
      <c r="R5119" s="44" t="str">
        <f>VLOOKUP(F5119,'Set up'!$A$2:$E$100,5,FALSE)</f>
        <v>Trsf</v>
      </c>
    </row>
    <row r="5120" spans="1:18" ht="16.8" customHeight="1" x14ac:dyDescent="0.3">
      <c r="A5120" s="151" t="s">
        <v>4540</v>
      </c>
      <c r="B5120" s="5">
        <f t="shared" si="1156"/>
        <v>3</v>
      </c>
      <c r="C5120" s="5">
        <f t="shared" si="1157"/>
        <v>2026</v>
      </c>
      <c r="D5120" s="170" t="s">
        <v>4557</v>
      </c>
      <c r="E5120" s="5" t="str">
        <f>VLOOKUP(F5120,'Set up'!$A$2:$C$100,2,FALSE)</f>
        <v>C00000042</v>
      </c>
      <c r="F5120" s="150" t="s">
        <v>2012</v>
      </c>
      <c r="G5120" s="150" t="s">
        <v>46</v>
      </c>
      <c r="H5120" s="150">
        <v>4</v>
      </c>
      <c r="I5120" s="5" t="str">
        <f>VLOOKUP(F5120,'Set up'!$A$2:$C$100,3,FALSE)</f>
        <v>Cash</v>
      </c>
      <c r="J5120" s="5">
        <f>VLOOKUP(F5120,'Set up'!$A$2:$D$100,4,FALSE)</f>
        <v>0</v>
      </c>
      <c r="K5120" s="4">
        <f t="shared" si="1158"/>
        <v>46088</v>
      </c>
      <c r="L5120" s="5">
        <f t="shared" si="1159"/>
        <v>3</v>
      </c>
      <c r="M5120" s="5">
        <f t="shared" si="1160"/>
        <v>2026</v>
      </c>
      <c r="N5120" s="156">
        <v>460</v>
      </c>
      <c r="P5120" s="12"/>
      <c r="Q5120" s="7">
        <f t="shared" si="1161"/>
        <v>8350462.3500000136</v>
      </c>
      <c r="R5120" s="44" t="str">
        <f>VLOOKUP(F5120,'Set up'!$A$2:$E$100,5,FALSE)</f>
        <v>Trsf</v>
      </c>
    </row>
    <row r="5121" spans="1:18" ht="16.8" customHeight="1" x14ac:dyDescent="0.3">
      <c r="A5121" s="151" t="s">
        <v>4540</v>
      </c>
      <c r="B5121" s="5">
        <f t="shared" si="1156"/>
        <v>3</v>
      </c>
      <c r="C5121" s="5">
        <f t="shared" si="1157"/>
        <v>2026</v>
      </c>
      <c r="D5121" s="170" t="s">
        <v>4557</v>
      </c>
      <c r="E5121" s="5" t="str">
        <f>VLOOKUP(F5121,'Set up'!$A$2:$C$100,2,FALSE)</f>
        <v>C00000042</v>
      </c>
      <c r="F5121" s="150" t="s">
        <v>2012</v>
      </c>
      <c r="G5121" s="150" t="s">
        <v>1073</v>
      </c>
      <c r="H5121" s="150">
        <v>1</v>
      </c>
      <c r="I5121" s="5" t="str">
        <f>VLOOKUP(F5121,'Set up'!$A$2:$C$100,3,FALSE)</f>
        <v>Cash</v>
      </c>
      <c r="J5121" s="5">
        <f>VLOOKUP(F5121,'Set up'!$A$2:$D$100,4,FALSE)</f>
        <v>0</v>
      </c>
      <c r="K5121" s="4">
        <f t="shared" si="1158"/>
        <v>46088</v>
      </c>
      <c r="L5121" s="5">
        <f t="shared" si="1159"/>
        <v>3</v>
      </c>
      <c r="M5121" s="5">
        <f t="shared" si="1160"/>
        <v>2026</v>
      </c>
      <c r="N5121" s="156">
        <v>1050</v>
      </c>
      <c r="P5121" s="12"/>
      <c r="Q5121" s="7">
        <f t="shared" si="1161"/>
        <v>8351512.3500000136</v>
      </c>
      <c r="R5121" s="44" t="str">
        <f>VLOOKUP(F5121,'Set up'!$A$2:$E$100,5,FALSE)</f>
        <v>Trsf</v>
      </c>
    </row>
    <row r="5122" spans="1:18" ht="16.8" customHeight="1" x14ac:dyDescent="0.3">
      <c r="A5122" s="151" t="s">
        <v>4541</v>
      </c>
      <c r="B5122" s="5">
        <f t="shared" si="1156"/>
        <v>3</v>
      </c>
      <c r="C5122" s="5">
        <f t="shared" si="1157"/>
        <v>2026</v>
      </c>
      <c r="D5122" s="170" t="s">
        <v>4558</v>
      </c>
      <c r="E5122" s="5" t="str">
        <f>VLOOKUP(F5122,'Set up'!$A$2:$C$100,2,FALSE)</f>
        <v>C00000049</v>
      </c>
      <c r="F5122" s="150" t="s">
        <v>2728</v>
      </c>
      <c r="G5122" s="150" t="s">
        <v>3244</v>
      </c>
      <c r="H5122" s="150">
        <v>2</v>
      </c>
      <c r="I5122" s="5" t="str">
        <f>VLOOKUP(F5122,'Set up'!$A$2:$C$100,3,FALSE)</f>
        <v>Cash</v>
      </c>
      <c r="J5122" s="5">
        <f>VLOOKUP(F5122,'Set up'!$A$2:$D$100,4,FALSE)</f>
        <v>0</v>
      </c>
      <c r="K5122" s="4">
        <f t="shared" si="1158"/>
        <v>46090</v>
      </c>
      <c r="L5122" s="5">
        <f t="shared" si="1159"/>
        <v>3</v>
      </c>
      <c r="M5122" s="5">
        <f t="shared" si="1160"/>
        <v>2026</v>
      </c>
      <c r="N5122" s="156">
        <v>1200</v>
      </c>
      <c r="P5122" s="12"/>
      <c r="Q5122" s="7">
        <f t="shared" si="1161"/>
        <v>8352712.3500000136</v>
      </c>
      <c r="R5122" s="44" t="str">
        <f>VLOOKUP(F5122,'Set up'!$A$2:$E$100,5,FALSE)</f>
        <v>Cash</v>
      </c>
    </row>
    <row r="5123" spans="1:18" ht="16.8" customHeight="1" x14ac:dyDescent="0.3">
      <c r="A5123" s="151" t="s">
        <v>4541</v>
      </c>
      <c r="B5123" s="5">
        <f t="shared" si="1156"/>
        <v>3</v>
      </c>
      <c r="C5123" s="5">
        <f t="shared" si="1157"/>
        <v>2026</v>
      </c>
      <c r="D5123" s="170" t="s">
        <v>4558</v>
      </c>
      <c r="E5123" s="5" t="str">
        <f>VLOOKUP(F5123,'Set up'!$A$2:$C$100,2,FALSE)</f>
        <v>C00000049</v>
      </c>
      <c r="F5123" s="150" t="s">
        <v>2728</v>
      </c>
      <c r="G5123" s="150" t="s">
        <v>1715</v>
      </c>
      <c r="H5123" s="150">
        <v>1</v>
      </c>
      <c r="I5123" s="5" t="str">
        <f>VLOOKUP(F5123,'Set up'!$A$2:$C$100,3,FALSE)</f>
        <v>Cash</v>
      </c>
      <c r="J5123" s="5">
        <f>VLOOKUP(F5123,'Set up'!$A$2:$D$100,4,FALSE)</f>
        <v>0</v>
      </c>
      <c r="K5123" s="4">
        <f t="shared" si="1158"/>
        <v>46090</v>
      </c>
      <c r="L5123" s="5">
        <f t="shared" si="1159"/>
        <v>3</v>
      </c>
      <c r="M5123" s="5">
        <f t="shared" si="1160"/>
        <v>2026</v>
      </c>
      <c r="N5123" s="156">
        <v>180</v>
      </c>
      <c r="P5123" s="12"/>
      <c r="Q5123" s="7">
        <f t="shared" si="1161"/>
        <v>8352892.3500000136</v>
      </c>
      <c r="R5123" s="44" t="str">
        <f>VLOOKUP(F5123,'Set up'!$A$2:$E$100,5,FALSE)</f>
        <v>Cash</v>
      </c>
    </row>
    <row r="5124" spans="1:18" ht="16.8" customHeight="1" x14ac:dyDescent="0.3">
      <c r="A5124" s="151" t="s">
        <v>4541</v>
      </c>
      <c r="B5124" s="5">
        <f t="shared" si="1156"/>
        <v>3</v>
      </c>
      <c r="C5124" s="5">
        <f t="shared" si="1157"/>
        <v>2026</v>
      </c>
      <c r="D5124" s="170" t="s">
        <v>4559</v>
      </c>
      <c r="E5124" s="5" t="e">
        <f>VLOOKUP(F5124,'Set up'!$A$2:$C$100,2,FALSE)</f>
        <v>#N/A</v>
      </c>
      <c r="F5124" s="150" t="s">
        <v>4130</v>
      </c>
      <c r="G5124" s="150" t="s">
        <v>3122</v>
      </c>
      <c r="H5124" s="150">
        <v>1</v>
      </c>
      <c r="I5124" s="5" t="e">
        <f>VLOOKUP(F5124,'Set up'!$A$2:$C$100,3,FALSE)</f>
        <v>#N/A</v>
      </c>
      <c r="J5124" s="5" t="e">
        <f>VLOOKUP(F5124,'Set up'!$A$2:$D$100,4,FALSE)</f>
        <v>#N/A</v>
      </c>
      <c r="K5124" s="4" t="e">
        <f t="shared" si="1158"/>
        <v>#N/A</v>
      </c>
      <c r="L5124" s="5" t="e">
        <f t="shared" si="1159"/>
        <v>#N/A</v>
      </c>
      <c r="M5124" s="5" t="e">
        <f t="shared" si="1160"/>
        <v>#N/A</v>
      </c>
      <c r="N5124" s="156">
        <v>1777.5</v>
      </c>
      <c r="P5124" s="12"/>
      <c r="Q5124" s="7">
        <f t="shared" si="1161"/>
        <v>8354669.8500000136</v>
      </c>
      <c r="R5124" s="44" t="e">
        <f>VLOOKUP(F5124,'Set up'!$A$2:$E$100,5,FALSE)</f>
        <v>#N/A</v>
      </c>
    </row>
    <row r="5125" spans="1:18" ht="16.8" customHeight="1" x14ac:dyDescent="0.3">
      <c r="A5125" s="151" t="s">
        <v>4541</v>
      </c>
      <c r="B5125" s="5">
        <f t="shared" si="1156"/>
        <v>3</v>
      </c>
      <c r="C5125" s="5">
        <f t="shared" si="1157"/>
        <v>2026</v>
      </c>
      <c r="D5125" s="170" t="s">
        <v>4559</v>
      </c>
      <c r="E5125" s="5" t="e">
        <f>VLOOKUP(F5125,'Set up'!$A$2:$C$100,2,FALSE)</f>
        <v>#N/A</v>
      </c>
      <c r="F5125" s="150" t="s">
        <v>4130</v>
      </c>
      <c r="G5125" s="150" t="s">
        <v>2556</v>
      </c>
      <c r="H5125" s="150">
        <v>1</v>
      </c>
      <c r="I5125" s="5" t="e">
        <f>VLOOKUP(F5125,'Set up'!$A$2:$C$100,3,FALSE)</f>
        <v>#N/A</v>
      </c>
      <c r="J5125" s="5" t="e">
        <f>VLOOKUP(F5125,'Set up'!$A$2:$D$100,4,FALSE)</f>
        <v>#N/A</v>
      </c>
      <c r="K5125" s="4" t="e">
        <f t="shared" si="1158"/>
        <v>#N/A</v>
      </c>
      <c r="L5125" s="5" t="e">
        <f t="shared" si="1159"/>
        <v>#N/A</v>
      </c>
      <c r="M5125" s="5" t="e">
        <f t="shared" si="1160"/>
        <v>#N/A</v>
      </c>
      <c r="N5125" s="156">
        <v>394.2</v>
      </c>
      <c r="P5125" s="12"/>
      <c r="Q5125" s="7">
        <f t="shared" si="1161"/>
        <v>8355064.0500000138</v>
      </c>
      <c r="R5125" s="44" t="e">
        <f>VLOOKUP(F5125,'Set up'!$A$2:$E$100,5,FALSE)</f>
        <v>#N/A</v>
      </c>
    </row>
    <row r="5126" spans="1:18" ht="16.8" customHeight="1" x14ac:dyDescent="0.3">
      <c r="A5126" s="151" t="s">
        <v>4541</v>
      </c>
      <c r="B5126" s="5">
        <f t="shared" si="1156"/>
        <v>3</v>
      </c>
      <c r="C5126" s="5">
        <f t="shared" si="1157"/>
        <v>2026</v>
      </c>
      <c r="D5126" s="170" t="s">
        <v>4560</v>
      </c>
      <c r="E5126" s="5" t="str">
        <f>VLOOKUP(F5126,'Set up'!$A$2:$C$100,2,FALSE)</f>
        <v>C00000044</v>
      </c>
      <c r="F5126" s="150" t="s">
        <v>2929</v>
      </c>
      <c r="G5126" s="150" t="s">
        <v>3122</v>
      </c>
      <c r="H5126" s="150">
        <v>1</v>
      </c>
      <c r="I5126" s="5" t="str">
        <f>VLOOKUP(F5126,'Set up'!$A$2:$C$100,3,FALSE)</f>
        <v>Cash</v>
      </c>
      <c r="J5126" s="5">
        <f>VLOOKUP(F5126,'Set up'!$A$2:$D$100,4,FALSE)</f>
        <v>0</v>
      </c>
      <c r="K5126" s="4">
        <f t="shared" si="1158"/>
        <v>46090</v>
      </c>
      <c r="L5126" s="5">
        <f t="shared" si="1159"/>
        <v>3</v>
      </c>
      <c r="M5126" s="5">
        <f t="shared" si="1160"/>
        <v>2026</v>
      </c>
      <c r="N5126" s="156">
        <v>1777.5</v>
      </c>
      <c r="P5126" s="12"/>
      <c r="Q5126" s="7">
        <f t="shared" si="1161"/>
        <v>8356841.5500000138</v>
      </c>
      <c r="R5126" s="44" t="str">
        <f>VLOOKUP(F5126,'Set up'!$A$2:$E$100,5,FALSE)</f>
        <v>Cash</v>
      </c>
    </row>
    <row r="5127" spans="1:18" ht="16.8" customHeight="1" x14ac:dyDescent="0.3">
      <c r="A5127" s="151" t="s">
        <v>4541</v>
      </c>
      <c r="B5127" s="5">
        <f t="shared" si="1156"/>
        <v>3</v>
      </c>
      <c r="C5127" s="5">
        <f t="shared" si="1157"/>
        <v>2026</v>
      </c>
      <c r="D5127" s="170" t="s">
        <v>4560</v>
      </c>
      <c r="E5127" s="5" t="str">
        <f>VLOOKUP(F5127,'Set up'!$A$2:$C$100,2,FALSE)</f>
        <v>C00000044</v>
      </c>
      <c r="F5127" s="150" t="s">
        <v>2929</v>
      </c>
      <c r="G5127" s="150" t="s">
        <v>2570</v>
      </c>
      <c r="H5127" s="150">
        <v>2</v>
      </c>
      <c r="I5127" s="5" t="str">
        <f>VLOOKUP(F5127,'Set up'!$A$2:$C$100,3,FALSE)</f>
        <v>Cash</v>
      </c>
      <c r="J5127" s="5">
        <f>VLOOKUP(F5127,'Set up'!$A$2:$D$100,4,FALSE)</f>
        <v>0</v>
      </c>
      <c r="K5127" s="4">
        <f t="shared" si="1158"/>
        <v>46090</v>
      </c>
      <c r="L5127" s="5">
        <f t="shared" si="1159"/>
        <v>3</v>
      </c>
      <c r="M5127" s="5">
        <f t="shared" si="1160"/>
        <v>2026</v>
      </c>
      <c r="N5127" s="156">
        <v>432</v>
      </c>
      <c r="P5127" s="12"/>
      <c r="Q5127" s="7">
        <f t="shared" si="1161"/>
        <v>8357273.5500000138</v>
      </c>
      <c r="R5127" s="44" t="str">
        <f>VLOOKUP(F5127,'Set up'!$A$2:$E$100,5,FALSE)</f>
        <v>Cash</v>
      </c>
    </row>
    <row r="5128" spans="1:18" ht="16.8" customHeight="1" x14ac:dyDescent="0.3">
      <c r="A5128" s="151" t="s">
        <v>4541</v>
      </c>
      <c r="B5128" s="5">
        <f t="shared" si="1156"/>
        <v>3</v>
      </c>
      <c r="C5128" s="5">
        <f t="shared" si="1157"/>
        <v>2026</v>
      </c>
      <c r="D5128" s="170" t="s">
        <v>4560</v>
      </c>
      <c r="E5128" s="5" t="str">
        <f>VLOOKUP(F5128,'Set up'!$A$2:$C$100,2,FALSE)</f>
        <v>C00000044</v>
      </c>
      <c r="F5128" s="150" t="s">
        <v>2929</v>
      </c>
      <c r="G5128" s="150" t="s">
        <v>1715</v>
      </c>
      <c r="H5128" s="150">
        <v>1</v>
      </c>
      <c r="I5128" s="5" t="str">
        <f>VLOOKUP(F5128,'Set up'!$A$2:$C$100,3,FALSE)</f>
        <v>Cash</v>
      </c>
      <c r="J5128" s="5">
        <f>VLOOKUP(F5128,'Set up'!$A$2:$D$100,4,FALSE)</f>
        <v>0</v>
      </c>
      <c r="K5128" s="4">
        <f t="shared" si="1158"/>
        <v>46090</v>
      </c>
      <c r="L5128" s="5">
        <f t="shared" si="1159"/>
        <v>3</v>
      </c>
      <c r="M5128" s="5">
        <f t="shared" si="1160"/>
        <v>2026</v>
      </c>
      <c r="N5128" s="156">
        <v>165</v>
      </c>
      <c r="P5128" s="12"/>
      <c r="Q5128" s="7">
        <f t="shared" si="1161"/>
        <v>8357438.5500000138</v>
      </c>
      <c r="R5128" s="44" t="str">
        <f>VLOOKUP(F5128,'Set up'!$A$2:$E$100,5,FALSE)</f>
        <v>Cash</v>
      </c>
    </row>
    <row r="5129" spans="1:18" ht="16.8" customHeight="1" x14ac:dyDescent="0.3">
      <c r="A5129" s="151" t="s">
        <v>4542</v>
      </c>
      <c r="B5129" s="5">
        <f t="shared" si="1156"/>
        <v>3</v>
      </c>
      <c r="C5129" s="5">
        <f t="shared" si="1157"/>
        <v>2026</v>
      </c>
      <c r="D5129" s="170" t="s">
        <v>4561</v>
      </c>
      <c r="E5129" s="5" t="str">
        <f>VLOOKUP(F5129,'Set up'!$A$2:$C$100,2,FALSE)</f>
        <v>C00000042</v>
      </c>
      <c r="F5129" s="150" t="s">
        <v>2012</v>
      </c>
      <c r="G5129" s="150" t="s">
        <v>2646</v>
      </c>
      <c r="H5129" s="150">
        <v>2</v>
      </c>
      <c r="I5129" s="5" t="str">
        <f>VLOOKUP(F5129,'Set up'!$A$2:$C$100,3,FALSE)</f>
        <v>Cash</v>
      </c>
      <c r="J5129" s="5">
        <f>VLOOKUP(F5129,'Set up'!$A$2:$D$100,4,FALSE)</f>
        <v>0</v>
      </c>
      <c r="K5129" s="4">
        <f t="shared" si="1158"/>
        <v>46091</v>
      </c>
      <c r="L5129" s="5">
        <f t="shared" si="1159"/>
        <v>3</v>
      </c>
      <c r="M5129" s="5">
        <f t="shared" si="1160"/>
        <v>2026</v>
      </c>
      <c r="N5129" s="156">
        <v>125</v>
      </c>
      <c r="P5129" s="12"/>
      <c r="Q5129" s="7">
        <f t="shared" si="1161"/>
        <v>8357563.5500000138</v>
      </c>
      <c r="R5129" s="44" t="str">
        <f>VLOOKUP(F5129,'Set up'!$A$2:$E$100,5,FALSE)</f>
        <v>Trsf</v>
      </c>
    </row>
    <row r="5130" spans="1:18" ht="16.8" customHeight="1" x14ac:dyDescent="0.3">
      <c r="A5130" s="151" t="s">
        <v>4542</v>
      </c>
      <c r="B5130" s="5">
        <f t="shared" si="1156"/>
        <v>3</v>
      </c>
      <c r="C5130" s="5">
        <f t="shared" si="1157"/>
        <v>2026</v>
      </c>
      <c r="D5130" s="170" t="s">
        <v>4562</v>
      </c>
      <c r="E5130" s="5" t="str">
        <f>VLOOKUP(F5130,'Set up'!$A$2:$C$100,2,FALSE)</f>
        <v>C00000042</v>
      </c>
      <c r="F5130" s="150" t="s">
        <v>2012</v>
      </c>
      <c r="G5130" s="150" t="s">
        <v>3645</v>
      </c>
      <c r="H5130" s="150">
        <v>4</v>
      </c>
      <c r="I5130" s="5" t="str">
        <f>VLOOKUP(F5130,'Set up'!$A$2:$C$100,3,FALSE)</f>
        <v>Cash</v>
      </c>
      <c r="J5130" s="5">
        <f>VLOOKUP(F5130,'Set up'!$A$2:$D$100,4,FALSE)</f>
        <v>0</v>
      </c>
      <c r="K5130" s="4">
        <f t="shared" si="1158"/>
        <v>46091</v>
      </c>
      <c r="L5130" s="5">
        <f t="shared" si="1159"/>
        <v>3</v>
      </c>
      <c r="M5130" s="5">
        <f t="shared" si="1160"/>
        <v>2026</v>
      </c>
      <c r="N5130" s="156">
        <v>6120</v>
      </c>
      <c r="P5130" s="12"/>
      <c r="Q5130" s="7">
        <f t="shared" si="1161"/>
        <v>8363683.5500000138</v>
      </c>
      <c r="R5130" s="44" t="str">
        <f>VLOOKUP(F5130,'Set up'!$A$2:$E$100,5,FALSE)</f>
        <v>Trsf</v>
      </c>
    </row>
    <row r="5131" spans="1:18" ht="16.8" customHeight="1" x14ac:dyDescent="0.3">
      <c r="A5131" s="151" t="s">
        <v>4542</v>
      </c>
      <c r="B5131" s="5">
        <f t="shared" si="1156"/>
        <v>3</v>
      </c>
      <c r="C5131" s="5">
        <f t="shared" si="1157"/>
        <v>2026</v>
      </c>
      <c r="D5131" s="170" t="s">
        <v>4562</v>
      </c>
      <c r="E5131" s="5" t="str">
        <f>VLOOKUP(F5131,'Set up'!$A$2:$C$100,2,FALSE)</f>
        <v>C00000042</v>
      </c>
      <c r="F5131" s="150" t="s">
        <v>2012</v>
      </c>
      <c r="G5131" s="150" t="s">
        <v>1392</v>
      </c>
      <c r="H5131" s="150">
        <v>8</v>
      </c>
      <c r="I5131" s="5" t="str">
        <f>VLOOKUP(F5131,'Set up'!$A$2:$C$100,3,FALSE)</f>
        <v>Cash</v>
      </c>
      <c r="J5131" s="5">
        <f>VLOOKUP(F5131,'Set up'!$A$2:$D$100,4,FALSE)</f>
        <v>0</v>
      </c>
      <c r="K5131" s="4">
        <f t="shared" si="1158"/>
        <v>46091</v>
      </c>
      <c r="L5131" s="5">
        <f t="shared" si="1159"/>
        <v>3</v>
      </c>
      <c r="M5131" s="5">
        <f t="shared" si="1160"/>
        <v>2026</v>
      </c>
      <c r="N5131" s="156">
        <v>1416</v>
      </c>
      <c r="P5131" s="12"/>
      <c r="Q5131" s="7">
        <f t="shared" si="1161"/>
        <v>8365099.5500000138</v>
      </c>
      <c r="R5131" s="44" t="str">
        <f>VLOOKUP(F5131,'Set up'!$A$2:$E$100,5,FALSE)</f>
        <v>Trsf</v>
      </c>
    </row>
    <row r="5132" spans="1:18" ht="16.8" customHeight="1" x14ac:dyDescent="0.3">
      <c r="A5132" s="151" t="s">
        <v>4542</v>
      </c>
      <c r="B5132" s="5">
        <f t="shared" si="1156"/>
        <v>3</v>
      </c>
      <c r="C5132" s="5">
        <f t="shared" si="1157"/>
        <v>2026</v>
      </c>
      <c r="D5132" s="170" t="s">
        <v>4562</v>
      </c>
      <c r="E5132" s="5" t="str">
        <f>VLOOKUP(F5132,'Set up'!$A$2:$C$100,2,FALSE)</f>
        <v>C00000042</v>
      </c>
      <c r="F5132" s="150" t="s">
        <v>2012</v>
      </c>
      <c r="G5132" s="150" t="s">
        <v>1922</v>
      </c>
      <c r="H5132" s="150">
        <v>8</v>
      </c>
      <c r="I5132" s="5" t="str">
        <f>VLOOKUP(F5132,'Set up'!$A$2:$C$100,3,FALSE)</f>
        <v>Cash</v>
      </c>
      <c r="J5132" s="5">
        <f>VLOOKUP(F5132,'Set up'!$A$2:$D$100,4,FALSE)</f>
        <v>0</v>
      </c>
      <c r="K5132" s="4">
        <f t="shared" si="1158"/>
        <v>46091</v>
      </c>
      <c r="L5132" s="5">
        <f t="shared" si="1159"/>
        <v>3</v>
      </c>
      <c r="M5132" s="5">
        <f t="shared" si="1160"/>
        <v>2026</v>
      </c>
      <c r="N5132" s="156">
        <v>1836</v>
      </c>
      <c r="P5132" s="12"/>
      <c r="Q5132" s="7">
        <f t="shared" si="1161"/>
        <v>8366935.5500000138</v>
      </c>
      <c r="R5132" s="44" t="str">
        <f>VLOOKUP(F5132,'Set up'!$A$2:$E$100,5,FALSE)</f>
        <v>Trsf</v>
      </c>
    </row>
    <row r="5133" spans="1:18" ht="16.8" customHeight="1" x14ac:dyDescent="0.3">
      <c r="A5133" s="151" t="s">
        <v>4543</v>
      </c>
      <c r="B5133" s="5">
        <f t="shared" si="1156"/>
        <v>3</v>
      </c>
      <c r="C5133" s="5">
        <f t="shared" si="1157"/>
        <v>2026</v>
      </c>
      <c r="D5133" s="170" t="s">
        <v>4563</v>
      </c>
      <c r="E5133" s="5" t="e">
        <f>VLOOKUP(F5133,'Set up'!$A$2:$C$100,2,FALSE)</f>
        <v>#N/A</v>
      </c>
      <c r="F5133" s="150" t="s">
        <v>3837</v>
      </c>
      <c r="G5133" s="150" t="s">
        <v>3507</v>
      </c>
      <c r="H5133" s="150">
        <v>6</v>
      </c>
      <c r="I5133" s="5" t="e">
        <f>VLOOKUP(F5133,'Set up'!$A$2:$C$100,3,FALSE)</f>
        <v>#N/A</v>
      </c>
      <c r="J5133" s="5" t="e">
        <f>VLOOKUP(F5133,'Set up'!$A$2:$D$100,4,FALSE)</f>
        <v>#N/A</v>
      </c>
      <c r="K5133" s="4" t="e">
        <f t="shared" si="1158"/>
        <v>#N/A</v>
      </c>
      <c r="L5133" s="5" t="e">
        <f t="shared" si="1159"/>
        <v>#N/A</v>
      </c>
      <c r="M5133" s="5" t="e">
        <f t="shared" si="1160"/>
        <v>#N/A</v>
      </c>
      <c r="N5133" s="156">
        <v>9720</v>
      </c>
      <c r="P5133" s="12"/>
      <c r="Q5133" s="7">
        <f t="shared" si="1161"/>
        <v>8376655.5500000138</v>
      </c>
      <c r="R5133" s="44" t="e">
        <f>VLOOKUP(F5133,'Set up'!$A$2:$E$100,5,FALSE)</f>
        <v>#N/A</v>
      </c>
    </row>
    <row r="5134" spans="1:18" ht="16.8" customHeight="1" x14ac:dyDescent="0.3">
      <c r="A5134" s="151" t="s">
        <v>4543</v>
      </c>
      <c r="B5134" s="5">
        <f t="shared" si="1156"/>
        <v>3</v>
      </c>
      <c r="C5134" s="5">
        <f t="shared" si="1157"/>
        <v>2026</v>
      </c>
      <c r="D5134" s="170" t="s">
        <v>4563</v>
      </c>
      <c r="E5134" s="5" t="e">
        <f>VLOOKUP(F5134,'Set up'!$A$2:$C$100,2,FALSE)</f>
        <v>#N/A</v>
      </c>
      <c r="F5134" s="150" t="s">
        <v>3837</v>
      </c>
      <c r="G5134" s="150" t="s">
        <v>4278</v>
      </c>
      <c r="H5134" s="150">
        <v>6</v>
      </c>
      <c r="I5134" s="5" t="e">
        <f>VLOOKUP(F5134,'Set up'!$A$2:$C$100,3,FALSE)</f>
        <v>#N/A</v>
      </c>
      <c r="J5134" s="5" t="e">
        <f>VLOOKUP(F5134,'Set up'!$A$2:$D$100,4,FALSE)</f>
        <v>#N/A</v>
      </c>
      <c r="K5134" s="4" t="e">
        <f t="shared" si="1158"/>
        <v>#N/A</v>
      </c>
      <c r="L5134" s="5" t="e">
        <f t="shared" si="1159"/>
        <v>#N/A</v>
      </c>
      <c r="M5134" s="5" t="e">
        <f t="shared" si="1160"/>
        <v>#N/A</v>
      </c>
      <c r="N5134" s="156">
        <v>2203.1999999999998</v>
      </c>
      <c r="P5134" s="12"/>
      <c r="Q5134" s="7">
        <f t="shared" si="1161"/>
        <v>8378858.750000014</v>
      </c>
      <c r="R5134" s="44" t="e">
        <f>VLOOKUP(F5134,'Set up'!$A$2:$E$100,5,FALSE)</f>
        <v>#N/A</v>
      </c>
    </row>
    <row r="5135" spans="1:18" ht="16.8" customHeight="1" x14ac:dyDescent="0.3">
      <c r="A5135" s="151" t="s">
        <v>4543</v>
      </c>
      <c r="B5135" s="5">
        <f t="shared" si="1156"/>
        <v>3</v>
      </c>
      <c r="C5135" s="5">
        <f t="shared" si="1157"/>
        <v>2026</v>
      </c>
      <c r="D5135" s="170" t="s">
        <v>4563</v>
      </c>
      <c r="E5135" s="5" t="e">
        <f>VLOOKUP(F5135,'Set up'!$A$2:$C$100,2,FALSE)</f>
        <v>#N/A</v>
      </c>
      <c r="F5135" s="150" t="s">
        <v>3837</v>
      </c>
      <c r="G5135" s="150" t="s">
        <v>4202</v>
      </c>
      <c r="H5135" s="150">
        <v>3</v>
      </c>
      <c r="I5135" s="5" t="e">
        <f>VLOOKUP(F5135,'Set up'!$A$2:$C$100,3,FALSE)</f>
        <v>#N/A</v>
      </c>
      <c r="J5135" s="5" t="e">
        <f>VLOOKUP(F5135,'Set up'!$A$2:$D$100,4,FALSE)</f>
        <v>#N/A</v>
      </c>
      <c r="K5135" s="4" t="e">
        <f t="shared" si="1158"/>
        <v>#N/A</v>
      </c>
      <c r="L5135" s="5" t="e">
        <f t="shared" si="1159"/>
        <v>#N/A</v>
      </c>
      <c r="M5135" s="5" t="e">
        <f t="shared" si="1160"/>
        <v>#N/A</v>
      </c>
      <c r="N5135" s="156">
        <v>1101.5999999999999</v>
      </c>
      <c r="P5135" s="12"/>
      <c r="Q5135" s="7">
        <f t="shared" si="1161"/>
        <v>8379960.3500000136</v>
      </c>
      <c r="R5135" s="44" t="e">
        <f>VLOOKUP(F5135,'Set up'!$A$2:$E$100,5,FALSE)</f>
        <v>#N/A</v>
      </c>
    </row>
    <row r="5136" spans="1:18" ht="16.8" customHeight="1" x14ac:dyDescent="0.3">
      <c r="A5136" s="151" t="s">
        <v>4543</v>
      </c>
      <c r="B5136" s="5">
        <f t="shared" si="1156"/>
        <v>3</v>
      </c>
      <c r="C5136" s="5">
        <f t="shared" si="1157"/>
        <v>2026</v>
      </c>
      <c r="D5136" s="170" t="s">
        <v>4563</v>
      </c>
      <c r="E5136" s="5" t="e">
        <f>VLOOKUP(F5136,'Set up'!$A$2:$C$100,2,FALSE)</f>
        <v>#N/A</v>
      </c>
      <c r="F5136" s="150" t="s">
        <v>3837</v>
      </c>
      <c r="G5136" s="150" t="s">
        <v>1449</v>
      </c>
      <c r="H5136" s="150">
        <v>4</v>
      </c>
      <c r="I5136" s="5" t="e">
        <f>VLOOKUP(F5136,'Set up'!$A$2:$C$100,3,FALSE)</f>
        <v>#N/A</v>
      </c>
      <c r="J5136" s="5" t="e">
        <f>VLOOKUP(F5136,'Set up'!$A$2:$D$100,4,FALSE)</f>
        <v>#N/A</v>
      </c>
      <c r="K5136" s="4" t="e">
        <f t="shared" si="1158"/>
        <v>#N/A</v>
      </c>
      <c r="L5136" s="5" t="e">
        <f t="shared" si="1159"/>
        <v>#N/A</v>
      </c>
      <c r="M5136" s="5" t="e">
        <f t="shared" si="1160"/>
        <v>#N/A</v>
      </c>
      <c r="N5136" s="156">
        <v>480</v>
      </c>
      <c r="P5136" s="12"/>
      <c r="Q5136" s="7">
        <f t="shared" si="1161"/>
        <v>8380440.3500000136</v>
      </c>
      <c r="R5136" s="44" t="e">
        <f>VLOOKUP(F5136,'Set up'!$A$2:$E$100,5,FALSE)</f>
        <v>#N/A</v>
      </c>
    </row>
    <row r="5137" spans="1:19" ht="16.8" customHeight="1" x14ac:dyDescent="0.3">
      <c r="A5137" s="151" t="s">
        <v>4543</v>
      </c>
      <c r="B5137" s="5">
        <f t="shared" si="1156"/>
        <v>3</v>
      </c>
      <c r="C5137" s="5">
        <f t="shared" si="1157"/>
        <v>2026</v>
      </c>
      <c r="D5137" s="170" t="s">
        <v>4563</v>
      </c>
      <c r="E5137" s="5" t="e">
        <f>VLOOKUP(F5137,'Set up'!$A$2:$C$100,2,FALSE)</f>
        <v>#N/A</v>
      </c>
      <c r="F5137" s="150" t="s">
        <v>3837</v>
      </c>
      <c r="G5137" s="150" t="s">
        <v>4134</v>
      </c>
      <c r="H5137" s="150">
        <v>2</v>
      </c>
      <c r="I5137" s="5" t="e">
        <f>VLOOKUP(F5137,'Set up'!$A$2:$C$100,3,FALSE)</f>
        <v>#N/A</v>
      </c>
      <c r="J5137" s="5" t="e">
        <f>VLOOKUP(F5137,'Set up'!$A$2:$D$100,4,FALSE)</f>
        <v>#N/A</v>
      </c>
      <c r="K5137" s="4" t="e">
        <f t="shared" si="1158"/>
        <v>#N/A</v>
      </c>
      <c r="L5137" s="5" t="e">
        <f t="shared" si="1159"/>
        <v>#N/A</v>
      </c>
      <c r="M5137" s="5" t="e">
        <f t="shared" si="1160"/>
        <v>#N/A</v>
      </c>
      <c r="N5137" s="156">
        <v>550</v>
      </c>
      <c r="P5137" s="12"/>
      <c r="Q5137" s="7">
        <f t="shared" si="1161"/>
        <v>8380990.3500000136</v>
      </c>
      <c r="R5137" s="44" t="e">
        <f>VLOOKUP(F5137,'Set up'!$A$2:$E$100,5,FALSE)</f>
        <v>#N/A</v>
      </c>
    </row>
    <row r="5138" spans="1:19" ht="16.8" customHeight="1" x14ac:dyDescent="0.3">
      <c r="A5138" s="151" t="s">
        <v>4543</v>
      </c>
      <c r="B5138" s="5">
        <f t="shared" si="1156"/>
        <v>3</v>
      </c>
      <c r="C5138" s="5">
        <f t="shared" si="1157"/>
        <v>2026</v>
      </c>
      <c r="D5138" s="170" t="s">
        <v>4563</v>
      </c>
      <c r="E5138" s="5" t="e">
        <f>VLOOKUP(F5138,'Set up'!$A$2:$C$100,2,FALSE)</f>
        <v>#N/A</v>
      </c>
      <c r="F5138" s="150" t="s">
        <v>3837</v>
      </c>
      <c r="G5138" s="150" t="s">
        <v>3511</v>
      </c>
      <c r="H5138" s="150">
        <v>6</v>
      </c>
      <c r="I5138" s="5" t="e">
        <f>VLOOKUP(F5138,'Set up'!$A$2:$C$100,3,FALSE)</f>
        <v>#N/A</v>
      </c>
      <c r="J5138" s="5" t="e">
        <f>VLOOKUP(F5138,'Set up'!$A$2:$D$100,4,FALSE)</f>
        <v>#N/A</v>
      </c>
      <c r="K5138" s="4" t="e">
        <f t="shared" si="1158"/>
        <v>#N/A</v>
      </c>
      <c r="L5138" s="5" t="e">
        <f t="shared" si="1159"/>
        <v>#N/A</v>
      </c>
      <c r="M5138" s="5" t="e">
        <f t="shared" si="1160"/>
        <v>#N/A</v>
      </c>
      <c r="N5138" s="156">
        <v>360</v>
      </c>
      <c r="P5138" s="12"/>
      <c r="Q5138" s="7">
        <f t="shared" si="1161"/>
        <v>8381350.3500000136</v>
      </c>
      <c r="R5138" s="44" t="e">
        <f>VLOOKUP(F5138,'Set up'!$A$2:$E$100,5,FALSE)</f>
        <v>#N/A</v>
      </c>
    </row>
    <row r="5139" spans="1:19" ht="16.8" customHeight="1" x14ac:dyDescent="0.3">
      <c r="A5139" s="151" t="s">
        <v>4543</v>
      </c>
      <c r="B5139" s="5">
        <f t="shared" si="1156"/>
        <v>3</v>
      </c>
      <c r="C5139" s="5">
        <f t="shared" si="1157"/>
        <v>2026</v>
      </c>
      <c r="D5139" s="170" t="s">
        <v>4563</v>
      </c>
      <c r="E5139" s="5" t="e">
        <f>VLOOKUP(F5139,'Set up'!$A$2:$C$100,2,FALSE)</f>
        <v>#N/A</v>
      </c>
      <c r="F5139" s="150" t="s">
        <v>3837</v>
      </c>
      <c r="G5139" s="150" t="s">
        <v>1637</v>
      </c>
      <c r="H5139" s="150">
        <v>2</v>
      </c>
      <c r="I5139" s="5" t="e">
        <f>VLOOKUP(F5139,'Set up'!$A$2:$C$100,3,FALSE)</f>
        <v>#N/A</v>
      </c>
      <c r="J5139" s="5" t="e">
        <f>VLOOKUP(F5139,'Set up'!$A$2:$D$100,4,FALSE)</f>
        <v>#N/A</v>
      </c>
      <c r="K5139" s="4" t="e">
        <f t="shared" si="1158"/>
        <v>#N/A</v>
      </c>
      <c r="L5139" s="5" t="e">
        <f t="shared" si="1159"/>
        <v>#N/A</v>
      </c>
      <c r="M5139" s="5" t="e">
        <f t="shared" si="1160"/>
        <v>#N/A</v>
      </c>
      <c r="N5139" s="156">
        <v>800</v>
      </c>
      <c r="P5139" s="12"/>
      <c r="Q5139" s="7">
        <f t="shared" si="1161"/>
        <v>8382150.3500000136</v>
      </c>
      <c r="R5139" s="44" t="e">
        <f>VLOOKUP(F5139,'Set up'!$A$2:$E$100,5,FALSE)</f>
        <v>#N/A</v>
      </c>
    </row>
    <row r="5140" spans="1:19" ht="16.8" customHeight="1" x14ac:dyDescent="0.3">
      <c r="A5140" s="151" t="s">
        <v>4543</v>
      </c>
      <c r="B5140" s="5">
        <f t="shared" si="1156"/>
        <v>3</v>
      </c>
      <c r="C5140" s="5">
        <f t="shared" si="1157"/>
        <v>2026</v>
      </c>
      <c r="D5140" s="170" t="s">
        <v>4563</v>
      </c>
      <c r="E5140" s="5" t="e">
        <f>VLOOKUP(F5140,'Set up'!$A$2:$C$100,2,FALSE)</f>
        <v>#N/A</v>
      </c>
      <c r="F5140" s="150" t="s">
        <v>3837</v>
      </c>
      <c r="G5140" s="150" t="s">
        <v>4529</v>
      </c>
      <c r="H5140" s="150">
        <v>3</v>
      </c>
      <c r="I5140" s="5" t="e">
        <f>VLOOKUP(F5140,'Set up'!$A$2:$C$100,3,FALSE)</f>
        <v>#N/A</v>
      </c>
      <c r="J5140" s="5" t="e">
        <f>VLOOKUP(F5140,'Set up'!$A$2:$D$100,4,FALSE)</f>
        <v>#N/A</v>
      </c>
      <c r="K5140" s="4" t="e">
        <f t="shared" si="1158"/>
        <v>#N/A</v>
      </c>
      <c r="L5140" s="5" t="e">
        <f t="shared" si="1159"/>
        <v>#N/A</v>
      </c>
      <c r="M5140" s="5" t="e">
        <f t="shared" si="1160"/>
        <v>#N/A</v>
      </c>
      <c r="N5140" s="156">
        <v>510</v>
      </c>
      <c r="P5140" s="12"/>
      <c r="Q5140" s="7">
        <f>SUM(Q5139+N5140)</f>
        <v>8382660.3500000136</v>
      </c>
      <c r="R5140" s="44" t="e">
        <f>VLOOKUP(F5140,'Set up'!$A$2:$E$100,5,FALSE)</f>
        <v>#N/A</v>
      </c>
      <c r="S5140" s="11"/>
    </row>
    <row r="5141" spans="1:19" ht="16.8" customHeight="1" x14ac:dyDescent="0.3">
      <c r="A5141" s="171" t="s">
        <v>4582</v>
      </c>
      <c r="B5141" s="5">
        <f t="shared" ref="B5141:B5142" si="1162">MONTH(A5141)</f>
        <v>3</v>
      </c>
      <c r="C5141" s="5">
        <f t="shared" ref="C5141:C5142" si="1163">YEAR(A5141)</f>
        <v>2026</v>
      </c>
      <c r="D5141" s="170" t="s">
        <v>4581</v>
      </c>
      <c r="E5141" s="5" t="str">
        <f>VLOOKUP(F5141,'Set up'!$A$2:$C$100,2,FALSE)</f>
        <v>C00000045</v>
      </c>
      <c r="F5141" s="5" t="s">
        <v>2271</v>
      </c>
      <c r="G5141" s="5" t="s">
        <v>3645</v>
      </c>
      <c r="H5141" s="150">
        <v>2</v>
      </c>
      <c r="I5141" s="5" t="str">
        <f>VLOOKUP(F5141,'Set up'!$A$2:$C$100,3,FALSE)</f>
        <v>Cash</v>
      </c>
      <c r="J5141" s="5">
        <f>VLOOKUP(F5141,'Set up'!$A$2:$D$100,4,FALSE)</f>
        <v>0</v>
      </c>
      <c r="K5141" s="4">
        <f t="shared" ref="K5141:K5142" si="1164">A5141+J5141</f>
        <v>46098</v>
      </c>
      <c r="L5141" s="5">
        <f t="shared" ref="L5141:L5142" si="1165">MONTH(K5141)</f>
        <v>3</v>
      </c>
      <c r="M5141" s="5">
        <f t="shared" ref="M5141:M5142" si="1166">YEAR(K5141)</f>
        <v>2026</v>
      </c>
      <c r="N5141" s="172">
        <v>3420</v>
      </c>
      <c r="P5141" s="12"/>
      <c r="Q5141" s="7">
        <f t="shared" ref="Q5141:Q5142" si="1167">SUM(Q5140+N5141)</f>
        <v>8386080.3500000136</v>
      </c>
      <c r="R5141" s="44" t="str">
        <f>VLOOKUP(F5141,'Set up'!$A$2:$E$100,5,FALSE)</f>
        <v>Trsf</v>
      </c>
      <c r="S5141" s="11"/>
    </row>
    <row r="5142" spans="1:19" ht="16.8" customHeight="1" x14ac:dyDescent="0.3">
      <c r="A5142" s="171" t="s">
        <v>4582</v>
      </c>
      <c r="B5142" s="5">
        <f t="shared" si="1162"/>
        <v>3</v>
      </c>
      <c r="C5142" s="5">
        <f t="shared" si="1163"/>
        <v>2026</v>
      </c>
      <c r="D5142" s="170" t="s">
        <v>4581</v>
      </c>
      <c r="E5142" s="5" t="str">
        <f>VLOOKUP(F5142,'Set up'!$A$2:$C$100,2,FALSE)</f>
        <v>C00000045</v>
      </c>
      <c r="F5142" s="5" t="s">
        <v>2271</v>
      </c>
      <c r="G5142" s="5" t="s">
        <v>4134</v>
      </c>
      <c r="H5142" s="150">
        <v>2</v>
      </c>
      <c r="I5142" s="5" t="str">
        <f>VLOOKUP(F5142,'Set up'!$A$2:$C$100,3,FALSE)</f>
        <v>Cash</v>
      </c>
      <c r="J5142" s="5">
        <f>VLOOKUP(F5142,'Set up'!$A$2:$D$100,4,FALSE)</f>
        <v>0</v>
      </c>
      <c r="K5142" s="4">
        <f t="shared" si="1164"/>
        <v>46098</v>
      </c>
      <c r="L5142" s="5">
        <f t="shared" si="1165"/>
        <v>3</v>
      </c>
      <c r="M5142" s="5">
        <f t="shared" si="1166"/>
        <v>2026</v>
      </c>
      <c r="N5142" s="172">
        <v>479.6</v>
      </c>
      <c r="P5142" s="12"/>
      <c r="Q5142" s="7">
        <f t="shared" si="1167"/>
        <v>8386559.9500000132</v>
      </c>
      <c r="R5142" s="44" t="str">
        <f>VLOOKUP(F5142,'Set up'!$A$2:$E$100,5,FALSE)</f>
        <v>Trsf</v>
      </c>
      <c r="S5142" s="11"/>
    </row>
    <row r="5143" spans="1:19" ht="16.8" customHeight="1" x14ac:dyDescent="0.3">
      <c r="A5143" s="151" t="s">
        <v>4544</v>
      </c>
      <c r="B5143" s="5">
        <f t="shared" si="1156"/>
        <v>3</v>
      </c>
      <c r="C5143" s="5">
        <f t="shared" si="1157"/>
        <v>2026</v>
      </c>
      <c r="D5143" s="170" t="s">
        <v>4564</v>
      </c>
      <c r="E5143" s="5" t="str">
        <f>VLOOKUP(F5143,'Set up'!$A$2:$C$100,2,FALSE)</f>
        <v>C00000003</v>
      </c>
      <c r="F5143" s="150" t="s">
        <v>20</v>
      </c>
      <c r="G5143" s="150" t="s">
        <v>3645</v>
      </c>
      <c r="H5143" s="150">
        <v>1</v>
      </c>
      <c r="I5143" s="5">
        <f>VLOOKUP(F5143,'Set up'!$A$2:$C$100,3,FALSE)</f>
        <v>45</v>
      </c>
      <c r="J5143" s="5">
        <f>VLOOKUP(F5143,'Set up'!$A$2:$D$100,4,FALSE)</f>
        <v>45</v>
      </c>
      <c r="K5143" s="4">
        <f t="shared" si="1158"/>
        <v>46144</v>
      </c>
      <c r="L5143" s="5">
        <f t="shared" si="1159"/>
        <v>5</v>
      </c>
      <c r="M5143" s="5">
        <f t="shared" si="1160"/>
        <v>2026</v>
      </c>
      <c r="N5143" s="156">
        <v>1822.5</v>
      </c>
      <c r="P5143" s="12"/>
      <c r="Q5143" s="7">
        <f>SUM(Q5140+N5143)</f>
        <v>8384482.8500000136</v>
      </c>
      <c r="R5143" s="44" t="str">
        <f>VLOOKUP(F5143,'Set up'!$A$2:$E$100,5,FALSE)</f>
        <v>PD Chq</v>
      </c>
      <c r="S5143" s="11"/>
    </row>
    <row r="5144" spans="1:19" ht="16.8" customHeight="1" x14ac:dyDescent="0.3">
      <c r="A5144" s="151" t="s">
        <v>4544</v>
      </c>
      <c r="B5144" s="5">
        <f t="shared" si="1156"/>
        <v>3</v>
      </c>
      <c r="C5144" s="5">
        <f t="shared" si="1157"/>
        <v>2026</v>
      </c>
      <c r="D5144" s="170" t="s">
        <v>4564</v>
      </c>
      <c r="E5144" s="5" t="str">
        <f>VLOOKUP(F5144,'Set up'!$A$2:$C$100,2,FALSE)</f>
        <v>C00000003</v>
      </c>
      <c r="F5144" s="150" t="s">
        <v>20</v>
      </c>
      <c r="G5144" s="150" t="s">
        <v>17</v>
      </c>
      <c r="H5144" s="150">
        <v>2</v>
      </c>
      <c r="I5144" s="5">
        <f>VLOOKUP(F5144,'Set up'!$A$2:$C$100,3,FALSE)</f>
        <v>45</v>
      </c>
      <c r="J5144" s="5">
        <f>VLOOKUP(F5144,'Set up'!$A$2:$D$100,4,FALSE)</f>
        <v>45</v>
      </c>
      <c r="K5144" s="4">
        <f t="shared" si="1158"/>
        <v>46144</v>
      </c>
      <c r="L5144" s="5">
        <f t="shared" si="1159"/>
        <v>5</v>
      </c>
      <c r="M5144" s="5">
        <f t="shared" si="1160"/>
        <v>2026</v>
      </c>
      <c r="N5144" s="156">
        <v>230</v>
      </c>
      <c r="P5144" s="12"/>
      <c r="Q5144" s="7">
        <f t="shared" si="1161"/>
        <v>8384712.8500000136</v>
      </c>
      <c r="R5144" s="44" t="str">
        <f>VLOOKUP(F5144,'Set up'!$A$2:$E$100,5,FALSE)</f>
        <v>PD Chq</v>
      </c>
    </row>
    <row r="5145" spans="1:19" ht="16.8" customHeight="1" x14ac:dyDescent="0.3">
      <c r="A5145" s="151" t="s">
        <v>4545</v>
      </c>
      <c r="B5145" s="5">
        <f t="shared" si="1156"/>
        <v>3</v>
      </c>
      <c r="C5145" s="5">
        <f t="shared" si="1157"/>
        <v>2026</v>
      </c>
      <c r="D5145" s="170" t="s">
        <v>4565</v>
      </c>
      <c r="E5145" s="5" t="e">
        <f>VLOOKUP(F5145,'Set up'!$A$2:$C$100,2,FALSE)</f>
        <v>#N/A</v>
      </c>
      <c r="F5145" s="150" t="s">
        <v>4130</v>
      </c>
      <c r="G5145" s="150" t="s">
        <v>3122</v>
      </c>
      <c r="H5145" s="150">
        <v>1</v>
      </c>
      <c r="I5145" s="5" t="e">
        <f>VLOOKUP(F5145,'Set up'!$A$2:$C$100,3,FALSE)</f>
        <v>#N/A</v>
      </c>
      <c r="J5145" s="5" t="e">
        <f>VLOOKUP(F5145,'Set up'!$A$2:$D$100,4,FALSE)</f>
        <v>#N/A</v>
      </c>
      <c r="K5145" s="4" t="e">
        <f t="shared" si="1158"/>
        <v>#N/A</v>
      </c>
      <c r="L5145" s="5" t="e">
        <f t="shared" si="1159"/>
        <v>#N/A</v>
      </c>
      <c r="M5145" s="5" t="e">
        <f t="shared" si="1160"/>
        <v>#N/A</v>
      </c>
      <c r="N5145" s="156">
        <v>1822.5</v>
      </c>
      <c r="P5145" s="12"/>
      <c r="Q5145" s="7">
        <f t="shared" si="1161"/>
        <v>8386535.3500000136</v>
      </c>
      <c r="R5145" s="44" t="e">
        <f>VLOOKUP(F5145,'Set up'!$A$2:$E$100,5,FALSE)</f>
        <v>#N/A</v>
      </c>
    </row>
    <row r="5146" spans="1:19" ht="16.8" customHeight="1" x14ac:dyDescent="0.3">
      <c r="A5146" s="151" t="s">
        <v>4545</v>
      </c>
      <c r="B5146" s="5">
        <f t="shared" si="1156"/>
        <v>3</v>
      </c>
      <c r="C5146" s="5">
        <f t="shared" si="1157"/>
        <v>2026</v>
      </c>
      <c r="D5146" s="170" t="s">
        <v>4565</v>
      </c>
      <c r="E5146" s="5" t="e">
        <f>VLOOKUP(F5146,'Set up'!$A$2:$C$100,2,FALSE)</f>
        <v>#N/A</v>
      </c>
      <c r="F5146" s="150" t="s">
        <v>4130</v>
      </c>
      <c r="G5146" s="150" t="s">
        <v>707</v>
      </c>
      <c r="H5146" s="150">
        <v>1</v>
      </c>
      <c r="I5146" s="5" t="e">
        <f>VLOOKUP(F5146,'Set up'!$A$2:$C$100,3,FALSE)</f>
        <v>#N/A</v>
      </c>
      <c r="J5146" s="5" t="e">
        <f>VLOOKUP(F5146,'Set up'!$A$2:$D$100,4,FALSE)</f>
        <v>#N/A</v>
      </c>
      <c r="K5146" s="4" t="e">
        <f t="shared" si="1158"/>
        <v>#N/A</v>
      </c>
      <c r="L5146" s="5" t="e">
        <f t="shared" si="1159"/>
        <v>#N/A</v>
      </c>
      <c r="M5146" s="5" t="e">
        <f t="shared" si="1160"/>
        <v>#N/A</v>
      </c>
      <c r="N5146" s="156">
        <v>394.2</v>
      </c>
      <c r="P5146" s="12"/>
      <c r="Q5146" s="7">
        <f t="shared" si="1161"/>
        <v>8386929.5500000138</v>
      </c>
      <c r="R5146" s="44" t="e">
        <f>VLOOKUP(F5146,'Set up'!$A$2:$E$100,5,FALSE)</f>
        <v>#N/A</v>
      </c>
    </row>
    <row r="5147" spans="1:19" ht="16.8" customHeight="1" x14ac:dyDescent="0.3">
      <c r="A5147" s="151" t="s">
        <v>4545</v>
      </c>
      <c r="B5147" s="5">
        <f t="shared" si="1156"/>
        <v>3</v>
      </c>
      <c r="C5147" s="5">
        <f t="shared" si="1157"/>
        <v>2026</v>
      </c>
      <c r="D5147" s="170" t="s">
        <v>4565</v>
      </c>
      <c r="E5147" s="5" t="e">
        <f>VLOOKUP(F5147,'Set up'!$A$2:$C$100,2,FALSE)</f>
        <v>#N/A</v>
      </c>
      <c r="F5147" s="150" t="s">
        <v>4130</v>
      </c>
      <c r="G5147" s="150" t="s">
        <v>2144</v>
      </c>
      <c r="H5147" s="150">
        <v>1</v>
      </c>
      <c r="I5147" s="5" t="e">
        <f>VLOOKUP(F5147,'Set up'!$A$2:$C$100,3,FALSE)</f>
        <v>#N/A</v>
      </c>
      <c r="J5147" s="5" t="e">
        <f>VLOOKUP(F5147,'Set up'!$A$2:$D$100,4,FALSE)</f>
        <v>#N/A</v>
      </c>
      <c r="K5147" s="4" t="e">
        <f t="shared" si="1158"/>
        <v>#N/A</v>
      </c>
      <c r="L5147" s="5" t="e">
        <f t="shared" si="1159"/>
        <v>#N/A</v>
      </c>
      <c r="M5147" s="5" t="e">
        <f t="shared" si="1160"/>
        <v>#N/A</v>
      </c>
      <c r="N5147" s="156">
        <v>286</v>
      </c>
      <c r="P5147" s="12"/>
      <c r="Q5147" s="7">
        <f t="shared" si="1161"/>
        <v>8387215.5500000138</v>
      </c>
      <c r="R5147" s="44" t="e">
        <f>VLOOKUP(F5147,'Set up'!$A$2:$E$100,5,FALSE)</f>
        <v>#N/A</v>
      </c>
    </row>
    <row r="5148" spans="1:19" ht="16.8" customHeight="1" x14ac:dyDescent="0.3">
      <c r="A5148" s="151" t="s">
        <v>4545</v>
      </c>
      <c r="B5148" s="5">
        <f t="shared" si="1156"/>
        <v>3</v>
      </c>
      <c r="C5148" s="5">
        <f t="shared" si="1157"/>
        <v>2026</v>
      </c>
      <c r="D5148" s="170" t="s">
        <v>4565</v>
      </c>
      <c r="E5148" s="5" t="e">
        <f>VLOOKUP(F5148,'Set up'!$A$2:$C$100,2,FALSE)</f>
        <v>#N/A</v>
      </c>
      <c r="F5148" s="150" t="s">
        <v>4130</v>
      </c>
      <c r="G5148" s="150" t="s">
        <v>4204</v>
      </c>
      <c r="H5148" s="150">
        <v>1</v>
      </c>
      <c r="I5148" s="5" t="e">
        <f>VLOOKUP(F5148,'Set up'!$A$2:$C$100,3,FALSE)</f>
        <v>#N/A</v>
      </c>
      <c r="J5148" s="5" t="e">
        <f>VLOOKUP(F5148,'Set up'!$A$2:$D$100,4,FALSE)</f>
        <v>#N/A</v>
      </c>
      <c r="K5148" s="4" t="e">
        <f t="shared" si="1158"/>
        <v>#N/A</v>
      </c>
      <c r="L5148" s="5" t="e">
        <f t="shared" si="1159"/>
        <v>#N/A</v>
      </c>
      <c r="M5148" s="5" t="e">
        <f t="shared" si="1160"/>
        <v>#N/A</v>
      </c>
      <c r="N5148" s="156">
        <v>160</v>
      </c>
      <c r="P5148" s="12"/>
      <c r="Q5148" s="7">
        <f t="shared" si="1161"/>
        <v>8387375.5500000138</v>
      </c>
      <c r="R5148" s="44" t="e">
        <f>VLOOKUP(F5148,'Set up'!$A$2:$E$100,5,FALSE)</f>
        <v>#N/A</v>
      </c>
    </row>
    <row r="5149" spans="1:19" ht="16.8" customHeight="1" x14ac:dyDescent="0.3">
      <c r="A5149" s="151" t="s">
        <v>4545</v>
      </c>
      <c r="B5149" s="5">
        <f t="shared" si="1156"/>
        <v>3</v>
      </c>
      <c r="C5149" s="5">
        <f t="shared" si="1157"/>
        <v>2026</v>
      </c>
      <c r="D5149" s="170" t="s">
        <v>4565</v>
      </c>
      <c r="E5149" s="5" t="e">
        <f>VLOOKUP(F5149,'Set up'!$A$2:$C$100,2,FALSE)</f>
        <v>#N/A</v>
      </c>
      <c r="F5149" s="150" t="s">
        <v>4130</v>
      </c>
      <c r="G5149" s="150" t="s">
        <v>2646</v>
      </c>
      <c r="H5149" s="150">
        <v>2</v>
      </c>
      <c r="I5149" s="5" t="e">
        <f>VLOOKUP(F5149,'Set up'!$A$2:$C$100,3,FALSE)</f>
        <v>#N/A</v>
      </c>
      <c r="J5149" s="5" t="e">
        <f>VLOOKUP(F5149,'Set up'!$A$2:$D$100,4,FALSE)</f>
        <v>#N/A</v>
      </c>
      <c r="K5149" s="4" t="e">
        <f t="shared" si="1158"/>
        <v>#N/A</v>
      </c>
      <c r="L5149" s="5" t="e">
        <f t="shared" si="1159"/>
        <v>#N/A</v>
      </c>
      <c r="M5149" s="5" t="e">
        <f t="shared" si="1160"/>
        <v>#N/A</v>
      </c>
      <c r="N5149" s="156">
        <v>125</v>
      </c>
      <c r="P5149" s="12"/>
      <c r="Q5149" s="7">
        <f t="shared" si="1161"/>
        <v>8387500.5500000138</v>
      </c>
      <c r="R5149" s="44" t="e">
        <f>VLOOKUP(F5149,'Set up'!$A$2:$E$100,5,FALSE)</f>
        <v>#N/A</v>
      </c>
    </row>
    <row r="5150" spans="1:19" ht="16.8" customHeight="1" x14ac:dyDescent="0.3">
      <c r="A5150" s="151" t="s">
        <v>4545</v>
      </c>
      <c r="B5150" s="5">
        <f t="shared" si="1156"/>
        <v>3</v>
      </c>
      <c r="C5150" s="5">
        <f t="shared" si="1157"/>
        <v>2026</v>
      </c>
      <c r="D5150" s="170" t="s">
        <v>4566</v>
      </c>
      <c r="E5150" s="5" t="str">
        <f>VLOOKUP(F5150,'Set up'!$A$2:$C$100,2,FALSE)</f>
        <v>C00000044</v>
      </c>
      <c r="F5150" s="150" t="s">
        <v>2929</v>
      </c>
      <c r="G5150" s="150" t="s">
        <v>3122</v>
      </c>
      <c r="H5150" s="150">
        <v>1</v>
      </c>
      <c r="I5150" s="5" t="str">
        <f>VLOOKUP(F5150,'Set up'!$A$2:$C$100,3,FALSE)</f>
        <v>Cash</v>
      </c>
      <c r="J5150" s="5">
        <f>VLOOKUP(F5150,'Set up'!$A$2:$D$100,4,FALSE)</f>
        <v>0</v>
      </c>
      <c r="K5150" s="4">
        <f t="shared" si="1158"/>
        <v>46100</v>
      </c>
      <c r="L5150" s="5">
        <f t="shared" si="1159"/>
        <v>3</v>
      </c>
      <c r="M5150" s="5">
        <f t="shared" si="1160"/>
        <v>2026</v>
      </c>
      <c r="N5150" s="156">
        <v>1822.5</v>
      </c>
      <c r="P5150" s="12"/>
      <c r="Q5150" s="7">
        <f t="shared" si="1161"/>
        <v>8389323.0500000138</v>
      </c>
      <c r="R5150" s="44" t="str">
        <f>VLOOKUP(F5150,'Set up'!$A$2:$E$100,5,FALSE)</f>
        <v>Cash</v>
      </c>
    </row>
    <row r="5151" spans="1:19" ht="16.8" customHeight="1" x14ac:dyDescent="0.3">
      <c r="A5151" s="151" t="s">
        <v>4545</v>
      </c>
      <c r="B5151" s="5">
        <f t="shared" si="1156"/>
        <v>3</v>
      </c>
      <c r="C5151" s="5">
        <f t="shared" si="1157"/>
        <v>2026</v>
      </c>
      <c r="D5151" s="170" t="s">
        <v>4566</v>
      </c>
      <c r="E5151" s="5" t="str">
        <f>VLOOKUP(F5151,'Set up'!$A$2:$C$100,2,FALSE)</f>
        <v>C00000044</v>
      </c>
      <c r="F5151" s="150" t="s">
        <v>2929</v>
      </c>
      <c r="G5151" s="150" t="s">
        <v>2570</v>
      </c>
      <c r="H5151" s="150">
        <v>2</v>
      </c>
      <c r="I5151" s="5" t="str">
        <f>VLOOKUP(F5151,'Set up'!$A$2:$C$100,3,FALSE)</f>
        <v>Cash</v>
      </c>
      <c r="J5151" s="5">
        <f>VLOOKUP(F5151,'Set up'!$A$2:$D$100,4,FALSE)</f>
        <v>0</v>
      </c>
      <c r="K5151" s="4">
        <f t="shared" si="1158"/>
        <v>46100</v>
      </c>
      <c r="L5151" s="5">
        <f t="shared" si="1159"/>
        <v>3</v>
      </c>
      <c r="M5151" s="5">
        <f t="shared" si="1160"/>
        <v>2026</v>
      </c>
      <c r="N5151" s="156">
        <v>432</v>
      </c>
      <c r="P5151" s="12"/>
      <c r="Q5151" s="7">
        <f t="shared" si="1161"/>
        <v>8389755.0500000138</v>
      </c>
      <c r="R5151" s="44" t="str">
        <f>VLOOKUP(F5151,'Set up'!$A$2:$E$100,5,FALSE)</f>
        <v>Cash</v>
      </c>
    </row>
    <row r="5152" spans="1:19" ht="16.8" customHeight="1" x14ac:dyDescent="0.3">
      <c r="A5152" s="151" t="s">
        <v>4545</v>
      </c>
      <c r="B5152" s="5">
        <f t="shared" si="1156"/>
        <v>3</v>
      </c>
      <c r="C5152" s="5">
        <f t="shared" si="1157"/>
        <v>2026</v>
      </c>
      <c r="D5152" s="170" t="s">
        <v>4566</v>
      </c>
      <c r="E5152" s="5" t="str">
        <f>VLOOKUP(F5152,'Set up'!$A$2:$C$100,2,FALSE)</f>
        <v>C00000044</v>
      </c>
      <c r="F5152" s="150" t="s">
        <v>2929</v>
      </c>
      <c r="G5152" s="150" t="s">
        <v>46</v>
      </c>
      <c r="H5152" s="150">
        <v>1</v>
      </c>
      <c r="I5152" s="5" t="str">
        <f>VLOOKUP(F5152,'Set up'!$A$2:$C$100,3,FALSE)</f>
        <v>Cash</v>
      </c>
      <c r="J5152" s="5">
        <f>VLOOKUP(F5152,'Set up'!$A$2:$D$100,4,FALSE)</f>
        <v>0</v>
      </c>
      <c r="K5152" s="4">
        <f t="shared" si="1158"/>
        <v>46100</v>
      </c>
      <c r="L5152" s="5">
        <f t="shared" si="1159"/>
        <v>3</v>
      </c>
      <c r="M5152" s="5">
        <f t="shared" si="1160"/>
        <v>2026</v>
      </c>
      <c r="N5152" s="156">
        <v>115</v>
      </c>
      <c r="P5152" s="12"/>
      <c r="Q5152" s="7">
        <f t="shared" si="1161"/>
        <v>8389870.0500000138</v>
      </c>
      <c r="R5152" s="44" t="str">
        <f>VLOOKUP(F5152,'Set up'!$A$2:$E$100,5,FALSE)</f>
        <v>Cash</v>
      </c>
    </row>
    <row r="5153" spans="1:18" ht="16.8" customHeight="1" x14ac:dyDescent="0.3">
      <c r="A5153" s="151" t="s">
        <v>4545</v>
      </c>
      <c r="B5153" s="5">
        <f t="shared" si="1156"/>
        <v>3</v>
      </c>
      <c r="C5153" s="5">
        <f t="shared" si="1157"/>
        <v>2026</v>
      </c>
      <c r="D5153" s="170" t="s">
        <v>4567</v>
      </c>
      <c r="E5153" s="5" t="str">
        <f>VLOOKUP(F5153,'Set up'!$A$2:$C$100,2,FALSE)</f>
        <v>C00000019</v>
      </c>
      <c r="F5153" s="150" t="s">
        <v>400</v>
      </c>
      <c r="G5153" s="150" t="s">
        <v>3122</v>
      </c>
      <c r="H5153" s="150">
        <v>1</v>
      </c>
      <c r="I5153" s="5" t="str">
        <f>VLOOKUP(F5153,'Set up'!$A$2:$C$100,3,FALSE)</f>
        <v>Cash</v>
      </c>
      <c r="J5153" s="5">
        <f>VLOOKUP(F5153,'Set up'!$A$2:$D$100,4,FALSE)</f>
        <v>0</v>
      </c>
      <c r="K5153" s="4">
        <f t="shared" si="1158"/>
        <v>46100</v>
      </c>
      <c r="L5153" s="5">
        <f t="shared" si="1159"/>
        <v>3</v>
      </c>
      <c r="M5153" s="5">
        <f t="shared" si="1160"/>
        <v>2026</v>
      </c>
      <c r="N5153" s="156">
        <v>1822.5</v>
      </c>
      <c r="P5153" s="12"/>
      <c r="Q5153" s="7">
        <f t="shared" si="1161"/>
        <v>8391692.5500000138</v>
      </c>
      <c r="R5153" s="44" t="str">
        <f>VLOOKUP(F5153,'Set up'!$A$2:$E$100,5,FALSE)</f>
        <v>Trsf</v>
      </c>
    </row>
    <row r="5154" spans="1:18" ht="16.8" customHeight="1" x14ac:dyDescent="0.3">
      <c r="A5154" s="151" t="s">
        <v>4545</v>
      </c>
      <c r="B5154" s="5">
        <f t="shared" si="1156"/>
        <v>3</v>
      </c>
      <c r="C5154" s="5">
        <f t="shared" si="1157"/>
        <v>2026</v>
      </c>
      <c r="D5154" s="170" t="s">
        <v>4567</v>
      </c>
      <c r="E5154" s="5" t="str">
        <f>VLOOKUP(F5154,'Set up'!$A$2:$C$100,2,FALSE)</f>
        <v>C00000019</v>
      </c>
      <c r="F5154" s="150" t="s">
        <v>400</v>
      </c>
      <c r="G5154" s="150" t="s">
        <v>945</v>
      </c>
      <c r="H5154" s="150">
        <v>1</v>
      </c>
      <c r="I5154" s="5" t="str">
        <f>VLOOKUP(F5154,'Set up'!$A$2:$C$100,3,FALSE)</f>
        <v>Cash</v>
      </c>
      <c r="J5154" s="5">
        <f>VLOOKUP(F5154,'Set up'!$A$2:$D$100,4,FALSE)</f>
        <v>0</v>
      </c>
      <c r="K5154" s="4">
        <f t="shared" si="1158"/>
        <v>46100</v>
      </c>
      <c r="L5154" s="5">
        <f t="shared" si="1159"/>
        <v>3</v>
      </c>
      <c r="M5154" s="5">
        <f t="shared" si="1160"/>
        <v>2026</v>
      </c>
      <c r="N5154" s="156">
        <v>115</v>
      </c>
      <c r="P5154" s="12"/>
      <c r="Q5154" s="7">
        <f t="shared" si="1161"/>
        <v>8391807.5500000138</v>
      </c>
      <c r="R5154" s="44" t="str">
        <f>VLOOKUP(F5154,'Set up'!$A$2:$E$100,5,FALSE)</f>
        <v>Trsf</v>
      </c>
    </row>
    <row r="5155" spans="1:18" ht="16.8" customHeight="1" x14ac:dyDescent="0.3">
      <c r="A5155" s="151" t="s">
        <v>4545</v>
      </c>
      <c r="B5155" s="5">
        <f t="shared" si="1156"/>
        <v>3</v>
      </c>
      <c r="C5155" s="5">
        <f t="shared" si="1157"/>
        <v>2026</v>
      </c>
      <c r="D5155" s="170" t="s">
        <v>4567</v>
      </c>
      <c r="E5155" s="5" t="str">
        <f>VLOOKUP(F5155,'Set up'!$A$2:$C$100,2,FALSE)</f>
        <v>C00000019</v>
      </c>
      <c r="F5155" s="150" t="s">
        <v>400</v>
      </c>
      <c r="G5155" s="150" t="s">
        <v>2449</v>
      </c>
      <c r="H5155" s="150">
        <v>1</v>
      </c>
      <c r="I5155" s="5" t="str">
        <f>VLOOKUP(F5155,'Set up'!$A$2:$C$100,3,FALSE)</f>
        <v>Cash</v>
      </c>
      <c r="J5155" s="5">
        <f>VLOOKUP(F5155,'Set up'!$A$2:$D$100,4,FALSE)</f>
        <v>0</v>
      </c>
      <c r="K5155" s="4">
        <f t="shared" si="1158"/>
        <v>46100</v>
      </c>
      <c r="L5155" s="5">
        <f t="shared" si="1159"/>
        <v>3</v>
      </c>
      <c r="M5155" s="5">
        <f t="shared" si="1160"/>
        <v>2026</v>
      </c>
      <c r="N5155" s="156">
        <v>420</v>
      </c>
      <c r="P5155" s="12"/>
      <c r="Q5155" s="7">
        <f t="shared" si="1161"/>
        <v>8392227.5500000138</v>
      </c>
      <c r="R5155" s="44" t="str">
        <f>VLOOKUP(F5155,'Set up'!$A$2:$E$100,5,FALSE)</f>
        <v>Trsf</v>
      </c>
    </row>
    <row r="5156" spans="1:18" ht="16.8" customHeight="1" x14ac:dyDescent="0.3">
      <c r="A5156" s="151" t="s">
        <v>4545</v>
      </c>
      <c r="B5156" s="5">
        <f t="shared" si="1156"/>
        <v>3</v>
      </c>
      <c r="C5156" s="5">
        <f t="shared" si="1157"/>
        <v>2026</v>
      </c>
      <c r="D5156" s="170" t="s">
        <v>4568</v>
      </c>
      <c r="E5156" s="5" t="str">
        <f>VLOOKUP(F5156,'Set up'!$A$2:$C$100,2,FALSE)</f>
        <v>C00000042</v>
      </c>
      <c r="F5156" s="150" t="s">
        <v>2012</v>
      </c>
      <c r="G5156" s="150" t="s">
        <v>2646</v>
      </c>
      <c r="H5156" s="150">
        <v>2</v>
      </c>
      <c r="I5156" s="5" t="str">
        <f>VLOOKUP(F5156,'Set up'!$A$2:$C$100,3,FALSE)</f>
        <v>Cash</v>
      </c>
      <c r="J5156" s="5">
        <f>VLOOKUP(F5156,'Set up'!$A$2:$D$100,4,FALSE)</f>
        <v>0</v>
      </c>
      <c r="K5156" s="4">
        <f t="shared" si="1158"/>
        <v>46100</v>
      </c>
      <c r="L5156" s="5">
        <f t="shared" si="1159"/>
        <v>3</v>
      </c>
      <c r="M5156" s="5">
        <f t="shared" si="1160"/>
        <v>2026</v>
      </c>
      <c r="N5156" s="156">
        <v>125</v>
      </c>
      <c r="P5156" s="12"/>
      <c r="Q5156" s="7">
        <f t="shared" si="1161"/>
        <v>8392352.5500000138</v>
      </c>
      <c r="R5156" s="44" t="str">
        <f>VLOOKUP(F5156,'Set up'!$A$2:$E$100,5,FALSE)</f>
        <v>Trsf</v>
      </c>
    </row>
    <row r="5157" spans="1:18" ht="16.8" customHeight="1" x14ac:dyDescent="0.3">
      <c r="A5157" s="151" t="s">
        <v>4545</v>
      </c>
      <c r="B5157" s="5">
        <f t="shared" si="1156"/>
        <v>3</v>
      </c>
      <c r="C5157" s="5">
        <f t="shared" si="1157"/>
        <v>2026</v>
      </c>
      <c r="D5157" s="170" t="s">
        <v>4569</v>
      </c>
      <c r="E5157" s="5" t="str">
        <f>VLOOKUP(F5157,'Set up'!$A$2:$C$100,2,FALSE)</f>
        <v>C00000042</v>
      </c>
      <c r="F5157" s="150" t="s">
        <v>2012</v>
      </c>
      <c r="G5157" s="150" t="s">
        <v>3645</v>
      </c>
      <c r="H5157" s="150">
        <v>4</v>
      </c>
      <c r="I5157" s="5" t="str">
        <f>VLOOKUP(F5157,'Set up'!$A$2:$C$100,3,FALSE)</f>
        <v>Cash</v>
      </c>
      <c r="J5157" s="5">
        <f>VLOOKUP(F5157,'Set up'!$A$2:$D$100,4,FALSE)</f>
        <v>0</v>
      </c>
      <c r="K5157" s="4">
        <f t="shared" si="1158"/>
        <v>46100</v>
      </c>
      <c r="L5157" s="5">
        <f t="shared" si="1159"/>
        <v>3</v>
      </c>
      <c r="M5157" s="5">
        <f t="shared" si="1160"/>
        <v>2026</v>
      </c>
      <c r="N5157" s="156">
        <v>6750</v>
      </c>
      <c r="P5157" s="12"/>
      <c r="Q5157" s="7">
        <f t="shared" si="1161"/>
        <v>8399102.5500000138</v>
      </c>
      <c r="R5157" s="44" t="str">
        <f>VLOOKUP(F5157,'Set up'!$A$2:$E$100,5,FALSE)</f>
        <v>Trsf</v>
      </c>
    </row>
    <row r="5158" spans="1:18" ht="16.8" customHeight="1" x14ac:dyDescent="0.3">
      <c r="A5158" s="151" t="s">
        <v>4545</v>
      </c>
      <c r="B5158" s="5">
        <f t="shared" si="1156"/>
        <v>3</v>
      </c>
      <c r="C5158" s="5">
        <f t="shared" si="1157"/>
        <v>2026</v>
      </c>
      <c r="D5158" s="170" t="s">
        <v>4569</v>
      </c>
      <c r="E5158" s="5" t="str">
        <f>VLOOKUP(F5158,'Set up'!$A$2:$C$100,2,FALSE)</f>
        <v>C00000042</v>
      </c>
      <c r="F5158" s="150" t="s">
        <v>2012</v>
      </c>
      <c r="G5158" s="150" t="s">
        <v>1392</v>
      </c>
      <c r="H5158" s="150">
        <v>15</v>
      </c>
      <c r="I5158" s="5" t="str">
        <f>VLOOKUP(F5158,'Set up'!$A$2:$C$100,3,FALSE)</f>
        <v>Cash</v>
      </c>
      <c r="J5158" s="5">
        <f>VLOOKUP(F5158,'Set up'!$A$2:$D$100,4,FALSE)</f>
        <v>0</v>
      </c>
      <c r="K5158" s="4">
        <f t="shared" si="1158"/>
        <v>46100</v>
      </c>
      <c r="L5158" s="5">
        <f t="shared" si="1159"/>
        <v>3</v>
      </c>
      <c r="M5158" s="5">
        <f t="shared" si="1160"/>
        <v>2026</v>
      </c>
      <c r="N5158" s="156">
        <v>2610</v>
      </c>
      <c r="P5158" s="12"/>
      <c r="Q5158" s="7">
        <f t="shared" si="1161"/>
        <v>8401712.5500000138</v>
      </c>
      <c r="R5158" s="44" t="str">
        <f>VLOOKUP(F5158,'Set up'!$A$2:$E$100,5,FALSE)</f>
        <v>Trsf</v>
      </c>
    </row>
    <row r="5159" spans="1:18" ht="16.8" customHeight="1" x14ac:dyDescent="0.3">
      <c r="A5159" s="151" t="s">
        <v>4545</v>
      </c>
      <c r="B5159" s="5">
        <f t="shared" ref="B5159:B5196" si="1168">MONTH(A5159)</f>
        <v>3</v>
      </c>
      <c r="C5159" s="5">
        <f t="shared" ref="C5159:C5196" si="1169">YEAR(A5159)</f>
        <v>2026</v>
      </c>
      <c r="D5159" s="170" t="s">
        <v>4569</v>
      </c>
      <c r="E5159" s="5" t="str">
        <f>VLOOKUP(F5159,'Set up'!$A$2:$C$100,2,FALSE)</f>
        <v>C00000042</v>
      </c>
      <c r="F5159" s="150" t="s">
        <v>2012</v>
      </c>
      <c r="G5159" s="150" t="s">
        <v>1922</v>
      </c>
      <c r="H5159" s="150">
        <v>6</v>
      </c>
      <c r="I5159" s="5" t="str">
        <f>VLOOKUP(F5159,'Set up'!$A$2:$C$100,3,FALSE)</f>
        <v>Cash</v>
      </c>
      <c r="J5159" s="5">
        <f>VLOOKUP(F5159,'Set up'!$A$2:$D$100,4,FALSE)</f>
        <v>0</v>
      </c>
      <c r="K5159" s="4">
        <f t="shared" ref="K5159:K5196" si="1170">A5159+J5159</f>
        <v>46100</v>
      </c>
      <c r="L5159" s="5">
        <f t="shared" ref="L5159:L5196" si="1171">MONTH(K5159)</f>
        <v>3</v>
      </c>
      <c r="M5159" s="5">
        <f t="shared" ref="M5159:M5196" si="1172">YEAR(K5159)</f>
        <v>2026</v>
      </c>
      <c r="N5159" s="156">
        <v>1242</v>
      </c>
      <c r="P5159" s="12"/>
      <c r="Q5159" s="7">
        <f t="shared" ref="Q5159:Q5196" si="1173">SUM(Q5158+N5159)</f>
        <v>8402954.5500000138</v>
      </c>
      <c r="R5159" s="44" t="str">
        <f>VLOOKUP(F5159,'Set up'!$A$2:$E$100,5,FALSE)</f>
        <v>Trsf</v>
      </c>
    </row>
    <row r="5160" spans="1:18" ht="16.8" customHeight="1" x14ac:dyDescent="0.3">
      <c r="A5160" s="151" t="s">
        <v>4545</v>
      </c>
      <c r="B5160" s="5">
        <f t="shared" si="1168"/>
        <v>3</v>
      </c>
      <c r="C5160" s="5">
        <f t="shared" si="1169"/>
        <v>2026</v>
      </c>
      <c r="D5160" s="170" t="s">
        <v>4569</v>
      </c>
      <c r="E5160" s="5" t="str">
        <f>VLOOKUP(F5160,'Set up'!$A$2:$C$100,2,FALSE)</f>
        <v>C00000042</v>
      </c>
      <c r="F5160" s="150" t="s">
        <v>2012</v>
      </c>
      <c r="G5160" s="150" t="s">
        <v>46</v>
      </c>
      <c r="H5160" s="150">
        <v>4</v>
      </c>
      <c r="I5160" s="5" t="str">
        <f>VLOOKUP(F5160,'Set up'!$A$2:$C$100,3,FALSE)</f>
        <v>Cash</v>
      </c>
      <c r="J5160" s="5">
        <f>VLOOKUP(F5160,'Set up'!$A$2:$D$100,4,FALSE)</f>
        <v>0</v>
      </c>
      <c r="K5160" s="4">
        <f t="shared" si="1170"/>
        <v>46100</v>
      </c>
      <c r="L5160" s="5">
        <f t="shared" si="1171"/>
        <v>3</v>
      </c>
      <c r="M5160" s="5">
        <f t="shared" si="1172"/>
        <v>2026</v>
      </c>
      <c r="N5160" s="156">
        <v>460</v>
      </c>
      <c r="P5160" s="12"/>
      <c r="Q5160" s="7">
        <f t="shared" si="1173"/>
        <v>8403414.5500000138</v>
      </c>
      <c r="R5160" s="44" t="str">
        <f>VLOOKUP(F5160,'Set up'!$A$2:$E$100,5,FALSE)</f>
        <v>Trsf</v>
      </c>
    </row>
    <row r="5161" spans="1:18" ht="16.8" customHeight="1" x14ac:dyDescent="0.3">
      <c r="A5161" s="151" t="s">
        <v>4545</v>
      </c>
      <c r="B5161" s="5">
        <f t="shared" si="1168"/>
        <v>3</v>
      </c>
      <c r="C5161" s="5">
        <f t="shared" si="1169"/>
        <v>2026</v>
      </c>
      <c r="D5161" s="170" t="s">
        <v>4569</v>
      </c>
      <c r="E5161" s="5" t="str">
        <f>VLOOKUP(F5161,'Set up'!$A$2:$C$100,2,FALSE)</f>
        <v>C00000042</v>
      </c>
      <c r="F5161" s="150" t="s">
        <v>2012</v>
      </c>
      <c r="G5161" s="150" t="s">
        <v>1073</v>
      </c>
      <c r="H5161" s="150">
        <v>1</v>
      </c>
      <c r="I5161" s="5" t="str">
        <f>VLOOKUP(F5161,'Set up'!$A$2:$C$100,3,FALSE)</f>
        <v>Cash</v>
      </c>
      <c r="J5161" s="5">
        <f>VLOOKUP(F5161,'Set up'!$A$2:$D$100,4,FALSE)</f>
        <v>0</v>
      </c>
      <c r="K5161" s="4">
        <f t="shared" si="1170"/>
        <v>46100</v>
      </c>
      <c r="L5161" s="5">
        <f t="shared" si="1171"/>
        <v>3</v>
      </c>
      <c r="M5161" s="5">
        <f t="shared" si="1172"/>
        <v>2026</v>
      </c>
      <c r="N5161" s="156">
        <v>1050</v>
      </c>
      <c r="P5161" s="12"/>
      <c r="Q5161" s="7">
        <f t="shared" si="1173"/>
        <v>8404464.5500000138</v>
      </c>
      <c r="R5161" s="44" t="str">
        <f>VLOOKUP(F5161,'Set up'!$A$2:$E$100,5,FALSE)</f>
        <v>Trsf</v>
      </c>
    </row>
    <row r="5162" spans="1:18" ht="16.8" customHeight="1" x14ac:dyDescent="0.3">
      <c r="A5162" s="151" t="s">
        <v>4545</v>
      </c>
      <c r="B5162" s="5">
        <f t="shared" si="1168"/>
        <v>3</v>
      </c>
      <c r="C5162" s="5">
        <f t="shared" si="1169"/>
        <v>2026</v>
      </c>
      <c r="D5162" s="170" t="s">
        <v>4569</v>
      </c>
      <c r="E5162" s="5" t="str">
        <f>VLOOKUP(F5162,'Set up'!$A$2:$C$100,2,FALSE)</f>
        <v>C00000042</v>
      </c>
      <c r="F5162" s="150" t="s">
        <v>2012</v>
      </c>
      <c r="G5162" s="150" t="s">
        <v>4580</v>
      </c>
      <c r="H5162" s="150">
        <v>1</v>
      </c>
      <c r="I5162" s="5" t="str">
        <f>VLOOKUP(F5162,'Set up'!$A$2:$C$100,3,FALSE)</f>
        <v>Cash</v>
      </c>
      <c r="J5162" s="5">
        <f>VLOOKUP(F5162,'Set up'!$A$2:$D$100,4,FALSE)</f>
        <v>0</v>
      </c>
      <c r="K5162" s="4">
        <f t="shared" si="1170"/>
        <v>46100</v>
      </c>
      <c r="L5162" s="5">
        <f t="shared" si="1171"/>
        <v>3</v>
      </c>
      <c r="M5162" s="5">
        <f t="shared" si="1172"/>
        <v>2026</v>
      </c>
      <c r="N5162" s="156">
        <v>1000</v>
      </c>
      <c r="P5162" s="12"/>
      <c r="Q5162" s="7">
        <f t="shared" si="1173"/>
        <v>8405464.5500000138</v>
      </c>
      <c r="R5162" s="44" t="str">
        <f>VLOOKUP(F5162,'Set up'!$A$2:$E$100,5,FALSE)</f>
        <v>Trsf</v>
      </c>
    </row>
    <row r="5163" spans="1:18" ht="16.8" customHeight="1" x14ac:dyDescent="0.3">
      <c r="A5163" s="151" t="s">
        <v>4546</v>
      </c>
      <c r="B5163" s="5">
        <f t="shared" si="1168"/>
        <v>3</v>
      </c>
      <c r="C5163" s="5">
        <f t="shared" si="1169"/>
        <v>2026</v>
      </c>
      <c r="D5163" s="170" t="s">
        <v>4570</v>
      </c>
      <c r="E5163" s="5" t="str">
        <f>VLOOKUP(F5163,'Set up'!$A$2:$C$100,2,FALSE)</f>
        <v>C00000042</v>
      </c>
      <c r="F5163" s="150" t="s">
        <v>2012</v>
      </c>
      <c r="G5163" s="150" t="s">
        <v>2646</v>
      </c>
      <c r="H5163" s="150">
        <v>5</v>
      </c>
      <c r="I5163" s="5" t="str">
        <f>VLOOKUP(F5163,'Set up'!$A$2:$C$100,3,FALSE)</f>
        <v>Cash</v>
      </c>
      <c r="J5163" s="5">
        <f>VLOOKUP(F5163,'Set up'!$A$2:$D$100,4,FALSE)</f>
        <v>0</v>
      </c>
      <c r="K5163" s="4">
        <f t="shared" si="1170"/>
        <v>46105</v>
      </c>
      <c r="L5163" s="5">
        <f t="shared" si="1171"/>
        <v>3</v>
      </c>
      <c r="M5163" s="5">
        <f t="shared" si="1172"/>
        <v>2026</v>
      </c>
      <c r="N5163" s="156">
        <v>312.5</v>
      </c>
      <c r="P5163" s="12"/>
      <c r="Q5163" s="7">
        <f t="shared" si="1173"/>
        <v>8405777.0500000138</v>
      </c>
      <c r="R5163" s="44" t="str">
        <f>VLOOKUP(F5163,'Set up'!$A$2:$E$100,5,FALSE)</f>
        <v>Trsf</v>
      </c>
    </row>
    <row r="5164" spans="1:18" ht="16.8" customHeight="1" x14ac:dyDescent="0.3">
      <c r="A5164" s="151" t="s">
        <v>4546</v>
      </c>
      <c r="B5164" s="5">
        <f t="shared" si="1168"/>
        <v>3</v>
      </c>
      <c r="C5164" s="5">
        <f t="shared" si="1169"/>
        <v>2026</v>
      </c>
      <c r="D5164" s="170" t="s">
        <v>4571</v>
      </c>
      <c r="E5164" s="5" t="str">
        <f>VLOOKUP(F5164,'Set up'!$A$2:$C$100,2,FALSE)</f>
        <v>C00000042</v>
      </c>
      <c r="F5164" s="150" t="s">
        <v>2012</v>
      </c>
      <c r="G5164" s="150" t="s">
        <v>3645</v>
      </c>
      <c r="H5164" s="150">
        <v>10</v>
      </c>
      <c r="I5164" s="5" t="str">
        <f>VLOOKUP(F5164,'Set up'!$A$2:$C$100,3,FALSE)</f>
        <v>Cash</v>
      </c>
      <c r="J5164" s="5">
        <f>VLOOKUP(F5164,'Set up'!$A$2:$D$100,4,FALSE)</f>
        <v>0</v>
      </c>
      <c r="K5164" s="4">
        <f t="shared" si="1170"/>
        <v>46105</v>
      </c>
      <c r="L5164" s="5">
        <f t="shared" si="1171"/>
        <v>3</v>
      </c>
      <c r="M5164" s="5">
        <f t="shared" si="1172"/>
        <v>2026</v>
      </c>
      <c r="N5164" s="156">
        <v>16875</v>
      </c>
      <c r="P5164" s="12"/>
      <c r="Q5164" s="7">
        <f t="shared" si="1173"/>
        <v>8422652.0500000138</v>
      </c>
      <c r="R5164" s="44" t="str">
        <f>VLOOKUP(F5164,'Set up'!$A$2:$E$100,5,FALSE)</f>
        <v>Trsf</v>
      </c>
    </row>
    <row r="5165" spans="1:18" ht="16.8" customHeight="1" x14ac:dyDescent="0.3">
      <c r="A5165" s="151" t="s">
        <v>4546</v>
      </c>
      <c r="B5165" s="5">
        <f t="shared" si="1168"/>
        <v>3</v>
      </c>
      <c r="C5165" s="5">
        <f t="shared" si="1169"/>
        <v>2026</v>
      </c>
      <c r="D5165" s="170" t="s">
        <v>4571</v>
      </c>
      <c r="E5165" s="5" t="str">
        <f>VLOOKUP(F5165,'Set up'!$A$2:$C$100,2,FALSE)</f>
        <v>C00000042</v>
      </c>
      <c r="F5165" s="150" t="s">
        <v>2012</v>
      </c>
      <c r="G5165" s="150" t="s">
        <v>1922</v>
      </c>
      <c r="H5165" s="150">
        <v>20</v>
      </c>
      <c r="I5165" s="5" t="str">
        <f>VLOOKUP(F5165,'Set up'!$A$2:$C$100,3,FALSE)</f>
        <v>Cash</v>
      </c>
      <c r="J5165" s="5">
        <f>VLOOKUP(F5165,'Set up'!$A$2:$D$100,4,FALSE)</f>
        <v>0</v>
      </c>
      <c r="K5165" s="4">
        <f t="shared" si="1170"/>
        <v>46105</v>
      </c>
      <c r="L5165" s="5">
        <f t="shared" si="1171"/>
        <v>3</v>
      </c>
      <c r="M5165" s="5">
        <f t="shared" si="1172"/>
        <v>2026</v>
      </c>
      <c r="N5165" s="156">
        <v>4140</v>
      </c>
      <c r="P5165" s="12"/>
      <c r="Q5165" s="7">
        <f t="shared" si="1173"/>
        <v>8426792.0500000138</v>
      </c>
      <c r="R5165" s="44" t="str">
        <f>VLOOKUP(F5165,'Set up'!$A$2:$E$100,5,FALSE)</f>
        <v>Trsf</v>
      </c>
    </row>
    <row r="5166" spans="1:18" ht="16.8" customHeight="1" x14ac:dyDescent="0.3">
      <c r="A5166" s="151" t="s">
        <v>4546</v>
      </c>
      <c r="B5166" s="5">
        <f t="shared" si="1168"/>
        <v>3</v>
      </c>
      <c r="C5166" s="5">
        <f t="shared" si="1169"/>
        <v>2026</v>
      </c>
      <c r="D5166" s="170" t="s">
        <v>4571</v>
      </c>
      <c r="E5166" s="5" t="str">
        <f>VLOOKUP(F5166,'Set up'!$A$2:$C$100,2,FALSE)</f>
        <v>C00000042</v>
      </c>
      <c r="F5166" s="150" t="s">
        <v>2012</v>
      </c>
      <c r="G5166" s="150" t="s">
        <v>46</v>
      </c>
      <c r="H5166" s="150">
        <v>4</v>
      </c>
      <c r="I5166" s="5" t="str">
        <f>VLOOKUP(F5166,'Set up'!$A$2:$C$100,3,FALSE)</f>
        <v>Cash</v>
      </c>
      <c r="J5166" s="5">
        <f>VLOOKUP(F5166,'Set up'!$A$2:$D$100,4,FALSE)</f>
        <v>0</v>
      </c>
      <c r="K5166" s="4">
        <f t="shared" si="1170"/>
        <v>46105</v>
      </c>
      <c r="L5166" s="5">
        <f t="shared" si="1171"/>
        <v>3</v>
      </c>
      <c r="M5166" s="5">
        <f t="shared" si="1172"/>
        <v>2026</v>
      </c>
      <c r="N5166" s="156">
        <v>460</v>
      </c>
      <c r="P5166" s="12"/>
      <c r="Q5166" s="7">
        <f t="shared" si="1173"/>
        <v>8427252.0500000138</v>
      </c>
      <c r="R5166" s="44" t="str">
        <f>VLOOKUP(F5166,'Set up'!$A$2:$E$100,5,FALSE)</f>
        <v>Trsf</v>
      </c>
    </row>
    <row r="5167" spans="1:18" ht="16.8" customHeight="1" x14ac:dyDescent="0.3">
      <c r="A5167" s="151" t="s">
        <v>4546</v>
      </c>
      <c r="B5167" s="5">
        <f t="shared" si="1168"/>
        <v>3</v>
      </c>
      <c r="C5167" s="5">
        <f t="shared" si="1169"/>
        <v>2026</v>
      </c>
      <c r="D5167" s="170" t="s">
        <v>4571</v>
      </c>
      <c r="E5167" s="5" t="str">
        <f>VLOOKUP(F5167,'Set up'!$A$2:$C$100,2,FALSE)</f>
        <v>C00000042</v>
      </c>
      <c r="F5167" s="150" t="s">
        <v>2012</v>
      </c>
      <c r="G5167" s="150" t="s">
        <v>1073</v>
      </c>
      <c r="H5167" s="150">
        <v>1</v>
      </c>
      <c r="I5167" s="5" t="str">
        <f>VLOOKUP(F5167,'Set up'!$A$2:$C$100,3,FALSE)</f>
        <v>Cash</v>
      </c>
      <c r="J5167" s="5">
        <f>VLOOKUP(F5167,'Set up'!$A$2:$D$100,4,FALSE)</f>
        <v>0</v>
      </c>
      <c r="K5167" s="4">
        <f t="shared" si="1170"/>
        <v>46105</v>
      </c>
      <c r="L5167" s="5">
        <f t="shared" si="1171"/>
        <v>3</v>
      </c>
      <c r="M5167" s="5">
        <f t="shared" si="1172"/>
        <v>2026</v>
      </c>
      <c r="N5167" s="156">
        <v>1050</v>
      </c>
      <c r="P5167" s="12"/>
      <c r="Q5167" s="7">
        <f t="shared" si="1173"/>
        <v>8428302.0500000138</v>
      </c>
      <c r="R5167" s="44" t="str">
        <f>VLOOKUP(F5167,'Set up'!$A$2:$E$100,5,FALSE)</f>
        <v>Trsf</v>
      </c>
    </row>
    <row r="5168" spans="1:18" ht="16.8" customHeight="1" x14ac:dyDescent="0.3">
      <c r="A5168" s="151" t="s">
        <v>4547</v>
      </c>
      <c r="B5168" s="5">
        <f t="shared" si="1168"/>
        <v>3</v>
      </c>
      <c r="C5168" s="5">
        <f t="shared" si="1169"/>
        <v>2026</v>
      </c>
      <c r="D5168" s="170" t="s">
        <v>4572</v>
      </c>
      <c r="E5168" s="5" t="str">
        <f>VLOOKUP(F5168,'Set up'!$A$2:$C$100,2,FALSE)</f>
        <v>C00000061</v>
      </c>
      <c r="F5168" s="150" t="s">
        <v>3532</v>
      </c>
      <c r="G5168" s="150" t="s">
        <v>3122</v>
      </c>
      <c r="H5168" s="150">
        <v>1</v>
      </c>
      <c r="I5168" s="5" t="str">
        <f>VLOOKUP(F5168,'Set up'!$A$2:$C$100,3,FALSE)</f>
        <v>Cash</v>
      </c>
      <c r="J5168" s="5">
        <f>VLOOKUP(F5168,'Set up'!$A$2:$D$100,4,FALSE)</f>
        <v>0</v>
      </c>
      <c r="K5168" s="4">
        <f t="shared" si="1170"/>
        <v>46107</v>
      </c>
      <c r="L5168" s="5">
        <f t="shared" si="1171"/>
        <v>3</v>
      </c>
      <c r="M5168" s="5">
        <f t="shared" si="1172"/>
        <v>2026</v>
      </c>
      <c r="N5168" s="156">
        <v>1845</v>
      </c>
      <c r="P5168" s="12"/>
      <c r="Q5168" s="7">
        <f t="shared" si="1173"/>
        <v>8430147.0500000138</v>
      </c>
      <c r="R5168" s="44" t="str">
        <f>VLOOKUP(F5168,'Set up'!$A$2:$E$100,5,FALSE)</f>
        <v>Cash</v>
      </c>
    </row>
    <row r="5169" spans="1:18" ht="16.8" customHeight="1" x14ac:dyDescent="0.3">
      <c r="A5169" s="151" t="s">
        <v>4547</v>
      </c>
      <c r="B5169" s="5">
        <f t="shared" si="1168"/>
        <v>3</v>
      </c>
      <c r="C5169" s="5">
        <f t="shared" si="1169"/>
        <v>2026</v>
      </c>
      <c r="D5169" s="170" t="s">
        <v>4572</v>
      </c>
      <c r="E5169" s="5" t="str">
        <f>VLOOKUP(F5169,'Set up'!$A$2:$C$100,2,FALSE)</f>
        <v>C00000061</v>
      </c>
      <c r="F5169" s="150" t="s">
        <v>3532</v>
      </c>
      <c r="G5169" s="150" t="s">
        <v>3639</v>
      </c>
      <c r="H5169" s="150">
        <v>1</v>
      </c>
      <c r="I5169" s="5" t="str">
        <f>VLOOKUP(F5169,'Set up'!$A$2:$C$100,3,FALSE)</f>
        <v>Cash</v>
      </c>
      <c r="J5169" s="5">
        <f>VLOOKUP(F5169,'Set up'!$A$2:$D$100,4,FALSE)</f>
        <v>0</v>
      </c>
      <c r="K5169" s="4">
        <f t="shared" si="1170"/>
        <v>46107</v>
      </c>
      <c r="L5169" s="5">
        <f t="shared" si="1171"/>
        <v>3</v>
      </c>
      <c r="M5169" s="5">
        <f t="shared" si="1172"/>
        <v>2026</v>
      </c>
      <c r="N5169" s="156">
        <v>408.7</v>
      </c>
      <c r="P5169" s="12"/>
      <c r="Q5169" s="7">
        <f t="shared" si="1173"/>
        <v>8430555.750000013</v>
      </c>
      <c r="R5169" s="44" t="str">
        <f>VLOOKUP(F5169,'Set up'!$A$2:$E$100,5,FALSE)</f>
        <v>Cash</v>
      </c>
    </row>
    <row r="5170" spans="1:18" ht="16.8" customHeight="1" x14ac:dyDescent="0.3">
      <c r="A5170" s="151" t="s">
        <v>4547</v>
      </c>
      <c r="B5170" s="5">
        <f t="shared" si="1168"/>
        <v>3</v>
      </c>
      <c r="C5170" s="5">
        <f t="shared" si="1169"/>
        <v>2026</v>
      </c>
      <c r="D5170" s="170" t="s">
        <v>4572</v>
      </c>
      <c r="E5170" s="5" t="str">
        <f>VLOOKUP(F5170,'Set up'!$A$2:$C$100,2,FALSE)</f>
        <v>C00000061</v>
      </c>
      <c r="F5170" s="150" t="s">
        <v>3532</v>
      </c>
      <c r="G5170" s="150" t="s">
        <v>945</v>
      </c>
      <c r="H5170" s="150">
        <v>1</v>
      </c>
      <c r="I5170" s="5" t="str">
        <f>VLOOKUP(F5170,'Set up'!$A$2:$C$100,3,FALSE)</f>
        <v>Cash</v>
      </c>
      <c r="J5170" s="5">
        <f>VLOOKUP(F5170,'Set up'!$A$2:$D$100,4,FALSE)</f>
        <v>0</v>
      </c>
      <c r="K5170" s="4">
        <f t="shared" si="1170"/>
        <v>46107</v>
      </c>
      <c r="L5170" s="5">
        <f t="shared" si="1171"/>
        <v>3</v>
      </c>
      <c r="M5170" s="5">
        <f t="shared" si="1172"/>
        <v>2026</v>
      </c>
      <c r="N5170" s="156">
        <v>115</v>
      </c>
      <c r="P5170" s="12"/>
      <c r="Q5170" s="7">
        <f t="shared" si="1173"/>
        <v>8430670.750000013</v>
      </c>
      <c r="R5170" s="44" t="str">
        <f>VLOOKUP(F5170,'Set up'!$A$2:$E$100,5,FALSE)</f>
        <v>Cash</v>
      </c>
    </row>
    <row r="5171" spans="1:18" ht="16.8" customHeight="1" x14ac:dyDescent="0.3">
      <c r="A5171" s="151" t="s">
        <v>4547</v>
      </c>
      <c r="B5171" s="5">
        <f t="shared" si="1168"/>
        <v>3</v>
      </c>
      <c r="C5171" s="5">
        <f t="shared" si="1169"/>
        <v>2026</v>
      </c>
      <c r="D5171" s="170" t="s">
        <v>4572</v>
      </c>
      <c r="E5171" s="5" t="str">
        <f>VLOOKUP(F5171,'Set up'!$A$2:$C$100,2,FALSE)</f>
        <v>C00000061</v>
      </c>
      <c r="F5171" s="150" t="s">
        <v>3532</v>
      </c>
      <c r="G5171" s="150" t="s">
        <v>2635</v>
      </c>
      <c r="H5171" s="150">
        <v>5</v>
      </c>
      <c r="I5171" s="5" t="str">
        <f>VLOOKUP(F5171,'Set up'!$A$2:$C$100,3,FALSE)</f>
        <v>Cash</v>
      </c>
      <c r="J5171" s="5">
        <f>VLOOKUP(F5171,'Set up'!$A$2:$D$100,4,FALSE)</f>
        <v>0</v>
      </c>
      <c r="K5171" s="4">
        <f t="shared" si="1170"/>
        <v>46107</v>
      </c>
      <c r="L5171" s="5">
        <f t="shared" si="1171"/>
        <v>3</v>
      </c>
      <c r="M5171" s="5">
        <f t="shared" si="1172"/>
        <v>2026</v>
      </c>
      <c r="N5171" s="156">
        <v>262.5</v>
      </c>
      <c r="P5171" s="12"/>
      <c r="Q5171" s="7">
        <f t="shared" si="1173"/>
        <v>8430933.250000013</v>
      </c>
      <c r="R5171" s="44" t="str">
        <f>VLOOKUP(F5171,'Set up'!$A$2:$E$100,5,FALSE)</f>
        <v>Cash</v>
      </c>
    </row>
    <row r="5172" spans="1:18" ht="16.8" customHeight="1" x14ac:dyDescent="0.3">
      <c r="A5172" s="151" t="s">
        <v>4548</v>
      </c>
      <c r="B5172" s="5">
        <f t="shared" si="1168"/>
        <v>3</v>
      </c>
      <c r="C5172" s="5">
        <f t="shared" si="1169"/>
        <v>2026</v>
      </c>
      <c r="D5172" s="170" t="s">
        <v>4573</v>
      </c>
      <c r="E5172" s="5" t="e">
        <f>VLOOKUP(F5172,'Set up'!$A$2:$C$100,2,FALSE)</f>
        <v>#N/A</v>
      </c>
      <c r="F5172" s="150" t="s">
        <v>4130</v>
      </c>
      <c r="G5172" s="150" t="s">
        <v>3122</v>
      </c>
      <c r="H5172" s="150">
        <v>1</v>
      </c>
      <c r="I5172" s="5" t="e">
        <f>VLOOKUP(F5172,'Set up'!$A$2:$C$100,3,FALSE)</f>
        <v>#N/A</v>
      </c>
      <c r="J5172" s="5" t="e">
        <f>VLOOKUP(F5172,'Set up'!$A$2:$D$100,4,FALSE)</f>
        <v>#N/A</v>
      </c>
      <c r="K5172" s="4" t="e">
        <f t="shared" si="1170"/>
        <v>#N/A</v>
      </c>
      <c r="L5172" s="5" t="e">
        <f t="shared" si="1171"/>
        <v>#N/A</v>
      </c>
      <c r="M5172" s="5" t="e">
        <f t="shared" si="1172"/>
        <v>#N/A</v>
      </c>
      <c r="N5172" s="156">
        <v>1822.5</v>
      </c>
      <c r="P5172" s="12"/>
      <c r="Q5172" s="7">
        <f t="shared" si="1173"/>
        <v>8432755.750000013</v>
      </c>
      <c r="R5172" s="44" t="e">
        <f>VLOOKUP(F5172,'Set up'!$A$2:$E$100,5,FALSE)</f>
        <v>#N/A</v>
      </c>
    </row>
    <row r="5173" spans="1:18" ht="16.8" customHeight="1" x14ac:dyDescent="0.3">
      <c r="A5173" s="151" t="s">
        <v>4548</v>
      </c>
      <c r="B5173" s="5">
        <f t="shared" si="1168"/>
        <v>3</v>
      </c>
      <c r="C5173" s="5">
        <f t="shared" si="1169"/>
        <v>2026</v>
      </c>
      <c r="D5173" s="170" t="s">
        <v>4573</v>
      </c>
      <c r="E5173" s="5" t="e">
        <f>VLOOKUP(F5173,'Set up'!$A$2:$C$100,2,FALSE)</f>
        <v>#N/A</v>
      </c>
      <c r="F5173" s="150" t="s">
        <v>4130</v>
      </c>
      <c r="G5173" s="150" t="s">
        <v>2556</v>
      </c>
      <c r="H5173" s="150">
        <v>1</v>
      </c>
      <c r="I5173" s="5" t="e">
        <f>VLOOKUP(F5173,'Set up'!$A$2:$C$100,3,FALSE)</f>
        <v>#N/A</v>
      </c>
      <c r="J5173" s="5" t="e">
        <f>VLOOKUP(F5173,'Set up'!$A$2:$D$100,4,FALSE)</f>
        <v>#N/A</v>
      </c>
      <c r="K5173" s="4" t="e">
        <f t="shared" si="1170"/>
        <v>#N/A</v>
      </c>
      <c r="L5173" s="5" t="e">
        <f t="shared" si="1171"/>
        <v>#N/A</v>
      </c>
      <c r="M5173" s="5" t="e">
        <f t="shared" si="1172"/>
        <v>#N/A</v>
      </c>
      <c r="N5173" s="156">
        <v>394.2</v>
      </c>
      <c r="P5173" s="12"/>
      <c r="Q5173" s="7">
        <f t="shared" si="1173"/>
        <v>8433149.9500000123</v>
      </c>
      <c r="R5173" s="44" t="e">
        <f>VLOOKUP(F5173,'Set up'!$A$2:$E$100,5,FALSE)</f>
        <v>#N/A</v>
      </c>
    </row>
    <row r="5174" spans="1:18" ht="16.8" customHeight="1" x14ac:dyDescent="0.3">
      <c r="A5174" s="151" t="s">
        <v>4548</v>
      </c>
      <c r="B5174" s="5">
        <f t="shared" si="1168"/>
        <v>3</v>
      </c>
      <c r="C5174" s="5">
        <f t="shared" si="1169"/>
        <v>2026</v>
      </c>
      <c r="D5174" s="170" t="s">
        <v>4573</v>
      </c>
      <c r="E5174" s="5" t="e">
        <f>VLOOKUP(F5174,'Set up'!$A$2:$C$100,2,FALSE)</f>
        <v>#N/A</v>
      </c>
      <c r="F5174" s="150" t="s">
        <v>4130</v>
      </c>
      <c r="G5174" s="150" t="s">
        <v>2144</v>
      </c>
      <c r="H5174" s="150">
        <v>1</v>
      </c>
      <c r="I5174" s="5" t="e">
        <f>VLOOKUP(F5174,'Set up'!$A$2:$C$100,3,FALSE)</f>
        <v>#N/A</v>
      </c>
      <c r="J5174" s="5" t="e">
        <f>VLOOKUP(F5174,'Set up'!$A$2:$D$100,4,FALSE)</f>
        <v>#N/A</v>
      </c>
      <c r="K5174" s="4" t="e">
        <f t="shared" si="1170"/>
        <v>#N/A</v>
      </c>
      <c r="L5174" s="5" t="e">
        <f t="shared" si="1171"/>
        <v>#N/A</v>
      </c>
      <c r="M5174" s="5" t="e">
        <f t="shared" si="1172"/>
        <v>#N/A</v>
      </c>
      <c r="N5174" s="156">
        <v>308</v>
      </c>
      <c r="P5174" s="12"/>
      <c r="Q5174" s="7">
        <f t="shared" si="1173"/>
        <v>8433457.9500000123</v>
      </c>
      <c r="R5174" s="44" t="e">
        <f>VLOOKUP(F5174,'Set up'!$A$2:$E$100,5,FALSE)</f>
        <v>#N/A</v>
      </c>
    </row>
    <row r="5175" spans="1:18" ht="16.8" customHeight="1" x14ac:dyDescent="0.3">
      <c r="A5175" s="151" t="s">
        <v>4548</v>
      </c>
      <c r="B5175" s="5">
        <f t="shared" si="1168"/>
        <v>3</v>
      </c>
      <c r="C5175" s="5">
        <f t="shared" si="1169"/>
        <v>2026</v>
      </c>
      <c r="D5175" s="170" t="s">
        <v>4573</v>
      </c>
      <c r="E5175" s="5" t="e">
        <f>VLOOKUP(F5175,'Set up'!$A$2:$C$100,2,FALSE)</f>
        <v>#N/A</v>
      </c>
      <c r="F5175" s="150" t="s">
        <v>4130</v>
      </c>
      <c r="G5175" s="150" t="s">
        <v>4204</v>
      </c>
      <c r="H5175" s="150">
        <v>1</v>
      </c>
      <c r="I5175" s="5" t="e">
        <f>VLOOKUP(F5175,'Set up'!$A$2:$C$100,3,FALSE)</f>
        <v>#N/A</v>
      </c>
      <c r="J5175" s="5" t="e">
        <f>VLOOKUP(F5175,'Set up'!$A$2:$D$100,4,FALSE)</f>
        <v>#N/A</v>
      </c>
      <c r="K5175" s="4" t="e">
        <f t="shared" si="1170"/>
        <v>#N/A</v>
      </c>
      <c r="L5175" s="5" t="e">
        <f t="shared" si="1171"/>
        <v>#N/A</v>
      </c>
      <c r="M5175" s="5" t="e">
        <f t="shared" si="1172"/>
        <v>#N/A</v>
      </c>
      <c r="N5175" s="156">
        <v>160</v>
      </c>
      <c r="P5175" s="12"/>
      <c r="Q5175" s="7">
        <f t="shared" si="1173"/>
        <v>8433617.9500000123</v>
      </c>
      <c r="R5175" s="44" t="e">
        <f>VLOOKUP(F5175,'Set up'!$A$2:$E$100,5,FALSE)</f>
        <v>#N/A</v>
      </c>
    </row>
    <row r="5176" spans="1:18" ht="16.8" customHeight="1" x14ac:dyDescent="0.3">
      <c r="A5176" s="151" t="s">
        <v>4548</v>
      </c>
      <c r="B5176" s="5">
        <f t="shared" si="1168"/>
        <v>3</v>
      </c>
      <c r="C5176" s="5">
        <f t="shared" si="1169"/>
        <v>2026</v>
      </c>
      <c r="D5176" s="170" t="s">
        <v>4574</v>
      </c>
      <c r="E5176" s="5" t="str">
        <f>VLOOKUP(F5176,'Set up'!$A$2:$C$100,2,FALSE)</f>
        <v>C00000044</v>
      </c>
      <c r="F5176" s="150" t="s">
        <v>2929</v>
      </c>
      <c r="G5176" s="150" t="s">
        <v>2738</v>
      </c>
      <c r="H5176" s="150">
        <v>5</v>
      </c>
      <c r="I5176" s="5" t="str">
        <f>VLOOKUP(F5176,'Set up'!$A$2:$C$100,3,FALSE)</f>
        <v>Cash</v>
      </c>
      <c r="J5176" s="5">
        <f>VLOOKUP(F5176,'Set up'!$A$2:$D$100,4,FALSE)</f>
        <v>0</v>
      </c>
      <c r="K5176" s="4">
        <f t="shared" si="1170"/>
        <v>46108</v>
      </c>
      <c r="L5176" s="5">
        <f t="shared" si="1171"/>
        <v>3</v>
      </c>
      <c r="M5176" s="5">
        <f t="shared" si="1172"/>
        <v>2026</v>
      </c>
      <c r="N5176" s="156">
        <v>875</v>
      </c>
      <c r="P5176" s="12"/>
      <c r="Q5176" s="7">
        <f t="shared" si="1173"/>
        <v>8434492.9500000123</v>
      </c>
      <c r="R5176" s="44" t="str">
        <f>VLOOKUP(F5176,'Set up'!$A$2:$E$100,5,FALSE)</f>
        <v>Cash</v>
      </c>
    </row>
    <row r="5177" spans="1:18" ht="16.8" customHeight="1" x14ac:dyDescent="0.3">
      <c r="A5177" s="151" t="s">
        <v>4548</v>
      </c>
      <c r="B5177" s="5">
        <f t="shared" si="1168"/>
        <v>3</v>
      </c>
      <c r="C5177" s="5">
        <f t="shared" si="1169"/>
        <v>2026</v>
      </c>
      <c r="D5177" s="170" t="s">
        <v>4574</v>
      </c>
      <c r="E5177" s="5" t="str">
        <f>VLOOKUP(F5177,'Set up'!$A$2:$C$100,2,FALSE)</f>
        <v>C00000044</v>
      </c>
      <c r="F5177" s="150" t="s">
        <v>2929</v>
      </c>
      <c r="G5177" s="150" t="s">
        <v>2570</v>
      </c>
      <c r="H5177" s="150">
        <v>1</v>
      </c>
      <c r="I5177" s="5" t="str">
        <f>VLOOKUP(F5177,'Set up'!$A$2:$C$100,3,FALSE)</f>
        <v>Cash</v>
      </c>
      <c r="J5177" s="5">
        <f>VLOOKUP(F5177,'Set up'!$A$2:$D$100,4,FALSE)</f>
        <v>0</v>
      </c>
      <c r="K5177" s="4">
        <f t="shared" si="1170"/>
        <v>46108</v>
      </c>
      <c r="L5177" s="5">
        <f t="shared" si="1171"/>
        <v>3</v>
      </c>
      <c r="M5177" s="5">
        <f t="shared" si="1172"/>
        <v>2026</v>
      </c>
      <c r="N5177" s="156">
        <v>216</v>
      </c>
      <c r="P5177" s="12"/>
      <c r="Q5177" s="7">
        <f t="shared" si="1173"/>
        <v>8434708.9500000123</v>
      </c>
      <c r="R5177" s="44" t="str">
        <f>VLOOKUP(F5177,'Set up'!$A$2:$E$100,5,FALSE)</f>
        <v>Cash</v>
      </c>
    </row>
    <row r="5178" spans="1:18" ht="16.8" customHeight="1" x14ac:dyDescent="0.3">
      <c r="A5178" s="151" t="s">
        <v>4548</v>
      </c>
      <c r="B5178" s="5">
        <f t="shared" si="1168"/>
        <v>3</v>
      </c>
      <c r="C5178" s="5">
        <f t="shared" si="1169"/>
        <v>2026</v>
      </c>
      <c r="D5178" s="170" t="s">
        <v>4574</v>
      </c>
      <c r="E5178" s="5" t="str">
        <f>VLOOKUP(F5178,'Set up'!$A$2:$C$100,2,FALSE)</f>
        <v>C00000044</v>
      </c>
      <c r="F5178" s="150" t="s">
        <v>2929</v>
      </c>
      <c r="G5178" s="150" t="s">
        <v>2144</v>
      </c>
      <c r="H5178" s="150">
        <v>1</v>
      </c>
      <c r="I5178" s="5" t="str">
        <f>VLOOKUP(F5178,'Set up'!$A$2:$C$100,3,FALSE)</f>
        <v>Cash</v>
      </c>
      <c r="J5178" s="5">
        <f>VLOOKUP(F5178,'Set up'!$A$2:$D$100,4,FALSE)</f>
        <v>0</v>
      </c>
      <c r="K5178" s="4">
        <f t="shared" si="1170"/>
        <v>46108</v>
      </c>
      <c r="L5178" s="5">
        <f t="shared" si="1171"/>
        <v>3</v>
      </c>
      <c r="M5178" s="5">
        <f t="shared" si="1172"/>
        <v>2026</v>
      </c>
      <c r="N5178" s="156">
        <v>308</v>
      </c>
      <c r="P5178" s="12"/>
      <c r="Q5178" s="7">
        <f t="shared" si="1173"/>
        <v>8435016.9500000123</v>
      </c>
      <c r="R5178" s="44" t="str">
        <f>VLOOKUP(F5178,'Set up'!$A$2:$E$100,5,FALSE)</f>
        <v>Cash</v>
      </c>
    </row>
    <row r="5179" spans="1:18" ht="16.8" customHeight="1" x14ac:dyDescent="0.3">
      <c r="A5179" s="151" t="s">
        <v>4549</v>
      </c>
      <c r="B5179" s="5">
        <f t="shared" si="1168"/>
        <v>3</v>
      </c>
      <c r="C5179" s="5">
        <f t="shared" si="1169"/>
        <v>2026</v>
      </c>
      <c r="D5179" s="170" t="s">
        <v>4575</v>
      </c>
      <c r="E5179" s="5" t="str">
        <f>VLOOKUP(F5179,'Set up'!$A$2:$C$100,2,FALSE)</f>
        <v>C00000050</v>
      </c>
      <c r="F5179" s="150" t="s">
        <v>2656</v>
      </c>
      <c r="G5179" s="150" t="s">
        <v>3615</v>
      </c>
      <c r="H5179" s="150">
        <v>1</v>
      </c>
      <c r="I5179" s="5" t="str">
        <f>VLOOKUP(F5179,'Set up'!$A$2:$C$100,3,FALSE)</f>
        <v>Cash</v>
      </c>
      <c r="J5179" s="5">
        <f>VLOOKUP(F5179,'Set up'!$A$2:$D$100,4,FALSE)</f>
        <v>0</v>
      </c>
      <c r="K5179" s="4">
        <f t="shared" si="1170"/>
        <v>46111</v>
      </c>
      <c r="L5179" s="5">
        <f t="shared" si="1171"/>
        <v>3</v>
      </c>
      <c r="M5179" s="5">
        <f t="shared" si="1172"/>
        <v>2026</v>
      </c>
      <c r="N5179" s="156">
        <v>1867.5</v>
      </c>
      <c r="P5179" s="12"/>
      <c r="Q5179" s="7">
        <f t="shared" si="1173"/>
        <v>8436884.4500000123</v>
      </c>
      <c r="R5179" s="44" t="str">
        <f>VLOOKUP(F5179,'Set up'!$A$2:$E$100,5,FALSE)</f>
        <v>Cash</v>
      </c>
    </row>
    <row r="5180" spans="1:18" ht="16.8" customHeight="1" x14ac:dyDescent="0.3">
      <c r="A5180" s="151" t="s">
        <v>4549</v>
      </c>
      <c r="B5180" s="5">
        <f t="shared" si="1168"/>
        <v>3</v>
      </c>
      <c r="C5180" s="5">
        <f t="shared" si="1169"/>
        <v>2026</v>
      </c>
      <c r="D5180" s="170" t="s">
        <v>4575</v>
      </c>
      <c r="E5180" s="5" t="str">
        <f>VLOOKUP(F5180,'Set up'!$A$2:$C$100,2,FALSE)</f>
        <v>C00000050</v>
      </c>
      <c r="F5180" s="150" t="s">
        <v>2656</v>
      </c>
      <c r="G5180" s="150" t="s">
        <v>2129</v>
      </c>
      <c r="H5180" s="150">
        <v>1</v>
      </c>
      <c r="I5180" s="5" t="str">
        <f>VLOOKUP(F5180,'Set up'!$A$2:$C$100,3,FALSE)</f>
        <v>Cash</v>
      </c>
      <c r="J5180" s="5">
        <f>VLOOKUP(F5180,'Set up'!$A$2:$D$100,4,FALSE)</f>
        <v>0</v>
      </c>
      <c r="K5180" s="4">
        <f t="shared" si="1170"/>
        <v>46111</v>
      </c>
      <c r="L5180" s="5">
        <f t="shared" si="1171"/>
        <v>3</v>
      </c>
      <c r="M5180" s="5">
        <f t="shared" si="1172"/>
        <v>2026</v>
      </c>
      <c r="N5180" s="156">
        <v>266.39999999999998</v>
      </c>
      <c r="P5180" s="12"/>
      <c r="Q5180" s="7">
        <f t="shared" si="1173"/>
        <v>8437150.8500000127</v>
      </c>
      <c r="R5180" s="44" t="str">
        <f>VLOOKUP(F5180,'Set up'!$A$2:$E$100,5,FALSE)</f>
        <v>Cash</v>
      </c>
    </row>
    <row r="5181" spans="1:18" ht="16.8" customHeight="1" x14ac:dyDescent="0.3">
      <c r="A5181" s="151" t="s">
        <v>4549</v>
      </c>
      <c r="B5181" s="5">
        <f t="shared" si="1168"/>
        <v>3</v>
      </c>
      <c r="C5181" s="5">
        <f t="shared" si="1169"/>
        <v>2026</v>
      </c>
      <c r="D5181" s="170" t="s">
        <v>4575</v>
      </c>
      <c r="E5181" s="5" t="str">
        <f>VLOOKUP(F5181,'Set up'!$A$2:$C$100,2,FALSE)</f>
        <v>C00000050</v>
      </c>
      <c r="F5181" s="150" t="s">
        <v>2656</v>
      </c>
      <c r="G5181" s="150" t="s">
        <v>945</v>
      </c>
      <c r="H5181" s="150">
        <v>1</v>
      </c>
      <c r="I5181" s="5" t="str">
        <f>VLOOKUP(F5181,'Set up'!$A$2:$C$100,3,FALSE)</f>
        <v>Cash</v>
      </c>
      <c r="J5181" s="5">
        <f>VLOOKUP(F5181,'Set up'!$A$2:$D$100,4,FALSE)</f>
        <v>0</v>
      </c>
      <c r="K5181" s="4">
        <f t="shared" si="1170"/>
        <v>46111</v>
      </c>
      <c r="L5181" s="5">
        <f t="shared" si="1171"/>
        <v>3</v>
      </c>
      <c r="M5181" s="5">
        <f t="shared" si="1172"/>
        <v>2026</v>
      </c>
      <c r="N5181" s="156">
        <v>115</v>
      </c>
      <c r="P5181" s="12"/>
      <c r="Q5181" s="7">
        <f t="shared" si="1173"/>
        <v>8437265.8500000127</v>
      </c>
      <c r="R5181" s="44" t="str">
        <f>VLOOKUP(F5181,'Set up'!$A$2:$E$100,5,FALSE)</f>
        <v>Cash</v>
      </c>
    </row>
    <row r="5182" spans="1:18" ht="16.8" customHeight="1" x14ac:dyDescent="0.3">
      <c r="A5182" s="151" t="s">
        <v>4549</v>
      </c>
      <c r="B5182" s="5">
        <f t="shared" si="1168"/>
        <v>3</v>
      </c>
      <c r="C5182" s="5">
        <f t="shared" si="1169"/>
        <v>2026</v>
      </c>
      <c r="D5182" s="170" t="s">
        <v>4575</v>
      </c>
      <c r="E5182" s="5" t="str">
        <f>VLOOKUP(F5182,'Set up'!$A$2:$C$100,2,FALSE)</f>
        <v>C00000050</v>
      </c>
      <c r="F5182" s="150" t="s">
        <v>2656</v>
      </c>
      <c r="G5182" s="150" t="s">
        <v>2646</v>
      </c>
      <c r="H5182" s="150">
        <v>5</v>
      </c>
      <c r="I5182" s="5" t="str">
        <f>VLOOKUP(F5182,'Set up'!$A$2:$C$100,3,FALSE)</f>
        <v>Cash</v>
      </c>
      <c r="J5182" s="5">
        <f>VLOOKUP(F5182,'Set up'!$A$2:$D$100,4,FALSE)</f>
        <v>0</v>
      </c>
      <c r="K5182" s="4">
        <f t="shared" si="1170"/>
        <v>46111</v>
      </c>
      <c r="L5182" s="5">
        <f t="shared" si="1171"/>
        <v>3</v>
      </c>
      <c r="M5182" s="5">
        <f t="shared" si="1172"/>
        <v>2026</v>
      </c>
      <c r="N5182" s="156">
        <v>312.5</v>
      </c>
      <c r="P5182" s="12"/>
      <c r="Q5182" s="7">
        <f t="shared" si="1173"/>
        <v>8437578.3500000127</v>
      </c>
      <c r="R5182" s="44" t="str">
        <f>VLOOKUP(F5182,'Set up'!$A$2:$E$100,5,FALSE)</f>
        <v>Cash</v>
      </c>
    </row>
    <row r="5183" spans="1:18" ht="16.8" customHeight="1" x14ac:dyDescent="0.3">
      <c r="A5183" s="151" t="s">
        <v>4549</v>
      </c>
      <c r="B5183" s="5">
        <f t="shared" si="1168"/>
        <v>3</v>
      </c>
      <c r="C5183" s="5">
        <f t="shared" si="1169"/>
        <v>2026</v>
      </c>
      <c r="D5183" s="170" t="s">
        <v>4576</v>
      </c>
      <c r="E5183" s="5" t="str">
        <f>VLOOKUP(F5183,'Set up'!$A$2:$C$100,2,FALSE)</f>
        <v>C00000042</v>
      </c>
      <c r="F5183" s="150" t="s">
        <v>2012</v>
      </c>
      <c r="G5183" s="150" t="s">
        <v>2646</v>
      </c>
      <c r="H5183" s="150">
        <v>4</v>
      </c>
      <c r="I5183" s="5" t="str">
        <f>VLOOKUP(F5183,'Set up'!$A$2:$C$100,3,FALSE)</f>
        <v>Cash</v>
      </c>
      <c r="J5183" s="5">
        <f>VLOOKUP(F5183,'Set up'!$A$2:$D$100,4,FALSE)</f>
        <v>0</v>
      </c>
      <c r="K5183" s="4">
        <f t="shared" si="1170"/>
        <v>46111</v>
      </c>
      <c r="L5183" s="5">
        <f t="shared" si="1171"/>
        <v>3</v>
      </c>
      <c r="M5183" s="5">
        <f t="shared" si="1172"/>
        <v>2026</v>
      </c>
      <c r="N5183" s="156">
        <v>250</v>
      </c>
      <c r="P5183" s="12"/>
      <c r="Q5183" s="7">
        <f t="shared" si="1173"/>
        <v>8437828.3500000127</v>
      </c>
      <c r="R5183" s="44" t="str">
        <f>VLOOKUP(F5183,'Set up'!$A$2:$E$100,5,FALSE)</f>
        <v>Trsf</v>
      </c>
    </row>
    <row r="5184" spans="1:18" ht="16.8" customHeight="1" x14ac:dyDescent="0.3">
      <c r="A5184" s="151" t="s">
        <v>4549</v>
      </c>
      <c r="B5184" s="5">
        <f t="shared" si="1168"/>
        <v>3</v>
      </c>
      <c r="C5184" s="5">
        <f t="shared" si="1169"/>
        <v>2026</v>
      </c>
      <c r="D5184" s="170" t="s">
        <v>4577</v>
      </c>
      <c r="E5184" s="5" t="str">
        <f>VLOOKUP(F5184,'Set up'!$A$2:$C$100,2,FALSE)</f>
        <v>C00000042</v>
      </c>
      <c r="F5184" s="150" t="s">
        <v>2012</v>
      </c>
      <c r="G5184" s="150" t="s">
        <v>3122</v>
      </c>
      <c r="H5184" s="150">
        <v>8</v>
      </c>
      <c r="I5184" s="5" t="str">
        <f>VLOOKUP(F5184,'Set up'!$A$2:$C$100,3,FALSE)</f>
        <v>Cash</v>
      </c>
      <c r="J5184" s="5">
        <f>VLOOKUP(F5184,'Set up'!$A$2:$D$100,4,FALSE)</f>
        <v>0</v>
      </c>
      <c r="K5184" s="4">
        <f t="shared" si="1170"/>
        <v>46111</v>
      </c>
      <c r="L5184" s="5">
        <f t="shared" si="1171"/>
        <v>3</v>
      </c>
      <c r="M5184" s="5">
        <f t="shared" si="1172"/>
        <v>2026</v>
      </c>
      <c r="N5184" s="156">
        <v>13500</v>
      </c>
      <c r="P5184" s="12"/>
      <c r="Q5184" s="7">
        <f t="shared" si="1173"/>
        <v>8451328.3500000127</v>
      </c>
      <c r="R5184" s="44" t="str">
        <f>VLOOKUP(F5184,'Set up'!$A$2:$E$100,5,FALSE)</f>
        <v>Trsf</v>
      </c>
    </row>
    <row r="5185" spans="1:18" ht="16.8" customHeight="1" x14ac:dyDescent="0.3">
      <c r="A5185" s="151" t="s">
        <v>4549</v>
      </c>
      <c r="B5185" s="5">
        <f t="shared" si="1168"/>
        <v>3</v>
      </c>
      <c r="C5185" s="5">
        <f t="shared" si="1169"/>
        <v>2026</v>
      </c>
      <c r="D5185" s="170" t="s">
        <v>4577</v>
      </c>
      <c r="E5185" s="5" t="str">
        <f>VLOOKUP(F5185,'Set up'!$A$2:$C$100,2,FALSE)</f>
        <v>C00000042</v>
      </c>
      <c r="F5185" s="150" t="s">
        <v>2012</v>
      </c>
      <c r="G5185" s="150" t="s">
        <v>1392</v>
      </c>
      <c r="H5185" s="150">
        <v>30</v>
      </c>
      <c r="I5185" s="5" t="str">
        <f>VLOOKUP(F5185,'Set up'!$A$2:$C$100,3,FALSE)</f>
        <v>Cash</v>
      </c>
      <c r="J5185" s="5">
        <f>VLOOKUP(F5185,'Set up'!$A$2:$D$100,4,FALSE)</f>
        <v>0</v>
      </c>
      <c r="K5185" s="4">
        <f t="shared" si="1170"/>
        <v>46111</v>
      </c>
      <c r="L5185" s="5">
        <f t="shared" si="1171"/>
        <v>3</v>
      </c>
      <c r="M5185" s="5">
        <f t="shared" si="1172"/>
        <v>2026</v>
      </c>
      <c r="N5185" s="156">
        <v>5220</v>
      </c>
      <c r="P5185" s="12"/>
      <c r="Q5185" s="7">
        <f t="shared" si="1173"/>
        <v>8456548.3500000127</v>
      </c>
      <c r="R5185" s="44" t="str">
        <f>VLOOKUP(F5185,'Set up'!$A$2:$E$100,5,FALSE)</f>
        <v>Trsf</v>
      </c>
    </row>
    <row r="5186" spans="1:18" ht="16.8" customHeight="1" x14ac:dyDescent="0.3">
      <c r="A5186" s="151" t="s">
        <v>4549</v>
      </c>
      <c r="B5186" s="5">
        <f t="shared" si="1168"/>
        <v>3</v>
      </c>
      <c r="C5186" s="5">
        <f t="shared" si="1169"/>
        <v>2026</v>
      </c>
      <c r="D5186" s="170" t="s">
        <v>4577</v>
      </c>
      <c r="E5186" s="5" t="str">
        <f>VLOOKUP(F5186,'Set up'!$A$2:$C$100,2,FALSE)</f>
        <v>C00000042</v>
      </c>
      <c r="F5186" s="150" t="s">
        <v>2012</v>
      </c>
      <c r="G5186" s="150" t="s">
        <v>1922</v>
      </c>
      <c r="H5186" s="150">
        <v>15</v>
      </c>
      <c r="I5186" s="5" t="str">
        <f>VLOOKUP(F5186,'Set up'!$A$2:$C$100,3,FALSE)</f>
        <v>Cash</v>
      </c>
      <c r="J5186" s="5">
        <f>VLOOKUP(F5186,'Set up'!$A$2:$D$100,4,FALSE)</f>
        <v>0</v>
      </c>
      <c r="K5186" s="4">
        <f t="shared" si="1170"/>
        <v>46111</v>
      </c>
      <c r="L5186" s="5">
        <f t="shared" si="1171"/>
        <v>3</v>
      </c>
      <c r="M5186" s="5">
        <f t="shared" si="1172"/>
        <v>2026</v>
      </c>
      <c r="N5186" s="156">
        <v>3105</v>
      </c>
      <c r="P5186" s="12"/>
      <c r="Q5186" s="7">
        <f t="shared" si="1173"/>
        <v>8459653.3500000127</v>
      </c>
      <c r="R5186" s="44" t="str">
        <f>VLOOKUP(F5186,'Set up'!$A$2:$E$100,5,FALSE)</f>
        <v>Trsf</v>
      </c>
    </row>
    <row r="5187" spans="1:18" ht="16.8" customHeight="1" x14ac:dyDescent="0.3">
      <c r="A5187" s="151" t="s">
        <v>4549</v>
      </c>
      <c r="B5187" s="5">
        <f t="shared" si="1168"/>
        <v>3</v>
      </c>
      <c r="C5187" s="5">
        <f t="shared" si="1169"/>
        <v>2026</v>
      </c>
      <c r="D5187" s="170" t="s">
        <v>4577</v>
      </c>
      <c r="E5187" s="5" t="str">
        <f>VLOOKUP(F5187,'Set up'!$A$2:$C$100,2,FALSE)</f>
        <v>C00000042</v>
      </c>
      <c r="F5187" s="150" t="s">
        <v>2012</v>
      </c>
      <c r="G5187" s="150" t="s">
        <v>46</v>
      </c>
      <c r="H5187" s="150">
        <v>4</v>
      </c>
      <c r="I5187" s="5" t="str">
        <f>VLOOKUP(F5187,'Set up'!$A$2:$C$100,3,FALSE)</f>
        <v>Cash</v>
      </c>
      <c r="J5187" s="5">
        <f>VLOOKUP(F5187,'Set up'!$A$2:$D$100,4,FALSE)</f>
        <v>0</v>
      </c>
      <c r="K5187" s="4">
        <f t="shared" si="1170"/>
        <v>46111</v>
      </c>
      <c r="L5187" s="5">
        <f t="shared" si="1171"/>
        <v>3</v>
      </c>
      <c r="M5187" s="5">
        <f t="shared" si="1172"/>
        <v>2026</v>
      </c>
      <c r="N5187" s="156">
        <v>460</v>
      </c>
      <c r="P5187" s="12"/>
      <c r="Q5187" s="7">
        <f t="shared" si="1173"/>
        <v>8460113.3500000127</v>
      </c>
      <c r="R5187" s="44" t="str">
        <f>VLOOKUP(F5187,'Set up'!$A$2:$E$100,5,FALSE)</f>
        <v>Trsf</v>
      </c>
    </row>
    <row r="5188" spans="1:18" ht="16.8" customHeight="1" x14ac:dyDescent="0.3">
      <c r="A5188" s="151" t="s">
        <v>4549</v>
      </c>
      <c r="B5188" s="5">
        <f t="shared" si="1168"/>
        <v>3</v>
      </c>
      <c r="C5188" s="5">
        <f t="shared" si="1169"/>
        <v>2026</v>
      </c>
      <c r="D5188" s="170" t="s">
        <v>4577</v>
      </c>
      <c r="E5188" s="5" t="str">
        <f>VLOOKUP(F5188,'Set up'!$A$2:$C$100,2,FALSE)</f>
        <v>C00000042</v>
      </c>
      <c r="F5188" s="150" t="s">
        <v>2012</v>
      </c>
      <c r="G5188" s="150" t="s">
        <v>1073</v>
      </c>
      <c r="H5188" s="150">
        <v>1</v>
      </c>
      <c r="I5188" s="5" t="str">
        <f>VLOOKUP(F5188,'Set up'!$A$2:$C$100,3,FALSE)</f>
        <v>Cash</v>
      </c>
      <c r="J5188" s="5">
        <f>VLOOKUP(F5188,'Set up'!$A$2:$D$100,4,FALSE)</f>
        <v>0</v>
      </c>
      <c r="K5188" s="4">
        <f t="shared" si="1170"/>
        <v>46111</v>
      </c>
      <c r="L5188" s="5">
        <f t="shared" si="1171"/>
        <v>3</v>
      </c>
      <c r="M5188" s="5">
        <f t="shared" si="1172"/>
        <v>2026</v>
      </c>
      <c r="N5188" s="156">
        <v>1050</v>
      </c>
      <c r="P5188" s="12"/>
      <c r="Q5188" s="7">
        <f t="shared" si="1173"/>
        <v>8461163.3500000127</v>
      </c>
      <c r="R5188" s="44" t="str">
        <f>VLOOKUP(F5188,'Set up'!$A$2:$E$100,5,FALSE)</f>
        <v>Trsf</v>
      </c>
    </row>
    <row r="5189" spans="1:18" ht="16.8" customHeight="1" x14ac:dyDescent="0.3">
      <c r="A5189" s="151" t="s">
        <v>4549</v>
      </c>
      <c r="B5189" s="5">
        <f t="shared" si="1168"/>
        <v>3</v>
      </c>
      <c r="C5189" s="5">
        <f t="shared" si="1169"/>
        <v>2026</v>
      </c>
      <c r="D5189" s="170" t="s">
        <v>4577</v>
      </c>
      <c r="E5189" s="5" t="str">
        <f>VLOOKUP(F5189,'Set up'!$A$2:$C$100,2,FALSE)</f>
        <v>C00000042</v>
      </c>
      <c r="F5189" s="150" t="s">
        <v>2012</v>
      </c>
      <c r="G5189" s="150" t="s">
        <v>4580</v>
      </c>
      <c r="H5189" s="150">
        <v>1</v>
      </c>
      <c r="I5189" s="5" t="str">
        <f>VLOOKUP(F5189,'Set up'!$A$2:$C$100,3,FALSE)</f>
        <v>Cash</v>
      </c>
      <c r="J5189" s="5">
        <f>VLOOKUP(F5189,'Set up'!$A$2:$D$100,4,FALSE)</f>
        <v>0</v>
      </c>
      <c r="K5189" s="4">
        <f t="shared" si="1170"/>
        <v>46111</v>
      </c>
      <c r="L5189" s="5">
        <f t="shared" si="1171"/>
        <v>3</v>
      </c>
      <c r="M5189" s="5">
        <f t="shared" si="1172"/>
        <v>2026</v>
      </c>
      <c r="N5189" s="156">
        <v>1000</v>
      </c>
      <c r="P5189" s="12"/>
      <c r="Q5189" s="7">
        <f t="shared" si="1173"/>
        <v>8462163.3500000127</v>
      </c>
      <c r="R5189" s="44" t="str">
        <f>VLOOKUP(F5189,'Set up'!$A$2:$E$100,5,FALSE)</f>
        <v>Trsf</v>
      </c>
    </row>
    <row r="5190" spans="1:18" ht="16.8" customHeight="1" x14ac:dyDescent="0.3">
      <c r="A5190" s="151" t="s">
        <v>4550</v>
      </c>
      <c r="B5190" s="5">
        <f t="shared" si="1168"/>
        <v>3</v>
      </c>
      <c r="C5190" s="5">
        <f t="shared" si="1169"/>
        <v>2026</v>
      </c>
      <c r="D5190" s="170" t="s">
        <v>4578</v>
      </c>
      <c r="E5190" s="5" t="str">
        <f>VLOOKUP(F5190,'Set up'!$A$2:$C$100,2,FALSE)</f>
        <v>C00000013</v>
      </c>
      <c r="F5190" s="150" t="s">
        <v>3549</v>
      </c>
      <c r="G5190" s="150" t="s">
        <v>3507</v>
      </c>
      <c r="H5190" s="150">
        <v>2</v>
      </c>
      <c r="I5190" s="5" t="str">
        <f>VLOOKUP(F5190,'Set up'!$A$2:$C$100,3,FALSE)</f>
        <v>Cash</v>
      </c>
      <c r="J5190" s="5">
        <f>VLOOKUP(F5190,'Set up'!$A$2:$D$100,4,FALSE)</f>
        <v>0</v>
      </c>
      <c r="K5190" s="4">
        <f t="shared" si="1170"/>
        <v>46112</v>
      </c>
      <c r="L5190" s="5">
        <f t="shared" si="1171"/>
        <v>3</v>
      </c>
      <c r="M5190" s="5">
        <f t="shared" si="1172"/>
        <v>2026</v>
      </c>
      <c r="N5190" s="156">
        <v>3825</v>
      </c>
      <c r="P5190" s="12"/>
      <c r="Q5190" s="7">
        <f t="shared" si="1173"/>
        <v>8465988.3500000127</v>
      </c>
      <c r="R5190" s="44" t="str">
        <f>VLOOKUP(F5190,'Set up'!$A$2:$E$100,5,FALSE)</f>
        <v>Chq</v>
      </c>
    </row>
    <row r="5191" spans="1:18" ht="16.8" customHeight="1" x14ac:dyDescent="0.3">
      <c r="A5191" s="151" t="s">
        <v>4550</v>
      </c>
      <c r="B5191" s="5">
        <f t="shared" si="1168"/>
        <v>3</v>
      </c>
      <c r="C5191" s="5">
        <f t="shared" si="1169"/>
        <v>2026</v>
      </c>
      <c r="D5191" s="170" t="s">
        <v>4578</v>
      </c>
      <c r="E5191" s="5" t="str">
        <f>VLOOKUP(F5191,'Set up'!$A$2:$C$100,2,FALSE)</f>
        <v>C00000013</v>
      </c>
      <c r="F5191" s="150" t="s">
        <v>3549</v>
      </c>
      <c r="G5191" s="150" t="s">
        <v>1443</v>
      </c>
      <c r="H5191" s="150">
        <v>1</v>
      </c>
      <c r="I5191" s="5" t="str">
        <f>VLOOKUP(F5191,'Set up'!$A$2:$C$100,3,FALSE)</f>
        <v>Cash</v>
      </c>
      <c r="J5191" s="5">
        <f>VLOOKUP(F5191,'Set up'!$A$2:$D$100,4,FALSE)</f>
        <v>0</v>
      </c>
      <c r="K5191" s="4">
        <f t="shared" si="1170"/>
        <v>46112</v>
      </c>
      <c r="L5191" s="5">
        <f t="shared" si="1171"/>
        <v>3</v>
      </c>
      <c r="M5191" s="5">
        <f t="shared" si="1172"/>
        <v>2026</v>
      </c>
      <c r="N5191" s="156">
        <v>388.8</v>
      </c>
      <c r="P5191" s="12"/>
      <c r="Q5191" s="7">
        <f t="shared" si="1173"/>
        <v>8466377.1500000134</v>
      </c>
      <c r="R5191" s="44" t="str">
        <f>VLOOKUP(F5191,'Set up'!$A$2:$E$100,5,FALSE)</f>
        <v>Chq</v>
      </c>
    </row>
    <row r="5192" spans="1:18" ht="16.8" customHeight="1" x14ac:dyDescent="0.3">
      <c r="A5192" s="151" t="s">
        <v>4550</v>
      </c>
      <c r="B5192" s="5">
        <f t="shared" si="1168"/>
        <v>3</v>
      </c>
      <c r="C5192" s="5">
        <f t="shared" si="1169"/>
        <v>2026</v>
      </c>
      <c r="D5192" s="170" t="s">
        <v>4578</v>
      </c>
      <c r="E5192" s="5" t="str">
        <f>VLOOKUP(F5192,'Set up'!$A$2:$C$100,2,FALSE)</f>
        <v>C00000013</v>
      </c>
      <c r="F5192" s="150" t="s">
        <v>3549</v>
      </c>
      <c r="G5192" s="150" t="s">
        <v>1444</v>
      </c>
      <c r="H5192" s="150">
        <v>2</v>
      </c>
      <c r="I5192" s="5" t="str">
        <f>VLOOKUP(F5192,'Set up'!$A$2:$C$100,3,FALSE)</f>
        <v>Cash</v>
      </c>
      <c r="J5192" s="5">
        <f>VLOOKUP(F5192,'Set up'!$A$2:$D$100,4,FALSE)</f>
        <v>0</v>
      </c>
      <c r="K5192" s="4">
        <f t="shared" si="1170"/>
        <v>46112</v>
      </c>
      <c r="L5192" s="5">
        <f t="shared" si="1171"/>
        <v>3</v>
      </c>
      <c r="M5192" s="5">
        <f t="shared" si="1172"/>
        <v>2026</v>
      </c>
      <c r="N5192" s="156">
        <v>777.6</v>
      </c>
      <c r="P5192" s="12"/>
      <c r="Q5192" s="7">
        <f t="shared" si="1173"/>
        <v>8467154.750000013</v>
      </c>
      <c r="R5192" s="44" t="str">
        <f>VLOOKUP(F5192,'Set up'!$A$2:$E$100,5,FALSE)</f>
        <v>Chq</v>
      </c>
    </row>
    <row r="5193" spans="1:18" ht="16.8" customHeight="1" x14ac:dyDescent="0.3">
      <c r="A5193" s="151" t="s">
        <v>4550</v>
      </c>
      <c r="B5193" s="5">
        <f t="shared" si="1168"/>
        <v>3</v>
      </c>
      <c r="C5193" s="5">
        <f t="shared" si="1169"/>
        <v>2026</v>
      </c>
      <c r="D5193" s="170" t="s">
        <v>4578</v>
      </c>
      <c r="E5193" s="5" t="str">
        <f>VLOOKUP(F5193,'Set up'!$A$2:$C$100,2,FALSE)</f>
        <v>C00000013</v>
      </c>
      <c r="F5193" s="150" t="s">
        <v>3549</v>
      </c>
      <c r="G5193" s="150" t="s">
        <v>3508</v>
      </c>
      <c r="H5193" s="150">
        <v>3</v>
      </c>
      <c r="I5193" s="5" t="str">
        <f>VLOOKUP(F5193,'Set up'!$A$2:$C$100,3,FALSE)</f>
        <v>Cash</v>
      </c>
      <c r="J5193" s="5">
        <f>VLOOKUP(F5193,'Set up'!$A$2:$D$100,4,FALSE)</f>
        <v>0</v>
      </c>
      <c r="K5193" s="4">
        <f t="shared" si="1170"/>
        <v>46112</v>
      </c>
      <c r="L5193" s="5">
        <f t="shared" si="1171"/>
        <v>3</v>
      </c>
      <c r="M5193" s="5">
        <f t="shared" si="1172"/>
        <v>2026</v>
      </c>
      <c r="N5193" s="156">
        <v>983.4</v>
      </c>
      <c r="P5193" s="12"/>
      <c r="Q5193" s="7">
        <f t="shared" si="1173"/>
        <v>8468138.1500000134</v>
      </c>
      <c r="R5193" s="44" t="str">
        <f>VLOOKUP(F5193,'Set up'!$A$2:$E$100,5,FALSE)</f>
        <v>Chq</v>
      </c>
    </row>
    <row r="5194" spans="1:18" ht="16.8" customHeight="1" x14ac:dyDescent="0.3">
      <c r="A5194" s="151" t="s">
        <v>4550</v>
      </c>
      <c r="B5194" s="5">
        <f t="shared" si="1168"/>
        <v>3</v>
      </c>
      <c r="C5194" s="5">
        <f t="shared" si="1169"/>
        <v>2026</v>
      </c>
      <c r="D5194" s="170" t="s">
        <v>4578</v>
      </c>
      <c r="E5194" s="5" t="str">
        <f>VLOOKUP(F5194,'Set up'!$A$2:$C$100,2,FALSE)</f>
        <v>C00000013</v>
      </c>
      <c r="F5194" s="150" t="s">
        <v>3549</v>
      </c>
      <c r="G5194" s="150" t="s">
        <v>1637</v>
      </c>
      <c r="H5194" s="150">
        <v>1</v>
      </c>
      <c r="I5194" s="5" t="str">
        <f>VLOOKUP(F5194,'Set up'!$A$2:$C$100,3,FALSE)</f>
        <v>Cash</v>
      </c>
      <c r="J5194" s="5">
        <f>VLOOKUP(F5194,'Set up'!$A$2:$D$100,4,FALSE)</f>
        <v>0</v>
      </c>
      <c r="K5194" s="4">
        <f t="shared" si="1170"/>
        <v>46112</v>
      </c>
      <c r="L5194" s="5">
        <f t="shared" si="1171"/>
        <v>3</v>
      </c>
      <c r="M5194" s="5">
        <f t="shared" si="1172"/>
        <v>2026</v>
      </c>
      <c r="N5194" s="156">
        <v>430</v>
      </c>
      <c r="P5194" s="12"/>
      <c r="Q5194" s="7">
        <f t="shared" si="1173"/>
        <v>8468568.1500000134</v>
      </c>
      <c r="R5194" s="44" t="str">
        <f>VLOOKUP(F5194,'Set up'!$A$2:$E$100,5,FALSE)</f>
        <v>Chq</v>
      </c>
    </row>
    <row r="5195" spans="1:18" ht="16.8" customHeight="1" x14ac:dyDescent="0.3">
      <c r="A5195" s="151" t="s">
        <v>4550</v>
      </c>
      <c r="B5195" s="5">
        <f t="shared" si="1168"/>
        <v>3</v>
      </c>
      <c r="C5195" s="5">
        <f t="shared" si="1169"/>
        <v>2026</v>
      </c>
      <c r="D5195" s="170" t="s">
        <v>4578</v>
      </c>
      <c r="E5195" s="5" t="str">
        <f>VLOOKUP(F5195,'Set up'!$A$2:$C$100,2,FALSE)</f>
        <v>C00000013</v>
      </c>
      <c r="F5195" s="150" t="s">
        <v>3549</v>
      </c>
      <c r="G5195" s="150" t="s">
        <v>949</v>
      </c>
      <c r="H5195" s="150">
        <v>2</v>
      </c>
      <c r="I5195" s="5" t="str">
        <f>VLOOKUP(F5195,'Set up'!$A$2:$C$100,3,FALSE)</f>
        <v>Cash</v>
      </c>
      <c r="J5195" s="5">
        <f>VLOOKUP(F5195,'Set up'!$A$2:$D$100,4,FALSE)</f>
        <v>0</v>
      </c>
      <c r="K5195" s="4">
        <f t="shared" si="1170"/>
        <v>46112</v>
      </c>
      <c r="L5195" s="5">
        <f t="shared" si="1171"/>
        <v>3</v>
      </c>
      <c r="M5195" s="5">
        <f t="shared" si="1172"/>
        <v>2026</v>
      </c>
      <c r="N5195" s="156">
        <v>120</v>
      </c>
      <c r="P5195" s="12"/>
      <c r="Q5195" s="7">
        <f t="shared" si="1173"/>
        <v>8468688.1500000134</v>
      </c>
      <c r="R5195" s="44" t="str">
        <f>VLOOKUP(F5195,'Set up'!$A$2:$E$100,5,FALSE)</f>
        <v>Chq</v>
      </c>
    </row>
    <row r="5196" spans="1:18" ht="16.8" customHeight="1" x14ac:dyDescent="0.3">
      <c r="A5196" s="151" t="s">
        <v>4550</v>
      </c>
      <c r="B5196" s="5">
        <f t="shared" si="1168"/>
        <v>3</v>
      </c>
      <c r="C5196" s="5">
        <f t="shared" si="1169"/>
        <v>2026</v>
      </c>
      <c r="D5196" s="170" t="s">
        <v>4578</v>
      </c>
      <c r="E5196" s="5" t="str">
        <f>VLOOKUP(F5196,'Set up'!$A$2:$C$100,2,FALSE)</f>
        <v>C00000013</v>
      </c>
      <c r="F5196" s="150" t="s">
        <v>3549</v>
      </c>
      <c r="G5196" s="150" t="s">
        <v>1449</v>
      </c>
      <c r="H5196" s="150">
        <v>1</v>
      </c>
      <c r="I5196" s="5" t="str">
        <f>VLOOKUP(F5196,'Set up'!$A$2:$C$100,3,FALSE)</f>
        <v>Cash</v>
      </c>
      <c r="J5196" s="5">
        <f>VLOOKUP(F5196,'Set up'!$A$2:$D$100,4,FALSE)</f>
        <v>0</v>
      </c>
      <c r="K5196" s="4">
        <f t="shared" si="1170"/>
        <v>46112</v>
      </c>
      <c r="L5196" s="5">
        <f t="shared" si="1171"/>
        <v>3</v>
      </c>
      <c r="M5196" s="5">
        <f t="shared" si="1172"/>
        <v>2026</v>
      </c>
      <c r="N5196" s="156">
        <v>120</v>
      </c>
      <c r="P5196" s="12"/>
      <c r="Q5196" s="7">
        <f t="shared" si="1173"/>
        <v>8468808.1500000134</v>
      </c>
      <c r="R5196" s="44" t="str">
        <f>VLOOKUP(F5196,'Set up'!$A$2:$E$100,5,FALSE)</f>
        <v>Chq</v>
      </c>
    </row>
    <row r="5197" spans="1:18" ht="16.8" customHeight="1" x14ac:dyDescent="0.3">
      <c r="A5197" s="151" t="s">
        <v>4613</v>
      </c>
      <c r="B5197" s="5">
        <f t="shared" ref="B5197:B5260" si="1174">MONTH(A5197)</f>
        <v>4</v>
      </c>
      <c r="C5197" s="5">
        <f t="shared" ref="C5197:C5260" si="1175">YEAR(A5197)</f>
        <v>2026</v>
      </c>
      <c r="D5197" s="170" t="s">
        <v>4583</v>
      </c>
      <c r="E5197" s="5" t="str">
        <f>VLOOKUP(F5197,'Set up'!$A$2:$C$100,2,FALSE)</f>
        <v>C00000010</v>
      </c>
      <c r="F5197" s="150" t="s">
        <v>62</v>
      </c>
      <c r="G5197" s="150" t="s">
        <v>3645</v>
      </c>
      <c r="H5197" s="150">
        <v>6</v>
      </c>
      <c r="I5197" s="5">
        <f>VLOOKUP(F5197,'Set up'!$A$2:$C$100,3,FALSE)</f>
        <v>120</v>
      </c>
      <c r="J5197" s="5">
        <f>VLOOKUP(F5197,'Set up'!$A$2:$D$100,4,FALSE)</f>
        <v>120</v>
      </c>
      <c r="K5197" s="4">
        <f t="shared" ref="K5197:K5260" si="1176">A5197+J5197</f>
        <v>46233</v>
      </c>
      <c r="L5197" s="5">
        <f t="shared" ref="L5197:L5260" si="1177">MONTH(K5197)</f>
        <v>7</v>
      </c>
      <c r="M5197" s="5">
        <f t="shared" ref="M5197:M5260" si="1178">YEAR(K5197)</f>
        <v>2026</v>
      </c>
      <c r="N5197" s="156">
        <v>10260</v>
      </c>
      <c r="P5197" s="12"/>
      <c r="Q5197" s="7">
        <f t="shared" ref="Q5197:Q5260" si="1179">SUM(Q5103+N5197)</f>
        <v>8338581.1500000134</v>
      </c>
      <c r="R5197" s="44" t="str">
        <f>VLOOKUP(F5197,'Set up'!$A$2:$E$100,5,FALSE)</f>
        <v>Trsf</v>
      </c>
    </row>
    <row r="5198" spans="1:18" ht="16.8" customHeight="1" x14ac:dyDescent="0.3">
      <c r="A5198" s="151" t="s">
        <v>4613</v>
      </c>
      <c r="B5198" s="5">
        <f t="shared" si="1174"/>
        <v>4</v>
      </c>
      <c r="C5198" s="5">
        <f t="shared" si="1175"/>
        <v>2026</v>
      </c>
      <c r="D5198" s="170" t="s">
        <v>4583</v>
      </c>
      <c r="E5198" s="5" t="str">
        <f>VLOOKUP(F5198,'Set up'!$A$2:$C$100,2,FALSE)</f>
        <v>C00000010</v>
      </c>
      <c r="F5198" s="150" t="s">
        <v>62</v>
      </c>
      <c r="G5198" s="150" t="s">
        <v>2129</v>
      </c>
      <c r="H5198" s="150">
        <v>10</v>
      </c>
      <c r="I5198" s="5">
        <f>VLOOKUP(F5198,'Set up'!$A$2:$C$100,3,FALSE)</f>
        <v>120</v>
      </c>
      <c r="J5198" s="5">
        <f>VLOOKUP(F5198,'Set up'!$A$2:$D$100,4,FALSE)</f>
        <v>120</v>
      </c>
      <c r="K5198" s="4">
        <f t="shared" si="1176"/>
        <v>46233</v>
      </c>
      <c r="L5198" s="5">
        <f t="shared" si="1177"/>
        <v>7</v>
      </c>
      <c r="M5198" s="5">
        <f t="shared" si="1178"/>
        <v>2026</v>
      </c>
      <c r="N5198" s="156">
        <v>2146</v>
      </c>
      <c r="P5198" s="12"/>
      <c r="Q5198" s="7">
        <f t="shared" si="1179"/>
        <v>8333842.1500000134</v>
      </c>
      <c r="R5198" s="44" t="str">
        <f>VLOOKUP(F5198,'Set up'!$A$2:$E$100,5,FALSE)</f>
        <v>Trsf</v>
      </c>
    </row>
    <row r="5199" spans="1:18" ht="16.8" customHeight="1" x14ac:dyDescent="0.3">
      <c r="A5199" s="151" t="s">
        <v>4613</v>
      </c>
      <c r="B5199" s="5">
        <f t="shared" si="1174"/>
        <v>4</v>
      </c>
      <c r="C5199" s="5">
        <f t="shared" si="1175"/>
        <v>2026</v>
      </c>
      <c r="D5199" s="170" t="s">
        <v>4583</v>
      </c>
      <c r="E5199" s="5" t="str">
        <f>VLOOKUP(F5199,'Set up'!$A$2:$C$100,2,FALSE)</f>
        <v>C00000010</v>
      </c>
      <c r="F5199" s="150" t="s">
        <v>62</v>
      </c>
      <c r="G5199" s="150" t="s">
        <v>945</v>
      </c>
      <c r="H5199" s="150">
        <v>4</v>
      </c>
      <c r="I5199" s="5">
        <f>VLOOKUP(F5199,'Set up'!$A$2:$C$100,3,FALSE)</f>
        <v>120</v>
      </c>
      <c r="J5199" s="5">
        <f>VLOOKUP(F5199,'Set up'!$A$2:$D$100,4,FALSE)</f>
        <v>120</v>
      </c>
      <c r="K5199" s="4">
        <f t="shared" si="1176"/>
        <v>46233</v>
      </c>
      <c r="L5199" s="5">
        <f t="shared" si="1177"/>
        <v>7</v>
      </c>
      <c r="M5199" s="5">
        <f t="shared" si="1178"/>
        <v>2026</v>
      </c>
      <c r="N5199" s="156">
        <v>460</v>
      </c>
      <c r="P5199" s="12"/>
      <c r="Q5199" s="7">
        <f t="shared" si="1179"/>
        <v>8332544.9500000132</v>
      </c>
      <c r="R5199" s="44" t="str">
        <f>VLOOKUP(F5199,'Set up'!$A$2:$E$100,5,FALSE)</f>
        <v>Trsf</v>
      </c>
    </row>
    <row r="5200" spans="1:18" ht="16.8" customHeight="1" x14ac:dyDescent="0.3">
      <c r="A5200" s="151" t="s">
        <v>4613</v>
      </c>
      <c r="B5200" s="5">
        <f t="shared" si="1174"/>
        <v>4</v>
      </c>
      <c r="C5200" s="5">
        <f t="shared" si="1175"/>
        <v>2026</v>
      </c>
      <c r="D5200" s="170" t="s">
        <v>4583</v>
      </c>
      <c r="E5200" s="5" t="str">
        <f>VLOOKUP(F5200,'Set up'!$A$2:$C$100,2,FALSE)</f>
        <v>C00000010</v>
      </c>
      <c r="F5200" s="150" t="s">
        <v>62</v>
      </c>
      <c r="G5200" s="150" t="s">
        <v>946</v>
      </c>
      <c r="H5200" s="150">
        <v>4</v>
      </c>
      <c r="I5200" s="5">
        <f>VLOOKUP(F5200,'Set up'!$A$2:$C$100,3,FALSE)</f>
        <v>120</v>
      </c>
      <c r="J5200" s="5">
        <f>VLOOKUP(F5200,'Set up'!$A$2:$D$100,4,FALSE)</f>
        <v>120</v>
      </c>
      <c r="K5200" s="4">
        <f t="shared" si="1176"/>
        <v>46233</v>
      </c>
      <c r="L5200" s="5">
        <f t="shared" si="1177"/>
        <v>7</v>
      </c>
      <c r="M5200" s="5">
        <f t="shared" si="1178"/>
        <v>2026</v>
      </c>
      <c r="N5200" s="156">
        <v>230.4</v>
      </c>
      <c r="P5200" s="12"/>
      <c r="Q5200" s="7">
        <f t="shared" si="1179"/>
        <v>8333092.9500000132</v>
      </c>
      <c r="R5200" s="44" t="str">
        <f>VLOOKUP(F5200,'Set up'!$A$2:$E$100,5,FALSE)</f>
        <v>Trsf</v>
      </c>
    </row>
    <row r="5201" spans="1:18" ht="16.8" customHeight="1" x14ac:dyDescent="0.3">
      <c r="A5201" s="151" t="s">
        <v>4613</v>
      </c>
      <c r="B5201" s="5">
        <f t="shared" si="1174"/>
        <v>4</v>
      </c>
      <c r="C5201" s="5">
        <f t="shared" si="1175"/>
        <v>2026</v>
      </c>
      <c r="D5201" s="170" t="s">
        <v>4583</v>
      </c>
      <c r="E5201" s="5" t="str">
        <f>VLOOKUP(F5201,'Set up'!$A$2:$C$100,2,FALSE)</f>
        <v>C00000010</v>
      </c>
      <c r="F5201" s="150" t="s">
        <v>62</v>
      </c>
      <c r="G5201" s="150" t="s">
        <v>614</v>
      </c>
      <c r="H5201" s="150">
        <v>1</v>
      </c>
      <c r="I5201" s="5">
        <f>VLOOKUP(F5201,'Set up'!$A$2:$C$100,3,FALSE)</f>
        <v>120</v>
      </c>
      <c r="J5201" s="5">
        <f>VLOOKUP(F5201,'Set up'!$A$2:$D$100,4,FALSE)</f>
        <v>120</v>
      </c>
      <c r="K5201" s="4">
        <f t="shared" si="1176"/>
        <v>46233</v>
      </c>
      <c r="L5201" s="5">
        <f t="shared" si="1177"/>
        <v>7</v>
      </c>
      <c r="M5201" s="5">
        <f t="shared" si="1178"/>
        <v>2026</v>
      </c>
      <c r="N5201" s="156">
        <v>395</v>
      </c>
      <c r="P5201" s="12"/>
      <c r="Q5201" s="7">
        <f t="shared" si="1179"/>
        <v>8334108.9500000132</v>
      </c>
      <c r="R5201" s="44" t="str">
        <f>VLOOKUP(F5201,'Set up'!$A$2:$E$100,5,FALSE)</f>
        <v>Trsf</v>
      </c>
    </row>
    <row r="5202" spans="1:18" ht="16.8" customHeight="1" x14ac:dyDescent="0.3">
      <c r="A5202" s="151" t="s">
        <v>4613</v>
      </c>
      <c r="B5202" s="5">
        <f t="shared" si="1174"/>
        <v>4</v>
      </c>
      <c r="C5202" s="5">
        <f t="shared" si="1175"/>
        <v>2026</v>
      </c>
      <c r="D5202" s="170" t="s">
        <v>4584</v>
      </c>
      <c r="E5202" s="5" t="str">
        <f>VLOOKUP(F5202,'Set up'!$A$2:$C$100,2,FALSE)</f>
        <v>C00000044</v>
      </c>
      <c r="F5202" s="150" t="s">
        <v>2929</v>
      </c>
      <c r="G5202" s="150" t="s">
        <v>3122</v>
      </c>
      <c r="H5202" s="150">
        <v>1</v>
      </c>
      <c r="I5202" s="5" t="str">
        <f>VLOOKUP(F5202,'Set up'!$A$2:$C$100,3,FALSE)</f>
        <v>Cash</v>
      </c>
      <c r="J5202" s="5">
        <f>VLOOKUP(F5202,'Set up'!$A$2:$D$100,4,FALSE)</f>
        <v>0</v>
      </c>
      <c r="K5202" s="4">
        <f t="shared" si="1176"/>
        <v>46113</v>
      </c>
      <c r="L5202" s="5">
        <f t="shared" si="1177"/>
        <v>4</v>
      </c>
      <c r="M5202" s="5">
        <f t="shared" si="1178"/>
        <v>2026</v>
      </c>
      <c r="N5202" s="156">
        <v>1912.5</v>
      </c>
      <c r="P5202" s="12"/>
      <c r="Q5202" s="7">
        <f t="shared" si="1179"/>
        <v>8336501.4500000132</v>
      </c>
      <c r="R5202" s="44" t="str">
        <f>VLOOKUP(F5202,'Set up'!$A$2:$E$100,5,FALSE)</f>
        <v>Cash</v>
      </c>
    </row>
    <row r="5203" spans="1:18" ht="16.8" customHeight="1" x14ac:dyDescent="0.3">
      <c r="A5203" s="151" t="s">
        <v>4613</v>
      </c>
      <c r="B5203" s="5">
        <f t="shared" si="1174"/>
        <v>4</v>
      </c>
      <c r="C5203" s="5">
        <f t="shared" si="1175"/>
        <v>2026</v>
      </c>
      <c r="D5203" s="170" t="s">
        <v>4584</v>
      </c>
      <c r="E5203" s="5" t="str">
        <f>VLOOKUP(F5203,'Set up'!$A$2:$C$100,2,FALSE)</f>
        <v>C00000044</v>
      </c>
      <c r="F5203" s="150" t="s">
        <v>2929</v>
      </c>
      <c r="G5203" s="150" t="s">
        <v>2570</v>
      </c>
      <c r="H5203" s="150">
        <v>2</v>
      </c>
      <c r="I5203" s="5" t="str">
        <f>VLOOKUP(F5203,'Set up'!$A$2:$C$100,3,FALSE)</f>
        <v>Cash</v>
      </c>
      <c r="J5203" s="5">
        <f>VLOOKUP(F5203,'Set up'!$A$2:$D$100,4,FALSE)</f>
        <v>0</v>
      </c>
      <c r="K5203" s="4">
        <f t="shared" si="1176"/>
        <v>46113</v>
      </c>
      <c r="L5203" s="5">
        <f t="shared" si="1177"/>
        <v>4</v>
      </c>
      <c r="M5203" s="5">
        <f t="shared" si="1178"/>
        <v>2026</v>
      </c>
      <c r="N5203" s="156">
        <v>432</v>
      </c>
      <c r="P5203" s="12"/>
      <c r="Q5203" s="7">
        <f t="shared" si="1179"/>
        <v>8335880.9500000132</v>
      </c>
      <c r="R5203" s="44" t="str">
        <f>VLOOKUP(F5203,'Set up'!$A$2:$E$100,5,FALSE)</f>
        <v>Cash</v>
      </c>
    </row>
    <row r="5204" spans="1:18" ht="16.8" customHeight="1" x14ac:dyDescent="0.3">
      <c r="A5204" s="151" t="s">
        <v>4614</v>
      </c>
      <c r="B5204" s="5">
        <f t="shared" si="1174"/>
        <v>4</v>
      </c>
      <c r="C5204" s="5">
        <f t="shared" si="1175"/>
        <v>2026</v>
      </c>
      <c r="D5204" s="170" t="s">
        <v>4585</v>
      </c>
      <c r="E5204" s="5" t="str">
        <f>VLOOKUP(F5204,'Set up'!$A$2:$C$100,2,FALSE)</f>
        <v>C00000019</v>
      </c>
      <c r="F5204" s="150" t="s">
        <v>400</v>
      </c>
      <c r="G5204" s="150" t="s">
        <v>3639</v>
      </c>
      <c r="H5204" s="150">
        <v>1</v>
      </c>
      <c r="I5204" s="5" t="str">
        <f>VLOOKUP(F5204,'Set up'!$A$2:$C$100,3,FALSE)</f>
        <v>Cash</v>
      </c>
      <c r="J5204" s="5">
        <f>VLOOKUP(F5204,'Set up'!$A$2:$D$100,4,FALSE)</f>
        <v>0</v>
      </c>
      <c r="K5204" s="4">
        <f t="shared" si="1176"/>
        <v>46115</v>
      </c>
      <c r="L5204" s="5">
        <f t="shared" si="1177"/>
        <v>4</v>
      </c>
      <c r="M5204" s="5">
        <f t="shared" si="1178"/>
        <v>2026</v>
      </c>
      <c r="N5204" s="156">
        <v>482.4</v>
      </c>
      <c r="P5204" s="12"/>
      <c r="Q5204" s="7">
        <f t="shared" si="1179"/>
        <v>8336056.3500000136</v>
      </c>
      <c r="R5204" s="44" t="str">
        <f>VLOOKUP(F5204,'Set up'!$A$2:$E$100,5,FALSE)</f>
        <v>Trsf</v>
      </c>
    </row>
    <row r="5205" spans="1:18" ht="16.8" customHeight="1" x14ac:dyDescent="0.3">
      <c r="A5205" s="151" t="s">
        <v>4614</v>
      </c>
      <c r="B5205" s="5">
        <f t="shared" si="1174"/>
        <v>4</v>
      </c>
      <c r="C5205" s="5">
        <f t="shared" si="1175"/>
        <v>2026</v>
      </c>
      <c r="D5205" s="170" t="s">
        <v>4585</v>
      </c>
      <c r="E5205" s="5" t="str">
        <f>VLOOKUP(F5205,'Set up'!$A$2:$C$100,2,FALSE)</f>
        <v>C00000019</v>
      </c>
      <c r="F5205" s="150" t="s">
        <v>400</v>
      </c>
      <c r="G5205" s="150" t="s">
        <v>1469</v>
      </c>
      <c r="H5205" s="150">
        <v>1</v>
      </c>
      <c r="I5205" s="5" t="str">
        <f>VLOOKUP(F5205,'Set up'!$A$2:$C$100,3,FALSE)</f>
        <v>Cash</v>
      </c>
      <c r="J5205" s="5">
        <f>VLOOKUP(F5205,'Set up'!$A$2:$D$100,4,FALSE)</f>
        <v>0</v>
      </c>
      <c r="K5205" s="4">
        <f t="shared" si="1176"/>
        <v>46115</v>
      </c>
      <c r="L5205" s="5">
        <f t="shared" si="1177"/>
        <v>4</v>
      </c>
      <c r="M5205" s="5">
        <f t="shared" si="1178"/>
        <v>2026</v>
      </c>
      <c r="N5205" s="156">
        <v>410</v>
      </c>
      <c r="P5205" s="12"/>
      <c r="Q5205" s="7">
        <f t="shared" si="1179"/>
        <v>8336103.9500000132</v>
      </c>
      <c r="R5205" s="44" t="str">
        <f>VLOOKUP(F5205,'Set up'!$A$2:$E$100,5,FALSE)</f>
        <v>Trsf</v>
      </c>
    </row>
    <row r="5206" spans="1:18" ht="16.8" customHeight="1" x14ac:dyDescent="0.3">
      <c r="A5206" s="151" t="s">
        <v>4614</v>
      </c>
      <c r="B5206" s="5">
        <f t="shared" si="1174"/>
        <v>4</v>
      </c>
      <c r="C5206" s="5">
        <f t="shared" si="1175"/>
        <v>2026</v>
      </c>
      <c r="D5206" s="170" t="s">
        <v>4585</v>
      </c>
      <c r="E5206" s="5" t="str">
        <f>VLOOKUP(F5206,'Set up'!$A$2:$C$100,2,FALSE)</f>
        <v>C00000019</v>
      </c>
      <c r="F5206" s="150" t="s">
        <v>400</v>
      </c>
      <c r="G5206" s="150" t="s">
        <v>2646</v>
      </c>
      <c r="H5206" s="150">
        <v>3</v>
      </c>
      <c r="I5206" s="5" t="str">
        <f>VLOOKUP(F5206,'Set up'!$A$2:$C$100,3,FALSE)</f>
        <v>Cash</v>
      </c>
      <c r="J5206" s="5">
        <f>VLOOKUP(F5206,'Set up'!$A$2:$D$100,4,FALSE)</f>
        <v>0</v>
      </c>
      <c r="K5206" s="4">
        <f t="shared" si="1176"/>
        <v>46115</v>
      </c>
      <c r="L5206" s="5">
        <f t="shared" si="1177"/>
        <v>4</v>
      </c>
      <c r="M5206" s="5">
        <f t="shared" si="1178"/>
        <v>2026</v>
      </c>
      <c r="N5206" s="156">
        <v>187.5</v>
      </c>
      <c r="P5206" s="12"/>
      <c r="Q5206" s="7">
        <f t="shared" si="1179"/>
        <v>8338986.4500000132</v>
      </c>
      <c r="R5206" s="44" t="str">
        <f>VLOOKUP(F5206,'Set up'!$A$2:$E$100,5,FALSE)</f>
        <v>Trsf</v>
      </c>
    </row>
    <row r="5207" spans="1:18" ht="16.8" customHeight="1" x14ac:dyDescent="0.3">
      <c r="A5207" s="151" t="s">
        <v>4614</v>
      </c>
      <c r="B5207" s="5">
        <f t="shared" si="1174"/>
        <v>4</v>
      </c>
      <c r="C5207" s="5">
        <f t="shared" si="1175"/>
        <v>2026</v>
      </c>
      <c r="D5207" s="170" t="s">
        <v>4586</v>
      </c>
      <c r="E5207" s="5" t="e">
        <f>VLOOKUP(F5207,'Set up'!$A$2:$C$100,2,FALSE)</f>
        <v>#N/A</v>
      </c>
      <c r="F5207" s="150" t="s">
        <v>4631</v>
      </c>
      <c r="G5207" s="150" t="s">
        <v>4632</v>
      </c>
      <c r="H5207" s="150">
        <v>2</v>
      </c>
      <c r="I5207" s="5" t="e">
        <f>VLOOKUP(F5207,'Set up'!$A$2:$C$100,3,FALSE)</f>
        <v>#N/A</v>
      </c>
      <c r="J5207" s="5" t="e">
        <f>VLOOKUP(F5207,'Set up'!$A$2:$D$100,4,FALSE)</f>
        <v>#N/A</v>
      </c>
      <c r="K5207" s="4" t="e">
        <f t="shared" si="1176"/>
        <v>#N/A</v>
      </c>
      <c r="L5207" s="5" t="e">
        <f t="shared" si="1177"/>
        <v>#N/A</v>
      </c>
      <c r="M5207" s="5" t="e">
        <f t="shared" si="1178"/>
        <v>#N/A</v>
      </c>
      <c r="N5207" s="156">
        <v>4320</v>
      </c>
      <c r="P5207" s="12"/>
      <c r="Q5207" s="7">
        <f t="shared" si="1179"/>
        <v>8343936.3500000136</v>
      </c>
      <c r="R5207" s="44" t="e">
        <f>VLOOKUP(F5207,'Set up'!$A$2:$E$100,5,FALSE)</f>
        <v>#N/A</v>
      </c>
    </row>
    <row r="5208" spans="1:18" ht="16.8" customHeight="1" x14ac:dyDescent="0.3">
      <c r="A5208" s="151" t="s">
        <v>4615</v>
      </c>
      <c r="B5208" s="5">
        <f t="shared" si="1174"/>
        <v>4</v>
      </c>
      <c r="C5208" s="5">
        <f t="shared" si="1175"/>
        <v>2026</v>
      </c>
      <c r="D5208" s="170" t="s">
        <v>4587</v>
      </c>
      <c r="E5208" s="5" t="e">
        <f>VLOOKUP(F5208,'Set up'!$A$2:$C$100,2,FALSE)</f>
        <v>#N/A</v>
      </c>
      <c r="F5208" s="150" t="s">
        <v>4130</v>
      </c>
      <c r="G5208" s="150" t="s">
        <v>3122</v>
      </c>
      <c r="H5208" s="150">
        <v>1</v>
      </c>
      <c r="I5208" s="5" t="e">
        <f>VLOOKUP(F5208,'Set up'!$A$2:$C$100,3,FALSE)</f>
        <v>#N/A</v>
      </c>
      <c r="J5208" s="5" t="e">
        <f>VLOOKUP(F5208,'Set up'!$A$2:$D$100,4,FALSE)</f>
        <v>#N/A</v>
      </c>
      <c r="K5208" s="4" t="e">
        <f t="shared" si="1176"/>
        <v>#N/A</v>
      </c>
      <c r="L5208" s="5" t="e">
        <f t="shared" si="1177"/>
        <v>#N/A</v>
      </c>
      <c r="M5208" s="5" t="e">
        <f t="shared" si="1178"/>
        <v>#N/A</v>
      </c>
      <c r="N5208" s="156">
        <v>1912.5</v>
      </c>
      <c r="P5208" s="12"/>
      <c r="Q5208" s="7">
        <f t="shared" si="1179"/>
        <v>8341643.8500000136</v>
      </c>
      <c r="R5208" s="44" t="e">
        <f>VLOOKUP(F5208,'Set up'!$A$2:$E$100,5,FALSE)</f>
        <v>#N/A</v>
      </c>
    </row>
    <row r="5209" spans="1:18" ht="16.8" customHeight="1" x14ac:dyDescent="0.3">
      <c r="A5209" s="151" t="s">
        <v>4615</v>
      </c>
      <c r="B5209" s="5">
        <f t="shared" si="1174"/>
        <v>4</v>
      </c>
      <c r="C5209" s="5">
        <f t="shared" si="1175"/>
        <v>2026</v>
      </c>
      <c r="D5209" s="170" t="s">
        <v>4587</v>
      </c>
      <c r="E5209" s="5" t="e">
        <f>VLOOKUP(F5209,'Set up'!$A$2:$C$100,2,FALSE)</f>
        <v>#N/A</v>
      </c>
      <c r="F5209" s="150" t="s">
        <v>4130</v>
      </c>
      <c r="G5209" s="150" t="s">
        <v>4633</v>
      </c>
      <c r="H5209" s="150">
        <v>1</v>
      </c>
      <c r="I5209" s="5" t="e">
        <f>VLOOKUP(F5209,'Set up'!$A$2:$C$100,3,FALSE)</f>
        <v>#N/A</v>
      </c>
      <c r="J5209" s="5" t="e">
        <f>VLOOKUP(F5209,'Set up'!$A$2:$D$100,4,FALSE)</f>
        <v>#N/A</v>
      </c>
      <c r="K5209" s="4" t="e">
        <f t="shared" si="1176"/>
        <v>#N/A</v>
      </c>
      <c r="L5209" s="5" t="e">
        <f t="shared" si="1177"/>
        <v>#N/A</v>
      </c>
      <c r="M5209" s="5" t="e">
        <f t="shared" si="1178"/>
        <v>#N/A</v>
      </c>
      <c r="N5209" s="156">
        <v>489.1</v>
      </c>
      <c r="P5209" s="12"/>
      <c r="Q5209" s="7">
        <f t="shared" si="1179"/>
        <v>8340745.4500000132</v>
      </c>
      <c r="R5209" s="44" t="e">
        <f>VLOOKUP(F5209,'Set up'!$A$2:$E$100,5,FALSE)</f>
        <v>#N/A</v>
      </c>
    </row>
    <row r="5210" spans="1:18" ht="16.8" customHeight="1" x14ac:dyDescent="0.3">
      <c r="A5210" s="151" t="s">
        <v>4615</v>
      </c>
      <c r="B5210" s="5">
        <f t="shared" si="1174"/>
        <v>4</v>
      </c>
      <c r="C5210" s="5">
        <f t="shared" si="1175"/>
        <v>2026</v>
      </c>
      <c r="D5210" s="170" t="s">
        <v>4587</v>
      </c>
      <c r="E5210" s="5" t="e">
        <f>VLOOKUP(F5210,'Set up'!$A$2:$C$100,2,FALSE)</f>
        <v>#N/A</v>
      </c>
      <c r="F5210" s="150" t="s">
        <v>4130</v>
      </c>
      <c r="G5210" s="150" t="s">
        <v>2144</v>
      </c>
      <c r="H5210" s="150">
        <v>1</v>
      </c>
      <c r="I5210" s="5" t="e">
        <f>VLOOKUP(F5210,'Set up'!$A$2:$C$100,3,FALSE)</f>
        <v>#N/A</v>
      </c>
      <c r="J5210" s="5" t="e">
        <f>VLOOKUP(F5210,'Set up'!$A$2:$D$100,4,FALSE)</f>
        <v>#N/A</v>
      </c>
      <c r="K5210" s="4" t="e">
        <f t="shared" si="1176"/>
        <v>#N/A</v>
      </c>
      <c r="L5210" s="5" t="e">
        <f t="shared" si="1177"/>
        <v>#N/A</v>
      </c>
      <c r="M5210" s="5" t="e">
        <f t="shared" si="1178"/>
        <v>#N/A</v>
      </c>
      <c r="N5210" s="156">
        <v>308</v>
      </c>
      <c r="P5210" s="12"/>
      <c r="Q5210" s="7">
        <f t="shared" si="1179"/>
        <v>8340689.3500000136</v>
      </c>
      <c r="R5210" s="44" t="e">
        <f>VLOOKUP(F5210,'Set up'!$A$2:$E$100,5,FALSE)</f>
        <v>#N/A</v>
      </c>
    </row>
    <row r="5211" spans="1:18" ht="16.8" customHeight="1" x14ac:dyDescent="0.3">
      <c r="A5211" s="151" t="s">
        <v>4615</v>
      </c>
      <c r="B5211" s="5">
        <f t="shared" si="1174"/>
        <v>4</v>
      </c>
      <c r="C5211" s="5">
        <f t="shared" si="1175"/>
        <v>2026</v>
      </c>
      <c r="D5211" s="170" t="s">
        <v>4587</v>
      </c>
      <c r="E5211" s="5" t="e">
        <f>VLOOKUP(F5211,'Set up'!$A$2:$C$100,2,FALSE)</f>
        <v>#N/A</v>
      </c>
      <c r="F5211" s="150" t="s">
        <v>4130</v>
      </c>
      <c r="G5211" s="150" t="s">
        <v>4204</v>
      </c>
      <c r="H5211" s="150">
        <v>1</v>
      </c>
      <c r="I5211" s="5" t="e">
        <f>VLOOKUP(F5211,'Set up'!$A$2:$C$100,3,FALSE)</f>
        <v>#N/A</v>
      </c>
      <c r="J5211" s="5" t="e">
        <f>VLOOKUP(F5211,'Set up'!$A$2:$D$100,4,FALSE)</f>
        <v>#N/A</v>
      </c>
      <c r="K5211" s="4" t="e">
        <f t="shared" si="1176"/>
        <v>#N/A</v>
      </c>
      <c r="L5211" s="5" t="e">
        <f t="shared" si="1177"/>
        <v>#N/A</v>
      </c>
      <c r="M5211" s="5" t="e">
        <f t="shared" si="1178"/>
        <v>#N/A</v>
      </c>
      <c r="N5211" s="156">
        <v>160</v>
      </c>
      <c r="P5211" s="12"/>
      <c r="Q5211" s="7">
        <f t="shared" si="1179"/>
        <v>8346661.3500000136</v>
      </c>
      <c r="R5211" s="44" t="e">
        <f>VLOOKUP(F5211,'Set up'!$A$2:$E$100,5,FALSE)</f>
        <v>#N/A</v>
      </c>
    </row>
    <row r="5212" spans="1:18" ht="16.8" customHeight="1" x14ac:dyDescent="0.3">
      <c r="A5212" s="151" t="s">
        <v>4615</v>
      </c>
      <c r="B5212" s="5">
        <f t="shared" si="1174"/>
        <v>4</v>
      </c>
      <c r="C5212" s="5">
        <f t="shared" si="1175"/>
        <v>2026</v>
      </c>
      <c r="D5212" s="170" t="s">
        <v>4587</v>
      </c>
      <c r="E5212" s="5" t="e">
        <f>VLOOKUP(F5212,'Set up'!$A$2:$C$100,2,FALSE)</f>
        <v>#N/A</v>
      </c>
      <c r="F5212" s="150" t="s">
        <v>4130</v>
      </c>
      <c r="G5212" s="150" t="s">
        <v>2646</v>
      </c>
      <c r="H5212" s="150">
        <v>2</v>
      </c>
      <c r="I5212" s="5" t="e">
        <f>VLOOKUP(F5212,'Set up'!$A$2:$C$100,3,FALSE)</f>
        <v>#N/A</v>
      </c>
      <c r="J5212" s="5" t="e">
        <f>VLOOKUP(F5212,'Set up'!$A$2:$D$100,4,FALSE)</f>
        <v>#N/A</v>
      </c>
      <c r="K5212" s="4" t="e">
        <f t="shared" si="1176"/>
        <v>#N/A</v>
      </c>
      <c r="L5212" s="5" t="e">
        <f t="shared" si="1177"/>
        <v>#N/A</v>
      </c>
      <c r="M5212" s="5" t="e">
        <f t="shared" si="1178"/>
        <v>#N/A</v>
      </c>
      <c r="N5212" s="156">
        <v>125</v>
      </c>
      <c r="P5212" s="12"/>
      <c r="Q5212" s="7">
        <f t="shared" si="1179"/>
        <v>8348750.3500000136</v>
      </c>
      <c r="R5212" s="44" t="e">
        <f>VLOOKUP(F5212,'Set up'!$A$2:$E$100,5,FALSE)</f>
        <v>#N/A</v>
      </c>
    </row>
    <row r="5213" spans="1:18" ht="16.8" customHeight="1" x14ac:dyDescent="0.3">
      <c r="A5213" s="151" t="s">
        <v>4615</v>
      </c>
      <c r="B5213" s="5">
        <f t="shared" si="1174"/>
        <v>4</v>
      </c>
      <c r="C5213" s="5">
        <f t="shared" si="1175"/>
        <v>2026</v>
      </c>
      <c r="D5213" s="170" t="s">
        <v>4587</v>
      </c>
      <c r="E5213" s="5" t="e">
        <f>VLOOKUP(F5213,'Set up'!$A$2:$C$100,2,FALSE)</f>
        <v>#N/A</v>
      </c>
      <c r="F5213" s="150" t="s">
        <v>4130</v>
      </c>
      <c r="G5213" s="150" t="s">
        <v>945</v>
      </c>
      <c r="H5213" s="150">
        <v>2</v>
      </c>
      <c r="I5213" s="5" t="e">
        <f>VLOOKUP(F5213,'Set up'!$A$2:$C$100,3,FALSE)</f>
        <v>#N/A</v>
      </c>
      <c r="J5213" s="5" t="e">
        <f>VLOOKUP(F5213,'Set up'!$A$2:$D$100,4,FALSE)</f>
        <v>#N/A</v>
      </c>
      <c r="K5213" s="4" t="e">
        <f t="shared" si="1176"/>
        <v>#N/A</v>
      </c>
      <c r="L5213" s="5" t="e">
        <f t="shared" si="1177"/>
        <v>#N/A</v>
      </c>
      <c r="M5213" s="5" t="e">
        <f t="shared" si="1178"/>
        <v>#N/A</v>
      </c>
      <c r="N5213" s="156">
        <v>240</v>
      </c>
      <c r="P5213" s="12"/>
      <c r="Q5213" s="7">
        <f t="shared" si="1179"/>
        <v>8350242.3500000136</v>
      </c>
      <c r="R5213" s="44" t="e">
        <f>VLOOKUP(F5213,'Set up'!$A$2:$E$100,5,FALSE)</f>
        <v>#N/A</v>
      </c>
    </row>
    <row r="5214" spans="1:18" ht="16.8" customHeight="1" x14ac:dyDescent="0.3">
      <c r="A5214" s="151" t="s">
        <v>4615</v>
      </c>
      <c r="B5214" s="5">
        <f t="shared" si="1174"/>
        <v>4</v>
      </c>
      <c r="C5214" s="5">
        <f t="shared" si="1175"/>
        <v>2026</v>
      </c>
      <c r="D5214" s="170" t="s">
        <v>4588</v>
      </c>
      <c r="E5214" s="5" t="str">
        <f>VLOOKUP(F5214,'Set up'!$A$2:$C$100,2,FALSE)</f>
        <v>C00000064</v>
      </c>
      <c r="F5214" s="150" t="s">
        <v>4059</v>
      </c>
      <c r="G5214" s="150" t="s">
        <v>1543</v>
      </c>
      <c r="H5214" s="150">
        <v>1</v>
      </c>
      <c r="I5214" s="5" t="str">
        <f>VLOOKUP(F5214,'Set up'!$A$2:$C$100,3,FALSE)</f>
        <v>Cash</v>
      </c>
      <c r="J5214" s="5">
        <f>VLOOKUP(F5214,'Set up'!$A$2:$D$100,4,FALSE)</f>
        <v>0</v>
      </c>
      <c r="K5214" s="4">
        <f t="shared" si="1176"/>
        <v>46116</v>
      </c>
      <c r="L5214" s="5">
        <f t="shared" si="1177"/>
        <v>4</v>
      </c>
      <c r="M5214" s="5">
        <f t="shared" si="1178"/>
        <v>2026</v>
      </c>
      <c r="N5214" s="156">
        <v>216</v>
      </c>
      <c r="P5214" s="12"/>
      <c r="Q5214" s="7">
        <f t="shared" si="1179"/>
        <v>8350678.3500000136</v>
      </c>
      <c r="R5214" s="44" t="str">
        <f>VLOOKUP(F5214,'Set up'!$A$2:$E$100,5,FALSE)</f>
        <v>Cash</v>
      </c>
    </row>
    <row r="5215" spans="1:18" ht="16.8" customHeight="1" x14ac:dyDescent="0.3">
      <c r="A5215" s="151" t="s">
        <v>4616</v>
      </c>
      <c r="B5215" s="5">
        <f t="shared" si="1174"/>
        <v>4</v>
      </c>
      <c r="C5215" s="5">
        <f t="shared" si="1175"/>
        <v>2026</v>
      </c>
      <c r="D5215" s="170" t="s">
        <v>4589</v>
      </c>
      <c r="E5215" s="5" t="str">
        <f>VLOOKUP(F5215,'Set up'!$A$2:$C$100,2,FALSE)</f>
        <v>C00000049</v>
      </c>
      <c r="F5215" s="150" t="s">
        <v>2728</v>
      </c>
      <c r="G5215" s="150" t="s">
        <v>4204</v>
      </c>
      <c r="H5215" s="150">
        <v>1</v>
      </c>
      <c r="I5215" s="5" t="str">
        <f>VLOOKUP(F5215,'Set up'!$A$2:$C$100,3,FALSE)</f>
        <v>Cash</v>
      </c>
      <c r="J5215" s="5">
        <f>VLOOKUP(F5215,'Set up'!$A$2:$D$100,4,FALSE)</f>
        <v>0</v>
      </c>
      <c r="K5215" s="4">
        <f t="shared" si="1176"/>
        <v>46118</v>
      </c>
      <c r="L5215" s="5">
        <f t="shared" si="1177"/>
        <v>4</v>
      </c>
      <c r="M5215" s="5">
        <f t="shared" si="1178"/>
        <v>2026</v>
      </c>
      <c r="N5215" s="156">
        <v>175</v>
      </c>
      <c r="P5215" s="12"/>
      <c r="Q5215" s="7">
        <f t="shared" si="1179"/>
        <v>8351687.3500000136</v>
      </c>
      <c r="R5215" s="44" t="str">
        <f>VLOOKUP(F5215,'Set up'!$A$2:$E$100,5,FALSE)</f>
        <v>Cash</v>
      </c>
    </row>
    <row r="5216" spans="1:18" ht="16.8" customHeight="1" x14ac:dyDescent="0.3">
      <c r="A5216" s="151" t="s">
        <v>4617</v>
      </c>
      <c r="B5216" s="5">
        <f t="shared" si="1174"/>
        <v>4</v>
      </c>
      <c r="C5216" s="5">
        <f t="shared" si="1175"/>
        <v>2026</v>
      </c>
      <c r="D5216" s="170" t="s">
        <v>4590</v>
      </c>
      <c r="E5216" s="5" t="str">
        <f>VLOOKUP(F5216,'Set up'!$A$2:$C$100,2,FALSE)</f>
        <v>C00000061</v>
      </c>
      <c r="F5216" s="150" t="s">
        <v>3532</v>
      </c>
      <c r="G5216" s="150" t="s">
        <v>3122</v>
      </c>
      <c r="H5216" s="150">
        <v>3</v>
      </c>
      <c r="I5216" s="5" t="str">
        <f>VLOOKUP(F5216,'Set up'!$A$2:$C$100,3,FALSE)</f>
        <v>Cash</v>
      </c>
      <c r="J5216" s="5">
        <f>VLOOKUP(F5216,'Set up'!$A$2:$D$100,4,FALSE)</f>
        <v>0</v>
      </c>
      <c r="K5216" s="4">
        <f t="shared" si="1176"/>
        <v>46119</v>
      </c>
      <c r="L5216" s="5">
        <f t="shared" si="1177"/>
        <v>4</v>
      </c>
      <c r="M5216" s="5">
        <f t="shared" si="1178"/>
        <v>2026</v>
      </c>
      <c r="N5216" s="156">
        <v>5737.5</v>
      </c>
      <c r="P5216" s="12"/>
      <c r="Q5216" s="7">
        <f t="shared" si="1179"/>
        <v>8358449.8500000136</v>
      </c>
      <c r="R5216" s="44" t="str">
        <f>VLOOKUP(F5216,'Set up'!$A$2:$E$100,5,FALSE)</f>
        <v>Cash</v>
      </c>
    </row>
    <row r="5217" spans="1:18" ht="16.8" customHeight="1" x14ac:dyDescent="0.3">
      <c r="A5217" s="151" t="s">
        <v>4617</v>
      </c>
      <c r="B5217" s="5">
        <f t="shared" si="1174"/>
        <v>4</v>
      </c>
      <c r="C5217" s="5">
        <f t="shared" si="1175"/>
        <v>2026</v>
      </c>
      <c r="D5217" s="170" t="s">
        <v>4590</v>
      </c>
      <c r="E5217" s="5" t="str">
        <f>VLOOKUP(F5217,'Set up'!$A$2:$C$100,2,FALSE)</f>
        <v>C00000061</v>
      </c>
      <c r="F5217" s="150" t="s">
        <v>3532</v>
      </c>
      <c r="G5217" s="150" t="s">
        <v>3639</v>
      </c>
      <c r="H5217" s="150">
        <v>2</v>
      </c>
      <c r="I5217" s="5" t="str">
        <f>VLOOKUP(F5217,'Set up'!$A$2:$C$100,3,FALSE)</f>
        <v>Cash</v>
      </c>
      <c r="J5217" s="5">
        <f>VLOOKUP(F5217,'Set up'!$A$2:$D$100,4,FALSE)</f>
        <v>0</v>
      </c>
      <c r="K5217" s="4">
        <f t="shared" si="1176"/>
        <v>46119</v>
      </c>
      <c r="L5217" s="5">
        <f t="shared" si="1177"/>
        <v>4</v>
      </c>
      <c r="M5217" s="5">
        <f t="shared" si="1178"/>
        <v>2026</v>
      </c>
      <c r="N5217" s="156">
        <v>817.4</v>
      </c>
      <c r="P5217" s="12"/>
      <c r="Q5217" s="7">
        <f t="shared" si="1179"/>
        <v>8353709.750000014</v>
      </c>
      <c r="R5217" s="44" t="str">
        <f>VLOOKUP(F5217,'Set up'!$A$2:$E$100,5,FALSE)</f>
        <v>Cash</v>
      </c>
    </row>
    <row r="5218" spans="1:18" ht="16.8" customHeight="1" x14ac:dyDescent="0.3">
      <c r="A5218" s="151" t="s">
        <v>4617</v>
      </c>
      <c r="B5218" s="5">
        <f t="shared" si="1174"/>
        <v>4</v>
      </c>
      <c r="C5218" s="5">
        <f t="shared" si="1175"/>
        <v>2026</v>
      </c>
      <c r="D5218" s="170" t="s">
        <v>4590</v>
      </c>
      <c r="E5218" s="5" t="str">
        <f>VLOOKUP(F5218,'Set up'!$A$2:$C$100,2,FALSE)</f>
        <v>C00000061</v>
      </c>
      <c r="F5218" s="150" t="s">
        <v>3532</v>
      </c>
      <c r="G5218" s="150" t="s">
        <v>945</v>
      </c>
      <c r="H5218" s="150">
        <v>2</v>
      </c>
      <c r="I5218" s="5" t="str">
        <f>VLOOKUP(F5218,'Set up'!$A$2:$C$100,3,FALSE)</f>
        <v>Cash</v>
      </c>
      <c r="J5218" s="5">
        <f>VLOOKUP(F5218,'Set up'!$A$2:$D$100,4,FALSE)</f>
        <v>0</v>
      </c>
      <c r="K5218" s="4">
        <f t="shared" si="1176"/>
        <v>46119</v>
      </c>
      <c r="L5218" s="5">
        <f t="shared" si="1177"/>
        <v>4</v>
      </c>
      <c r="M5218" s="5">
        <f t="shared" si="1178"/>
        <v>2026</v>
      </c>
      <c r="N5218" s="156">
        <v>230</v>
      </c>
      <c r="P5218" s="12"/>
      <c r="Q5218" s="7">
        <f t="shared" si="1179"/>
        <v>8354899.8500000136</v>
      </c>
      <c r="R5218" s="44" t="str">
        <f>VLOOKUP(F5218,'Set up'!$A$2:$E$100,5,FALSE)</f>
        <v>Cash</v>
      </c>
    </row>
    <row r="5219" spans="1:18" ht="16.8" customHeight="1" x14ac:dyDescent="0.3">
      <c r="A5219" s="151" t="s">
        <v>4617</v>
      </c>
      <c r="B5219" s="5">
        <f t="shared" si="1174"/>
        <v>4</v>
      </c>
      <c r="C5219" s="5">
        <f t="shared" si="1175"/>
        <v>2026</v>
      </c>
      <c r="D5219" s="170" t="s">
        <v>4590</v>
      </c>
      <c r="E5219" s="5" t="str">
        <f>VLOOKUP(F5219,'Set up'!$A$2:$C$100,2,FALSE)</f>
        <v>C00000061</v>
      </c>
      <c r="F5219" s="150" t="s">
        <v>3532</v>
      </c>
      <c r="G5219" s="150" t="s">
        <v>2635</v>
      </c>
      <c r="H5219" s="150">
        <v>10</v>
      </c>
      <c r="I5219" s="5" t="str">
        <f>VLOOKUP(F5219,'Set up'!$A$2:$C$100,3,FALSE)</f>
        <v>Cash</v>
      </c>
      <c r="J5219" s="5">
        <f>VLOOKUP(F5219,'Set up'!$A$2:$D$100,4,FALSE)</f>
        <v>0</v>
      </c>
      <c r="K5219" s="4">
        <f t="shared" si="1176"/>
        <v>46119</v>
      </c>
      <c r="L5219" s="5">
        <f t="shared" si="1177"/>
        <v>4</v>
      </c>
      <c r="M5219" s="5">
        <f t="shared" si="1178"/>
        <v>2026</v>
      </c>
      <c r="N5219" s="156">
        <v>525</v>
      </c>
      <c r="P5219" s="12"/>
      <c r="Q5219" s="7">
        <f t="shared" si="1179"/>
        <v>8355589.0500000138</v>
      </c>
      <c r="R5219" s="44" t="str">
        <f>VLOOKUP(F5219,'Set up'!$A$2:$E$100,5,FALSE)</f>
        <v>Cash</v>
      </c>
    </row>
    <row r="5220" spans="1:18" ht="16.8" customHeight="1" x14ac:dyDescent="0.3">
      <c r="A5220" s="151" t="s">
        <v>4618</v>
      </c>
      <c r="B5220" s="5">
        <f t="shared" si="1174"/>
        <v>4</v>
      </c>
      <c r="C5220" s="5">
        <f t="shared" si="1175"/>
        <v>2026</v>
      </c>
      <c r="D5220" s="170" t="s">
        <v>4591</v>
      </c>
      <c r="E5220" s="5" t="str">
        <f>VLOOKUP(F5220,'Set up'!$A$2:$C$100,2,FALSE)</f>
        <v>C00000064</v>
      </c>
      <c r="F5220" s="150" t="s">
        <v>4059</v>
      </c>
      <c r="G5220" s="150" t="s">
        <v>1997</v>
      </c>
      <c r="H5220" s="150">
        <v>1</v>
      </c>
      <c r="I5220" s="5" t="str">
        <f>VLOOKUP(F5220,'Set up'!$A$2:$C$100,3,FALSE)</f>
        <v>Cash</v>
      </c>
      <c r="J5220" s="5">
        <f>VLOOKUP(F5220,'Set up'!$A$2:$D$100,4,FALSE)</f>
        <v>0</v>
      </c>
      <c r="K5220" s="4">
        <f t="shared" si="1176"/>
        <v>46120</v>
      </c>
      <c r="L5220" s="5">
        <f t="shared" si="1177"/>
        <v>4</v>
      </c>
      <c r="M5220" s="5">
        <f t="shared" si="1178"/>
        <v>2026</v>
      </c>
      <c r="N5220" s="156">
        <v>3100</v>
      </c>
      <c r="P5220" s="12"/>
      <c r="Q5220" s="7">
        <f t="shared" si="1179"/>
        <v>8359941.5500000138</v>
      </c>
      <c r="R5220" s="44" t="str">
        <f>VLOOKUP(F5220,'Set up'!$A$2:$E$100,5,FALSE)</f>
        <v>Cash</v>
      </c>
    </row>
    <row r="5221" spans="1:18" ht="16.8" customHeight="1" x14ac:dyDescent="0.3">
      <c r="A5221" s="151" t="s">
        <v>4618</v>
      </c>
      <c r="B5221" s="5">
        <f t="shared" si="1174"/>
        <v>4</v>
      </c>
      <c r="C5221" s="5">
        <f t="shared" si="1175"/>
        <v>2026</v>
      </c>
      <c r="D5221" s="170" t="s">
        <v>4591</v>
      </c>
      <c r="E5221" s="5" t="str">
        <f>VLOOKUP(F5221,'Set up'!$A$2:$C$100,2,FALSE)</f>
        <v>C00000064</v>
      </c>
      <c r="F5221" s="150" t="s">
        <v>4059</v>
      </c>
      <c r="G5221" s="150" t="s">
        <v>1543</v>
      </c>
      <c r="H5221" s="150">
        <v>2</v>
      </c>
      <c r="I5221" s="5" t="str">
        <f>VLOOKUP(F5221,'Set up'!$A$2:$C$100,3,FALSE)</f>
        <v>Cash</v>
      </c>
      <c r="J5221" s="5">
        <f>VLOOKUP(F5221,'Set up'!$A$2:$D$100,4,FALSE)</f>
        <v>0</v>
      </c>
      <c r="K5221" s="4">
        <f t="shared" si="1176"/>
        <v>46120</v>
      </c>
      <c r="L5221" s="5">
        <f t="shared" si="1177"/>
        <v>4</v>
      </c>
      <c r="M5221" s="5">
        <f t="shared" si="1178"/>
        <v>2026</v>
      </c>
      <c r="N5221" s="156">
        <v>432</v>
      </c>
      <c r="P5221" s="12"/>
      <c r="Q5221" s="7">
        <f t="shared" si="1179"/>
        <v>8357705.5500000138</v>
      </c>
      <c r="R5221" s="44" t="str">
        <f>VLOOKUP(F5221,'Set up'!$A$2:$E$100,5,FALSE)</f>
        <v>Cash</v>
      </c>
    </row>
    <row r="5222" spans="1:18" ht="16.8" customHeight="1" x14ac:dyDescent="0.3">
      <c r="A5222" s="151" t="s">
        <v>4618</v>
      </c>
      <c r="B5222" s="5">
        <f t="shared" si="1174"/>
        <v>4</v>
      </c>
      <c r="C5222" s="5">
        <f t="shared" si="1175"/>
        <v>2026</v>
      </c>
      <c r="D5222" s="170" t="s">
        <v>4591</v>
      </c>
      <c r="E5222" s="5" t="str">
        <f>VLOOKUP(F5222,'Set up'!$A$2:$C$100,2,FALSE)</f>
        <v>C00000064</v>
      </c>
      <c r="F5222" s="150" t="s">
        <v>4059</v>
      </c>
      <c r="G5222" s="150" t="s">
        <v>46</v>
      </c>
      <c r="H5222" s="150">
        <v>1</v>
      </c>
      <c r="I5222" s="5" t="str">
        <f>VLOOKUP(F5222,'Set up'!$A$2:$C$100,3,FALSE)</f>
        <v>Cash</v>
      </c>
      <c r="J5222" s="5">
        <f>VLOOKUP(F5222,'Set up'!$A$2:$D$100,4,FALSE)</f>
        <v>0</v>
      </c>
      <c r="K5222" s="4">
        <f t="shared" si="1176"/>
        <v>46120</v>
      </c>
      <c r="L5222" s="5">
        <f t="shared" si="1177"/>
        <v>4</v>
      </c>
      <c r="M5222" s="5">
        <f t="shared" si="1178"/>
        <v>2026</v>
      </c>
      <c r="N5222" s="156">
        <v>120</v>
      </c>
      <c r="P5222" s="12"/>
      <c r="Q5222" s="7">
        <f t="shared" si="1179"/>
        <v>8357558.5500000138</v>
      </c>
      <c r="R5222" s="44" t="str">
        <f>VLOOKUP(F5222,'Set up'!$A$2:$E$100,5,FALSE)</f>
        <v>Cash</v>
      </c>
    </row>
    <row r="5223" spans="1:18" ht="16.8" customHeight="1" x14ac:dyDescent="0.3">
      <c r="A5223" s="151" t="s">
        <v>4619</v>
      </c>
      <c r="B5223" s="5">
        <f t="shared" si="1174"/>
        <v>4</v>
      </c>
      <c r="C5223" s="5">
        <f t="shared" si="1175"/>
        <v>2026</v>
      </c>
      <c r="D5223" s="170" t="s">
        <v>4592</v>
      </c>
      <c r="E5223" s="5" t="str">
        <f>VLOOKUP(F5223,'Set up'!$A$2:$C$100,2,FALSE)</f>
        <v>C00000006</v>
      </c>
      <c r="F5223" s="150" t="s">
        <v>43</v>
      </c>
      <c r="G5223" s="150" t="s">
        <v>3122</v>
      </c>
      <c r="H5223" s="150">
        <v>1</v>
      </c>
      <c r="I5223" s="5" t="str">
        <f>VLOOKUP(F5223,'Set up'!$A$2:$C$100,3,FALSE)</f>
        <v>Cash</v>
      </c>
      <c r="J5223" s="5">
        <f>VLOOKUP(F5223,'Set up'!$A$2:$D$100,4,FALSE)</f>
        <v>0</v>
      </c>
      <c r="K5223" s="4">
        <f t="shared" si="1176"/>
        <v>46121</v>
      </c>
      <c r="L5223" s="5">
        <f t="shared" si="1177"/>
        <v>4</v>
      </c>
      <c r="M5223" s="5">
        <f t="shared" si="1178"/>
        <v>2026</v>
      </c>
      <c r="N5223" s="156">
        <v>1755</v>
      </c>
      <c r="P5223" s="12"/>
      <c r="Q5223" s="7">
        <f t="shared" si="1179"/>
        <v>8359318.5500000138</v>
      </c>
      <c r="R5223" s="44" t="str">
        <f>VLOOKUP(F5223,'Set up'!$A$2:$E$100,5,FALSE)</f>
        <v>Chq</v>
      </c>
    </row>
    <row r="5224" spans="1:18" ht="16.8" customHeight="1" x14ac:dyDescent="0.3">
      <c r="A5224" s="151" t="s">
        <v>4619</v>
      </c>
      <c r="B5224" s="5">
        <f t="shared" si="1174"/>
        <v>4</v>
      </c>
      <c r="C5224" s="5">
        <f t="shared" si="1175"/>
        <v>2026</v>
      </c>
      <c r="D5224" s="170" t="s">
        <v>4592</v>
      </c>
      <c r="E5224" s="5" t="str">
        <f>VLOOKUP(F5224,'Set up'!$A$2:$C$100,2,FALSE)</f>
        <v>C00000006</v>
      </c>
      <c r="F5224" s="150" t="s">
        <v>43</v>
      </c>
      <c r="G5224" s="150" t="s">
        <v>1796</v>
      </c>
      <c r="H5224" s="150">
        <v>2</v>
      </c>
      <c r="I5224" s="5" t="str">
        <f>VLOOKUP(F5224,'Set up'!$A$2:$C$100,3,FALSE)</f>
        <v>Cash</v>
      </c>
      <c r="J5224" s="5">
        <f>VLOOKUP(F5224,'Set up'!$A$2:$D$100,4,FALSE)</f>
        <v>0</v>
      </c>
      <c r="K5224" s="4">
        <f t="shared" si="1176"/>
        <v>46121</v>
      </c>
      <c r="L5224" s="5">
        <f t="shared" si="1177"/>
        <v>4</v>
      </c>
      <c r="M5224" s="5">
        <f t="shared" si="1178"/>
        <v>2026</v>
      </c>
      <c r="N5224" s="156">
        <v>432</v>
      </c>
      <c r="P5224" s="12"/>
      <c r="Q5224" s="7">
        <f t="shared" si="1179"/>
        <v>8364115.5500000138</v>
      </c>
      <c r="R5224" s="44" t="str">
        <f>VLOOKUP(F5224,'Set up'!$A$2:$E$100,5,FALSE)</f>
        <v>Chq</v>
      </c>
    </row>
    <row r="5225" spans="1:18" ht="16.8" customHeight="1" x14ac:dyDescent="0.3">
      <c r="A5225" s="151" t="s">
        <v>4619</v>
      </c>
      <c r="B5225" s="5">
        <f t="shared" si="1174"/>
        <v>4</v>
      </c>
      <c r="C5225" s="5">
        <f t="shared" si="1175"/>
        <v>2026</v>
      </c>
      <c r="D5225" s="170" t="s">
        <v>4592</v>
      </c>
      <c r="E5225" s="5" t="str">
        <f>VLOOKUP(F5225,'Set up'!$A$2:$C$100,2,FALSE)</f>
        <v>C00000006</v>
      </c>
      <c r="F5225" s="150" t="s">
        <v>43</v>
      </c>
      <c r="G5225" s="150" t="s">
        <v>1831</v>
      </c>
      <c r="H5225" s="150">
        <v>1</v>
      </c>
      <c r="I5225" s="5" t="str">
        <f>VLOOKUP(F5225,'Set up'!$A$2:$C$100,3,FALSE)</f>
        <v>Cash</v>
      </c>
      <c r="J5225" s="5">
        <f>VLOOKUP(F5225,'Set up'!$A$2:$D$100,4,FALSE)</f>
        <v>0</v>
      </c>
      <c r="K5225" s="4">
        <f t="shared" si="1176"/>
        <v>46121</v>
      </c>
      <c r="L5225" s="5">
        <f t="shared" si="1177"/>
        <v>4</v>
      </c>
      <c r="M5225" s="5">
        <f t="shared" si="1178"/>
        <v>2026</v>
      </c>
      <c r="N5225" s="156">
        <v>216</v>
      </c>
      <c r="P5225" s="12"/>
      <c r="Q5225" s="7">
        <f t="shared" si="1179"/>
        <v>8365315.5500000138</v>
      </c>
      <c r="R5225" s="44" t="str">
        <f>VLOOKUP(F5225,'Set up'!$A$2:$E$100,5,FALSE)</f>
        <v>Chq</v>
      </c>
    </row>
    <row r="5226" spans="1:18" ht="16.8" customHeight="1" x14ac:dyDescent="0.3">
      <c r="A5226" s="151" t="s">
        <v>4619</v>
      </c>
      <c r="B5226" s="5">
        <f t="shared" si="1174"/>
        <v>4</v>
      </c>
      <c r="C5226" s="5">
        <f t="shared" si="1175"/>
        <v>2026</v>
      </c>
      <c r="D5226" s="170" t="s">
        <v>4592</v>
      </c>
      <c r="E5226" s="5" t="str">
        <f>VLOOKUP(F5226,'Set up'!$A$2:$C$100,2,FALSE)</f>
        <v>C00000006</v>
      </c>
      <c r="F5226" s="150" t="s">
        <v>43</v>
      </c>
      <c r="G5226" s="150" t="s">
        <v>46</v>
      </c>
      <c r="H5226" s="150">
        <v>2</v>
      </c>
      <c r="I5226" s="5" t="str">
        <f>VLOOKUP(F5226,'Set up'!$A$2:$C$100,3,FALSE)</f>
        <v>Cash</v>
      </c>
      <c r="J5226" s="5">
        <f>VLOOKUP(F5226,'Set up'!$A$2:$D$100,4,FALSE)</f>
        <v>0</v>
      </c>
      <c r="K5226" s="4">
        <f t="shared" si="1176"/>
        <v>46121</v>
      </c>
      <c r="L5226" s="5">
        <f t="shared" si="1177"/>
        <v>4</v>
      </c>
      <c r="M5226" s="5">
        <f t="shared" si="1178"/>
        <v>2026</v>
      </c>
      <c r="N5226" s="156">
        <v>230</v>
      </c>
      <c r="P5226" s="12"/>
      <c r="Q5226" s="7">
        <f t="shared" si="1179"/>
        <v>8367165.5500000138</v>
      </c>
      <c r="R5226" s="44" t="str">
        <f>VLOOKUP(F5226,'Set up'!$A$2:$E$100,5,FALSE)</f>
        <v>Chq</v>
      </c>
    </row>
    <row r="5227" spans="1:18" ht="16.8" customHeight="1" x14ac:dyDescent="0.3">
      <c r="A5227" s="151" t="s">
        <v>4620</v>
      </c>
      <c r="B5227" s="5">
        <f t="shared" si="1174"/>
        <v>4</v>
      </c>
      <c r="C5227" s="5">
        <f t="shared" si="1175"/>
        <v>2026</v>
      </c>
      <c r="D5227" s="170" t="s">
        <v>4593</v>
      </c>
      <c r="E5227" s="5" t="e">
        <f>VLOOKUP(F5227,'Set up'!$A$2:$C$100,2,FALSE)</f>
        <v>#N/A</v>
      </c>
      <c r="F5227" s="150" t="s">
        <v>4130</v>
      </c>
      <c r="G5227" s="150" t="s">
        <v>3122</v>
      </c>
      <c r="H5227" s="150">
        <v>1</v>
      </c>
      <c r="I5227" s="5" t="e">
        <f>VLOOKUP(F5227,'Set up'!$A$2:$C$100,3,FALSE)</f>
        <v>#N/A</v>
      </c>
      <c r="J5227" s="5" t="e">
        <f>VLOOKUP(F5227,'Set up'!$A$2:$D$100,4,FALSE)</f>
        <v>#N/A</v>
      </c>
      <c r="K5227" s="4" t="e">
        <f t="shared" si="1176"/>
        <v>#N/A</v>
      </c>
      <c r="L5227" s="5" t="e">
        <f t="shared" si="1177"/>
        <v>#N/A</v>
      </c>
      <c r="M5227" s="5" t="e">
        <f t="shared" si="1178"/>
        <v>#N/A</v>
      </c>
      <c r="N5227" s="156">
        <v>1912.5</v>
      </c>
      <c r="P5227" s="12"/>
      <c r="Q5227" s="7">
        <f t="shared" si="1179"/>
        <v>8378568.0500000138</v>
      </c>
      <c r="R5227" s="44" t="e">
        <f>VLOOKUP(F5227,'Set up'!$A$2:$E$100,5,FALSE)</f>
        <v>#N/A</v>
      </c>
    </row>
    <row r="5228" spans="1:18" ht="16.8" customHeight="1" x14ac:dyDescent="0.3">
      <c r="A5228" s="151" t="s">
        <v>4620</v>
      </c>
      <c r="B5228" s="5">
        <f t="shared" si="1174"/>
        <v>4</v>
      </c>
      <c r="C5228" s="5">
        <f t="shared" si="1175"/>
        <v>2026</v>
      </c>
      <c r="D5228" s="170" t="s">
        <v>4593</v>
      </c>
      <c r="E5228" s="5" t="e">
        <f>VLOOKUP(F5228,'Set up'!$A$2:$C$100,2,FALSE)</f>
        <v>#N/A</v>
      </c>
      <c r="F5228" s="150" t="s">
        <v>4130</v>
      </c>
      <c r="G5228" s="150" t="s">
        <v>2143</v>
      </c>
      <c r="H5228" s="150">
        <v>1</v>
      </c>
      <c r="I5228" s="5" t="e">
        <f>VLOOKUP(F5228,'Set up'!$A$2:$C$100,3,FALSE)</f>
        <v>#N/A</v>
      </c>
      <c r="J5228" s="5" t="e">
        <f>VLOOKUP(F5228,'Set up'!$A$2:$D$100,4,FALSE)</f>
        <v>#N/A</v>
      </c>
      <c r="K5228" s="4" t="e">
        <f t="shared" si="1176"/>
        <v>#N/A</v>
      </c>
      <c r="L5228" s="5" t="e">
        <f t="shared" si="1177"/>
        <v>#N/A</v>
      </c>
      <c r="M5228" s="5" t="e">
        <f t="shared" si="1178"/>
        <v>#N/A</v>
      </c>
      <c r="N5228" s="156">
        <v>489.1</v>
      </c>
      <c r="P5228" s="12"/>
      <c r="Q5228" s="7">
        <f t="shared" si="1179"/>
        <v>8379347.8500000136</v>
      </c>
      <c r="R5228" s="44" t="e">
        <f>VLOOKUP(F5228,'Set up'!$A$2:$E$100,5,FALSE)</f>
        <v>#N/A</v>
      </c>
    </row>
    <row r="5229" spans="1:18" ht="16.8" customHeight="1" x14ac:dyDescent="0.3">
      <c r="A5229" s="151" t="s">
        <v>4620</v>
      </c>
      <c r="B5229" s="5">
        <f t="shared" si="1174"/>
        <v>4</v>
      </c>
      <c r="C5229" s="5">
        <f t="shared" si="1175"/>
        <v>2026</v>
      </c>
      <c r="D5229" s="170" t="s">
        <v>4593</v>
      </c>
      <c r="E5229" s="5" t="e">
        <f>VLOOKUP(F5229,'Set up'!$A$2:$C$100,2,FALSE)</f>
        <v>#N/A</v>
      </c>
      <c r="F5229" s="150" t="s">
        <v>4130</v>
      </c>
      <c r="G5229" s="150" t="s">
        <v>2556</v>
      </c>
      <c r="H5229" s="150">
        <v>1</v>
      </c>
      <c r="I5229" s="5" t="e">
        <f>VLOOKUP(F5229,'Set up'!$A$2:$C$100,3,FALSE)</f>
        <v>#N/A</v>
      </c>
      <c r="J5229" s="5" t="e">
        <f>VLOOKUP(F5229,'Set up'!$A$2:$D$100,4,FALSE)</f>
        <v>#N/A</v>
      </c>
      <c r="K5229" s="4" t="e">
        <f t="shared" si="1176"/>
        <v>#N/A</v>
      </c>
      <c r="L5229" s="5" t="e">
        <f t="shared" si="1177"/>
        <v>#N/A</v>
      </c>
      <c r="M5229" s="5" t="e">
        <f t="shared" si="1178"/>
        <v>#N/A</v>
      </c>
      <c r="N5229" s="156">
        <v>394.2</v>
      </c>
      <c r="P5229" s="12"/>
      <c r="Q5229" s="7">
        <f t="shared" si="1179"/>
        <v>8380354.5500000138</v>
      </c>
      <c r="R5229" s="44" t="e">
        <f>VLOOKUP(F5229,'Set up'!$A$2:$E$100,5,FALSE)</f>
        <v>#N/A</v>
      </c>
    </row>
    <row r="5230" spans="1:18" ht="16.8" customHeight="1" x14ac:dyDescent="0.3">
      <c r="A5230" s="151" t="s">
        <v>4620</v>
      </c>
      <c r="B5230" s="5">
        <f t="shared" si="1174"/>
        <v>4</v>
      </c>
      <c r="C5230" s="5">
        <f t="shared" si="1175"/>
        <v>2026</v>
      </c>
      <c r="D5230" s="170" t="s">
        <v>4593</v>
      </c>
      <c r="E5230" s="5" t="e">
        <f>VLOOKUP(F5230,'Set up'!$A$2:$C$100,2,FALSE)</f>
        <v>#N/A</v>
      </c>
      <c r="F5230" s="150" t="s">
        <v>4130</v>
      </c>
      <c r="G5230" s="150" t="s">
        <v>4204</v>
      </c>
      <c r="H5230" s="150">
        <v>1</v>
      </c>
      <c r="I5230" s="5" t="e">
        <f>VLOOKUP(F5230,'Set up'!$A$2:$C$100,3,FALSE)</f>
        <v>#N/A</v>
      </c>
      <c r="J5230" s="5" t="e">
        <f>VLOOKUP(F5230,'Set up'!$A$2:$D$100,4,FALSE)</f>
        <v>#N/A</v>
      </c>
      <c r="K5230" s="4" t="e">
        <f t="shared" si="1176"/>
        <v>#N/A</v>
      </c>
      <c r="L5230" s="5" t="e">
        <f t="shared" si="1177"/>
        <v>#N/A</v>
      </c>
      <c r="M5230" s="5" t="e">
        <f t="shared" si="1178"/>
        <v>#N/A</v>
      </c>
      <c r="N5230" s="156">
        <v>160</v>
      </c>
      <c r="P5230" s="12"/>
      <c r="Q5230" s="7">
        <f t="shared" si="1179"/>
        <v>8380600.3500000136</v>
      </c>
      <c r="R5230" s="44" t="e">
        <f>VLOOKUP(F5230,'Set up'!$A$2:$E$100,5,FALSE)</f>
        <v>#N/A</v>
      </c>
    </row>
    <row r="5231" spans="1:18" ht="16.8" customHeight="1" x14ac:dyDescent="0.3">
      <c r="A5231" s="151" t="s">
        <v>4620</v>
      </c>
      <c r="B5231" s="5">
        <f t="shared" si="1174"/>
        <v>4</v>
      </c>
      <c r="C5231" s="5">
        <f t="shared" si="1175"/>
        <v>2026</v>
      </c>
      <c r="D5231" s="170" t="s">
        <v>4594</v>
      </c>
      <c r="E5231" s="5" t="str">
        <f>VLOOKUP(F5231,'Set up'!$A$2:$C$100,2,FALSE)</f>
        <v>C00000042</v>
      </c>
      <c r="F5231" s="150" t="s">
        <v>2012</v>
      </c>
      <c r="G5231" s="150" t="s">
        <v>2646</v>
      </c>
      <c r="H5231" s="150">
        <v>4</v>
      </c>
      <c r="I5231" s="5" t="str">
        <f>VLOOKUP(F5231,'Set up'!$A$2:$C$100,3,FALSE)</f>
        <v>Cash</v>
      </c>
      <c r="J5231" s="5">
        <f>VLOOKUP(F5231,'Set up'!$A$2:$D$100,4,FALSE)</f>
        <v>0</v>
      </c>
      <c r="K5231" s="4">
        <f t="shared" si="1176"/>
        <v>46122</v>
      </c>
      <c r="L5231" s="5">
        <f t="shared" si="1177"/>
        <v>4</v>
      </c>
      <c r="M5231" s="5">
        <f t="shared" si="1178"/>
        <v>2026</v>
      </c>
      <c r="N5231" s="156">
        <v>250</v>
      </c>
      <c r="P5231" s="12"/>
      <c r="Q5231" s="7">
        <f t="shared" si="1179"/>
        <v>8381240.3500000136</v>
      </c>
      <c r="R5231" s="44" t="str">
        <f>VLOOKUP(F5231,'Set up'!$A$2:$E$100,5,FALSE)</f>
        <v>Trsf</v>
      </c>
    </row>
    <row r="5232" spans="1:18" ht="16.8" customHeight="1" x14ac:dyDescent="0.3">
      <c r="A5232" s="151" t="s">
        <v>4620</v>
      </c>
      <c r="B5232" s="5">
        <f t="shared" si="1174"/>
        <v>4</v>
      </c>
      <c r="C5232" s="5">
        <f t="shared" si="1175"/>
        <v>2026</v>
      </c>
      <c r="D5232" s="170" t="s">
        <v>4595</v>
      </c>
      <c r="E5232" s="5" t="str">
        <f>VLOOKUP(F5232,'Set up'!$A$2:$C$100,2,FALSE)</f>
        <v>C00000042</v>
      </c>
      <c r="F5232" s="150" t="s">
        <v>2012</v>
      </c>
      <c r="G5232" s="150" t="s">
        <v>3645</v>
      </c>
      <c r="H5232" s="150">
        <v>4</v>
      </c>
      <c r="I5232" s="5" t="str">
        <f>VLOOKUP(F5232,'Set up'!$A$2:$C$100,3,FALSE)</f>
        <v>Cash</v>
      </c>
      <c r="J5232" s="5">
        <f>VLOOKUP(F5232,'Set up'!$A$2:$D$100,4,FALSE)</f>
        <v>0</v>
      </c>
      <c r="K5232" s="4">
        <f t="shared" si="1176"/>
        <v>46122</v>
      </c>
      <c r="L5232" s="5">
        <f t="shared" si="1177"/>
        <v>4</v>
      </c>
      <c r="M5232" s="5">
        <f t="shared" si="1178"/>
        <v>2026</v>
      </c>
      <c r="N5232" s="156">
        <v>7110</v>
      </c>
      <c r="P5232" s="12"/>
      <c r="Q5232" s="7">
        <f t="shared" si="1179"/>
        <v>8388460.3500000136</v>
      </c>
      <c r="R5232" s="44" t="str">
        <f>VLOOKUP(F5232,'Set up'!$A$2:$E$100,5,FALSE)</f>
        <v>Trsf</v>
      </c>
    </row>
    <row r="5233" spans="1:18" ht="16.8" customHeight="1" x14ac:dyDescent="0.3">
      <c r="A5233" s="151" t="s">
        <v>4620</v>
      </c>
      <c r="B5233" s="5">
        <f t="shared" si="1174"/>
        <v>4</v>
      </c>
      <c r="C5233" s="5">
        <f t="shared" si="1175"/>
        <v>2026</v>
      </c>
      <c r="D5233" s="170" t="s">
        <v>4595</v>
      </c>
      <c r="E5233" s="5" t="str">
        <f>VLOOKUP(F5233,'Set up'!$A$2:$C$100,2,FALSE)</f>
        <v>C00000042</v>
      </c>
      <c r="F5233" s="150" t="s">
        <v>2012</v>
      </c>
      <c r="G5233" s="150" t="s">
        <v>3122</v>
      </c>
      <c r="H5233" s="150">
        <v>2</v>
      </c>
      <c r="I5233" s="5" t="str">
        <f>VLOOKUP(F5233,'Set up'!$A$2:$C$100,3,FALSE)</f>
        <v>Cash</v>
      </c>
      <c r="J5233" s="5">
        <f>VLOOKUP(F5233,'Set up'!$A$2:$D$100,4,FALSE)</f>
        <v>0</v>
      </c>
      <c r="K5233" s="4">
        <f t="shared" si="1176"/>
        <v>46122</v>
      </c>
      <c r="L5233" s="5">
        <f t="shared" si="1177"/>
        <v>4</v>
      </c>
      <c r="M5233" s="5">
        <f t="shared" si="1178"/>
        <v>2026</v>
      </c>
      <c r="N5233" s="156">
        <v>3555</v>
      </c>
      <c r="P5233" s="12"/>
      <c r="Q5233" s="7">
        <f t="shared" si="1179"/>
        <v>8385705.3500000136</v>
      </c>
      <c r="R5233" s="44" t="str">
        <f>VLOOKUP(F5233,'Set up'!$A$2:$E$100,5,FALSE)</f>
        <v>Trsf</v>
      </c>
    </row>
    <row r="5234" spans="1:18" ht="16.8" customHeight="1" x14ac:dyDescent="0.3">
      <c r="A5234" s="151" t="s">
        <v>4620</v>
      </c>
      <c r="B5234" s="5">
        <f t="shared" si="1174"/>
        <v>4</v>
      </c>
      <c r="C5234" s="5">
        <f t="shared" si="1175"/>
        <v>2026</v>
      </c>
      <c r="D5234" s="170" t="s">
        <v>4595</v>
      </c>
      <c r="E5234" s="5" t="str">
        <f>VLOOKUP(F5234,'Set up'!$A$2:$C$100,2,FALSE)</f>
        <v>C00000042</v>
      </c>
      <c r="F5234" s="150" t="s">
        <v>2012</v>
      </c>
      <c r="G5234" s="150" t="s">
        <v>4634</v>
      </c>
      <c r="H5234" s="150">
        <v>1</v>
      </c>
      <c r="I5234" s="5" t="str">
        <f>VLOOKUP(F5234,'Set up'!$A$2:$C$100,3,FALSE)</f>
        <v>Cash</v>
      </c>
      <c r="J5234" s="5">
        <f>VLOOKUP(F5234,'Set up'!$A$2:$D$100,4,FALSE)</f>
        <v>0</v>
      </c>
      <c r="K5234" s="4">
        <f t="shared" si="1176"/>
        <v>46122</v>
      </c>
      <c r="L5234" s="5">
        <f t="shared" si="1177"/>
        <v>4</v>
      </c>
      <c r="M5234" s="5">
        <f t="shared" si="1178"/>
        <v>2026</v>
      </c>
      <c r="N5234" s="156">
        <v>1777.5</v>
      </c>
      <c r="P5234" s="12"/>
      <c r="Q5234" s="7">
        <f t="shared" si="1179"/>
        <v>8384437.8500000136</v>
      </c>
      <c r="R5234" s="44" t="str">
        <f>VLOOKUP(F5234,'Set up'!$A$2:$E$100,5,FALSE)</f>
        <v>Trsf</v>
      </c>
    </row>
    <row r="5235" spans="1:18" ht="16.8" customHeight="1" x14ac:dyDescent="0.3">
      <c r="A5235" s="151" t="s">
        <v>4620</v>
      </c>
      <c r="B5235" s="5">
        <f t="shared" si="1174"/>
        <v>4</v>
      </c>
      <c r="C5235" s="5">
        <f t="shared" si="1175"/>
        <v>2026</v>
      </c>
      <c r="D5235" s="170" t="s">
        <v>4595</v>
      </c>
      <c r="E5235" s="5" t="str">
        <f>VLOOKUP(F5235,'Set up'!$A$2:$C$100,2,FALSE)</f>
        <v>C00000042</v>
      </c>
      <c r="F5235" s="150" t="s">
        <v>2012</v>
      </c>
      <c r="G5235" s="150" t="s">
        <v>1392</v>
      </c>
      <c r="H5235" s="150">
        <v>21</v>
      </c>
      <c r="I5235" s="5" t="str">
        <f>VLOOKUP(F5235,'Set up'!$A$2:$C$100,3,FALSE)</f>
        <v>Cash</v>
      </c>
      <c r="J5235" s="5">
        <f>VLOOKUP(F5235,'Set up'!$A$2:$D$100,4,FALSE)</f>
        <v>0</v>
      </c>
      <c r="K5235" s="4">
        <f t="shared" si="1176"/>
        <v>46122</v>
      </c>
      <c r="L5235" s="5">
        <f t="shared" si="1177"/>
        <v>4</v>
      </c>
      <c r="M5235" s="5">
        <f t="shared" si="1178"/>
        <v>2026</v>
      </c>
      <c r="N5235" s="156">
        <v>3654</v>
      </c>
      <c r="P5235" s="12"/>
      <c r="Q5235" s="7">
        <f t="shared" si="1179"/>
        <v>8389734.3500000127</v>
      </c>
      <c r="R5235" s="44" t="str">
        <f>VLOOKUP(F5235,'Set up'!$A$2:$E$100,5,FALSE)</f>
        <v>Trsf</v>
      </c>
    </row>
    <row r="5236" spans="1:18" ht="16.8" customHeight="1" x14ac:dyDescent="0.3">
      <c r="A5236" s="151" t="s">
        <v>4620</v>
      </c>
      <c r="B5236" s="5">
        <f t="shared" si="1174"/>
        <v>4</v>
      </c>
      <c r="C5236" s="5">
        <f t="shared" si="1175"/>
        <v>2026</v>
      </c>
      <c r="D5236" s="170" t="s">
        <v>4595</v>
      </c>
      <c r="E5236" s="5" t="str">
        <f>VLOOKUP(F5236,'Set up'!$A$2:$C$100,2,FALSE)</f>
        <v>C00000042</v>
      </c>
      <c r="F5236" s="150" t="s">
        <v>2012</v>
      </c>
      <c r="G5236" s="150" t="s">
        <v>1922</v>
      </c>
      <c r="H5236" s="150">
        <v>12</v>
      </c>
      <c r="I5236" s="5" t="str">
        <f>VLOOKUP(F5236,'Set up'!$A$2:$C$100,3,FALSE)</f>
        <v>Cash</v>
      </c>
      <c r="J5236" s="5">
        <f>VLOOKUP(F5236,'Set up'!$A$2:$D$100,4,FALSE)</f>
        <v>0</v>
      </c>
      <c r="K5236" s="4">
        <f t="shared" si="1176"/>
        <v>46122</v>
      </c>
      <c r="L5236" s="5">
        <f t="shared" si="1177"/>
        <v>4</v>
      </c>
      <c r="M5236" s="5">
        <f t="shared" si="1178"/>
        <v>2026</v>
      </c>
      <c r="N5236" s="156">
        <v>2484</v>
      </c>
      <c r="P5236" s="12"/>
      <c r="Q5236" s="7">
        <f t="shared" si="1179"/>
        <v>8389043.9500000142</v>
      </c>
      <c r="R5236" s="44" t="str">
        <f>VLOOKUP(F5236,'Set up'!$A$2:$E$100,5,FALSE)</f>
        <v>Trsf</v>
      </c>
    </row>
    <row r="5237" spans="1:18" ht="16.8" customHeight="1" x14ac:dyDescent="0.3">
      <c r="A5237" s="151" t="s">
        <v>4620</v>
      </c>
      <c r="B5237" s="5">
        <f t="shared" si="1174"/>
        <v>4</v>
      </c>
      <c r="C5237" s="5">
        <f t="shared" si="1175"/>
        <v>2026</v>
      </c>
      <c r="D5237" s="170" t="s">
        <v>4595</v>
      </c>
      <c r="E5237" s="5" t="str">
        <f>VLOOKUP(F5237,'Set up'!$A$2:$C$100,2,FALSE)</f>
        <v>C00000042</v>
      </c>
      <c r="F5237" s="150" t="s">
        <v>2012</v>
      </c>
      <c r="G5237" s="150" t="s">
        <v>46</v>
      </c>
      <c r="H5237" s="150">
        <v>8</v>
      </c>
      <c r="I5237" s="5" t="str">
        <f>VLOOKUP(F5237,'Set up'!$A$2:$C$100,3,FALSE)</f>
        <v>Cash</v>
      </c>
      <c r="J5237" s="5">
        <f>VLOOKUP(F5237,'Set up'!$A$2:$D$100,4,FALSE)</f>
        <v>0</v>
      </c>
      <c r="K5237" s="4">
        <f t="shared" si="1176"/>
        <v>46122</v>
      </c>
      <c r="L5237" s="5">
        <f t="shared" si="1177"/>
        <v>4</v>
      </c>
      <c r="M5237" s="5">
        <f t="shared" si="1178"/>
        <v>2026</v>
      </c>
      <c r="N5237" s="156">
        <v>920</v>
      </c>
      <c r="P5237" s="12"/>
      <c r="Q5237" s="7">
        <f t="shared" si="1179"/>
        <v>8385402.8500000136</v>
      </c>
      <c r="R5237" s="44" t="str">
        <f>VLOOKUP(F5237,'Set up'!$A$2:$E$100,5,FALSE)</f>
        <v>Trsf</v>
      </c>
    </row>
    <row r="5238" spans="1:18" ht="16.8" customHeight="1" x14ac:dyDescent="0.3">
      <c r="A5238" s="151" t="s">
        <v>4620</v>
      </c>
      <c r="B5238" s="5">
        <f t="shared" si="1174"/>
        <v>4</v>
      </c>
      <c r="C5238" s="5">
        <f t="shared" si="1175"/>
        <v>2026</v>
      </c>
      <c r="D5238" s="170" t="s">
        <v>4595</v>
      </c>
      <c r="E5238" s="5" t="str">
        <f>VLOOKUP(F5238,'Set up'!$A$2:$C$100,2,FALSE)</f>
        <v>C00000042</v>
      </c>
      <c r="F5238" s="150" t="s">
        <v>2012</v>
      </c>
      <c r="G5238" s="150" t="s">
        <v>1073</v>
      </c>
      <c r="H5238" s="150">
        <v>1</v>
      </c>
      <c r="I5238" s="5" t="str">
        <f>VLOOKUP(F5238,'Set up'!$A$2:$C$100,3,FALSE)</f>
        <v>Cash</v>
      </c>
      <c r="J5238" s="5">
        <f>VLOOKUP(F5238,'Set up'!$A$2:$D$100,4,FALSE)</f>
        <v>0</v>
      </c>
      <c r="K5238" s="4">
        <f t="shared" si="1176"/>
        <v>46122</v>
      </c>
      <c r="L5238" s="5">
        <f t="shared" si="1177"/>
        <v>4</v>
      </c>
      <c r="M5238" s="5">
        <f t="shared" si="1178"/>
        <v>2026</v>
      </c>
      <c r="N5238" s="156">
        <v>1050</v>
      </c>
      <c r="P5238" s="12"/>
      <c r="Q5238" s="7">
        <f t="shared" si="1179"/>
        <v>8385762.8500000136</v>
      </c>
      <c r="R5238" s="44" t="str">
        <f>VLOOKUP(F5238,'Set up'!$A$2:$E$100,5,FALSE)</f>
        <v>Trsf</v>
      </c>
    </row>
    <row r="5239" spans="1:18" ht="16.8" customHeight="1" x14ac:dyDescent="0.3">
      <c r="A5239" s="151" t="s">
        <v>4621</v>
      </c>
      <c r="B5239" s="5">
        <f t="shared" si="1174"/>
        <v>4</v>
      </c>
      <c r="C5239" s="5">
        <f t="shared" si="1175"/>
        <v>2026</v>
      </c>
      <c r="D5239" s="170" t="s">
        <v>4596</v>
      </c>
      <c r="E5239" s="5" t="str">
        <f>VLOOKUP(F5239,'Set up'!$A$2:$C$100,2,FALSE)</f>
        <v>C00000019</v>
      </c>
      <c r="F5239" s="150" t="s">
        <v>400</v>
      </c>
      <c r="G5239" s="150" t="s">
        <v>3122</v>
      </c>
      <c r="H5239" s="150">
        <v>1</v>
      </c>
      <c r="I5239" s="5" t="str">
        <f>VLOOKUP(F5239,'Set up'!$A$2:$C$100,3,FALSE)</f>
        <v>Cash</v>
      </c>
      <c r="J5239" s="5">
        <f>VLOOKUP(F5239,'Set up'!$A$2:$D$100,4,FALSE)</f>
        <v>0</v>
      </c>
      <c r="K5239" s="4">
        <f t="shared" si="1176"/>
        <v>46126</v>
      </c>
      <c r="L5239" s="5">
        <f t="shared" si="1177"/>
        <v>4</v>
      </c>
      <c r="M5239" s="5">
        <f t="shared" si="1178"/>
        <v>2026</v>
      </c>
      <c r="N5239" s="156">
        <v>1912.5</v>
      </c>
      <c r="P5239" s="12"/>
      <c r="Q5239" s="7">
        <f t="shared" si="1179"/>
        <v>8388447.8500000136</v>
      </c>
      <c r="R5239" s="44" t="str">
        <f>VLOOKUP(F5239,'Set up'!$A$2:$E$100,5,FALSE)</f>
        <v>Trsf</v>
      </c>
    </row>
    <row r="5240" spans="1:18" ht="16.8" customHeight="1" x14ac:dyDescent="0.3">
      <c r="A5240" s="151" t="s">
        <v>4622</v>
      </c>
      <c r="B5240" s="5">
        <f t="shared" si="1174"/>
        <v>4</v>
      </c>
      <c r="C5240" s="5">
        <f t="shared" si="1175"/>
        <v>2026</v>
      </c>
      <c r="D5240" s="170" t="s">
        <v>4597</v>
      </c>
      <c r="E5240" s="5" t="str">
        <f>VLOOKUP(F5240,'Set up'!$A$2:$C$100,2,FALSE)</f>
        <v>C00000042</v>
      </c>
      <c r="F5240" s="150" t="s">
        <v>2012</v>
      </c>
      <c r="G5240" s="150" t="s">
        <v>2646</v>
      </c>
      <c r="H5240" s="150">
        <v>3</v>
      </c>
      <c r="I5240" s="5" t="str">
        <f>VLOOKUP(F5240,'Set up'!$A$2:$C$100,3,FALSE)</f>
        <v>Cash</v>
      </c>
      <c r="J5240" s="5">
        <f>VLOOKUP(F5240,'Set up'!$A$2:$D$100,4,FALSE)</f>
        <v>0</v>
      </c>
      <c r="K5240" s="4">
        <f t="shared" si="1176"/>
        <v>46127</v>
      </c>
      <c r="L5240" s="5">
        <f t="shared" si="1177"/>
        <v>4</v>
      </c>
      <c r="M5240" s="5">
        <f t="shared" si="1178"/>
        <v>2026</v>
      </c>
      <c r="N5240" s="156">
        <v>187.5</v>
      </c>
      <c r="P5240" s="12"/>
      <c r="Q5240" s="7">
        <f t="shared" si="1179"/>
        <v>8387117.0500000138</v>
      </c>
      <c r="R5240" s="44" t="str">
        <f>VLOOKUP(F5240,'Set up'!$A$2:$E$100,5,FALSE)</f>
        <v>Trsf</v>
      </c>
    </row>
    <row r="5241" spans="1:18" ht="16.8" customHeight="1" x14ac:dyDescent="0.3">
      <c r="A5241" s="151" t="s">
        <v>4622</v>
      </c>
      <c r="B5241" s="5">
        <f t="shared" si="1174"/>
        <v>4</v>
      </c>
      <c r="C5241" s="5">
        <f t="shared" si="1175"/>
        <v>2026</v>
      </c>
      <c r="D5241" s="170" t="s">
        <v>4598</v>
      </c>
      <c r="E5241" s="5" t="str">
        <f>VLOOKUP(F5241,'Set up'!$A$2:$C$100,2,FALSE)</f>
        <v>C00000042</v>
      </c>
      <c r="F5241" s="150" t="s">
        <v>2012</v>
      </c>
      <c r="G5241" s="150" t="s">
        <v>3645</v>
      </c>
      <c r="H5241" s="150">
        <v>7</v>
      </c>
      <c r="I5241" s="5" t="str">
        <f>VLOOKUP(F5241,'Set up'!$A$2:$C$100,3,FALSE)</f>
        <v>Cash</v>
      </c>
      <c r="J5241" s="5">
        <f>VLOOKUP(F5241,'Set up'!$A$2:$D$100,4,FALSE)</f>
        <v>0</v>
      </c>
      <c r="K5241" s="4">
        <f t="shared" si="1176"/>
        <v>46127</v>
      </c>
      <c r="L5241" s="5">
        <f t="shared" si="1177"/>
        <v>4</v>
      </c>
      <c r="M5241" s="5">
        <f t="shared" si="1178"/>
        <v>2026</v>
      </c>
      <c r="N5241" s="156">
        <v>12442.5</v>
      </c>
      <c r="P5241" s="12"/>
      <c r="Q5241" s="7">
        <f t="shared" si="1179"/>
        <v>8399658.0500000138</v>
      </c>
      <c r="R5241" s="44" t="str">
        <f>VLOOKUP(F5241,'Set up'!$A$2:$E$100,5,FALSE)</f>
        <v>Trsf</v>
      </c>
    </row>
    <row r="5242" spans="1:18" ht="16.8" customHeight="1" x14ac:dyDescent="0.3">
      <c r="A5242" s="151" t="s">
        <v>4622</v>
      </c>
      <c r="B5242" s="5">
        <f t="shared" si="1174"/>
        <v>4</v>
      </c>
      <c r="C5242" s="5">
        <f t="shared" si="1175"/>
        <v>2026</v>
      </c>
      <c r="D5242" s="170" t="s">
        <v>4598</v>
      </c>
      <c r="E5242" s="5" t="str">
        <f>VLOOKUP(F5242,'Set up'!$A$2:$C$100,2,FALSE)</f>
        <v>C00000042</v>
      </c>
      <c r="F5242" s="150" t="s">
        <v>2012</v>
      </c>
      <c r="G5242" s="150" t="s">
        <v>1392</v>
      </c>
      <c r="H5242" s="150">
        <v>7</v>
      </c>
      <c r="I5242" s="5" t="str">
        <f>VLOOKUP(F5242,'Set up'!$A$2:$C$100,3,FALSE)</f>
        <v>Cash</v>
      </c>
      <c r="J5242" s="5">
        <f>VLOOKUP(F5242,'Set up'!$A$2:$D$100,4,FALSE)</f>
        <v>0</v>
      </c>
      <c r="K5242" s="4">
        <f t="shared" si="1176"/>
        <v>46127</v>
      </c>
      <c r="L5242" s="5">
        <f t="shared" si="1177"/>
        <v>4</v>
      </c>
      <c r="M5242" s="5">
        <f t="shared" si="1178"/>
        <v>2026</v>
      </c>
      <c r="N5242" s="156">
        <v>1218</v>
      </c>
      <c r="P5242" s="12"/>
      <c r="Q5242" s="7">
        <f t="shared" si="1179"/>
        <v>8388593.5500000138</v>
      </c>
      <c r="R5242" s="44" t="str">
        <f>VLOOKUP(F5242,'Set up'!$A$2:$E$100,5,FALSE)</f>
        <v>Trsf</v>
      </c>
    </row>
    <row r="5243" spans="1:18" ht="16.8" customHeight="1" x14ac:dyDescent="0.3">
      <c r="A5243" s="151" t="s">
        <v>4622</v>
      </c>
      <c r="B5243" s="5">
        <f t="shared" si="1174"/>
        <v>4</v>
      </c>
      <c r="C5243" s="5">
        <f t="shared" si="1175"/>
        <v>2026</v>
      </c>
      <c r="D5243" s="170" t="s">
        <v>4598</v>
      </c>
      <c r="E5243" s="5" t="str">
        <f>VLOOKUP(F5243,'Set up'!$A$2:$C$100,2,FALSE)</f>
        <v>C00000042</v>
      </c>
      <c r="F5243" s="150" t="s">
        <v>2012</v>
      </c>
      <c r="G5243" s="150" t="s">
        <v>1922</v>
      </c>
      <c r="H5243" s="150">
        <v>8</v>
      </c>
      <c r="I5243" s="5" t="str">
        <f>VLOOKUP(F5243,'Set up'!$A$2:$C$100,3,FALSE)</f>
        <v>Cash</v>
      </c>
      <c r="J5243" s="5">
        <f>VLOOKUP(F5243,'Set up'!$A$2:$D$100,4,FALSE)</f>
        <v>0</v>
      </c>
      <c r="K5243" s="4">
        <f t="shared" si="1176"/>
        <v>46127</v>
      </c>
      <c r="L5243" s="5">
        <f t="shared" si="1177"/>
        <v>4</v>
      </c>
      <c r="M5243" s="5">
        <f t="shared" si="1178"/>
        <v>2026</v>
      </c>
      <c r="N5243" s="156">
        <v>1656</v>
      </c>
      <c r="P5243" s="12"/>
      <c r="Q5243" s="7">
        <f t="shared" si="1179"/>
        <v>8389156.5500000138</v>
      </c>
      <c r="R5243" s="44" t="str">
        <f>VLOOKUP(F5243,'Set up'!$A$2:$E$100,5,FALSE)</f>
        <v>Trsf</v>
      </c>
    </row>
    <row r="5244" spans="1:18" ht="16.8" customHeight="1" x14ac:dyDescent="0.3">
      <c r="A5244" s="151" t="s">
        <v>4622</v>
      </c>
      <c r="B5244" s="5">
        <f t="shared" si="1174"/>
        <v>4</v>
      </c>
      <c r="C5244" s="5">
        <f t="shared" si="1175"/>
        <v>2026</v>
      </c>
      <c r="D5244" s="170" t="s">
        <v>4598</v>
      </c>
      <c r="E5244" s="5" t="str">
        <f>VLOOKUP(F5244,'Set up'!$A$2:$C$100,2,FALSE)</f>
        <v>C00000042</v>
      </c>
      <c r="F5244" s="150" t="s">
        <v>2012</v>
      </c>
      <c r="G5244" s="150" t="s">
        <v>46</v>
      </c>
      <c r="H5244" s="150">
        <v>4</v>
      </c>
      <c r="I5244" s="5" t="str">
        <f>VLOOKUP(F5244,'Set up'!$A$2:$C$100,3,FALSE)</f>
        <v>Cash</v>
      </c>
      <c r="J5244" s="5">
        <f>VLOOKUP(F5244,'Set up'!$A$2:$D$100,4,FALSE)</f>
        <v>0</v>
      </c>
      <c r="K5244" s="4">
        <f t="shared" si="1176"/>
        <v>46127</v>
      </c>
      <c r="L5244" s="5">
        <f t="shared" si="1177"/>
        <v>4</v>
      </c>
      <c r="M5244" s="5">
        <f t="shared" si="1178"/>
        <v>2026</v>
      </c>
      <c r="N5244" s="156">
        <v>460</v>
      </c>
      <c r="P5244" s="12"/>
      <c r="Q5244" s="7">
        <f t="shared" si="1179"/>
        <v>8389783.0500000138</v>
      </c>
      <c r="R5244" s="44" t="str">
        <f>VLOOKUP(F5244,'Set up'!$A$2:$E$100,5,FALSE)</f>
        <v>Trsf</v>
      </c>
    </row>
    <row r="5245" spans="1:18" ht="16.8" customHeight="1" x14ac:dyDescent="0.3">
      <c r="A5245" s="151" t="s">
        <v>4623</v>
      </c>
      <c r="B5245" s="5">
        <f t="shared" si="1174"/>
        <v>4</v>
      </c>
      <c r="C5245" s="5">
        <f t="shared" si="1175"/>
        <v>2026</v>
      </c>
      <c r="D5245" s="170" t="s">
        <v>4599</v>
      </c>
      <c r="E5245" s="5" t="str">
        <f>VLOOKUP(F5245,'Set up'!$A$2:$C$100,2,FALSE)</f>
        <v>C00000044</v>
      </c>
      <c r="F5245" s="150" t="s">
        <v>2929</v>
      </c>
      <c r="G5245" s="150" t="s">
        <v>4635</v>
      </c>
      <c r="H5245" s="150">
        <v>1</v>
      </c>
      <c r="I5245" s="5" t="str">
        <f>VLOOKUP(F5245,'Set up'!$A$2:$C$100,3,FALSE)</f>
        <v>Cash</v>
      </c>
      <c r="J5245" s="5">
        <f>VLOOKUP(F5245,'Set up'!$A$2:$D$100,4,FALSE)</f>
        <v>0</v>
      </c>
      <c r="K5245" s="4">
        <f t="shared" si="1176"/>
        <v>46128</v>
      </c>
      <c r="L5245" s="5">
        <f t="shared" si="1177"/>
        <v>4</v>
      </c>
      <c r="M5245" s="5">
        <f t="shared" si="1178"/>
        <v>2026</v>
      </c>
      <c r="N5245" s="156">
        <v>1912.5</v>
      </c>
      <c r="P5245" s="12"/>
      <c r="Q5245" s="7">
        <f t="shared" si="1179"/>
        <v>8391667.5500000138</v>
      </c>
      <c r="R5245" s="44" t="str">
        <f>VLOOKUP(F5245,'Set up'!$A$2:$E$100,5,FALSE)</f>
        <v>Cash</v>
      </c>
    </row>
    <row r="5246" spans="1:18" ht="16.8" customHeight="1" x14ac:dyDescent="0.3">
      <c r="A5246" s="151" t="s">
        <v>4623</v>
      </c>
      <c r="B5246" s="5">
        <f t="shared" si="1174"/>
        <v>4</v>
      </c>
      <c r="C5246" s="5">
        <f t="shared" si="1175"/>
        <v>2026</v>
      </c>
      <c r="D5246" s="170" t="s">
        <v>4599</v>
      </c>
      <c r="E5246" s="5" t="str">
        <f>VLOOKUP(F5246,'Set up'!$A$2:$C$100,2,FALSE)</f>
        <v>C00000044</v>
      </c>
      <c r="F5246" s="150" t="s">
        <v>2929</v>
      </c>
      <c r="G5246" s="150" t="s">
        <v>2570</v>
      </c>
      <c r="H5246" s="150">
        <v>2</v>
      </c>
      <c r="I5246" s="5" t="str">
        <f>VLOOKUP(F5246,'Set up'!$A$2:$C$100,3,FALSE)</f>
        <v>Cash</v>
      </c>
      <c r="J5246" s="5">
        <f>VLOOKUP(F5246,'Set up'!$A$2:$D$100,4,FALSE)</f>
        <v>0</v>
      </c>
      <c r="K5246" s="4">
        <f t="shared" si="1176"/>
        <v>46128</v>
      </c>
      <c r="L5246" s="5">
        <f t="shared" si="1177"/>
        <v>4</v>
      </c>
      <c r="M5246" s="5">
        <f t="shared" si="1178"/>
        <v>2026</v>
      </c>
      <c r="N5246" s="156">
        <v>432</v>
      </c>
      <c r="P5246" s="12"/>
      <c r="Q5246" s="7">
        <f t="shared" si="1179"/>
        <v>8390302.0500000138</v>
      </c>
      <c r="R5246" s="44" t="str">
        <f>VLOOKUP(F5246,'Set up'!$A$2:$E$100,5,FALSE)</f>
        <v>Cash</v>
      </c>
    </row>
    <row r="5247" spans="1:18" ht="16.8" customHeight="1" x14ac:dyDescent="0.3">
      <c r="A5247" s="151" t="s">
        <v>4624</v>
      </c>
      <c r="B5247" s="5">
        <f t="shared" si="1174"/>
        <v>4</v>
      </c>
      <c r="C5247" s="5">
        <f t="shared" si="1175"/>
        <v>2026</v>
      </c>
      <c r="D5247" s="170" t="s">
        <v>4600</v>
      </c>
      <c r="E5247" s="5" t="str">
        <f>VLOOKUP(F5247,'Set up'!$A$2:$C$100,2,FALSE)</f>
        <v>C00000003</v>
      </c>
      <c r="F5247" s="150" t="s">
        <v>20</v>
      </c>
      <c r="G5247" s="150" t="s">
        <v>3645</v>
      </c>
      <c r="H5247" s="150">
        <v>1</v>
      </c>
      <c r="I5247" s="5">
        <f>VLOOKUP(F5247,'Set up'!$A$2:$C$100,3,FALSE)</f>
        <v>45</v>
      </c>
      <c r="J5247" s="5">
        <f>VLOOKUP(F5247,'Set up'!$A$2:$D$100,4,FALSE)</f>
        <v>45</v>
      </c>
      <c r="K5247" s="4">
        <f t="shared" si="1176"/>
        <v>46174</v>
      </c>
      <c r="L5247" s="5">
        <f t="shared" si="1177"/>
        <v>6</v>
      </c>
      <c r="M5247" s="5">
        <f t="shared" si="1178"/>
        <v>2026</v>
      </c>
      <c r="N5247" s="156">
        <v>1912.5</v>
      </c>
      <c r="P5247" s="12"/>
      <c r="Q5247" s="7">
        <f t="shared" si="1179"/>
        <v>8393605.0500000138</v>
      </c>
      <c r="R5247" s="44" t="str">
        <f>VLOOKUP(F5247,'Set up'!$A$2:$E$100,5,FALSE)</f>
        <v>PD Chq</v>
      </c>
    </row>
    <row r="5248" spans="1:18" ht="16.8" customHeight="1" x14ac:dyDescent="0.3">
      <c r="A5248" s="151" t="s">
        <v>4624</v>
      </c>
      <c r="B5248" s="5">
        <f t="shared" si="1174"/>
        <v>4</v>
      </c>
      <c r="C5248" s="5">
        <f t="shared" si="1175"/>
        <v>2026</v>
      </c>
      <c r="D5248" s="170" t="s">
        <v>4600</v>
      </c>
      <c r="E5248" s="5" t="str">
        <f>VLOOKUP(F5248,'Set up'!$A$2:$C$100,2,FALSE)</f>
        <v>C00000003</v>
      </c>
      <c r="F5248" s="150" t="s">
        <v>20</v>
      </c>
      <c r="G5248" s="150" t="s">
        <v>17</v>
      </c>
      <c r="H5248" s="150">
        <v>2</v>
      </c>
      <c r="I5248" s="5">
        <f>VLOOKUP(F5248,'Set up'!$A$2:$C$100,3,FALSE)</f>
        <v>45</v>
      </c>
      <c r="J5248" s="5">
        <f>VLOOKUP(F5248,'Set up'!$A$2:$D$100,4,FALSE)</f>
        <v>45</v>
      </c>
      <c r="K5248" s="4">
        <f t="shared" si="1176"/>
        <v>46174</v>
      </c>
      <c r="L5248" s="5">
        <f t="shared" si="1177"/>
        <v>6</v>
      </c>
      <c r="M5248" s="5">
        <f t="shared" si="1178"/>
        <v>2026</v>
      </c>
      <c r="N5248" s="156">
        <v>230</v>
      </c>
      <c r="P5248" s="12"/>
      <c r="Q5248" s="7">
        <f t="shared" si="1179"/>
        <v>8392037.5500000138</v>
      </c>
      <c r="R5248" s="44" t="str">
        <f>VLOOKUP(F5248,'Set up'!$A$2:$E$100,5,FALSE)</f>
        <v>PD Chq</v>
      </c>
    </row>
    <row r="5249" spans="1:18" ht="16.8" customHeight="1" x14ac:dyDescent="0.3">
      <c r="A5249" s="151" t="s">
        <v>4625</v>
      </c>
      <c r="B5249" s="5">
        <f t="shared" si="1174"/>
        <v>4</v>
      </c>
      <c r="C5249" s="5">
        <f t="shared" si="1175"/>
        <v>2026</v>
      </c>
      <c r="D5249" s="170" t="s">
        <v>4601</v>
      </c>
      <c r="E5249" s="5" t="str">
        <f>VLOOKUP(F5249,'Set up'!$A$2:$C$100,2,FALSE)</f>
        <v>C00000010</v>
      </c>
      <c r="F5249" s="150" t="s">
        <v>62</v>
      </c>
      <c r="G5249" s="150" t="s">
        <v>3645</v>
      </c>
      <c r="H5249" s="150">
        <v>10</v>
      </c>
      <c r="I5249" s="5">
        <f>VLOOKUP(F5249,'Set up'!$A$2:$C$100,3,FALSE)</f>
        <v>120</v>
      </c>
      <c r="J5249" s="5">
        <f>VLOOKUP(F5249,'Set up'!$A$2:$D$100,4,FALSE)</f>
        <v>120</v>
      </c>
      <c r="K5249" s="4">
        <f t="shared" si="1176"/>
        <v>46250</v>
      </c>
      <c r="L5249" s="5">
        <f t="shared" si="1177"/>
        <v>8</v>
      </c>
      <c r="M5249" s="5">
        <f t="shared" si="1178"/>
        <v>2026</v>
      </c>
      <c r="N5249" s="156">
        <v>17100</v>
      </c>
      <c r="P5249" s="12"/>
      <c r="Q5249" s="7">
        <f t="shared" si="1179"/>
        <v>8409327.5500000138</v>
      </c>
      <c r="R5249" s="44" t="str">
        <f>VLOOKUP(F5249,'Set up'!$A$2:$E$100,5,FALSE)</f>
        <v>Trsf</v>
      </c>
    </row>
    <row r="5250" spans="1:18" ht="16.8" customHeight="1" x14ac:dyDescent="0.3">
      <c r="A5250" s="151" t="s">
        <v>4625</v>
      </c>
      <c r="B5250" s="5">
        <f t="shared" si="1174"/>
        <v>4</v>
      </c>
      <c r="C5250" s="5">
        <f t="shared" si="1175"/>
        <v>2026</v>
      </c>
      <c r="D5250" s="170" t="s">
        <v>4601</v>
      </c>
      <c r="E5250" s="5" t="str">
        <f>VLOOKUP(F5250,'Set up'!$A$2:$C$100,2,FALSE)</f>
        <v>C00000010</v>
      </c>
      <c r="F5250" s="150" t="s">
        <v>62</v>
      </c>
      <c r="G5250" s="150" t="s">
        <v>1543</v>
      </c>
      <c r="H5250" s="150">
        <v>15</v>
      </c>
      <c r="I5250" s="5">
        <f>VLOOKUP(F5250,'Set up'!$A$2:$C$100,3,FALSE)</f>
        <v>120</v>
      </c>
      <c r="J5250" s="5">
        <f>VLOOKUP(F5250,'Set up'!$A$2:$D$100,4,FALSE)</f>
        <v>120</v>
      </c>
      <c r="K5250" s="4">
        <f t="shared" si="1176"/>
        <v>46250</v>
      </c>
      <c r="L5250" s="5">
        <f t="shared" si="1177"/>
        <v>8</v>
      </c>
      <c r="M5250" s="5">
        <f t="shared" si="1178"/>
        <v>2026</v>
      </c>
      <c r="N5250" s="156">
        <v>2610</v>
      </c>
      <c r="P5250" s="12"/>
      <c r="Q5250" s="7">
        <f t="shared" si="1179"/>
        <v>8394962.5500000138</v>
      </c>
      <c r="R5250" s="44" t="str">
        <f>VLOOKUP(F5250,'Set up'!$A$2:$E$100,5,FALSE)</f>
        <v>Trsf</v>
      </c>
    </row>
    <row r="5251" spans="1:18" ht="16.8" customHeight="1" x14ac:dyDescent="0.3">
      <c r="A5251" s="151" t="s">
        <v>4625</v>
      </c>
      <c r="B5251" s="5">
        <f t="shared" si="1174"/>
        <v>4</v>
      </c>
      <c r="C5251" s="5">
        <f t="shared" si="1175"/>
        <v>2026</v>
      </c>
      <c r="D5251" s="170" t="s">
        <v>4601</v>
      </c>
      <c r="E5251" s="5" t="str">
        <f>VLOOKUP(F5251,'Set up'!$A$2:$C$100,2,FALSE)</f>
        <v>C00000010</v>
      </c>
      <c r="F5251" s="150" t="s">
        <v>62</v>
      </c>
      <c r="G5251" s="150" t="s">
        <v>945</v>
      </c>
      <c r="H5251" s="150">
        <v>8</v>
      </c>
      <c r="I5251" s="5">
        <f>VLOOKUP(F5251,'Set up'!$A$2:$C$100,3,FALSE)</f>
        <v>120</v>
      </c>
      <c r="J5251" s="5">
        <f>VLOOKUP(F5251,'Set up'!$A$2:$D$100,4,FALSE)</f>
        <v>120</v>
      </c>
      <c r="K5251" s="4">
        <f t="shared" si="1176"/>
        <v>46250</v>
      </c>
      <c r="L5251" s="5">
        <f t="shared" si="1177"/>
        <v>8</v>
      </c>
      <c r="M5251" s="5">
        <f t="shared" si="1178"/>
        <v>2026</v>
      </c>
      <c r="N5251" s="156">
        <v>920</v>
      </c>
      <c r="P5251" s="12"/>
      <c r="Q5251" s="7">
        <f t="shared" si="1179"/>
        <v>8400022.5500000138</v>
      </c>
      <c r="R5251" s="44" t="str">
        <f>VLOOKUP(F5251,'Set up'!$A$2:$E$100,5,FALSE)</f>
        <v>Trsf</v>
      </c>
    </row>
    <row r="5252" spans="1:18" ht="16.8" customHeight="1" x14ac:dyDescent="0.3">
      <c r="A5252" s="151" t="s">
        <v>4625</v>
      </c>
      <c r="B5252" s="5">
        <f t="shared" si="1174"/>
        <v>4</v>
      </c>
      <c r="C5252" s="5">
        <f t="shared" si="1175"/>
        <v>2026</v>
      </c>
      <c r="D5252" s="170" t="s">
        <v>4601</v>
      </c>
      <c r="E5252" s="5" t="str">
        <f>VLOOKUP(F5252,'Set up'!$A$2:$C$100,2,FALSE)</f>
        <v>C00000010</v>
      </c>
      <c r="F5252" s="150" t="s">
        <v>62</v>
      </c>
      <c r="G5252" s="150" t="s">
        <v>2449</v>
      </c>
      <c r="H5252" s="150">
        <v>1</v>
      </c>
      <c r="I5252" s="5">
        <f>VLOOKUP(F5252,'Set up'!$A$2:$C$100,3,FALSE)</f>
        <v>120</v>
      </c>
      <c r="J5252" s="5">
        <f>VLOOKUP(F5252,'Set up'!$A$2:$D$100,4,FALSE)</f>
        <v>120</v>
      </c>
      <c r="K5252" s="4">
        <f t="shared" si="1176"/>
        <v>46250</v>
      </c>
      <c r="L5252" s="5">
        <f t="shared" si="1177"/>
        <v>8</v>
      </c>
      <c r="M5252" s="5">
        <f t="shared" si="1178"/>
        <v>2026</v>
      </c>
      <c r="N5252" s="156">
        <v>420</v>
      </c>
      <c r="P5252" s="12"/>
      <c r="Q5252" s="7">
        <f t="shared" si="1179"/>
        <v>8402132.5500000138</v>
      </c>
      <c r="R5252" s="44" t="str">
        <f>VLOOKUP(F5252,'Set up'!$A$2:$E$100,5,FALSE)</f>
        <v>Trsf</v>
      </c>
    </row>
    <row r="5253" spans="1:18" ht="16.8" customHeight="1" x14ac:dyDescent="0.3">
      <c r="A5253" s="151" t="s">
        <v>4625</v>
      </c>
      <c r="B5253" s="5">
        <f t="shared" si="1174"/>
        <v>4</v>
      </c>
      <c r="C5253" s="5">
        <f t="shared" si="1175"/>
        <v>2026</v>
      </c>
      <c r="D5253" s="170" t="s">
        <v>4601</v>
      </c>
      <c r="E5253" s="5" t="str">
        <f>VLOOKUP(F5253,'Set up'!$A$2:$C$100,2,FALSE)</f>
        <v>C00000010</v>
      </c>
      <c r="F5253" s="150" t="s">
        <v>62</v>
      </c>
      <c r="G5253" s="150" t="s">
        <v>614</v>
      </c>
      <c r="H5253" s="150">
        <v>1</v>
      </c>
      <c r="I5253" s="5">
        <f>VLOOKUP(F5253,'Set up'!$A$2:$C$100,3,FALSE)</f>
        <v>120</v>
      </c>
      <c r="J5253" s="5">
        <f>VLOOKUP(F5253,'Set up'!$A$2:$D$100,4,FALSE)</f>
        <v>120</v>
      </c>
      <c r="K5253" s="4">
        <f t="shared" si="1176"/>
        <v>46250</v>
      </c>
      <c r="L5253" s="5">
        <f t="shared" si="1177"/>
        <v>8</v>
      </c>
      <c r="M5253" s="5">
        <f t="shared" si="1178"/>
        <v>2026</v>
      </c>
      <c r="N5253" s="156">
        <v>395</v>
      </c>
      <c r="P5253" s="12"/>
      <c r="Q5253" s="7">
        <f t="shared" si="1179"/>
        <v>8403349.5500000138</v>
      </c>
      <c r="R5253" s="44" t="str">
        <f>VLOOKUP(F5253,'Set up'!$A$2:$E$100,5,FALSE)</f>
        <v>Trsf</v>
      </c>
    </row>
    <row r="5254" spans="1:18" ht="16.8" customHeight="1" x14ac:dyDescent="0.3">
      <c r="A5254" s="151" t="s">
        <v>4625</v>
      </c>
      <c r="B5254" s="5">
        <f t="shared" si="1174"/>
        <v>4</v>
      </c>
      <c r="C5254" s="5">
        <f t="shared" si="1175"/>
        <v>2026</v>
      </c>
      <c r="D5254" s="170" t="s">
        <v>4601</v>
      </c>
      <c r="E5254" s="5" t="str">
        <f>VLOOKUP(F5254,'Set up'!$A$2:$C$100,2,FALSE)</f>
        <v>C00000010</v>
      </c>
      <c r="F5254" s="150" t="s">
        <v>62</v>
      </c>
      <c r="G5254" s="150" t="s">
        <v>946</v>
      </c>
      <c r="H5254" s="150">
        <v>4</v>
      </c>
      <c r="I5254" s="5">
        <f>VLOOKUP(F5254,'Set up'!$A$2:$C$100,3,FALSE)</f>
        <v>120</v>
      </c>
      <c r="J5254" s="5">
        <f>VLOOKUP(F5254,'Set up'!$A$2:$D$100,4,FALSE)</f>
        <v>120</v>
      </c>
      <c r="K5254" s="4">
        <f t="shared" si="1176"/>
        <v>46250</v>
      </c>
      <c r="L5254" s="5">
        <f t="shared" si="1177"/>
        <v>8</v>
      </c>
      <c r="M5254" s="5">
        <f t="shared" si="1178"/>
        <v>2026</v>
      </c>
      <c r="N5254" s="156">
        <v>230.4</v>
      </c>
      <c r="P5254" s="12"/>
      <c r="Q5254" s="7">
        <f t="shared" si="1179"/>
        <v>8403644.9500000142</v>
      </c>
      <c r="R5254" s="44" t="str">
        <f>VLOOKUP(F5254,'Set up'!$A$2:$E$100,5,FALSE)</f>
        <v>Trsf</v>
      </c>
    </row>
    <row r="5255" spans="1:18" ht="16.8" customHeight="1" x14ac:dyDescent="0.3">
      <c r="A5255" s="151" t="s">
        <v>4625</v>
      </c>
      <c r="B5255" s="5">
        <f t="shared" si="1174"/>
        <v>4</v>
      </c>
      <c r="C5255" s="5">
        <f t="shared" si="1175"/>
        <v>2026</v>
      </c>
      <c r="D5255" s="170" t="s">
        <v>4601</v>
      </c>
      <c r="E5255" s="5" t="str">
        <f>VLOOKUP(F5255,'Set up'!$A$2:$C$100,2,FALSE)</f>
        <v>C00000010</v>
      </c>
      <c r="F5255" s="150" t="s">
        <v>62</v>
      </c>
      <c r="G5255" s="150" t="s">
        <v>949</v>
      </c>
      <c r="H5255" s="150">
        <v>1</v>
      </c>
      <c r="I5255" s="5">
        <f>VLOOKUP(F5255,'Set up'!$A$2:$C$100,3,FALSE)</f>
        <v>120</v>
      </c>
      <c r="J5255" s="5">
        <f>VLOOKUP(F5255,'Set up'!$A$2:$D$100,4,FALSE)</f>
        <v>120</v>
      </c>
      <c r="K5255" s="4">
        <f t="shared" si="1176"/>
        <v>46250</v>
      </c>
      <c r="L5255" s="5">
        <f t="shared" si="1177"/>
        <v>8</v>
      </c>
      <c r="M5255" s="5">
        <f t="shared" si="1178"/>
        <v>2026</v>
      </c>
      <c r="N5255" s="156">
        <v>696</v>
      </c>
      <c r="P5255" s="12"/>
      <c r="Q5255" s="7">
        <f t="shared" si="1179"/>
        <v>8405160.5500000138</v>
      </c>
      <c r="R5255" s="44" t="str">
        <f>VLOOKUP(F5255,'Set up'!$A$2:$E$100,5,FALSE)</f>
        <v>Trsf</v>
      </c>
    </row>
    <row r="5256" spans="1:18" ht="16.8" customHeight="1" x14ac:dyDescent="0.3">
      <c r="A5256" s="151" t="s">
        <v>4625</v>
      </c>
      <c r="B5256" s="5">
        <f t="shared" si="1174"/>
        <v>4</v>
      </c>
      <c r="C5256" s="5">
        <f t="shared" si="1175"/>
        <v>2026</v>
      </c>
      <c r="D5256" s="170" t="s">
        <v>4602</v>
      </c>
      <c r="E5256" s="5" t="e">
        <f>VLOOKUP(F5256,'Set up'!$A$2:$C$100,2,FALSE)</f>
        <v>#N/A</v>
      </c>
      <c r="F5256" s="150" t="s">
        <v>4130</v>
      </c>
      <c r="G5256" s="150" t="s">
        <v>4636</v>
      </c>
      <c r="H5256" s="150">
        <v>1</v>
      </c>
      <c r="I5256" s="5" t="e">
        <f>VLOOKUP(F5256,'Set up'!$A$2:$C$100,3,FALSE)</f>
        <v>#N/A</v>
      </c>
      <c r="J5256" s="5" t="e">
        <f>VLOOKUP(F5256,'Set up'!$A$2:$D$100,4,FALSE)</f>
        <v>#N/A</v>
      </c>
      <c r="K5256" s="4" t="e">
        <f t="shared" si="1176"/>
        <v>#N/A</v>
      </c>
      <c r="L5256" s="5" t="e">
        <f t="shared" si="1177"/>
        <v>#N/A</v>
      </c>
      <c r="M5256" s="5" t="e">
        <f t="shared" si="1178"/>
        <v>#N/A</v>
      </c>
      <c r="N5256" s="156">
        <v>1912.5</v>
      </c>
      <c r="P5256" s="12"/>
      <c r="Q5256" s="7">
        <f t="shared" si="1179"/>
        <v>8407377.0500000138</v>
      </c>
      <c r="R5256" s="44" t="e">
        <f>VLOOKUP(F5256,'Set up'!$A$2:$E$100,5,FALSE)</f>
        <v>#N/A</v>
      </c>
    </row>
    <row r="5257" spans="1:18" ht="16.8" customHeight="1" x14ac:dyDescent="0.3">
      <c r="A5257" s="151" t="s">
        <v>4625</v>
      </c>
      <c r="B5257" s="5">
        <f t="shared" si="1174"/>
        <v>4</v>
      </c>
      <c r="C5257" s="5">
        <f t="shared" si="1175"/>
        <v>2026</v>
      </c>
      <c r="D5257" s="170" t="s">
        <v>4603</v>
      </c>
      <c r="E5257" s="5" t="str">
        <f>VLOOKUP(F5257,'Set up'!$A$2:$C$100,2,FALSE)</f>
        <v>C00000042</v>
      </c>
      <c r="F5257" s="150" t="s">
        <v>2012</v>
      </c>
      <c r="G5257" s="150" t="s">
        <v>2646</v>
      </c>
      <c r="H5257" s="150">
        <v>1</v>
      </c>
      <c r="I5257" s="5" t="str">
        <f>VLOOKUP(F5257,'Set up'!$A$2:$C$100,3,FALSE)</f>
        <v>Cash</v>
      </c>
      <c r="J5257" s="5">
        <f>VLOOKUP(F5257,'Set up'!$A$2:$D$100,4,FALSE)</f>
        <v>0</v>
      </c>
      <c r="K5257" s="4">
        <f t="shared" si="1176"/>
        <v>46130</v>
      </c>
      <c r="L5257" s="5">
        <f t="shared" si="1177"/>
        <v>4</v>
      </c>
      <c r="M5257" s="5">
        <f t="shared" si="1178"/>
        <v>2026</v>
      </c>
      <c r="N5257" s="156">
        <v>62.5</v>
      </c>
      <c r="P5257" s="12"/>
      <c r="Q5257" s="7">
        <f t="shared" si="1179"/>
        <v>8405839.5500000138</v>
      </c>
      <c r="R5257" s="44" t="str">
        <f>VLOOKUP(F5257,'Set up'!$A$2:$E$100,5,FALSE)</f>
        <v>Trsf</v>
      </c>
    </row>
    <row r="5258" spans="1:18" ht="16.8" customHeight="1" x14ac:dyDescent="0.3">
      <c r="A5258" s="151" t="s">
        <v>4625</v>
      </c>
      <c r="B5258" s="5">
        <f t="shared" si="1174"/>
        <v>4</v>
      </c>
      <c r="C5258" s="5">
        <f t="shared" si="1175"/>
        <v>2026</v>
      </c>
      <c r="D5258" s="170" t="s">
        <v>4604</v>
      </c>
      <c r="E5258" s="5" t="str">
        <f>VLOOKUP(F5258,'Set up'!$A$2:$C$100,2,FALSE)</f>
        <v>C00000042</v>
      </c>
      <c r="F5258" s="150" t="s">
        <v>2012</v>
      </c>
      <c r="G5258" s="150" t="s">
        <v>3645</v>
      </c>
      <c r="H5258" s="150">
        <v>3</v>
      </c>
      <c r="I5258" s="5" t="str">
        <f>VLOOKUP(F5258,'Set up'!$A$2:$C$100,3,FALSE)</f>
        <v>Cash</v>
      </c>
      <c r="J5258" s="5">
        <f>VLOOKUP(F5258,'Set up'!$A$2:$D$100,4,FALSE)</f>
        <v>0</v>
      </c>
      <c r="K5258" s="4">
        <f t="shared" si="1176"/>
        <v>46130</v>
      </c>
      <c r="L5258" s="5">
        <f t="shared" si="1177"/>
        <v>4</v>
      </c>
      <c r="M5258" s="5">
        <f t="shared" si="1178"/>
        <v>2026</v>
      </c>
      <c r="N5258" s="156">
        <v>5332.5</v>
      </c>
      <c r="P5258" s="12"/>
      <c r="Q5258" s="7">
        <f t="shared" si="1179"/>
        <v>8427984.5500000138</v>
      </c>
      <c r="R5258" s="44" t="str">
        <f>VLOOKUP(F5258,'Set up'!$A$2:$E$100,5,FALSE)</f>
        <v>Trsf</v>
      </c>
    </row>
    <row r="5259" spans="1:18" ht="16.8" customHeight="1" x14ac:dyDescent="0.3">
      <c r="A5259" s="151" t="s">
        <v>4625</v>
      </c>
      <c r="B5259" s="5">
        <f t="shared" si="1174"/>
        <v>4</v>
      </c>
      <c r="C5259" s="5">
        <f t="shared" si="1175"/>
        <v>2026</v>
      </c>
      <c r="D5259" s="170" t="s">
        <v>4604</v>
      </c>
      <c r="E5259" s="5" t="str">
        <f>VLOOKUP(F5259,'Set up'!$A$2:$C$100,2,FALSE)</f>
        <v>C00000042</v>
      </c>
      <c r="F5259" s="150" t="s">
        <v>2012</v>
      </c>
      <c r="G5259" s="150" t="s">
        <v>1392</v>
      </c>
      <c r="H5259" s="150">
        <v>5</v>
      </c>
      <c r="I5259" s="5" t="str">
        <f>VLOOKUP(F5259,'Set up'!$A$2:$C$100,3,FALSE)</f>
        <v>Cash</v>
      </c>
      <c r="J5259" s="5">
        <f>VLOOKUP(F5259,'Set up'!$A$2:$D$100,4,FALSE)</f>
        <v>0</v>
      </c>
      <c r="K5259" s="4">
        <f t="shared" si="1176"/>
        <v>46130</v>
      </c>
      <c r="L5259" s="5">
        <f t="shared" si="1177"/>
        <v>4</v>
      </c>
      <c r="M5259" s="5">
        <f t="shared" si="1178"/>
        <v>2026</v>
      </c>
      <c r="N5259" s="156">
        <v>870</v>
      </c>
      <c r="P5259" s="12"/>
      <c r="Q5259" s="7">
        <f t="shared" si="1179"/>
        <v>8427662.0500000138</v>
      </c>
      <c r="R5259" s="44" t="str">
        <f>VLOOKUP(F5259,'Set up'!$A$2:$E$100,5,FALSE)</f>
        <v>Trsf</v>
      </c>
    </row>
    <row r="5260" spans="1:18" ht="16.8" customHeight="1" x14ac:dyDescent="0.3">
      <c r="A5260" s="151" t="s">
        <v>4625</v>
      </c>
      <c r="B5260" s="5">
        <f t="shared" si="1174"/>
        <v>4</v>
      </c>
      <c r="C5260" s="5">
        <f t="shared" si="1175"/>
        <v>2026</v>
      </c>
      <c r="D5260" s="170" t="s">
        <v>4604</v>
      </c>
      <c r="E5260" s="5" t="str">
        <f>VLOOKUP(F5260,'Set up'!$A$2:$C$100,2,FALSE)</f>
        <v>C00000042</v>
      </c>
      <c r="F5260" s="150" t="s">
        <v>2012</v>
      </c>
      <c r="G5260" s="150" t="s">
        <v>1922</v>
      </c>
      <c r="H5260" s="150">
        <v>5</v>
      </c>
      <c r="I5260" s="5" t="str">
        <f>VLOOKUP(F5260,'Set up'!$A$2:$C$100,3,FALSE)</f>
        <v>Cash</v>
      </c>
      <c r="J5260" s="5">
        <f>VLOOKUP(F5260,'Set up'!$A$2:$D$100,4,FALSE)</f>
        <v>0</v>
      </c>
      <c r="K5260" s="4">
        <f t="shared" si="1176"/>
        <v>46130</v>
      </c>
      <c r="L5260" s="5">
        <f t="shared" si="1177"/>
        <v>4</v>
      </c>
      <c r="M5260" s="5">
        <f t="shared" si="1178"/>
        <v>2026</v>
      </c>
      <c r="N5260" s="156">
        <v>1035</v>
      </c>
      <c r="P5260" s="12"/>
      <c r="Q5260" s="7">
        <f t="shared" si="1179"/>
        <v>8428287.0500000138</v>
      </c>
      <c r="R5260" s="44" t="str">
        <f>VLOOKUP(F5260,'Set up'!$A$2:$E$100,5,FALSE)</f>
        <v>Trsf</v>
      </c>
    </row>
    <row r="5261" spans="1:18" ht="16.8" customHeight="1" x14ac:dyDescent="0.3">
      <c r="A5261" s="151" t="s">
        <v>4625</v>
      </c>
      <c r="B5261" s="5">
        <f t="shared" ref="B5261:B5289" si="1180">MONTH(A5261)</f>
        <v>4</v>
      </c>
      <c r="C5261" s="5">
        <f t="shared" ref="C5261:C5289" si="1181">YEAR(A5261)</f>
        <v>2026</v>
      </c>
      <c r="D5261" s="170" t="s">
        <v>4604</v>
      </c>
      <c r="E5261" s="5" t="str">
        <f>VLOOKUP(F5261,'Set up'!$A$2:$C$100,2,FALSE)</f>
        <v>C00000042</v>
      </c>
      <c r="F5261" s="150" t="s">
        <v>2012</v>
      </c>
      <c r="G5261" s="150" t="s">
        <v>46</v>
      </c>
      <c r="H5261" s="150">
        <v>4</v>
      </c>
      <c r="I5261" s="5" t="str">
        <f>VLOOKUP(F5261,'Set up'!$A$2:$C$100,3,FALSE)</f>
        <v>Cash</v>
      </c>
      <c r="J5261" s="5">
        <f>VLOOKUP(F5261,'Set up'!$A$2:$D$100,4,FALSE)</f>
        <v>0</v>
      </c>
      <c r="K5261" s="4">
        <f t="shared" ref="K5261:K5289" si="1182">A5261+J5261</f>
        <v>46130</v>
      </c>
      <c r="L5261" s="5">
        <f t="shared" ref="L5261:L5289" si="1183">MONTH(K5261)</f>
        <v>4</v>
      </c>
      <c r="M5261" s="5">
        <f t="shared" ref="M5261:M5289" si="1184">YEAR(K5261)</f>
        <v>2026</v>
      </c>
      <c r="N5261" s="156">
        <v>460</v>
      </c>
      <c r="P5261" s="12"/>
      <c r="Q5261" s="7">
        <f t="shared" ref="Q5261:Q5289" si="1185">SUM(Q5167+N5261)</f>
        <v>8428762.0500000138</v>
      </c>
      <c r="R5261" s="44" t="str">
        <f>VLOOKUP(F5261,'Set up'!$A$2:$E$100,5,FALSE)</f>
        <v>Trsf</v>
      </c>
    </row>
    <row r="5262" spans="1:18" ht="16.8" customHeight="1" x14ac:dyDescent="0.3">
      <c r="A5262" s="151" t="s">
        <v>4625</v>
      </c>
      <c r="B5262" s="5">
        <f t="shared" si="1180"/>
        <v>4</v>
      </c>
      <c r="C5262" s="5">
        <f t="shared" si="1181"/>
        <v>2026</v>
      </c>
      <c r="D5262" s="170" t="s">
        <v>4604</v>
      </c>
      <c r="E5262" s="5" t="str">
        <f>VLOOKUP(F5262,'Set up'!$A$2:$C$100,2,FALSE)</f>
        <v>C00000042</v>
      </c>
      <c r="F5262" s="150" t="s">
        <v>2012</v>
      </c>
      <c r="G5262" s="150" t="s">
        <v>1073</v>
      </c>
      <c r="H5262" s="150">
        <v>1</v>
      </c>
      <c r="I5262" s="5" t="str">
        <f>VLOOKUP(F5262,'Set up'!$A$2:$C$100,3,FALSE)</f>
        <v>Cash</v>
      </c>
      <c r="J5262" s="5">
        <f>VLOOKUP(F5262,'Set up'!$A$2:$D$100,4,FALSE)</f>
        <v>0</v>
      </c>
      <c r="K5262" s="4">
        <f t="shared" si="1182"/>
        <v>46130</v>
      </c>
      <c r="L5262" s="5">
        <f t="shared" si="1183"/>
        <v>4</v>
      </c>
      <c r="M5262" s="5">
        <f t="shared" si="1184"/>
        <v>2026</v>
      </c>
      <c r="N5262" s="156">
        <v>1050</v>
      </c>
      <c r="P5262" s="12"/>
      <c r="Q5262" s="7">
        <f t="shared" si="1185"/>
        <v>8431197.0500000138</v>
      </c>
      <c r="R5262" s="44" t="str">
        <f>VLOOKUP(F5262,'Set up'!$A$2:$E$100,5,FALSE)</f>
        <v>Trsf</v>
      </c>
    </row>
    <row r="5263" spans="1:18" ht="16.8" customHeight="1" x14ac:dyDescent="0.3">
      <c r="A5263" s="151" t="s">
        <v>4626</v>
      </c>
      <c r="B5263" s="5">
        <f t="shared" si="1180"/>
        <v>4</v>
      </c>
      <c r="C5263" s="5">
        <f t="shared" si="1181"/>
        <v>2026</v>
      </c>
      <c r="D5263" s="170" t="s">
        <v>4605</v>
      </c>
      <c r="E5263" s="5" t="str">
        <f>VLOOKUP(F5263,'Set up'!$A$2:$C$100,2,FALSE)</f>
        <v>C00000042</v>
      </c>
      <c r="F5263" s="150" t="s">
        <v>2012</v>
      </c>
      <c r="G5263" s="150" t="s">
        <v>2646</v>
      </c>
      <c r="H5263" s="150">
        <v>2</v>
      </c>
      <c r="I5263" s="5" t="str">
        <f>VLOOKUP(F5263,'Set up'!$A$2:$C$100,3,FALSE)</f>
        <v>Cash</v>
      </c>
      <c r="J5263" s="5">
        <f>VLOOKUP(F5263,'Set up'!$A$2:$D$100,4,FALSE)</f>
        <v>0</v>
      </c>
      <c r="K5263" s="4">
        <f t="shared" si="1182"/>
        <v>46132</v>
      </c>
      <c r="L5263" s="5">
        <f t="shared" si="1183"/>
        <v>4</v>
      </c>
      <c r="M5263" s="5">
        <f t="shared" si="1184"/>
        <v>2026</v>
      </c>
      <c r="N5263" s="156">
        <v>125</v>
      </c>
      <c r="P5263" s="12"/>
      <c r="Q5263" s="7">
        <f t="shared" si="1185"/>
        <v>8430680.750000013</v>
      </c>
      <c r="R5263" s="44" t="str">
        <f>VLOOKUP(F5263,'Set up'!$A$2:$E$100,5,FALSE)</f>
        <v>Trsf</v>
      </c>
    </row>
    <row r="5264" spans="1:18" ht="16.8" customHeight="1" x14ac:dyDescent="0.3">
      <c r="A5264" s="151" t="s">
        <v>4626</v>
      </c>
      <c r="B5264" s="5">
        <f t="shared" si="1180"/>
        <v>4</v>
      </c>
      <c r="C5264" s="5">
        <f t="shared" si="1181"/>
        <v>2026</v>
      </c>
      <c r="D5264" s="170" t="s">
        <v>4606</v>
      </c>
      <c r="E5264" s="5" t="str">
        <f>VLOOKUP(F5264,'Set up'!$A$2:$C$100,2,FALSE)</f>
        <v>C00000042</v>
      </c>
      <c r="F5264" s="150" t="s">
        <v>2012</v>
      </c>
      <c r="G5264" s="150" t="s">
        <v>3645</v>
      </c>
      <c r="H5264" s="150">
        <v>3</v>
      </c>
      <c r="I5264" s="5" t="str">
        <f>VLOOKUP(F5264,'Set up'!$A$2:$C$100,3,FALSE)</f>
        <v>Cash</v>
      </c>
      <c r="J5264" s="5">
        <f>VLOOKUP(F5264,'Set up'!$A$2:$D$100,4,FALSE)</f>
        <v>0</v>
      </c>
      <c r="K5264" s="4">
        <f t="shared" si="1182"/>
        <v>46132</v>
      </c>
      <c r="L5264" s="5">
        <f t="shared" si="1183"/>
        <v>4</v>
      </c>
      <c r="M5264" s="5">
        <f t="shared" si="1184"/>
        <v>2026</v>
      </c>
      <c r="N5264" s="156">
        <v>5332.5</v>
      </c>
      <c r="P5264" s="12"/>
      <c r="Q5264" s="7">
        <f t="shared" si="1185"/>
        <v>8436003.250000013</v>
      </c>
      <c r="R5264" s="44" t="str">
        <f>VLOOKUP(F5264,'Set up'!$A$2:$E$100,5,FALSE)</f>
        <v>Trsf</v>
      </c>
    </row>
    <row r="5265" spans="1:18" ht="16.8" customHeight="1" x14ac:dyDescent="0.3">
      <c r="A5265" s="151" t="s">
        <v>4626</v>
      </c>
      <c r="B5265" s="5">
        <f t="shared" si="1180"/>
        <v>4</v>
      </c>
      <c r="C5265" s="5">
        <f t="shared" si="1181"/>
        <v>2026</v>
      </c>
      <c r="D5265" s="170" t="s">
        <v>4606</v>
      </c>
      <c r="E5265" s="5" t="str">
        <f>VLOOKUP(F5265,'Set up'!$A$2:$C$100,2,FALSE)</f>
        <v>C00000042</v>
      </c>
      <c r="F5265" s="150" t="s">
        <v>2012</v>
      </c>
      <c r="G5265" s="150" t="s">
        <v>2129</v>
      </c>
      <c r="H5265" s="150">
        <v>8</v>
      </c>
      <c r="I5265" s="5" t="str">
        <f>VLOOKUP(F5265,'Set up'!$A$2:$C$100,3,FALSE)</f>
        <v>Cash</v>
      </c>
      <c r="J5265" s="5">
        <f>VLOOKUP(F5265,'Set up'!$A$2:$D$100,4,FALSE)</f>
        <v>0</v>
      </c>
      <c r="K5265" s="4">
        <f t="shared" si="1182"/>
        <v>46132</v>
      </c>
      <c r="L5265" s="5">
        <f t="shared" si="1183"/>
        <v>4</v>
      </c>
      <c r="M5265" s="5">
        <f t="shared" si="1184"/>
        <v>2026</v>
      </c>
      <c r="N5265" s="156">
        <v>1716.8</v>
      </c>
      <c r="P5265" s="12"/>
      <c r="Q5265" s="7">
        <f t="shared" si="1185"/>
        <v>8432650.0500000138</v>
      </c>
      <c r="R5265" s="44" t="str">
        <f>VLOOKUP(F5265,'Set up'!$A$2:$E$100,5,FALSE)</f>
        <v>Trsf</v>
      </c>
    </row>
    <row r="5266" spans="1:18" ht="16.8" customHeight="1" x14ac:dyDescent="0.3">
      <c r="A5266" s="151" t="s">
        <v>4626</v>
      </c>
      <c r="B5266" s="5">
        <f t="shared" si="1180"/>
        <v>4</v>
      </c>
      <c r="C5266" s="5">
        <f t="shared" si="1181"/>
        <v>2026</v>
      </c>
      <c r="D5266" s="170" t="s">
        <v>4606</v>
      </c>
      <c r="E5266" s="5" t="str">
        <f>VLOOKUP(F5266,'Set up'!$A$2:$C$100,2,FALSE)</f>
        <v>C00000042</v>
      </c>
      <c r="F5266" s="150" t="s">
        <v>2012</v>
      </c>
      <c r="G5266" s="150" t="s">
        <v>1922</v>
      </c>
      <c r="H5266" s="150">
        <v>4</v>
      </c>
      <c r="I5266" s="5" t="str">
        <f>VLOOKUP(F5266,'Set up'!$A$2:$C$100,3,FALSE)</f>
        <v>Cash</v>
      </c>
      <c r="J5266" s="5">
        <f>VLOOKUP(F5266,'Set up'!$A$2:$D$100,4,FALSE)</f>
        <v>0</v>
      </c>
      <c r="K5266" s="4">
        <f t="shared" si="1182"/>
        <v>46132</v>
      </c>
      <c r="L5266" s="5">
        <f t="shared" si="1183"/>
        <v>4</v>
      </c>
      <c r="M5266" s="5">
        <f t="shared" si="1184"/>
        <v>2026</v>
      </c>
      <c r="N5266" s="156">
        <v>828</v>
      </c>
      <c r="P5266" s="12"/>
      <c r="Q5266" s="7">
        <f t="shared" si="1185"/>
        <v>8433583.750000013</v>
      </c>
      <c r="R5266" s="44" t="str">
        <f>VLOOKUP(F5266,'Set up'!$A$2:$E$100,5,FALSE)</f>
        <v>Trsf</v>
      </c>
    </row>
    <row r="5267" spans="1:18" ht="16.8" customHeight="1" x14ac:dyDescent="0.3">
      <c r="A5267" s="151" t="s">
        <v>4626</v>
      </c>
      <c r="B5267" s="5">
        <f t="shared" si="1180"/>
        <v>4</v>
      </c>
      <c r="C5267" s="5">
        <f t="shared" si="1181"/>
        <v>2026</v>
      </c>
      <c r="D5267" s="170" t="s">
        <v>4606</v>
      </c>
      <c r="E5267" s="5" t="str">
        <f>VLOOKUP(F5267,'Set up'!$A$2:$C$100,2,FALSE)</f>
        <v>C00000042</v>
      </c>
      <c r="F5267" s="150" t="s">
        <v>2012</v>
      </c>
      <c r="G5267" s="150" t="s">
        <v>46</v>
      </c>
      <c r="H5267" s="150">
        <v>4</v>
      </c>
      <c r="I5267" s="5" t="str">
        <f>VLOOKUP(F5267,'Set up'!$A$2:$C$100,3,FALSE)</f>
        <v>Cash</v>
      </c>
      <c r="J5267" s="5">
        <f>VLOOKUP(F5267,'Set up'!$A$2:$D$100,4,FALSE)</f>
        <v>0</v>
      </c>
      <c r="K5267" s="4">
        <f t="shared" si="1182"/>
        <v>46132</v>
      </c>
      <c r="L5267" s="5">
        <f t="shared" si="1183"/>
        <v>4</v>
      </c>
      <c r="M5267" s="5">
        <f t="shared" si="1184"/>
        <v>2026</v>
      </c>
      <c r="N5267" s="156">
        <v>460</v>
      </c>
      <c r="P5267" s="12"/>
      <c r="Q5267" s="7">
        <f t="shared" si="1185"/>
        <v>8433609.9500000123</v>
      </c>
      <c r="R5267" s="44" t="str">
        <f>VLOOKUP(F5267,'Set up'!$A$2:$E$100,5,FALSE)</f>
        <v>Trsf</v>
      </c>
    </row>
    <row r="5268" spans="1:18" ht="16.8" customHeight="1" x14ac:dyDescent="0.3">
      <c r="A5268" s="151" t="s">
        <v>4626</v>
      </c>
      <c r="B5268" s="5">
        <f t="shared" si="1180"/>
        <v>4</v>
      </c>
      <c r="C5268" s="5">
        <f t="shared" si="1181"/>
        <v>2026</v>
      </c>
      <c r="D5268" s="170" t="s">
        <v>4606</v>
      </c>
      <c r="E5268" s="5" t="str">
        <f>VLOOKUP(F5268,'Set up'!$A$2:$C$100,2,FALSE)</f>
        <v>C00000042</v>
      </c>
      <c r="F5268" s="150" t="s">
        <v>2012</v>
      </c>
      <c r="G5268" s="150" t="s">
        <v>1073</v>
      </c>
      <c r="H5268" s="150">
        <v>1</v>
      </c>
      <c r="I5268" s="5" t="str">
        <f>VLOOKUP(F5268,'Set up'!$A$2:$C$100,3,FALSE)</f>
        <v>Cash</v>
      </c>
      <c r="J5268" s="5">
        <f>VLOOKUP(F5268,'Set up'!$A$2:$D$100,4,FALSE)</f>
        <v>0</v>
      </c>
      <c r="K5268" s="4">
        <f t="shared" si="1182"/>
        <v>46132</v>
      </c>
      <c r="L5268" s="5">
        <f t="shared" si="1183"/>
        <v>4</v>
      </c>
      <c r="M5268" s="5">
        <f t="shared" si="1184"/>
        <v>2026</v>
      </c>
      <c r="N5268" s="156">
        <v>1050</v>
      </c>
      <c r="P5268" s="12"/>
      <c r="Q5268" s="7">
        <f t="shared" si="1185"/>
        <v>8434507.9500000123</v>
      </c>
      <c r="R5268" s="44" t="str">
        <f>VLOOKUP(F5268,'Set up'!$A$2:$E$100,5,FALSE)</f>
        <v>Trsf</v>
      </c>
    </row>
    <row r="5269" spans="1:18" ht="16.8" customHeight="1" x14ac:dyDescent="0.3">
      <c r="A5269" s="151" t="s">
        <v>4627</v>
      </c>
      <c r="B5269" s="5">
        <f t="shared" si="1180"/>
        <v>4</v>
      </c>
      <c r="C5269" s="5">
        <f t="shared" si="1181"/>
        <v>2026</v>
      </c>
      <c r="D5269" s="170" t="s">
        <v>4607</v>
      </c>
      <c r="E5269" s="5" t="str">
        <f>VLOOKUP(F5269,'Set up'!$A$2:$C$100,2,FALSE)</f>
        <v>C00000019</v>
      </c>
      <c r="F5269" s="150" t="s">
        <v>400</v>
      </c>
      <c r="G5269" s="150" t="s">
        <v>894</v>
      </c>
      <c r="H5269" s="150">
        <v>1</v>
      </c>
      <c r="I5269" s="5" t="str">
        <f>VLOOKUP(F5269,'Set up'!$A$2:$C$100,3,FALSE)</f>
        <v>Cash</v>
      </c>
      <c r="J5269" s="5">
        <f>VLOOKUP(F5269,'Set up'!$A$2:$D$100,4,FALSE)</f>
        <v>0</v>
      </c>
      <c r="K5269" s="4">
        <f t="shared" si="1182"/>
        <v>46133</v>
      </c>
      <c r="L5269" s="5">
        <f t="shared" si="1183"/>
        <v>4</v>
      </c>
      <c r="M5269" s="5">
        <f t="shared" si="1184"/>
        <v>2026</v>
      </c>
      <c r="N5269" s="156">
        <v>160</v>
      </c>
      <c r="P5269" s="12"/>
      <c r="Q5269" s="7">
        <f t="shared" si="1185"/>
        <v>8433777.9500000123</v>
      </c>
      <c r="R5269" s="44" t="str">
        <f>VLOOKUP(F5269,'Set up'!$A$2:$E$100,5,FALSE)</f>
        <v>Trsf</v>
      </c>
    </row>
    <row r="5270" spans="1:18" ht="16.8" customHeight="1" x14ac:dyDescent="0.3">
      <c r="A5270" s="151" t="s">
        <v>4627</v>
      </c>
      <c r="B5270" s="5">
        <f t="shared" si="1180"/>
        <v>4</v>
      </c>
      <c r="C5270" s="5">
        <f t="shared" si="1181"/>
        <v>2026</v>
      </c>
      <c r="D5270" s="170" t="s">
        <v>4608</v>
      </c>
      <c r="E5270" s="5" t="e">
        <f>VLOOKUP(F5270,'Set up'!$A$2:$C$100,2,FALSE)</f>
        <v>#N/A</v>
      </c>
      <c r="F5270" s="150" t="s">
        <v>3837</v>
      </c>
      <c r="G5270" s="150" t="s">
        <v>3507</v>
      </c>
      <c r="H5270" s="150">
        <v>6</v>
      </c>
      <c r="I5270" s="5" t="e">
        <f>VLOOKUP(F5270,'Set up'!$A$2:$C$100,3,FALSE)</f>
        <v>#N/A</v>
      </c>
      <c r="J5270" s="5" t="e">
        <f>VLOOKUP(F5270,'Set up'!$A$2:$D$100,4,FALSE)</f>
        <v>#N/A</v>
      </c>
      <c r="K5270" s="4" t="e">
        <f t="shared" si="1182"/>
        <v>#N/A</v>
      </c>
      <c r="L5270" s="5" t="e">
        <f t="shared" si="1183"/>
        <v>#N/A</v>
      </c>
      <c r="M5270" s="5" t="e">
        <f t="shared" si="1184"/>
        <v>#N/A</v>
      </c>
      <c r="N5270" s="156">
        <v>10800</v>
      </c>
      <c r="P5270" s="12"/>
      <c r="Q5270" s="7">
        <f t="shared" si="1185"/>
        <v>8445292.9500000123</v>
      </c>
      <c r="R5270" s="44" t="e">
        <f>VLOOKUP(F5270,'Set up'!$A$2:$E$100,5,FALSE)</f>
        <v>#N/A</v>
      </c>
    </row>
    <row r="5271" spans="1:18" ht="16.8" customHeight="1" x14ac:dyDescent="0.3">
      <c r="A5271" s="151" t="s">
        <v>4627</v>
      </c>
      <c r="B5271" s="5">
        <f t="shared" si="1180"/>
        <v>4</v>
      </c>
      <c r="C5271" s="5">
        <f t="shared" si="1181"/>
        <v>2026</v>
      </c>
      <c r="D5271" s="170" t="s">
        <v>4608</v>
      </c>
      <c r="E5271" s="5" t="e">
        <f>VLOOKUP(F5271,'Set up'!$A$2:$C$100,2,FALSE)</f>
        <v>#N/A</v>
      </c>
      <c r="F5271" s="150" t="s">
        <v>3837</v>
      </c>
      <c r="G5271" s="150" t="s">
        <v>4278</v>
      </c>
      <c r="H5271" s="150">
        <v>8</v>
      </c>
      <c r="I5271" s="5" t="e">
        <f>VLOOKUP(F5271,'Set up'!$A$2:$C$100,3,FALSE)</f>
        <v>#N/A</v>
      </c>
      <c r="J5271" s="5" t="e">
        <f>VLOOKUP(F5271,'Set up'!$A$2:$D$100,4,FALSE)</f>
        <v>#N/A</v>
      </c>
      <c r="K5271" s="4" t="e">
        <f t="shared" si="1182"/>
        <v>#N/A</v>
      </c>
      <c r="L5271" s="5" t="e">
        <f t="shared" si="1183"/>
        <v>#N/A</v>
      </c>
      <c r="M5271" s="5" t="e">
        <f t="shared" si="1184"/>
        <v>#N/A</v>
      </c>
      <c r="N5271" s="156">
        <v>2937.6</v>
      </c>
      <c r="P5271" s="12"/>
      <c r="Q5271" s="7">
        <f t="shared" si="1185"/>
        <v>8437646.5500000119</v>
      </c>
      <c r="R5271" s="44" t="e">
        <f>VLOOKUP(F5271,'Set up'!$A$2:$E$100,5,FALSE)</f>
        <v>#N/A</v>
      </c>
    </row>
    <row r="5272" spans="1:18" ht="16.8" customHeight="1" x14ac:dyDescent="0.3">
      <c r="A5272" s="151" t="s">
        <v>4627</v>
      </c>
      <c r="B5272" s="5">
        <f t="shared" si="1180"/>
        <v>4</v>
      </c>
      <c r="C5272" s="5">
        <f t="shared" si="1181"/>
        <v>2026</v>
      </c>
      <c r="D5272" s="170" t="s">
        <v>4608</v>
      </c>
      <c r="E5272" s="5" t="e">
        <f>VLOOKUP(F5272,'Set up'!$A$2:$C$100,2,FALSE)</f>
        <v>#N/A</v>
      </c>
      <c r="F5272" s="150" t="s">
        <v>3837</v>
      </c>
      <c r="G5272" s="150" t="s">
        <v>4202</v>
      </c>
      <c r="H5272" s="150">
        <v>2</v>
      </c>
      <c r="I5272" s="5" t="e">
        <f>VLOOKUP(F5272,'Set up'!$A$2:$C$100,3,FALSE)</f>
        <v>#N/A</v>
      </c>
      <c r="J5272" s="5" t="e">
        <f>VLOOKUP(F5272,'Set up'!$A$2:$D$100,4,FALSE)</f>
        <v>#N/A</v>
      </c>
      <c r="K5272" s="4" t="e">
        <f t="shared" si="1182"/>
        <v>#N/A</v>
      </c>
      <c r="L5272" s="5" t="e">
        <f t="shared" si="1183"/>
        <v>#N/A</v>
      </c>
      <c r="M5272" s="5" t="e">
        <f t="shared" si="1184"/>
        <v>#N/A</v>
      </c>
      <c r="N5272" s="156">
        <v>734.4</v>
      </c>
      <c r="P5272" s="12"/>
      <c r="Q5272" s="7">
        <f t="shared" si="1185"/>
        <v>8435751.3500000127</v>
      </c>
      <c r="R5272" s="44" t="e">
        <f>VLOOKUP(F5272,'Set up'!$A$2:$E$100,5,FALSE)</f>
        <v>#N/A</v>
      </c>
    </row>
    <row r="5273" spans="1:18" ht="16.8" customHeight="1" x14ac:dyDescent="0.3">
      <c r="A5273" s="151" t="s">
        <v>4627</v>
      </c>
      <c r="B5273" s="5">
        <f t="shared" si="1180"/>
        <v>4</v>
      </c>
      <c r="C5273" s="5">
        <f t="shared" si="1181"/>
        <v>2026</v>
      </c>
      <c r="D5273" s="170" t="s">
        <v>4608</v>
      </c>
      <c r="E5273" s="5" t="e">
        <f>VLOOKUP(F5273,'Set up'!$A$2:$C$100,2,FALSE)</f>
        <v>#N/A</v>
      </c>
      <c r="F5273" s="150" t="s">
        <v>3837</v>
      </c>
      <c r="G5273" s="150" t="s">
        <v>1449</v>
      </c>
      <c r="H5273" s="150">
        <v>4</v>
      </c>
      <c r="I5273" s="5" t="e">
        <f>VLOOKUP(F5273,'Set up'!$A$2:$C$100,3,FALSE)</f>
        <v>#N/A</v>
      </c>
      <c r="J5273" s="5" t="e">
        <f>VLOOKUP(F5273,'Set up'!$A$2:$D$100,4,FALSE)</f>
        <v>#N/A</v>
      </c>
      <c r="K5273" s="4" t="e">
        <f t="shared" si="1182"/>
        <v>#N/A</v>
      </c>
      <c r="L5273" s="5" t="e">
        <f t="shared" si="1183"/>
        <v>#N/A</v>
      </c>
      <c r="M5273" s="5" t="e">
        <f t="shared" si="1184"/>
        <v>#N/A</v>
      </c>
      <c r="N5273" s="156">
        <v>480</v>
      </c>
      <c r="P5273" s="12"/>
      <c r="Q5273" s="7">
        <f t="shared" si="1185"/>
        <v>8437364.4500000123</v>
      </c>
      <c r="R5273" s="44" t="e">
        <f>VLOOKUP(F5273,'Set up'!$A$2:$E$100,5,FALSE)</f>
        <v>#N/A</v>
      </c>
    </row>
    <row r="5274" spans="1:18" ht="16.8" customHeight="1" x14ac:dyDescent="0.3">
      <c r="A5274" s="151" t="s">
        <v>4627</v>
      </c>
      <c r="B5274" s="5">
        <f t="shared" si="1180"/>
        <v>4</v>
      </c>
      <c r="C5274" s="5">
        <f t="shared" si="1181"/>
        <v>2026</v>
      </c>
      <c r="D5274" s="170" t="s">
        <v>4608</v>
      </c>
      <c r="E5274" s="5" t="e">
        <f>VLOOKUP(F5274,'Set up'!$A$2:$C$100,2,FALSE)</f>
        <v>#N/A</v>
      </c>
      <c r="F5274" s="150" t="s">
        <v>3837</v>
      </c>
      <c r="G5274" s="150" t="s">
        <v>4134</v>
      </c>
      <c r="H5274" s="150">
        <v>4</v>
      </c>
      <c r="I5274" s="5" t="e">
        <f>VLOOKUP(F5274,'Set up'!$A$2:$C$100,3,FALSE)</f>
        <v>#N/A</v>
      </c>
      <c r="J5274" s="5" t="e">
        <f>VLOOKUP(F5274,'Set up'!$A$2:$D$100,4,FALSE)</f>
        <v>#N/A</v>
      </c>
      <c r="K5274" s="4" t="e">
        <f t="shared" si="1182"/>
        <v>#N/A</v>
      </c>
      <c r="L5274" s="5" t="e">
        <f t="shared" si="1183"/>
        <v>#N/A</v>
      </c>
      <c r="M5274" s="5" t="e">
        <f t="shared" si="1184"/>
        <v>#N/A</v>
      </c>
      <c r="N5274" s="156">
        <v>1188</v>
      </c>
      <c r="P5274" s="12"/>
      <c r="Q5274" s="7">
        <f t="shared" si="1185"/>
        <v>8438338.8500000127</v>
      </c>
      <c r="R5274" s="44" t="e">
        <f>VLOOKUP(F5274,'Set up'!$A$2:$E$100,5,FALSE)</f>
        <v>#N/A</v>
      </c>
    </row>
    <row r="5275" spans="1:18" ht="16.8" customHeight="1" x14ac:dyDescent="0.3">
      <c r="A5275" s="151" t="s">
        <v>4627</v>
      </c>
      <c r="B5275" s="5">
        <f t="shared" si="1180"/>
        <v>4</v>
      </c>
      <c r="C5275" s="5">
        <f t="shared" si="1181"/>
        <v>2026</v>
      </c>
      <c r="D5275" s="170" t="s">
        <v>4608</v>
      </c>
      <c r="E5275" s="5" t="e">
        <f>VLOOKUP(F5275,'Set up'!$A$2:$C$100,2,FALSE)</f>
        <v>#N/A</v>
      </c>
      <c r="F5275" s="150" t="s">
        <v>3837</v>
      </c>
      <c r="G5275" s="150" t="s">
        <v>3511</v>
      </c>
      <c r="H5275" s="150">
        <v>6</v>
      </c>
      <c r="I5275" s="5" t="e">
        <f>VLOOKUP(F5275,'Set up'!$A$2:$C$100,3,FALSE)</f>
        <v>#N/A</v>
      </c>
      <c r="J5275" s="5" t="e">
        <f>VLOOKUP(F5275,'Set up'!$A$2:$D$100,4,FALSE)</f>
        <v>#N/A</v>
      </c>
      <c r="K5275" s="4" t="e">
        <f t="shared" si="1182"/>
        <v>#N/A</v>
      </c>
      <c r="L5275" s="5" t="e">
        <f t="shared" si="1183"/>
        <v>#N/A</v>
      </c>
      <c r="M5275" s="5" t="e">
        <f t="shared" si="1184"/>
        <v>#N/A</v>
      </c>
      <c r="N5275" s="156">
        <v>360</v>
      </c>
      <c r="P5275" s="12"/>
      <c r="Q5275" s="7">
        <f t="shared" si="1185"/>
        <v>8437625.8500000127</v>
      </c>
      <c r="R5275" s="44" t="e">
        <f>VLOOKUP(F5275,'Set up'!$A$2:$E$100,5,FALSE)</f>
        <v>#N/A</v>
      </c>
    </row>
    <row r="5276" spans="1:18" ht="16.8" customHeight="1" x14ac:dyDescent="0.3">
      <c r="A5276" s="151" t="s">
        <v>4627</v>
      </c>
      <c r="B5276" s="5">
        <f t="shared" si="1180"/>
        <v>4</v>
      </c>
      <c r="C5276" s="5">
        <f t="shared" si="1181"/>
        <v>2026</v>
      </c>
      <c r="D5276" s="170" t="s">
        <v>4608</v>
      </c>
      <c r="E5276" s="5" t="e">
        <f>VLOOKUP(F5276,'Set up'!$A$2:$C$100,2,FALSE)</f>
        <v>#N/A</v>
      </c>
      <c r="F5276" s="150" t="s">
        <v>3837</v>
      </c>
      <c r="G5276" s="150" t="s">
        <v>1637</v>
      </c>
      <c r="H5276" s="150">
        <v>2</v>
      </c>
      <c r="I5276" s="5" t="e">
        <f>VLOOKUP(F5276,'Set up'!$A$2:$C$100,3,FALSE)</f>
        <v>#N/A</v>
      </c>
      <c r="J5276" s="5" t="e">
        <f>VLOOKUP(F5276,'Set up'!$A$2:$D$100,4,FALSE)</f>
        <v>#N/A</v>
      </c>
      <c r="K5276" s="4" t="e">
        <f t="shared" si="1182"/>
        <v>#N/A</v>
      </c>
      <c r="L5276" s="5" t="e">
        <f t="shared" si="1183"/>
        <v>#N/A</v>
      </c>
      <c r="M5276" s="5" t="e">
        <f t="shared" si="1184"/>
        <v>#N/A</v>
      </c>
      <c r="N5276" s="156">
        <v>800</v>
      </c>
      <c r="P5276" s="12"/>
      <c r="Q5276" s="7">
        <f t="shared" si="1185"/>
        <v>8438378.3500000127</v>
      </c>
      <c r="R5276" s="44" t="e">
        <f>VLOOKUP(F5276,'Set up'!$A$2:$E$100,5,FALSE)</f>
        <v>#N/A</v>
      </c>
    </row>
    <row r="5277" spans="1:18" ht="16.8" customHeight="1" x14ac:dyDescent="0.3">
      <c r="A5277" s="151" t="s">
        <v>4627</v>
      </c>
      <c r="B5277" s="5">
        <f t="shared" si="1180"/>
        <v>4</v>
      </c>
      <c r="C5277" s="5">
        <f t="shared" si="1181"/>
        <v>2026</v>
      </c>
      <c r="D5277" s="170" t="s">
        <v>4608</v>
      </c>
      <c r="E5277" s="5" t="e">
        <f>VLOOKUP(F5277,'Set up'!$A$2:$C$100,2,FALSE)</f>
        <v>#N/A</v>
      </c>
      <c r="F5277" s="150" t="s">
        <v>3837</v>
      </c>
      <c r="G5277" s="150" t="s">
        <v>4529</v>
      </c>
      <c r="H5277" s="150">
        <v>3</v>
      </c>
      <c r="I5277" s="5" t="e">
        <f>VLOOKUP(F5277,'Set up'!$A$2:$C$100,3,FALSE)</f>
        <v>#N/A</v>
      </c>
      <c r="J5277" s="5" t="e">
        <f>VLOOKUP(F5277,'Set up'!$A$2:$D$100,4,FALSE)</f>
        <v>#N/A</v>
      </c>
      <c r="K5277" s="4" t="e">
        <f t="shared" si="1182"/>
        <v>#N/A</v>
      </c>
      <c r="L5277" s="5" t="e">
        <f t="shared" si="1183"/>
        <v>#N/A</v>
      </c>
      <c r="M5277" s="5" t="e">
        <f t="shared" si="1184"/>
        <v>#N/A</v>
      </c>
      <c r="N5277" s="156">
        <v>510</v>
      </c>
      <c r="P5277" s="12"/>
      <c r="Q5277" s="7">
        <f t="shared" si="1185"/>
        <v>8438338.3500000127</v>
      </c>
      <c r="R5277" s="44" t="e">
        <f>VLOOKUP(F5277,'Set up'!$A$2:$E$100,5,FALSE)</f>
        <v>#N/A</v>
      </c>
    </row>
    <row r="5278" spans="1:18" ht="16.8" customHeight="1" x14ac:dyDescent="0.3">
      <c r="A5278" s="151" t="s">
        <v>4628</v>
      </c>
      <c r="B5278" s="5">
        <f t="shared" si="1180"/>
        <v>4</v>
      </c>
      <c r="C5278" s="5">
        <f t="shared" si="1181"/>
        <v>2026</v>
      </c>
      <c r="D5278" s="170" t="s">
        <v>4609</v>
      </c>
      <c r="E5278" s="5" t="e">
        <f>VLOOKUP(F5278,'Set up'!$A$2:$C$100,2,FALSE)</f>
        <v>#N/A</v>
      </c>
      <c r="F5278" s="150" t="s">
        <v>4130</v>
      </c>
      <c r="G5278" s="150" t="s">
        <v>3122</v>
      </c>
      <c r="H5278" s="150">
        <v>1</v>
      </c>
      <c r="I5278" s="5" t="e">
        <f>VLOOKUP(F5278,'Set up'!$A$2:$C$100,3,FALSE)</f>
        <v>#N/A</v>
      </c>
      <c r="J5278" s="5" t="e">
        <f>VLOOKUP(F5278,'Set up'!$A$2:$D$100,4,FALSE)</f>
        <v>#N/A</v>
      </c>
      <c r="K5278" s="4" t="e">
        <f t="shared" si="1182"/>
        <v>#N/A</v>
      </c>
      <c r="L5278" s="5" t="e">
        <f t="shared" si="1183"/>
        <v>#N/A</v>
      </c>
      <c r="M5278" s="5" t="e">
        <f t="shared" si="1184"/>
        <v>#N/A</v>
      </c>
      <c r="N5278" s="156">
        <v>1912.5</v>
      </c>
      <c r="P5278" s="12"/>
      <c r="Q5278" s="7">
        <f t="shared" si="1185"/>
        <v>8453240.8500000127</v>
      </c>
      <c r="R5278" s="44" t="e">
        <f>VLOOKUP(F5278,'Set up'!$A$2:$E$100,5,FALSE)</f>
        <v>#N/A</v>
      </c>
    </row>
    <row r="5279" spans="1:18" ht="16.8" customHeight="1" x14ac:dyDescent="0.3">
      <c r="A5279" s="151" t="s">
        <v>4628</v>
      </c>
      <c r="B5279" s="5">
        <f t="shared" si="1180"/>
        <v>4</v>
      </c>
      <c r="C5279" s="5">
        <f t="shared" si="1181"/>
        <v>2026</v>
      </c>
      <c r="D5279" s="170" t="s">
        <v>4609</v>
      </c>
      <c r="E5279" s="5" t="e">
        <f>VLOOKUP(F5279,'Set up'!$A$2:$C$100,2,FALSE)</f>
        <v>#N/A</v>
      </c>
      <c r="F5279" s="150" t="s">
        <v>4130</v>
      </c>
      <c r="G5279" s="150" t="s">
        <v>2143</v>
      </c>
      <c r="H5279" s="150">
        <v>1</v>
      </c>
      <c r="I5279" s="5" t="e">
        <f>VLOOKUP(F5279,'Set up'!$A$2:$C$100,3,FALSE)</f>
        <v>#N/A</v>
      </c>
      <c r="J5279" s="5" t="e">
        <f>VLOOKUP(F5279,'Set up'!$A$2:$D$100,4,FALSE)</f>
        <v>#N/A</v>
      </c>
      <c r="K5279" s="4" t="e">
        <f t="shared" si="1182"/>
        <v>#N/A</v>
      </c>
      <c r="L5279" s="5" t="e">
        <f t="shared" si="1183"/>
        <v>#N/A</v>
      </c>
      <c r="M5279" s="5" t="e">
        <f t="shared" si="1184"/>
        <v>#N/A</v>
      </c>
      <c r="N5279" s="156">
        <v>489.1</v>
      </c>
      <c r="P5279" s="12"/>
      <c r="Q5279" s="7">
        <f t="shared" si="1185"/>
        <v>8457037.4500000123</v>
      </c>
      <c r="R5279" s="44" t="e">
        <f>VLOOKUP(F5279,'Set up'!$A$2:$E$100,5,FALSE)</f>
        <v>#N/A</v>
      </c>
    </row>
    <row r="5280" spans="1:18" ht="16.8" customHeight="1" x14ac:dyDescent="0.3">
      <c r="A5280" s="151" t="s">
        <v>4628</v>
      </c>
      <c r="B5280" s="5">
        <f t="shared" si="1180"/>
        <v>4</v>
      </c>
      <c r="C5280" s="5">
        <f t="shared" si="1181"/>
        <v>2026</v>
      </c>
      <c r="D5280" s="170" t="s">
        <v>4609</v>
      </c>
      <c r="E5280" s="5" t="e">
        <f>VLOOKUP(F5280,'Set up'!$A$2:$C$100,2,FALSE)</f>
        <v>#N/A</v>
      </c>
      <c r="F5280" s="150" t="s">
        <v>4130</v>
      </c>
      <c r="G5280" s="150" t="s">
        <v>2556</v>
      </c>
      <c r="H5280" s="150">
        <v>1</v>
      </c>
      <c r="I5280" s="5" t="e">
        <f>VLOOKUP(F5280,'Set up'!$A$2:$C$100,3,FALSE)</f>
        <v>#N/A</v>
      </c>
      <c r="J5280" s="5" t="e">
        <f>VLOOKUP(F5280,'Set up'!$A$2:$D$100,4,FALSE)</f>
        <v>#N/A</v>
      </c>
      <c r="K5280" s="4" t="e">
        <f t="shared" si="1182"/>
        <v>#N/A</v>
      </c>
      <c r="L5280" s="5" t="e">
        <f t="shared" si="1183"/>
        <v>#N/A</v>
      </c>
      <c r="M5280" s="5" t="e">
        <f t="shared" si="1184"/>
        <v>#N/A</v>
      </c>
      <c r="N5280" s="156">
        <v>394.2</v>
      </c>
      <c r="P5280" s="12"/>
      <c r="Q5280" s="7">
        <f t="shared" si="1185"/>
        <v>8460047.5500000119</v>
      </c>
      <c r="R5280" s="44" t="e">
        <f>VLOOKUP(F5280,'Set up'!$A$2:$E$100,5,FALSE)</f>
        <v>#N/A</v>
      </c>
    </row>
    <row r="5281" spans="1:18" ht="16.8" customHeight="1" x14ac:dyDescent="0.3">
      <c r="A5281" s="151" t="s">
        <v>4628</v>
      </c>
      <c r="B5281" s="5">
        <f t="shared" si="1180"/>
        <v>4</v>
      </c>
      <c r="C5281" s="5">
        <f t="shared" si="1181"/>
        <v>2026</v>
      </c>
      <c r="D5281" s="170" t="s">
        <v>4609</v>
      </c>
      <c r="E5281" s="5" t="e">
        <f>VLOOKUP(F5281,'Set up'!$A$2:$C$100,2,FALSE)</f>
        <v>#N/A</v>
      </c>
      <c r="F5281" s="150" t="s">
        <v>4130</v>
      </c>
      <c r="G5281" s="150" t="s">
        <v>2144</v>
      </c>
      <c r="H5281" s="150">
        <v>1</v>
      </c>
      <c r="I5281" s="5" t="e">
        <f>VLOOKUP(F5281,'Set up'!$A$2:$C$100,3,FALSE)</f>
        <v>#N/A</v>
      </c>
      <c r="J5281" s="5" t="e">
        <f>VLOOKUP(F5281,'Set up'!$A$2:$D$100,4,FALSE)</f>
        <v>#N/A</v>
      </c>
      <c r="K5281" s="4" t="e">
        <f t="shared" si="1182"/>
        <v>#N/A</v>
      </c>
      <c r="L5281" s="5" t="e">
        <f t="shared" si="1183"/>
        <v>#N/A</v>
      </c>
      <c r="M5281" s="5" t="e">
        <f t="shared" si="1184"/>
        <v>#N/A</v>
      </c>
      <c r="N5281" s="156">
        <v>308</v>
      </c>
      <c r="P5281" s="12"/>
      <c r="Q5281" s="7">
        <f t="shared" si="1185"/>
        <v>8460421.3500000127</v>
      </c>
      <c r="R5281" s="44" t="e">
        <f>VLOOKUP(F5281,'Set up'!$A$2:$E$100,5,FALSE)</f>
        <v>#N/A</v>
      </c>
    </row>
    <row r="5282" spans="1:18" ht="16.8" customHeight="1" x14ac:dyDescent="0.3">
      <c r="A5282" s="151" t="s">
        <v>4628</v>
      </c>
      <c r="B5282" s="5">
        <f t="shared" si="1180"/>
        <v>4</v>
      </c>
      <c r="C5282" s="5">
        <f t="shared" si="1181"/>
        <v>2026</v>
      </c>
      <c r="D5282" s="170" t="s">
        <v>4609</v>
      </c>
      <c r="E5282" s="5" t="e">
        <f>VLOOKUP(F5282,'Set up'!$A$2:$C$100,2,FALSE)</f>
        <v>#N/A</v>
      </c>
      <c r="F5282" s="150" t="s">
        <v>4130</v>
      </c>
      <c r="G5282" s="150" t="s">
        <v>4204</v>
      </c>
      <c r="H5282" s="150">
        <v>2</v>
      </c>
      <c r="I5282" s="5" t="e">
        <f>VLOOKUP(F5282,'Set up'!$A$2:$C$100,3,FALSE)</f>
        <v>#N/A</v>
      </c>
      <c r="J5282" s="5" t="e">
        <f>VLOOKUP(F5282,'Set up'!$A$2:$D$100,4,FALSE)</f>
        <v>#N/A</v>
      </c>
      <c r="K5282" s="4" t="e">
        <f t="shared" si="1182"/>
        <v>#N/A</v>
      </c>
      <c r="L5282" s="5" t="e">
        <f t="shared" si="1183"/>
        <v>#N/A</v>
      </c>
      <c r="M5282" s="5" t="e">
        <f t="shared" si="1184"/>
        <v>#N/A</v>
      </c>
      <c r="N5282" s="156">
        <v>320</v>
      </c>
      <c r="P5282" s="12"/>
      <c r="Q5282" s="7">
        <f t="shared" si="1185"/>
        <v>8461483.3500000127</v>
      </c>
      <c r="R5282" s="44" t="e">
        <f>VLOOKUP(F5282,'Set up'!$A$2:$E$100,5,FALSE)</f>
        <v>#N/A</v>
      </c>
    </row>
    <row r="5283" spans="1:18" ht="16.8" customHeight="1" x14ac:dyDescent="0.3">
      <c r="A5283" s="151" t="s">
        <v>4628</v>
      </c>
      <c r="B5283" s="5">
        <f t="shared" si="1180"/>
        <v>4</v>
      </c>
      <c r="C5283" s="5">
        <f t="shared" si="1181"/>
        <v>2026</v>
      </c>
      <c r="D5283" s="170" t="s">
        <v>4609</v>
      </c>
      <c r="E5283" s="5" t="e">
        <f>VLOOKUP(F5283,'Set up'!$A$2:$C$100,2,FALSE)</f>
        <v>#N/A</v>
      </c>
      <c r="F5283" s="150" t="s">
        <v>4130</v>
      </c>
      <c r="G5283" s="150" t="s">
        <v>2646</v>
      </c>
      <c r="H5283" s="150">
        <v>2</v>
      </c>
      <c r="I5283" s="5" t="e">
        <f>VLOOKUP(F5283,'Set up'!$A$2:$C$100,3,FALSE)</f>
        <v>#N/A</v>
      </c>
      <c r="J5283" s="5" t="e">
        <f>VLOOKUP(F5283,'Set up'!$A$2:$D$100,4,FALSE)</f>
        <v>#N/A</v>
      </c>
      <c r="K5283" s="4" t="e">
        <f t="shared" si="1182"/>
        <v>#N/A</v>
      </c>
      <c r="L5283" s="5" t="e">
        <f t="shared" si="1183"/>
        <v>#N/A</v>
      </c>
      <c r="M5283" s="5" t="e">
        <f t="shared" si="1184"/>
        <v>#N/A</v>
      </c>
      <c r="N5283" s="156">
        <v>125</v>
      </c>
      <c r="P5283" s="12"/>
      <c r="Q5283" s="7">
        <f t="shared" si="1185"/>
        <v>8462288.3500000127</v>
      </c>
      <c r="R5283" s="44" t="e">
        <f>VLOOKUP(F5283,'Set up'!$A$2:$E$100,5,FALSE)</f>
        <v>#N/A</v>
      </c>
    </row>
    <row r="5284" spans="1:18" ht="16.8" customHeight="1" x14ac:dyDescent="0.3">
      <c r="A5284" s="151" t="s">
        <v>4628</v>
      </c>
      <c r="B5284" s="5">
        <f t="shared" si="1180"/>
        <v>4</v>
      </c>
      <c r="C5284" s="5">
        <f t="shared" si="1181"/>
        <v>2026</v>
      </c>
      <c r="D5284" s="170" t="s">
        <v>4609</v>
      </c>
      <c r="E5284" s="5" t="e">
        <f>VLOOKUP(F5284,'Set up'!$A$2:$C$100,2,FALSE)</f>
        <v>#N/A</v>
      </c>
      <c r="F5284" s="150" t="s">
        <v>4130</v>
      </c>
      <c r="G5284" s="150" t="s">
        <v>945</v>
      </c>
      <c r="H5284" s="150">
        <v>1</v>
      </c>
      <c r="I5284" s="5" t="e">
        <f>VLOOKUP(F5284,'Set up'!$A$2:$C$100,3,FALSE)</f>
        <v>#N/A</v>
      </c>
      <c r="J5284" s="5" t="e">
        <f>VLOOKUP(F5284,'Set up'!$A$2:$D$100,4,FALSE)</f>
        <v>#N/A</v>
      </c>
      <c r="K5284" s="4" t="e">
        <f t="shared" si="1182"/>
        <v>#N/A</v>
      </c>
      <c r="L5284" s="5" t="e">
        <f t="shared" si="1183"/>
        <v>#N/A</v>
      </c>
      <c r="M5284" s="5" t="e">
        <f t="shared" si="1184"/>
        <v>#N/A</v>
      </c>
      <c r="N5284" s="156">
        <v>120</v>
      </c>
      <c r="P5284" s="12"/>
      <c r="Q5284" s="7">
        <f t="shared" si="1185"/>
        <v>8466108.3500000127</v>
      </c>
      <c r="R5284" s="44" t="e">
        <f>VLOOKUP(F5284,'Set up'!$A$2:$E$100,5,FALSE)</f>
        <v>#N/A</v>
      </c>
    </row>
    <row r="5285" spans="1:18" ht="16.8" customHeight="1" x14ac:dyDescent="0.3">
      <c r="A5285" s="151" t="s">
        <v>4629</v>
      </c>
      <c r="B5285" s="5">
        <f t="shared" si="1180"/>
        <v>4</v>
      </c>
      <c r="C5285" s="5">
        <f t="shared" si="1181"/>
        <v>2026</v>
      </c>
      <c r="D5285" s="170" t="s">
        <v>4610</v>
      </c>
      <c r="E5285" s="5" t="str">
        <f>VLOOKUP(F5285,'Set up'!$A$2:$C$100,2,FALSE)</f>
        <v>C00000050</v>
      </c>
      <c r="F5285" s="150" t="s">
        <v>2656</v>
      </c>
      <c r="G5285" s="150" t="s">
        <v>3615</v>
      </c>
      <c r="H5285" s="150">
        <v>1</v>
      </c>
      <c r="I5285" s="5" t="str">
        <f>VLOOKUP(F5285,'Set up'!$A$2:$C$100,3,FALSE)</f>
        <v>Cash</v>
      </c>
      <c r="J5285" s="5">
        <f>VLOOKUP(F5285,'Set up'!$A$2:$D$100,4,FALSE)</f>
        <v>0</v>
      </c>
      <c r="K5285" s="4">
        <f t="shared" si="1182"/>
        <v>46140</v>
      </c>
      <c r="L5285" s="5">
        <f t="shared" si="1183"/>
        <v>4</v>
      </c>
      <c r="M5285" s="5">
        <f t="shared" si="1184"/>
        <v>2026</v>
      </c>
      <c r="N5285" s="156">
        <v>1912.5</v>
      </c>
      <c r="P5285" s="12"/>
      <c r="Q5285" s="7">
        <f t="shared" si="1185"/>
        <v>8468289.6500000134</v>
      </c>
      <c r="R5285" s="44" t="str">
        <f>VLOOKUP(F5285,'Set up'!$A$2:$E$100,5,FALSE)</f>
        <v>Cash</v>
      </c>
    </row>
    <row r="5286" spans="1:18" ht="16.8" customHeight="1" x14ac:dyDescent="0.3">
      <c r="A5286" s="151" t="s">
        <v>4629</v>
      </c>
      <c r="B5286" s="5">
        <f t="shared" si="1180"/>
        <v>4</v>
      </c>
      <c r="C5286" s="5">
        <f t="shared" si="1181"/>
        <v>2026</v>
      </c>
      <c r="D5286" s="170" t="s">
        <v>4610</v>
      </c>
      <c r="E5286" s="5" t="str">
        <f>VLOOKUP(F5286,'Set up'!$A$2:$C$100,2,FALSE)</f>
        <v>C00000050</v>
      </c>
      <c r="F5286" s="150" t="s">
        <v>2656</v>
      </c>
      <c r="G5286" s="150" t="s">
        <v>2129</v>
      </c>
      <c r="H5286" s="150">
        <v>2</v>
      </c>
      <c r="I5286" s="5" t="str">
        <f>VLOOKUP(F5286,'Set up'!$A$2:$C$100,3,FALSE)</f>
        <v>Cash</v>
      </c>
      <c r="J5286" s="5">
        <f>VLOOKUP(F5286,'Set up'!$A$2:$D$100,4,FALSE)</f>
        <v>0</v>
      </c>
      <c r="K5286" s="4">
        <f t="shared" si="1182"/>
        <v>46140</v>
      </c>
      <c r="L5286" s="5">
        <f t="shared" si="1183"/>
        <v>4</v>
      </c>
      <c r="M5286" s="5">
        <f t="shared" si="1184"/>
        <v>2026</v>
      </c>
      <c r="N5286" s="156">
        <v>532.79999999999995</v>
      </c>
      <c r="P5286" s="12"/>
      <c r="Q5286" s="7">
        <f t="shared" si="1185"/>
        <v>8467687.5500000138</v>
      </c>
      <c r="R5286" s="44" t="str">
        <f>VLOOKUP(F5286,'Set up'!$A$2:$E$100,5,FALSE)</f>
        <v>Cash</v>
      </c>
    </row>
    <row r="5287" spans="1:18" ht="16.8" customHeight="1" x14ac:dyDescent="0.3">
      <c r="A5287" s="151" t="s">
        <v>4629</v>
      </c>
      <c r="B5287" s="5">
        <f t="shared" si="1180"/>
        <v>4</v>
      </c>
      <c r="C5287" s="5">
        <f t="shared" si="1181"/>
        <v>2026</v>
      </c>
      <c r="D5287" s="170" t="s">
        <v>4610</v>
      </c>
      <c r="E5287" s="5" t="str">
        <f>VLOOKUP(F5287,'Set up'!$A$2:$C$100,2,FALSE)</f>
        <v>C00000050</v>
      </c>
      <c r="F5287" s="150" t="s">
        <v>2656</v>
      </c>
      <c r="G5287" s="150" t="s">
        <v>656</v>
      </c>
      <c r="H5287" s="150">
        <v>1</v>
      </c>
      <c r="I5287" s="5" t="str">
        <f>VLOOKUP(F5287,'Set up'!$A$2:$C$100,3,FALSE)</f>
        <v>Cash</v>
      </c>
      <c r="J5287" s="5">
        <f>VLOOKUP(F5287,'Set up'!$A$2:$D$100,4,FALSE)</f>
        <v>0</v>
      </c>
      <c r="K5287" s="4">
        <f t="shared" si="1182"/>
        <v>46140</v>
      </c>
      <c r="L5287" s="5">
        <f t="shared" si="1183"/>
        <v>4</v>
      </c>
      <c r="M5287" s="5">
        <f t="shared" si="1184"/>
        <v>2026</v>
      </c>
      <c r="N5287" s="156">
        <v>150</v>
      </c>
      <c r="P5287" s="12"/>
      <c r="Q5287" s="7">
        <f t="shared" si="1185"/>
        <v>8468288.1500000134</v>
      </c>
      <c r="R5287" s="44" t="str">
        <f>VLOOKUP(F5287,'Set up'!$A$2:$E$100,5,FALSE)</f>
        <v>Cash</v>
      </c>
    </row>
    <row r="5288" spans="1:18" ht="16.8" customHeight="1" x14ac:dyDescent="0.3">
      <c r="A5288" s="151" t="s">
        <v>4630</v>
      </c>
      <c r="B5288" s="5">
        <f t="shared" si="1180"/>
        <v>4</v>
      </c>
      <c r="C5288" s="5">
        <f t="shared" si="1181"/>
        <v>2026</v>
      </c>
      <c r="D5288" s="170" t="s">
        <v>4611</v>
      </c>
      <c r="E5288" s="5" t="e">
        <f>VLOOKUP(F5288,'Set up'!$A$2:$C$100,2,FALSE)</f>
        <v>#N/A</v>
      </c>
      <c r="F5288" s="150" t="s">
        <v>4130</v>
      </c>
      <c r="G5288" s="150" t="s">
        <v>1469</v>
      </c>
      <c r="H5288" s="150">
        <v>1</v>
      </c>
      <c r="I5288" s="5" t="e">
        <f>VLOOKUP(F5288,'Set up'!$A$2:$C$100,3,FALSE)</f>
        <v>#N/A</v>
      </c>
      <c r="J5288" s="5" t="e">
        <f>VLOOKUP(F5288,'Set up'!$A$2:$D$100,4,FALSE)</f>
        <v>#N/A</v>
      </c>
      <c r="K5288" s="4" t="e">
        <f t="shared" si="1182"/>
        <v>#N/A</v>
      </c>
      <c r="L5288" s="5" t="e">
        <f t="shared" si="1183"/>
        <v>#N/A</v>
      </c>
      <c r="M5288" s="5" t="e">
        <f t="shared" si="1184"/>
        <v>#N/A</v>
      </c>
      <c r="N5288" s="156">
        <v>420</v>
      </c>
      <c r="P5288" s="12"/>
      <c r="Q5288" s="7">
        <f t="shared" si="1185"/>
        <v>8468988.1500000134</v>
      </c>
      <c r="R5288" s="44" t="e">
        <f>VLOOKUP(F5288,'Set up'!$A$2:$E$100,5,FALSE)</f>
        <v>#N/A</v>
      </c>
    </row>
    <row r="5289" spans="1:18" ht="16.8" customHeight="1" x14ac:dyDescent="0.3">
      <c r="A5289" s="151" t="s">
        <v>4630</v>
      </c>
      <c r="B5289" s="5">
        <f t="shared" si="1180"/>
        <v>4</v>
      </c>
      <c r="C5289" s="5">
        <f t="shared" si="1181"/>
        <v>2026</v>
      </c>
      <c r="D5289" s="170" t="s">
        <v>4612</v>
      </c>
      <c r="E5289" s="5" t="str">
        <f>VLOOKUP(F5289,'Set up'!$A$2:$C$100,2,FALSE)</f>
        <v>C00000050</v>
      </c>
      <c r="F5289" s="150" t="s">
        <v>2656</v>
      </c>
      <c r="G5289" s="150" t="s">
        <v>4637</v>
      </c>
      <c r="H5289" s="150">
        <v>1</v>
      </c>
      <c r="I5289" s="5" t="str">
        <f>VLOOKUP(F5289,'Set up'!$A$2:$C$100,3,FALSE)</f>
        <v>Cash</v>
      </c>
      <c r="J5289" s="5">
        <f>VLOOKUP(F5289,'Set up'!$A$2:$D$100,4,FALSE)</f>
        <v>0</v>
      </c>
      <c r="K5289" s="4">
        <f t="shared" si="1182"/>
        <v>46142</v>
      </c>
      <c r="L5289" s="5">
        <f t="shared" si="1183"/>
        <v>4</v>
      </c>
      <c r="M5289" s="5">
        <f t="shared" si="1184"/>
        <v>2026</v>
      </c>
      <c r="N5289" s="156">
        <v>277.5</v>
      </c>
      <c r="P5289" s="12"/>
      <c r="Q5289" s="7">
        <f t="shared" si="1185"/>
        <v>8468965.6500000134</v>
      </c>
      <c r="R5289" s="44" t="str">
        <f>VLOOKUP(F5289,'Set up'!$A$2:$E$100,5,FALSE)</f>
        <v>Cash</v>
      </c>
    </row>
    <row r="5290" spans="1:18" ht="16.8" customHeight="1" x14ac:dyDescent="0.3">
      <c r="A5290" s="151" t="s">
        <v>4638</v>
      </c>
      <c r="B5290" s="5">
        <f t="shared" ref="B5290" si="1186">MONTH(A5290)</f>
        <v>5</v>
      </c>
      <c r="C5290" s="5">
        <f t="shared" ref="C5290" si="1187">YEAR(A5290)</f>
        <v>2026</v>
      </c>
      <c r="D5290" s="150" t="s">
        <v>4656</v>
      </c>
      <c r="E5290" s="5" t="str">
        <f>VLOOKUP(F5290,'Set up'!$A$2:$C$100,2,FALSE)</f>
        <v>C00000042</v>
      </c>
      <c r="F5290" s="150" t="s">
        <v>2012</v>
      </c>
      <c r="G5290" s="150" t="s">
        <v>2646</v>
      </c>
      <c r="H5290" s="150">
        <v>2</v>
      </c>
      <c r="I5290" s="5" t="str">
        <f>VLOOKUP(F5290,'Set up'!$A$2:$C$100,3,FALSE)</f>
        <v>Cash</v>
      </c>
      <c r="J5290" s="5">
        <f>VLOOKUP(F5290,'Set up'!$A$2:$D$100,4,FALSE)</f>
        <v>0</v>
      </c>
      <c r="K5290" s="4">
        <f t="shared" ref="K5290" si="1188">A5290+J5290</f>
        <v>46146</v>
      </c>
      <c r="L5290" s="5">
        <f t="shared" ref="L5290" si="1189">MONTH(K5290)</f>
        <v>5</v>
      </c>
      <c r="M5290" s="5">
        <f t="shared" ref="M5290" si="1190">YEAR(K5290)</f>
        <v>2026</v>
      </c>
      <c r="N5290" s="156">
        <v>125</v>
      </c>
      <c r="P5290" s="12"/>
      <c r="Q5290" s="7">
        <f t="shared" ref="Q5290" si="1191">SUM(Q5196+N5290)</f>
        <v>8468933.1500000134</v>
      </c>
      <c r="R5290" s="44" t="str">
        <f>VLOOKUP(F5290,'Set up'!$A$2:$E$100,5,FALSE)</f>
        <v>Trsf</v>
      </c>
    </row>
    <row r="5291" spans="1:18" ht="16.8" customHeight="1" x14ac:dyDescent="0.3">
      <c r="A5291" s="151" t="s">
        <v>4638</v>
      </c>
      <c r="B5291" s="5">
        <f t="shared" ref="B5291:B5354" si="1192">MONTH(A5291)</f>
        <v>5</v>
      </c>
      <c r="C5291" s="5">
        <f t="shared" ref="C5291:C5354" si="1193">YEAR(A5291)</f>
        <v>2026</v>
      </c>
      <c r="D5291" s="150" t="s">
        <v>4657</v>
      </c>
      <c r="E5291" s="5" t="str">
        <f>VLOOKUP(F5291,'Set up'!$A$2:$C$100,2,FALSE)</f>
        <v>C00000042</v>
      </c>
      <c r="F5291" s="150" t="s">
        <v>2012</v>
      </c>
      <c r="G5291" s="150" t="s">
        <v>3645</v>
      </c>
      <c r="H5291" s="150">
        <v>5</v>
      </c>
      <c r="I5291" s="5" t="str">
        <f>VLOOKUP(F5291,'Set up'!$A$2:$C$100,3,FALSE)</f>
        <v>Cash</v>
      </c>
      <c r="J5291" s="5">
        <f>VLOOKUP(F5291,'Set up'!$A$2:$D$100,4,FALSE)</f>
        <v>0</v>
      </c>
      <c r="K5291" s="4">
        <f t="shared" ref="K5291:K5354" si="1194">A5291+J5291</f>
        <v>46146</v>
      </c>
      <c r="L5291" s="5">
        <f t="shared" ref="L5291:L5354" si="1195">MONTH(K5291)</f>
        <v>5</v>
      </c>
      <c r="M5291" s="5">
        <f t="shared" ref="M5291:M5354" si="1196">YEAR(K5291)</f>
        <v>2026</v>
      </c>
      <c r="N5291" s="156">
        <v>8887.5</v>
      </c>
      <c r="P5291" s="12"/>
      <c r="Q5291" s="7">
        <f t="shared" ref="Q5291:Q5354" si="1197">SUM(Q5197+N5291)</f>
        <v>8347468.6500000134</v>
      </c>
      <c r="R5291" s="44" t="str">
        <f>VLOOKUP(F5291,'Set up'!$A$2:$E$100,5,FALSE)</f>
        <v>Trsf</v>
      </c>
    </row>
    <row r="5292" spans="1:18" ht="16.8" customHeight="1" x14ac:dyDescent="0.3">
      <c r="A5292" s="151" t="s">
        <v>4638</v>
      </c>
      <c r="B5292" s="5">
        <f t="shared" si="1192"/>
        <v>5</v>
      </c>
      <c r="C5292" s="5">
        <f t="shared" si="1193"/>
        <v>2026</v>
      </c>
      <c r="D5292" s="150" t="s">
        <v>4657</v>
      </c>
      <c r="E5292" s="5" t="str">
        <f>VLOOKUP(F5292,'Set up'!$A$2:$C$100,2,FALSE)</f>
        <v>C00000042</v>
      </c>
      <c r="F5292" s="150" t="s">
        <v>2012</v>
      </c>
      <c r="G5292" s="150" t="s">
        <v>2129</v>
      </c>
      <c r="H5292" s="150">
        <v>9</v>
      </c>
      <c r="I5292" s="5" t="str">
        <f>VLOOKUP(F5292,'Set up'!$A$2:$C$100,3,FALSE)</f>
        <v>Cash</v>
      </c>
      <c r="J5292" s="5">
        <f>VLOOKUP(F5292,'Set up'!$A$2:$D$100,4,FALSE)</f>
        <v>0</v>
      </c>
      <c r="K5292" s="4">
        <f t="shared" si="1194"/>
        <v>46146</v>
      </c>
      <c r="L5292" s="5">
        <f t="shared" si="1195"/>
        <v>5</v>
      </c>
      <c r="M5292" s="5">
        <f t="shared" si="1196"/>
        <v>2026</v>
      </c>
      <c r="N5292" s="156">
        <v>1931.4</v>
      </c>
      <c r="P5292" s="12"/>
      <c r="Q5292" s="7">
        <f t="shared" si="1197"/>
        <v>8335773.5500000138</v>
      </c>
      <c r="R5292" s="44" t="str">
        <f>VLOOKUP(F5292,'Set up'!$A$2:$E$100,5,FALSE)</f>
        <v>Trsf</v>
      </c>
    </row>
    <row r="5293" spans="1:18" ht="16.8" customHeight="1" x14ac:dyDescent="0.3">
      <c r="A5293" s="151" t="s">
        <v>4638</v>
      </c>
      <c r="B5293" s="5">
        <f t="shared" si="1192"/>
        <v>5</v>
      </c>
      <c r="C5293" s="5">
        <f t="shared" si="1193"/>
        <v>2026</v>
      </c>
      <c r="D5293" s="150" t="s">
        <v>4657</v>
      </c>
      <c r="E5293" s="5" t="str">
        <f>VLOOKUP(F5293,'Set up'!$A$2:$C$100,2,FALSE)</f>
        <v>C00000042</v>
      </c>
      <c r="F5293" s="150" t="s">
        <v>2012</v>
      </c>
      <c r="G5293" s="150" t="s">
        <v>1922</v>
      </c>
      <c r="H5293" s="150">
        <v>8</v>
      </c>
      <c r="I5293" s="5" t="str">
        <f>VLOOKUP(F5293,'Set up'!$A$2:$C$100,3,FALSE)</f>
        <v>Cash</v>
      </c>
      <c r="J5293" s="5">
        <f>VLOOKUP(F5293,'Set up'!$A$2:$D$100,4,FALSE)</f>
        <v>0</v>
      </c>
      <c r="K5293" s="4">
        <f t="shared" si="1194"/>
        <v>46146</v>
      </c>
      <c r="L5293" s="5">
        <f t="shared" si="1195"/>
        <v>5</v>
      </c>
      <c r="M5293" s="5">
        <f t="shared" si="1196"/>
        <v>2026</v>
      </c>
      <c r="N5293" s="156">
        <v>1656</v>
      </c>
      <c r="P5293" s="12"/>
      <c r="Q5293" s="7">
        <f t="shared" si="1197"/>
        <v>8334200.9500000132</v>
      </c>
      <c r="R5293" s="44" t="str">
        <f>VLOOKUP(F5293,'Set up'!$A$2:$E$100,5,FALSE)</f>
        <v>Trsf</v>
      </c>
    </row>
    <row r="5294" spans="1:18" ht="16.8" customHeight="1" x14ac:dyDescent="0.3">
      <c r="A5294" s="151" t="s">
        <v>4638</v>
      </c>
      <c r="B5294" s="5">
        <f t="shared" si="1192"/>
        <v>5</v>
      </c>
      <c r="C5294" s="5">
        <f t="shared" si="1193"/>
        <v>2026</v>
      </c>
      <c r="D5294" s="150" t="s">
        <v>4657</v>
      </c>
      <c r="E5294" s="5" t="str">
        <f>VLOOKUP(F5294,'Set up'!$A$2:$C$100,2,FALSE)</f>
        <v>C00000042</v>
      </c>
      <c r="F5294" s="150" t="s">
        <v>2012</v>
      </c>
      <c r="G5294" s="150" t="s">
        <v>46</v>
      </c>
      <c r="H5294" s="150">
        <v>4</v>
      </c>
      <c r="I5294" s="5" t="str">
        <f>VLOOKUP(F5294,'Set up'!$A$2:$C$100,3,FALSE)</f>
        <v>Cash</v>
      </c>
      <c r="J5294" s="5">
        <f>VLOOKUP(F5294,'Set up'!$A$2:$D$100,4,FALSE)</f>
        <v>0</v>
      </c>
      <c r="K5294" s="4">
        <f t="shared" si="1194"/>
        <v>46146</v>
      </c>
      <c r="L5294" s="5">
        <f t="shared" si="1195"/>
        <v>5</v>
      </c>
      <c r="M5294" s="5">
        <f t="shared" si="1196"/>
        <v>2026</v>
      </c>
      <c r="N5294" s="156">
        <v>460</v>
      </c>
      <c r="P5294" s="12"/>
      <c r="Q5294" s="7">
        <f t="shared" si="1197"/>
        <v>8333552.9500000132</v>
      </c>
      <c r="R5294" s="44" t="str">
        <f>VLOOKUP(F5294,'Set up'!$A$2:$E$100,5,FALSE)</f>
        <v>Trsf</v>
      </c>
    </row>
    <row r="5295" spans="1:18" ht="16.8" customHeight="1" x14ac:dyDescent="0.3">
      <c r="A5295" s="151" t="s">
        <v>4638</v>
      </c>
      <c r="B5295" s="5">
        <f t="shared" si="1192"/>
        <v>5</v>
      </c>
      <c r="C5295" s="5">
        <f t="shared" si="1193"/>
        <v>2026</v>
      </c>
      <c r="D5295" s="150" t="s">
        <v>4657</v>
      </c>
      <c r="E5295" s="5" t="str">
        <f>VLOOKUP(F5295,'Set up'!$A$2:$C$100,2,FALSE)</f>
        <v>C00000042</v>
      </c>
      <c r="F5295" s="150" t="s">
        <v>2012</v>
      </c>
      <c r="G5295" s="150" t="s">
        <v>1073</v>
      </c>
      <c r="H5295" s="150">
        <v>1</v>
      </c>
      <c r="I5295" s="5" t="str">
        <f>VLOOKUP(F5295,'Set up'!$A$2:$C$100,3,FALSE)</f>
        <v>Cash</v>
      </c>
      <c r="J5295" s="5">
        <f>VLOOKUP(F5295,'Set up'!$A$2:$D$100,4,FALSE)</f>
        <v>0</v>
      </c>
      <c r="K5295" s="4">
        <f t="shared" si="1194"/>
        <v>46146</v>
      </c>
      <c r="L5295" s="5">
        <f t="shared" si="1195"/>
        <v>5</v>
      </c>
      <c r="M5295" s="5">
        <f t="shared" si="1196"/>
        <v>2026</v>
      </c>
      <c r="N5295" s="156">
        <v>1050</v>
      </c>
      <c r="P5295" s="12"/>
      <c r="Q5295" s="7">
        <f t="shared" si="1197"/>
        <v>8335158.9500000132</v>
      </c>
      <c r="R5295" s="44" t="str">
        <f>VLOOKUP(F5295,'Set up'!$A$2:$E$100,5,FALSE)</f>
        <v>Trsf</v>
      </c>
    </row>
    <row r="5296" spans="1:18" ht="16.8" customHeight="1" x14ac:dyDescent="0.3">
      <c r="A5296" s="151" t="s">
        <v>4639</v>
      </c>
      <c r="B5296" s="5">
        <f t="shared" si="1192"/>
        <v>5</v>
      </c>
      <c r="C5296" s="5">
        <f t="shared" si="1193"/>
        <v>2026</v>
      </c>
      <c r="D5296" s="150" t="s">
        <v>4658</v>
      </c>
      <c r="E5296" s="5" t="str">
        <f>VLOOKUP(F5296,'Set up'!$A$2:$C$100,2,FALSE)</f>
        <v>C00000019</v>
      </c>
      <c r="F5296" s="150" t="s">
        <v>400</v>
      </c>
      <c r="G5296" s="150" t="s">
        <v>3122</v>
      </c>
      <c r="H5296" s="150">
        <v>1</v>
      </c>
      <c r="I5296" s="5" t="str">
        <f>VLOOKUP(F5296,'Set up'!$A$2:$C$100,3,FALSE)</f>
        <v>Cash</v>
      </c>
      <c r="J5296" s="5">
        <f>VLOOKUP(F5296,'Set up'!$A$2:$D$100,4,FALSE)</f>
        <v>0</v>
      </c>
      <c r="K5296" s="4">
        <f t="shared" si="1194"/>
        <v>46147</v>
      </c>
      <c r="L5296" s="5">
        <f t="shared" si="1195"/>
        <v>5</v>
      </c>
      <c r="M5296" s="5">
        <f t="shared" si="1196"/>
        <v>2026</v>
      </c>
      <c r="N5296" s="156">
        <v>1912.5</v>
      </c>
      <c r="P5296" s="12"/>
      <c r="Q5296" s="7">
        <f t="shared" si="1197"/>
        <v>8338413.9500000132</v>
      </c>
      <c r="R5296" s="44" t="str">
        <f>VLOOKUP(F5296,'Set up'!$A$2:$E$100,5,FALSE)</f>
        <v>Trsf</v>
      </c>
    </row>
    <row r="5297" spans="1:18" ht="16.8" customHeight="1" x14ac:dyDescent="0.3">
      <c r="A5297" s="151" t="s">
        <v>4639</v>
      </c>
      <c r="B5297" s="5">
        <f t="shared" si="1192"/>
        <v>5</v>
      </c>
      <c r="C5297" s="5">
        <f t="shared" si="1193"/>
        <v>2026</v>
      </c>
      <c r="D5297" s="150" t="s">
        <v>4658</v>
      </c>
      <c r="E5297" s="5" t="str">
        <f>VLOOKUP(F5297,'Set up'!$A$2:$C$100,2,FALSE)</f>
        <v>C00000019</v>
      </c>
      <c r="F5297" s="150" t="s">
        <v>400</v>
      </c>
      <c r="G5297" s="150" t="s">
        <v>3639</v>
      </c>
      <c r="H5297" s="150">
        <v>1</v>
      </c>
      <c r="I5297" s="5" t="str">
        <f>VLOOKUP(F5297,'Set up'!$A$2:$C$100,3,FALSE)</f>
        <v>Cash</v>
      </c>
      <c r="J5297" s="5">
        <f>VLOOKUP(F5297,'Set up'!$A$2:$D$100,4,FALSE)</f>
        <v>0</v>
      </c>
      <c r="K5297" s="4">
        <f t="shared" si="1194"/>
        <v>46147</v>
      </c>
      <c r="L5297" s="5">
        <f t="shared" si="1195"/>
        <v>5</v>
      </c>
      <c r="M5297" s="5">
        <f t="shared" si="1196"/>
        <v>2026</v>
      </c>
      <c r="N5297" s="156">
        <v>482.4</v>
      </c>
      <c r="P5297" s="12"/>
      <c r="Q5297" s="7">
        <f t="shared" si="1197"/>
        <v>8336363.3500000136</v>
      </c>
      <c r="R5297" s="44" t="str">
        <f>VLOOKUP(F5297,'Set up'!$A$2:$E$100,5,FALSE)</f>
        <v>Trsf</v>
      </c>
    </row>
    <row r="5298" spans="1:18" ht="16.8" customHeight="1" x14ac:dyDescent="0.3">
      <c r="A5298" s="151" t="s">
        <v>4639</v>
      </c>
      <c r="B5298" s="5">
        <f t="shared" si="1192"/>
        <v>5</v>
      </c>
      <c r="C5298" s="5">
        <f t="shared" si="1193"/>
        <v>2026</v>
      </c>
      <c r="D5298" s="150" t="s">
        <v>4658</v>
      </c>
      <c r="E5298" s="5" t="str">
        <f>VLOOKUP(F5298,'Set up'!$A$2:$C$100,2,FALSE)</f>
        <v>C00000019</v>
      </c>
      <c r="F5298" s="150" t="s">
        <v>400</v>
      </c>
      <c r="G5298" s="150" t="s">
        <v>945</v>
      </c>
      <c r="H5298" s="150">
        <v>1</v>
      </c>
      <c r="I5298" s="5" t="str">
        <f>VLOOKUP(F5298,'Set up'!$A$2:$C$100,3,FALSE)</f>
        <v>Cash</v>
      </c>
      <c r="J5298" s="5">
        <f>VLOOKUP(F5298,'Set up'!$A$2:$D$100,4,FALSE)</f>
        <v>0</v>
      </c>
      <c r="K5298" s="4">
        <f t="shared" si="1194"/>
        <v>46147</v>
      </c>
      <c r="L5298" s="5">
        <f t="shared" si="1195"/>
        <v>5</v>
      </c>
      <c r="M5298" s="5">
        <f t="shared" si="1196"/>
        <v>2026</v>
      </c>
      <c r="N5298" s="156">
        <v>115</v>
      </c>
      <c r="P5298" s="12"/>
      <c r="Q5298" s="7">
        <f t="shared" si="1197"/>
        <v>8336171.3500000136</v>
      </c>
      <c r="R5298" s="44" t="str">
        <f>VLOOKUP(F5298,'Set up'!$A$2:$E$100,5,FALSE)</f>
        <v>Trsf</v>
      </c>
    </row>
    <row r="5299" spans="1:18" ht="16.8" customHeight="1" x14ac:dyDescent="0.3">
      <c r="A5299" s="151" t="s">
        <v>4639</v>
      </c>
      <c r="B5299" s="5">
        <f t="shared" si="1192"/>
        <v>5</v>
      </c>
      <c r="C5299" s="5">
        <f t="shared" si="1193"/>
        <v>2026</v>
      </c>
      <c r="D5299" s="150" t="s">
        <v>4658</v>
      </c>
      <c r="E5299" s="5" t="str">
        <f>VLOOKUP(F5299,'Set up'!$A$2:$C$100,2,FALSE)</f>
        <v>C00000019</v>
      </c>
      <c r="F5299" s="150" t="s">
        <v>400</v>
      </c>
      <c r="G5299" s="150" t="s">
        <v>2646</v>
      </c>
      <c r="H5299" s="150">
        <v>3</v>
      </c>
      <c r="I5299" s="5" t="str">
        <f>VLOOKUP(F5299,'Set up'!$A$2:$C$100,3,FALSE)</f>
        <v>Cash</v>
      </c>
      <c r="J5299" s="5">
        <f>VLOOKUP(F5299,'Set up'!$A$2:$D$100,4,FALSE)</f>
        <v>0</v>
      </c>
      <c r="K5299" s="4">
        <f t="shared" si="1194"/>
        <v>46147</v>
      </c>
      <c r="L5299" s="5">
        <f t="shared" si="1195"/>
        <v>5</v>
      </c>
      <c r="M5299" s="5">
        <f t="shared" si="1196"/>
        <v>2026</v>
      </c>
      <c r="N5299" s="156">
        <v>187.5</v>
      </c>
      <c r="P5299" s="12"/>
      <c r="Q5299" s="7">
        <f t="shared" si="1197"/>
        <v>8336291.4500000132</v>
      </c>
      <c r="R5299" s="44" t="str">
        <f>VLOOKUP(F5299,'Set up'!$A$2:$E$100,5,FALSE)</f>
        <v>Trsf</v>
      </c>
    </row>
    <row r="5300" spans="1:18" ht="16.8" customHeight="1" x14ac:dyDescent="0.3">
      <c r="A5300" s="151" t="s">
        <v>4640</v>
      </c>
      <c r="B5300" s="5">
        <f t="shared" si="1192"/>
        <v>5</v>
      </c>
      <c r="C5300" s="5">
        <f t="shared" si="1193"/>
        <v>2026</v>
      </c>
      <c r="D5300" s="150" t="s">
        <v>4659</v>
      </c>
      <c r="E5300" s="5" t="e">
        <f>VLOOKUP(F5300,'Set up'!$A$2:$C$100,2,FALSE)</f>
        <v>#N/A</v>
      </c>
      <c r="F5300" s="150" t="s">
        <v>4130</v>
      </c>
      <c r="G5300" s="150" t="s">
        <v>3122</v>
      </c>
      <c r="H5300" s="150">
        <v>1</v>
      </c>
      <c r="I5300" s="5" t="e">
        <f>VLOOKUP(F5300,'Set up'!$A$2:$C$100,3,FALSE)</f>
        <v>#N/A</v>
      </c>
      <c r="J5300" s="5" t="e">
        <f>VLOOKUP(F5300,'Set up'!$A$2:$D$100,4,FALSE)</f>
        <v>#N/A</v>
      </c>
      <c r="K5300" s="4" t="e">
        <f t="shared" si="1194"/>
        <v>#N/A</v>
      </c>
      <c r="L5300" s="5" t="e">
        <f t="shared" si="1195"/>
        <v>#N/A</v>
      </c>
      <c r="M5300" s="5" t="e">
        <f t="shared" si="1196"/>
        <v>#N/A</v>
      </c>
      <c r="N5300" s="156">
        <v>1912.5</v>
      </c>
      <c r="P5300" s="12"/>
      <c r="Q5300" s="7">
        <f t="shared" si="1197"/>
        <v>8340898.9500000132</v>
      </c>
      <c r="R5300" s="44" t="e">
        <f>VLOOKUP(F5300,'Set up'!$A$2:$E$100,5,FALSE)</f>
        <v>#N/A</v>
      </c>
    </row>
    <row r="5301" spans="1:18" ht="16.8" customHeight="1" x14ac:dyDescent="0.3">
      <c r="A5301" s="151" t="s">
        <v>4640</v>
      </c>
      <c r="B5301" s="5">
        <f t="shared" si="1192"/>
        <v>5</v>
      </c>
      <c r="C5301" s="5">
        <f t="shared" si="1193"/>
        <v>2026</v>
      </c>
      <c r="D5301" s="150" t="s">
        <v>4659</v>
      </c>
      <c r="E5301" s="5" t="e">
        <f>VLOOKUP(F5301,'Set up'!$A$2:$C$100,2,FALSE)</f>
        <v>#N/A</v>
      </c>
      <c r="F5301" s="150" t="s">
        <v>4130</v>
      </c>
      <c r="G5301" s="150" t="s">
        <v>2144</v>
      </c>
      <c r="H5301" s="150">
        <v>1</v>
      </c>
      <c r="I5301" s="5" t="e">
        <f>VLOOKUP(F5301,'Set up'!$A$2:$C$100,3,FALSE)</f>
        <v>#N/A</v>
      </c>
      <c r="J5301" s="5" t="e">
        <f>VLOOKUP(F5301,'Set up'!$A$2:$D$100,4,FALSE)</f>
        <v>#N/A</v>
      </c>
      <c r="K5301" s="4" t="e">
        <f t="shared" si="1194"/>
        <v>#N/A</v>
      </c>
      <c r="L5301" s="5" t="e">
        <f t="shared" si="1195"/>
        <v>#N/A</v>
      </c>
      <c r="M5301" s="5" t="e">
        <f t="shared" si="1196"/>
        <v>#N/A</v>
      </c>
      <c r="N5301" s="156">
        <v>308</v>
      </c>
      <c r="P5301" s="12"/>
      <c r="Q5301" s="7">
        <f t="shared" si="1197"/>
        <v>8344244.3500000136</v>
      </c>
      <c r="R5301" s="44" t="e">
        <f>VLOOKUP(F5301,'Set up'!$A$2:$E$100,5,FALSE)</f>
        <v>#N/A</v>
      </c>
    </row>
    <row r="5302" spans="1:18" ht="16.8" customHeight="1" x14ac:dyDescent="0.3">
      <c r="A5302" s="151" t="s">
        <v>4640</v>
      </c>
      <c r="B5302" s="5">
        <f t="shared" si="1192"/>
        <v>5</v>
      </c>
      <c r="C5302" s="5">
        <f t="shared" si="1193"/>
        <v>2026</v>
      </c>
      <c r="D5302" s="150" t="s">
        <v>4659</v>
      </c>
      <c r="E5302" s="5" t="e">
        <f>VLOOKUP(F5302,'Set up'!$A$2:$C$100,2,FALSE)</f>
        <v>#N/A</v>
      </c>
      <c r="F5302" s="150" t="s">
        <v>4130</v>
      </c>
      <c r="G5302" s="150" t="s">
        <v>4204</v>
      </c>
      <c r="H5302" s="150">
        <v>1</v>
      </c>
      <c r="I5302" s="5" t="e">
        <f>VLOOKUP(F5302,'Set up'!$A$2:$C$100,3,FALSE)</f>
        <v>#N/A</v>
      </c>
      <c r="J5302" s="5" t="e">
        <f>VLOOKUP(F5302,'Set up'!$A$2:$D$100,4,FALSE)</f>
        <v>#N/A</v>
      </c>
      <c r="K5302" s="4" t="e">
        <f t="shared" si="1194"/>
        <v>#N/A</v>
      </c>
      <c r="L5302" s="5" t="e">
        <f t="shared" si="1195"/>
        <v>#N/A</v>
      </c>
      <c r="M5302" s="5" t="e">
        <f t="shared" si="1196"/>
        <v>#N/A</v>
      </c>
      <c r="N5302" s="156">
        <v>160</v>
      </c>
      <c r="P5302" s="12"/>
      <c r="Q5302" s="7">
        <f t="shared" si="1197"/>
        <v>8341803.8500000136</v>
      </c>
      <c r="R5302" s="44" t="e">
        <f>VLOOKUP(F5302,'Set up'!$A$2:$E$100,5,FALSE)</f>
        <v>#N/A</v>
      </c>
    </row>
    <row r="5303" spans="1:18" ht="16.8" customHeight="1" x14ac:dyDescent="0.3">
      <c r="A5303" s="151" t="s">
        <v>4640</v>
      </c>
      <c r="B5303" s="5">
        <f t="shared" si="1192"/>
        <v>5</v>
      </c>
      <c r="C5303" s="5">
        <f t="shared" si="1193"/>
        <v>2026</v>
      </c>
      <c r="D5303" s="150" t="s">
        <v>4660</v>
      </c>
      <c r="E5303" s="5" t="str">
        <f>VLOOKUP(F5303,'Set up'!$A$2:$C$100,2,FALSE)</f>
        <v>C00000042</v>
      </c>
      <c r="F5303" s="150" t="s">
        <v>2012</v>
      </c>
      <c r="G5303" s="150" t="s">
        <v>2646</v>
      </c>
      <c r="H5303" s="150">
        <v>3</v>
      </c>
      <c r="I5303" s="5" t="str">
        <f>VLOOKUP(F5303,'Set up'!$A$2:$C$100,3,FALSE)</f>
        <v>Cash</v>
      </c>
      <c r="J5303" s="5">
        <f>VLOOKUP(F5303,'Set up'!$A$2:$D$100,4,FALSE)</f>
        <v>0</v>
      </c>
      <c r="K5303" s="4">
        <f t="shared" si="1194"/>
        <v>46148</v>
      </c>
      <c r="L5303" s="5">
        <f t="shared" si="1195"/>
        <v>5</v>
      </c>
      <c r="M5303" s="5">
        <f t="shared" si="1196"/>
        <v>2026</v>
      </c>
      <c r="N5303" s="156">
        <v>187.5</v>
      </c>
      <c r="P5303" s="12"/>
      <c r="Q5303" s="7">
        <f t="shared" si="1197"/>
        <v>8340932.9500000132</v>
      </c>
      <c r="R5303" s="44" t="str">
        <f>VLOOKUP(F5303,'Set up'!$A$2:$E$100,5,FALSE)</f>
        <v>Trsf</v>
      </c>
    </row>
    <row r="5304" spans="1:18" ht="16.8" customHeight="1" x14ac:dyDescent="0.3">
      <c r="A5304" s="151" t="s">
        <v>4640</v>
      </c>
      <c r="B5304" s="5">
        <f t="shared" si="1192"/>
        <v>5</v>
      </c>
      <c r="C5304" s="5">
        <f t="shared" si="1193"/>
        <v>2026</v>
      </c>
      <c r="D5304" s="150" t="s">
        <v>4661</v>
      </c>
      <c r="E5304" s="5" t="str">
        <f>VLOOKUP(F5304,'Set up'!$A$2:$C$100,2,FALSE)</f>
        <v>C00000042</v>
      </c>
      <c r="F5304" s="150" t="s">
        <v>2012</v>
      </c>
      <c r="G5304" s="150" t="s">
        <v>3645</v>
      </c>
      <c r="H5304" s="150">
        <v>5</v>
      </c>
      <c r="I5304" s="5" t="str">
        <f>VLOOKUP(F5304,'Set up'!$A$2:$C$100,3,FALSE)</f>
        <v>Cash</v>
      </c>
      <c r="J5304" s="5">
        <f>VLOOKUP(F5304,'Set up'!$A$2:$D$100,4,FALSE)</f>
        <v>0</v>
      </c>
      <c r="K5304" s="4">
        <f t="shared" si="1194"/>
        <v>46148</v>
      </c>
      <c r="L5304" s="5">
        <f t="shared" si="1195"/>
        <v>5</v>
      </c>
      <c r="M5304" s="5">
        <f t="shared" si="1196"/>
        <v>2026</v>
      </c>
      <c r="N5304" s="156">
        <v>8887.5</v>
      </c>
      <c r="P5304" s="12"/>
      <c r="Q5304" s="7">
        <f t="shared" si="1197"/>
        <v>8349576.8500000136</v>
      </c>
      <c r="R5304" s="44" t="str">
        <f>VLOOKUP(F5304,'Set up'!$A$2:$E$100,5,FALSE)</f>
        <v>Trsf</v>
      </c>
    </row>
    <row r="5305" spans="1:18" ht="16.8" customHeight="1" x14ac:dyDescent="0.3">
      <c r="A5305" s="151" t="s">
        <v>4640</v>
      </c>
      <c r="B5305" s="5">
        <f t="shared" si="1192"/>
        <v>5</v>
      </c>
      <c r="C5305" s="5">
        <f t="shared" si="1193"/>
        <v>2026</v>
      </c>
      <c r="D5305" s="150" t="s">
        <v>4661</v>
      </c>
      <c r="E5305" s="5" t="str">
        <f>VLOOKUP(F5305,'Set up'!$A$2:$C$100,2,FALSE)</f>
        <v>C00000042</v>
      </c>
      <c r="F5305" s="150" t="s">
        <v>2012</v>
      </c>
      <c r="G5305" s="150" t="s">
        <v>2129</v>
      </c>
      <c r="H5305" s="150">
        <v>15</v>
      </c>
      <c r="I5305" s="5" t="str">
        <f>VLOOKUP(F5305,'Set up'!$A$2:$C$100,3,FALSE)</f>
        <v>Cash</v>
      </c>
      <c r="J5305" s="5">
        <f>VLOOKUP(F5305,'Set up'!$A$2:$D$100,4,FALSE)</f>
        <v>0</v>
      </c>
      <c r="K5305" s="4">
        <f t="shared" si="1194"/>
        <v>46148</v>
      </c>
      <c r="L5305" s="5">
        <f t="shared" si="1195"/>
        <v>5</v>
      </c>
      <c r="M5305" s="5">
        <f t="shared" si="1196"/>
        <v>2026</v>
      </c>
      <c r="N5305" s="156">
        <v>3219</v>
      </c>
      <c r="P5305" s="12"/>
      <c r="Q5305" s="7">
        <f t="shared" si="1197"/>
        <v>8349880.3500000136</v>
      </c>
      <c r="R5305" s="44" t="str">
        <f>VLOOKUP(F5305,'Set up'!$A$2:$E$100,5,FALSE)</f>
        <v>Trsf</v>
      </c>
    </row>
    <row r="5306" spans="1:18" ht="16.8" customHeight="1" x14ac:dyDescent="0.3">
      <c r="A5306" s="151" t="s">
        <v>4640</v>
      </c>
      <c r="B5306" s="5">
        <f t="shared" si="1192"/>
        <v>5</v>
      </c>
      <c r="C5306" s="5">
        <f t="shared" si="1193"/>
        <v>2026</v>
      </c>
      <c r="D5306" s="150" t="s">
        <v>4661</v>
      </c>
      <c r="E5306" s="5" t="str">
        <f>VLOOKUP(F5306,'Set up'!$A$2:$C$100,2,FALSE)</f>
        <v>C00000042</v>
      </c>
      <c r="F5306" s="150" t="s">
        <v>2012</v>
      </c>
      <c r="G5306" s="150" t="s">
        <v>1922</v>
      </c>
      <c r="H5306" s="150">
        <v>8</v>
      </c>
      <c r="I5306" s="5" t="str">
        <f>VLOOKUP(F5306,'Set up'!$A$2:$C$100,3,FALSE)</f>
        <v>Cash</v>
      </c>
      <c r="J5306" s="5">
        <f>VLOOKUP(F5306,'Set up'!$A$2:$D$100,4,FALSE)</f>
        <v>0</v>
      </c>
      <c r="K5306" s="4">
        <f t="shared" si="1194"/>
        <v>46148</v>
      </c>
      <c r="L5306" s="5">
        <f t="shared" si="1195"/>
        <v>5</v>
      </c>
      <c r="M5306" s="5">
        <f t="shared" si="1196"/>
        <v>2026</v>
      </c>
      <c r="N5306" s="156">
        <v>1656</v>
      </c>
      <c r="P5306" s="12"/>
      <c r="Q5306" s="7">
        <f t="shared" si="1197"/>
        <v>8350406.3500000136</v>
      </c>
      <c r="R5306" s="44" t="str">
        <f>VLOOKUP(F5306,'Set up'!$A$2:$E$100,5,FALSE)</f>
        <v>Trsf</v>
      </c>
    </row>
    <row r="5307" spans="1:18" ht="16.8" customHeight="1" x14ac:dyDescent="0.3">
      <c r="A5307" s="151" t="s">
        <v>4640</v>
      </c>
      <c r="B5307" s="5">
        <f t="shared" si="1192"/>
        <v>5</v>
      </c>
      <c r="C5307" s="5">
        <f t="shared" si="1193"/>
        <v>2026</v>
      </c>
      <c r="D5307" s="150" t="s">
        <v>4661</v>
      </c>
      <c r="E5307" s="5" t="str">
        <f>VLOOKUP(F5307,'Set up'!$A$2:$C$100,2,FALSE)</f>
        <v>C00000042</v>
      </c>
      <c r="F5307" s="150" t="s">
        <v>2012</v>
      </c>
      <c r="G5307" s="150" t="s">
        <v>46</v>
      </c>
      <c r="H5307" s="150">
        <v>4</v>
      </c>
      <c r="I5307" s="5" t="str">
        <f>VLOOKUP(F5307,'Set up'!$A$2:$C$100,3,FALSE)</f>
        <v>Cash</v>
      </c>
      <c r="J5307" s="5">
        <f>VLOOKUP(F5307,'Set up'!$A$2:$D$100,4,FALSE)</f>
        <v>0</v>
      </c>
      <c r="K5307" s="4">
        <f t="shared" si="1194"/>
        <v>46148</v>
      </c>
      <c r="L5307" s="5">
        <f t="shared" si="1195"/>
        <v>5</v>
      </c>
      <c r="M5307" s="5">
        <f t="shared" si="1196"/>
        <v>2026</v>
      </c>
      <c r="N5307" s="156">
        <v>460</v>
      </c>
      <c r="P5307" s="12"/>
      <c r="Q5307" s="7">
        <f t="shared" si="1197"/>
        <v>8350702.3500000136</v>
      </c>
      <c r="R5307" s="44" t="str">
        <f>VLOOKUP(F5307,'Set up'!$A$2:$E$100,5,FALSE)</f>
        <v>Trsf</v>
      </c>
    </row>
    <row r="5308" spans="1:18" ht="16.8" customHeight="1" x14ac:dyDescent="0.3">
      <c r="A5308" s="151" t="s">
        <v>4640</v>
      </c>
      <c r="B5308" s="5">
        <f t="shared" si="1192"/>
        <v>5</v>
      </c>
      <c r="C5308" s="5">
        <f t="shared" si="1193"/>
        <v>2026</v>
      </c>
      <c r="D5308" s="150" t="s">
        <v>4661</v>
      </c>
      <c r="E5308" s="5" t="str">
        <f>VLOOKUP(F5308,'Set up'!$A$2:$C$100,2,FALSE)</f>
        <v>C00000042</v>
      </c>
      <c r="F5308" s="150" t="s">
        <v>2012</v>
      </c>
      <c r="G5308" s="150" t="s">
        <v>4691</v>
      </c>
      <c r="H5308" s="150">
        <v>1</v>
      </c>
      <c r="I5308" s="5" t="str">
        <f>VLOOKUP(F5308,'Set up'!$A$2:$C$100,3,FALSE)</f>
        <v>Cash</v>
      </c>
      <c r="J5308" s="5">
        <f>VLOOKUP(F5308,'Set up'!$A$2:$D$100,4,FALSE)</f>
        <v>0</v>
      </c>
      <c r="K5308" s="4">
        <f t="shared" si="1194"/>
        <v>46148</v>
      </c>
      <c r="L5308" s="5">
        <f t="shared" si="1195"/>
        <v>5</v>
      </c>
      <c r="M5308" s="5">
        <f t="shared" si="1196"/>
        <v>2026</v>
      </c>
      <c r="N5308" s="156">
        <v>950</v>
      </c>
      <c r="P5308" s="12"/>
      <c r="Q5308" s="7">
        <f t="shared" si="1197"/>
        <v>8351628.3500000136</v>
      </c>
      <c r="R5308" s="44" t="str">
        <f>VLOOKUP(F5308,'Set up'!$A$2:$E$100,5,FALSE)</f>
        <v>Trsf</v>
      </c>
    </row>
    <row r="5309" spans="1:18" ht="16.8" customHeight="1" x14ac:dyDescent="0.3">
      <c r="A5309" s="151" t="s">
        <v>4641</v>
      </c>
      <c r="B5309" s="5">
        <f t="shared" si="1192"/>
        <v>5</v>
      </c>
      <c r="C5309" s="5">
        <f t="shared" si="1193"/>
        <v>2026</v>
      </c>
      <c r="D5309" s="150" t="s">
        <v>4662</v>
      </c>
      <c r="E5309" s="5" t="str">
        <f>VLOOKUP(F5309,'Set up'!$A$2:$C$100,2,FALSE)</f>
        <v>C00000044</v>
      </c>
      <c r="F5309" s="150" t="s">
        <v>2929</v>
      </c>
      <c r="G5309" s="150" t="s">
        <v>3122</v>
      </c>
      <c r="H5309" s="150">
        <v>1</v>
      </c>
      <c r="I5309" s="5" t="str">
        <f>VLOOKUP(F5309,'Set up'!$A$2:$C$100,3,FALSE)</f>
        <v>Cash</v>
      </c>
      <c r="J5309" s="5">
        <f>VLOOKUP(F5309,'Set up'!$A$2:$D$100,4,FALSE)</f>
        <v>0</v>
      </c>
      <c r="K5309" s="4">
        <f t="shared" si="1194"/>
        <v>46149</v>
      </c>
      <c r="L5309" s="5">
        <f t="shared" si="1195"/>
        <v>5</v>
      </c>
      <c r="M5309" s="5">
        <f t="shared" si="1196"/>
        <v>2026</v>
      </c>
      <c r="N5309" s="156">
        <v>1912.5</v>
      </c>
      <c r="P5309" s="12"/>
      <c r="Q5309" s="7">
        <f t="shared" si="1197"/>
        <v>8353599.8500000136</v>
      </c>
      <c r="R5309" s="44" t="str">
        <f>VLOOKUP(F5309,'Set up'!$A$2:$E$100,5,FALSE)</f>
        <v>Cash</v>
      </c>
    </row>
    <row r="5310" spans="1:18" ht="16.8" customHeight="1" x14ac:dyDescent="0.3">
      <c r="A5310" s="151" t="s">
        <v>4641</v>
      </c>
      <c r="B5310" s="5">
        <f t="shared" si="1192"/>
        <v>5</v>
      </c>
      <c r="C5310" s="5">
        <f t="shared" si="1193"/>
        <v>2026</v>
      </c>
      <c r="D5310" s="150" t="s">
        <v>4662</v>
      </c>
      <c r="E5310" s="5" t="str">
        <f>VLOOKUP(F5310,'Set up'!$A$2:$C$100,2,FALSE)</f>
        <v>C00000044</v>
      </c>
      <c r="F5310" s="150" t="s">
        <v>2929</v>
      </c>
      <c r="G5310" s="150" t="s">
        <v>2570</v>
      </c>
      <c r="H5310" s="150">
        <v>2</v>
      </c>
      <c r="I5310" s="5" t="str">
        <f>VLOOKUP(F5310,'Set up'!$A$2:$C$100,3,FALSE)</f>
        <v>Cash</v>
      </c>
      <c r="J5310" s="5">
        <f>VLOOKUP(F5310,'Set up'!$A$2:$D$100,4,FALSE)</f>
        <v>0</v>
      </c>
      <c r="K5310" s="4">
        <f t="shared" si="1194"/>
        <v>46149</v>
      </c>
      <c r="L5310" s="5">
        <f t="shared" si="1195"/>
        <v>5</v>
      </c>
      <c r="M5310" s="5">
        <f t="shared" si="1196"/>
        <v>2026</v>
      </c>
      <c r="N5310" s="156">
        <v>432</v>
      </c>
      <c r="P5310" s="12"/>
      <c r="Q5310" s="7">
        <f t="shared" si="1197"/>
        <v>8358881.8500000136</v>
      </c>
      <c r="R5310" s="44" t="str">
        <f>VLOOKUP(F5310,'Set up'!$A$2:$E$100,5,FALSE)</f>
        <v>Cash</v>
      </c>
    </row>
    <row r="5311" spans="1:18" ht="16.8" customHeight="1" x14ac:dyDescent="0.3">
      <c r="A5311" s="151" t="s">
        <v>4641</v>
      </c>
      <c r="B5311" s="5">
        <f t="shared" si="1192"/>
        <v>5</v>
      </c>
      <c r="C5311" s="5">
        <f t="shared" si="1193"/>
        <v>2026</v>
      </c>
      <c r="D5311" s="150" t="s">
        <v>4662</v>
      </c>
      <c r="E5311" s="5" t="str">
        <f>VLOOKUP(F5311,'Set up'!$A$2:$C$100,2,FALSE)</f>
        <v>C00000044</v>
      </c>
      <c r="F5311" s="150" t="s">
        <v>2929</v>
      </c>
      <c r="G5311" s="150" t="s">
        <v>2738</v>
      </c>
      <c r="H5311" s="150">
        <v>3</v>
      </c>
      <c r="I5311" s="5" t="str">
        <f>VLOOKUP(F5311,'Set up'!$A$2:$C$100,3,FALSE)</f>
        <v>Cash</v>
      </c>
      <c r="J5311" s="5">
        <f>VLOOKUP(F5311,'Set up'!$A$2:$D$100,4,FALSE)</f>
        <v>0</v>
      </c>
      <c r="K5311" s="4">
        <f t="shared" si="1194"/>
        <v>46149</v>
      </c>
      <c r="L5311" s="5">
        <f t="shared" si="1195"/>
        <v>5</v>
      </c>
      <c r="M5311" s="5">
        <f t="shared" si="1196"/>
        <v>2026</v>
      </c>
      <c r="N5311" s="156">
        <v>525</v>
      </c>
      <c r="P5311" s="12"/>
      <c r="Q5311" s="7">
        <f t="shared" si="1197"/>
        <v>8354234.750000014</v>
      </c>
      <c r="R5311" s="44" t="str">
        <f>VLOOKUP(F5311,'Set up'!$A$2:$E$100,5,FALSE)</f>
        <v>Cash</v>
      </c>
    </row>
    <row r="5312" spans="1:18" ht="16.8" customHeight="1" x14ac:dyDescent="0.3">
      <c r="A5312" s="151" t="s">
        <v>4641</v>
      </c>
      <c r="B5312" s="5">
        <f t="shared" si="1192"/>
        <v>5</v>
      </c>
      <c r="C5312" s="5">
        <f t="shared" si="1193"/>
        <v>2026</v>
      </c>
      <c r="D5312" s="150" t="s">
        <v>4663</v>
      </c>
      <c r="E5312" s="5" t="str">
        <f>VLOOKUP(F5312,'Set up'!$A$2:$C$100,2,FALSE)</f>
        <v>C00000042</v>
      </c>
      <c r="F5312" s="150" t="s">
        <v>2012</v>
      </c>
      <c r="G5312" s="150" t="s">
        <v>2646</v>
      </c>
      <c r="H5312" s="150">
        <v>2</v>
      </c>
      <c r="I5312" s="5" t="str">
        <f>VLOOKUP(F5312,'Set up'!$A$2:$C$100,3,FALSE)</f>
        <v>Cash</v>
      </c>
      <c r="J5312" s="5">
        <f>VLOOKUP(F5312,'Set up'!$A$2:$D$100,4,FALSE)</f>
        <v>0</v>
      </c>
      <c r="K5312" s="4">
        <f t="shared" si="1194"/>
        <v>46149</v>
      </c>
      <c r="L5312" s="5">
        <f t="shared" si="1195"/>
        <v>5</v>
      </c>
      <c r="M5312" s="5">
        <f t="shared" si="1196"/>
        <v>2026</v>
      </c>
      <c r="N5312" s="156">
        <v>125</v>
      </c>
      <c r="P5312" s="12"/>
      <c r="Q5312" s="7">
        <f t="shared" si="1197"/>
        <v>8355024.8500000136</v>
      </c>
      <c r="R5312" s="44" t="str">
        <f>VLOOKUP(F5312,'Set up'!$A$2:$E$100,5,FALSE)</f>
        <v>Trsf</v>
      </c>
    </row>
    <row r="5313" spans="1:18" ht="16.8" customHeight="1" x14ac:dyDescent="0.3">
      <c r="A5313" s="151" t="s">
        <v>4641</v>
      </c>
      <c r="B5313" s="5">
        <f t="shared" si="1192"/>
        <v>5</v>
      </c>
      <c r="C5313" s="5">
        <f t="shared" si="1193"/>
        <v>2026</v>
      </c>
      <c r="D5313" s="150" t="s">
        <v>4664</v>
      </c>
      <c r="E5313" s="5" t="str">
        <f>VLOOKUP(F5313,'Set up'!$A$2:$C$100,2,FALSE)</f>
        <v>C00000042</v>
      </c>
      <c r="F5313" s="150" t="s">
        <v>2012</v>
      </c>
      <c r="G5313" s="150" t="s">
        <v>3645</v>
      </c>
      <c r="H5313" s="150">
        <v>4</v>
      </c>
      <c r="I5313" s="5" t="str">
        <f>VLOOKUP(F5313,'Set up'!$A$2:$C$100,3,FALSE)</f>
        <v>Cash</v>
      </c>
      <c r="J5313" s="5">
        <f>VLOOKUP(F5313,'Set up'!$A$2:$D$100,4,FALSE)</f>
        <v>0</v>
      </c>
      <c r="K5313" s="4">
        <f t="shared" si="1194"/>
        <v>46149</v>
      </c>
      <c r="L5313" s="5">
        <f t="shared" si="1195"/>
        <v>5</v>
      </c>
      <c r="M5313" s="5">
        <f t="shared" si="1196"/>
        <v>2026</v>
      </c>
      <c r="N5313" s="156">
        <v>7290</v>
      </c>
      <c r="P5313" s="12"/>
      <c r="Q5313" s="7">
        <f t="shared" si="1197"/>
        <v>8362879.0500000138</v>
      </c>
      <c r="R5313" s="44" t="str">
        <f>VLOOKUP(F5313,'Set up'!$A$2:$E$100,5,FALSE)</f>
        <v>Trsf</v>
      </c>
    </row>
    <row r="5314" spans="1:18" ht="16.8" customHeight="1" x14ac:dyDescent="0.3">
      <c r="A5314" s="151" t="s">
        <v>4641</v>
      </c>
      <c r="B5314" s="5">
        <f t="shared" si="1192"/>
        <v>5</v>
      </c>
      <c r="C5314" s="5">
        <f t="shared" si="1193"/>
        <v>2026</v>
      </c>
      <c r="D5314" s="150" t="s">
        <v>4664</v>
      </c>
      <c r="E5314" s="5" t="str">
        <f>VLOOKUP(F5314,'Set up'!$A$2:$C$100,2,FALSE)</f>
        <v>C00000042</v>
      </c>
      <c r="F5314" s="150" t="s">
        <v>2012</v>
      </c>
      <c r="G5314" s="150" t="s">
        <v>2129</v>
      </c>
      <c r="H5314" s="150">
        <v>12</v>
      </c>
      <c r="I5314" s="5" t="str">
        <f>VLOOKUP(F5314,'Set up'!$A$2:$C$100,3,FALSE)</f>
        <v>Cash</v>
      </c>
      <c r="J5314" s="5">
        <f>VLOOKUP(F5314,'Set up'!$A$2:$D$100,4,FALSE)</f>
        <v>0</v>
      </c>
      <c r="K5314" s="4">
        <f t="shared" si="1194"/>
        <v>46149</v>
      </c>
      <c r="L5314" s="5">
        <f t="shared" si="1195"/>
        <v>5</v>
      </c>
      <c r="M5314" s="5">
        <f t="shared" si="1196"/>
        <v>2026</v>
      </c>
      <c r="N5314" s="156">
        <v>2575.1999999999998</v>
      </c>
      <c r="P5314" s="12"/>
      <c r="Q5314" s="7">
        <f t="shared" si="1197"/>
        <v>8362516.750000014</v>
      </c>
      <c r="R5314" s="44" t="str">
        <f>VLOOKUP(F5314,'Set up'!$A$2:$E$100,5,FALSE)</f>
        <v>Trsf</v>
      </c>
    </row>
    <row r="5315" spans="1:18" ht="16.8" customHeight="1" x14ac:dyDescent="0.3">
      <c r="A5315" s="151" t="s">
        <v>4641</v>
      </c>
      <c r="B5315" s="5">
        <f t="shared" si="1192"/>
        <v>5</v>
      </c>
      <c r="C5315" s="5">
        <f t="shared" si="1193"/>
        <v>2026</v>
      </c>
      <c r="D5315" s="150" t="s">
        <v>4664</v>
      </c>
      <c r="E5315" s="5" t="str">
        <f>VLOOKUP(F5315,'Set up'!$A$2:$C$100,2,FALSE)</f>
        <v>C00000042</v>
      </c>
      <c r="F5315" s="150" t="s">
        <v>2012</v>
      </c>
      <c r="G5315" s="150" t="s">
        <v>1922</v>
      </c>
      <c r="H5315" s="150">
        <v>6</v>
      </c>
      <c r="I5315" s="5" t="str">
        <f>VLOOKUP(F5315,'Set up'!$A$2:$C$100,3,FALSE)</f>
        <v>Cash</v>
      </c>
      <c r="J5315" s="5">
        <f>VLOOKUP(F5315,'Set up'!$A$2:$D$100,4,FALSE)</f>
        <v>0</v>
      </c>
      <c r="K5315" s="4">
        <f t="shared" si="1194"/>
        <v>46149</v>
      </c>
      <c r="L5315" s="5">
        <f t="shared" si="1195"/>
        <v>5</v>
      </c>
      <c r="M5315" s="5">
        <f t="shared" si="1196"/>
        <v>2026</v>
      </c>
      <c r="N5315" s="156">
        <v>1242</v>
      </c>
      <c r="P5315" s="12"/>
      <c r="Q5315" s="7">
        <f t="shared" si="1197"/>
        <v>8358947.5500000138</v>
      </c>
      <c r="R5315" s="44" t="str">
        <f>VLOOKUP(F5315,'Set up'!$A$2:$E$100,5,FALSE)</f>
        <v>Trsf</v>
      </c>
    </row>
    <row r="5316" spans="1:18" ht="16.8" customHeight="1" x14ac:dyDescent="0.3">
      <c r="A5316" s="151" t="s">
        <v>4641</v>
      </c>
      <c r="B5316" s="5">
        <f t="shared" si="1192"/>
        <v>5</v>
      </c>
      <c r="C5316" s="5">
        <f t="shared" si="1193"/>
        <v>2026</v>
      </c>
      <c r="D5316" s="150" t="s">
        <v>4664</v>
      </c>
      <c r="E5316" s="5" t="str">
        <f>VLOOKUP(F5316,'Set up'!$A$2:$C$100,2,FALSE)</f>
        <v>C00000042</v>
      </c>
      <c r="F5316" s="150" t="s">
        <v>2012</v>
      </c>
      <c r="G5316" s="150" t="s">
        <v>46</v>
      </c>
      <c r="H5316" s="150">
        <v>4</v>
      </c>
      <c r="I5316" s="5" t="str">
        <f>VLOOKUP(F5316,'Set up'!$A$2:$C$100,3,FALSE)</f>
        <v>Cash</v>
      </c>
      <c r="J5316" s="5">
        <f>VLOOKUP(F5316,'Set up'!$A$2:$D$100,4,FALSE)</f>
        <v>0</v>
      </c>
      <c r="K5316" s="4">
        <f t="shared" si="1194"/>
        <v>46149</v>
      </c>
      <c r="L5316" s="5">
        <f t="shared" si="1195"/>
        <v>5</v>
      </c>
      <c r="M5316" s="5">
        <f t="shared" si="1196"/>
        <v>2026</v>
      </c>
      <c r="N5316" s="156">
        <v>460</v>
      </c>
      <c r="P5316" s="12"/>
      <c r="Q5316" s="7">
        <f t="shared" si="1197"/>
        <v>8358018.5500000138</v>
      </c>
      <c r="R5316" s="44" t="str">
        <f>VLOOKUP(F5316,'Set up'!$A$2:$E$100,5,FALSE)</f>
        <v>Trsf</v>
      </c>
    </row>
    <row r="5317" spans="1:18" ht="16.8" customHeight="1" x14ac:dyDescent="0.3">
      <c r="A5317" s="151" t="s">
        <v>4641</v>
      </c>
      <c r="B5317" s="5">
        <f t="shared" si="1192"/>
        <v>5</v>
      </c>
      <c r="C5317" s="5">
        <f t="shared" si="1193"/>
        <v>2026</v>
      </c>
      <c r="D5317" s="150" t="s">
        <v>4664</v>
      </c>
      <c r="E5317" s="5" t="str">
        <f>VLOOKUP(F5317,'Set up'!$A$2:$C$100,2,FALSE)</f>
        <v>C00000042</v>
      </c>
      <c r="F5317" s="150" t="s">
        <v>2012</v>
      </c>
      <c r="G5317" s="150" t="s">
        <v>4691</v>
      </c>
      <c r="H5317" s="150">
        <v>1</v>
      </c>
      <c r="I5317" s="5" t="str">
        <f>VLOOKUP(F5317,'Set up'!$A$2:$C$100,3,FALSE)</f>
        <v>Cash</v>
      </c>
      <c r="J5317" s="5">
        <f>VLOOKUP(F5317,'Set up'!$A$2:$D$100,4,FALSE)</f>
        <v>0</v>
      </c>
      <c r="K5317" s="4">
        <f t="shared" si="1194"/>
        <v>46149</v>
      </c>
      <c r="L5317" s="5">
        <f t="shared" si="1195"/>
        <v>5</v>
      </c>
      <c r="M5317" s="5">
        <f t="shared" si="1196"/>
        <v>2026</v>
      </c>
      <c r="N5317" s="156">
        <v>950</v>
      </c>
      <c r="P5317" s="12"/>
      <c r="Q5317" s="7">
        <f t="shared" si="1197"/>
        <v>8360268.5500000138</v>
      </c>
      <c r="R5317" s="44" t="str">
        <f>VLOOKUP(F5317,'Set up'!$A$2:$E$100,5,FALSE)</f>
        <v>Trsf</v>
      </c>
    </row>
    <row r="5318" spans="1:18" ht="16.8" customHeight="1" x14ac:dyDescent="0.3">
      <c r="A5318" s="151" t="s">
        <v>4642</v>
      </c>
      <c r="B5318" s="5">
        <f t="shared" si="1192"/>
        <v>5</v>
      </c>
      <c r="C5318" s="5">
        <f t="shared" si="1193"/>
        <v>2026</v>
      </c>
      <c r="D5318" s="150" t="s">
        <v>4665</v>
      </c>
      <c r="E5318" s="5" t="str">
        <f>VLOOKUP(F5318,'Set up'!$A$2:$C$100,2,FALSE)</f>
        <v>C00000042</v>
      </c>
      <c r="F5318" s="150" t="s">
        <v>2012</v>
      </c>
      <c r="G5318" s="150" t="s">
        <v>2646</v>
      </c>
      <c r="H5318" s="150">
        <v>1</v>
      </c>
      <c r="I5318" s="5" t="str">
        <f>VLOOKUP(F5318,'Set up'!$A$2:$C$100,3,FALSE)</f>
        <v>Cash</v>
      </c>
      <c r="J5318" s="5">
        <f>VLOOKUP(F5318,'Set up'!$A$2:$D$100,4,FALSE)</f>
        <v>0</v>
      </c>
      <c r="K5318" s="4">
        <f t="shared" si="1194"/>
        <v>46151</v>
      </c>
      <c r="L5318" s="5">
        <f t="shared" si="1195"/>
        <v>5</v>
      </c>
      <c r="M5318" s="5">
        <f t="shared" si="1196"/>
        <v>2026</v>
      </c>
      <c r="N5318" s="156">
        <v>62.5</v>
      </c>
      <c r="P5318" s="12"/>
      <c r="Q5318" s="7">
        <f t="shared" si="1197"/>
        <v>8364178.0500000138</v>
      </c>
      <c r="R5318" s="44" t="str">
        <f>VLOOKUP(F5318,'Set up'!$A$2:$E$100,5,FALSE)</f>
        <v>Trsf</v>
      </c>
    </row>
    <row r="5319" spans="1:18" ht="16.8" customHeight="1" x14ac:dyDescent="0.3">
      <c r="A5319" s="151" t="s">
        <v>4642</v>
      </c>
      <c r="B5319" s="5">
        <f t="shared" si="1192"/>
        <v>5</v>
      </c>
      <c r="C5319" s="5">
        <f t="shared" si="1193"/>
        <v>2026</v>
      </c>
      <c r="D5319" s="150" t="s">
        <v>4666</v>
      </c>
      <c r="E5319" s="5" t="str">
        <f>VLOOKUP(F5319,'Set up'!$A$2:$C$100,2,FALSE)</f>
        <v>C00000042</v>
      </c>
      <c r="F5319" s="150" t="s">
        <v>2012</v>
      </c>
      <c r="G5319" s="150" t="s">
        <v>3645</v>
      </c>
      <c r="H5319" s="150">
        <v>2</v>
      </c>
      <c r="I5319" s="5" t="str">
        <f>VLOOKUP(F5319,'Set up'!$A$2:$C$100,3,FALSE)</f>
        <v>Cash</v>
      </c>
      <c r="J5319" s="5">
        <f>VLOOKUP(F5319,'Set up'!$A$2:$D$100,4,FALSE)</f>
        <v>0</v>
      </c>
      <c r="K5319" s="4">
        <f t="shared" si="1194"/>
        <v>46151</v>
      </c>
      <c r="L5319" s="5">
        <f t="shared" si="1195"/>
        <v>5</v>
      </c>
      <c r="M5319" s="5">
        <f t="shared" si="1196"/>
        <v>2026</v>
      </c>
      <c r="N5319" s="156">
        <v>3645</v>
      </c>
      <c r="P5319" s="12"/>
      <c r="Q5319" s="7">
        <f t="shared" si="1197"/>
        <v>8368960.5500000138</v>
      </c>
      <c r="R5319" s="44" t="str">
        <f>VLOOKUP(F5319,'Set up'!$A$2:$E$100,5,FALSE)</f>
        <v>Trsf</v>
      </c>
    </row>
    <row r="5320" spans="1:18" ht="16.8" customHeight="1" x14ac:dyDescent="0.3">
      <c r="A5320" s="151" t="s">
        <v>4642</v>
      </c>
      <c r="B5320" s="5">
        <f t="shared" si="1192"/>
        <v>5</v>
      </c>
      <c r="C5320" s="5">
        <f t="shared" si="1193"/>
        <v>2026</v>
      </c>
      <c r="D5320" s="150" t="s">
        <v>4666</v>
      </c>
      <c r="E5320" s="5" t="str">
        <f>VLOOKUP(F5320,'Set up'!$A$2:$C$100,2,FALSE)</f>
        <v>C00000042</v>
      </c>
      <c r="F5320" s="150" t="s">
        <v>2012</v>
      </c>
      <c r="G5320" s="150" t="s">
        <v>2129</v>
      </c>
      <c r="H5320" s="150">
        <v>8</v>
      </c>
      <c r="I5320" s="5" t="str">
        <f>VLOOKUP(F5320,'Set up'!$A$2:$C$100,3,FALSE)</f>
        <v>Cash</v>
      </c>
      <c r="J5320" s="5">
        <f>VLOOKUP(F5320,'Set up'!$A$2:$D$100,4,FALSE)</f>
        <v>0</v>
      </c>
      <c r="K5320" s="4">
        <f t="shared" si="1194"/>
        <v>46151</v>
      </c>
      <c r="L5320" s="5">
        <f t="shared" si="1195"/>
        <v>5</v>
      </c>
      <c r="M5320" s="5">
        <f t="shared" si="1196"/>
        <v>2026</v>
      </c>
      <c r="N5320" s="156">
        <v>1716.8</v>
      </c>
      <c r="P5320" s="12"/>
      <c r="Q5320" s="7">
        <f t="shared" si="1197"/>
        <v>8368882.3500000136</v>
      </c>
      <c r="R5320" s="44" t="str">
        <f>VLOOKUP(F5320,'Set up'!$A$2:$E$100,5,FALSE)</f>
        <v>Trsf</v>
      </c>
    </row>
    <row r="5321" spans="1:18" ht="16.8" customHeight="1" x14ac:dyDescent="0.3">
      <c r="A5321" s="151" t="s">
        <v>4642</v>
      </c>
      <c r="B5321" s="5">
        <f t="shared" si="1192"/>
        <v>5</v>
      </c>
      <c r="C5321" s="5">
        <f t="shared" si="1193"/>
        <v>2026</v>
      </c>
      <c r="D5321" s="150" t="s">
        <v>4666</v>
      </c>
      <c r="E5321" s="5" t="str">
        <f>VLOOKUP(F5321,'Set up'!$A$2:$C$100,2,FALSE)</f>
        <v>C00000042</v>
      </c>
      <c r="F5321" s="150" t="s">
        <v>2012</v>
      </c>
      <c r="G5321" s="150" t="s">
        <v>1922</v>
      </c>
      <c r="H5321" s="150">
        <v>3</v>
      </c>
      <c r="I5321" s="5" t="str">
        <f>VLOOKUP(F5321,'Set up'!$A$2:$C$100,3,FALSE)</f>
        <v>Cash</v>
      </c>
      <c r="J5321" s="5">
        <f>VLOOKUP(F5321,'Set up'!$A$2:$D$100,4,FALSE)</f>
        <v>0</v>
      </c>
      <c r="K5321" s="4">
        <f t="shared" si="1194"/>
        <v>46151</v>
      </c>
      <c r="L5321" s="5">
        <f t="shared" si="1195"/>
        <v>5</v>
      </c>
      <c r="M5321" s="5">
        <f t="shared" si="1196"/>
        <v>2026</v>
      </c>
      <c r="N5321" s="156">
        <v>621</v>
      </c>
      <c r="P5321" s="12"/>
      <c r="Q5321" s="7">
        <f t="shared" si="1197"/>
        <v>8379189.0500000138</v>
      </c>
      <c r="R5321" s="44" t="str">
        <f>VLOOKUP(F5321,'Set up'!$A$2:$E$100,5,FALSE)</f>
        <v>Trsf</v>
      </c>
    </row>
    <row r="5322" spans="1:18" ht="16.8" customHeight="1" x14ac:dyDescent="0.3">
      <c r="A5322" s="151" t="s">
        <v>4642</v>
      </c>
      <c r="B5322" s="5">
        <f t="shared" si="1192"/>
        <v>5</v>
      </c>
      <c r="C5322" s="5">
        <f t="shared" si="1193"/>
        <v>2026</v>
      </c>
      <c r="D5322" s="150" t="s">
        <v>4667</v>
      </c>
      <c r="E5322" s="5" t="str">
        <f>VLOOKUP(F5322,'Set up'!$A$2:$C$100,2,FALSE)</f>
        <v>C00000027</v>
      </c>
      <c r="F5322" s="150" t="s">
        <v>859</v>
      </c>
      <c r="G5322" s="150" t="s">
        <v>3122</v>
      </c>
      <c r="H5322" s="150">
        <v>1</v>
      </c>
      <c r="I5322" s="5" t="str">
        <f>VLOOKUP(F5322,'Set up'!$A$2:$C$100,3,FALSE)</f>
        <v>Cash</v>
      </c>
      <c r="J5322" s="5">
        <f>VLOOKUP(F5322,'Set up'!$A$2:$D$100,4,FALSE)</f>
        <v>0</v>
      </c>
      <c r="K5322" s="4">
        <f t="shared" si="1194"/>
        <v>46151</v>
      </c>
      <c r="L5322" s="5">
        <f t="shared" si="1195"/>
        <v>5</v>
      </c>
      <c r="M5322" s="5">
        <f t="shared" si="1196"/>
        <v>2026</v>
      </c>
      <c r="N5322" s="156">
        <v>1935</v>
      </c>
      <c r="P5322" s="12"/>
      <c r="Q5322" s="7">
        <f t="shared" si="1197"/>
        <v>8381282.8500000136</v>
      </c>
      <c r="R5322" s="44" t="str">
        <f>VLOOKUP(F5322,'Set up'!$A$2:$E$100,5,FALSE)</f>
        <v>Trsf</v>
      </c>
    </row>
    <row r="5323" spans="1:18" ht="16.8" customHeight="1" x14ac:dyDescent="0.3">
      <c r="A5323" s="151" t="s">
        <v>4642</v>
      </c>
      <c r="B5323" s="5">
        <f t="shared" si="1192"/>
        <v>5</v>
      </c>
      <c r="C5323" s="5">
        <f t="shared" si="1193"/>
        <v>2026</v>
      </c>
      <c r="D5323" s="150" t="s">
        <v>4667</v>
      </c>
      <c r="E5323" s="5" t="str">
        <f>VLOOKUP(F5323,'Set up'!$A$2:$C$100,2,FALSE)</f>
        <v>C00000027</v>
      </c>
      <c r="F5323" s="150" t="s">
        <v>859</v>
      </c>
      <c r="G5323" s="150" t="s">
        <v>4046</v>
      </c>
      <c r="H5323" s="150">
        <v>5</v>
      </c>
      <c r="I5323" s="5" t="str">
        <f>VLOOKUP(F5323,'Set up'!$A$2:$C$100,3,FALSE)</f>
        <v>Cash</v>
      </c>
      <c r="J5323" s="5">
        <f>VLOOKUP(F5323,'Set up'!$A$2:$D$100,4,FALSE)</f>
        <v>0</v>
      </c>
      <c r="K5323" s="4">
        <f t="shared" si="1194"/>
        <v>46151</v>
      </c>
      <c r="L5323" s="5">
        <f t="shared" si="1195"/>
        <v>5</v>
      </c>
      <c r="M5323" s="5">
        <f t="shared" si="1196"/>
        <v>2026</v>
      </c>
      <c r="N5323" s="156">
        <v>1125</v>
      </c>
      <c r="P5323" s="12"/>
      <c r="Q5323" s="7">
        <f t="shared" si="1197"/>
        <v>8381479.5500000138</v>
      </c>
      <c r="R5323" s="44" t="str">
        <f>VLOOKUP(F5323,'Set up'!$A$2:$E$100,5,FALSE)</f>
        <v>Trsf</v>
      </c>
    </row>
    <row r="5324" spans="1:18" ht="16.8" customHeight="1" x14ac:dyDescent="0.3">
      <c r="A5324" s="151" t="s">
        <v>4642</v>
      </c>
      <c r="B5324" s="5">
        <f t="shared" si="1192"/>
        <v>5</v>
      </c>
      <c r="C5324" s="5">
        <f t="shared" si="1193"/>
        <v>2026</v>
      </c>
      <c r="D5324" s="150" t="s">
        <v>4667</v>
      </c>
      <c r="E5324" s="5" t="str">
        <f>VLOOKUP(F5324,'Set up'!$A$2:$C$100,2,FALSE)</f>
        <v>C00000027</v>
      </c>
      <c r="F5324" s="150" t="s">
        <v>859</v>
      </c>
      <c r="G5324" s="150" t="s">
        <v>1922</v>
      </c>
      <c r="H5324" s="150">
        <v>1</v>
      </c>
      <c r="I5324" s="5" t="str">
        <f>VLOOKUP(F5324,'Set up'!$A$2:$C$100,3,FALSE)</f>
        <v>Cash</v>
      </c>
      <c r="J5324" s="5">
        <f>VLOOKUP(F5324,'Set up'!$A$2:$D$100,4,FALSE)</f>
        <v>0</v>
      </c>
      <c r="K5324" s="4">
        <f t="shared" si="1194"/>
        <v>46151</v>
      </c>
      <c r="L5324" s="5">
        <f t="shared" si="1195"/>
        <v>5</v>
      </c>
      <c r="M5324" s="5">
        <f t="shared" si="1196"/>
        <v>2026</v>
      </c>
      <c r="N5324" s="156">
        <v>301.5</v>
      </c>
      <c r="P5324" s="12"/>
      <c r="Q5324" s="7">
        <f t="shared" si="1197"/>
        <v>8380901.8500000136</v>
      </c>
      <c r="R5324" s="44" t="str">
        <f>VLOOKUP(F5324,'Set up'!$A$2:$E$100,5,FALSE)</f>
        <v>Trsf</v>
      </c>
    </row>
    <row r="5325" spans="1:18" ht="16.8" customHeight="1" x14ac:dyDescent="0.3">
      <c r="A5325" s="151" t="s">
        <v>4642</v>
      </c>
      <c r="B5325" s="5">
        <f t="shared" si="1192"/>
        <v>5</v>
      </c>
      <c r="C5325" s="5">
        <f t="shared" si="1193"/>
        <v>2026</v>
      </c>
      <c r="D5325" s="150" t="s">
        <v>4667</v>
      </c>
      <c r="E5325" s="5" t="str">
        <f>VLOOKUP(F5325,'Set up'!$A$2:$C$100,2,FALSE)</f>
        <v>C00000027</v>
      </c>
      <c r="F5325" s="150" t="s">
        <v>859</v>
      </c>
      <c r="G5325" s="150" t="s">
        <v>2144</v>
      </c>
      <c r="H5325" s="150">
        <v>1</v>
      </c>
      <c r="I5325" s="5" t="str">
        <f>VLOOKUP(F5325,'Set up'!$A$2:$C$100,3,FALSE)</f>
        <v>Cash</v>
      </c>
      <c r="J5325" s="5">
        <f>VLOOKUP(F5325,'Set up'!$A$2:$D$100,4,FALSE)</f>
        <v>0</v>
      </c>
      <c r="K5325" s="4">
        <f t="shared" si="1194"/>
        <v>46151</v>
      </c>
      <c r="L5325" s="5">
        <f t="shared" si="1195"/>
        <v>5</v>
      </c>
      <c r="M5325" s="5">
        <f t="shared" si="1196"/>
        <v>2026</v>
      </c>
      <c r="N5325" s="156">
        <v>319</v>
      </c>
      <c r="P5325" s="12"/>
      <c r="Q5325" s="7">
        <f t="shared" si="1197"/>
        <v>8381559.3500000136</v>
      </c>
      <c r="R5325" s="44" t="str">
        <f>VLOOKUP(F5325,'Set up'!$A$2:$E$100,5,FALSE)</f>
        <v>Trsf</v>
      </c>
    </row>
    <row r="5326" spans="1:18" ht="16.8" customHeight="1" x14ac:dyDescent="0.3">
      <c r="A5326" s="151" t="s">
        <v>4642</v>
      </c>
      <c r="B5326" s="5">
        <f t="shared" si="1192"/>
        <v>5</v>
      </c>
      <c r="C5326" s="5">
        <f t="shared" si="1193"/>
        <v>2026</v>
      </c>
      <c r="D5326" s="150" t="s">
        <v>4667</v>
      </c>
      <c r="E5326" s="5" t="str">
        <f>VLOOKUP(F5326,'Set up'!$A$2:$C$100,2,FALSE)</f>
        <v>C00000027</v>
      </c>
      <c r="F5326" s="150" t="s">
        <v>859</v>
      </c>
      <c r="G5326" s="150" t="s">
        <v>4348</v>
      </c>
      <c r="H5326" s="150">
        <v>6</v>
      </c>
      <c r="I5326" s="5" t="str">
        <f>VLOOKUP(F5326,'Set up'!$A$2:$C$100,3,FALSE)</f>
        <v>Cash</v>
      </c>
      <c r="J5326" s="5">
        <f>VLOOKUP(F5326,'Set up'!$A$2:$D$100,4,FALSE)</f>
        <v>0</v>
      </c>
      <c r="K5326" s="4">
        <f t="shared" si="1194"/>
        <v>46151</v>
      </c>
      <c r="L5326" s="5">
        <f t="shared" si="1195"/>
        <v>5</v>
      </c>
      <c r="M5326" s="5">
        <f t="shared" si="1196"/>
        <v>2026</v>
      </c>
      <c r="N5326" s="156">
        <v>360</v>
      </c>
      <c r="P5326" s="12"/>
      <c r="Q5326" s="7">
        <f t="shared" si="1197"/>
        <v>8388820.3500000127</v>
      </c>
      <c r="R5326" s="44" t="str">
        <f>VLOOKUP(F5326,'Set up'!$A$2:$E$100,5,FALSE)</f>
        <v>Trsf</v>
      </c>
    </row>
    <row r="5327" spans="1:18" ht="16.8" customHeight="1" x14ac:dyDescent="0.3">
      <c r="A5327" s="151" t="s">
        <v>4642</v>
      </c>
      <c r="B5327" s="5">
        <f t="shared" si="1192"/>
        <v>5</v>
      </c>
      <c r="C5327" s="5">
        <f t="shared" si="1193"/>
        <v>2026</v>
      </c>
      <c r="D5327" s="150" t="s">
        <v>4667</v>
      </c>
      <c r="E5327" s="5" t="str">
        <f>VLOOKUP(F5327,'Set up'!$A$2:$C$100,2,FALSE)</f>
        <v>C00000027</v>
      </c>
      <c r="F5327" s="150" t="s">
        <v>859</v>
      </c>
      <c r="G5327" s="150" t="s">
        <v>945</v>
      </c>
      <c r="H5327" s="150">
        <v>3</v>
      </c>
      <c r="I5327" s="5" t="str">
        <f>VLOOKUP(F5327,'Set up'!$A$2:$C$100,3,FALSE)</f>
        <v>Cash</v>
      </c>
      <c r="J5327" s="5">
        <f>VLOOKUP(F5327,'Set up'!$A$2:$D$100,4,FALSE)</f>
        <v>0</v>
      </c>
      <c r="K5327" s="4">
        <f t="shared" si="1194"/>
        <v>46151</v>
      </c>
      <c r="L5327" s="5">
        <f t="shared" si="1195"/>
        <v>5</v>
      </c>
      <c r="M5327" s="5">
        <f t="shared" si="1196"/>
        <v>2026</v>
      </c>
      <c r="N5327" s="156">
        <v>360</v>
      </c>
      <c r="P5327" s="12"/>
      <c r="Q5327" s="7">
        <f t="shared" si="1197"/>
        <v>8386065.3500000136</v>
      </c>
      <c r="R5327" s="44" t="str">
        <f>VLOOKUP(F5327,'Set up'!$A$2:$E$100,5,FALSE)</f>
        <v>Trsf</v>
      </c>
    </row>
    <row r="5328" spans="1:18" ht="16.8" customHeight="1" x14ac:dyDescent="0.3">
      <c r="A5328" s="151" t="s">
        <v>4642</v>
      </c>
      <c r="B5328" s="5">
        <f t="shared" si="1192"/>
        <v>5</v>
      </c>
      <c r="C5328" s="5">
        <f t="shared" si="1193"/>
        <v>2026</v>
      </c>
      <c r="D5328" s="150" t="s">
        <v>4667</v>
      </c>
      <c r="E5328" s="5" t="str">
        <f>VLOOKUP(F5328,'Set up'!$A$2:$C$100,2,FALSE)</f>
        <v>C00000027</v>
      </c>
      <c r="F5328" s="150" t="s">
        <v>859</v>
      </c>
      <c r="G5328" s="150" t="s">
        <v>1715</v>
      </c>
      <c r="H5328" s="150">
        <v>1</v>
      </c>
      <c r="I5328" s="5" t="str">
        <f>VLOOKUP(F5328,'Set up'!$A$2:$C$100,3,FALSE)</f>
        <v>Cash</v>
      </c>
      <c r="J5328" s="5">
        <f>VLOOKUP(F5328,'Set up'!$A$2:$D$100,4,FALSE)</f>
        <v>0</v>
      </c>
      <c r="K5328" s="4">
        <f t="shared" si="1194"/>
        <v>46151</v>
      </c>
      <c r="L5328" s="5">
        <f t="shared" si="1195"/>
        <v>5</v>
      </c>
      <c r="M5328" s="5">
        <f t="shared" si="1196"/>
        <v>2026</v>
      </c>
      <c r="N5328" s="156">
        <v>180</v>
      </c>
      <c r="P5328" s="12"/>
      <c r="Q5328" s="7">
        <f t="shared" si="1197"/>
        <v>8384617.8500000136</v>
      </c>
      <c r="R5328" s="44" t="str">
        <f>VLOOKUP(F5328,'Set up'!$A$2:$E$100,5,FALSE)</f>
        <v>Trsf</v>
      </c>
    </row>
    <row r="5329" spans="1:18" ht="16.8" customHeight="1" x14ac:dyDescent="0.3">
      <c r="A5329" s="151" t="s">
        <v>4642</v>
      </c>
      <c r="B5329" s="5">
        <f t="shared" si="1192"/>
        <v>5</v>
      </c>
      <c r="C5329" s="5">
        <f t="shared" si="1193"/>
        <v>2026</v>
      </c>
      <c r="D5329" s="150" t="s">
        <v>4667</v>
      </c>
      <c r="E5329" s="5" t="str">
        <f>VLOOKUP(F5329,'Set up'!$A$2:$C$100,2,FALSE)</f>
        <v>C00000027</v>
      </c>
      <c r="F5329" s="150" t="s">
        <v>859</v>
      </c>
      <c r="G5329" s="150" t="s">
        <v>1818</v>
      </c>
      <c r="H5329" s="150">
        <v>1</v>
      </c>
      <c r="I5329" s="5" t="str">
        <f>VLOOKUP(F5329,'Set up'!$A$2:$C$100,3,FALSE)</f>
        <v>Cash</v>
      </c>
      <c r="J5329" s="5">
        <f>VLOOKUP(F5329,'Set up'!$A$2:$D$100,4,FALSE)</f>
        <v>0</v>
      </c>
      <c r="K5329" s="4">
        <f t="shared" si="1194"/>
        <v>46151</v>
      </c>
      <c r="L5329" s="5">
        <f t="shared" si="1195"/>
        <v>5</v>
      </c>
      <c r="M5329" s="5">
        <f t="shared" si="1196"/>
        <v>2026</v>
      </c>
      <c r="N5329" s="156">
        <v>170</v>
      </c>
      <c r="P5329" s="12"/>
      <c r="Q5329" s="7">
        <f t="shared" si="1197"/>
        <v>8389904.3500000127</v>
      </c>
      <c r="R5329" s="44" t="str">
        <f>VLOOKUP(F5329,'Set up'!$A$2:$E$100,5,FALSE)</f>
        <v>Trsf</v>
      </c>
    </row>
    <row r="5330" spans="1:18" ht="16.8" customHeight="1" x14ac:dyDescent="0.3">
      <c r="A5330" s="151" t="s">
        <v>4643</v>
      </c>
      <c r="B5330" s="5">
        <f t="shared" si="1192"/>
        <v>5</v>
      </c>
      <c r="C5330" s="5">
        <f t="shared" si="1193"/>
        <v>2026</v>
      </c>
      <c r="D5330" s="150" t="s">
        <v>4668</v>
      </c>
      <c r="E5330" s="5" t="str">
        <f>VLOOKUP(F5330,'Set up'!$A$2:$C$100,2,FALSE)</f>
        <v>C00000013</v>
      </c>
      <c r="F5330" s="150" t="s">
        <v>3549</v>
      </c>
      <c r="G5330" s="150" t="s">
        <v>3507</v>
      </c>
      <c r="H5330" s="150">
        <v>1</v>
      </c>
      <c r="I5330" s="5" t="str">
        <f>VLOOKUP(F5330,'Set up'!$A$2:$C$100,3,FALSE)</f>
        <v>Cash</v>
      </c>
      <c r="J5330" s="5">
        <f>VLOOKUP(F5330,'Set up'!$A$2:$D$100,4,FALSE)</f>
        <v>0</v>
      </c>
      <c r="K5330" s="4">
        <f t="shared" si="1194"/>
        <v>46153</v>
      </c>
      <c r="L5330" s="5">
        <f t="shared" si="1195"/>
        <v>5</v>
      </c>
      <c r="M5330" s="5">
        <f t="shared" si="1196"/>
        <v>2026</v>
      </c>
      <c r="N5330" s="156">
        <v>2002.5</v>
      </c>
      <c r="P5330" s="12"/>
      <c r="Q5330" s="7">
        <f t="shared" si="1197"/>
        <v>8391046.4500000142</v>
      </c>
      <c r="R5330" s="44" t="str">
        <f>VLOOKUP(F5330,'Set up'!$A$2:$E$100,5,FALSE)</f>
        <v>Chq</v>
      </c>
    </row>
    <row r="5331" spans="1:18" ht="16.8" customHeight="1" x14ac:dyDescent="0.3">
      <c r="A5331" s="151" t="s">
        <v>4643</v>
      </c>
      <c r="B5331" s="5">
        <f t="shared" si="1192"/>
        <v>5</v>
      </c>
      <c r="C5331" s="5">
        <f t="shared" si="1193"/>
        <v>2026</v>
      </c>
      <c r="D5331" s="150" t="s">
        <v>4668</v>
      </c>
      <c r="E5331" s="5" t="str">
        <f>VLOOKUP(F5331,'Set up'!$A$2:$C$100,2,FALSE)</f>
        <v>C00000013</v>
      </c>
      <c r="F5331" s="150" t="s">
        <v>3549</v>
      </c>
      <c r="G5331" s="150" t="s">
        <v>1443</v>
      </c>
      <c r="H5331" s="150">
        <v>1</v>
      </c>
      <c r="I5331" s="5" t="str">
        <f>VLOOKUP(F5331,'Set up'!$A$2:$C$100,3,FALSE)</f>
        <v>Cash</v>
      </c>
      <c r="J5331" s="5">
        <f>VLOOKUP(F5331,'Set up'!$A$2:$D$100,4,FALSE)</f>
        <v>0</v>
      </c>
      <c r="K5331" s="4">
        <f t="shared" si="1194"/>
        <v>46153</v>
      </c>
      <c r="L5331" s="5">
        <f t="shared" si="1195"/>
        <v>5</v>
      </c>
      <c r="M5331" s="5">
        <f t="shared" si="1196"/>
        <v>2026</v>
      </c>
      <c r="N5331" s="156">
        <v>405</v>
      </c>
      <c r="P5331" s="12"/>
      <c r="Q5331" s="7">
        <f t="shared" si="1197"/>
        <v>8385807.8500000136</v>
      </c>
      <c r="R5331" s="44" t="str">
        <f>VLOOKUP(F5331,'Set up'!$A$2:$E$100,5,FALSE)</f>
        <v>Chq</v>
      </c>
    </row>
    <row r="5332" spans="1:18" ht="16.8" customHeight="1" x14ac:dyDescent="0.3">
      <c r="A5332" s="151" t="s">
        <v>4643</v>
      </c>
      <c r="B5332" s="5">
        <f t="shared" si="1192"/>
        <v>5</v>
      </c>
      <c r="C5332" s="5">
        <f t="shared" si="1193"/>
        <v>2026</v>
      </c>
      <c r="D5332" s="150" t="s">
        <v>4668</v>
      </c>
      <c r="E5332" s="5" t="str">
        <f>VLOOKUP(F5332,'Set up'!$A$2:$C$100,2,FALSE)</f>
        <v>C00000013</v>
      </c>
      <c r="F5332" s="150" t="s">
        <v>3549</v>
      </c>
      <c r="G5332" s="150" t="s">
        <v>3508</v>
      </c>
      <c r="H5332" s="150">
        <v>2</v>
      </c>
      <c r="I5332" s="5" t="str">
        <f>VLOOKUP(F5332,'Set up'!$A$2:$C$100,3,FALSE)</f>
        <v>Cash</v>
      </c>
      <c r="J5332" s="5">
        <f>VLOOKUP(F5332,'Set up'!$A$2:$D$100,4,FALSE)</f>
        <v>0</v>
      </c>
      <c r="K5332" s="4">
        <f t="shared" si="1194"/>
        <v>46153</v>
      </c>
      <c r="L5332" s="5">
        <f t="shared" si="1195"/>
        <v>5</v>
      </c>
      <c r="M5332" s="5">
        <f t="shared" si="1196"/>
        <v>2026</v>
      </c>
      <c r="N5332" s="156">
        <v>655.6</v>
      </c>
      <c r="P5332" s="12"/>
      <c r="Q5332" s="7">
        <f t="shared" si="1197"/>
        <v>8386418.4500000132</v>
      </c>
      <c r="R5332" s="44" t="str">
        <f>VLOOKUP(F5332,'Set up'!$A$2:$E$100,5,FALSE)</f>
        <v>Chq</v>
      </c>
    </row>
    <row r="5333" spans="1:18" ht="16.8" customHeight="1" x14ac:dyDescent="0.3">
      <c r="A5333" s="151" t="s">
        <v>4643</v>
      </c>
      <c r="B5333" s="5">
        <f t="shared" si="1192"/>
        <v>5</v>
      </c>
      <c r="C5333" s="5">
        <f t="shared" si="1193"/>
        <v>2026</v>
      </c>
      <c r="D5333" s="150" t="s">
        <v>4669</v>
      </c>
      <c r="E5333" s="5" t="str">
        <f>VLOOKUP(F5333,'Set up'!$A$2:$C$100,2,FALSE)</f>
        <v>C00000050</v>
      </c>
      <c r="F5333" s="150" t="s">
        <v>2656</v>
      </c>
      <c r="G5333" s="150" t="s">
        <v>4637</v>
      </c>
      <c r="H5333" s="150">
        <v>2</v>
      </c>
      <c r="I5333" s="5" t="str">
        <f>VLOOKUP(F5333,'Set up'!$A$2:$C$100,3,FALSE)</f>
        <v>Cash</v>
      </c>
      <c r="J5333" s="5">
        <f>VLOOKUP(F5333,'Set up'!$A$2:$D$100,4,FALSE)</f>
        <v>0</v>
      </c>
      <c r="K5333" s="4">
        <f t="shared" si="1194"/>
        <v>46153</v>
      </c>
      <c r="L5333" s="5">
        <f t="shared" si="1195"/>
        <v>5</v>
      </c>
      <c r="M5333" s="5">
        <f t="shared" si="1196"/>
        <v>2026</v>
      </c>
      <c r="N5333" s="156">
        <v>555</v>
      </c>
      <c r="P5333" s="12"/>
      <c r="Q5333" s="7">
        <f t="shared" si="1197"/>
        <v>8389002.8500000127</v>
      </c>
      <c r="R5333" s="44" t="str">
        <f>VLOOKUP(F5333,'Set up'!$A$2:$E$100,5,FALSE)</f>
        <v>Cash</v>
      </c>
    </row>
    <row r="5334" spans="1:18" ht="16.8" customHeight="1" x14ac:dyDescent="0.3">
      <c r="A5334" s="151" t="s">
        <v>4643</v>
      </c>
      <c r="B5334" s="5">
        <f t="shared" si="1192"/>
        <v>5</v>
      </c>
      <c r="C5334" s="5">
        <f t="shared" si="1193"/>
        <v>2026</v>
      </c>
      <c r="D5334" s="150" t="s">
        <v>4670</v>
      </c>
      <c r="E5334" s="5" t="str">
        <f>VLOOKUP(F5334,'Set up'!$A$2:$C$100,2,FALSE)</f>
        <v>C00000042</v>
      </c>
      <c r="F5334" s="150" t="s">
        <v>2012</v>
      </c>
      <c r="G5334" s="150" t="s">
        <v>2646</v>
      </c>
      <c r="H5334" s="150">
        <v>1</v>
      </c>
      <c r="I5334" s="5" t="str">
        <f>VLOOKUP(F5334,'Set up'!$A$2:$C$100,3,FALSE)</f>
        <v>Cash</v>
      </c>
      <c r="J5334" s="5">
        <f>VLOOKUP(F5334,'Set up'!$A$2:$D$100,4,FALSE)</f>
        <v>0</v>
      </c>
      <c r="K5334" s="4">
        <f t="shared" si="1194"/>
        <v>46153</v>
      </c>
      <c r="L5334" s="5">
        <f t="shared" si="1195"/>
        <v>5</v>
      </c>
      <c r="M5334" s="5">
        <f t="shared" si="1196"/>
        <v>2026</v>
      </c>
      <c r="N5334" s="156">
        <v>62.5</v>
      </c>
      <c r="P5334" s="12"/>
      <c r="Q5334" s="7">
        <f t="shared" si="1197"/>
        <v>8387179.5500000138</v>
      </c>
      <c r="R5334" s="44" t="str">
        <f>VLOOKUP(F5334,'Set up'!$A$2:$E$100,5,FALSE)</f>
        <v>Trsf</v>
      </c>
    </row>
    <row r="5335" spans="1:18" ht="16.8" customHeight="1" x14ac:dyDescent="0.3">
      <c r="A5335" s="151" t="s">
        <v>4643</v>
      </c>
      <c r="B5335" s="5">
        <f t="shared" si="1192"/>
        <v>5</v>
      </c>
      <c r="C5335" s="5">
        <f t="shared" si="1193"/>
        <v>2026</v>
      </c>
      <c r="D5335" s="150" t="s">
        <v>4671</v>
      </c>
      <c r="E5335" s="5" t="str">
        <f>VLOOKUP(F5335,'Set up'!$A$2:$C$100,2,FALSE)</f>
        <v>C00000042</v>
      </c>
      <c r="F5335" s="150" t="s">
        <v>2012</v>
      </c>
      <c r="G5335" s="150" t="s">
        <v>3645</v>
      </c>
      <c r="H5335" s="150">
        <v>2</v>
      </c>
      <c r="I5335" s="5" t="str">
        <f>VLOOKUP(F5335,'Set up'!$A$2:$C$100,3,FALSE)</f>
        <v>Cash</v>
      </c>
      <c r="J5335" s="5">
        <f>VLOOKUP(F5335,'Set up'!$A$2:$D$100,4,FALSE)</f>
        <v>0</v>
      </c>
      <c r="K5335" s="4">
        <f t="shared" si="1194"/>
        <v>46153</v>
      </c>
      <c r="L5335" s="5">
        <f t="shared" si="1195"/>
        <v>5</v>
      </c>
      <c r="M5335" s="5">
        <f t="shared" si="1196"/>
        <v>2026</v>
      </c>
      <c r="N5335" s="156">
        <v>3645</v>
      </c>
      <c r="P5335" s="12"/>
      <c r="Q5335" s="7">
        <f t="shared" si="1197"/>
        <v>8403303.0500000138</v>
      </c>
      <c r="R5335" s="44" t="str">
        <f>VLOOKUP(F5335,'Set up'!$A$2:$E$100,5,FALSE)</f>
        <v>Trsf</v>
      </c>
    </row>
    <row r="5336" spans="1:18" ht="16.8" customHeight="1" x14ac:dyDescent="0.3">
      <c r="A5336" s="151" t="s">
        <v>4643</v>
      </c>
      <c r="B5336" s="5">
        <f t="shared" si="1192"/>
        <v>5</v>
      </c>
      <c r="C5336" s="5">
        <f t="shared" si="1193"/>
        <v>2026</v>
      </c>
      <c r="D5336" s="150" t="s">
        <v>4671</v>
      </c>
      <c r="E5336" s="5" t="str">
        <f>VLOOKUP(F5336,'Set up'!$A$2:$C$100,2,FALSE)</f>
        <v>C00000042</v>
      </c>
      <c r="F5336" s="150" t="s">
        <v>2012</v>
      </c>
      <c r="G5336" s="150" t="s">
        <v>2129</v>
      </c>
      <c r="H5336" s="150">
        <v>2</v>
      </c>
      <c r="I5336" s="5" t="str">
        <f>VLOOKUP(F5336,'Set up'!$A$2:$C$100,3,FALSE)</f>
        <v>Cash</v>
      </c>
      <c r="J5336" s="5">
        <f>VLOOKUP(F5336,'Set up'!$A$2:$D$100,4,FALSE)</f>
        <v>0</v>
      </c>
      <c r="K5336" s="4">
        <f t="shared" si="1194"/>
        <v>46153</v>
      </c>
      <c r="L5336" s="5">
        <f t="shared" si="1195"/>
        <v>5</v>
      </c>
      <c r="M5336" s="5">
        <f t="shared" si="1196"/>
        <v>2026</v>
      </c>
      <c r="N5336" s="156">
        <v>429.2</v>
      </c>
      <c r="P5336" s="12"/>
      <c r="Q5336" s="7">
        <f t="shared" si="1197"/>
        <v>8389022.750000013</v>
      </c>
      <c r="R5336" s="44" t="str">
        <f>VLOOKUP(F5336,'Set up'!$A$2:$E$100,5,FALSE)</f>
        <v>Trsf</v>
      </c>
    </row>
    <row r="5337" spans="1:18" ht="16.8" customHeight="1" x14ac:dyDescent="0.3">
      <c r="A5337" s="151" t="s">
        <v>4643</v>
      </c>
      <c r="B5337" s="5">
        <f t="shared" si="1192"/>
        <v>5</v>
      </c>
      <c r="C5337" s="5">
        <f t="shared" si="1193"/>
        <v>2026</v>
      </c>
      <c r="D5337" s="150" t="s">
        <v>4671</v>
      </c>
      <c r="E5337" s="5" t="str">
        <f>VLOOKUP(F5337,'Set up'!$A$2:$C$100,2,FALSE)</f>
        <v>C00000042</v>
      </c>
      <c r="F5337" s="150" t="s">
        <v>2012</v>
      </c>
      <c r="G5337" s="150" t="s">
        <v>1922</v>
      </c>
      <c r="H5337" s="150">
        <v>3</v>
      </c>
      <c r="I5337" s="5" t="str">
        <f>VLOOKUP(F5337,'Set up'!$A$2:$C$100,3,FALSE)</f>
        <v>Cash</v>
      </c>
      <c r="J5337" s="5">
        <f>VLOOKUP(F5337,'Set up'!$A$2:$D$100,4,FALSE)</f>
        <v>0</v>
      </c>
      <c r="K5337" s="4">
        <f t="shared" si="1194"/>
        <v>46153</v>
      </c>
      <c r="L5337" s="5">
        <f t="shared" si="1195"/>
        <v>5</v>
      </c>
      <c r="M5337" s="5">
        <f t="shared" si="1196"/>
        <v>2026</v>
      </c>
      <c r="N5337" s="156">
        <v>621</v>
      </c>
      <c r="P5337" s="12"/>
      <c r="Q5337" s="7">
        <f t="shared" si="1197"/>
        <v>8389777.5500000138</v>
      </c>
      <c r="R5337" s="44" t="str">
        <f>VLOOKUP(F5337,'Set up'!$A$2:$E$100,5,FALSE)</f>
        <v>Trsf</v>
      </c>
    </row>
    <row r="5338" spans="1:18" ht="16.8" customHeight="1" x14ac:dyDescent="0.3">
      <c r="A5338" s="151" t="s">
        <v>4644</v>
      </c>
      <c r="B5338" s="5">
        <f t="shared" si="1192"/>
        <v>5</v>
      </c>
      <c r="C5338" s="5">
        <f t="shared" si="1193"/>
        <v>2026</v>
      </c>
      <c r="D5338" s="150" t="s">
        <v>4672</v>
      </c>
      <c r="E5338" s="5" t="str">
        <f>VLOOKUP(F5338,'Set up'!$A$2:$C$100,2,FALSE)</f>
        <v>C00000027</v>
      </c>
      <c r="F5338" s="150" t="s">
        <v>859</v>
      </c>
      <c r="G5338" s="150" t="s">
        <v>3122</v>
      </c>
      <c r="H5338" s="150">
        <v>2</v>
      </c>
      <c r="I5338" s="5" t="str">
        <f>VLOOKUP(F5338,'Set up'!$A$2:$C$100,3,FALSE)</f>
        <v>Cash</v>
      </c>
      <c r="J5338" s="5">
        <f>VLOOKUP(F5338,'Set up'!$A$2:$D$100,4,FALSE)</f>
        <v>0</v>
      </c>
      <c r="K5338" s="4">
        <f t="shared" si="1194"/>
        <v>46155</v>
      </c>
      <c r="L5338" s="5">
        <f t="shared" si="1195"/>
        <v>5</v>
      </c>
      <c r="M5338" s="5">
        <f t="shared" si="1196"/>
        <v>2026</v>
      </c>
      <c r="N5338" s="156">
        <v>3870</v>
      </c>
      <c r="P5338" s="12"/>
      <c r="Q5338" s="7">
        <f t="shared" si="1197"/>
        <v>8393653.0500000138</v>
      </c>
      <c r="R5338" s="44" t="str">
        <f>VLOOKUP(F5338,'Set up'!$A$2:$E$100,5,FALSE)</f>
        <v>Trsf</v>
      </c>
    </row>
    <row r="5339" spans="1:18" ht="16.8" customHeight="1" x14ac:dyDescent="0.3">
      <c r="A5339" s="151" t="s">
        <v>4644</v>
      </c>
      <c r="B5339" s="5">
        <f t="shared" si="1192"/>
        <v>5</v>
      </c>
      <c r="C5339" s="5">
        <f t="shared" si="1193"/>
        <v>2026</v>
      </c>
      <c r="D5339" s="150" t="s">
        <v>4672</v>
      </c>
      <c r="E5339" s="5" t="str">
        <f>VLOOKUP(F5339,'Set up'!$A$2:$C$100,2,FALSE)</f>
        <v>C00000027</v>
      </c>
      <c r="F5339" s="150" t="s">
        <v>859</v>
      </c>
      <c r="G5339" s="150" t="s">
        <v>4144</v>
      </c>
      <c r="H5339" s="150">
        <v>1</v>
      </c>
      <c r="I5339" s="5" t="str">
        <f>VLOOKUP(F5339,'Set up'!$A$2:$C$100,3,FALSE)</f>
        <v>Cash</v>
      </c>
      <c r="J5339" s="5">
        <f>VLOOKUP(F5339,'Set up'!$A$2:$D$100,4,FALSE)</f>
        <v>0</v>
      </c>
      <c r="K5339" s="4">
        <f t="shared" si="1194"/>
        <v>46155</v>
      </c>
      <c r="L5339" s="5">
        <f t="shared" si="1195"/>
        <v>5</v>
      </c>
      <c r="M5339" s="5">
        <f t="shared" si="1196"/>
        <v>2026</v>
      </c>
      <c r="N5339" s="156">
        <v>1336.6</v>
      </c>
      <c r="P5339" s="12"/>
      <c r="Q5339" s="7">
        <f t="shared" si="1197"/>
        <v>8393004.1500000134</v>
      </c>
      <c r="R5339" s="44" t="str">
        <f>VLOOKUP(F5339,'Set up'!$A$2:$E$100,5,FALSE)</f>
        <v>Trsf</v>
      </c>
    </row>
    <row r="5340" spans="1:18" ht="16.8" customHeight="1" x14ac:dyDescent="0.3">
      <c r="A5340" s="151" t="s">
        <v>4644</v>
      </c>
      <c r="B5340" s="5">
        <f t="shared" si="1192"/>
        <v>5</v>
      </c>
      <c r="C5340" s="5">
        <f t="shared" si="1193"/>
        <v>2026</v>
      </c>
      <c r="D5340" s="150" t="s">
        <v>4673</v>
      </c>
      <c r="E5340" s="5" t="str">
        <f>VLOOKUP(F5340,'Set up'!$A$2:$C$100,2,FALSE)</f>
        <v>C00000050</v>
      </c>
      <c r="F5340" s="150" t="s">
        <v>2656</v>
      </c>
      <c r="G5340" s="150" t="s">
        <v>3645</v>
      </c>
      <c r="H5340" s="150">
        <v>1</v>
      </c>
      <c r="I5340" s="5" t="str">
        <f>VLOOKUP(F5340,'Set up'!$A$2:$C$100,3,FALSE)</f>
        <v>Cash</v>
      </c>
      <c r="J5340" s="5">
        <f>VLOOKUP(F5340,'Set up'!$A$2:$D$100,4,FALSE)</f>
        <v>0</v>
      </c>
      <c r="K5340" s="4">
        <f t="shared" si="1194"/>
        <v>46155</v>
      </c>
      <c r="L5340" s="5">
        <f t="shared" si="1195"/>
        <v>5</v>
      </c>
      <c r="M5340" s="5">
        <f t="shared" si="1196"/>
        <v>2026</v>
      </c>
      <c r="N5340" s="156">
        <v>1957.5</v>
      </c>
      <c r="P5340" s="12"/>
      <c r="Q5340" s="7">
        <f t="shared" si="1197"/>
        <v>8392259.5500000138</v>
      </c>
      <c r="R5340" s="44" t="str">
        <f>VLOOKUP(F5340,'Set up'!$A$2:$E$100,5,FALSE)</f>
        <v>Cash</v>
      </c>
    </row>
    <row r="5341" spans="1:18" ht="16.8" customHeight="1" x14ac:dyDescent="0.3">
      <c r="A5341" s="151" t="s">
        <v>4644</v>
      </c>
      <c r="B5341" s="5">
        <f t="shared" si="1192"/>
        <v>5</v>
      </c>
      <c r="C5341" s="5">
        <f t="shared" si="1193"/>
        <v>2026</v>
      </c>
      <c r="D5341" s="150" t="s">
        <v>4673</v>
      </c>
      <c r="E5341" s="5" t="str">
        <f>VLOOKUP(F5341,'Set up'!$A$2:$C$100,2,FALSE)</f>
        <v>C00000050</v>
      </c>
      <c r="F5341" s="150" t="s">
        <v>2656</v>
      </c>
      <c r="G5341" s="150" t="s">
        <v>2449</v>
      </c>
      <c r="H5341" s="150">
        <v>1</v>
      </c>
      <c r="I5341" s="5" t="str">
        <f>VLOOKUP(F5341,'Set up'!$A$2:$C$100,3,FALSE)</f>
        <v>Cash</v>
      </c>
      <c r="J5341" s="5">
        <f>VLOOKUP(F5341,'Set up'!$A$2:$D$100,4,FALSE)</f>
        <v>0</v>
      </c>
      <c r="K5341" s="4">
        <f t="shared" si="1194"/>
        <v>46155</v>
      </c>
      <c r="L5341" s="5">
        <f t="shared" si="1195"/>
        <v>5</v>
      </c>
      <c r="M5341" s="5">
        <f t="shared" si="1196"/>
        <v>2026</v>
      </c>
      <c r="N5341" s="156">
        <v>420</v>
      </c>
      <c r="P5341" s="12"/>
      <c r="Q5341" s="7">
        <f t="shared" si="1197"/>
        <v>8394025.0500000138</v>
      </c>
      <c r="R5341" s="44" t="str">
        <f>VLOOKUP(F5341,'Set up'!$A$2:$E$100,5,FALSE)</f>
        <v>Cash</v>
      </c>
    </row>
    <row r="5342" spans="1:18" ht="16.8" customHeight="1" x14ac:dyDescent="0.3">
      <c r="A5342" s="151" t="s">
        <v>4644</v>
      </c>
      <c r="B5342" s="5">
        <f t="shared" si="1192"/>
        <v>5</v>
      </c>
      <c r="C5342" s="5">
        <f t="shared" si="1193"/>
        <v>2026</v>
      </c>
      <c r="D5342" s="150" t="s">
        <v>4673</v>
      </c>
      <c r="E5342" s="5" t="str">
        <f>VLOOKUP(F5342,'Set up'!$A$2:$C$100,2,FALSE)</f>
        <v>C00000050</v>
      </c>
      <c r="F5342" s="150" t="s">
        <v>2656</v>
      </c>
      <c r="G5342" s="150" t="s">
        <v>945</v>
      </c>
      <c r="H5342" s="150">
        <v>1</v>
      </c>
      <c r="I5342" s="5" t="str">
        <f>VLOOKUP(F5342,'Set up'!$A$2:$C$100,3,FALSE)</f>
        <v>Cash</v>
      </c>
      <c r="J5342" s="5">
        <f>VLOOKUP(F5342,'Set up'!$A$2:$D$100,4,FALSE)</f>
        <v>0</v>
      </c>
      <c r="K5342" s="4">
        <f t="shared" si="1194"/>
        <v>46155</v>
      </c>
      <c r="L5342" s="5">
        <f t="shared" si="1195"/>
        <v>5</v>
      </c>
      <c r="M5342" s="5">
        <f t="shared" si="1196"/>
        <v>2026</v>
      </c>
      <c r="N5342" s="156">
        <v>115</v>
      </c>
      <c r="P5342" s="12"/>
      <c r="Q5342" s="7">
        <f t="shared" si="1197"/>
        <v>8392152.5500000138</v>
      </c>
      <c r="R5342" s="44" t="str">
        <f>VLOOKUP(F5342,'Set up'!$A$2:$E$100,5,FALSE)</f>
        <v>Cash</v>
      </c>
    </row>
    <row r="5343" spans="1:18" ht="16.8" customHeight="1" x14ac:dyDescent="0.3">
      <c r="A5343" s="151" t="s">
        <v>4644</v>
      </c>
      <c r="B5343" s="5">
        <f t="shared" si="1192"/>
        <v>5</v>
      </c>
      <c r="C5343" s="5">
        <f t="shared" si="1193"/>
        <v>2026</v>
      </c>
      <c r="D5343" s="150" t="s">
        <v>4673</v>
      </c>
      <c r="E5343" s="5" t="str">
        <f>VLOOKUP(F5343,'Set up'!$A$2:$C$100,2,FALSE)</f>
        <v>C00000050</v>
      </c>
      <c r="F5343" s="150" t="s">
        <v>2656</v>
      </c>
      <c r="G5343" s="150" t="s">
        <v>800</v>
      </c>
      <c r="H5343" s="150">
        <v>1</v>
      </c>
      <c r="I5343" s="5" t="str">
        <f>VLOOKUP(F5343,'Set up'!$A$2:$C$100,3,FALSE)</f>
        <v>Cash</v>
      </c>
      <c r="J5343" s="5">
        <f>VLOOKUP(F5343,'Set up'!$A$2:$D$100,4,FALSE)</f>
        <v>0</v>
      </c>
      <c r="K5343" s="4">
        <f t="shared" si="1194"/>
        <v>46155</v>
      </c>
      <c r="L5343" s="5">
        <f t="shared" si="1195"/>
        <v>5</v>
      </c>
      <c r="M5343" s="5">
        <f t="shared" si="1196"/>
        <v>2026</v>
      </c>
      <c r="N5343" s="156">
        <v>225</v>
      </c>
      <c r="P5343" s="12"/>
      <c r="Q5343" s="7">
        <f t="shared" si="1197"/>
        <v>8409552.5500000138</v>
      </c>
      <c r="R5343" s="44" t="str">
        <f>VLOOKUP(F5343,'Set up'!$A$2:$E$100,5,FALSE)</f>
        <v>Cash</v>
      </c>
    </row>
    <row r="5344" spans="1:18" ht="16.8" customHeight="1" x14ac:dyDescent="0.3">
      <c r="A5344" s="151" t="s">
        <v>4644</v>
      </c>
      <c r="B5344" s="5">
        <f t="shared" si="1192"/>
        <v>5</v>
      </c>
      <c r="C5344" s="5">
        <f t="shared" si="1193"/>
        <v>2026</v>
      </c>
      <c r="D5344" s="150" t="s">
        <v>4674</v>
      </c>
      <c r="E5344" s="5" t="str">
        <f>VLOOKUP(F5344,'Set up'!$A$2:$C$100,2,FALSE)</f>
        <v>C00000042</v>
      </c>
      <c r="F5344" s="150" t="s">
        <v>2012</v>
      </c>
      <c r="G5344" s="150" t="s">
        <v>3645</v>
      </c>
      <c r="H5344" s="150">
        <v>5</v>
      </c>
      <c r="I5344" s="5" t="str">
        <f>VLOOKUP(F5344,'Set up'!$A$2:$C$100,3,FALSE)</f>
        <v>Cash</v>
      </c>
      <c r="J5344" s="5">
        <f>VLOOKUP(F5344,'Set up'!$A$2:$D$100,4,FALSE)</f>
        <v>0</v>
      </c>
      <c r="K5344" s="4">
        <f t="shared" si="1194"/>
        <v>46155</v>
      </c>
      <c r="L5344" s="5">
        <f t="shared" si="1195"/>
        <v>5</v>
      </c>
      <c r="M5344" s="5">
        <f t="shared" si="1196"/>
        <v>2026</v>
      </c>
      <c r="N5344" s="156">
        <v>9112.5</v>
      </c>
      <c r="P5344" s="12"/>
      <c r="Q5344" s="7">
        <f t="shared" si="1197"/>
        <v>8404075.0500000138</v>
      </c>
      <c r="R5344" s="44" t="str">
        <f>VLOOKUP(F5344,'Set up'!$A$2:$E$100,5,FALSE)</f>
        <v>Trsf</v>
      </c>
    </row>
    <row r="5345" spans="1:18" ht="16.8" customHeight="1" x14ac:dyDescent="0.3">
      <c r="A5345" s="151" t="s">
        <v>4644</v>
      </c>
      <c r="B5345" s="5">
        <f t="shared" si="1192"/>
        <v>5</v>
      </c>
      <c r="C5345" s="5">
        <f t="shared" si="1193"/>
        <v>2026</v>
      </c>
      <c r="D5345" s="150" t="s">
        <v>4674</v>
      </c>
      <c r="E5345" s="5" t="str">
        <f>VLOOKUP(F5345,'Set up'!$A$2:$C$100,2,FALSE)</f>
        <v>C00000042</v>
      </c>
      <c r="F5345" s="150" t="s">
        <v>2012</v>
      </c>
      <c r="G5345" s="150" t="s">
        <v>1392</v>
      </c>
      <c r="H5345" s="150">
        <v>15</v>
      </c>
      <c r="I5345" s="5" t="str">
        <f>VLOOKUP(F5345,'Set up'!$A$2:$C$100,3,FALSE)</f>
        <v>Cash</v>
      </c>
      <c r="J5345" s="5">
        <f>VLOOKUP(F5345,'Set up'!$A$2:$D$100,4,FALSE)</f>
        <v>0</v>
      </c>
      <c r="K5345" s="4">
        <f t="shared" si="1194"/>
        <v>46155</v>
      </c>
      <c r="L5345" s="5">
        <f t="shared" si="1195"/>
        <v>5</v>
      </c>
      <c r="M5345" s="5">
        <f t="shared" si="1196"/>
        <v>2026</v>
      </c>
      <c r="N5345" s="156">
        <v>2610</v>
      </c>
      <c r="P5345" s="12"/>
      <c r="Q5345" s="7">
        <f t="shared" si="1197"/>
        <v>8402632.5500000138</v>
      </c>
      <c r="R5345" s="44" t="str">
        <f>VLOOKUP(F5345,'Set up'!$A$2:$E$100,5,FALSE)</f>
        <v>Trsf</v>
      </c>
    </row>
    <row r="5346" spans="1:18" ht="16.8" customHeight="1" x14ac:dyDescent="0.3">
      <c r="A5346" s="151" t="s">
        <v>4644</v>
      </c>
      <c r="B5346" s="5">
        <f t="shared" si="1192"/>
        <v>5</v>
      </c>
      <c r="C5346" s="5">
        <f t="shared" si="1193"/>
        <v>2026</v>
      </c>
      <c r="D5346" s="150" t="s">
        <v>4674</v>
      </c>
      <c r="E5346" s="5" t="str">
        <f>VLOOKUP(F5346,'Set up'!$A$2:$C$100,2,FALSE)</f>
        <v>C00000042</v>
      </c>
      <c r="F5346" s="150" t="s">
        <v>2012</v>
      </c>
      <c r="G5346" s="150" t="s">
        <v>1922</v>
      </c>
      <c r="H5346" s="150">
        <v>13</v>
      </c>
      <c r="I5346" s="5" t="str">
        <f>VLOOKUP(F5346,'Set up'!$A$2:$C$100,3,FALSE)</f>
        <v>Cash</v>
      </c>
      <c r="J5346" s="5">
        <f>VLOOKUP(F5346,'Set up'!$A$2:$D$100,4,FALSE)</f>
        <v>0</v>
      </c>
      <c r="K5346" s="4">
        <f t="shared" si="1194"/>
        <v>46155</v>
      </c>
      <c r="L5346" s="5">
        <f t="shared" si="1195"/>
        <v>5</v>
      </c>
      <c r="M5346" s="5">
        <f t="shared" si="1196"/>
        <v>2026</v>
      </c>
      <c r="N5346" s="156">
        <v>2691</v>
      </c>
      <c r="P5346" s="12"/>
      <c r="Q5346" s="7">
        <f t="shared" si="1197"/>
        <v>8404823.5500000138</v>
      </c>
      <c r="R5346" s="44" t="str">
        <f>VLOOKUP(F5346,'Set up'!$A$2:$E$100,5,FALSE)</f>
        <v>Trsf</v>
      </c>
    </row>
    <row r="5347" spans="1:18" ht="16.8" customHeight="1" x14ac:dyDescent="0.3">
      <c r="A5347" s="151" t="s">
        <v>4644</v>
      </c>
      <c r="B5347" s="5">
        <f t="shared" si="1192"/>
        <v>5</v>
      </c>
      <c r="C5347" s="5">
        <f t="shared" si="1193"/>
        <v>2026</v>
      </c>
      <c r="D5347" s="150" t="s">
        <v>4674</v>
      </c>
      <c r="E5347" s="5" t="str">
        <f>VLOOKUP(F5347,'Set up'!$A$2:$C$100,2,FALSE)</f>
        <v>C00000042</v>
      </c>
      <c r="F5347" s="150" t="s">
        <v>2012</v>
      </c>
      <c r="G5347" s="150" t="s">
        <v>46</v>
      </c>
      <c r="H5347" s="150">
        <v>4</v>
      </c>
      <c r="I5347" s="5" t="str">
        <f>VLOOKUP(F5347,'Set up'!$A$2:$C$100,3,FALSE)</f>
        <v>Cash</v>
      </c>
      <c r="J5347" s="5">
        <f>VLOOKUP(F5347,'Set up'!$A$2:$D$100,4,FALSE)</f>
        <v>0</v>
      </c>
      <c r="K5347" s="4">
        <f t="shared" si="1194"/>
        <v>46155</v>
      </c>
      <c r="L5347" s="5">
        <f t="shared" si="1195"/>
        <v>5</v>
      </c>
      <c r="M5347" s="5">
        <f t="shared" si="1196"/>
        <v>2026</v>
      </c>
      <c r="N5347" s="156">
        <v>460</v>
      </c>
      <c r="P5347" s="12"/>
      <c r="Q5347" s="7">
        <f t="shared" si="1197"/>
        <v>8403809.5500000138</v>
      </c>
      <c r="R5347" s="44" t="str">
        <f>VLOOKUP(F5347,'Set up'!$A$2:$E$100,5,FALSE)</f>
        <v>Trsf</v>
      </c>
    </row>
    <row r="5348" spans="1:18" ht="16.8" customHeight="1" x14ac:dyDescent="0.3">
      <c r="A5348" s="151" t="s">
        <v>4644</v>
      </c>
      <c r="B5348" s="5">
        <f t="shared" si="1192"/>
        <v>5</v>
      </c>
      <c r="C5348" s="5">
        <f t="shared" si="1193"/>
        <v>2026</v>
      </c>
      <c r="D5348" s="150" t="s">
        <v>4674</v>
      </c>
      <c r="E5348" s="5" t="str">
        <f>VLOOKUP(F5348,'Set up'!$A$2:$C$100,2,FALSE)</f>
        <v>C00000042</v>
      </c>
      <c r="F5348" s="150" t="s">
        <v>2012</v>
      </c>
      <c r="G5348" s="150" t="s">
        <v>4580</v>
      </c>
      <c r="H5348" s="150">
        <v>2</v>
      </c>
      <c r="I5348" s="5" t="str">
        <f>VLOOKUP(F5348,'Set up'!$A$2:$C$100,3,FALSE)</f>
        <v>Cash</v>
      </c>
      <c r="J5348" s="5">
        <f>VLOOKUP(F5348,'Set up'!$A$2:$D$100,4,FALSE)</f>
        <v>0</v>
      </c>
      <c r="K5348" s="4">
        <f t="shared" si="1194"/>
        <v>46155</v>
      </c>
      <c r="L5348" s="5">
        <f t="shared" si="1195"/>
        <v>5</v>
      </c>
      <c r="M5348" s="5">
        <f t="shared" si="1196"/>
        <v>2026</v>
      </c>
      <c r="N5348" s="156">
        <v>2000</v>
      </c>
      <c r="P5348" s="12"/>
      <c r="Q5348" s="7">
        <f t="shared" si="1197"/>
        <v>8405644.9500000142</v>
      </c>
      <c r="R5348" s="44" t="str">
        <f>VLOOKUP(F5348,'Set up'!$A$2:$E$100,5,FALSE)</f>
        <v>Trsf</v>
      </c>
    </row>
    <row r="5349" spans="1:18" ht="16.8" customHeight="1" x14ac:dyDescent="0.3">
      <c r="A5349" s="151" t="s">
        <v>4644</v>
      </c>
      <c r="B5349" s="5">
        <f t="shared" si="1192"/>
        <v>5</v>
      </c>
      <c r="C5349" s="5">
        <f t="shared" si="1193"/>
        <v>2026</v>
      </c>
      <c r="D5349" s="150" t="s">
        <v>4675</v>
      </c>
      <c r="E5349" s="5" t="str">
        <f>VLOOKUP(F5349,'Set up'!$A$2:$C$100,2,FALSE)</f>
        <v>C00000019</v>
      </c>
      <c r="F5349" s="150" t="s">
        <v>400</v>
      </c>
      <c r="G5349" s="150" t="s">
        <v>1469</v>
      </c>
      <c r="H5349" s="150">
        <v>1</v>
      </c>
      <c r="I5349" s="5" t="str">
        <f>VLOOKUP(F5349,'Set up'!$A$2:$C$100,3,FALSE)</f>
        <v>Cash</v>
      </c>
      <c r="J5349" s="5">
        <f>VLOOKUP(F5349,'Set up'!$A$2:$D$100,4,FALSE)</f>
        <v>0</v>
      </c>
      <c r="K5349" s="4">
        <f t="shared" si="1194"/>
        <v>46155</v>
      </c>
      <c r="L5349" s="5">
        <f t="shared" si="1195"/>
        <v>5</v>
      </c>
      <c r="M5349" s="5">
        <f t="shared" si="1196"/>
        <v>2026</v>
      </c>
      <c r="N5349" s="156">
        <v>410</v>
      </c>
      <c r="P5349" s="12"/>
      <c r="Q5349" s="7">
        <f t="shared" si="1197"/>
        <v>8405570.5500000138</v>
      </c>
      <c r="R5349" s="44" t="str">
        <f>VLOOKUP(F5349,'Set up'!$A$2:$E$100,5,FALSE)</f>
        <v>Trsf</v>
      </c>
    </row>
    <row r="5350" spans="1:18" ht="16.8" customHeight="1" x14ac:dyDescent="0.3">
      <c r="A5350" s="151" t="s">
        <v>4645</v>
      </c>
      <c r="B5350" s="5">
        <f t="shared" si="1192"/>
        <v>5</v>
      </c>
      <c r="C5350" s="5">
        <f t="shared" si="1193"/>
        <v>2026</v>
      </c>
      <c r="D5350" s="150" t="s">
        <v>4676</v>
      </c>
      <c r="E5350" s="5" t="str">
        <f>VLOOKUP(F5350,'Set up'!$A$2:$C$100,2,FALSE)</f>
        <v>C00000010</v>
      </c>
      <c r="F5350" s="150" t="s">
        <v>62</v>
      </c>
      <c r="G5350" s="150" t="s">
        <v>3140</v>
      </c>
      <c r="H5350" s="150">
        <v>10</v>
      </c>
      <c r="I5350" s="5">
        <f>VLOOKUP(F5350,'Set up'!$A$2:$C$100,3,FALSE)</f>
        <v>120</v>
      </c>
      <c r="J5350" s="5">
        <f>VLOOKUP(F5350,'Set up'!$A$2:$D$100,4,FALSE)</f>
        <v>120</v>
      </c>
      <c r="K5350" s="4">
        <f t="shared" si="1194"/>
        <v>46276</v>
      </c>
      <c r="L5350" s="5">
        <f t="shared" si="1195"/>
        <v>9</v>
      </c>
      <c r="M5350" s="5">
        <f t="shared" si="1196"/>
        <v>2026</v>
      </c>
      <c r="N5350" s="156">
        <v>18225</v>
      </c>
      <c r="P5350" s="12"/>
      <c r="Q5350" s="7">
        <f t="shared" si="1197"/>
        <v>8425602.0500000138</v>
      </c>
      <c r="R5350" s="44" t="str">
        <f>VLOOKUP(F5350,'Set up'!$A$2:$E$100,5,FALSE)</f>
        <v>Trsf</v>
      </c>
    </row>
    <row r="5351" spans="1:18" ht="16.8" customHeight="1" x14ac:dyDescent="0.3">
      <c r="A5351" s="151" t="s">
        <v>4645</v>
      </c>
      <c r="B5351" s="5">
        <f t="shared" si="1192"/>
        <v>5</v>
      </c>
      <c r="C5351" s="5">
        <f t="shared" si="1193"/>
        <v>2026</v>
      </c>
      <c r="D5351" s="150" t="s">
        <v>4676</v>
      </c>
      <c r="E5351" s="5" t="str">
        <f>VLOOKUP(F5351,'Set up'!$A$2:$C$100,2,FALSE)</f>
        <v>C00000010</v>
      </c>
      <c r="F5351" s="150" t="s">
        <v>62</v>
      </c>
      <c r="G5351" s="150" t="s">
        <v>2129</v>
      </c>
      <c r="H5351" s="150">
        <v>10</v>
      </c>
      <c r="I5351" s="5">
        <f>VLOOKUP(F5351,'Set up'!$A$2:$C$100,3,FALSE)</f>
        <v>120</v>
      </c>
      <c r="J5351" s="5">
        <f>VLOOKUP(F5351,'Set up'!$A$2:$D$100,4,FALSE)</f>
        <v>120</v>
      </c>
      <c r="K5351" s="4">
        <f t="shared" si="1194"/>
        <v>46276</v>
      </c>
      <c r="L5351" s="5">
        <f t="shared" si="1195"/>
        <v>9</v>
      </c>
      <c r="M5351" s="5">
        <f t="shared" si="1196"/>
        <v>2026</v>
      </c>
      <c r="N5351" s="156">
        <v>2146</v>
      </c>
      <c r="P5351" s="12"/>
      <c r="Q5351" s="7">
        <f t="shared" si="1197"/>
        <v>8407985.5500000138</v>
      </c>
      <c r="R5351" s="44" t="str">
        <f>VLOOKUP(F5351,'Set up'!$A$2:$E$100,5,FALSE)</f>
        <v>Trsf</v>
      </c>
    </row>
    <row r="5352" spans="1:18" ht="16.8" customHeight="1" x14ac:dyDescent="0.3">
      <c r="A5352" s="151" t="s">
        <v>4645</v>
      </c>
      <c r="B5352" s="5">
        <f t="shared" si="1192"/>
        <v>5</v>
      </c>
      <c r="C5352" s="5">
        <f t="shared" si="1193"/>
        <v>2026</v>
      </c>
      <c r="D5352" s="150" t="s">
        <v>4676</v>
      </c>
      <c r="E5352" s="5" t="str">
        <f>VLOOKUP(F5352,'Set up'!$A$2:$C$100,2,FALSE)</f>
        <v>C00000010</v>
      </c>
      <c r="F5352" s="150" t="s">
        <v>62</v>
      </c>
      <c r="G5352" s="150" t="s">
        <v>4692</v>
      </c>
      <c r="H5352" s="150">
        <v>20</v>
      </c>
      <c r="I5352" s="5">
        <f>VLOOKUP(F5352,'Set up'!$A$2:$C$100,3,FALSE)</f>
        <v>120</v>
      </c>
      <c r="J5352" s="5">
        <f>VLOOKUP(F5352,'Set up'!$A$2:$D$100,4,FALSE)</f>
        <v>120</v>
      </c>
      <c r="K5352" s="4">
        <f t="shared" si="1194"/>
        <v>46276</v>
      </c>
      <c r="L5352" s="5">
        <f t="shared" si="1195"/>
        <v>9</v>
      </c>
      <c r="M5352" s="5">
        <f t="shared" si="1196"/>
        <v>2026</v>
      </c>
      <c r="N5352" s="156">
        <v>1150</v>
      </c>
      <c r="P5352" s="12"/>
      <c r="Q5352" s="7">
        <f t="shared" si="1197"/>
        <v>8429134.5500000138</v>
      </c>
      <c r="R5352" s="44" t="str">
        <f>VLOOKUP(F5352,'Set up'!$A$2:$E$100,5,FALSE)</f>
        <v>Trsf</v>
      </c>
    </row>
    <row r="5353" spans="1:18" ht="16.8" customHeight="1" x14ac:dyDescent="0.3">
      <c r="A5353" s="151" t="s">
        <v>4645</v>
      </c>
      <c r="B5353" s="5">
        <f t="shared" si="1192"/>
        <v>5</v>
      </c>
      <c r="C5353" s="5">
        <f t="shared" si="1193"/>
        <v>2026</v>
      </c>
      <c r="D5353" s="150" t="s">
        <v>4676</v>
      </c>
      <c r="E5353" s="5" t="str">
        <f>VLOOKUP(F5353,'Set up'!$A$2:$C$100,2,FALSE)</f>
        <v>C00000010</v>
      </c>
      <c r="F5353" s="150" t="s">
        <v>62</v>
      </c>
      <c r="G5353" s="150" t="s">
        <v>945</v>
      </c>
      <c r="H5353" s="150">
        <v>8</v>
      </c>
      <c r="I5353" s="5">
        <f>VLOOKUP(F5353,'Set up'!$A$2:$C$100,3,FALSE)</f>
        <v>120</v>
      </c>
      <c r="J5353" s="5">
        <f>VLOOKUP(F5353,'Set up'!$A$2:$D$100,4,FALSE)</f>
        <v>120</v>
      </c>
      <c r="K5353" s="4">
        <f t="shared" si="1194"/>
        <v>46276</v>
      </c>
      <c r="L5353" s="5">
        <f t="shared" si="1195"/>
        <v>9</v>
      </c>
      <c r="M5353" s="5">
        <f t="shared" si="1196"/>
        <v>2026</v>
      </c>
      <c r="N5353" s="156">
        <v>920</v>
      </c>
      <c r="P5353" s="12"/>
      <c r="Q5353" s="7">
        <f t="shared" si="1197"/>
        <v>8428582.0500000138</v>
      </c>
      <c r="R5353" s="44" t="str">
        <f>VLOOKUP(F5353,'Set up'!$A$2:$E$100,5,FALSE)</f>
        <v>Trsf</v>
      </c>
    </row>
    <row r="5354" spans="1:18" ht="16.8" customHeight="1" x14ac:dyDescent="0.3">
      <c r="A5354" s="151" t="s">
        <v>4645</v>
      </c>
      <c r="B5354" s="5">
        <f t="shared" si="1192"/>
        <v>5</v>
      </c>
      <c r="C5354" s="5">
        <f t="shared" si="1193"/>
        <v>2026</v>
      </c>
      <c r="D5354" s="150" t="s">
        <v>4676</v>
      </c>
      <c r="E5354" s="5" t="str">
        <f>VLOOKUP(F5354,'Set up'!$A$2:$C$100,2,FALSE)</f>
        <v>C00000010</v>
      </c>
      <c r="F5354" s="150" t="s">
        <v>62</v>
      </c>
      <c r="G5354" s="150" t="s">
        <v>2449</v>
      </c>
      <c r="H5354" s="150">
        <v>1</v>
      </c>
      <c r="I5354" s="5">
        <f>VLOOKUP(F5354,'Set up'!$A$2:$C$100,3,FALSE)</f>
        <v>120</v>
      </c>
      <c r="J5354" s="5">
        <f>VLOOKUP(F5354,'Set up'!$A$2:$D$100,4,FALSE)</f>
        <v>120</v>
      </c>
      <c r="K5354" s="4">
        <f t="shared" si="1194"/>
        <v>46276</v>
      </c>
      <c r="L5354" s="5">
        <f t="shared" si="1195"/>
        <v>9</v>
      </c>
      <c r="M5354" s="5">
        <f t="shared" si="1196"/>
        <v>2026</v>
      </c>
      <c r="N5354" s="156">
        <v>420</v>
      </c>
      <c r="P5354" s="12"/>
      <c r="Q5354" s="7">
        <f t="shared" si="1197"/>
        <v>8428707.0500000138</v>
      </c>
      <c r="R5354" s="44" t="str">
        <f>VLOOKUP(F5354,'Set up'!$A$2:$E$100,5,FALSE)</f>
        <v>Trsf</v>
      </c>
    </row>
    <row r="5355" spans="1:18" ht="16.8" customHeight="1" x14ac:dyDescent="0.3">
      <c r="A5355" s="151" t="s">
        <v>4645</v>
      </c>
      <c r="B5355" s="5">
        <f t="shared" ref="B5355:B5405" si="1198">MONTH(A5355)</f>
        <v>5</v>
      </c>
      <c r="C5355" s="5">
        <f t="shared" ref="C5355:C5405" si="1199">YEAR(A5355)</f>
        <v>2026</v>
      </c>
      <c r="D5355" s="150" t="s">
        <v>4676</v>
      </c>
      <c r="E5355" s="5" t="str">
        <f>VLOOKUP(F5355,'Set up'!$A$2:$C$100,2,FALSE)</f>
        <v>C00000010</v>
      </c>
      <c r="F5355" s="150" t="s">
        <v>62</v>
      </c>
      <c r="G5355" s="150" t="s">
        <v>614</v>
      </c>
      <c r="H5355" s="150">
        <v>1</v>
      </c>
      <c r="I5355" s="5">
        <f>VLOOKUP(F5355,'Set up'!$A$2:$C$100,3,FALSE)</f>
        <v>120</v>
      </c>
      <c r="J5355" s="5">
        <f>VLOOKUP(F5355,'Set up'!$A$2:$D$100,4,FALSE)</f>
        <v>120</v>
      </c>
      <c r="K5355" s="4">
        <f t="shared" ref="K5355:K5405" si="1200">A5355+J5355</f>
        <v>46276</v>
      </c>
      <c r="L5355" s="5">
        <f t="shared" ref="L5355:L5405" si="1201">MONTH(K5355)</f>
        <v>9</v>
      </c>
      <c r="M5355" s="5">
        <f t="shared" ref="M5355:M5405" si="1202">YEAR(K5355)</f>
        <v>2026</v>
      </c>
      <c r="N5355" s="156">
        <v>395</v>
      </c>
      <c r="P5355" s="12"/>
      <c r="Q5355" s="7">
        <f t="shared" ref="Q5355:Q5405" si="1203">SUM(Q5261+N5355)</f>
        <v>8429157.0500000138</v>
      </c>
      <c r="R5355" s="44" t="str">
        <f>VLOOKUP(F5355,'Set up'!$A$2:$E$100,5,FALSE)</f>
        <v>Trsf</v>
      </c>
    </row>
    <row r="5356" spans="1:18" ht="16.8" customHeight="1" x14ac:dyDescent="0.3">
      <c r="A5356" s="151" t="s">
        <v>4645</v>
      </c>
      <c r="B5356" s="5">
        <f t="shared" si="1198"/>
        <v>5</v>
      </c>
      <c r="C5356" s="5">
        <f t="shared" si="1199"/>
        <v>2026</v>
      </c>
      <c r="D5356" s="150" t="s">
        <v>4676</v>
      </c>
      <c r="E5356" s="5" t="str">
        <f>VLOOKUP(F5356,'Set up'!$A$2:$C$100,2,FALSE)</f>
        <v>C00000010</v>
      </c>
      <c r="F5356" s="150" t="s">
        <v>62</v>
      </c>
      <c r="G5356" s="150" t="s">
        <v>946</v>
      </c>
      <c r="H5356" s="150">
        <v>4</v>
      </c>
      <c r="I5356" s="5">
        <f>VLOOKUP(F5356,'Set up'!$A$2:$C$100,3,FALSE)</f>
        <v>120</v>
      </c>
      <c r="J5356" s="5">
        <f>VLOOKUP(F5356,'Set up'!$A$2:$D$100,4,FALSE)</f>
        <v>120</v>
      </c>
      <c r="K5356" s="4">
        <f t="shared" si="1200"/>
        <v>46276</v>
      </c>
      <c r="L5356" s="5">
        <f t="shared" si="1201"/>
        <v>9</v>
      </c>
      <c r="M5356" s="5">
        <f t="shared" si="1202"/>
        <v>2026</v>
      </c>
      <c r="N5356" s="156">
        <v>230.4</v>
      </c>
      <c r="P5356" s="12"/>
      <c r="Q5356" s="7">
        <f t="shared" si="1203"/>
        <v>8431427.4500000142</v>
      </c>
      <c r="R5356" s="44" t="str">
        <f>VLOOKUP(F5356,'Set up'!$A$2:$E$100,5,FALSE)</f>
        <v>Trsf</v>
      </c>
    </row>
    <row r="5357" spans="1:18" ht="16.8" customHeight="1" x14ac:dyDescent="0.3">
      <c r="A5357" s="151" t="s">
        <v>4645</v>
      </c>
      <c r="B5357" s="5">
        <f t="shared" si="1198"/>
        <v>5</v>
      </c>
      <c r="C5357" s="5">
        <f t="shared" si="1199"/>
        <v>2026</v>
      </c>
      <c r="D5357" s="150" t="s">
        <v>4676</v>
      </c>
      <c r="E5357" s="5" t="str">
        <f>VLOOKUP(F5357,'Set up'!$A$2:$C$100,2,FALSE)</f>
        <v>C00000010</v>
      </c>
      <c r="F5357" s="150" t="s">
        <v>62</v>
      </c>
      <c r="G5357" s="150" t="s">
        <v>949</v>
      </c>
      <c r="H5357" s="150">
        <v>1</v>
      </c>
      <c r="I5357" s="5">
        <f>VLOOKUP(F5357,'Set up'!$A$2:$C$100,3,FALSE)</f>
        <v>120</v>
      </c>
      <c r="J5357" s="5">
        <f>VLOOKUP(F5357,'Set up'!$A$2:$D$100,4,FALSE)</f>
        <v>120</v>
      </c>
      <c r="K5357" s="4">
        <f t="shared" si="1200"/>
        <v>46276</v>
      </c>
      <c r="L5357" s="5">
        <f t="shared" si="1201"/>
        <v>9</v>
      </c>
      <c r="M5357" s="5">
        <f t="shared" si="1202"/>
        <v>2026</v>
      </c>
      <c r="N5357" s="156">
        <v>696</v>
      </c>
      <c r="P5357" s="12"/>
      <c r="Q5357" s="7">
        <f t="shared" si="1203"/>
        <v>8431376.750000013</v>
      </c>
      <c r="R5357" s="44" t="str">
        <f>VLOOKUP(F5357,'Set up'!$A$2:$E$100,5,FALSE)</f>
        <v>Trsf</v>
      </c>
    </row>
    <row r="5358" spans="1:18" ht="16.8" customHeight="1" x14ac:dyDescent="0.3">
      <c r="A5358" s="151" t="s">
        <v>4646</v>
      </c>
      <c r="B5358" s="5">
        <f t="shared" si="1198"/>
        <v>5</v>
      </c>
      <c r="C5358" s="5">
        <f t="shared" si="1199"/>
        <v>2026</v>
      </c>
      <c r="D5358" s="150" t="s">
        <v>4677</v>
      </c>
      <c r="E5358" s="5" t="str">
        <f>VLOOKUP(F5358,'Set up'!$A$2:$C$100,2,FALSE)</f>
        <v>C00000050</v>
      </c>
      <c r="F5358" s="150" t="s">
        <v>2656</v>
      </c>
      <c r="G5358" s="150" t="s">
        <v>4637</v>
      </c>
      <c r="H5358" s="150">
        <v>3</v>
      </c>
      <c r="I5358" s="5" t="str">
        <f>VLOOKUP(F5358,'Set up'!$A$2:$C$100,3,FALSE)</f>
        <v>Cash</v>
      </c>
      <c r="J5358" s="5">
        <f>VLOOKUP(F5358,'Set up'!$A$2:$D$100,4,FALSE)</f>
        <v>0</v>
      </c>
      <c r="K5358" s="4">
        <f t="shared" si="1200"/>
        <v>46157</v>
      </c>
      <c r="L5358" s="5">
        <f t="shared" si="1201"/>
        <v>5</v>
      </c>
      <c r="M5358" s="5">
        <f t="shared" si="1202"/>
        <v>2026</v>
      </c>
      <c r="N5358" s="156">
        <v>832.5</v>
      </c>
      <c r="P5358" s="12"/>
      <c r="Q5358" s="7">
        <f t="shared" si="1203"/>
        <v>8436835.750000013</v>
      </c>
      <c r="R5358" s="44" t="str">
        <f>VLOOKUP(F5358,'Set up'!$A$2:$E$100,5,FALSE)</f>
        <v>Cash</v>
      </c>
    </row>
    <row r="5359" spans="1:18" ht="16.8" customHeight="1" x14ac:dyDescent="0.3">
      <c r="A5359" s="151" t="s">
        <v>4647</v>
      </c>
      <c r="B5359" s="5">
        <f t="shared" si="1198"/>
        <v>5</v>
      </c>
      <c r="C5359" s="5">
        <f t="shared" si="1199"/>
        <v>2026</v>
      </c>
      <c r="D5359" s="150" t="s">
        <v>4678</v>
      </c>
      <c r="E5359" s="5" t="e">
        <f>VLOOKUP(F5359,'Set up'!$A$2:$C$100,2,FALSE)</f>
        <v>#N/A</v>
      </c>
      <c r="F5359" s="150" t="s">
        <v>4130</v>
      </c>
      <c r="G5359" s="150" t="s">
        <v>3122</v>
      </c>
      <c r="H5359" s="150">
        <v>1</v>
      </c>
      <c r="I5359" s="5" t="e">
        <f>VLOOKUP(F5359,'Set up'!$A$2:$C$100,3,FALSE)</f>
        <v>#N/A</v>
      </c>
      <c r="J5359" s="5" t="e">
        <f>VLOOKUP(F5359,'Set up'!$A$2:$D$100,4,FALSE)</f>
        <v>#N/A</v>
      </c>
      <c r="K5359" s="4" t="e">
        <f t="shared" si="1200"/>
        <v>#N/A</v>
      </c>
      <c r="L5359" s="5" t="e">
        <f t="shared" si="1201"/>
        <v>#N/A</v>
      </c>
      <c r="M5359" s="5" t="e">
        <f t="shared" si="1202"/>
        <v>#N/A</v>
      </c>
      <c r="N5359" s="156">
        <v>1912.5</v>
      </c>
      <c r="P5359" s="12"/>
      <c r="Q5359" s="7">
        <f t="shared" si="1203"/>
        <v>8434562.5500000138</v>
      </c>
      <c r="R5359" s="44" t="e">
        <f>VLOOKUP(F5359,'Set up'!$A$2:$E$100,5,FALSE)</f>
        <v>#N/A</v>
      </c>
    </row>
    <row r="5360" spans="1:18" ht="16.8" customHeight="1" x14ac:dyDescent="0.3">
      <c r="A5360" s="151" t="s">
        <v>4647</v>
      </c>
      <c r="B5360" s="5">
        <f t="shared" si="1198"/>
        <v>5</v>
      </c>
      <c r="C5360" s="5">
        <f t="shared" si="1199"/>
        <v>2026</v>
      </c>
      <c r="D5360" s="150" t="s">
        <v>4678</v>
      </c>
      <c r="E5360" s="5" t="e">
        <f>VLOOKUP(F5360,'Set up'!$A$2:$C$100,2,FALSE)</f>
        <v>#N/A</v>
      </c>
      <c r="F5360" s="150" t="s">
        <v>4130</v>
      </c>
      <c r="G5360" s="150" t="s">
        <v>2143</v>
      </c>
      <c r="H5360" s="150">
        <v>1</v>
      </c>
      <c r="I5360" s="5" t="e">
        <f>VLOOKUP(F5360,'Set up'!$A$2:$C$100,3,FALSE)</f>
        <v>#N/A</v>
      </c>
      <c r="J5360" s="5" t="e">
        <f>VLOOKUP(F5360,'Set up'!$A$2:$D$100,4,FALSE)</f>
        <v>#N/A</v>
      </c>
      <c r="K5360" s="4" t="e">
        <f t="shared" si="1200"/>
        <v>#N/A</v>
      </c>
      <c r="L5360" s="5" t="e">
        <f t="shared" si="1201"/>
        <v>#N/A</v>
      </c>
      <c r="M5360" s="5" t="e">
        <f t="shared" si="1202"/>
        <v>#N/A</v>
      </c>
      <c r="N5360" s="156">
        <v>489.1</v>
      </c>
      <c r="P5360" s="12"/>
      <c r="Q5360" s="7">
        <f t="shared" si="1203"/>
        <v>8434072.8500000127</v>
      </c>
      <c r="R5360" s="44" t="e">
        <f>VLOOKUP(F5360,'Set up'!$A$2:$E$100,5,FALSE)</f>
        <v>#N/A</v>
      </c>
    </row>
    <row r="5361" spans="1:18" ht="16.8" customHeight="1" x14ac:dyDescent="0.3">
      <c r="A5361" s="151" t="s">
        <v>4647</v>
      </c>
      <c r="B5361" s="5">
        <f t="shared" si="1198"/>
        <v>5</v>
      </c>
      <c r="C5361" s="5">
        <f t="shared" si="1199"/>
        <v>2026</v>
      </c>
      <c r="D5361" s="150" t="s">
        <v>4678</v>
      </c>
      <c r="E5361" s="5" t="e">
        <f>VLOOKUP(F5361,'Set up'!$A$2:$C$100,2,FALSE)</f>
        <v>#N/A</v>
      </c>
      <c r="F5361" s="150" t="s">
        <v>4130</v>
      </c>
      <c r="G5361" s="150" t="s">
        <v>2556</v>
      </c>
      <c r="H5361" s="150">
        <v>1</v>
      </c>
      <c r="I5361" s="5" t="e">
        <f>VLOOKUP(F5361,'Set up'!$A$2:$C$100,3,FALSE)</f>
        <v>#N/A</v>
      </c>
      <c r="J5361" s="5" t="e">
        <f>VLOOKUP(F5361,'Set up'!$A$2:$D$100,4,FALSE)</f>
        <v>#N/A</v>
      </c>
      <c r="K5361" s="4" t="e">
        <f t="shared" si="1200"/>
        <v>#N/A</v>
      </c>
      <c r="L5361" s="5" t="e">
        <f t="shared" si="1201"/>
        <v>#N/A</v>
      </c>
      <c r="M5361" s="5" t="e">
        <f t="shared" si="1202"/>
        <v>#N/A</v>
      </c>
      <c r="N5361" s="156">
        <v>394.2</v>
      </c>
      <c r="P5361" s="12"/>
      <c r="Q5361" s="7">
        <f t="shared" si="1203"/>
        <v>8434004.1500000115</v>
      </c>
      <c r="R5361" s="44" t="e">
        <f>VLOOKUP(F5361,'Set up'!$A$2:$E$100,5,FALSE)</f>
        <v>#N/A</v>
      </c>
    </row>
    <row r="5362" spans="1:18" ht="16.8" customHeight="1" x14ac:dyDescent="0.3">
      <c r="A5362" s="151" t="s">
        <v>4647</v>
      </c>
      <c r="B5362" s="5">
        <f t="shared" si="1198"/>
        <v>5</v>
      </c>
      <c r="C5362" s="5">
        <f t="shared" si="1199"/>
        <v>2026</v>
      </c>
      <c r="D5362" s="150" t="s">
        <v>4678</v>
      </c>
      <c r="E5362" s="5" t="e">
        <f>VLOOKUP(F5362,'Set up'!$A$2:$C$100,2,FALSE)</f>
        <v>#N/A</v>
      </c>
      <c r="F5362" s="150" t="s">
        <v>4130</v>
      </c>
      <c r="G5362" s="150" t="s">
        <v>2144</v>
      </c>
      <c r="H5362" s="150">
        <v>1</v>
      </c>
      <c r="I5362" s="5" t="e">
        <f>VLOOKUP(F5362,'Set up'!$A$2:$C$100,3,FALSE)</f>
        <v>#N/A</v>
      </c>
      <c r="J5362" s="5" t="e">
        <f>VLOOKUP(F5362,'Set up'!$A$2:$D$100,4,FALSE)</f>
        <v>#N/A</v>
      </c>
      <c r="K5362" s="4" t="e">
        <f t="shared" si="1200"/>
        <v>#N/A</v>
      </c>
      <c r="L5362" s="5" t="e">
        <f t="shared" si="1201"/>
        <v>#N/A</v>
      </c>
      <c r="M5362" s="5" t="e">
        <f t="shared" si="1202"/>
        <v>#N/A</v>
      </c>
      <c r="N5362" s="156">
        <v>308</v>
      </c>
      <c r="P5362" s="12"/>
      <c r="Q5362" s="7">
        <f t="shared" si="1203"/>
        <v>8434815.9500000123</v>
      </c>
      <c r="R5362" s="44" t="e">
        <f>VLOOKUP(F5362,'Set up'!$A$2:$E$100,5,FALSE)</f>
        <v>#N/A</v>
      </c>
    </row>
    <row r="5363" spans="1:18" ht="16.8" customHeight="1" x14ac:dyDescent="0.3">
      <c r="A5363" s="151" t="s">
        <v>4647</v>
      </c>
      <c r="B5363" s="5">
        <f t="shared" si="1198"/>
        <v>5</v>
      </c>
      <c r="C5363" s="5">
        <f t="shared" si="1199"/>
        <v>2026</v>
      </c>
      <c r="D5363" s="150" t="s">
        <v>4678</v>
      </c>
      <c r="E5363" s="5" t="e">
        <f>VLOOKUP(F5363,'Set up'!$A$2:$C$100,2,FALSE)</f>
        <v>#N/A</v>
      </c>
      <c r="F5363" s="150" t="s">
        <v>4130</v>
      </c>
      <c r="G5363" s="150" t="s">
        <v>4204</v>
      </c>
      <c r="H5363" s="150">
        <v>1</v>
      </c>
      <c r="I5363" s="5" t="e">
        <f>VLOOKUP(F5363,'Set up'!$A$2:$C$100,3,FALSE)</f>
        <v>#N/A</v>
      </c>
      <c r="J5363" s="5" t="e">
        <f>VLOOKUP(F5363,'Set up'!$A$2:$D$100,4,FALSE)</f>
        <v>#N/A</v>
      </c>
      <c r="K5363" s="4" t="e">
        <f t="shared" si="1200"/>
        <v>#N/A</v>
      </c>
      <c r="L5363" s="5" t="e">
        <f t="shared" si="1201"/>
        <v>#N/A</v>
      </c>
      <c r="M5363" s="5" t="e">
        <f t="shared" si="1202"/>
        <v>#N/A</v>
      </c>
      <c r="N5363" s="156">
        <v>160</v>
      </c>
      <c r="P5363" s="12"/>
      <c r="Q5363" s="7">
        <f t="shared" si="1203"/>
        <v>8433937.9500000123</v>
      </c>
      <c r="R5363" s="44" t="e">
        <f>VLOOKUP(F5363,'Set up'!$A$2:$E$100,5,FALSE)</f>
        <v>#N/A</v>
      </c>
    </row>
    <row r="5364" spans="1:18" ht="16.8" customHeight="1" x14ac:dyDescent="0.3">
      <c r="A5364" s="151" t="s">
        <v>4647</v>
      </c>
      <c r="B5364" s="5">
        <f t="shared" si="1198"/>
        <v>5</v>
      </c>
      <c r="C5364" s="5">
        <f t="shared" si="1199"/>
        <v>2026</v>
      </c>
      <c r="D5364" s="150" t="s">
        <v>4678</v>
      </c>
      <c r="E5364" s="5" t="e">
        <f>VLOOKUP(F5364,'Set up'!$A$2:$C$100,2,FALSE)</f>
        <v>#N/A</v>
      </c>
      <c r="F5364" s="150" t="s">
        <v>4130</v>
      </c>
      <c r="G5364" s="150" t="s">
        <v>2646</v>
      </c>
      <c r="H5364" s="150">
        <v>2</v>
      </c>
      <c r="I5364" s="5" t="e">
        <f>VLOOKUP(F5364,'Set up'!$A$2:$C$100,3,FALSE)</f>
        <v>#N/A</v>
      </c>
      <c r="J5364" s="5" t="e">
        <f>VLOOKUP(F5364,'Set up'!$A$2:$D$100,4,FALSE)</f>
        <v>#N/A</v>
      </c>
      <c r="K5364" s="4" t="e">
        <f t="shared" si="1200"/>
        <v>#N/A</v>
      </c>
      <c r="L5364" s="5" t="e">
        <f t="shared" si="1201"/>
        <v>#N/A</v>
      </c>
      <c r="M5364" s="5" t="e">
        <f t="shared" si="1202"/>
        <v>#N/A</v>
      </c>
      <c r="N5364" s="156">
        <v>125</v>
      </c>
      <c r="P5364" s="12"/>
      <c r="Q5364" s="7">
        <f t="shared" si="1203"/>
        <v>8445417.9500000123</v>
      </c>
      <c r="R5364" s="44" t="e">
        <f>VLOOKUP(F5364,'Set up'!$A$2:$E$100,5,FALSE)</f>
        <v>#N/A</v>
      </c>
    </row>
    <row r="5365" spans="1:18" ht="16.8" customHeight="1" x14ac:dyDescent="0.3">
      <c r="A5365" s="151" t="s">
        <v>4647</v>
      </c>
      <c r="B5365" s="5">
        <f t="shared" si="1198"/>
        <v>5</v>
      </c>
      <c r="C5365" s="5">
        <f t="shared" si="1199"/>
        <v>2026</v>
      </c>
      <c r="D5365" s="150" t="s">
        <v>4678</v>
      </c>
      <c r="E5365" s="5" t="e">
        <f>VLOOKUP(F5365,'Set up'!$A$2:$C$100,2,FALSE)</f>
        <v>#N/A</v>
      </c>
      <c r="F5365" s="150" t="s">
        <v>4130</v>
      </c>
      <c r="G5365" s="150" t="s">
        <v>1405</v>
      </c>
      <c r="H5365" s="150">
        <v>2</v>
      </c>
      <c r="I5365" s="5" t="e">
        <f>VLOOKUP(F5365,'Set up'!$A$2:$C$100,3,FALSE)</f>
        <v>#N/A</v>
      </c>
      <c r="J5365" s="5" t="e">
        <f>VLOOKUP(F5365,'Set up'!$A$2:$D$100,4,FALSE)</f>
        <v>#N/A</v>
      </c>
      <c r="K5365" s="4" t="e">
        <f t="shared" si="1200"/>
        <v>#N/A</v>
      </c>
      <c r="L5365" s="5" t="e">
        <f t="shared" si="1201"/>
        <v>#N/A</v>
      </c>
      <c r="M5365" s="5" t="e">
        <f t="shared" si="1202"/>
        <v>#N/A</v>
      </c>
      <c r="N5365" s="156">
        <v>96</v>
      </c>
      <c r="P5365" s="12"/>
      <c r="Q5365" s="7">
        <f t="shared" si="1203"/>
        <v>8437742.5500000119</v>
      </c>
      <c r="R5365" s="44" t="e">
        <f>VLOOKUP(F5365,'Set up'!$A$2:$E$100,5,FALSE)</f>
        <v>#N/A</v>
      </c>
    </row>
    <row r="5366" spans="1:18" ht="16.8" customHeight="1" x14ac:dyDescent="0.3">
      <c r="A5366" s="151" t="s">
        <v>4646</v>
      </c>
      <c r="B5366" s="5">
        <f t="shared" si="1198"/>
        <v>5</v>
      </c>
      <c r="C5366" s="5">
        <f t="shared" si="1199"/>
        <v>2026</v>
      </c>
      <c r="D5366" s="150" t="s">
        <v>4679</v>
      </c>
      <c r="E5366" s="5" t="str">
        <f>VLOOKUP(F5366,'Set up'!$A$2:$C$100,2,FALSE)</f>
        <v>C00000042</v>
      </c>
      <c r="F5366" s="150" t="s">
        <v>2012</v>
      </c>
      <c r="G5366" s="150" t="s">
        <v>3645</v>
      </c>
      <c r="H5366" s="150">
        <v>2</v>
      </c>
      <c r="I5366" s="5" t="str">
        <f>VLOOKUP(F5366,'Set up'!$A$2:$C$100,3,FALSE)</f>
        <v>Cash</v>
      </c>
      <c r="J5366" s="5">
        <f>VLOOKUP(F5366,'Set up'!$A$2:$D$100,4,FALSE)</f>
        <v>0</v>
      </c>
      <c r="K5366" s="4">
        <f t="shared" si="1200"/>
        <v>46157</v>
      </c>
      <c r="L5366" s="5">
        <f t="shared" si="1201"/>
        <v>5</v>
      </c>
      <c r="M5366" s="5">
        <f t="shared" si="1202"/>
        <v>2026</v>
      </c>
      <c r="N5366" s="156">
        <v>3645</v>
      </c>
      <c r="P5366" s="12"/>
      <c r="Q5366" s="7">
        <f t="shared" si="1203"/>
        <v>8439396.3500000127</v>
      </c>
      <c r="R5366" s="44" t="str">
        <f>VLOOKUP(F5366,'Set up'!$A$2:$E$100,5,FALSE)</f>
        <v>Trsf</v>
      </c>
    </row>
    <row r="5367" spans="1:18" ht="16.8" customHeight="1" x14ac:dyDescent="0.3">
      <c r="A5367" s="151" t="s">
        <v>4646</v>
      </c>
      <c r="B5367" s="5">
        <f t="shared" si="1198"/>
        <v>5</v>
      </c>
      <c r="C5367" s="5">
        <f t="shared" si="1199"/>
        <v>2026</v>
      </c>
      <c r="D5367" s="150" t="s">
        <v>4679</v>
      </c>
      <c r="E5367" s="5" t="str">
        <f>VLOOKUP(F5367,'Set up'!$A$2:$C$100,2,FALSE)</f>
        <v>C00000042</v>
      </c>
      <c r="F5367" s="150" t="s">
        <v>2012</v>
      </c>
      <c r="G5367" s="150" t="s">
        <v>1392</v>
      </c>
      <c r="H5367" s="150">
        <v>6</v>
      </c>
      <c r="I5367" s="5" t="str">
        <f>VLOOKUP(F5367,'Set up'!$A$2:$C$100,3,FALSE)</f>
        <v>Cash</v>
      </c>
      <c r="J5367" s="5">
        <f>VLOOKUP(F5367,'Set up'!$A$2:$D$100,4,FALSE)</f>
        <v>0</v>
      </c>
      <c r="K5367" s="4">
        <f t="shared" si="1200"/>
        <v>46157</v>
      </c>
      <c r="L5367" s="5">
        <f t="shared" si="1201"/>
        <v>5</v>
      </c>
      <c r="M5367" s="5">
        <f t="shared" si="1202"/>
        <v>2026</v>
      </c>
      <c r="N5367" s="156">
        <v>1044</v>
      </c>
      <c r="P5367" s="12"/>
      <c r="Q5367" s="7">
        <f t="shared" si="1203"/>
        <v>8438408.4500000123</v>
      </c>
      <c r="R5367" s="44" t="str">
        <f>VLOOKUP(F5367,'Set up'!$A$2:$E$100,5,FALSE)</f>
        <v>Trsf</v>
      </c>
    </row>
    <row r="5368" spans="1:18" ht="16.8" customHeight="1" x14ac:dyDescent="0.3">
      <c r="A5368" s="151" t="s">
        <v>4646</v>
      </c>
      <c r="B5368" s="5">
        <f t="shared" si="1198"/>
        <v>5</v>
      </c>
      <c r="C5368" s="5">
        <f t="shared" si="1199"/>
        <v>2026</v>
      </c>
      <c r="D5368" s="150" t="s">
        <v>4679</v>
      </c>
      <c r="E5368" s="5" t="str">
        <f>VLOOKUP(F5368,'Set up'!$A$2:$C$100,2,FALSE)</f>
        <v>C00000042</v>
      </c>
      <c r="F5368" s="150" t="s">
        <v>2012</v>
      </c>
      <c r="G5368" s="150" t="s">
        <v>1922</v>
      </c>
      <c r="H5368" s="150">
        <v>3</v>
      </c>
      <c r="I5368" s="5" t="str">
        <f>VLOOKUP(F5368,'Set up'!$A$2:$C$100,3,FALSE)</f>
        <v>Cash</v>
      </c>
      <c r="J5368" s="5">
        <f>VLOOKUP(F5368,'Set up'!$A$2:$D$100,4,FALSE)</f>
        <v>0</v>
      </c>
      <c r="K5368" s="4">
        <f t="shared" si="1200"/>
        <v>46157</v>
      </c>
      <c r="L5368" s="5">
        <f t="shared" si="1201"/>
        <v>5</v>
      </c>
      <c r="M5368" s="5">
        <f t="shared" si="1202"/>
        <v>2026</v>
      </c>
      <c r="N5368" s="156">
        <v>621</v>
      </c>
      <c r="P5368" s="12"/>
      <c r="Q5368" s="7">
        <f t="shared" si="1203"/>
        <v>8438959.8500000127</v>
      </c>
      <c r="R5368" s="44" t="str">
        <f>VLOOKUP(F5368,'Set up'!$A$2:$E$100,5,FALSE)</f>
        <v>Trsf</v>
      </c>
    </row>
    <row r="5369" spans="1:18" ht="16.8" customHeight="1" x14ac:dyDescent="0.3">
      <c r="A5369" s="151" t="s">
        <v>4646</v>
      </c>
      <c r="B5369" s="5">
        <f t="shared" si="1198"/>
        <v>5</v>
      </c>
      <c r="C5369" s="5">
        <f t="shared" si="1199"/>
        <v>2026</v>
      </c>
      <c r="D5369" s="150" t="s">
        <v>4679</v>
      </c>
      <c r="E5369" s="5" t="str">
        <f>VLOOKUP(F5369,'Set up'!$A$2:$C$100,2,FALSE)</f>
        <v>C00000042</v>
      </c>
      <c r="F5369" s="150" t="s">
        <v>2012</v>
      </c>
      <c r="G5369" s="150" t="s">
        <v>46</v>
      </c>
      <c r="H5369" s="150">
        <v>4</v>
      </c>
      <c r="I5369" s="5" t="str">
        <f>VLOOKUP(F5369,'Set up'!$A$2:$C$100,3,FALSE)</f>
        <v>Cash</v>
      </c>
      <c r="J5369" s="5">
        <f>VLOOKUP(F5369,'Set up'!$A$2:$D$100,4,FALSE)</f>
        <v>0</v>
      </c>
      <c r="K5369" s="4">
        <f t="shared" si="1200"/>
        <v>46157</v>
      </c>
      <c r="L5369" s="5">
        <f t="shared" si="1201"/>
        <v>5</v>
      </c>
      <c r="M5369" s="5">
        <f t="shared" si="1202"/>
        <v>2026</v>
      </c>
      <c r="N5369" s="156">
        <v>460</v>
      </c>
      <c r="P5369" s="12"/>
      <c r="Q5369" s="7">
        <f t="shared" si="1203"/>
        <v>8438085.8500000127</v>
      </c>
      <c r="R5369" s="44" t="str">
        <f>VLOOKUP(F5369,'Set up'!$A$2:$E$100,5,FALSE)</f>
        <v>Trsf</v>
      </c>
    </row>
    <row r="5370" spans="1:18" ht="16.8" customHeight="1" x14ac:dyDescent="0.3">
      <c r="A5370" s="151" t="s">
        <v>4648</v>
      </c>
      <c r="B5370" s="5">
        <f t="shared" si="1198"/>
        <v>5</v>
      </c>
      <c r="C5370" s="5">
        <f t="shared" si="1199"/>
        <v>2026</v>
      </c>
      <c r="D5370" s="150" t="s">
        <v>4680</v>
      </c>
      <c r="E5370" s="5" t="str">
        <f>VLOOKUP(F5370,'Set up'!$A$2:$C$100,2,FALSE)</f>
        <v>C00000044</v>
      </c>
      <c r="F5370" s="150" t="s">
        <v>2929</v>
      </c>
      <c r="G5370" s="150" t="s">
        <v>4693</v>
      </c>
      <c r="H5370" s="150">
        <v>1</v>
      </c>
      <c r="I5370" s="5" t="str">
        <f>VLOOKUP(F5370,'Set up'!$A$2:$C$100,3,FALSE)</f>
        <v>Cash</v>
      </c>
      <c r="J5370" s="5">
        <f>VLOOKUP(F5370,'Set up'!$A$2:$D$100,4,FALSE)</f>
        <v>0</v>
      </c>
      <c r="K5370" s="4">
        <f t="shared" si="1200"/>
        <v>46160</v>
      </c>
      <c r="L5370" s="5">
        <f t="shared" si="1201"/>
        <v>5</v>
      </c>
      <c r="M5370" s="5">
        <f t="shared" si="1202"/>
        <v>2026</v>
      </c>
      <c r="N5370" s="156">
        <v>700</v>
      </c>
      <c r="P5370" s="12"/>
      <c r="Q5370" s="7">
        <f t="shared" si="1203"/>
        <v>8439078.3500000127</v>
      </c>
      <c r="R5370" s="44" t="str">
        <f>VLOOKUP(F5370,'Set up'!$A$2:$E$100,5,FALSE)</f>
        <v>Cash</v>
      </c>
    </row>
    <row r="5371" spans="1:18" ht="16.8" customHeight="1" x14ac:dyDescent="0.3">
      <c r="A5371" s="151" t="s">
        <v>4648</v>
      </c>
      <c r="B5371" s="5">
        <f t="shared" si="1198"/>
        <v>5</v>
      </c>
      <c r="C5371" s="5">
        <f t="shared" si="1199"/>
        <v>2026</v>
      </c>
      <c r="D5371" s="150" t="s">
        <v>4680</v>
      </c>
      <c r="E5371" s="5" t="str">
        <f>VLOOKUP(F5371,'Set up'!$A$2:$C$100,2,FALSE)</f>
        <v>C00000044</v>
      </c>
      <c r="F5371" s="150" t="s">
        <v>2929</v>
      </c>
      <c r="G5371" s="150" t="s">
        <v>4007</v>
      </c>
      <c r="H5371" s="150">
        <v>1</v>
      </c>
      <c r="I5371" s="5" t="str">
        <f>VLOOKUP(F5371,'Set up'!$A$2:$C$100,3,FALSE)</f>
        <v>Cash</v>
      </c>
      <c r="J5371" s="5">
        <f>VLOOKUP(F5371,'Set up'!$A$2:$D$100,4,FALSE)</f>
        <v>0</v>
      </c>
      <c r="K5371" s="4">
        <f t="shared" si="1200"/>
        <v>46160</v>
      </c>
      <c r="L5371" s="5">
        <f t="shared" si="1201"/>
        <v>5</v>
      </c>
      <c r="M5371" s="5">
        <f t="shared" si="1202"/>
        <v>2026</v>
      </c>
      <c r="N5371" s="156">
        <v>225</v>
      </c>
      <c r="P5371" s="12"/>
      <c r="Q5371" s="7">
        <f t="shared" si="1203"/>
        <v>8438563.3500000127</v>
      </c>
      <c r="R5371" s="44" t="str">
        <f>VLOOKUP(F5371,'Set up'!$A$2:$E$100,5,FALSE)</f>
        <v>Cash</v>
      </c>
    </row>
    <row r="5372" spans="1:18" ht="16.8" customHeight="1" x14ac:dyDescent="0.3">
      <c r="A5372" s="151" t="s">
        <v>4648</v>
      </c>
      <c r="B5372" s="5">
        <f t="shared" si="1198"/>
        <v>5</v>
      </c>
      <c r="C5372" s="5">
        <f t="shared" si="1199"/>
        <v>2026</v>
      </c>
      <c r="D5372" s="150" t="s">
        <v>4680</v>
      </c>
      <c r="E5372" s="5" t="str">
        <f>VLOOKUP(F5372,'Set up'!$A$2:$C$100,2,FALSE)</f>
        <v>C00000044</v>
      </c>
      <c r="F5372" s="150" t="s">
        <v>2929</v>
      </c>
      <c r="G5372" s="150" t="s">
        <v>1715</v>
      </c>
      <c r="H5372" s="150">
        <v>1</v>
      </c>
      <c r="I5372" s="5" t="str">
        <f>VLOOKUP(F5372,'Set up'!$A$2:$C$100,3,FALSE)</f>
        <v>Cash</v>
      </c>
      <c r="J5372" s="5">
        <f>VLOOKUP(F5372,'Set up'!$A$2:$D$100,4,FALSE)</f>
        <v>0</v>
      </c>
      <c r="K5372" s="4">
        <f t="shared" si="1200"/>
        <v>46160</v>
      </c>
      <c r="L5372" s="5">
        <f t="shared" si="1201"/>
        <v>5</v>
      </c>
      <c r="M5372" s="5">
        <f t="shared" si="1202"/>
        <v>2026</v>
      </c>
      <c r="N5372" s="156">
        <v>165</v>
      </c>
      <c r="P5372" s="12"/>
      <c r="Q5372" s="7">
        <f t="shared" si="1203"/>
        <v>8453405.8500000127</v>
      </c>
      <c r="R5372" s="44" t="str">
        <f>VLOOKUP(F5372,'Set up'!$A$2:$E$100,5,FALSE)</f>
        <v>Cash</v>
      </c>
    </row>
    <row r="5373" spans="1:18" ht="16.8" customHeight="1" x14ac:dyDescent="0.3">
      <c r="A5373" s="151" t="s">
        <v>4648</v>
      </c>
      <c r="B5373" s="5">
        <f t="shared" si="1198"/>
        <v>5</v>
      </c>
      <c r="C5373" s="5">
        <f t="shared" si="1199"/>
        <v>2026</v>
      </c>
      <c r="D5373" s="150" t="s">
        <v>4680</v>
      </c>
      <c r="E5373" s="5" t="str">
        <f>VLOOKUP(F5373,'Set up'!$A$2:$C$100,2,FALSE)</f>
        <v>C00000044</v>
      </c>
      <c r="F5373" s="150" t="s">
        <v>2929</v>
      </c>
      <c r="G5373" s="150" t="s">
        <v>945</v>
      </c>
      <c r="H5373" s="150">
        <v>1</v>
      </c>
      <c r="I5373" s="5" t="str">
        <f>VLOOKUP(F5373,'Set up'!$A$2:$C$100,3,FALSE)</f>
        <v>Cash</v>
      </c>
      <c r="J5373" s="5">
        <f>VLOOKUP(F5373,'Set up'!$A$2:$D$100,4,FALSE)</f>
        <v>0</v>
      </c>
      <c r="K5373" s="4">
        <f t="shared" si="1200"/>
        <v>46160</v>
      </c>
      <c r="L5373" s="5">
        <f t="shared" si="1201"/>
        <v>5</v>
      </c>
      <c r="M5373" s="5">
        <f t="shared" si="1202"/>
        <v>2026</v>
      </c>
      <c r="N5373" s="156">
        <v>115</v>
      </c>
      <c r="P5373" s="12"/>
      <c r="Q5373" s="7">
        <f t="shared" si="1203"/>
        <v>8457152.4500000123</v>
      </c>
      <c r="R5373" s="44" t="str">
        <f>VLOOKUP(F5373,'Set up'!$A$2:$E$100,5,FALSE)</f>
        <v>Cash</v>
      </c>
    </row>
    <row r="5374" spans="1:18" ht="16.8" customHeight="1" x14ac:dyDescent="0.3">
      <c r="A5374" s="151" t="s">
        <v>4649</v>
      </c>
      <c r="B5374" s="5">
        <f t="shared" si="1198"/>
        <v>5</v>
      </c>
      <c r="C5374" s="5">
        <f t="shared" si="1199"/>
        <v>2026</v>
      </c>
      <c r="D5374" s="150" t="s">
        <v>4681</v>
      </c>
      <c r="E5374" s="5" t="str">
        <f>VLOOKUP(F5374,'Set up'!$A$2:$C$100,2,FALSE)</f>
        <v>C00000042</v>
      </c>
      <c r="F5374" s="150" t="s">
        <v>2012</v>
      </c>
      <c r="G5374" s="150" t="s">
        <v>2646</v>
      </c>
      <c r="H5374" s="150">
        <v>5</v>
      </c>
      <c r="I5374" s="5" t="str">
        <f>VLOOKUP(F5374,'Set up'!$A$2:$C$100,3,FALSE)</f>
        <v>Cash</v>
      </c>
      <c r="J5374" s="5">
        <f>VLOOKUP(F5374,'Set up'!$A$2:$D$100,4,FALSE)</f>
        <v>0</v>
      </c>
      <c r="K5374" s="4">
        <f t="shared" si="1200"/>
        <v>46161</v>
      </c>
      <c r="L5374" s="5">
        <f t="shared" si="1201"/>
        <v>5</v>
      </c>
      <c r="M5374" s="5">
        <f t="shared" si="1202"/>
        <v>2026</v>
      </c>
      <c r="N5374" s="156">
        <v>312.5</v>
      </c>
      <c r="P5374" s="12"/>
      <c r="Q5374" s="7">
        <f t="shared" si="1203"/>
        <v>8460360.0500000119</v>
      </c>
      <c r="R5374" s="44" t="str">
        <f>VLOOKUP(F5374,'Set up'!$A$2:$E$100,5,FALSE)</f>
        <v>Trsf</v>
      </c>
    </row>
    <row r="5375" spans="1:18" ht="16.8" customHeight="1" x14ac:dyDescent="0.3">
      <c r="A5375" s="151" t="s">
        <v>4649</v>
      </c>
      <c r="B5375" s="5">
        <f t="shared" si="1198"/>
        <v>5</v>
      </c>
      <c r="C5375" s="5">
        <f t="shared" si="1199"/>
        <v>2026</v>
      </c>
      <c r="D5375" s="150" t="s">
        <v>4682</v>
      </c>
      <c r="E5375" s="5" t="str">
        <f>VLOOKUP(F5375,'Set up'!$A$2:$C$100,2,FALSE)</f>
        <v>C00000042</v>
      </c>
      <c r="F5375" s="150" t="s">
        <v>2012</v>
      </c>
      <c r="G5375" s="150" t="s">
        <v>3645</v>
      </c>
      <c r="H5375" s="150">
        <v>15</v>
      </c>
      <c r="I5375" s="5" t="str">
        <f>VLOOKUP(F5375,'Set up'!$A$2:$C$100,3,FALSE)</f>
        <v>Cash</v>
      </c>
      <c r="J5375" s="5">
        <f>VLOOKUP(F5375,'Set up'!$A$2:$D$100,4,FALSE)</f>
        <v>0</v>
      </c>
      <c r="K5375" s="4">
        <f t="shared" si="1200"/>
        <v>46161</v>
      </c>
      <c r="L5375" s="5">
        <f t="shared" si="1201"/>
        <v>5</v>
      </c>
      <c r="M5375" s="5">
        <f t="shared" si="1202"/>
        <v>2026</v>
      </c>
      <c r="N5375" s="156">
        <v>27337.5</v>
      </c>
      <c r="P5375" s="12"/>
      <c r="Q5375" s="7">
        <f t="shared" si="1203"/>
        <v>8487758.8500000127</v>
      </c>
      <c r="R5375" s="44" t="str">
        <f>VLOOKUP(F5375,'Set up'!$A$2:$E$100,5,FALSE)</f>
        <v>Trsf</v>
      </c>
    </row>
    <row r="5376" spans="1:18" ht="16.8" customHeight="1" x14ac:dyDescent="0.3">
      <c r="A5376" s="151" t="s">
        <v>4649</v>
      </c>
      <c r="B5376" s="5">
        <f t="shared" si="1198"/>
        <v>5</v>
      </c>
      <c r="C5376" s="5">
        <f t="shared" si="1199"/>
        <v>2026</v>
      </c>
      <c r="D5376" s="150" t="s">
        <v>4682</v>
      </c>
      <c r="E5376" s="5" t="str">
        <f>VLOOKUP(F5376,'Set up'!$A$2:$C$100,2,FALSE)</f>
        <v>C00000042</v>
      </c>
      <c r="F5376" s="150" t="s">
        <v>2012</v>
      </c>
      <c r="G5376" s="150" t="s">
        <v>1392</v>
      </c>
      <c r="H5376" s="150">
        <v>45</v>
      </c>
      <c r="I5376" s="5" t="str">
        <f>VLOOKUP(F5376,'Set up'!$A$2:$C$100,3,FALSE)</f>
        <v>Cash</v>
      </c>
      <c r="J5376" s="5">
        <f>VLOOKUP(F5376,'Set up'!$A$2:$D$100,4,FALSE)</f>
        <v>0</v>
      </c>
      <c r="K5376" s="4">
        <f t="shared" si="1200"/>
        <v>46161</v>
      </c>
      <c r="L5376" s="5">
        <f t="shared" si="1201"/>
        <v>5</v>
      </c>
      <c r="M5376" s="5">
        <f t="shared" si="1202"/>
        <v>2026</v>
      </c>
      <c r="N5376" s="156">
        <v>7830</v>
      </c>
      <c r="P5376" s="12"/>
      <c r="Q5376" s="7">
        <f t="shared" si="1203"/>
        <v>8469313.3500000127</v>
      </c>
      <c r="R5376" s="44" t="str">
        <f>VLOOKUP(F5376,'Set up'!$A$2:$E$100,5,FALSE)</f>
        <v>Trsf</v>
      </c>
    </row>
    <row r="5377" spans="1:18" ht="16.8" customHeight="1" x14ac:dyDescent="0.3">
      <c r="A5377" s="151" t="s">
        <v>4649</v>
      </c>
      <c r="B5377" s="5">
        <f t="shared" si="1198"/>
        <v>5</v>
      </c>
      <c r="C5377" s="5">
        <f t="shared" si="1199"/>
        <v>2026</v>
      </c>
      <c r="D5377" s="150" t="s">
        <v>4682</v>
      </c>
      <c r="E5377" s="5" t="str">
        <f>VLOOKUP(F5377,'Set up'!$A$2:$C$100,2,FALSE)</f>
        <v>C00000042</v>
      </c>
      <c r="F5377" s="150" t="s">
        <v>2012</v>
      </c>
      <c r="G5377" s="150" t="s">
        <v>1922</v>
      </c>
      <c r="H5377" s="150">
        <v>27</v>
      </c>
      <c r="I5377" s="5" t="str">
        <f>VLOOKUP(F5377,'Set up'!$A$2:$C$100,3,FALSE)</f>
        <v>Cash</v>
      </c>
      <c r="J5377" s="5">
        <f>VLOOKUP(F5377,'Set up'!$A$2:$D$100,4,FALSE)</f>
        <v>0</v>
      </c>
      <c r="K5377" s="4">
        <f t="shared" si="1200"/>
        <v>46161</v>
      </c>
      <c r="L5377" s="5">
        <f t="shared" si="1201"/>
        <v>5</v>
      </c>
      <c r="M5377" s="5">
        <f t="shared" si="1202"/>
        <v>2026</v>
      </c>
      <c r="N5377" s="156">
        <v>5589</v>
      </c>
      <c r="P5377" s="12"/>
      <c r="Q5377" s="7">
        <f t="shared" si="1203"/>
        <v>8467877.3500000127</v>
      </c>
      <c r="R5377" s="44" t="str">
        <f>VLOOKUP(F5377,'Set up'!$A$2:$E$100,5,FALSE)</f>
        <v>Trsf</v>
      </c>
    </row>
    <row r="5378" spans="1:18" ht="16.8" customHeight="1" x14ac:dyDescent="0.3">
      <c r="A5378" s="151" t="s">
        <v>4649</v>
      </c>
      <c r="B5378" s="5">
        <f t="shared" si="1198"/>
        <v>5</v>
      </c>
      <c r="C5378" s="5">
        <f t="shared" si="1199"/>
        <v>2026</v>
      </c>
      <c r="D5378" s="150" t="s">
        <v>4682</v>
      </c>
      <c r="E5378" s="5" t="str">
        <f>VLOOKUP(F5378,'Set up'!$A$2:$C$100,2,FALSE)</f>
        <v>C00000042</v>
      </c>
      <c r="F5378" s="150" t="s">
        <v>2012</v>
      </c>
      <c r="G5378" s="150" t="s">
        <v>945</v>
      </c>
      <c r="H5378" s="150">
        <v>4</v>
      </c>
      <c r="I5378" s="5" t="str">
        <f>VLOOKUP(F5378,'Set up'!$A$2:$C$100,3,FALSE)</f>
        <v>Cash</v>
      </c>
      <c r="J5378" s="5">
        <f>VLOOKUP(F5378,'Set up'!$A$2:$D$100,4,FALSE)</f>
        <v>0</v>
      </c>
      <c r="K5378" s="4">
        <f t="shared" si="1200"/>
        <v>46161</v>
      </c>
      <c r="L5378" s="5">
        <f t="shared" si="1201"/>
        <v>5</v>
      </c>
      <c r="M5378" s="5">
        <f t="shared" si="1202"/>
        <v>2026</v>
      </c>
      <c r="N5378" s="156">
        <v>460</v>
      </c>
      <c r="P5378" s="12"/>
      <c r="Q5378" s="7">
        <f t="shared" si="1203"/>
        <v>8466568.3500000127</v>
      </c>
      <c r="R5378" s="44" t="str">
        <f>VLOOKUP(F5378,'Set up'!$A$2:$E$100,5,FALSE)</f>
        <v>Trsf</v>
      </c>
    </row>
    <row r="5379" spans="1:18" ht="16.8" customHeight="1" x14ac:dyDescent="0.3">
      <c r="A5379" s="151" t="s">
        <v>4649</v>
      </c>
      <c r="B5379" s="5">
        <f t="shared" si="1198"/>
        <v>5</v>
      </c>
      <c r="C5379" s="5">
        <f t="shared" si="1199"/>
        <v>2026</v>
      </c>
      <c r="D5379" s="150" t="s">
        <v>4682</v>
      </c>
      <c r="E5379" s="5" t="str">
        <f>VLOOKUP(F5379,'Set up'!$A$2:$C$100,2,FALSE)</f>
        <v>C00000042</v>
      </c>
      <c r="F5379" s="150" t="s">
        <v>2012</v>
      </c>
      <c r="G5379" s="150" t="s">
        <v>4580</v>
      </c>
      <c r="H5379" s="150">
        <v>1</v>
      </c>
      <c r="I5379" s="5" t="str">
        <f>VLOOKUP(F5379,'Set up'!$A$2:$C$100,3,FALSE)</f>
        <v>Cash</v>
      </c>
      <c r="J5379" s="5">
        <f>VLOOKUP(F5379,'Set up'!$A$2:$D$100,4,FALSE)</f>
        <v>0</v>
      </c>
      <c r="K5379" s="4">
        <f t="shared" si="1200"/>
        <v>46161</v>
      </c>
      <c r="L5379" s="5">
        <f t="shared" si="1201"/>
        <v>5</v>
      </c>
      <c r="M5379" s="5">
        <f t="shared" si="1202"/>
        <v>2026</v>
      </c>
      <c r="N5379" s="156">
        <v>1000</v>
      </c>
      <c r="P5379" s="12"/>
      <c r="Q5379" s="7">
        <f t="shared" si="1203"/>
        <v>8469289.6500000134</v>
      </c>
      <c r="R5379" s="44" t="str">
        <f>VLOOKUP(F5379,'Set up'!$A$2:$E$100,5,FALSE)</f>
        <v>Trsf</v>
      </c>
    </row>
    <row r="5380" spans="1:18" ht="16.8" customHeight="1" x14ac:dyDescent="0.3">
      <c r="A5380" s="151" t="s">
        <v>4649</v>
      </c>
      <c r="B5380" s="5">
        <f t="shared" si="1198"/>
        <v>5</v>
      </c>
      <c r="C5380" s="5">
        <f t="shared" si="1199"/>
        <v>2026</v>
      </c>
      <c r="D5380" s="150" t="s">
        <v>4682</v>
      </c>
      <c r="E5380" s="5" t="str">
        <f>VLOOKUP(F5380,'Set up'!$A$2:$C$100,2,FALSE)</f>
        <v>C00000042</v>
      </c>
      <c r="F5380" s="150" t="s">
        <v>2012</v>
      </c>
      <c r="G5380" s="150" t="s">
        <v>1073</v>
      </c>
      <c r="H5380" s="150">
        <v>2</v>
      </c>
      <c r="I5380" s="5" t="str">
        <f>VLOOKUP(F5380,'Set up'!$A$2:$C$100,3,FALSE)</f>
        <v>Cash</v>
      </c>
      <c r="J5380" s="5">
        <f>VLOOKUP(F5380,'Set up'!$A$2:$D$100,4,FALSE)</f>
        <v>0</v>
      </c>
      <c r="K5380" s="4">
        <f t="shared" si="1200"/>
        <v>46161</v>
      </c>
      <c r="L5380" s="5">
        <f t="shared" si="1201"/>
        <v>5</v>
      </c>
      <c r="M5380" s="5">
        <f t="shared" si="1202"/>
        <v>2026</v>
      </c>
      <c r="N5380" s="156">
        <v>2100</v>
      </c>
      <c r="P5380" s="12"/>
      <c r="Q5380" s="7">
        <f t="shared" si="1203"/>
        <v>8469787.5500000138</v>
      </c>
      <c r="R5380" s="44" t="str">
        <f>VLOOKUP(F5380,'Set up'!$A$2:$E$100,5,FALSE)</f>
        <v>Trsf</v>
      </c>
    </row>
    <row r="5381" spans="1:18" ht="16.8" customHeight="1" x14ac:dyDescent="0.3">
      <c r="A5381" s="151" t="s">
        <v>4650</v>
      </c>
      <c r="B5381" s="5">
        <f t="shared" si="1198"/>
        <v>5</v>
      </c>
      <c r="C5381" s="5">
        <f t="shared" si="1199"/>
        <v>2026</v>
      </c>
      <c r="D5381" s="150" t="s">
        <v>4683</v>
      </c>
      <c r="E5381" s="5" t="str">
        <f>VLOOKUP(F5381,'Set up'!$A$2:$C$100,2,FALSE)</f>
        <v>C00000050</v>
      </c>
      <c r="F5381" s="150" t="s">
        <v>2656</v>
      </c>
      <c r="G5381" s="150" t="s">
        <v>3645</v>
      </c>
      <c r="H5381" s="150">
        <v>1</v>
      </c>
      <c r="I5381" s="5" t="str">
        <f>VLOOKUP(F5381,'Set up'!$A$2:$C$100,3,FALSE)</f>
        <v>Cash</v>
      </c>
      <c r="J5381" s="5">
        <f>VLOOKUP(F5381,'Set up'!$A$2:$D$100,4,FALSE)</f>
        <v>0</v>
      </c>
      <c r="K5381" s="4">
        <f t="shared" si="1200"/>
        <v>46163</v>
      </c>
      <c r="L5381" s="5">
        <f t="shared" si="1201"/>
        <v>5</v>
      </c>
      <c r="M5381" s="5">
        <f t="shared" si="1202"/>
        <v>2026</v>
      </c>
      <c r="N5381" s="156">
        <v>1957.5</v>
      </c>
      <c r="P5381" s="12"/>
      <c r="Q5381" s="7">
        <f t="shared" si="1203"/>
        <v>8470245.6500000134</v>
      </c>
      <c r="R5381" s="44" t="str">
        <f>VLOOKUP(F5381,'Set up'!$A$2:$E$100,5,FALSE)</f>
        <v>Cash</v>
      </c>
    </row>
    <row r="5382" spans="1:18" ht="16.8" customHeight="1" x14ac:dyDescent="0.3">
      <c r="A5382" s="151" t="s">
        <v>4650</v>
      </c>
      <c r="B5382" s="5">
        <f t="shared" si="1198"/>
        <v>5</v>
      </c>
      <c r="C5382" s="5">
        <f t="shared" si="1199"/>
        <v>2026</v>
      </c>
      <c r="D5382" s="150" t="s">
        <v>4683</v>
      </c>
      <c r="E5382" s="5" t="str">
        <f>VLOOKUP(F5382,'Set up'!$A$2:$C$100,2,FALSE)</f>
        <v>C00000050</v>
      </c>
      <c r="F5382" s="150" t="s">
        <v>2656</v>
      </c>
      <c r="G5382" s="150" t="s">
        <v>2646</v>
      </c>
      <c r="H5382" s="150">
        <v>5</v>
      </c>
      <c r="I5382" s="5" t="str">
        <f>VLOOKUP(F5382,'Set up'!$A$2:$C$100,3,FALSE)</f>
        <v>Cash</v>
      </c>
      <c r="J5382" s="5">
        <f>VLOOKUP(F5382,'Set up'!$A$2:$D$100,4,FALSE)</f>
        <v>0</v>
      </c>
      <c r="K5382" s="4">
        <f t="shared" si="1200"/>
        <v>46163</v>
      </c>
      <c r="L5382" s="5">
        <f t="shared" si="1201"/>
        <v>5</v>
      </c>
      <c r="M5382" s="5">
        <f t="shared" si="1202"/>
        <v>2026</v>
      </c>
      <c r="N5382" s="156">
        <v>312.5</v>
      </c>
      <c r="P5382" s="12"/>
      <c r="Q5382" s="7">
        <f t="shared" si="1203"/>
        <v>8469300.6500000134</v>
      </c>
      <c r="R5382" s="44" t="str">
        <f>VLOOKUP(F5382,'Set up'!$A$2:$E$100,5,FALSE)</f>
        <v>Cash</v>
      </c>
    </row>
    <row r="5383" spans="1:18" ht="16.8" customHeight="1" x14ac:dyDescent="0.3">
      <c r="A5383" s="151" t="s">
        <v>4650</v>
      </c>
      <c r="B5383" s="5">
        <f t="shared" si="1198"/>
        <v>5</v>
      </c>
      <c r="C5383" s="5">
        <f t="shared" si="1199"/>
        <v>2026</v>
      </c>
      <c r="D5383" s="150" t="s">
        <v>4683</v>
      </c>
      <c r="E5383" s="5" t="str">
        <f>VLOOKUP(F5383,'Set up'!$A$2:$C$100,2,FALSE)</f>
        <v>C00000050</v>
      </c>
      <c r="F5383" s="150" t="s">
        <v>2656</v>
      </c>
      <c r="G5383" s="150" t="s">
        <v>945</v>
      </c>
      <c r="H5383" s="150">
        <v>1</v>
      </c>
      <c r="I5383" s="5" t="str">
        <f>VLOOKUP(F5383,'Set up'!$A$2:$C$100,3,FALSE)</f>
        <v>Cash</v>
      </c>
      <c r="J5383" s="5">
        <f>VLOOKUP(F5383,'Set up'!$A$2:$D$100,4,FALSE)</f>
        <v>0</v>
      </c>
      <c r="K5383" s="4">
        <f t="shared" si="1200"/>
        <v>46163</v>
      </c>
      <c r="L5383" s="5">
        <f t="shared" si="1201"/>
        <v>5</v>
      </c>
      <c r="M5383" s="5">
        <f t="shared" si="1202"/>
        <v>2026</v>
      </c>
      <c r="N5383" s="156">
        <v>115</v>
      </c>
      <c r="P5383" s="12"/>
      <c r="Q5383" s="7">
        <f t="shared" si="1203"/>
        <v>8469080.6500000134</v>
      </c>
      <c r="R5383" s="44" t="str">
        <f>VLOOKUP(F5383,'Set up'!$A$2:$E$100,5,FALSE)</f>
        <v>Cash</v>
      </c>
    </row>
    <row r="5384" spans="1:18" ht="16.8" customHeight="1" x14ac:dyDescent="0.3">
      <c r="A5384" s="151" t="s">
        <v>4650</v>
      </c>
      <c r="B5384" s="5">
        <f t="shared" si="1198"/>
        <v>5</v>
      </c>
      <c r="C5384" s="5">
        <f t="shared" si="1199"/>
        <v>2026</v>
      </c>
      <c r="D5384" s="150" t="s">
        <v>4683</v>
      </c>
      <c r="E5384" s="5" t="str">
        <f>VLOOKUP(F5384,'Set up'!$A$2:$C$100,2,FALSE)</f>
        <v>C00000050</v>
      </c>
      <c r="F5384" s="150" t="s">
        <v>2656</v>
      </c>
      <c r="G5384" s="150" t="s">
        <v>905</v>
      </c>
      <c r="H5384" s="150">
        <v>1</v>
      </c>
      <c r="I5384" s="5" t="str">
        <f>VLOOKUP(F5384,'Set up'!$A$2:$C$100,3,FALSE)</f>
        <v>Cash</v>
      </c>
      <c r="J5384" s="5">
        <f>VLOOKUP(F5384,'Set up'!$A$2:$D$100,4,FALSE)</f>
        <v>0</v>
      </c>
      <c r="K5384" s="4">
        <f t="shared" si="1200"/>
        <v>46163</v>
      </c>
      <c r="L5384" s="5">
        <f t="shared" si="1201"/>
        <v>5</v>
      </c>
      <c r="M5384" s="5">
        <f t="shared" si="1202"/>
        <v>2026</v>
      </c>
      <c r="N5384" s="156">
        <v>310</v>
      </c>
      <c r="P5384" s="12"/>
      <c r="Q5384" s="7">
        <f t="shared" si="1203"/>
        <v>8469243.1500000134</v>
      </c>
      <c r="R5384" s="44" t="str">
        <f>VLOOKUP(F5384,'Set up'!$A$2:$E$100,5,FALSE)</f>
        <v>Cash</v>
      </c>
    </row>
    <row r="5385" spans="1:18" ht="16.8" customHeight="1" x14ac:dyDescent="0.3">
      <c r="A5385" s="151" t="s">
        <v>4651</v>
      </c>
      <c r="B5385" s="5">
        <f t="shared" si="1198"/>
        <v>5</v>
      </c>
      <c r="C5385" s="5">
        <f t="shared" si="1199"/>
        <v>2026</v>
      </c>
      <c r="D5385" s="150" t="s">
        <v>4684</v>
      </c>
      <c r="E5385" s="5" t="str">
        <f>VLOOKUP(F5385,'Set up'!$A$2:$C$100,2,FALSE)</f>
        <v>C00000003</v>
      </c>
      <c r="F5385" s="150" t="s">
        <v>20</v>
      </c>
      <c r="G5385" s="150" t="s">
        <v>3645</v>
      </c>
      <c r="H5385" s="150">
        <v>1</v>
      </c>
      <c r="I5385" s="5">
        <f>VLOOKUP(F5385,'Set up'!$A$2:$C$100,3,FALSE)</f>
        <v>45</v>
      </c>
      <c r="J5385" s="5">
        <f>VLOOKUP(F5385,'Set up'!$A$2:$D$100,4,FALSE)</f>
        <v>45</v>
      </c>
      <c r="K5385" s="4">
        <f t="shared" si="1200"/>
        <v>46210</v>
      </c>
      <c r="L5385" s="5">
        <f t="shared" si="1201"/>
        <v>7</v>
      </c>
      <c r="M5385" s="5">
        <f t="shared" si="1202"/>
        <v>2026</v>
      </c>
      <c r="N5385" s="156">
        <v>1957.5</v>
      </c>
      <c r="P5385" s="12"/>
      <c r="Q5385" s="7">
        <f t="shared" si="1203"/>
        <v>8349426.1500000134</v>
      </c>
      <c r="R5385" s="44" t="str">
        <f>VLOOKUP(F5385,'Set up'!$A$2:$E$100,5,FALSE)</f>
        <v>PD Chq</v>
      </c>
    </row>
    <row r="5386" spans="1:18" ht="16.8" customHeight="1" x14ac:dyDescent="0.3">
      <c r="A5386" s="151" t="s">
        <v>4651</v>
      </c>
      <c r="B5386" s="5">
        <f t="shared" si="1198"/>
        <v>5</v>
      </c>
      <c r="C5386" s="5">
        <f t="shared" si="1199"/>
        <v>2026</v>
      </c>
      <c r="D5386" s="150" t="s">
        <v>4684</v>
      </c>
      <c r="E5386" s="5" t="str">
        <f>VLOOKUP(F5386,'Set up'!$A$2:$C$100,2,FALSE)</f>
        <v>C00000003</v>
      </c>
      <c r="F5386" s="150" t="s">
        <v>20</v>
      </c>
      <c r="G5386" s="150" t="s">
        <v>1198</v>
      </c>
      <c r="H5386" s="150">
        <v>1</v>
      </c>
      <c r="I5386" s="5">
        <f>VLOOKUP(F5386,'Set up'!$A$2:$C$100,3,FALSE)</f>
        <v>45</v>
      </c>
      <c r="J5386" s="5">
        <f>VLOOKUP(F5386,'Set up'!$A$2:$D$100,4,FALSE)</f>
        <v>45</v>
      </c>
      <c r="K5386" s="4">
        <f t="shared" si="1200"/>
        <v>46210</v>
      </c>
      <c r="L5386" s="5">
        <f t="shared" si="1201"/>
        <v>7</v>
      </c>
      <c r="M5386" s="5">
        <f t="shared" si="1202"/>
        <v>2026</v>
      </c>
      <c r="N5386" s="156">
        <v>225</v>
      </c>
      <c r="P5386" s="12"/>
      <c r="Q5386" s="7">
        <f t="shared" si="1203"/>
        <v>8335998.5500000138</v>
      </c>
      <c r="R5386" s="44" t="str">
        <f>VLOOKUP(F5386,'Set up'!$A$2:$E$100,5,FALSE)</f>
        <v>PD Chq</v>
      </c>
    </row>
    <row r="5387" spans="1:18" ht="16.8" customHeight="1" x14ac:dyDescent="0.3">
      <c r="A5387" s="151" t="s">
        <v>4651</v>
      </c>
      <c r="B5387" s="5">
        <f t="shared" si="1198"/>
        <v>5</v>
      </c>
      <c r="C5387" s="5">
        <f t="shared" si="1199"/>
        <v>2026</v>
      </c>
      <c r="D5387" s="150" t="s">
        <v>4684</v>
      </c>
      <c r="E5387" s="5" t="str">
        <f>VLOOKUP(F5387,'Set up'!$A$2:$C$100,2,FALSE)</f>
        <v>C00000003</v>
      </c>
      <c r="F5387" s="150" t="s">
        <v>20</v>
      </c>
      <c r="G5387" s="150" t="s">
        <v>4694</v>
      </c>
      <c r="H5387" s="150">
        <v>2</v>
      </c>
      <c r="I5387" s="5">
        <f>VLOOKUP(F5387,'Set up'!$A$2:$C$100,3,FALSE)</f>
        <v>45</v>
      </c>
      <c r="J5387" s="5">
        <f>VLOOKUP(F5387,'Set up'!$A$2:$D$100,4,FALSE)</f>
        <v>45</v>
      </c>
      <c r="K5387" s="4">
        <f t="shared" si="1200"/>
        <v>46210</v>
      </c>
      <c r="L5387" s="5">
        <f t="shared" si="1201"/>
        <v>7</v>
      </c>
      <c r="M5387" s="5">
        <f t="shared" si="1202"/>
        <v>2026</v>
      </c>
      <c r="N5387" s="156">
        <v>230</v>
      </c>
      <c r="P5387" s="12"/>
      <c r="Q5387" s="7">
        <f t="shared" si="1203"/>
        <v>8334430.9500000132</v>
      </c>
      <c r="R5387" s="44" t="str">
        <f>VLOOKUP(F5387,'Set up'!$A$2:$E$100,5,FALSE)</f>
        <v>PD Chq</v>
      </c>
    </row>
    <row r="5388" spans="1:18" ht="16.8" customHeight="1" x14ac:dyDescent="0.3">
      <c r="A5388" s="151" t="s">
        <v>4651</v>
      </c>
      <c r="B5388" s="5">
        <f t="shared" si="1198"/>
        <v>5</v>
      </c>
      <c r="C5388" s="5">
        <f t="shared" si="1199"/>
        <v>2026</v>
      </c>
      <c r="D5388" s="150" t="s">
        <v>4684</v>
      </c>
      <c r="E5388" s="5" t="str">
        <f>VLOOKUP(F5388,'Set up'!$A$2:$C$100,2,FALSE)</f>
        <v>C00000003</v>
      </c>
      <c r="F5388" s="150" t="s">
        <v>20</v>
      </c>
      <c r="G5388" s="150" t="s">
        <v>2635</v>
      </c>
      <c r="H5388" s="150">
        <v>3</v>
      </c>
      <c r="I5388" s="5">
        <f>VLOOKUP(F5388,'Set up'!$A$2:$C$100,3,FALSE)</f>
        <v>45</v>
      </c>
      <c r="J5388" s="5">
        <f>VLOOKUP(F5388,'Set up'!$A$2:$D$100,4,FALSE)</f>
        <v>45</v>
      </c>
      <c r="K5388" s="4">
        <f t="shared" si="1200"/>
        <v>46210</v>
      </c>
      <c r="L5388" s="5">
        <f t="shared" si="1201"/>
        <v>7</v>
      </c>
      <c r="M5388" s="5">
        <f t="shared" si="1202"/>
        <v>2026</v>
      </c>
      <c r="N5388" s="156">
        <v>187.5</v>
      </c>
      <c r="P5388" s="12"/>
      <c r="Q5388" s="7">
        <f t="shared" si="1203"/>
        <v>8333740.4500000132</v>
      </c>
      <c r="R5388" s="44" t="str">
        <f>VLOOKUP(F5388,'Set up'!$A$2:$E$100,5,FALSE)</f>
        <v>PD Chq</v>
      </c>
    </row>
    <row r="5389" spans="1:18" ht="16.8" customHeight="1" x14ac:dyDescent="0.3">
      <c r="A5389" s="151" t="s">
        <v>4652</v>
      </c>
      <c r="B5389" s="5">
        <f t="shared" si="1198"/>
        <v>5</v>
      </c>
      <c r="C5389" s="5">
        <f t="shared" si="1199"/>
        <v>2026</v>
      </c>
      <c r="D5389" s="150" t="s">
        <v>4685</v>
      </c>
      <c r="E5389" s="5" t="str">
        <f>VLOOKUP(F5389,'Set up'!$A$2:$C$100,2,FALSE)</f>
        <v>C00000044</v>
      </c>
      <c r="F5389" s="150" t="s">
        <v>2929</v>
      </c>
      <c r="G5389" s="150" t="s">
        <v>3122</v>
      </c>
      <c r="H5389" s="150">
        <v>1</v>
      </c>
      <c r="I5389" s="5" t="str">
        <f>VLOOKUP(F5389,'Set up'!$A$2:$C$100,3,FALSE)</f>
        <v>Cash</v>
      </c>
      <c r="J5389" s="5">
        <f>VLOOKUP(F5389,'Set up'!$A$2:$D$100,4,FALSE)</f>
        <v>0</v>
      </c>
      <c r="K5389" s="4">
        <f t="shared" si="1200"/>
        <v>46167</v>
      </c>
      <c r="L5389" s="5">
        <f t="shared" si="1201"/>
        <v>5</v>
      </c>
      <c r="M5389" s="5">
        <f t="shared" si="1202"/>
        <v>2026</v>
      </c>
      <c r="N5389" s="156">
        <v>1912.5</v>
      </c>
      <c r="P5389" s="12"/>
      <c r="Q5389" s="7">
        <f t="shared" si="1203"/>
        <v>8337071.4500000132</v>
      </c>
      <c r="R5389" s="44" t="str">
        <f>VLOOKUP(F5389,'Set up'!$A$2:$E$100,5,FALSE)</f>
        <v>Cash</v>
      </c>
    </row>
    <row r="5390" spans="1:18" ht="16.8" customHeight="1" x14ac:dyDescent="0.3">
      <c r="A5390" s="151" t="s">
        <v>4652</v>
      </c>
      <c r="B5390" s="5">
        <f t="shared" si="1198"/>
        <v>5</v>
      </c>
      <c r="C5390" s="5">
        <f t="shared" si="1199"/>
        <v>2026</v>
      </c>
      <c r="D5390" s="150" t="s">
        <v>4685</v>
      </c>
      <c r="E5390" s="5" t="str">
        <f>VLOOKUP(F5390,'Set up'!$A$2:$C$100,2,FALSE)</f>
        <v>C00000044</v>
      </c>
      <c r="F5390" s="150" t="s">
        <v>2929</v>
      </c>
      <c r="G5390" s="150" t="s">
        <v>2570</v>
      </c>
      <c r="H5390" s="150">
        <v>2</v>
      </c>
      <c r="I5390" s="5" t="str">
        <f>VLOOKUP(F5390,'Set up'!$A$2:$C$100,3,FALSE)</f>
        <v>Cash</v>
      </c>
      <c r="J5390" s="5">
        <f>VLOOKUP(F5390,'Set up'!$A$2:$D$100,4,FALSE)</f>
        <v>0</v>
      </c>
      <c r="K5390" s="4">
        <f t="shared" si="1200"/>
        <v>46167</v>
      </c>
      <c r="L5390" s="5">
        <f t="shared" si="1201"/>
        <v>5</v>
      </c>
      <c r="M5390" s="5">
        <f t="shared" si="1202"/>
        <v>2026</v>
      </c>
      <c r="N5390" s="156">
        <v>450</v>
      </c>
      <c r="P5390" s="12"/>
      <c r="Q5390" s="7">
        <f t="shared" si="1203"/>
        <v>8338863.9500000132</v>
      </c>
      <c r="R5390" s="44" t="str">
        <f>VLOOKUP(F5390,'Set up'!$A$2:$E$100,5,FALSE)</f>
        <v>Cash</v>
      </c>
    </row>
    <row r="5391" spans="1:18" ht="16.8" customHeight="1" x14ac:dyDescent="0.3">
      <c r="A5391" s="151" t="s">
        <v>4652</v>
      </c>
      <c r="B5391" s="5">
        <f t="shared" si="1198"/>
        <v>5</v>
      </c>
      <c r="C5391" s="5">
        <f t="shared" si="1199"/>
        <v>2026</v>
      </c>
      <c r="D5391" s="150" t="s">
        <v>4685</v>
      </c>
      <c r="E5391" s="5" t="str">
        <f>VLOOKUP(F5391,'Set up'!$A$2:$C$100,2,FALSE)</f>
        <v>C00000044</v>
      </c>
      <c r="F5391" s="150" t="s">
        <v>2929</v>
      </c>
      <c r="G5391" s="150" t="s">
        <v>4695</v>
      </c>
      <c r="H5391" s="150">
        <v>1</v>
      </c>
      <c r="I5391" s="5" t="str">
        <f>VLOOKUP(F5391,'Set up'!$A$2:$C$100,3,FALSE)</f>
        <v>Cash</v>
      </c>
      <c r="J5391" s="5">
        <f>VLOOKUP(F5391,'Set up'!$A$2:$D$100,4,FALSE)</f>
        <v>0</v>
      </c>
      <c r="K5391" s="4">
        <f t="shared" si="1200"/>
        <v>46167</v>
      </c>
      <c r="L5391" s="5">
        <f t="shared" si="1201"/>
        <v>5</v>
      </c>
      <c r="M5391" s="5">
        <f t="shared" si="1202"/>
        <v>2026</v>
      </c>
      <c r="N5391" s="156">
        <v>115</v>
      </c>
      <c r="P5391" s="12"/>
      <c r="Q5391" s="7">
        <f t="shared" si="1203"/>
        <v>8336478.3500000136</v>
      </c>
      <c r="R5391" s="44" t="str">
        <f>VLOOKUP(F5391,'Set up'!$A$2:$E$100,5,FALSE)</f>
        <v>Cash</v>
      </c>
    </row>
    <row r="5392" spans="1:18" ht="16.8" customHeight="1" x14ac:dyDescent="0.3">
      <c r="A5392" s="151" t="s">
        <v>4653</v>
      </c>
      <c r="B5392" s="5">
        <f t="shared" si="1198"/>
        <v>5</v>
      </c>
      <c r="C5392" s="5">
        <f t="shared" si="1199"/>
        <v>2026</v>
      </c>
      <c r="D5392" s="150" t="s">
        <v>4686</v>
      </c>
      <c r="E5392" s="5" t="str">
        <f>VLOOKUP(F5392,'Set up'!$A$2:$C$100,2,FALSE)</f>
        <v>C00000049</v>
      </c>
      <c r="F5392" s="150" t="s">
        <v>2728</v>
      </c>
      <c r="G5392" s="150" t="s">
        <v>4696</v>
      </c>
      <c r="H5392" s="150">
        <v>1</v>
      </c>
      <c r="I5392" s="5" t="str">
        <f>VLOOKUP(F5392,'Set up'!$A$2:$C$100,3,FALSE)</f>
        <v>Cash</v>
      </c>
      <c r="J5392" s="5">
        <f>VLOOKUP(F5392,'Set up'!$A$2:$D$100,4,FALSE)</f>
        <v>0</v>
      </c>
      <c r="K5392" s="4">
        <f t="shared" si="1200"/>
        <v>46168</v>
      </c>
      <c r="L5392" s="5">
        <f t="shared" si="1201"/>
        <v>5</v>
      </c>
      <c r="M5392" s="5">
        <f t="shared" si="1202"/>
        <v>2026</v>
      </c>
      <c r="N5392" s="156">
        <v>60</v>
      </c>
      <c r="P5392" s="12"/>
      <c r="Q5392" s="7">
        <f t="shared" si="1203"/>
        <v>8336231.3500000136</v>
      </c>
      <c r="R5392" s="44" t="str">
        <f>VLOOKUP(F5392,'Set up'!$A$2:$E$100,5,FALSE)</f>
        <v>Cash</v>
      </c>
    </row>
    <row r="5393" spans="1:18" ht="16.8" customHeight="1" x14ac:dyDescent="0.3">
      <c r="A5393" s="151" t="s">
        <v>4653</v>
      </c>
      <c r="B5393" s="5">
        <f t="shared" si="1198"/>
        <v>5</v>
      </c>
      <c r="C5393" s="5">
        <f t="shared" si="1199"/>
        <v>2026</v>
      </c>
      <c r="D5393" s="150" t="s">
        <v>4687</v>
      </c>
      <c r="E5393" s="5" t="str">
        <f>VLOOKUP(F5393,'Set up'!$A$2:$C$100,2,FALSE)</f>
        <v>C00000042</v>
      </c>
      <c r="F5393" s="150" t="s">
        <v>2012</v>
      </c>
      <c r="G5393" s="150" t="s">
        <v>3645</v>
      </c>
      <c r="H5393" s="150">
        <v>5</v>
      </c>
      <c r="I5393" s="5" t="str">
        <f>VLOOKUP(F5393,'Set up'!$A$2:$C$100,3,FALSE)</f>
        <v>Cash</v>
      </c>
      <c r="J5393" s="5">
        <f>VLOOKUP(F5393,'Set up'!$A$2:$D$100,4,FALSE)</f>
        <v>0</v>
      </c>
      <c r="K5393" s="4">
        <f t="shared" si="1200"/>
        <v>46168</v>
      </c>
      <c r="L5393" s="5">
        <f t="shared" si="1201"/>
        <v>5</v>
      </c>
      <c r="M5393" s="5">
        <f t="shared" si="1202"/>
        <v>2026</v>
      </c>
      <c r="N5393" s="156">
        <v>9112.5</v>
      </c>
      <c r="P5393" s="12"/>
      <c r="Q5393" s="7">
        <f t="shared" si="1203"/>
        <v>8345403.9500000132</v>
      </c>
      <c r="R5393" s="44" t="str">
        <f>VLOOKUP(F5393,'Set up'!$A$2:$E$100,5,FALSE)</f>
        <v>Trsf</v>
      </c>
    </row>
    <row r="5394" spans="1:18" ht="16.8" customHeight="1" x14ac:dyDescent="0.3">
      <c r="A5394" s="151" t="s">
        <v>4653</v>
      </c>
      <c r="B5394" s="5">
        <f t="shared" si="1198"/>
        <v>5</v>
      </c>
      <c r="C5394" s="5">
        <f t="shared" si="1199"/>
        <v>2026</v>
      </c>
      <c r="D5394" s="150" t="s">
        <v>4687</v>
      </c>
      <c r="E5394" s="5" t="str">
        <f>VLOOKUP(F5394,'Set up'!$A$2:$C$100,2,FALSE)</f>
        <v>C00000042</v>
      </c>
      <c r="F5394" s="150" t="s">
        <v>2012</v>
      </c>
      <c r="G5394" s="150" t="s">
        <v>1392</v>
      </c>
      <c r="H5394" s="150">
        <v>18</v>
      </c>
      <c r="I5394" s="5" t="str">
        <f>VLOOKUP(F5394,'Set up'!$A$2:$C$100,3,FALSE)</f>
        <v>Cash</v>
      </c>
      <c r="J5394" s="5">
        <f>VLOOKUP(F5394,'Set up'!$A$2:$D$100,4,FALSE)</f>
        <v>0</v>
      </c>
      <c r="K5394" s="4">
        <f t="shared" si="1200"/>
        <v>46168</v>
      </c>
      <c r="L5394" s="5">
        <f t="shared" si="1201"/>
        <v>5</v>
      </c>
      <c r="M5394" s="5">
        <f t="shared" si="1202"/>
        <v>2026</v>
      </c>
      <c r="N5394" s="156">
        <v>3132</v>
      </c>
      <c r="P5394" s="12"/>
      <c r="Q5394" s="7">
        <f t="shared" si="1203"/>
        <v>8344030.9500000132</v>
      </c>
      <c r="R5394" s="44" t="str">
        <f>VLOOKUP(F5394,'Set up'!$A$2:$E$100,5,FALSE)</f>
        <v>Trsf</v>
      </c>
    </row>
    <row r="5395" spans="1:18" ht="16.8" customHeight="1" x14ac:dyDescent="0.3">
      <c r="A5395" s="151" t="s">
        <v>4653</v>
      </c>
      <c r="B5395" s="5">
        <f t="shared" si="1198"/>
        <v>5</v>
      </c>
      <c r="C5395" s="5">
        <f t="shared" si="1199"/>
        <v>2026</v>
      </c>
      <c r="D5395" s="150" t="s">
        <v>4687</v>
      </c>
      <c r="E5395" s="5" t="str">
        <f>VLOOKUP(F5395,'Set up'!$A$2:$C$100,2,FALSE)</f>
        <v>C00000042</v>
      </c>
      <c r="F5395" s="150" t="s">
        <v>2012</v>
      </c>
      <c r="G5395" s="150" t="s">
        <v>1922</v>
      </c>
      <c r="H5395" s="150">
        <v>10</v>
      </c>
      <c r="I5395" s="5" t="str">
        <f>VLOOKUP(F5395,'Set up'!$A$2:$C$100,3,FALSE)</f>
        <v>Cash</v>
      </c>
      <c r="J5395" s="5">
        <f>VLOOKUP(F5395,'Set up'!$A$2:$D$100,4,FALSE)</f>
        <v>0</v>
      </c>
      <c r="K5395" s="4">
        <f t="shared" si="1200"/>
        <v>46168</v>
      </c>
      <c r="L5395" s="5">
        <f t="shared" si="1201"/>
        <v>5</v>
      </c>
      <c r="M5395" s="5">
        <f t="shared" si="1202"/>
        <v>2026</v>
      </c>
      <c r="N5395" s="156">
        <v>2070</v>
      </c>
      <c r="P5395" s="12"/>
      <c r="Q5395" s="7">
        <f t="shared" si="1203"/>
        <v>8346314.3500000136</v>
      </c>
      <c r="R5395" s="44" t="str">
        <f>VLOOKUP(F5395,'Set up'!$A$2:$E$100,5,FALSE)</f>
        <v>Trsf</v>
      </c>
    </row>
    <row r="5396" spans="1:18" ht="16.8" customHeight="1" x14ac:dyDescent="0.3">
      <c r="A5396" s="151" t="s">
        <v>4653</v>
      </c>
      <c r="B5396" s="5">
        <f t="shared" si="1198"/>
        <v>5</v>
      </c>
      <c r="C5396" s="5">
        <f t="shared" si="1199"/>
        <v>2026</v>
      </c>
      <c r="D5396" s="150" t="s">
        <v>4687</v>
      </c>
      <c r="E5396" s="5" t="str">
        <f>VLOOKUP(F5396,'Set up'!$A$2:$C$100,2,FALSE)</f>
        <v>C00000042</v>
      </c>
      <c r="F5396" s="150" t="s">
        <v>2012</v>
      </c>
      <c r="G5396" s="150" t="s">
        <v>4695</v>
      </c>
      <c r="H5396" s="150">
        <v>4</v>
      </c>
      <c r="I5396" s="5" t="str">
        <f>VLOOKUP(F5396,'Set up'!$A$2:$C$100,3,FALSE)</f>
        <v>Cash</v>
      </c>
      <c r="J5396" s="5">
        <f>VLOOKUP(F5396,'Set up'!$A$2:$D$100,4,FALSE)</f>
        <v>0</v>
      </c>
      <c r="K5396" s="4">
        <f t="shared" si="1200"/>
        <v>46168</v>
      </c>
      <c r="L5396" s="5">
        <f t="shared" si="1201"/>
        <v>5</v>
      </c>
      <c r="M5396" s="5">
        <f t="shared" si="1202"/>
        <v>2026</v>
      </c>
      <c r="N5396" s="156">
        <v>460</v>
      </c>
      <c r="P5396" s="12"/>
      <c r="Q5396" s="7">
        <f t="shared" si="1203"/>
        <v>8342263.8500000136</v>
      </c>
      <c r="R5396" s="44" t="str">
        <f>VLOOKUP(F5396,'Set up'!$A$2:$E$100,5,FALSE)</f>
        <v>Trsf</v>
      </c>
    </row>
    <row r="5397" spans="1:18" ht="16.8" customHeight="1" x14ac:dyDescent="0.3">
      <c r="A5397" s="151" t="s">
        <v>4654</v>
      </c>
      <c r="B5397" s="5">
        <f t="shared" si="1198"/>
        <v>5</v>
      </c>
      <c r="C5397" s="5">
        <f t="shared" si="1199"/>
        <v>2026</v>
      </c>
      <c r="D5397" s="150" t="s">
        <v>4688</v>
      </c>
      <c r="E5397" s="5" t="e">
        <f>VLOOKUP(F5397,'Set up'!$A$2:$C$100,2,FALSE)</f>
        <v>#N/A</v>
      </c>
      <c r="F5397" s="150" t="s">
        <v>4130</v>
      </c>
      <c r="G5397" s="150" t="s">
        <v>4697</v>
      </c>
      <c r="H5397" s="150">
        <v>1</v>
      </c>
      <c r="I5397" s="5" t="e">
        <f>VLOOKUP(F5397,'Set up'!$A$2:$C$100,3,FALSE)</f>
        <v>#N/A</v>
      </c>
      <c r="J5397" s="5" t="e">
        <f>VLOOKUP(F5397,'Set up'!$A$2:$D$100,4,FALSE)</f>
        <v>#N/A</v>
      </c>
      <c r="K5397" s="4" t="e">
        <f t="shared" si="1200"/>
        <v>#N/A</v>
      </c>
      <c r="L5397" s="5" t="e">
        <f t="shared" si="1201"/>
        <v>#N/A</v>
      </c>
      <c r="M5397" s="5" t="e">
        <f t="shared" si="1202"/>
        <v>#N/A</v>
      </c>
      <c r="N5397" s="156">
        <v>1912.5</v>
      </c>
      <c r="P5397" s="12"/>
      <c r="Q5397" s="7">
        <f t="shared" si="1203"/>
        <v>8342845.4500000132</v>
      </c>
      <c r="R5397" s="44" t="e">
        <f>VLOOKUP(F5397,'Set up'!$A$2:$E$100,5,FALSE)</f>
        <v>#N/A</v>
      </c>
    </row>
    <row r="5398" spans="1:18" ht="16.8" customHeight="1" x14ac:dyDescent="0.3">
      <c r="A5398" s="151" t="s">
        <v>4655</v>
      </c>
      <c r="B5398" s="5">
        <f t="shared" si="1198"/>
        <v>5</v>
      </c>
      <c r="C5398" s="5">
        <f t="shared" si="1199"/>
        <v>2026</v>
      </c>
      <c r="D5398" s="150" t="s">
        <v>4689</v>
      </c>
      <c r="E5398" s="5" t="str">
        <f>VLOOKUP(F5398,'Set up'!$A$2:$C$100,2,FALSE)</f>
        <v>C00000019</v>
      </c>
      <c r="F5398" s="150" t="s">
        <v>400</v>
      </c>
      <c r="G5398" s="150" t="s">
        <v>3122</v>
      </c>
      <c r="H5398" s="150">
        <v>1</v>
      </c>
      <c r="I5398" s="5" t="str">
        <f>VLOOKUP(F5398,'Set up'!$A$2:$C$100,3,FALSE)</f>
        <v>Cash</v>
      </c>
      <c r="J5398" s="5">
        <f>VLOOKUP(F5398,'Set up'!$A$2:$D$100,4,FALSE)</f>
        <v>0</v>
      </c>
      <c r="K5398" s="4">
        <f t="shared" si="1200"/>
        <v>46171</v>
      </c>
      <c r="L5398" s="5">
        <f t="shared" si="1201"/>
        <v>5</v>
      </c>
      <c r="M5398" s="5">
        <f t="shared" si="1202"/>
        <v>2026</v>
      </c>
      <c r="N5398" s="156">
        <v>1935</v>
      </c>
      <c r="P5398" s="12"/>
      <c r="Q5398" s="7">
        <f t="shared" si="1203"/>
        <v>8351511.8500000136</v>
      </c>
      <c r="R5398" s="44" t="str">
        <f>VLOOKUP(F5398,'Set up'!$A$2:$E$100,5,FALSE)</f>
        <v>Trsf</v>
      </c>
    </row>
    <row r="5399" spans="1:18" ht="16.8" customHeight="1" x14ac:dyDescent="0.3">
      <c r="A5399" s="151" t="s">
        <v>4655</v>
      </c>
      <c r="B5399" s="5">
        <f t="shared" si="1198"/>
        <v>5</v>
      </c>
      <c r="C5399" s="5">
        <f t="shared" si="1199"/>
        <v>2026</v>
      </c>
      <c r="D5399" s="150" t="s">
        <v>4689</v>
      </c>
      <c r="E5399" s="5" t="str">
        <f>VLOOKUP(F5399,'Set up'!$A$2:$C$100,2,FALSE)</f>
        <v>C00000019</v>
      </c>
      <c r="F5399" s="150" t="s">
        <v>400</v>
      </c>
      <c r="G5399" s="150" t="s">
        <v>3639</v>
      </c>
      <c r="H5399" s="150">
        <v>1</v>
      </c>
      <c r="I5399" s="5" t="str">
        <f>VLOOKUP(F5399,'Set up'!$A$2:$C$100,3,FALSE)</f>
        <v>Cash</v>
      </c>
      <c r="J5399" s="5">
        <f>VLOOKUP(F5399,'Set up'!$A$2:$D$100,4,FALSE)</f>
        <v>0</v>
      </c>
      <c r="K5399" s="4">
        <f t="shared" si="1200"/>
        <v>46171</v>
      </c>
      <c r="L5399" s="5">
        <f t="shared" si="1201"/>
        <v>5</v>
      </c>
      <c r="M5399" s="5">
        <f t="shared" si="1202"/>
        <v>2026</v>
      </c>
      <c r="N5399" s="156">
        <v>482.4</v>
      </c>
      <c r="P5399" s="12"/>
      <c r="Q5399" s="7">
        <f t="shared" si="1203"/>
        <v>8350362.750000014</v>
      </c>
      <c r="R5399" s="44" t="str">
        <f>VLOOKUP(F5399,'Set up'!$A$2:$E$100,5,FALSE)</f>
        <v>Trsf</v>
      </c>
    </row>
    <row r="5400" spans="1:18" ht="16.8" customHeight="1" x14ac:dyDescent="0.3">
      <c r="A5400" s="151" t="s">
        <v>4655</v>
      </c>
      <c r="B5400" s="5">
        <f t="shared" si="1198"/>
        <v>5</v>
      </c>
      <c r="C5400" s="5">
        <f t="shared" si="1199"/>
        <v>2026</v>
      </c>
      <c r="D5400" s="150" t="s">
        <v>4689</v>
      </c>
      <c r="E5400" s="5" t="str">
        <f>VLOOKUP(F5400,'Set up'!$A$2:$C$100,2,FALSE)</f>
        <v>C00000019</v>
      </c>
      <c r="F5400" s="150" t="s">
        <v>400</v>
      </c>
      <c r="G5400" s="150" t="s">
        <v>945</v>
      </c>
      <c r="H5400" s="150">
        <v>1</v>
      </c>
      <c r="I5400" s="5" t="str">
        <f>VLOOKUP(F5400,'Set up'!$A$2:$C$100,3,FALSE)</f>
        <v>Cash</v>
      </c>
      <c r="J5400" s="5">
        <f>VLOOKUP(F5400,'Set up'!$A$2:$D$100,4,FALSE)</f>
        <v>0</v>
      </c>
      <c r="K5400" s="4">
        <f t="shared" si="1200"/>
        <v>46171</v>
      </c>
      <c r="L5400" s="5">
        <f t="shared" si="1201"/>
        <v>5</v>
      </c>
      <c r="M5400" s="5">
        <f t="shared" si="1202"/>
        <v>2026</v>
      </c>
      <c r="N5400" s="156">
        <v>115</v>
      </c>
      <c r="P5400" s="12"/>
      <c r="Q5400" s="7">
        <f t="shared" si="1203"/>
        <v>8350521.3500000136</v>
      </c>
      <c r="R5400" s="44" t="str">
        <f>VLOOKUP(F5400,'Set up'!$A$2:$E$100,5,FALSE)</f>
        <v>Trsf</v>
      </c>
    </row>
    <row r="5401" spans="1:18" ht="16.8" customHeight="1" x14ac:dyDescent="0.3">
      <c r="A5401" s="151" t="s">
        <v>4655</v>
      </c>
      <c r="B5401" s="5">
        <f t="shared" si="1198"/>
        <v>5</v>
      </c>
      <c r="C5401" s="5">
        <f t="shared" si="1199"/>
        <v>2026</v>
      </c>
      <c r="D5401" s="150" t="s">
        <v>4689</v>
      </c>
      <c r="E5401" s="5" t="str">
        <f>VLOOKUP(F5401,'Set up'!$A$2:$C$100,2,FALSE)</f>
        <v>C00000019</v>
      </c>
      <c r="F5401" s="150" t="s">
        <v>400</v>
      </c>
      <c r="G5401" s="150" t="s">
        <v>894</v>
      </c>
      <c r="H5401" s="150">
        <v>1</v>
      </c>
      <c r="I5401" s="5" t="str">
        <f>VLOOKUP(F5401,'Set up'!$A$2:$C$100,3,FALSE)</f>
        <v>Cash</v>
      </c>
      <c r="J5401" s="5">
        <f>VLOOKUP(F5401,'Set up'!$A$2:$D$100,4,FALSE)</f>
        <v>0</v>
      </c>
      <c r="K5401" s="4">
        <f t="shared" si="1200"/>
        <v>46171</v>
      </c>
      <c r="L5401" s="5">
        <f t="shared" si="1201"/>
        <v>5</v>
      </c>
      <c r="M5401" s="5">
        <f t="shared" si="1202"/>
        <v>2026</v>
      </c>
      <c r="N5401" s="156">
        <v>160</v>
      </c>
      <c r="P5401" s="12"/>
      <c r="Q5401" s="7">
        <f t="shared" si="1203"/>
        <v>8350862.3500000136</v>
      </c>
      <c r="R5401" s="44" t="str">
        <f>VLOOKUP(F5401,'Set up'!$A$2:$E$100,5,FALSE)</f>
        <v>Trsf</v>
      </c>
    </row>
    <row r="5402" spans="1:18" ht="16.8" customHeight="1" x14ac:dyDescent="0.3">
      <c r="A5402" s="151" t="s">
        <v>4655</v>
      </c>
      <c r="B5402" s="5">
        <f t="shared" si="1198"/>
        <v>5</v>
      </c>
      <c r="C5402" s="5">
        <f t="shared" si="1199"/>
        <v>2026</v>
      </c>
      <c r="D5402" s="150" t="s">
        <v>4690</v>
      </c>
      <c r="E5402" s="5" t="str">
        <f>VLOOKUP(F5402,'Set up'!$A$2:$C$100,2,FALSE)</f>
        <v>C00000042</v>
      </c>
      <c r="F5402" s="150" t="s">
        <v>2012</v>
      </c>
      <c r="G5402" s="150" t="s">
        <v>3645</v>
      </c>
      <c r="H5402" s="150">
        <v>2</v>
      </c>
      <c r="I5402" s="5" t="str">
        <f>VLOOKUP(F5402,'Set up'!$A$2:$C$100,3,FALSE)</f>
        <v>Cash</v>
      </c>
      <c r="J5402" s="5">
        <f>VLOOKUP(F5402,'Set up'!$A$2:$D$100,4,FALSE)</f>
        <v>0</v>
      </c>
      <c r="K5402" s="4">
        <f t="shared" si="1200"/>
        <v>46171</v>
      </c>
      <c r="L5402" s="5">
        <f t="shared" si="1201"/>
        <v>5</v>
      </c>
      <c r="M5402" s="5">
        <f t="shared" si="1202"/>
        <v>2026</v>
      </c>
      <c r="N5402" s="156">
        <v>3645</v>
      </c>
      <c r="P5402" s="12"/>
      <c r="Q5402" s="7">
        <f t="shared" si="1203"/>
        <v>8355273.3500000136</v>
      </c>
      <c r="R5402" s="44" t="str">
        <f>VLOOKUP(F5402,'Set up'!$A$2:$E$100,5,FALSE)</f>
        <v>Trsf</v>
      </c>
    </row>
    <row r="5403" spans="1:18" ht="16.8" customHeight="1" x14ac:dyDescent="0.3">
      <c r="A5403" s="151" t="s">
        <v>4655</v>
      </c>
      <c r="B5403" s="5">
        <f t="shared" si="1198"/>
        <v>5</v>
      </c>
      <c r="C5403" s="5">
        <f t="shared" si="1199"/>
        <v>2026</v>
      </c>
      <c r="D5403" s="150" t="s">
        <v>4690</v>
      </c>
      <c r="E5403" s="5" t="str">
        <f>VLOOKUP(F5403,'Set up'!$A$2:$C$100,2,FALSE)</f>
        <v>C00000042</v>
      </c>
      <c r="F5403" s="150" t="s">
        <v>2012</v>
      </c>
      <c r="G5403" s="150" t="s">
        <v>4356</v>
      </c>
      <c r="H5403" s="150">
        <v>5</v>
      </c>
      <c r="I5403" s="5" t="str">
        <f>VLOOKUP(F5403,'Set up'!$A$2:$C$100,3,FALSE)</f>
        <v>Cash</v>
      </c>
      <c r="J5403" s="5">
        <f>VLOOKUP(F5403,'Set up'!$A$2:$D$100,4,FALSE)</f>
        <v>0</v>
      </c>
      <c r="K5403" s="4">
        <f t="shared" si="1200"/>
        <v>46171</v>
      </c>
      <c r="L5403" s="5">
        <f t="shared" si="1201"/>
        <v>5</v>
      </c>
      <c r="M5403" s="5">
        <f t="shared" si="1202"/>
        <v>2026</v>
      </c>
      <c r="N5403" s="156">
        <v>1073</v>
      </c>
      <c r="P5403" s="12"/>
      <c r="Q5403" s="7">
        <f t="shared" si="1203"/>
        <v>8354672.8500000136</v>
      </c>
      <c r="R5403" s="44" t="str">
        <f>VLOOKUP(F5403,'Set up'!$A$2:$E$100,5,FALSE)</f>
        <v>Trsf</v>
      </c>
    </row>
    <row r="5404" spans="1:18" ht="16.8" customHeight="1" x14ac:dyDescent="0.3">
      <c r="A5404" s="151" t="s">
        <v>4655</v>
      </c>
      <c r="B5404" s="5">
        <f t="shared" si="1198"/>
        <v>5</v>
      </c>
      <c r="C5404" s="5">
        <f t="shared" si="1199"/>
        <v>2026</v>
      </c>
      <c r="D5404" s="150" t="s">
        <v>4690</v>
      </c>
      <c r="E5404" s="5" t="str">
        <f>VLOOKUP(F5404,'Set up'!$A$2:$C$100,2,FALSE)</f>
        <v>C00000042</v>
      </c>
      <c r="F5404" s="150" t="s">
        <v>2012</v>
      </c>
      <c r="G5404" s="150" t="s">
        <v>1922</v>
      </c>
      <c r="H5404" s="150">
        <v>3</v>
      </c>
      <c r="I5404" s="5" t="str">
        <f>VLOOKUP(F5404,'Set up'!$A$2:$C$100,3,FALSE)</f>
        <v>Cash</v>
      </c>
      <c r="J5404" s="5">
        <f>VLOOKUP(F5404,'Set up'!$A$2:$D$100,4,FALSE)</f>
        <v>0</v>
      </c>
      <c r="K5404" s="4">
        <f t="shared" si="1200"/>
        <v>46171</v>
      </c>
      <c r="L5404" s="5">
        <f t="shared" si="1201"/>
        <v>5</v>
      </c>
      <c r="M5404" s="5">
        <f t="shared" si="1202"/>
        <v>2026</v>
      </c>
      <c r="N5404" s="156">
        <v>621</v>
      </c>
      <c r="P5404" s="12"/>
      <c r="Q5404" s="7">
        <f t="shared" si="1203"/>
        <v>8359502.8500000136</v>
      </c>
      <c r="R5404" s="44" t="str">
        <f>VLOOKUP(F5404,'Set up'!$A$2:$E$100,5,FALSE)</f>
        <v>Trsf</v>
      </c>
    </row>
    <row r="5405" spans="1:18" ht="16.8" customHeight="1" x14ac:dyDescent="0.3">
      <c r="A5405" s="151" t="s">
        <v>4655</v>
      </c>
      <c r="B5405" s="5">
        <f t="shared" si="1198"/>
        <v>5</v>
      </c>
      <c r="C5405" s="5">
        <f t="shared" si="1199"/>
        <v>2026</v>
      </c>
      <c r="D5405" s="150" t="s">
        <v>4690</v>
      </c>
      <c r="E5405" s="5" t="str">
        <f>VLOOKUP(F5405,'Set up'!$A$2:$C$100,2,FALSE)</f>
        <v>C00000042</v>
      </c>
      <c r="F5405" s="150" t="s">
        <v>2012</v>
      </c>
      <c r="G5405" s="150" t="s">
        <v>4695</v>
      </c>
      <c r="H5405" s="150">
        <v>4</v>
      </c>
      <c r="I5405" s="5" t="str">
        <f>VLOOKUP(F5405,'Set up'!$A$2:$C$100,3,FALSE)</f>
        <v>Cash</v>
      </c>
      <c r="J5405" s="5">
        <f>VLOOKUP(F5405,'Set up'!$A$2:$D$100,4,FALSE)</f>
        <v>0</v>
      </c>
      <c r="K5405" s="4">
        <f t="shared" si="1200"/>
        <v>46171</v>
      </c>
      <c r="L5405" s="5">
        <f t="shared" si="1201"/>
        <v>5</v>
      </c>
      <c r="M5405" s="5">
        <f t="shared" si="1202"/>
        <v>2026</v>
      </c>
      <c r="N5405" s="156">
        <v>460</v>
      </c>
      <c r="P5405" s="12"/>
      <c r="Q5405" s="7">
        <f t="shared" si="1203"/>
        <v>8354694.750000014</v>
      </c>
      <c r="R5405" s="44" t="str">
        <f>VLOOKUP(F5405,'Set up'!$A$2:$E$100,5,FALSE)</f>
        <v>Trsf</v>
      </c>
    </row>
    <row r="5406" spans="1:18" ht="16.8" customHeight="1" x14ac:dyDescent="0.3">
      <c r="A5406" s="150" t="s">
        <v>4708</v>
      </c>
      <c r="B5406" s="5">
        <f t="shared" ref="B5406" si="1204">MONTH(A5406)</f>
        <v>6</v>
      </c>
      <c r="C5406" s="5">
        <f t="shared" ref="C5406" si="1205">YEAR(A5406)</f>
        <v>2026</v>
      </c>
      <c r="D5406" s="150" t="s">
        <v>4729</v>
      </c>
      <c r="E5406" s="5" t="str">
        <f>VLOOKUP(F5406,'Set up'!$A$2:$C$100,2,FALSE)</f>
        <v>C00000042</v>
      </c>
      <c r="F5406" s="150" t="s">
        <v>2012</v>
      </c>
      <c r="G5406" s="150" t="s">
        <v>3645</v>
      </c>
      <c r="H5406" s="150">
        <v>5</v>
      </c>
      <c r="I5406" s="5" t="str">
        <f>VLOOKUP(F5406,'Set up'!$A$2:$C$100,3,FALSE)</f>
        <v>Cash</v>
      </c>
      <c r="J5406" s="5">
        <f>VLOOKUP(F5406,'Set up'!$A$2:$D$100,4,FALSE)</f>
        <v>0</v>
      </c>
      <c r="K5406" s="4">
        <f t="shared" ref="K5406" si="1206">A5406+J5406</f>
        <v>46175</v>
      </c>
      <c r="L5406" s="5">
        <f t="shared" ref="L5406" si="1207">MONTH(K5406)</f>
        <v>6</v>
      </c>
      <c r="M5406" s="5">
        <f t="shared" ref="M5406" si="1208">YEAR(K5406)</f>
        <v>2026</v>
      </c>
      <c r="N5406" s="168">
        <v>9112.5</v>
      </c>
      <c r="P5406" s="12"/>
      <c r="Q5406" s="7">
        <f t="shared" ref="Q5406" si="1209">SUM(Q5312+N5406)</f>
        <v>8364137.3500000136</v>
      </c>
      <c r="R5406" s="44" t="str">
        <f>VLOOKUP(F5406,'Set up'!$A$2:$E$100,5,FALSE)</f>
        <v>Trsf</v>
      </c>
    </row>
    <row r="5407" spans="1:18" ht="16.8" customHeight="1" x14ac:dyDescent="0.3">
      <c r="A5407" s="150" t="s">
        <v>4708</v>
      </c>
      <c r="B5407" s="5">
        <f t="shared" ref="B5407:B5470" si="1210">MONTH(A5407)</f>
        <v>6</v>
      </c>
      <c r="C5407" s="5">
        <f t="shared" ref="C5407:C5470" si="1211">YEAR(A5407)</f>
        <v>2026</v>
      </c>
      <c r="D5407" s="150" t="s">
        <v>4729</v>
      </c>
      <c r="E5407" s="5" t="str">
        <f>VLOOKUP(F5407,'Set up'!$A$2:$C$100,2,FALSE)</f>
        <v>C00000042</v>
      </c>
      <c r="F5407" s="150" t="s">
        <v>2012</v>
      </c>
      <c r="G5407" s="150" t="s">
        <v>4356</v>
      </c>
      <c r="H5407" s="150">
        <v>15</v>
      </c>
      <c r="I5407" s="5" t="str">
        <f>VLOOKUP(F5407,'Set up'!$A$2:$C$100,3,FALSE)</f>
        <v>Cash</v>
      </c>
      <c r="J5407" s="5">
        <f>VLOOKUP(F5407,'Set up'!$A$2:$D$100,4,FALSE)</f>
        <v>0</v>
      </c>
      <c r="K5407" s="4">
        <f t="shared" ref="K5407:K5470" si="1212">A5407+J5407</f>
        <v>46175</v>
      </c>
      <c r="L5407" s="5">
        <f t="shared" ref="L5407:L5470" si="1213">MONTH(K5407)</f>
        <v>6</v>
      </c>
      <c r="M5407" s="5">
        <f t="shared" ref="M5407:M5470" si="1214">YEAR(K5407)</f>
        <v>2026</v>
      </c>
      <c r="N5407" s="168">
        <v>3219</v>
      </c>
      <c r="P5407" s="12"/>
      <c r="Q5407" s="7">
        <f t="shared" ref="Q5407:Q5470" si="1215">SUM(Q5313+N5407)</f>
        <v>8366098.0500000138</v>
      </c>
      <c r="R5407" s="44" t="str">
        <f>VLOOKUP(F5407,'Set up'!$A$2:$E$100,5,FALSE)</f>
        <v>Trsf</v>
      </c>
    </row>
    <row r="5408" spans="1:18" ht="16.8" customHeight="1" x14ac:dyDescent="0.3">
      <c r="A5408" s="150" t="s">
        <v>4708</v>
      </c>
      <c r="B5408" s="5">
        <f t="shared" si="1210"/>
        <v>6</v>
      </c>
      <c r="C5408" s="5">
        <f t="shared" si="1211"/>
        <v>2026</v>
      </c>
      <c r="D5408" s="150" t="s">
        <v>4729</v>
      </c>
      <c r="E5408" s="5" t="str">
        <f>VLOOKUP(F5408,'Set up'!$A$2:$C$100,2,FALSE)</f>
        <v>C00000042</v>
      </c>
      <c r="F5408" s="150" t="s">
        <v>2012</v>
      </c>
      <c r="G5408" s="150" t="s">
        <v>1922</v>
      </c>
      <c r="H5408" s="150">
        <v>10</v>
      </c>
      <c r="I5408" s="5" t="str">
        <f>VLOOKUP(F5408,'Set up'!$A$2:$C$100,3,FALSE)</f>
        <v>Cash</v>
      </c>
      <c r="J5408" s="5">
        <f>VLOOKUP(F5408,'Set up'!$A$2:$D$100,4,FALSE)</f>
        <v>0</v>
      </c>
      <c r="K5408" s="4">
        <f t="shared" si="1212"/>
        <v>46175</v>
      </c>
      <c r="L5408" s="5">
        <f t="shared" si="1213"/>
        <v>6</v>
      </c>
      <c r="M5408" s="5">
        <f t="shared" si="1214"/>
        <v>2026</v>
      </c>
      <c r="N5408" s="168">
        <v>2070</v>
      </c>
      <c r="P5408" s="12"/>
      <c r="Q5408" s="7">
        <f t="shared" si="1215"/>
        <v>8364586.750000014</v>
      </c>
      <c r="R5408" s="44" t="str">
        <f>VLOOKUP(F5408,'Set up'!$A$2:$E$100,5,FALSE)</f>
        <v>Trsf</v>
      </c>
    </row>
    <row r="5409" spans="1:18" ht="16.8" customHeight="1" x14ac:dyDescent="0.3">
      <c r="A5409" s="150" t="s">
        <v>4708</v>
      </c>
      <c r="B5409" s="5">
        <f t="shared" si="1210"/>
        <v>6</v>
      </c>
      <c r="C5409" s="5">
        <f t="shared" si="1211"/>
        <v>2026</v>
      </c>
      <c r="D5409" s="150" t="s">
        <v>4729</v>
      </c>
      <c r="E5409" s="5" t="str">
        <f>VLOOKUP(F5409,'Set up'!$A$2:$C$100,2,FALSE)</f>
        <v>C00000042</v>
      </c>
      <c r="F5409" s="150" t="s">
        <v>2012</v>
      </c>
      <c r="G5409" s="150" t="s">
        <v>4691</v>
      </c>
      <c r="H5409" s="150">
        <v>1</v>
      </c>
      <c r="I5409" s="5" t="str">
        <f>VLOOKUP(F5409,'Set up'!$A$2:$C$100,3,FALSE)</f>
        <v>Cash</v>
      </c>
      <c r="J5409" s="5">
        <f>VLOOKUP(F5409,'Set up'!$A$2:$D$100,4,FALSE)</f>
        <v>0</v>
      </c>
      <c r="K5409" s="4">
        <f t="shared" si="1212"/>
        <v>46175</v>
      </c>
      <c r="L5409" s="5">
        <f t="shared" si="1213"/>
        <v>6</v>
      </c>
      <c r="M5409" s="5">
        <f t="shared" si="1214"/>
        <v>2026</v>
      </c>
      <c r="N5409" s="168">
        <v>950</v>
      </c>
      <c r="P5409" s="12"/>
      <c r="Q5409" s="7">
        <f t="shared" si="1215"/>
        <v>8359897.5500000138</v>
      </c>
      <c r="R5409" s="44" t="str">
        <f>VLOOKUP(F5409,'Set up'!$A$2:$E$100,5,FALSE)</f>
        <v>Trsf</v>
      </c>
    </row>
    <row r="5410" spans="1:18" ht="16.8" customHeight="1" x14ac:dyDescent="0.3">
      <c r="A5410" s="150" t="s">
        <v>4709</v>
      </c>
      <c r="B5410" s="5">
        <f t="shared" si="1210"/>
        <v>6</v>
      </c>
      <c r="C5410" s="5">
        <f t="shared" si="1211"/>
        <v>2026</v>
      </c>
      <c r="D5410" s="150" t="s">
        <v>4730</v>
      </c>
      <c r="E5410" s="5" t="str">
        <f>VLOOKUP(F5410,'Set up'!$A$2:$C$100,2,FALSE)</f>
        <v>C00000049</v>
      </c>
      <c r="F5410" s="150" t="s">
        <v>2728</v>
      </c>
      <c r="G5410" s="150" t="s">
        <v>4698</v>
      </c>
      <c r="H5410" s="150">
        <v>1</v>
      </c>
      <c r="I5410" s="5" t="str">
        <f>VLOOKUP(F5410,'Set up'!$A$2:$C$100,3,FALSE)</f>
        <v>Cash</v>
      </c>
      <c r="J5410" s="5">
        <f>VLOOKUP(F5410,'Set up'!$A$2:$D$100,4,FALSE)</f>
        <v>0</v>
      </c>
      <c r="K5410" s="4">
        <f t="shared" si="1212"/>
        <v>46177</v>
      </c>
      <c r="L5410" s="5">
        <f t="shared" si="1213"/>
        <v>6</v>
      </c>
      <c r="M5410" s="5">
        <f t="shared" si="1214"/>
        <v>2026</v>
      </c>
      <c r="N5410" s="168">
        <v>375</v>
      </c>
      <c r="P5410" s="12"/>
      <c r="Q5410" s="7">
        <f t="shared" si="1215"/>
        <v>8358393.5500000138</v>
      </c>
      <c r="R5410" s="44" t="str">
        <f>VLOOKUP(F5410,'Set up'!$A$2:$E$100,5,FALSE)</f>
        <v>Cash</v>
      </c>
    </row>
    <row r="5411" spans="1:18" ht="16.8" customHeight="1" x14ac:dyDescent="0.3">
      <c r="A5411" s="150" t="s">
        <v>4709</v>
      </c>
      <c r="B5411" s="5">
        <f t="shared" si="1210"/>
        <v>6</v>
      </c>
      <c r="C5411" s="5">
        <f t="shared" si="1211"/>
        <v>2026</v>
      </c>
      <c r="D5411" s="150" t="s">
        <v>4730</v>
      </c>
      <c r="E5411" s="5" t="str">
        <f>VLOOKUP(F5411,'Set up'!$A$2:$C$100,2,FALSE)</f>
        <v>C00000049</v>
      </c>
      <c r="F5411" s="150" t="s">
        <v>2728</v>
      </c>
      <c r="G5411" s="150" t="s">
        <v>46</v>
      </c>
      <c r="H5411" s="150">
        <v>1</v>
      </c>
      <c r="I5411" s="5" t="str">
        <f>VLOOKUP(F5411,'Set up'!$A$2:$C$100,3,FALSE)</f>
        <v>Cash</v>
      </c>
      <c r="J5411" s="5">
        <f>VLOOKUP(F5411,'Set up'!$A$2:$D$100,4,FALSE)</f>
        <v>0</v>
      </c>
      <c r="K5411" s="4">
        <f t="shared" si="1212"/>
        <v>46177</v>
      </c>
      <c r="L5411" s="5">
        <f t="shared" si="1213"/>
        <v>6</v>
      </c>
      <c r="M5411" s="5">
        <f t="shared" si="1214"/>
        <v>2026</v>
      </c>
      <c r="N5411" s="168">
        <v>120</v>
      </c>
      <c r="P5411" s="12"/>
      <c r="Q5411" s="7">
        <f t="shared" si="1215"/>
        <v>8360388.5500000138</v>
      </c>
      <c r="R5411" s="44" t="str">
        <f>VLOOKUP(F5411,'Set up'!$A$2:$E$100,5,FALSE)</f>
        <v>Cash</v>
      </c>
    </row>
    <row r="5412" spans="1:18" ht="16.8" customHeight="1" x14ac:dyDescent="0.3">
      <c r="A5412" s="150" t="s">
        <v>4710</v>
      </c>
      <c r="B5412" s="5">
        <f t="shared" si="1210"/>
        <v>6</v>
      </c>
      <c r="C5412" s="5">
        <f t="shared" si="1211"/>
        <v>2026</v>
      </c>
      <c r="D5412" s="150" t="s">
        <v>4731</v>
      </c>
      <c r="E5412" s="5" t="e">
        <f>VLOOKUP(F5412,'Set up'!$A$2:$C$100,2,FALSE)</f>
        <v>#N/A</v>
      </c>
      <c r="F5412" s="150" t="s">
        <v>4705</v>
      </c>
      <c r="G5412" s="150" t="s">
        <v>3122</v>
      </c>
      <c r="H5412" s="150">
        <v>1</v>
      </c>
      <c r="I5412" s="5" t="e">
        <f>VLOOKUP(F5412,'Set up'!$A$2:$C$100,3,FALSE)</f>
        <v>#N/A</v>
      </c>
      <c r="J5412" s="5" t="e">
        <f>VLOOKUP(F5412,'Set up'!$A$2:$D$100,4,FALSE)</f>
        <v>#N/A</v>
      </c>
      <c r="K5412" s="4" t="e">
        <f t="shared" si="1212"/>
        <v>#N/A</v>
      </c>
      <c r="L5412" s="5" t="e">
        <f t="shared" si="1213"/>
        <v>#N/A</v>
      </c>
      <c r="M5412" s="5" t="e">
        <f t="shared" si="1214"/>
        <v>#N/A</v>
      </c>
      <c r="N5412" s="168">
        <v>1957.5</v>
      </c>
      <c r="P5412" s="12"/>
      <c r="Q5412" s="7">
        <f t="shared" si="1215"/>
        <v>8366135.5500000138</v>
      </c>
      <c r="R5412" s="44" t="e">
        <f>VLOOKUP(F5412,'Set up'!$A$2:$E$100,5,FALSE)</f>
        <v>#N/A</v>
      </c>
    </row>
    <row r="5413" spans="1:18" ht="16.8" customHeight="1" x14ac:dyDescent="0.3">
      <c r="A5413" s="150" t="s">
        <v>4710</v>
      </c>
      <c r="B5413" s="5">
        <f t="shared" si="1210"/>
        <v>6</v>
      </c>
      <c r="C5413" s="5">
        <f t="shared" si="1211"/>
        <v>2026</v>
      </c>
      <c r="D5413" s="150" t="s">
        <v>4731</v>
      </c>
      <c r="E5413" s="5" t="e">
        <f>VLOOKUP(F5413,'Set up'!$A$2:$C$100,2,FALSE)</f>
        <v>#N/A</v>
      </c>
      <c r="F5413" s="150" t="s">
        <v>4705</v>
      </c>
      <c r="G5413" s="150" t="s">
        <v>2523</v>
      </c>
      <c r="H5413" s="150">
        <v>1</v>
      </c>
      <c r="I5413" s="5" t="e">
        <f>VLOOKUP(F5413,'Set up'!$A$2:$C$100,3,FALSE)</f>
        <v>#N/A</v>
      </c>
      <c r="J5413" s="5" t="e">
        <f>VLOOKUP(F5413,'Set up'!$A$2:$D$100,4,FALSE)</f>
        <v>#N/A</v>
      </c>
      <c r="K5413" s="4" t="e">
        <f t="shared" si="1212"/>
        <v>#N/A</v>
      </c>
      <c r="L5413" s="5" t="e">
        <f t="shared" si="1213"/>
        <v>#N/A</v>
      </c>
      <c r="M5413" s="5" t="e">
        <f t="shared" si="1214"/>
        <v>#N/A</v>
      </c>
      <c r="N5413" s="168">
        <v>210</v>
      </c>
      <c r="P5413" s="12"/>
      <c r="Q5413" s="7">
        <f t="shared" si="1215"/>
        <v>8369170.5500000138</v>
      </c>
      <c r="R5413" s="44" t="e">
        <f>VLOOKUP(F5413,'Set up'!$A$2:$E$100,5,FALSE)</f>
        <v>#N/A</v>
      </c>
    </row>
    <row r="5414" spans="1:18" ht="16.8" customHeight="1" x14ac:dyDescent="0.3">
      <c r="A5414" s="150" t="s">
        <v>4710</v>
      </c>
      <c r="B5414" s="5">
        <f t="shared" si="1210"/>
        <v>6</v>
      </c>
      <c r="C5414" s="5">
        <f t="shared" si="1211"/>
        <v>2026</v>
      </c>
      <c r="D5414" s="150" t="s">
        <v>4731</v>
      </c>
      <c r="E5414" s="5" t="e">
        <f>VLOOKUP(F5414,'Set up'!$A$2:$C$100,2,FALSE)</f>
        <v>#N/A</v>
      </c>
      <c r="F5414" s="150" t="s">
        <v>4705</v>
      </c>
      <c r="G5414" s="150" t="s">
        <v>4695</v>
      </c>
      <c r="H5414" s="150">
        <v>1</v>
      </c>
      <c r="I5414" s="5" t="e">
        <f>VLOOKUP(F5414,'Set up'!$A$2:$C$100,3,FALSE)</f>
        <v>#N/A</v>
      </c>
      <c r="J5414" s="5" t="e">
        <f>VLOOKUP(F5414,'Set up'!$A$2:$D$100,4,FALSE)</f>
        <v>#N/A</v>
      </c>
      <c r="K5414" s="4" t="e">
        <f t="shared" si="1212"/>
        <v>#N/A</v>
      </c>
      <c r="L5414" s="5" t="e">
        <f t="shared" si="1213"/>
        <v>#N/A</v>
      </c>
      <c r="M5414" s="5" t="e">
        <f t="shared" si="1214"/>
        <v>#N/A</v>
      </c>
      <c r="N5414" s="168">
        <v>120</v>
      </c>
      <c r="P5414" s="12"/>
      <c r="Q5414" s="7">
        <f t="shared" si="1215"/>
        <v>8369002.3500000136</v>
      </c>
      <c r="R5414" s="44" t="e">
        <f>VLOOKUP(F5414,'Set up'!$A$2:$E$100,5,FALSE)</f>
        <v>#N/A</v>
      </c>
    </row>
    <row r="5415" spans="1:18" ht="16.8" customHeight="1" x14ac:dyDescent="0.3">
      <c r="A5415" s="150" t="s">
        <v>4710</v>
      </c>
      <c r="B5415" s="5">
        <f t="shared" si="1210"/>
        <v>6</v>
      </c>
      <c r="C5415" s="5">
        <f t="shared" si="1211"/>
        <v>2026</v>
      </c>
      <c r="D5415" s="150" t="s">
        <v>4732</v>
      </c>
      <c r="E5415" s="5" t="str">
        <f>VLOOKUP(F5415,'Set up'!$A$2:$C$100,2,FALSE)</f>
        <v>C00000044</v>
      </c>
      <c r="F5415" s="150" t="s">
        <v>2929</v>
      </c>
      <c r="G5415" s="150" t="s">
        <v>3122</v>
      </c>
      <c r="H5415" s="150">
        <v>1</v>
      </c>
      <c r="I5415" s="5" t="str">
        <f>VLOOKUP(F5415,'Set up'!$A$2:$C$100,3,FALSE)</f>
        <v>Cash</v>
      </c>
      <c r="J5415" s="5">
        <f>VLOOKUP(F5415,'Set up'!$A$2:$D$100,4,FALSE)</f>
        <v>0</v>
      </c>
      <c r="K5415" s="4">
        <f t="shared" si="1212"/>
        <v>46178</v>
      </c>
      <c r="L5415" s="5">
        <f t="shared" si="1213"/>
        <v>6</v>
      </c>
      <c r="M5415" s="5">
        <f t="shared" si="1214"/>
        <v>2026</v>
      </c>
      <c r="N5415" s="168">
        <v>1912.5</v>
      </c>
      <c r="P5415" s="12"/>
      <c r="Q5415" s="7">
        <f t="shared" si="1215"/>
        <v>8381101.5500000138</v>
      </c>
      <c r="R5415" s="44" t="str">
        <f>VLOOKUP(F5415,'Set up'!$A$2:$E$100,5,FALSE)</f>
        <v>Cash</v>
      </c>
    </row>
    <row r="5416" spans="1:18" ht="16.8" customHeight="1" x14ac:dyDescent="0.3">
      <c r="A5416" s="150" t="s">
        <v>4710</v>
      </c>
      <c r="B5416" s="5">
        <f t="shared" si="1210"/>
        <v>6</v>
      </c>
      <c r="C5416" s="5">
        <f t="shared" si="1211"/>
        <v>2026</v>
      </c>
      <c r="D5416" s="150" t="s">
        <v>4732</v>
      </c>
      <c r="E5416" s="5" t="str">
        <f>VLOOKUP(F5416,'Set up'!$A$2:$C$100,2,FALSE)</f>
        <v>C00000044</v>
      </c>
      <c r="F5416" s="150" t="s">
        <v>2929</v>
      </c>
      <c r="G5416" s="150" t="s">
        <v>2570</v>
      </c>
      <c r="H5416" s="150">
        <v>2</v>
      </c>
      <c r="I5416" s="5" t="str">
        <f>VLOOKUP(F5416,'Set up'!$A$2:$C$100,3,FALSE)</f>
        <v>Cash</v>
      </c>
      <c r="J5416" s="5">
        <f>VLOOKUP(F5416,'Set up'!$A$2:$D$100,4,FALSE)</f>
        <v>0</v>
      </c>
      <c r="K5416" s="4">
        <f t="shared" si="1212"/>
        <v>46178</v>
      </c>
      <c r="L5416" s="5">
        <f t="shared" si="1213"/>
        <v>6</v>
      </c>
      <c r="M5416" s="5">
        <f t="shared" si="1214"/>
        <v>2026</v>
      </c>
      <c r="N5416" s="168">
        <v>450</v>
      </c>
      <c r="P5416" s="12"/>
      <c r="Q5416" s="7">
        <f t="shared" si="1215"/>
        <v>8381732.8500000136</v>
      </c>
      <c r="R5416" s="44" t="str">
        <f>VLOOKUP(F5416,'Set up'!$A$2:$E$100,5,FALSE)</f>
        <v>Cash</v>
      </c>
    </row>
    <row r="5417" spans="1:18" ht="16.8" customHeight="1" x14ac:dyDescent="0.3">
      <c r="A5417" s="150" t="s">
        <v>4710</v>
      </c>
      <c r="B5417" s="5">
        <f t="shared" si="1210"/>
        <v>6</v>
      </c>
      <c r="C5417" s="5">
        <f t="shared" si="1211"/>
        <v>2026</v>
      </c>
      <c r="D5417" s="150" t="s">
        <v>4732</v>
      </c>
      <c r="E5417" s="5" t="str">
        <f>VLOOKUP(F5417,'Set up'!$A$2:$C$100,2,FALSE)</f>
        <v>C00000044</v>
      </c>
      <c r="F5417" s="150" t="s">
        <v>2929</v>
      </c>
      <c r="G5417" s="150" t="s">
        <v>1627</v>
      </c>
      <c r="H5417" s="150">
        <v>1</v>
      </c>
      <c r="I5417" s="5" t="str">
        <f>VLOOKUP(F5417,'Set up'!$A$2:$C$100,3,FALSE)</f>
        <v>Cash</v>
      </c>
      <c r="J5417" s="5">
        <f>VLOOKUP(F5417,'Set up'!$A$2:$D$100,4,FALSE)</f>
        <v>0</v>
      </c>
      <c r="K5417" s="4">
        <f t="shared" si="1212"/>
        <v>46178</v>
      </c>
      <c r="L5417" s="5">
        <f t="shared" si="1213"/>
        <v>6</v>
      </c>
      <c r="M5417" s="5">
        <f t="shared" si="1214"/>
        <v>2026</v>
      </c>
      <c r="N5417" s="168">
        <v>250</v>
      </c>
      <c r="P5417" s="12"/>
      <c r="Q5417" s="7">
        <f t="shared" si="1215"/>
        <v>8381729.5500000138</v>
      </c>
      <c r="R5417" s="44" t="str">
        <f>VLOOKUP(F5417,'Set up'!$A$2:$E$100,5,FALSE)</f>
        <v>Cash</v>
      </c>
    </row>
    <row r="5418" spans="1:18" ht="16.8" customHeight="1" x14ac:dyDescent="0.3">
      <c r="A5418" s="150" t="s">
        <v>4711</v>
      </c>
      <c r="B5418" s="5">
        <f t="shared" si="1210"/>
        <v>6</v>
      </c>
      <c r="C5418" s="5">
        <f t="shared" si="1211"/>
        <v>2026</v>
      </c>
      <c r="D5418" s="150" t="s">
        <v>4733</v>
      </c>
      <c r="E5418" s="5" t="str">
        <f>VLOOKUP(F5418,'Set up'!$A$2:$C$100,2,FALSE)</f>
        <v>C00000010</v>
      </c>
      <c r="F5418" s="150" t="s">
        <v>62</v>
      </c>
      <c r="G5418" s="150" t="s">
        <v>3140</v>
      </c>
      <c r="H5418" s="150">
        <v>10</v>
      </c>
      <c r="I5418" s="5">
        <f>VLOOKUP(F5418,'Set up'!$A$2:$C$100,3,FALSE)</f>
        <v>120</v>
      </c>
      <c r="J5418" s="5">
        <f>VLOOKUP(F5418,'Set up'!$A$2:$D$100,4,FALSE)</f>
        <v>120</v>
      </c>
      <c r="K5418" s="4">
        <f t="shared" si="1212"/>
        <v>46299</v>
      </c>
      <c r="L5418" s="5">
        <f t="shared" si="1213"/>
        <v>10</v>
      </c>
      <c r="M5418" s="5">
        <f t="shared" si="1214"/>
        <v>2026</v>
      </c>
      <c r="N5418" s="168">
        <v>18225</v>
      </c>
      <c r="P5418" s="12"/>
      <c r="Q5418" s="7">
        <f t="shared" si="1215"/>
        <v>8399126.8500000127</v>
      </c>
      <c r="R5418" s="44" t="str">
        <f>VLOOKUP(F5418,'Set up'!$A$2:$E$100,5,FALSE)</f>
        <v>Trsf</v>
      </c>
    </row>
    <row r="5419" spans="1:18" ht="16.8" customHeight="1" x14ac:dyDescent="0.3">
      <c r="A5419" s="150" t="s">
        <v>4711</v>
      </c>
      <c r="B5419" s="5">
        <f t="shared" si="1210"/>
        <v>6</v>
      </c>
      <c r="C5419" s="5">
        <f t="shared" si="1211"/>
        <v>2026</v>
      </c>
      <c r="D5419" s="150" t="s">
        <v>4733</v>
      </c>
      <c r="E5419" s="5" t="str">
        <f>VLOOKUP(F5419,'Set up'!$A$2:$C$100,2,FALSE)</f>
        <v>C00000010</v>
      </c>
      <c r="F5419" s="150" t="s">
        <v>62</v>
      </c>
      <c r="G5419" s="150" t="s">
        <v>2129</v>
      </c>
      <c r="H5419" s="150">
        <v>15</v>
      </c>
      <c r="I5419" s="5">
        <f>VLOOKUP(F5419,'Set up'!$A$2:$C$100,3,FALSE)</f>
        <v>120</v>
      </c>
      <c r="J5419" s="5">
        <f>VLOOKUP(F5419,'Set up'!$A$2:$D$100,4,FALSE)</f>
        <v>120</v>
      </c>
      <c r="K5419" s="4">
        <f t="shared" si="1212"/>
        <v>46299</v>
      </c>
      <c r="L5419" s="5">
        <f t="shared" si="1213"/>
        <v>10</v>
      </c>
      <c r="M5419" s="5">
        <f t="shared" si="1214"/>
        <v>2026</v>
      </c>
      <c r="N5419" s="168">
        <v>3219</v>
      </c>
      <c r="P5419" s="12"/>
      <c r="Q5419" s="7">
        <f t="shared" si="1215"/>
        <v>8384778.3500000136</v>
      </c>
      <c r="R5419" s="44" t="str">
        <f>VLOOKUP(F5419,'Set up'!$A$2:$E$100,5,FALSE)</f>
        <v>Trsf</v>
      </c>
    </row>
    <row r="5420" spans="1:18" ht="16.8" customHeight="1" x14ac:dyDescent="0.3">
      <c r="A5420" s="150" t="s">
        <v>4711</v>
      </c>
      <c r="B5420" s="5">
        <f t="shared" si="1210"/>
        <v>6</v>
      </c>
      <c r="C5420" s="5">
        <f t="shared" si="1211"/>
        <v>2026</v>
      </c>
      <c r="D5420" s="150" t="s">
        <v>4733</v>
      </c>
      <c r="E5420" s="5" t="str">
        <f>VLOOKUP(F5420,'Set up'!$A$2:$C$100,2,FALSE)</f>
        <v>C00000010</v>
      </c>
      <c r="F5420" s="150" t="s">
        <v>62</v>
      </c>
      <c r="G5420" s="150" t="s">
        <v>4692</v>
      </c>
      <c r="H5420" s="150">
        <v>10</v>
      </c>
      <c r="I5420" s="5">
        <f>VLOOKUP(F5420,'Set up'!$A$2:$C$100,3,FALSE)</f>
        <v>120</v>
      </c>
      <c r="J5420" s="5">
        <f>VLOOKUP(F5420,'Set up'!$A$2:$D$100,4,FALSE)</f>
        <v>120</v>
      </c>
      <c r="K5420" s="4">
        <f t="shared" si="1212"/>
        <v>46299</v>
      </c>
      <c r="L5420" s="5">
        <f t="shared" si="1213"/>
        <v>10</v>
      </c>
      <c r="M5420" s="5">
        <f t="shared" si="1214"/>
        <v>2026</v>
      </c>
      <c r="N5420" s="168">
        <v>575</v>
      </c>
      <c r="P5420" s="12"/>
      <c r="Q5420" s="7">
        <f t="shared" si="1215"/>
        <v>8389395.3500000127</v>
      </c>
      <c r="R5420" s="44" t="str">
        <f>VLOOKUP(F5420,'Set up'!$A$2:$E$100,5,FALSE)</f>
        <v>Trsf</v>
      </c>
    </row>
    <row r="5421" spans="1:18" ht="16.8" customHeight="1" x14ac:dyDescent="0.3">
      <c r="A5421" s="150" t="s">
        <v>4711</v>
      </c>
      <c r="B5421" s="5">
        <f t="shared" si="1210"/>
        <v>6</v>
      </c>
      <c r="C5421" s="5">
        <f t="shared" si="1211"/>
        <v>2026</v>
      </c>
      <c r="D5421" s="150" t="s">
        <v>4733</v>
      </c>
      <c r="E5421" s="5" t="str">
        <f>VLOOKUP(F5421,'Set up'!$A$2:$C$100,2,FALSE)</f>
        <v>C00000010</v>
      </c>
      <c r="F5421" s="150" t="s">
        <v>62</v>
      </c>
      <c r="G5421" s="150" t="s">
        <v>945</v>
      </c>
      <c r="H5421" s="150">
        <v>8</v>
      </c>
      <c r="I5421" s="5">
        <f>VLOOKUP(F5421,'Set up'!$A$2:$C$100,3,FALSE)</f>
        <v>120</v>
      </c>
      <c r="J5421" s="5">
        <f>VLOOKUP(F5421,'Set up'!$A$2:$D$100,4,FALSE)</f>
        <v>120</v>
      </c>
      <c r="K5421" s="4">
        <f t="shared" si="1212"/>
        <v>46299</v>
      </c>
      <c r="L5421" s="5">
        <f t="shared" si="1213"/>
        <v>10</v>
      </c>
      <c r="M5421" s="5">
        <f t="shared" si="1214"/>
        <v>2026</v>
      </c>
      <c r="N5421" s="168">
        <v>920</v>
      </c>
      <c r="P5421" s="12"/>
      <c r="Q5421" s="7">
        <f t="shared" si="1215"/>
        <v>8386985.3500000136</v>
      </c>
      <c r="R5421" s="44" t="str">
        <f>VLOOKUP(F5421,'Set up'!$A$2:$E$100,5,FALSE)</f>
        <v>Trsf</v>
      </c>
    </row>
    <row r="5422" spans="1:18" ht="16.8" customHeight="1" x14ac:dyDescent="0.3">
      <c r="A5422" s="150" t="s">
        <v>4711</v>
      </c>
      <c r="B5422" s="5">
        <f t="shared" si="1210"/>
        <v>6</v>
      </c>
      <c r="C5422" s="5">
        <f t="shared" si="1211"/>
        <v>2026</v>
      </c>
      <c r="D5422" s="150" t="s">
        <v>4733</v>
      </c>
      <c r="E5422" s="5" t="str">
        <f>VLOOKUP(F5422,'Set up'!$A$2:$C$100,2,FALSE)</f>
        <v>C00000010</v>
      </c>
      <c r="F5422" s="150" t="s">
        <v>62</v>
      </c>
      <c r="G5422" s="150" t="s">
        <v>2449</v>
      </c>
      <c r="H5422" s="150">
        <v>1</v>
      </c>
      <c r="I5422" s="5">
        <f>VLOOKUP(F5422,'Set up'!$A$2:$C$100,3,FALSE)</f>
        <v>120</v>
      </c>
      <c r="J5422" s="5">
        <f>VLOOKUP(F5422,'Set up'!$A$2:$D$100,4,FALSE)</f>
        <v>120</v>
      </c>
      <c r="K5422" s="4">
        <f t="shared" si="1212"/>
        <v>46299</v>
      </c>
      <c r="L5422" s="5">
        <f t="shared" si="1213"/>
        <v>10</v>
      </c>
      <c r="M5422" s="5">
        <f t="shared" si="1214"/>
        <v>2026</v>
      </c>
      <c r="N5422" s="168">
        <v>420</v>
      </c>
      <c r="P5422" s="12"/>
      <c r="Q5422" s="7">
        <f t="shared" si="1215"/>
        <v>8385037.8500000136</v>
      </c>
      <c r="R5422" s="44" t="str">
        <f>VLOOKUP(F5422,'Set up'!$A$2:$E$100,5,FALSE)</f>
        <v>Trsf</v>
      </c>
    </row>
    <row r="5423" spans="1:18" ht="16.8" customHeight="1" x14ac:dyDescent="0.3">
      <c r="A5423" s="150" t="s">
        <v>4711</v>
      </c>
      <c r="B5423" s="5">
        <f t="shared" si="1210"/>
        <v>6</v>
      </c>
      <c r="C5423" s="5">
        <f t="shared" si="1211"/>
        <v>2026</v>
      </c>
      <c r="D5423" s="150" t="s">
        <v>4733</v>
      </c>
      <c r="E5423" s="5" t="str">
        <f>VLOOKUP(F5423,'Set up'!$A$2:$C$100,2,FALSE)</f>
        <v>C00000010</v>
      </c>
      <c r="F5423" s="150" t="s">
        <v>62</v>
      </c>
      <c r="G5423" s="150" t="s">
        <v>614</v>
      </c>
      <c r="H5423" s="150">
        <v>1</v>
      </c>
      <c r="I5423" s="5">
        <f>VLOOKUP(F5423,'Set up'!$A$2:$C$100,3,FALSE)</f>
        <v>120</v>
      </c>
      <c r="J5423" s="5">
        <f>VLOOKUP(F5423,'Set up'!$A$2:$D$100,4,FALSE)</f>
        <v>120</v>
      </c>
      <c r="K5423" s="4">
        <f t="shared" si="1212"/>
        <v>46299</v>
      </c>
      <c r="L5423" s="5">
        <f t="shared" si="1213"/>
        <v>10</v>
      </c>
      <c r="M5423" s="5">
        <f t="shared" si="1214"/>
        <v>2026</v>
      </c>
      <c r="N5423" s="168">
        <v>395</v>
      </c>
      <c r="P5423" s="12"/>
      <c r="Q5423" s="7">
        <f t="shared" si="1215"/>
        <v>8390299.3500000127</v>
      </c>
      <c r="R5423" s="44" t="str">
        <f>VLOOKUP(F5423,'Set up'!$A$2:$E$100,5,FALSE)</f>
        <v>Trsf</v>
      </c>
    </row>
    <row r="5424" spans="1:18" ht="16.8" customHeight="1" x14ac:dyDescent="0.3">
      <c r="A5424" s="150" t="s">
        <v>4711</v>
      </c>
      <c r="B5424" s="5">
        <f t="shared" si="1210"/>
        <v>6</v>
      </c>
      <c r="C5424" s="5">
        <f t="shared" si="1211"/>
        <v>2026</v>
      </c>
      <c r="D5424" s="150" t="s">
        <v>4733</v>
      </c>
      <c r="E5424" s="5" t="str">
        <f>VLOOKUP(F5424,'Set up'!$A$2:$C$100,2,FALSE)</f>
        <v>C00000010</v>
      </c>
      <c r="F5424" s="150" t="s">
        <v>62</v>
      </c>
      <c r="G5424" s="150" t="s">
        <v>946</v>
      </c>
      <c r="H5424" s="150">
        <v>8</v>
      </c>
      <c r="I5424" s="5">
        <f>VLOOKUP(F5424,'Set up'!$A$2:$C$100,3,FALSE)</f>
        <v>120</v>
      </c>
      <c r="J5424" s="5">
        <f>VLOOKUP(F5424,'Set up'!$A$2:$D$100,4,FALSE)</f>
        <v>120</v>
      </c>
      <c r="K5424" s="4">
        <f t="shared" si="1212"/>
        <v>46299</v>
      </c>
      <c r="L5424" s="5">
        <f t="shared" si="1213"/>
        <v>10</v>
      </c>
      <c r="M5424" s="5">
        <f t="shared" si="1214"/>
        <v>2026</v>
      </c>
      <c r="N5424" s="168">
        <v>460.8</v>
      </c>
      <c r="P5424" s="12"/>
      <c r="Q5424" s="7">
        <f t="shared" si="1215"/>
        <v>8391507.2500000149</v>
      </c>
      <c r="R5424" s="44" t="str">
        <f>VLOOKUP(F5424,'Set up'!$A$2:$E$100,5,FALSE)</f>
        <v>Trsf</v>
      </c>
    </row>
    <row r="5425" spans="1:18" ht="16.8" customHeight="1" x14ac:dyDescent="0.3">
      <c r="A5425" s="150" t="s">
        <v>4711</v>
      </c>
      <c r="B5425" s="5">
        <f t="shared" si="1210"/>
        <v>6</v>
      </c>
      <c r="C5425" s="5">
        <f t="shared" si="1211"/>
        <v>2026</v>
      </c>
      <c r="D5425" s="150" t="s">
        <v>4733</v>
      </c>
      <c r="E5425" s="5" t="str">
        <f>VLOOKUP(F5425,'Set up'!$A$2:$C$100,2,FALSE)</f>
        <v>C00000010</v>
      </c>
      <c r="F5425" s="150" t="s">
        <v>62</v>
      </c>
      <c r="G5425" s="150" t="s">
        <v>949</v>
      </c>
      <c r="H5425" s="150">
        <v>1</v>
      </c>
      <c r="I5425" s="5">
        <f>VLOOKUP(F5425,'Set up'!$A$2:$C$100,3,FALSE)</f>
        <v>120</v>
      </c>
      <c r="J5425" s="5">
        <f>VLOOKUP(F5425,'Set up'!$A$2:$D$100,4,FALSE)</f>
        <v>120</v>
      </c>
      <c r="K5425" s="4">
        <f t="shared" si="1212"/>
        <v>46299</v>
      </c>
      <c r="L5425" s="5">
        <f t="shared" si="1213"/>
        <v>10</v>
      </c>
      <c r="M5425" s="5">
        <f t="shared" si="1214"/>
        <v>2026</v>
      </c>
      <c r="N5425" s="168">
        <v>696</v>
      </c>
      <c r="P5425" s="12"/>
      <c r="Q5425" s="7">
        <f t="shared" si="1215"/>
        <v>8386503.8500000136</v>
      </c>
      <c r="R5425" s="44" t="str">
        <f>VLOOKUP(F5425,'Set up'!$A$2:$E$100,5,FALSE)</f>
        <v>Trsf</v>
      </c>
    </row>
    <row r="5426" spans="1:18" ht="16.8" customHeight="1" x14ac:dyDescent="0.3">
      <c r="A5426" s="150" t="s">
        <v>4711</v>
      </c>
      <c r="B5426" s="5">
        <f t="shared" si="1210"/>
        <v>6</v>
      </c>
      <c r="C5426" s="5">
        <f t="shared" si="1211"/>
        <v>2026</v>
      </c>
      <c r="D5426" s="150" t="s">
        <v>4734</v>
      </c>
      <c r="E5426" s="5" t="e">
        <f>VLOOKUP(F5426,'Set up'!$A$2:$C$100,2,FALSE)</f>
        <v>#N/A</v>
      </c>
      <c r="F5426" s="150" t="s">
        <v>4130</v>
      </c>
      <c r="G5426" s="150" t="s">
        <v>3122</v>
      </c>
      <c r="H5426" s="150">
        <v>1</v>
      </c>
      <c r="I5426" s="5" t="e">
        <f>VLOOKUP(F5426,'Set up'!$A$2:$C$100,3,FALSE)</f>
        <v>#N/A</v>
      </c>
      <c r="J5426" s="5" t="e">
        <f>VLOOKUP(F5426,'Set up'!$A$2:$D$100,4,FALSE)</f>
        <v>#N/A</v>
      </c>
      <c r="K5426" s="4" t="e">
        <f t="shared" si="1212"/>
        <v>#N/A</v>
      </c>
      <c r="L5426" s="5" t="e">
        <f t="shared" si="1213"/>
        <v>#N/A</v>
      </c>
      <c r="M5426" s="5" t="e">
        <f t="shared" si="1214"/>
        <v>#N/A</v>
      </c>
      <c r="N5426" s="168">
        <v>1912.5</v>
      </c>
      <c r="P5426" s="12"/>
      <c r="Q5426" s="7">
        <f t="shared" si="1215"/>
        <v>8388330.9500000132</v>
      </c>
      <c r="R5426" s="44" t="e">
        <f>VLOOKUP(F5426,'Set up'!$A$2:$E$100,5,FALSE)</f>
        <v>#N/A</v>
      </c>
    </row>
    <row r="5427" spans="1:18" ht="16.8" customHeight="1" x14ac:dyDescent="0.3">
      <c r="A5427" s="150" t="s">
        <v>4711</v>
      </c>
      <c r="B5427" s="5">
        <f t="shared" si="1210"/>
        <v>6</v>
      </c>
      <c r="C5427" s="5">
        <f t="shared" si="1211"/>
        <v>2026</v>
      </c>
      <c r="D5427" s="150" t="s">
        <v>4734</v>
      </c>
      <c r="E5427" s="5" t="e">
        <f>VLOOKUP(F5427,'Set up'!$A$2:$C$100,2,FALSE)</f>
        <v>#N/A</v>
      </c>
      <c r="F5427" s="150" t="s">
        <v>4130</v>
      </c>
      <c r="G5427" s="150" t="s">
        <v>2143</v>
      </c>
      <c r="H5427" s="150">
        <v>1</v>
      </c>
      <c r="I5427" s="5" t="e">
        <f>VLOOKUP(F5427,'Set up'!$A$2:$C$100,3,FALSE)</f>
        <v>#N/A</v>
      </c>
      <c r="J5427" s="5" t="e">
        <f>VLOOKUP(F5427,'Set up'!$A$2:$D$100,4,FALSE)</f>
        <v>#N/A</v>
      </c>
      <c r="K5427" s="4" t="e">
        <f t="shared" si="1212"/>
        <v>#N/A</v>
      </c>
      <c r="L5427" s="5" t="e">
        <f t="shared" si="1213"/>
        <v>#N/A</v>
      </c>
      <c r="M5427" s="5" t="e">
        <f t="shared" si="1214"/>
        <v>#N/A</v>
      </c>
      <c r="N5427" s="168">
        <v>489.1</v>
      </c>
      <c r="P5427" s="12"/>
      <c r="Q5427" s="7">
        <f t="shared" si="1215"/>
        <v>8389491.9500000123</v>
      </c>
      <c r="R5427" s="44" t="e">
        <f>VLOOKUP(F5427,'Set up'!$A$2:$E$100,5,FALSE)</f>
        <v>#N/A</v>
      </c>
    </row>
    <row r="5428" spans="1:18" ht="16.8" customHeight="1" x14ac:dyDescent="0.3">
      <c r="A5428" s="150" t="s">
        <v>4711</v>
      </c>
      <c r="B5428" s="5">
        <f t="shared" si="1210"/>
        <v>6</v>
      </c>
      <c r="C5428" s="5">
        <f t="shared" si="1211"/>
        <v>2026</v>
      </c>
      <c r="D5428" s="150" t="s">
        <v>4734</v>
      </c>
      <c r="E5428" s="5" t="e">
        <f>VLOOKUP(F5428,'Set up'!$A$2:$C$100,2,FALSE)</f>
        <v>#N/A</v>
      </c>
      <c r="F5428" s="150" t="s">
        <v>4130</v>
      </c>
      <c r="G5428" s="150" t="s">
        <v>2556</v>
      </c>
      <c r="H5428" s="150">
        <v>1</v>
      </c>
      <c r="I5428" s="5" t="e">
        <f>VLOOKUP(F5428,'Set up'!$A$2:$C$100,3,FALSE)</f>
        <v>#N/A</v>
      </c>
      <c r="J5428" s="5" t="e">
        <f>VLOOKUP(F5428,'Set up'!$A$2:$D$100,4,FALSE)</f>
        <v>#N/A</v>
      </c>
      <c r="K5428" s="4" t="e">
        <f t="shared" si="1212"/>
        <v>#N/A</v>
      </c>
      <c r="L5428" s="5" t="e">
        <f t="shared" si="1213"/>
        <v>#N/A</v>
      </c>
      <c r="M5428" s="5" t="e">
        <f t="shared" si="1214"/>
        <v>#N/A</v>
      </c>
      <c r="N5428" s="168">
        <v>394.2</v>
      </c>
      <c r="P5428" s="12"/>
      <c r="Q5428" s="7">
        <f t="shared" si="1215"/>
        <v>8387573.750000014</v>
      </c>
      <c r="R5428" s="44" t="e">
        <f>VLOOKUP(F5428,'Set up'!$A$2:$E$100,5,FALSE)</f>
        <v>#N/A</v>
      </c>
    </row>
    <row r="5429" spans="1:18" ht="16.8" customHeight="1" x14ac:dyDescent="0.3">
      <c r="A5429" s="150" t="s">
        <v>4711</v>
      </c>
      <c r="B5429" s="5">
        <f t="shared" si="1210"/>
        <v>6</v>
      </c>
      <c r="C5429" s="5">
        <f t="shared" si="1211"/>
        <v>2026</v>
      </c>
      <c r="D5429" s="150" t="s">
        <v>4734</v>
      </c>
      <c r="E5429" s="5" t="e">
        <f>VLOOKUP(F5429,'Set up'!$A$2:$C$100,2,FALSE)</f>
        <v>#N/A</v>
      </c>
      <c r="F5429" s="150" t="s">
        <v>4130</v>
      </c>
      <c r="G5429" s="150" t="s">
        <v>2144</v>
      </c>
      <c r="H5429" s="150">
        <v>1</v>
      </c>
      <c r="I5429" s="5" t="e">
        <f>VLOOKUP(F5429,'Set up'!$A$2:$C$100,3,FALSE)</f>
        <v>#N/A</v>
      </c>
      <c r="J5429" s="5" t="e">
        <f>VLOOKUP(F5429,'Set up'!$A$2:$D$100,4,FALSE)</f>
        <v>#N/A</v>
      </c>
      <c r="K5429" s="4" t="e">
        <f t="shared" si="1212"/>
        <v>#N/A</v>
      </c>
      <c r="L5429" s="5" t="e">
        <f t="shared" si="1213"/>
        <v>#N/A</v>
      </c>
      <c r="M5429" s="5" t="e">
        <f t="shared" si="1214"/>
        <v>#N/A</v>
      </c>
      <c r="N5429" s="168">
        <v>308</v>
      </c>
      <c r="P5429" s="12"/>
      <c r="Q5429" s="7">
        <f t="shared" si="1215"/>
        <v>8403611.0500000138</v>
      </c>
      <c r="R5429" s="44" t="e">
        <f>VLOOKUP(F5429,'Set up'!$A$2:$E$100,5,FALSE)</f>
        <v>#N/A</v>
      </c>
    </row>
    <row r="5430" spans="1:18" ht="16.8" customHeight="1" x14ac:dyDescent="0.3">
      <c r="A5430" s="150" t="s">
        <v>4711</v>
      </c>
      <c r="B5430" s="5">
        <f t="shared" si="1210"/>
        <v>6</v>
      </c>
      <c r="C5430" s="5">
        <f t="shared" si="1211"/>
        <v>2026</v>
      </c>
      <c r="D5430" s="150" t="s">
        <v>4734</v>
      </c>
      <c r="E5430" s="5" t="e">
        <f>VLOOKUP(F5430,'Set up'!$A$2:$C$100,2,FALSE)</f>
        <v>#N/A</v>
      </c>
      <c r="F5430" s="150" t="s">
        <v>4130</v>
      </c>
      <c r="G5430" s="150" t="s">
        <v>4204</v>
      </c>
      <c r="H5430" s="150">
        <v>2</v>
      </c>
      <c r="I5430" s="5" t="e">
        <f>VLOOKUP(F5430,'Set up'!$A$2:$C$100,3,FALSE)</f>
        <v>#N/A</v>
      </c>
      <c r="J5430" s="5" t="e">
        <f>VLOOKUP(F5430,'Set up'!$A$2:$D$100,4,FALSE)</f>
        <v>#N/A</v>
      </c>
      <c r="K5430" s="4" t="e">
        <f t="shared" si="1212"/>
        <v>#N/A</v>
      </c>
      <c r="L5430" s="5" t="e">
        <f t="shared" si="1213"/>
        <v>#N/A</v>
      </c>
      <c r="M5430" s="5" t="e">
        <f t="shared" si="1214"/>
        <v>#N/A</v>
      </c>
      <c r="N5430" s="168">
        <v>320</v>
      </c>
      <c r="P5430" s="12"/>
      <c r="Q5430" s="7">
        <f t="shared" si="1215"/>
        <v>8389342.750000013</v>
      </c>
      <c r="R5430" s="44" t="e">
        <f>VLOOKUP(F5430,'Set up'!$A$2:$E$100,5,FALSE)</f>
        <v>#N/A</v>
      </c>
    </row>
    <row r="5431" spans="1:18" ht="16.8" customHeight="1" x14ac:dyDescent="0.3">
      <c r="A5431" s="150" t="s">
        <v>4711</v>
      </c>
      <c r="B5431" s="5">
        <f t="shared" si="1210"/>
        <v>6</v>
      </c>
      <c r="C5431" s="5">
        <f t="shared" si="1211"/>
        <v>2026</v>
      </c>
      <c r="D5431" s="150" t="s">
        <v>4734</v>
      </c>
      <c r="E5431" s="5" t="e">
        <f>VLOOKUP(F5431,'Set up'!$A$2:$C$100,2,FALSE)</f>
        <v>#N/A</v>
      </c>
      <c r="F5431" s="150" t="s">
        <v>4130</v>
      </c>
      <c r="G5431" s="150" t="s">
        <v>2646</v>
      </c>
      <c r="H5431" s="150">
        <v>2</v>
      </c>
      <c r="I5431" s="5" t="e">
        <f>VLOOKUP(F5431,'Set up'!$A$2:$C$100,3,FALSE)</f>
        <v>#N/A</v>
      </c>
      <c r="J5431" s="5" t="e">
        <f>VLOOKUP(F5431,'Set up'!$A$2:$D$100,4,FALSE)</f>
        <v>#N/A</v>
      </c>
      <c r="K5431" s="4" t="e">
        <f t="shared" si="1212"/>
        <v>#N/A</v>
      </c>
      <c r="L5431" s="5" t="e">
        <f t="shared" si="1213"/>
        <v>#N/A</v>
      </c>
      <c r="M5431" s="5" t="e">
        <f t="shared" si="1214"/>
        <v>#N/A</v>
      </c>
      <c r="N5431" s="168">
        <v>125</v>
      </c>
      <c r="P5431" s="12"/>
      <c r="Q5431" s="7">
        <f t="shared" si="1215"/>
        <v>8389902.5500000138</v>
      </c>
      <c r="R5431" s="44" t="e">
        <f>VLOOKUP(F5431,'Set up'!$A$2:$E$100,5,FALSE)</f>
        <v>#N/A</v>
      </c>
    </row>
    <row r="5432" spans="1:18" ht="16.8" customHeight="1" x14ac:dyDescent="0.3">
      <c r="A5432" s="150" t="s">
        <v>4711</v>
      </c>
      <c r="B5432" s="5">
        <f t="shared" si="1210"/>
        <v>6</v>
      </c>
      <c r="C5432" s="5">
        <f t="shared" si="1211"/>
        <v>2026</v>
      </c>
      <c r="D5432" s="150" t="s">
        <v>4734</v>
      </c>
      <c r="E5432" s="5" t="e">
        <f>VLOOKUP(F5432,'Set up'!$A$2:$C$100,2,FALSE)</f>
        <v>#N/A</v>
      </c>
      <c r="F5432" s="150" t="s">
        <v>4130</v>
      </c>
      <c r="G5432" s="150" t="s">
        <v>4695</v>
      </c>
      <c r="H5432" s="150">
        <v>1</v>
      </c>
      <c r="I5432" s="5" t="e">
        <f>VLOOKUP(F5432,'Set up'!$A$2:$C$100,3,FALSE)</f>
        <v>#N/A</v>
      </c>
      <c r="J5432" s="5" t="e">
        <f>VLOOKUP(F5432,'Set up'!$A$2:$D$100,4,FALSE)</f>
        <v>#N/A</v>
      </c>
      <c r="K5432" s="4" t="e">
        <f t="shared" si="1212"/>
        <v>#N/A</v>
      </c>
      <c r="L5432" s="5" t="e">
        <f t="shared" si="1213"/>
        <v>#N/A</v>
      </c>
      <c r="M5432" s="5" t="e">
        <f t="shared" si="1214"/>
        <v>#N/A</v>
      </c>
      <c r="N5432" s="168">
        <v>120</v>
      </c>
      <c r="P5432" s="12"/>
      <c r="Q5432" s="7">
        <f t="shared" si="1215"/>
        <v>8393773.0500000138</v>
      </c>
      <c r="R5432" s="44" t="e">
        <f>VLOOKUP(F5432,'Set up'!$A$2:$E$100,5,FALSE)</f>
        <v>#N/A</v>
      </c>
    </row>
    <row r="5433" spans="1:18" ht="16.8" customHeight="1" x14ac:dyDescent="0.3">
      <c r="A5433" s="150" t="s">
        <v>4711</v>
      </c>
      <c r="B5433" s="5">
        <f t="shared" si="1210"/>
        <v>6</v>
      </c>
      <c r="C5433" s="5">
        <f t="shared" si="1211"/>
        <v>2026</v>
      </c>
      <c r="D5433" s="150" t="s">
        <v>4735</v>
      </c>
      <c r="E5433" s="5" t="str">
        <f>VLOOKUP(F5433,'Set up'!$A$2:$C$100,2,FALSE)</f>
        <v>C00000042</v>
      </c>
      <c r="F5433" s="150" t="s">
        <v>2012</v>
      </c>
      <c r="G5433" s="150" t="s">
        <v>3645</v>
      </c>
      <c r="H5433" s="150">
        <v>6</v>
      </c>
      <c r="I5433" s="5" t="str">
        <f>VLOOKUP(F5433,'Set up'!$A$2:$C$100,3,FALSE)</f>
        <v>Cash</v>
      </c>
      <c r="J5433" s="5">
        <f>VLOOKUP(F5433,'Set up'!$A$2:$D$100,4,FALSE)</f>
        <v>0</v>
      </c>
      <c r="K5433" s="4">
        <f t="shared" si="1212"/>
        <v>46179</v>
      </c>
      <c r="L5433" s="5">
        <f t="shared" si="1213"/>
        <v>6</v>
      </c>
      <c r="M5433" s="5">
        <f t="shared" si="1214"/>
        <v>2026</v>
      </c>
      <c r="N5433" s="168">
        <v>10935</v>
      </c>
      <c r="P5433" s="12"/>
      <c r="Q5433" s="7">
        <f t="shared" si="1215"/>
        <v>8403939.1500000134</v>
      </c>
      <c r="R5433" s="44" t="str">
        <f>VLOOKUP(F5433,'Set up'!$A$2:$E$100,5,FALSE)</f>
        <v>Trsf</v>
      </c>
    </row>
    <row r="5434" spans="1:18" ht="16.8" customHeight="1" x14ac:dyDescent="0.3">
      <c r="A5434" s="150" t="s">
        <v>4711</v>
      </c>
      <c r="B5434" s="5">
        <f t="shared" si="1210"/>
        <v>6</v>
      </c>
      <c r="C5434" s="5">
        <f t="shared" si="1211"/>
        <v>2026</v>
      </c>
      <c r="D5434" s="150" t="s">
        <v>4735</v>
      </c>
      <c r="E5434" s="5" t="str">
        <f>VLOOKUP(F5434,'Set up'!$A$2:$C$100,2,FALSE)</f>
        <v>C00000042</v>
      </c>
      <c r="F5434" s="150" t="s">
        <v>2012</v>
      </c>
      <c r="G5434" s="150" t="s">
        <v>1392</v>
      </c>
      <c r="H5434" s="150">
        <v>18</v>
      </c>
      <c r="I5434" s="5" t="str">
        <f>VLOOKUP(F5434,'Set up'!$A$2:$C$100,3,FALSE)</f>
        <v>Cash</v>
      </c>
      <c r="J5434" s="5">
        <f>VLOOKUP(F5434,'Set up'!$A$2:$D$100,4,FALSE)</f>
        <v>0</v>
      </c>
      <c r="K5434" s="4">
        <f t="shared" si="1212"/>
        <v>46179</v>
      </c>
      <c r="L5434" s="5">
        <f t="shared" si="1213"/>
        <v>6</v>
      </c>
      <c r="M5434" s="5">
        <f t="shared" si="1214"/>
        <v>2026</v>
      </c>
      <c r="N5434" s="168">
        <v>3132</v>
      </c>
      <c r="P5434" s="12"/>
      <c r="Q5434" s="7">
        <f t="shared" si="1215"/>
        <v>8395391.5500000138</v>
      </c>
      <c r="R5434" s="44" t="str">
        <f>VLOOKUP(F5434,'Set up'!$A$2:$E$100,5,FALSE)</f>
        <v>Trsf</v>
      </c>
    </row>
    <row r="5435" spans="1:18" ht="16.8" customHeight="1" x14ac:dyDescent="0.3">
      <c r="A5435" s="150" t="s">
        <v>4711</v>
      </c>
      <c r="B5435" s="5">
        <f t="shared" si="1210"/>
        <v>6</v>
      </c>
      <c r="C5435" s="5">
        <f t="shared" si="1211"/>
        <v>2026</v>
      </c>
      <c r="D5435" s="150" t="s">
        <v>4735</v>
      </c>
      <c r="E5435" s="5" t="str">
        <f>VLOOKUP(F5435,'Set up'!$A$2:$C$100,2,FALSE)</f>
        <v>C00000042</v>
      </c>
      <c r="F5435" s="150" t="s">
        <v>2012</v>
      </c>
      <c r="G5435" s="150" t="s">
        <v>1922</v>
      </c>
      <c r="H5435" s="150">
        <v>9</v>
      </c>
      <c r="I5435" s="5" t="str">
        <f>VLOOKUP(F5435,'Set up'!$A$2:$C$100,3,FALSE)</f>
        <v>Cash</v>
      </c>
      <c r="J5435" s="5">
        <f>VLOOKUP(F5435,'Set up'!$A$2:$D$100,4,FALSE)</f>
        <v>0</v>
      </c>
      <c r="K5435" s="4">
        <f t="shared" si="1212"/>
        <v>46179</v>
      </c>
      <c r="L5435" s="5">
        <f t="shared" si="1213"/>
        <v>6</v>
      </c>
      <c r="M5435" s="5">
        <f t="shared" si="1214"/>
        <v>2026</v>
      </c>
      <c r="N5435" s="168">
        <v>1863</v>
      </c>
      <c r="P5435" s="12"/>
      <c r="Q5435" s="7">
        <f t="shared" si="1215"/>
        <v>8395888.0500000138</v>
      </c>
      <c r="R5435" s="44" t="str">
        <f>VLOOKUP(F5435,'Set up'!$A$2:$E$100,5,FALSE)</f>
        <v>Trsf</v>
      </c>
    </row>
    <row r="5436" spans="1:18" ht="16.8" customHeight="1" x14ac:dyDescent="0.3">
      <c r="A5436" s="150" t="s">
        <v>4711</v>
      </c>
      <c r="B5436" s="5">
        <f t="shared" si="1210"/>
        <v>6</v>
      </c>
      <c r="C5436" s="5">
        <f t="shared" si="1211"/>
        <v>2026</v>
      </c>
      <c r="D5436" s="150" t="s">
        <v>4735</v>
      </c>
      <c r="E5436" s="5" t="str">
        <f>VLOOKUP(F5436,'Set up'!$A$2:$C$100,2,FALSE)</f>
        <v>C00000042</v>
      </c>
      <c r="F5436" s="150" t="s">
        <v>2012</v>
      </c>
      <c r="G5436" s="150" t="s">
        <v>945</v>
      </c>
      <c r="H5436" s="150">
        <v>4</v>
      </c>
      <c r="I5436" s="5" t="str">
        <f>VLOOKUP(F5436,'Set up'!$A$2:$C$100,3,FALSE)</f>
        <v>Cash</v>
      </c>
      <c r="J5436" s="5">
        <f>VLOOKUP(F5436,'Set up'!$A$2:$D$100,4,FALSE)</f>
        <v>0</v>
      </c>
      <c r="K5436" s="4">
        <f t="shared" si="1212"/>
        <v>46179</v>
      </c>
      <c r="L5436" s="5">
        <f t="shared" si="1213"/>
        <v>6</v>
      </c>
      <c r="M5436" s="5">
        <f t="shared" si="1214"/>
        <v>2026</v>
      </c>
      <c r="N5436" s="168">
        <v>460</v>
      </c>
      <c r="P5436" s="12"/>
      <c r="Q5436" s="7">
        <f t="shared" si="1215"/>
        <v>8392612.5500000138</v>
      </c>
      <c r="R5436" s="44" t="str">
        <f>VLOOKUP(F5436,'Set up'!$A$2:$E$100,5,FALSE)</f>
        <v>Trsf</v>
      </c>
    </row>
    <row r="5437" spans="1:18" ht="16.8" customHeight="1" x14ac:dyDescent="0.3">
      <c r="A5437" s="150" t="s">
        <v>4711</v>
      </c>
      <c r="B5437" s="5">
        <f t="shared" si="1210"/>
        <v>6</v>
      </c>
      <c r="C5437" s="5">
        <f t="shared" si="1211"/>
        <v>2026</v>
      </c>
      <c r="D5437" s="150" t="s">
        <v>4735</v>
      </c>
      <c r="E5437" s="5" t="str">
        <f>VLOOKUP(F5437,'Set up'!$A$2:$C$100,2,FALSE)</f>
        <v>C00000042</v>
      </c>
      <c r="F5437" s="150" t="s">
        <v>2012</v>
      </c>
      <c r="G5437" s="150" t="s">
        <v>4580</v>
      </c>
      <c r="H5437" s="150">
        <v>2</v>
      </c>
      <c r="I5437" s="5" t="str">
        <f>VLOOKUP(F5437,'Set up'!$A$2:$C$100,3,FALSE)</f>
        <v>Cash</v>
      </c>
      <c r="J5437" s="5">
        <f>VLOOKUP(F5437,'Set up'!$A$2:$D$100,4,FALSE)</f>
        <v>0</v>
      </c>
      <c r="K5437" s="4">
        <f t="shared" si="1212"/>
        <v>46179</v>
      </c>
      <c r="L5437" s="5">
        <f t="shared" si="1213"/>
        <v>6</v>
      </c>
      <c r="M5437" s="5">
        <f t="shared" si="1214"/>
        <v>2026</v>
      </c>
      <c r="N5437" s="168">
        <v>2000</v>
      </c>
      <c r="P5437" s="12"/>
      <c r="Q5437" s="7">
        <f t="shared" si="1215"/>
        <v>8411552.5500000138</v>
      </c>
      <c r="R5437" s="44" t="str">
        <f>VLOOKUP(F5437,'Set up'!$A$2:$E$100,5,FALSE)</f>
        <v>Trsf</v>
      </c>
    </row>
    <row r="5438" spans="1:18" ht="16.8" customHeight="1" x14ac:dyDescent="0.3">
      <c r="A5438" s="150" t="s">
        <v>4712</v>
      </c>
      <c r="B5438" s="5">
        <f t="shared" si="1210"/>
        <v>6</v>
      </c>
      <c r="C5438" s="5">
        <f t="shared" si="1211"/>
        <v>2026</v>
      </c>
      <c r="D5438" s="150" t="s">
        <v>4736</v>
      </c>
      <c r="E5438" s="5" t="str">
        <f>VLOOKUP(F5438,'Set up'!$A$2:$C$100,2,FALSE)</f>
        <v>C00000042</v>
      </c>
      <c r="F5438" s="150" t="s">
        <v>2012</v>
      </c>
      <c r="G5438" s="150" t="s">
        <v>3645</v>
      </c>
      <c r="H5438" s="150">
        <v>7</v>
      </c>
      <c r="I5438" s="5" t="str">
        <f>VLOOKUP(F5438,'Set up'!$A$2:$C$100,3,FALSE)</f>
        <v>Cash</v>
      </c>
      <c r="J5438" s="5">
        <f>VLOOKUP(F5438,'Set up'!$A$2:$D$100,4,FALSE)</f>
        <v>0</v>
      </c>
      <c r="K5438" s="4">
        <f t="shared" si="1212"/>
        <v>46182</v>
      </c>
      <c r="L5438" s="5">
        <f t="shared" si="1213"/>
        <v>6</v>
      </c>
      <c r="M5438" s="5">
        <f t="shared" si="1214"/>
        <v>2026</v>
      </c>
      <c r="N5438" s="168">
        <v>12757.5</v>
      </c>
      <c r="P5438" s="12"/>
      <c r="Q5438" s="7">
        <f t="shared" si="1215"/>
        <v>8416832.5500000138</v>
      </c>
      <c r="R5438" s="44" t="str">
        <f>VLOOKUP(F5438,'Set up'!$A$2:$E$100,5,FALSE)</f>
        <v>Trsf</v>
      </c>
    </row>
    <row r="5439" spans="1:18" ht="16.8" customHeight="1" x14ac:dyDescent="0.3">
      <c r="A5439" s="150" t="s">
        <v>4712</v>
      </c>
      <c r="B5439" s="5">
        <f t="shared" si="1210"/>
        <v>6</v>
      </c>
      <c r="C5439" s="5">
        <f t="shared" si="1211"/>
        <v>2026</v>
      </c>
      <c r="D5439" s="150" t="s">
        <v>4736</v>
      </c>
      <c r="E5439" s="5" t="str">
        <f>VLOOKUP(F5439,'Set up'!$A$2:$C$100,2,FALSE)</f>
        <v>C00000042</v>
      </c>
      <c r="F5439" s="150" t="s">
        <v>2012</v>
      </c>
      <c r="G5439" s="150" t="s">
        <v>1392</v>
      </c>
      <c r="H5439" s="150">
        <v>20</v>
      </c>
      <c r="I5439" s="5" t="str">
        <f>VLOOKUP(F5439,'Set up'!$A$2:$C$100,3,FALSE)</f>
        <v>Cash</v>
      </c>
      <c r="J5439" s="5">
        <f>VLOOKUP(F5439,'Set up'!$A$2:$D$100,4,FALSE)</f>
        <v>0</v>
      </c>
      <c r="K5439" s="4">
        <f t="shared" si="1212"/>
        <v>46182</v>
      </c>
      <c r="L5439" s="5">
        <f t="shared" si="1213"/>
        <v>6</v>
      </c>
      <c r="M5439" s="5">
        <f t="shared" si="1214"/>
        <v>2026</v>
      </c>
      <c r="N5439" s="168">
        <v>3480</v>
      </c>
      <c r="P5439" s="12"/>
      <c r="Q5439" s="7">
        <f t="shared" si="1215"/>
        <v>8406112.5500000138</v>
      </c>
      <c r="R5439" s="44" t="str">
        <f>VLOOKUP(F5439,'Set up'!$A$2:$E$100,5,FALSE)</f>
        <v>Trsf</v>
      </c>
    </row>
    <row r="5440" spans="1:18" ht="16.8" customHeight="1" x14ac:dyDescent="0.3">
      <c r="A5440" s="150" t="s">
        <v>4712</v>
      </c>
      <c r="B5440" s="5">
        <f t="shared" si="1210"/>
        <v>6</v>
      </c>
      <c r="C5440" s="5">
        <f t="shared" si="1211"/>
        <v>2026</v>
      </c>
      <c r="D5440" s="150" t="s">
        <v>4736</v>
      </c>
      <c r="E5440" s="5" t="str">
        <f>VLOOKUP(F5440,'Set up'!$A$2:$C$100,2,FALSE)</f>
        <v>C00000042</v>
      </c>
      <c r="F5440" s="150" t="s">
        <v>2012</v>
      </c>
      <c r="G5440" s="150" t="s">
        <v>1922</v>
      </c>
      <c r="H5440" s="150">
        <v>10</v>
      </c>
      <c r="I5440" s="5" t="str">
        <f>VLOOKUP(F5440,'Set up'!$A$2:$C$100,3,FALSE)</f>
        <v>Cash</v>
      </c>
      <c r="J5440" s="5">
        <f>VLOOKUP(F5440,'Set up'!$A$2:$D$100,4,FALSE)</f>
        <v>0</v>
      </c>
      <c r="K5440" s="4">
        <f t="shared" si="1212"/>
        <v>46182</v>
      </c>
      <c r="L5440" s="5">
        <f t="shared" si="1213"/>
        <v>6</v>
      </c>
      <c r="M5440" s="5">
        <f t="shared" si="1214"/>
        <v>2026</v>
      </c>
      <c r="N5440" s="168">
        <v>2070</v>
      </c>
      <c r="P5440" s="12"/>
      <c r="Q5440" s="7">
        <f t="shared" si="1215"/>
        <v>8406893.5500000138</v>
      </c>
      <c r="R5440" s="44" t="str">
        <f>VLOOKUP(F5440,'Set up'!$A$2:$E$100,5,FALSE)</f>
        <v>Trsf</v>
      </c>
    </row>
    <row r="5441" spans="1:18" ht="16.8" customHeight="1" x14ac:dyDescent="0.3">
      <c r="A5441" s="150" t="s">
        <v>4712</v>
      </c>
      <c r="B5441" s="5">
        <f t="shared" si="1210"/>
        <v>6</v>
      </c>
      <c r="C5441" s="5">
        <f t="shared" si="1211"/>
        <v>2026</v>
      </c>
      <c r="D5441" s="150" t="s">
        <v>4736</v>
      </c>
      <c r="E5441" s="5" t="str">
        <f>VLOOKUP(F5441,'Set up'!$A$2:$C$100,2,FALSE)</f>
        <v>C00000042</v>
      </c>
      <c r="F5441" s="150" t="s">
        <v>2012</v>
      </c>
      <c r="G5441" s="150" t="s">
        <v>4695</v>
      </c>
      <c r="H5441" s="150">
        <v>4</v>
      </c>
      <c r="I5441" s="5" t="str">
        <f>VLOOKUP(F5441,'Set up'!$A$2:$C$100,3,FALSE)</f>
        <v>Cash</v>
      </c>
      <c r="J5441" s="5">
        <f>VLOOKUP(F5441,'Set up'!$A$2:$D$100,4,FALSE)</f>
        <v>0</v>
      </c>
      <c r="K5441" s="4">
        <f t="shared" si="1212"/>
        <v>46182</v>
      </c>
      <c r="L5441" s="5">
        <f t="shared" si="1213"/>
        <v>6</v>
      </c>
      <c r="M5441" s="5">
        <f t="shared" si="1214"/>
        <v>2026</v>
      </c>
      <c r="N5441" s="168">
        <v>460</v>
      </c>
      <c r="P5441" s="12"/>
      <c r="Q5441" s="7">
        <f t="shared" si="1215"/>
        <v>8404269.5500000138</v>
      </c>
      <c r="R5441" s="44" t="str">
        <f>VLOOKUP(F5441,'Set up'!$A$2:$E$100,5,FALSE)</f>
        <v>Trsf</v>
      </c>
    </row>
    <row r="5442" spans="1:18" ht="16.8" customHeight="1" x14ac:dyDescent="0.3">
      <c r="A5442" s="150" t="s">
        <v>4712</v>
      </c>
      <c r="B5442" s="5">
        <f t="shared" si="1210"/>
        <v>6</v>
      </c>
      <c r="C5442" s="5">
        <f t="shared" si="1211"/>
        <v>2026</v>
      </c>
      <c r="D5442" s="150" t="s">
        <v>4736</v>
      </c>
      <c r="E5442" s="5" t="str">
        <f>VLOOKUP(F5442,'Set up'!$A$2:$C$100,2,FALSE)</f>
        <v>C00000042</v>
      </c>
      <c r="F5442" s="150" t="s">
        <v>2012</v>
      </c>
      <c r="G5442" s="150" t="s">
        <v>1073</v>
      </c>
      <c r="H5442" s="150">
        <v>1</v>
      </c>
      <c r="I5442" s="5" t="str">
        <f>VLOOKUP(F5442,'Set up'!$A$2:$C$100,3,FALSE)</f>
        <v>Cash</v>
      </c>
      <c r="J5442" s="5">
        <f>VLOOKUP(F5442,'Set up'!$A$2:$D$100,4,FALSE)</f>
        <v>0</v>
      </c>
      <c r="K5442" s="4">
        <f t="shared" si="1212"/>
        <v>46182</v>
      </c>
      <c r="L5442" s="5">
        <f t="shared" si="1213"/>
        <v>6</v>
      </c>
      <c r="M5442" s="5">
        <f t="shared" si="1214"/>
        <v>2026</v>
      </c>
      <c r="N5442" s="168">
        <v>1050</v>
      </c>
      <c r="P5442" s="12"/>
      <c r="Q5442" s="7">
        <f t="shared" si="1215"/>
        <v>8406694.9500000142</v>
      </c>
      <c r="R5442" s="44" t="str">
        <f>VLOOKUP(F5442,'Set up'!$A$2:$E$100,5,FALSE)</f>
        <v>Trsf</v>
      </c>
    </row>
    <row r="5443" spans="1:18" ht="16.8" customHeight="1" x14ac:dyDescent="0.3">
      <c r="A5443" s="150" t="s">
        <v>4712</v>
      </c>
      <c r="B5443" s="5">
        <f t="shared" si="1210"/>
        <v>6</v>
      </c>
      <c r="C5443" s="5">
        <f t="shared" si="1211"/>
        <v>2026</v>
      </c>
      <c r="D5443" s="150" t="s">
        <v>4737</v>
      </c>
      <c r="E5443" s="5" t="e">
        <f>VLOOKUP(F5443,'Set up'!$A$2:$C$100,2,FALSE)</f>
        <v>#N/A</v>
      </c>
      <c r="F5443" s="150" t="s">
        <v>4706</v>
      </c>
      <c r="G5443" s="150" t="s">
        <v>3621</v>
      </c>
      <c r="H5443" s="150">
        <v>2</v>
      </c>
      <c r="I5443" s="5" t="e">
        <f>VLOOKUP(F5443,'Set up'!$A$2:$C$100,3,FALSE)</f>
        <v>#N/A</v>
      </c>
      <c r="J5443" s="5" t="e">
        <f>VLOOKUP(F5443,'Set up'!$A$2:$D$100,4,FALSE)</f>
        <v>#N/A</v>
      </c>
      <c r="K5443" s="4" t="e">
        <f t="shared" si="1212"/>
        <v>#N/A</v>
      </c>
      <c r="L5443" s="5" t="e">
        <f t="shared" si="1213"/>
        <v>#N/A</v>
      </c>
      <c r="M5443" s="5" t="e">
        <f t="shared" si="1214"/>
        <v>#N/A</v>
      </c>
      <c r="N5443" s="168">
        <v>800</v>
      </c>
      <c r="P5443" s="12"/>
      <c r="Q5443" s="7">
        <f t="shared" si="1215"/>
        <v>8406370.5500000138</v>
      </c>
      <c r="R5443" s="44" t="e">
        <f>VLOOKUP(F5443,'Set up'!$A$2:$E$100,5,FALSE)</f>
        <v>#N/A</v>
      </c>
    </row>
    <row r="5444" spans="1:18" ht="16.8" customHeight="1" x14ac:dyDescent="0.3">
      <c r="A5444" s="150" t="s">
        <v>4712</v>
      </c>
      <c r="B5444" s="5">
        <f t="shared" si="1210"/>
        <v>6</v>
      </c>
      <c r="C5444" s="5">
        <f t="shared" si="1211"/>
        <v>2026</v>
      </c>
      <c r="D5444" s="150" t="s">
        <v>4737</v>
      </c>
      <c r="E5444" s="5" t="e">
        <f>VLOOKUP(F5444,'Set up'!$A$2:$C$100,2,FALSE)</f>
        <v>#N/A</v>
      </c>
      <c r="F5444" s="150" t="s">
        <v>4706</v>
      </c>
      <c r="G5444" s="150" t="s">
        <v>4699</v>
      </c>
      <c r="H5444" s="150">
        <v>1</v>
      </c>
      <c r="I5444" s="5" t="e">
        <f>VLOOKUP(F5444,'Set up'!$A$2:$C$100,3,FALSE)</f>
        <v>#N/A</v>
      </c>
      <c r="J5444" s="5" t="e">
        <f>VLOOKUP(F5444,'Set up'!$A$2:$D$100,4,FALSE)</f>
        <v>#N/A</v>
      </c>
      <c r="K5444" s="4" t="e">
        <f t="shared" si="1212"/>
        <v>#N/A</v>
      </c>
      <c r="L5444" s="5" t="e">
        <f t="shared" si="1213"/>
        <v>#N/A</v>
      </c>
      <c r="M5444" s="5" t="e">
        <f t="shared" si="1214"/>
        <v>#N/A</v>
      </c>
      <c r="N5444" s="168">
        <v>130</v>
      </c>
      <c r="P5444" s="12"/>
      <c r="Q5444" s="7">
        <f t="shared" si="1215"/>
        <v>8425732.0500000138</v>
      </c>
      <c r="R5444" s="44" t="e">
        <f>VLOOKUP(F5444,'Set up'!$A$2:$E$100,5,FALSE)</f>
        <v>#N/A</v>
      </c>
    </row>
    <row r="5445" spans="1:18" ht="16.8" customHeight="1" x14ac:dyDescent="0.3">
      <c r="A5445" s="150" t="s">
        <v>4712</v>
      </c>
      <c r="B5445" s="5">
        <f t="shared" si="1210"/>
        <v>6</v>
      </c>
      <c r="C5445" s="5">
        <f t="shared" si="1211"/>
        <v>2026</v>
      </c>
      <c r="D5445" s="150" t="s">
        <v>4737</v>
      </c>
      <c r="E5445" s="5" t="e">
        <f>VLOOKUP(F5445,'Set up'!$A$2:$C$100,2,FALSE)</f>
        <v>#N/A</v>
      </c>
      <c r="F5445" s="150" t="s">
        <v>4706</v>
      </c>
      <c r="G5445" s="150" t="s">
        <v>4700</v>
      </c>
      <c r="H5445" s="150">
        <v>1</v>
      </c>
      <c r="I5445" s="5" t="e">
        <f>VLOOKUP(F5445,'Set up'!$A$2:$C$100,3,FALSE)</f>
        <v>#N/A</v>
      </c>
      <c r="J5445" s="5" t="e">
        <f>VLOOKUP(F5445,'Set up'!$A$2:$D$100,4,FALSE)</f>
        <v>#N/A</v>
      </c>
      <c r="K5445" s="4" t="e">
        <f t="shared" si="1212"/>
        <v>#N/A</v>
      </c>
      <c r="L5445" s="5" t="e">
        <f t="shared" si="1213"/>
        <v>#N/A</v>
      </c>
      <c r="M5445" s="5" t="e">
        <f t="shared" si="1214"/>
        <v>#N/A</v>
      </c>
      <c r="N5445" s="168">
        <v>260</v>
      </c>
      <c r="P5445" s="12"/>
      <c r="Q5445" s="7">
        <f t="shared" si="1215"/>
        <v>8408245.5500000138</v>
      </c>
      <c r="R5445" s="44" t="e">
        <f>VLOOKUP(F5445,'Set up'!$A$2:$E$100,5,FALSE)</f>
        <v>#N/A</v>
      </c>
    </row>
    <row r="5446" spans="1:18" ht="16.8" customHeight="1" x14ac:dyDescent="0.3">
      <c r="A5446" s="150" t="s">
        <v>4712</v>
      </c>
      <c r="B5446" s="5">
        <f t="shared" si="1210"/>
        <v>6</v>
      </c>
      <c r="C5446" s="5">
        <f t="shared" si="1211"/>
        <v>2026</v>
      </c>
      <c r="D5446" s="150" t="s">
        <v>4737</v>
      </c>
      <c r="E5446" s="5" t="e">
        <f>VLOOKUP(F5446,'Set up'!$A$2:$C$100,2,FALSE)</f>
        <v>#N/A</v>
      </c>
      <c r="F5446" s="150" t="s">
        <v>4706</v>
      </c>
      <c r="G5446" s="150" t="s">
        <v>945</v>
      </c>
      <c r="H5446" s="150">
        <v>1</v>
      </c>
      <c r="I5446" s="5" t="e">
        <f>VLOOKUP(F5446,'Set up'!$A$2:$C$100,3,FALSE)</f>
        <v>#N/A</v>
      </c>
      <c r="J5446" s="5" t="e">
        <f>VLOOKUP(F5446,'Set up'!$A$2:$D$100,4,FALSE)</f>
        <v>#N/A</v>
      </c>
      <c r="K5446" s="4" t="e">
        <f t="shared" si="1212"/>
        <v>#N/A</v>
      </c>
      <c r="L5446" s="5" t="e">
        <f t="shared" si="1213"/>
        <v>#N/A</v>
      </c>
      <c r="M5446" s="5" t="e">
        <f t="shared" si="1214"/>
        <v>#N/A</v>
      </c>
      <c r="N5446" s="168">
        <v>120</v>
      </c>
      <c r="P5446" s="12"/>
      <c r="Q5446" s="7">
        <f t="shared" si="1215"/>
        <v>8429254.5500000138</v>
      </c>
      <c r="R5446" s="44" t="e">
        <f>VLOOKUP(F5446,'Set up'!$A$2:$E$100,5,FALSE)</f>
        <v>#N/A</v>
      </c>
    </row>
    <row r="5447" spans="1:18" ht="16.8" customHeight="1" x14ac:dyDescent="0.3">
      <c r="A5447" s="150" t="s">
        <v>4713</v>
      </c>
      <c r="B5447" s="5">
        <f t="shared" si="1210"/>
        <v>6</v>
      </c>
      <c r="C5447" s="5">
        <f t="shared" si="1211"/>
        <v>2026</v>
      </c>
      <c r="D5447" s="150" t="s">
        <v>4738</v>
      </c>
      <c r="E5447" s="5" t="str">
        <f>VLOOKUP(F5447,'Set up'!$A$2:$C$100,2,FALSE)</f>
        <v>C00000042</v>
      </c>
      <c r="F5447" s="150" t="s">
        <v>2012</v>
      </c>
      <c r="G5447" s="150" t="s">
        <v>3645</v>
      </c>
      <c r="H5447" s="150">
        <v>7</v>
      </c>
      <c r="I5447" s="5" t="str">
        <f>VLOOKUP(F5447,'Set up'!$A$2:$C$100,3,FALSE)</f>
        <v>Cash</v>
      </c>
      <c r="J5447" s="5">
        <f>VLOOKUP(F5447,'Set up'!$A$2:$D$100,4,FALSE)</f>
        <v>0</v>
      </c>
      <c r="K5447" s="4">
        <f t="shared" si="1212"/>
        <v>46185</v>
      </c>
      <c r="L5447" s="5">
        <f t="shared" si="1213"/>
        <v>6</v>
      </c>
      <c r="M5447" s="5">
        <f t="shared" si="1214"/>
        <v>2026</v>
      </c>
      <c r="N5447" s="168">
        <v>12757.5</v>
      </c>
      <c r="P5447" s="12"/>
      <c r="Q5447" s="7">
        <f t="shared" si="1215"/>
        <v>8441339.5500000138</v>
      </c>
      <c r="R5447" s="44" t="str">
        <f>VLOOKUP(F5447,'Set up'!$A$2:$E$100,5,FALSE)</f>
        <v>Trsf</v>
      </c>
    </row>
    <row r="5448" spans="1:18" ht="16.8" customHeight="1" x14ac:dyDescent="0.3">
      <c r="A5448" s="150" t="s">
        <v>4713</v>
      </c>
      <c r="B5448" s="5">
        <f t="shared" si="1210"/>
        <v>6</v>
      </c>
      <c r="C5448" s="5">
        <f t="shared" si="1211"/>
        <v>2026</v>
      </c>
      <c r="D5448" s="150" t="s">
        <v>4738</v>
      </c>
      <c r="E5448" s="5" t="str">
        <f>VLOOKUP(F5448,'Set up'!$A$2:$C$100,2,FALSE)</f>
        <v>C00000042</v>
      </c>
      <c r="F5448" s="150" t="s">
        <v>2012</v>
      </c>
      <c r="G5448" s="150" t="s">
        <v>1392</v>
      </c>
      <c r="H5448" s="150">
        <v>20</v>
      </c>
      <c r="I5448" s="5" t="str">
        <f>VLOOKUP(F5448,'Set up'!$A$2:$C$100,3,FALSE)</f>
        <v>Cash</v>
      </c>
      <c r="J5448" s="5">
        <f>VLOOKUP(F5448,'Set up'!$A$2:$D$100,4,FALSE)</f>
        <v>0</v>
      </c>
      <c r="K5448" s="4">
        <f t="shared" si="1212"/>
        <v>46185</v>
      </c>
      <c r="L5448" s="5">
        <f t="shared" si="1213"/>
        <v>6</v>
      </c>
      <c r="M5448" s="5">
        <f t="shared" si="1214"/>
        <v>2026</v>
      </c>
      <c r="N5448" s="168">
        <v>3480</v>
      </c>
      <c r="P5448" s="12"/>
      <c r="Q5448" s="7">
        <f t="shared" si="1215"/>
        <v>8432187.0500000138</v>
      </c>
      <c r="R5448" s="44" t="str">
        <f>VLOOKUP(F5448,'Set up'!$A$2:$E$100,5,FALSE)</f>
        <v>Trsf</v>
      </c>
    </row>
    <row r="5449" spans="1:18" ht="16.8" customHeight="1" x14ac:dyDescent="0.3">
      <c r="A5449" s="150" t="s">
        <v>4713</v>
      </c>
      <c r="B5449" s="5">
        <f t="shared" si="1210"/>
        <v>6</v>
      </c>
      <c r="C5449" s="5">
        <f t="shared" si="1211"/>
        <v>2026</v>
      </c>
      <c r="D5449" s="150" t="s">
        <v>4738</v>
      </c>
      <c r="E5449" s="5" t="str">
        <f>VLOOKUP(F5449,'Set up'!$A$2:$C$100,2,FALSE)</f>
        <v>C00000042</v>
      </c>
      <c r="F5449" s="150" t="s">
        <v>2012</v>
      </c>
      <c r="G5449" s="150" t="s">
        <v>1922</v>
      </c>
      <c r="H5449" s="150">
        <v>10</v>
      </c>
      <c r="I5449" s="5" t="str">
        <f>VLOOKUP(F5449,'Set up'!$A$2:$C$100,3,FALSE)</f>
        <v>Cash</v>
      </c>
      <c r="J5449" s="5">
        <f>VLOOKUP(F5449,'Set up'!$A$2:$D$100,4,FALSE)</f>
        <v>0</v>
      </c>
      <c r="K5449" s="4">
        <f t="shared" si="1212"/>
        <v>46185</v>
      </c>
      <c r="L5449" s="5">
        <f t="shared" si="1213"/>
        <v>6</v>
      </c>
      <c r="M5449" s="5">
        <f t="shared" si="1214"/>
        <v>2026</v>
      </c>
      <c r="N5449" s="168">
        <v>2070</v>
      </c>
      <c r="P5449" s="12"/>
      <c r="Q5449" s="7">
        <f t="shared" si="1215"/>
        <v>8431227.0500000138</v>
      </c>
      <c r="R5449" s="44" t="str">
        <f>VLOOKUP(F5449,'Set up'!$A$2:$E$100,5,FALSE)</f>
        <v>Trsf</v>
      </c>
    </row>
    <row r="5450" spans="1:18" ht="16.8" customHeight="1" x14ac:dyDescent="0.3">
      <c r="A5450" s="150" t="s">
        <v>4713</v>
      </c>
      <c r="B5450" s="5">
        <f t="shared" si="1210"/>
        <v>6</v>
      </c>
      <c r="C5450" s="5">
        <f t="shared" si="1211"/>
        <v>2026</v>
      </c>
      <c r="D5450" s="150" t="s">
        <v>4738</v>
      </c>
      <c r="E5450" s="5" t="str">
        <f>VLOOKUP(F5450,'Set up'!$A$2:$C$100,2,FALSE)</f>
        <v>C00000042</v>
      </c>
      <c r="F5450" s="150" t="s">
        <v>2012</v>
      </c>
      <c r="G5450" s="150" t="s">
        <v>945</v>
      </c>
      <c r="H5450" s="150">
        <v>4</v>
      </c>
      <c r="I5450" s="5" t="str">
        <f>VLOOKUP(F5450,'Set up'!$A$2:$C$100,3,FALSE)</f>
        <v>Cash</v>
      </c>
      <c r="J5450" s="5">
        <f>VLOOKUP(F5450,'Set up'!$A$2:$D$100,4,FALSE)</f>
        <v>0</v>
      </c>
      <c r="K5450" s="4">
        <f t="shared" si="1212"/>
        <v>46185</v>
      </c>
      <c r="L5450" s="5">
        <f t="shared" si="1213"/>
        <v>6</v>
      </c>
      <c r="M5450" s="5">
        <f t="shared" si="1214"/>
        <v>2026</v>
      </c>
      <c r="N5450" s="168">
        <v>460</v>
      </c>
      <c r="P5450" s="12"/>
      <c r="Q5450" s="7">
        <f t="shared" si="1215"/>
        <v>8431887.4500000142</v>
      </c>
      <c r="R5450" s="44" t="str">
        <f>VLOOKUP(F5450,'Set up'!$A$2:$E$100,5,FALSE)</f>
        <v>Trsf</v>
      </c>
    </row>
    <row r="5451" spans="1:18" ht="16.8" customHeight="1" x14ac:dyDescent="0.3">
      <c r="A5451" s="150" t="s">
        <v>4713</v>
      </c>
      <c r="B5451" s="5">
        <f t="shared" si="1210"/>
        <v>6</v>
      </c>
      <c r="C5451" s="5">
        <f t="shared" si="1211"/>
        <v>2026</v>
      </c>
      <c r="D5451" s="150" t="s">
        <v>4738</v>
      </c>
      <c r="E5451" s="5" t="str">
        <f>VLOOKUP(F5451,'Set up'!$A$2:$C$100,2,FALSE)</f>
        <v>C00000042</v>
      </c>
      <c r="F5451" s="150" t="s">
        <v>2012</v>
      </c>
      <c r="G5451" s="150" t="s">
        <v>1073</v>
      </c>
      <c r="H5451" s="150">
        <v>1</v>
      </c>
      <c r="I5451" s="5" t="str">
        <f>VLOOKUP(F5451,'Set up'!$A$2:$C$100,3,FALSE)</f>
        <v>Cash</v>
      </c>
      <c r="J5451" s="5">
        <f>VLOOKUP(F5451,'Set up'!$A$2:$D$100,4,FALSE)</f>
        <v>0</v>
      </c>
      <c r="K5451" s="4">
        <f t="shared" si="1212"/>
        <v>46185</v>
      </c>
      <c r="L5451" s="5">
        <f t="shared" si="1213"/>
        <v>6</v>
      </c>
      <c r="M5451" s="5">
        <f t="shared" si="1214"/>
        <v>2026</v>
      </c>
      <c r="N5451" s="168">
        <v>1050</v>
      </c>
      <c r="P5451" s="12"/>
      <c r="Q5451" s="7">
        <f t="shared" si="1215"/>
        <v>8432426.750000013</v>
      </c>
      <c r="R5451" s="44" t="str">
        <f>VLOOKUP(F5451,'Set up'!$A$2:$E$100,5,FALSE)</f>
        <v>Trsf</v>
      </c>
    </row>
    <row r="5452" spans="1:18" ht="16.8" customHeight="1" x14ac:dyDescent="0.3">
      <c r="A5452" s="150" t="s">
        <v>4714</v>
      </c>
      <c r="B5452" s="5">
        <f t="shared" si="1210"/>
        <v>6</v>
      </c>
      <c r="C5452" s="5">
        <f t="shared" si="1211"/>
        <v>2026</v>
      </c>
      <c r="D5452" s="150" t="s">
        <v>4739</v>
      </c>
      <c r="E5452" s="5" t="str">
        <f>VLOOKUP(F5452,'Set up'!$A$2:$C$100,2,FALSE)</f>
        <v>C00000042</v>
      </c>
      <c r="F5452" s="150" t="s">
        <v>2012</v>
      </c>
      <c r="G5452" s="150" t="s">
        <v>3645</v>
      </c>
      <c r="H5452" s="150">
        <v>6</v>
      </c>
      <c r="I5452" s="5" t="str">
        <f>VLOOKUP(F5452,'Set up'!$A$2:$C$100,3,FALSE)</f>
        <v>Cash</v>
      </c>
      <c r="J5452" s="5">
        <f>VLOOKUP(F5452,'Set up'!$A$2:$D$100,4,FALSE)</f>
        <v>0</v>
      </c>
      <c r="K5452" s="4">
        <f t="shared" si="1212"/>
        <v>46188</v>
      </c>
      <c r="L5452" s="5">
        <f t="shared" si="1213"/>
        <v>6</v>
      </c>
      <c r="M5452" s="5">
        <f t="shared" si="1214"/>
        <v>2026</v>
      </c>
      <c r="N5452" s="168">
        <v>10935</v>
      </c>
      <c r="P5452" s="12"/>
      <c r="Q5452" s="7">
        <f t="shared" si="1215"/>
        <v>8447770.750000013</v>
      </c>
      <c r="R5452" s="44" t="str">
        <f>VLOOKUP(F5452,'Set up'!$A$2:$E$100,5,FALSE)</f>
        <v>Trsf</v>
      </c>
    </row>
    <row r="5453" spans="1:18" ht="16.8" customHeight="1" x14ac:dyDescent="0.3">
      <c r="A5453" s="150" t="s">
        <v>4714</v>
      </c>
      <c r="B5453" s="5">
        <f t="shared" si="1210"/>
        <v>6</v>
      </c>
      <c r="C5453" s="5">
        <f t="shared" si="1211"/>
        <v>2026</v>
      </c>
      <c r="D5453" s="150" t="s">
        <v>4739</v>
      </c>
      <c r="E5453" s="5" t="str">
        <f>VLOOKUP(F5453,'Set up'!$A$2:$C$100,2,FALSE)</f>
        <v>C00000042</v>
      </c>
      <c r="F5453" s="150" t="s">
        <v>2012</v>
      </c>
      <c r="G5453" s="150" t="s">
        <v>1392</v>
      </c>
      <c r="H5453" s="150">
        <v>12</v>
      </c>
      <c r="I5453" s="5" t="str">
        <f>VLOOKUP(F5453,'Set up'!$A$2:$C$100,3,FALSE)</f>
        <v>Cash</v>
      </c>
      <c r="J5453" s="5">
        <f>VLOOKUP(F5453,'Set up'!$A$2:$D$100,4,FALSE)</f>
        <v>0</v>
      </c>
      <c r="K5453" s="4">
        <f t="shared" si="1212"/>
        <v>46188</v>
      </c>
      <c r="L5453" s="5">
        <f t="shared" si="1213"/>
        <v>6</v>
      </c>
      <c r="M5453" s="5">
        <f t="shared" si="1214"/>
        <v>2026</v>
      </c>
      <c r="N5453" s="168">
        <v>2088</v>
      </c>
      <c r="P5453" s="12"/>
      <c r="Q5453" s="7">
        <f t="shared" si="1215"/>
        <v>8436650.5500000138</v>
      </c>
      <c r="R5453" s="44" t="str">
        <f>VLOOKUP(F5453,'Set up'!$A$2:$E$100,5,FALSE)</f>
        <v>Trsf</v>
      </c>
    </row>
    <row r="5454" spans="1:18" ht="16.8" customHeight="1" x14ac:dyDescent="0.3">
      <c r="A5454" s="150" t="s">
        <v>4714</v>
      </c>
      <c r="B5454" s="5">
        <f t="shared" si="1210"/>
        <v>6</v>
      </c>
      <c r="C5454" s="5">
        <f t="shared" si="1211"/>
        <v>2026</v>
      </c>
      <c r="D5454" s="150" t="s">
        <v>4739</v>
      </c>
      <c r="E5454" s="5" t="str">
        <f>VLOOKUP(F5454,'Set up'!$A$2:$C$100,2,FALSE)</f>
        <v>C00000042</v>
      </c>
      <c r="F5454" s="150" t="s">
        <v>2012</v>
      </c>
      <c r="G5454" s="150" t="s">
        <v>1922</v>
      </c>
      <c r="H5454" s="150">
        <v>18</v>
      </c>
      <c r="I5454" s="5" t="str">
        <f>VLOOKUP(F5454,'Set up'!$A$2:$C$100,3,FALSE)</f>
        <v>Cash</v>
      </c>
      <c r="J5454" s="5">
        <f>VLOOKUP(F5454,'Set up'!$A$2:$D$100,4,FALSE)</f>
        <v>0</v>
      </c>
      <c r="K5454" s="4">
        <f t="shared" si="1212"/>
        <v>46188</v>
      </c>
      <c r="L5454" s="5">
        <f t="shared" si="1213"/>
        <v>6</v>
      </c>
      <c r="M5454" s="5">
        <f t="shared" si="1214"/>
        <v>2026</v>
      </c>
      <c r="N5454" s="168">
        <v>3726</v>
      </c>
      <c r="P5454" s="12"/>
      <c r="Q5454" s="7">
        <f t="shared" si="1215"/>
        <v>8437798.8500000127</v>
      </c>
      <c r="R5454" s="44" t="str">
        <f>VLOOKUP(F5454,'Set up'!$A$2:$E$100,5,FALSE)</f>
        <v>Trsf</v>
      </c>
    </row>
    <row r="5455" spans="1:18" ht="16.8" customHeight="1" x14ac:dyDescent="0.3">
      <c r="A5455" s="150" t="s">
        <v>4714</v>
      </c>
      <c r="B5455" s="5">
        <f t="shared" si="1210"/>
        <v>6</v>
      </c>
      <c r="C5455" s="5">
        <f t="shared" si="1211"/>
        <v>2026</v>
      </c>
      <c r="D5455" s="150" t="s">
        <v>4739</v>
      </c>
      <c r="E5455" s="5" t="str">
        <f>VLOOKUP(F5455,'Set up'!$A$2:$C$100,2,FALSE)</f>
        <v>C00000042</v>
      </c>
      <c r="F5455" s="150" t="s">
        <v>2012</v>
      </c>
      <c r="G5455" s="150" t="s">
        <v>945</v>
      </c>
      <c r="H5455" s="150">
        <v>4</v>
      </c>
      <c r="I5455" s="5" t="str">
        <f>VLOOKUP(F5455,'Set up'!$A$2:$C$100,3,FALSE)</f>
        <v>Cash</v>
      </c>
      <c r="J5455" s="5">
        <f>VLOOKUP(F5455,'Set up'!$A$2:$D$100,4,FALSE)</f>
        <v>0</v>
      </c>
      <c r="K5455" s="4">
        <f t="shared" si="1212"/>
        <v>46188</v>
      </c>
      <c r="L5455" s="5">
        <f t="shared" si="1213"/>
        <v>6</v>
      </c>
      <c r="M5455" s="5">
        <f t="shared" si="1214"/>
        <v>2026</v>
      </c>
      <c r="N5455" s="168">
        <v>460</v>
      </c>
      <c r="P5455" s="12"/>
      <c r="Q5455" s="7">
        <f t="shared" si="1215"/>
        <v>8434464.1500000115</v>
      </c>
      <c r="R5455" s="44" t="str">
        <f>VLOOKUP(F5455,'Set up'!$A$2:$E$100,5,FALSE)</f>
        <v>Trsf</v>
      </c>
    </row>
    <row r="5456" spans="1:18" ht="16.8" customHeight="1" x14ac:dyDescent="0.3">
      <c r="A5456" s="150" t="s">
        <v>4714</v>
      </c>
      <c r="B5456" s="5">
        <f t="shared" si="1210"/>
        <v>6</v>
      </c>
      <c r="C5456" s="5">
        <f t="shared" si="1211"/>
        <v>2026</v>
      </c>
      <c r="D5456" s="150" t="s">
        <v>4739</v>
      </c>
      <c r="E5456" s="5" t="str">
        <f>VLOOKUP(F5456,'Set up'!$A$2:$C$100,2,FALSE)</f>
        <v>C00000042</v>
      </c>
      <c r="F5456" s="150" t="s">
        <v>2012</v>
      </c>
      <c r="G5456" s="150" t="s">
        <v>1073</v>
      </c>
      <c r="H5456" s="150">
        <v>1</v>
      </c>
      <c r="I5456" s="5" t="str">
        <f>VLOOKUP(F5456,'Set up'!$A$2:$C$100,3,FALSE)</f>
        <v>Cash</v>
      </c>
      <c r="J5456" s="5">
        <f>VLOOKUP(F5456,'Set up'!$A$2:$D$100,4,FALSE)</f>
        <v>0</v>
      </c>
      <c r="K5456" s="4">
        <f t="shared" si="1212"/>
        <v>46188</v>
      </c>
      <c r="L5456" s="5">
        <f t="shared" si="1213"/>
        <v>6</v>
      </c>
      <c r="M5456" s="5">
        <f t="shared" si="1214"/>
        <v>2026</v>
      </c>
      <c r="N5456" s="168">
        <v>1050</v>
      </c>
      <c r="P5456" s="12"/>
      <c r="Q5456" s="7">
        <f t="shared" si="1215"/>
        <v>8435865.9500000123</v>
      </c>
      <c r="R5456" s="44" t="str">
        <f>VLOOKUP(F5456,'Set up'!$A$2:$E$100,5,FALSE)</f>
        <v>Trsf</v>
      </c>
    </row>
    <row r="5457" spans="1:18" ht="16.8" customHeight="1" x14ac:dyDescent="0.3">
      <c r="A5457" s="150" t="s">
        <v>4715</v>
      </c>
      <c r="B5457" s="5">
        <f t="shared" si="1210"/>
        <v>6</v>
      </c>
      <c r="C5457" s="5">
        <f t="shared" si="1211"/>
        <v>2026</v>
      </c>
      <c r="D5457" s="150" t="s">
        <v>4740</v>
      </c>
      <c r="E5457" s="5" t="e">
        <f>VLOOKUP(F5457,'Set up'!$A$2:$C$100,2,FALSE)</f>
        <v>#N/A</v>
      </c>
      <c r="F5457" s="150" t="s">
        <v>4130</v>
      </c>
      <c r="G5457" s="150" t="s">
        <v>3122</v>
      </c>
      <c r="H5457" s="150">
        <v>1</v>
      </c>
      <c r="I5457" s="5" t="e">
        <f>VLOOKUP(F5457,'Set up'!$A$2:$C$100,3,FALSE)</f>
        <v>#N/A</v>
      </c>
      <c r="J5457" s="5" t="e">
        <f>VLOOKUP(F5457,'Set up'!$A$2:$D$100,4,FALSE)</f>
        <v>#N/A</v>
      </c>
      <c r="K5457" s="4" t="e">
        <f t="shared" si="1212"/>
        <v>#N/A</v>
      </c>
      <c r="L5457" s="5" t="e">
        <f t="shared" si="1213"/>
        <v>#N/A</v>
      </c>
      <c r="M5457" s="5" t="e">
        <f t="shared" si="1214"/>
        <v>#N/A</v>
      </c>
      <c r="N5457" s="168">
        <v>1912.5</v>
      </c>
      <c r="P5457" s="12"/>
      <c r="Q5457" s="7">
        <f t="shared" si="1215"/>
        <v>8435850.4500000123</v>
      </c>
      <c r="R5457" s="44" t="e">
        <f>VLOOKUP(F5457,'Set up'!$A$2:$E$100,5,FALSE)</f>
        <v>#N/A</v>
      </c>
    </row>
    <row r="5458" spans="1:18" ht="16.8" customHeight="1" x14ac:dyDescent="0.3">
      <c r="A5458" s="150" t="s">
        <v>4715</v>
      </c>
      <c r="B5458" s="5">
        <f t="shared" si="1210"/>
        <v>6</v>
      </c>
      <c r="C5458" s="5">
        <f t="shared" si="1211"/>
        <v>2026</v>
      </c>
      <c r="D5458" s="150" t="s">
        <v>4740</v>
      </c>
      <c r="E5458" s="5" t="e">
        <f>VLOOKUP(F5458,'Set up'!$A$2:$C$100,2,FALSE)</f>
        <v>#N/A</v>
      </c>
      <c r="F5458" s="150" t="s">
        <v>4130</v>
      </c>
      <c r="G5458" s="150" t="s">
        <v>2143</v>
      </c>
      <c r="H5458" s="150">
        <v>1</v>
      </c>
      <c r="I5458" s="5" t="e">
        <f>VLOOKUP(F5458,'Set up'!$A$2:$C$100,3,FALSE)</f>
        <v>#N/A</v>
      </c>
      <c r="J5458" s="5" t="e">
        <f>VLOOKUP(F5458,'Set up'!$A$2:$D$100,4,FALSE)</f>
        <v>#N/A</v>
      </c>
      <c r="K5458" s="4" t="e">
        <f t="shared" si="1212"/>
        <v>#N/A</v>
      </c>
      <c r="L5458" s="5" t="e">
        <f t="shared" si="1213"/>
        <v>#N/A</v>
      </c>
      <c r="M5458" s="5" t="e">
        <f t="shared" si="1214"/>
        <v>#N/A</v>
      </c>
      <c r="N5458" s="168">
        <v>502.5</v>
      </c>
      <c r="P5458" s="12"/>
      <c r="Q5458" s="7">
        <f t="shared" si="1215"/>
        <v>8445920.4500000123</v>
      </c>
      <c r="R5458" s="44" t="e">
        <f>VLOOKUP(F5458,'Set up'!$A$2:$E$100,5,FALSE)</f>
        <v>#N/A</v>
      </c>
    </row>
    <row r="5459" spans="1:18" ht="16.8" customHeight="1" x14ac:dyDescent="0.3">
      <c r="A5459" s="150" t="s">
        <v>4715</v>
      </c>
      <c r="B5459" s="5">
        <f t="shared" si="1210"/>
        <v>6</v>
      </c>
      <c r="C5459" s="5">
        <f t="shared" si="1211"/>
        <v>2026</v>
      </c>
      <c r="D5459" s="150" t="s">
        <v>4740</v>
      </c>
      <c r="E5459" s="5" t="e">
        <f>VLOOKUP(F5459,'Set up'!$A$2:$C$100,2,FALSE)</f>
        <v>#N/A</v>
      </c>
      <c r="F5459" s="150" t="s">
        <v>4130</v>
      </c>
      <c r="G5459" s="150" t="s">
        <v>2144</v>
      </c>
      <c r="H5459" s="150">
        <v>1</v>
      </c>
      <c r="I5459" s="5" t="e">
        <f>VLOOKUP(F5459,'Set up'!$A$2:$C$100,3,FALSE)</f>
        <v>#N/A</v>
      </c>
      <c r="J5459" s="5" t="e">
        <f>VLOOKUP(F5459,'Set up'!$A$2:$D$100,4,FALSE)</f>
        <v>#N/A</v>
      </c>
      <c r="K5459" s="4" t="e">
        <f t="shared" si="1212"/>
        <v>#N/A</v>
      </c>
      <c r="L5459" s="5" t="e">
        <f t="shared" si="1213"/>
        <v>#N/A</v>
      </c>
      <c r="M5459" s="5" t="e">
        <f t="shared" si="1214"/>
        <v>#N/A</v>
      </c>
      <c r="N5459" s="168">
        <v>308</v>
      </c>
      <c r="P5459" s="12"/>
      <c r="Q5459" s="7">
        <f t="shared" si="1215"/>
        <v>8438050.5500000119</v>
      </c>
      <c r="R5459" s="44" t="e">
        <f>VLOOKUP(F5459,'Set up'!$A$2:$E$100,5,FALSE)</f>
        <v>#N/A</v>
      </c>
    </row>
    <row r="5460" spans="1:18" ht="16.8" customHeight="1" x14ac:dyDescent="0.3">
      <c r="A5460" s="150" t="s">
        <v>4715</v>
      </c>
      <c r="B5460" s="5">
        <f t="shared" si="1210"/>
        <v>6</v>
      </c>
      <c r="C5460" s="5">
        <f t="shared" si="1211"/>
        <v>2026</v>
      </c>
      <c r="D5460" s="150" t="s">
        <v>4740</v>
      </c>
      <c r="E5460" s="5" t="e">
        <f>VLOOKUP(F5460,'Set up'!$A$2:$C$100,2,FALSE)</f>
        <v>#N/A</v>
      </c>
      <c r="F5460" s="150" t="s">
        <v>4130</v>
      </c>
      <c r="G5460" s="150" t="s">
        <v>4204</v>
      </c>
      <c r="H5460" s="150">
        <v>1</v>
      </c>
      <c r="I5460" s="5" t="e">
        <f>VLOOKUP(F5460,'Set up'!$A$2:$C$100,3,FALSE)</f>
        <v>#N/A</v>
      </c>
      <c r="J5460" s="5" t="e">
        <f>VLOOKUP(F5460,'Set up'!$A$2:$D$100,4,FALSE)</f>
        <v>#N/A</v>
      </c>
      <c r="K5460" s="4" t="e">
        <f t="shared" si="1212"/>
        <v>#N/A</v>
      </c>
      <c r="L5460" s="5" t="e">
        <f t="shared" si="1213"/>
        <v>#N/A</v>
      </c>
      <c r="M5460" s="5" t="e">
        <f t="shared" si="1214"/>
        <v>#N/A</v>
      </c>
      <c r="N5460" s="168">
        <v>160</v>
      </c>
      <c r="P5460" s="12"/>
      <c r="Q5460" s="7">
        <f t="shared" si="1215"/>
        <v>8439556.3500000127</v>
      </c>
      <c r="R5460" s="44" t="e">
        <f>VLOOKUP(F5460,'Set up'!$A$2:$E$100,5,FALSE)</f>
        <v>#N/A</v>
      </c>
    </row>
    <row r="5461" spans="1:18" ht="16.8" customHeight="1" x14ac:dyDescent="0.3">
      <c r="A5461" s="150" t="s">
        <v>4715</v>
      </c>
      <c r="B5461" s="5">
        <f t="shared" si="1210"/>
        <v>6</v>
      </c>
      <c r="C5461" s="5">
        <f t="shared" si="1211"/>
        <v>2026</v>
      </c>
      <c r="D5461" s="150" t="s">
        <v>4740</v>
      </c>
      <c r="E5461" s="5" t="e">
        <f>VLOOKUP(F5461,'Set up'!$A$2:$C$100,2,FALSE)</f>
        <v>#N/A</v>
      </c>
      <c r="F5461" s="150" t="s">
        <v>4130</v>
      </c>
      <c r="G5461" s="150" t="s">
        <v>2646</v>
      </c>
      <c r="H5461" s="150">
        <v>2</v>
      </c>
      <c r="I5461" s="5" t="e">
        <f>VLOOKUP(F5461,'Set up'!$A$2:$C$100,3,FALSE)</f>
        <v>#N/A</v>
      </c>
      <c r="J5461" s="5" t="e">
        <f>VLOOKUP(F5461,'Set up'!$A$2:$D$100,4,FALSE)</f>
        <v>#N/A</v>
      </c>
      <c r="K5461" s="4" t="e">
        <f t="shared" si="1212"/>
        <v>#N/A</v>
      </c>
      <c r="L5461" s="5" t="e">
        <f t="shared" si="1213"/>
        <v>#N/A</v>
      </c>
      <c r="M5461" s="5" t="e">
        <f t="shared" si="1214"/>
        <v>#N/A</v>
      </c>
      <c r="N5461" s="168">
        <v>125</v>
      </c>
      <c r="P5461" s="12"/>
      <c r="Q5461" s="7">
        <f t="shared" si="1215"/>
        <v>8438533.4500000123</v>
      </c>
      <c r="R5461" s="44" t="e">
        <f>VLOOKUP(F5461,'Set up'!$A$2:$E$100,5,FALSE)</f>
        <v>#N/A</v>
      </c>
    </row>
    <row r="5462" spans="1:18" ht="16.8" customHeight="1" x14ac:dyDescent="0.3">
      <c r="A5462" s="150" t="s">
        <v>4716</v>
      </c>
      <c r="B5462" s="5">
        <f t="shared" si="1210"/>
        <v>6</v>
      </c>
      <c r="C5462" s="5">
        <f t="shared" si="1211"/>
        <v>2026</v>
      </c>
      <c r="D5462" s="150" t="s">
        <v>4741</v>
      </c>
      <c r="E5462" s="5" t="str">
        <f>VLOOKUP(F5462,'Set up'!$A$2:$C$100,2,FALSE)</f>
        <v>C00000042</v>
      </c>
      <c r="F5462" s="150" t="s">
        <v>2012</v>
      </c>
      <c r="G5462" s="150" t="s">
        <v>1543</v>
      </c>
      <c r="H5462" s="150">
        <v>15</v>
      </c>
      <c r="I5462" s="5" t="str">
        <f>VLOOKUP(F5462,'Set up'!$A$2:$C$100,3,FALSE)</f>
        <v>Cash</v>
      </c>
      <c r="J5462" s="5">
        <f>VLOOKUP(F5462,'Set up'!$A$2:$D$100,4,FALSE)</f>
        <v>0</v>
      </c>
      <c r="K5462" s="4">
        <f t="shared" si="1212"/>
        <v>46190</v>
      </c>
      <c r="L5462" s="5">
        <f t="shared" si="1213"/>
        <v>6</v>
      </c>
      <c r="M5462" s="5">
        <f t="shared" si="1214"/>
        <v>2026</v>
      </c>
      <c r="N5462" s="168">
        <v>2610</v>
      </c>
      <c r="P5462" s="12"/>
      <c r="Q5462" s="7">
        <f t="shared" si="1215"/>
        <v>8441569.8500000127</v>
      </c>
      <c r="R5462" s="44" t="str">
        <f>VLOOKUP(F5462,'Set up'!$A$2:$E$100,5,FALSE)</f>
        <v>Trsf</v>
      </c>
    </row>
    <row r="5463" spans="1:18" ht="16.8" customHeight="1" x14ac:dyDescent="0.3">
      <c r="A5463" s="150" t="s">
        <v>4716</v>
      </c>
      <c r="B5463" s="5">
        <f t="shared" si="1210"/>
        <v>6</v>
      </c>
      <c r="C5463" s="5">
        <f t="shared" si="1211"/>
        <v>2026</v>
      </c>
      <c r="D5463" s="150" t="s">
        <v>4741</v>
      </c>
      <c r="E5463" s="5" t="str">
        <f>VLOOKUP(F5463,'Set up'!$A$2:$C$100,2,FALSE)</f>
        <v>C00000042</v>
      </c>
      <c r="F5463" s="150" t="s">
        <v>2012</v>
      </c>
      <c r="G5463" s="150" t="s">
        <v>945</v>
      </c>
      <c r="H5463" s="150">
        <v>4</v>
      </c>
      <c r="I5463" s="5" t="str">
        <f>VLOOKUP(F5463,'Set up'!$A$2:$C$100,3,FALSE)</f>
        <v>Cash</v>
      </c>
      <c r="J5463" s="5">
        <f>VLOOKUP(F5463,'Set up'!$A$2:$D$100,4,FALSE)</f>
        <v>0</v>
      </c>
      <c r="K5463" s="4">
        <f t="shared" si="1212"/>
        <v>46190</v>
      </c>
      <c r="L5463" s="5">
        <f t="shared" si="1213"/>
        <v>6</v>
      </c>
      <c r="M5463" s="5">
        <f t="shared" si="1214"/>
        <v>2026</v>
      </c>
      <c r="N5463" s="168">
        <v>460</v>
      </c>
      <c r="P5463" s="12"/>
      <c r="Q5463" s="7">
        <f t="shared" si="1215"/>
        <v>8438545.8500000127</v>
      </c>
      <c r="R5463" s="44" t="str">
        <f>VLOOKUP(F5463,'Set up'!$A$2:$E$100,5,FALSE)</f>
        <v>Trsf</v>
      </c>
    </row>
    <row r="5464" spans="1:18" ht="16.8" customHeight="1" x14ac:dyDescent="0.3">
      <c r="A5464" s="150" t="s">
        <v>4716</v>
      </c>
      <c r="B5464" s="5">
        <f t="shared" si="1210"/>
        <v>6</v>
      </c>
      <c r="C5464" s="5">
        <f t="shared" si="1211"/>
        <v>2026</v>
      </c>
      <c r="D5464" s="150" t="s">
        <v>4742</v>
      </c>
      <c r="E5464" s="5" t="str">
        <f>VLOOKUP(F5464,'Set up'!$A$2:$C$100,2,FALSE)</f>
        <v>C00000019</v>
      </c>
      <c r="F5464" s="150" t="s">
        <v>400</v>
      </c>
      <c r="G5464" s="150" t="s">
        <v>3140</v>
      </c>
      <c r="H5464" s="150">
        <v>1</v>
      </c>
      <c r="I5464" s="5" t="str">
        <f>VLOOKUP(F5464,'Set up'!$A$2:$C$100,3,FALSE)</f>
        <v>Cash</v>
      </c>
      <c r="J5464" s="5">
        <f>VLOOKUP(F5464,'Set up'!$A$2:$D$100,4,FALSE)</f>
        <v>0</v>
      </c>
      <c r="K5464" s="4">
        <f t="shared" si="1212"/>
        <v>46190</v>
      </c>
      <c r="L5464" s="5">
        <f t="shared" si="1213"/>
        <v>6</v>
      </c>
      <c r="M5464" s="5">
        <f t="shared" si="1214"/>
        <v>2026</v>
      </c>
      <c r="N5464" s="168">
        <v>1935</v>
      </c>
      <c r="P5464" s="12"/>
      <c r="Q5464" s="7">
        <f t="shared" si="1215"/>
        <v>8441013.3500000127</v>
      </c>
      <c r="R5464" s="44" t="str">
        <f>VLOOKUP(F5464,'Set up'!$A$2:$E$100,5,FALSE)</f>
        <v>Trsf</v>
      </c>
    </row>
    <row r="5465" spans="1:18" ht="16.8" customHeight="1" x14ac:dyDescent="0.3">
      <c r="A5465" s="150" t="s">
        <v>4716</v>
      </c>
      <c r="B5465" s="5">
        <f t="shared" si="1210"/>
        <v>6</v>
      </c>
      <c r="C5465" s="5">
        <f t="shared" si="1211"/>
        <v>2026</v>
      </c>
      <c r="D5465" s="150" t="s">
        <v>4742</v>
      </c>
      <c r="E5465" s="5" t="str">
        <f>VLOOKUP(F5465,'Set up'!$A$2:$C$100,2,FALSE)</f>
        <v>C00000019</v>
      </c>
      <c r="F5465" s="150" t="s">
        <v>400</v>
      </c>
      <c r="G5465" s="150" t="s">
        <v>2646</v>
      </c>
      <c r="H5465" s="150">
        <v>3</v>
      </c>
      <c r="I5465" s="5" t="str">
        <f>VLOOKUP(F5465,'Set up'!$A$2:$C$100,3,FALSE)</f>
        <v>Cash</v>
      </c>
      <c r="J5465" s="5">
        <f>VLOOKUP(F5465,'Set up'!$A$2:$D$100,4,FALSE)</f>
        <v>0</v>
      </c>
      <c r="K5465" s="4">
        <f t="shared" si="1212"/>
        <v>46190</v>
      </c>
      <c r="L5465" s="5">
        <f t="shared" si="1213"/>
        <v>6</v>
      </c>
      <c r="M5465" s="5">
        <f t="shared" si="1214"/>
        <v>2026</v>
      </c>
      <c r="N5465" s="168">
        <v>187.5</v>
      </c>
      <c r="P5465" s="12"/>
      <c r="Q5465" s="7">
        <f t="shared" si="1215"/>
        <v>8438750.8500000127</v>
      </c>
      <c r="R5465" s="44" t="str">
        <f>VLOOKUP(F5465,'Set up'!$A$2:$E$100,5,FALSE)</f>
        <v>Trsf</v>
      </c>
    </row>
    <row r="5466" spans="1:18" ht="16.8" customHeight="1" x14ac:dyDescent="0.3">
      <c r="A5466" s="150" t="s">
        <v>4716</v>
      </c>
      <c r="B5466" s="5">
        <f t="shared" si="1210"/>
        <v>6</v>
      </c>
      <c r="C5466" s="5">
        <f t="shared" si="1211"/>
        <v>2026</v>
      </c>
      <c r="D5466" s="150" t="s">
        <v>4742</v>
      </c>
      <c r="E5466" s="5" t="str">
        <f>VLOOKUP(F5466,'Set up'!$A$2:$C$100,2,FALSE)</f>
        <v>C00000019</v>
      </c>
      <c r="F5466" s="150" t="s">
        <v>400</v>
      </c>
      <c r="G5466" s="150" t="s">
        <v>945</v>
      </c>
      <c r="H5466" s="150">
        <v>1</v>
      </c>
      <c r="I5466" s="5" t="str">
        <f>VLOOKUP(F5466,'Set up'!$A$2:$C$100,3,FALSE)</f>
        <v>Cash</v>
      </c>
      <c r="J5466" s="5">
        <f>VLOOKUP(F5466,'Set up'!$A$2:$D$100,4,FALSE)</f>
        <v>0</v>
      </c>
      <c r="K5466" s="4">
        <f t="shared" si="1212"/>
        <v>46190</v>
      </c>
      <c r="L5466" s="5">
        <f t="shared" si="1213"/>
        <v>6</v>
      </c>
      <c r="M5466" s="5">
        <f t="shared" si="1214"/>
        <v>2026</v>
      </c>
      <c r="N5466" s="168">
        <v>115</v>
      </c>
      <c r="P5466" s="12"/>
      <c r="Q5466" s="7">
        <f t="shared" si="1215"/>
        <v>8453520.8500000127</v>
      </c>
      <c r="R5466" s="44" t="str">
        <f>VLOOKUP(F5466,'Set up'!$A$2:$E$100,5,FALSE)</f>
        <v>Trsf</v>
      </c>
    </row>
    <row r="5467" spans="1:18" ht="16.8" customHeight="1" x14ac:dyDescent="0.3">
      <c r="A5467" s="150" t="s">
        <v>4716</v>
      </c>
      <c r="B5467" s="5">
        <f t="shared" si="1210"/>
        <v>6</v>
      </c>
      <c r="C5467" s="5">
        <f t="shared" si="1211"/>
        <v>2026</v>
      </c>
      <c r="D5467" s="150" t="s">
        <v>4742</v>
      </c>
      <c r="E5467" s="5" t="str">
        <f>VLOOKUP(F5467,'Set up'!$A$2:$C$100,2,FALSE)</f>
        <v>C00000019</v>
      </c>
      <c r="F5467" s="150" t="s">
        <v>400</v>
      </c>
      <c r="G5467" s="150" t="s">
        <v>1469</v>
      </c>
      <c r="H5467" s="150">
        <v>1</v>
      </c>
      <c r="I5467" s="5" t="str">
        <f>VLOOKUP(F5467,'Set up'!$A$2:$C$100,3,FALSE)</f>
        <v>Cash</v>
      </c>
      <c r="J5467" s="5">
        <f>VLOOKUP(F5467,'Set up'!$A$2:$D$100,4,FALSE)</f>
        <v>0</v>
      </c>
      <c r="K5467" s="4">
        <f t="shared" si="1212"/>
        <v>46190</v>
      </c>
      <c r="L5467" s="5">
        <f t="shared" si="1213"/>
        <v>6</v>
      </c>
      <c r="M5467" s="5">
        <f t="shared" si="1214"/>
        <v>2026</v>
      </c>
      <c r="N5467" s="168">
        <v>430</v>
      </c>
      <c r="P5467" s="12"/>
      <c r="Q5467" s="7">
        <f t="shared" si="1215"/>
        <v>8457582.4500000123</v>
      </c>
      <c r="R5467" s="44" t="str">
        <f>VLOOKUP(F5467,'Set up'!$A$2:$E$100,5,FALSE)</f>
        <v>Trsf</v>
      </c>
    </row>
    <row r="5468" spans="1:18" ht="16.8" customHeight="1" x14ac:dyDescent="0.3">
      <c r="A5468" s="150" t="s">
        <v>4717</v>
      </c>
      <c r="B5468" s="5">
        <f t="shared" si="1210"/>
        <v>6</v>
      </c>
      <c r="C5468" s="5">
        <f t="shared" si="1211"/>
        <v>2026</v>
      </c>
      <c r="D5468" s="150" t="s">
        <v>4755</v>
      </c>
      <c r="E5468" s="5" t="str">
        <f>VLOOKUP(F5468,'Set up'!$A$2:$C$100,2,FALSE)</f>
        <v>C00000042</v>
      </c>
      <c r="F5468" s="150" t="s">
        <v>2012</v>
      </c>
      <c r="G5468" s="150" t="s">
        <v>3645</v>
      </c>
      <c r="H5468" s="150">
        <v>10</v>
      </c>
      <c r="I5468" s="5" t="str">
        <f>VLOOKUP(F5468,'Set up'!$A$2:$C$100,3,FALSE)</f>
        <v>Cash</v>
      </c>
      <c r="J5468" s="5">
        <f>VLOOKUP(F5468,'Set up'!$A$2:$D$100,4,FALSE)</f>
        <v>0</v>
      </c>
      <c r="K5468" s="4">
        <f t="shared" si="1212"/>
        <v>46191</v>
      </c>
      <c r="L5468" s="5">
        <f t="shared" si="1213"/>
        <v>6</v>
      </c>
      <c r="M5468" s="5">
        <f t="shared" si="1214"/>
        <v>2026</v>
      </c>
      <c r="N5468" s="168">
        <v>18225</v>
      </c>
      <c r="P5468" s="12"/>
      <c r="Q5468" s="7">
        <f t="shared" si="1215"/>
        <v>8478585.0500000119</v>
      </c>
      <c r="R5468" s="44" t="str">
        <f>VLOOKUP(F5468,'Set up'!$A$2:$E$100,5,FALSE)</f>
        <v>Trsf</v>
      </c>
    </row>
    <row r="5469" spans="1:18" ht="16.8" customHeight="1" x14ac:dyDescent="0.3">
      <c r="A5469" s="150" t="s">
        <v>4717</v>
      </c>
      <c r="B5469" s="5">
        <f t="shared" si="1210"/>
        <v>6</v>
      </c>
      <c r="C5469" s="5">
        <f t="shared" si="1211"/>
        <v>2026</v>
      </c>
      <c r="D5469" s="150" t="s">
        <v>4755</v>
      </c>
      <c r="E5469" s="5" t="str">
        <f>VLOOKUP(F5469,'Set up'!$A$2:$C$100,2,FALSE)</f>
        <v>C00000042</v>
      </c>
      <c r="F5469" s="150" t="s">
        <v>2012</v>
      </c>
      <c r="G5469" s="150" t="s">
        <v>2129</v>
      </c>
      <c r="H5469" s="150">
        <v>30</v>
      </c>
      <c r="I5469" s="5" t="str">
        <f>VLOOKUP(F5469,'Set up'!$A$2:$C$100,3,FALSE)</f>
        <v>Cash</v>
      </c>
      <c r="J5469" s="5">
        <f>VLOOKUP(F5469,'Set up'!$A$2:$D$100,4,FALSE)</f>
        <v>0</v>
      </c>
      <c r="K5469" s="4">
        <f t="shared" si="1212"/>
        <v>46191</v>
      </c>
      <c r="L5469" s="5">
        <f t="shared" si="1213"/>
        <v>6</v>
      </c>
      <c r="M5469" s="5">
        <f t="shared" si="1214"/>
        <v>2026</v>
      </c>
      <c r="N5469" s="168">
        <v>6438</v>
      </c>
      <c r="P5469" s="12"/>
      <c r="Q5469" s="7">
        <f t="shared" si="1215"/>
        <v>8494196.8500000127</v>
      </c>
      <c r="R5469" s="44" t="str">
        <f>VLOOKUP(F5469,'Set up'!$A$2:$E$100,5,FALSE)</f>
        <v>Trsf</v>
      </c>
    </row>
    <row r="5470" spans="1:18" ht="16.8" customHeight="1" x14ac:dyDescent="0.3">
      <c r="A5470" s="150" t="s">
        <v>4717</v>
      </c>
      <c r="B5470" s="5">
        <f t="shared" si="1210"/>
        <v>6</v>
      </c>
      <c r="C5470" s="5">
        <f t="shared" si="1211"/>
        <v>2026</v>
      </c>
      <c r="D5470" s="150" t="s">
        <v>4755</v>
      </c>
      <c r="E5470" s="5" t="str">
        <f>VLOOKUP(F5470,'Set up'!$A$2:$C$100,2,FALSE)</f>
        <v>C00000042</v>
      </c>
      <c r="F5470" s="150" t="s">
        <v>2012</v>
      </c>
      <c r="G5470" s="150" t="s">
        <v>1922</v>
      </c>
      <c r="H5470" s="150">
        <v>15</v>
      </c>
      <c r="I5470" s="5" t="str">
        <f>VLOOKUP(F5470,'Set up'!$A$2:$C$100,3,FALSE)</f>
        <v>Cash</v>
      </c>
      <c r="J5470" s="5">
        <f>VLOOKUP(F5470,'Set up'!$A$2:$D$100,4,FALSE)</f>
        <v>0</v>
      </c>
      <c r="K5470" s="4">
        <f t="shared" si="1212"/>
        <v>46191</v>
      </c>
      <c r="L5470" s="5">
        <f t="shared" si="1213"/>
        <v>6</v>
      </c>
      <c r="M5470" s="5">
        <f t="shared" si="1214"/>
        <v>2026</v>
      </c>
      <c r="N5470" s="168">
        <v>3105</v>
      </c>
      <c r="P5470" s="12"/>
      <c r="Q5470" s="7">
        <f t="shared" si="1215"/>
        <v>8472418.3500000127</v>
      </c>
      <c r="R5470" s="44" t="str">
        <f>VLOOKUP(F5470,'Set up'!$A$2:$E$100,5,FALSE)</f>
        <v>Trsf</v>
      </c>
    </row>
    <row r="5471" spans="1:18" ht="16.8" customHeight="1" x14ac:dyDescent="0.3">
      <c r="A5471" s="150" t="s">
        <v>4717</v>
      </c>
      <c r="B5471" s="5">
        <f t="shared" ref="B5471:B5518" si="1216">MONTH(A5471)</f>
        <v>6</v>
      </c>
      <c r="C5471" s="5">
        <f t="shared" ref="C5471:C5518" si="1217">YEAR(A5471)</f>
        <v>2026</v>
      </c>
      <c r="D5471" s="150" t="s">
        <v>4755</v>
      </c>
      <c r="E5471" s="5" t="str">
        <f>VLOOKUP(F5471,'Set up'!$A$2:$C$100,2,FALSE)</f>
        <v>C00000042</v>
      </c>
      <c r="F5471" s="150" t="s">
        <v>2012</v>
      </c>
      <c r="G5471" s="150" t="s">
        <v>945</v>
      </c>
      <c r="H5471" s="150">
        <v>4</v>
      </c>
      <c r="I5471" s="5" t="str">
        <f>VLOOKUP(F5471,'Set up'!$A$2:$C$100,3,FALSE)</f>
        <v>Cash</v>
      </c>
      <c r="J5471" s="5">
        <f>VLOOKUP(F5471,'Set up'!$A$2:$D$100,4,FALSE)</f>
        <v>0</v>
      </c>
      <c r="K5471" s="4">
        <f t="shared" ref="K5471:K5518" si="1218">A5471+J5471</f>
        <v>46191</v>
      </c>
      <c r="L5471" s="5">
        <f t="shared" ref="L5471:L5518" si="1219">MONTH(K5471)</f>
        <v>6</v>
      </c>
      <c r="M5471" s="5">
        <f t="shared" ref="M5471:M5518" si="1220">YEAR(K5471)</f>
        <v>2026</v>
      </c>
      <c r="N5471" s="168">
        <v>460</v>
      </c>
      <c r="P5471" s="12"/>
      <c r="Q5471" s="7">
        <f t="shared" ref="Q5471:Q5518" si="1221">SUM(Q5377+N5471)</f>
        <v>8468337.3500000127</v>
      </c>
      <c r="R5471" s="44" t="str">
        <f>VLOOKUP(F5471,'Set up'!$A$2:$E$100,5,FALSE)</f>
        <v>Trsf</v>
      </c>
    </row>
    <row r="5472" spans="1:18" ht="16.8" customHeight="1" x14ac:dyDescent="0.3">
      <c r="A5472" s="150" t="s">
        <v>4717</v>
      </c>
      <c r="B5472" s="5">
        <f t="shared" si="1216"/>
        <v>6</v>
      </c>
      <c r="C5472" s="5">
        <f t="shared" si="1217"/>
        <v>2026</v>
      </c>
      <c r="D5472" s="150" t="s">
        <v>4755</v>
      </c>
      <c r="E5472" s="5" t="str">
        <f>VLOOKUP(F5472,'Set up'!$A$2:$C$100,2,FALSE)</f>
        <v>C00000042</v>
      </c>
      <c r="F5472" s="150" t="s">
        <v>2012</v>
      </c>
      <c r="G5472" s="150" t="s">
        <v>1073</v>
      </c>
      <c r="H5472" s="150">
        <v>1</v>
      </c>
      <c r="I5472" s="5" t="str">
        <f>VLOOKUP(F5472,'Set up'!$A$2:$C$100,3,FALSE)</f>
        <v>Cash</v>
      </c>
      <c r="J5472" s="5">
        <f>VLOOKUP(F5472,'Set up'!$A$2:$D$100,4,FALSE)</f>
        <v>0</v>
      </c>
      <c r="K5472" s="4">
        <f t="shared" si="1218"/>
        <v>46191</v>
      </c>
      <c r="L5472" s="5">
        <f t="shared" si="1219"/>
        <v>6</v>
      </c>
      <c r="M5472" s="5">
        <f t="shared" si="1220"/>
        <v>2026</v>
      </c>
      <c r="N5472" s="168">
        <v>1050</v>
      </c>
      <c r="P5472" s="12"/>
      <c r="Q5472" s="7">
        <f t="shared" si="1221"/>
        <v>8467618.3500000127</v>
      </c>
      <c r="R5472" s="44" t="str">
        <f>VLOOKUP(F5472,'Set up'!$A$2:$E$100,5,FALSE)</f>
        <v>Trsf</v>
      </c>
    </row>
    <row r="5473" spans="1:18" ht="16.8" customHeight="1" x14ac:dyDescent="0.3">
      <c r="A5473" s="150" t="s">
        <v>4717</v>
      </c>
      <c r="B5473" s="5">
        <f t="shared" si="1216"/>
        <v>6</v>
      </c>
      <c r="C5473" s="5">
        <f t="shared" si="1217"/>
        <v>2026</v>
      </c>
      <c r="D5473" s="150" t="s">
        <v>4743</v>
      </c>
      <c r="E5473" s="5" t="str">
        <f>VLOOKUP(F5473,'Set up'!$A$2:$C$100,2,FALSE)</f>
        <v>C00000064</v>
      </c>
      <c r="F5473" s="150" t="s">
        <v>4059</v>
      </c>
      <c r="G5473" s="150" t="s">
        <v>4701</v>
      </c>
      <c r="H5473" s="150">
        <v>1</v>
      </c>
      <c r="I5473" s="5" t="str">
        <f>VLOOKUP(F5473,'Set up'!$A$2:$C$100,3,FALSE)</f>
        <v>Cash</v>
      </c>
      <c r="J5473" s="5">
        <f>VLOOKUP(F5473,'Set up'!$A$2:$D$100,4,FALSE)</f>
        <v>0</v>
      </c>
      <c r="K5473" s="4">
        <f t="shared" si="1218"/>
        <v>46191</v>
      </c>
      <c r="L5473" s="5">
        <f t="shared" si="1219"/>
        <v>6</v>
      </c>
      <c r="M5473" s="5">
        <f t="shared" si="1220"/>
        <v>2026</v>
      </c>
      <c r="N5473" s="168">
        <v>575</v>
      </c>
      <c r="P5473" s="12"/>
      <c r="Q5473" s="7">
        <f t="shared" si="1221"/>
        <v>8469864.6500000134</v>
      </c>
      <c r="R5473" s="44" t="str">
        <f>VLOOKUP(F5473,'Set up'!$A$2:$E$100,5,FALSE)</f>
        <v>Cash</v>
      </c>
    </row>
    <row r="5474" spans="1:18" ht="16.8" customHeight="1" x14ac:dyDescent="0.3">
      <c r="A5474" s="150" t="s">
        <v>4717</v>
      </c>
      <c r="B5474" s="5">
        <f t="shared" si="1216"/>
        <v>6</v>
      </c>
      <c r="C5474" s="5">
        <f t="shared" si="1217"/>
        <v>2026</v>
      </c>
      <c r="D5474" s="150" t="s">
        <v>4743</v>
      </c>
      <c r="E5474" s="5" t="str">
        <f>VLOOKUP(F5474,'Set up'!$A$2:$C$100,2,FALSE)</f>
        <v>C00000064</v>
      </c>
      <c r="F5474" s="150" t="s">
        <v>4059</v>
      </c>
      <c r="G5474" s="150" t="s">
        <v>4702</v>
      </c>
      <c r="H5474" s="150">
        <v>1</v>
      </c>
      <c r="I5474" s="5" t="str">
        <f>VLOOKUP(F5474,'Set up'!$A$2:$C$100,3,FALSE)</f>
        <v>Cash</v>
      </c>
      <c r="J5474" s="5">
        <f>VLOOKUP(F5474,'Set up'!$A$2:$D$100,4,FALSE)</f>
        <v>0</v>
      </c>
      <c r="K5474" s="4">
        <f t="shared" si="1218"/>
        <v>46191</v>
      </c>
      <c r="L5474" s="5">
        <f t="shared" si="1219"/>
        <v>6</v>
      </c>
      <c r="M5474" s="5">
        <f t="shared" si="1220"/>
        <v>2026</v>
      </c>
      <c r="N5474" s="168">
        <v>190</v>
      </c>
      <c r="P5474" s="12"/>
      <c r="Q5474" s="7">
        <f t="shared" si="1221"/>
        <v>8469977.5500000138</v>
      </c>
      <c r="R5474" s="44" t="str">
        <f>VLOOKUP(F5474,'Set up'!$A$2:$E$100,5,FALSE)</f>
        <v>Cash</v>
      </c>
    </row>
    <row r="5475" spans="1:18" ht="16.8" customHeight="1" x14ac:dyDescent="0.3">
      <c r="A5475" s="150" t="s">
        <v>4718</v>
      </c>
      <c r="B5475" s="5">
        <f t="shared" si="1216"/>
        <v>6</v>
      </c>
      <c r="C5475" s="5">
        <f t="shared" si="1217"/>
        <v>2026</v>
      </c>
      <c r="D5475" s="150" t="s">
        <v>4744</v>
      </c>
      <c r="E5475" s="5" t="str">
        <f>VLOOKUP(F5475,'Set up'!$A$2:$C$100,2,FALSE)</f>
        <v>C00000044</v>
      </c>
      <c r="F5475" s="150" t="s">
        <v>2929</v>
      </c>
      <c r="G5475" s="150" t="s">
        <v>3140</v>
      </c>
      <c r="H5475" s="150">
        <v>1</v>
      </c>
      <c r="I5475" s="5" t="str">
        <f>VLOOKUP(F5475,'Set up'!$A$2:$C$100,3,FALSE)</f>
        <v>Cash</v>
      </c>
      <c r="J5475" s="5">
        <f>VLOOKUP(F5475,'Set up'!$A$2:$D$100,4,FALSE)</f>
        <v>0</v>
      </c>
      <c r="K5475" s="4">
        <f t="shared" si="1218"/>
        <v>46192</v>
      </c>
      <c r="L5475" s="5">
        <f t="shared" si="1219"/>
        <v>6</v>
      </c>
      <c r="M5475" s="5">
        <f t="shared" si="1220"/>
        <v>2026</v>
      </c>
      <c r="N5475" s="168">
        <v>1912.5</v>
      </c>
      <c r="P5475" s="12"/>
      <c r="Q5475" s="7">
        <f t="shared" si="1221"/>
        <v>8472158.1500000134</v>
      </c>
      <c r="R5475" s="44" t="str">
        <f>VLOOKUP(F5475,'Set up'!$A$2:$E$100,5,FALSE)</f>
        <v>Cash</v>
      </c>
    </row>
    <row r="5476" spans="1:18" ht="16.8" customHeight="1" x14ac:dyDescent="0.3">
      <c r="A5476" s="150" t="s">
        <v>4718</v>
      </c>
      <c r="B5476" s="5">
        <f t="shared" si="1216"/>
        <v>6</v>
      </c>
      <c r="C5476" s="5">
        <f t="shared" si="1217"/>
        <v>2026</v>
      </c>
      <c r="D5476" s="150" t="s">
        <v>4744</v>
      </c>
      <c r="E5476" s="5" t="str">
        <f>VLOOKUP(F5476,'Set up'!$A$2:$C$100,2,FALSE)</f>
        <v>C00000044</v>
      </c>
      <c r="F5476" s="150" t="s">
        <v>2929</v>
      </c>
      <c r="G5476" s="150" t="s">
        <v>4007</v>
      </c>
      <c r="H5476" s="150">
        <v>3</v>
      </c>
      <c r="I5476" s="5" t="str">
        <f>VLOOKUP(F5476,'Set up'!$A$2:$C$100,3,FALSE)</f>
        <v>Cash</v>
      </c>
      <c r="J5476" s="5">
        <f>VLOOKUP(F5476,'Set up'!$A$2:$D$100,4,FALSE)</f>
        <v>0</v>
      </c>
      <c r="K5476" s="4">
        <f t="shared" si="1218"/>
        <v>46192</v>
      </c>
      <c r="L5476" s="5">
        <f t="shared" si="1219"/>
        <v>6</v>
      </c>
      <c r="M5476" s="5">
        <f t="shared" si="1220"/>
        <v>2026</v>
      </c>
      <c r="N5476" s="168">
        <v>675</v>
      </c>
      <c r="P5476" s="12"/>
      <c r="Q5476" s="7">
        <f t="shared" si="1221"/>
        <v>8469975.6500000134</v>
      </c>
      <c r="R5476" s="44" t="str">
        <f>VLOOKUP(F5476,'Set up'!$A$2:$E$100,5,FALSE)</f>
        <v>Cash</v>
      </c>
    </row>
    <row r="5477" spans="1:18" ht="16.8" customHeight="1" x14ac:dyDescent="0.3">
      <c r="A5477" s="150" t="s">
        <v>4718</v>
      </c>
      <c r="B5477" s="5">
        <f t="shared" si="1216"/>
        <v>6</v>
      </c>
      <c r="C5477" s="5">
        <f t="shared" si="1217"/>
        <v>2026</v>
      </c>
      <c r="D5477" s="150" t="s">
        <v>4744</v>
      </c>
      <c r="E5477" s="5" t="str">
        <f>VLOOKUP(F5477,'Set up'!$A$2:$C$100,2,FALSE)</f>
        <v>C00000044</v>
      </c>
      <c r="F5477" s="150" t="s">
        <v>2929</v>
      </c>
      <c r="G5477" s="150" t="s">
        <v>2738</v>
      </c>
      <c r="H5477" s="150">
        <v>3</v>
      </c>
      <c r="I5477" s="5" t="str">
        <f>VLOOKUP(F5477,'Set up'!$A$2:$C$100,3,FALSE)</f>
        <v>Cash</v>
      </c>
      <c r="J5477" s="5">
        <f>VLOOKUP(F5477,'Set up'!$A$2:$D$100,4,FALSE)</f>
        <v>0</v>
      </c>
      <c r="K5477" s="4">
        <f t="shared" si="1218"/>
        <v>46192</v>
      </c>
      <c r="L5477" s="5">
        <f t="shared" si="1219"/>
        <v>6</v>
      </c>
      <c r="M5477" s="5">
        <f t="shared" si="1220"/>
        <v>2026</v>
      </c>
      <c r="N5477" s="168">
        <v>525</v>
      </c>
      <c r="P5477" s="12"/>
      <c r="Q5477" s="7">
        <f t="shared" si="1221"/>
        <v>8469605.6500000134</v>
      </c>
      <c r="R5477" s="44" t="str">
        <f>VLOOKUP(F5477,'Set up'!$A$2:$E$100,5,FALSE)</f>
        <v>Cash</v>
      </c>
    </row>
    <row r="5478" spans="1:18" ht="16.8" customHeight="1" x14ac:dyDescent="0.3">
      <c r="A5478" s="150" t="s">
        <v>4719</v>
      </c>
      <c r="B5478" s="5">
        <f t="shared" si="1216"/>
        <v>6</v>
      </c>
      <c r="C5478" s="5">
        <f t="shared" si="1217"/>
        <v>2026</v>
      </c>
      <c r="D5478" s="150" t="s">
        <v>4745</v>
      </c>
      <c r="E5478" s="5" t="str">
        <f>VLOOKUP(F5478,'Set up'!$A$2:$C$100,2,FALSE)</f>
        <v>C00000003</v>
      </c>
      <c r="F5478" s="150" t="s">
        <v>20</v>
      </c>
      <c r="G5478" s="150" t="s">
        <v>3645</v>
      </c>
      <c r="H5478" s="150">
        <v>1</v>
      </c>
      <c r="I5478" s="5">
        <f>VLOOKUP(F5478,'Set up'!$A$2:$C$100,3,FALSE)</f>
        <v>45</v>
      </c>
      <c r="J5478" s="5">
        <f>VLOOKUP(F5478,'Set up'!$A$2:$D$100,4,FALSE)</f>
        <v>45</v>
      </c>
      <c r="K5478" s="4">
        <f t="shared" si="1218"/>
        <v>46238</v>
      </c>
      <c r="L5478" s="5">
        <f t="shared" si="1219"/>
        <v>8</v>
      </c>
      <c r="M5478" s="5">
        <f t="shared" si="1220"/>
        <v>2026</v>
      </c>
      <c r="N5478" s="168">
        <v>1957.5</v>
      </c>
      <c r="P5478" s="12"/>
      <c r="Q5478" s="7">
        <f t="shared" si="1221"/>
        <v>8471200.6500000134</v>
      </c>
      <c r="R5478" s="44" t="str">
        <f>VLOOKUP(F5478,'Set up'!$A$2:$E$100,5,FALSE)</f>
        <v>PD Chq</v>
      </c>
    </row>
    <row r="5479" spans="1:18" ht="16.8" customHeight="1" x14ac:dyDescent="0.3">
      <c r="A5479" s="150" t="s">
        <v>4719</v>
      </c>
      <c r="B5479" s="5">
        <f t="shared" si="1216"/>
        <v>6</v>
      </c>
      <c r="C5479" s="5">
        <f t="shared" si="1217"/>
        <v>2026</v>
      </c>
      <c r="D5479" s="150" t="s">
        <v>4745</v>
      </c>
      <c r="E5479" s="5" t="str">
        <f>VLOOKUP(F5479,'Set up'!$A$2:$C$100,2,FALSE)</f>
        <v>C00000003</v>
      </c>
      <c r="F5479" s="150" t="s">
        <v>20</v>
      </c>
      <c r="G5479" s="150" t="s">
        <v>949</v>
      </c>
      <c r="H5479" s="150">
        <v>2</v>
      </c>
      <c r="I5479" s="5">
        <f>VLOOKUP(F5479,'Set up'!$A$2:$C$100,3,FALSE)</f>
        <v>45</v>
      </c>
      <c r="J5479" s="5">
        <f>VLOOKUP(F5479,'Set up'!$A$2:$D$100,4,FALSE)</f>
        <v>45</v>
      </c>
      <c r="K5479" s="4">
        <f t="shared" si="1218"/>
        <v>46238</v>
      </c>
      <c r="L5479" s="5">
        <f t="shared" si="1219"/>
        <v>8</v>
      </c>
      <c r="M5479" s="5">
        <f t="shared" si="1220"/>
        <v>2026</v>
      </c>
      <c r="N5479" s="168">
        <v>120</v>
      </c>
      <c r="P5479" s="12"/>
      <c r="Q5479" s="7">
        <f t="shared" si="1221"/>
        <v>8349546.1500000134</v>
      </c>
      <c r="R5479" s="44" t="str">
        <f>VLOOKUP(F5479,'Set up'!$A$2:$E$100,5,FALSE)</f>
        <v>PD Chq</v>
      </c>
    </row>
    <row r="5480" spans="1:18" ht="16.8" customHeight="1" x14ac:dyDescent="0.3">
      <c r="A5480" s="150" t="s">
        <v>4719</v>
      </c>
      <c r="B5480" s="5">
        <f t="shared" si="1216"/>
        <v>6</v>
      </c>
      <c r="C5480" s="5">
        <f t="shared" si="1217"/>
        <v>2026</v>
      </c>
      <c r="D5480" s="150" t="s">
        <v>4745</v>
      </c>
      <c r="E5480" s="5" t="str">
        <f>VLOOKUP(F5480,'Set up'!$A$2:$C$100,2,FALSE)</f>
        <v>C00000003</v>
      </c>
      <c r="F5480" s="150" t="s">
        <v>20</v>
      </c>
      <c r="G5480" s="150" t="s">
        <v>4695</v>
      </c>
      <c r="H5480" s="150">
        <v>2</v>
      </c>
      <c r="I5480" s="5">
        <f>VLOOKUP(F5480,'Set up'!$A$2:$C$100,3,FALSE)</f>
        <v>45</v>
      </c>
      <c r="J5480" s="5">
        <f>VLOOKUP(F5480,'Set up'!$A$2:$D$100,4,FALSE)</f>
        <v>45</v>
      </c>
      <c r="K5480" s="4">
        <f t="shared" si="1218"/>
        <v>46238</v>
      </c>
      <c r="L5480" s="5">
        <f t="shared" si="1219"/>
        <v>8</v>
      </c>
      <c r="M5480" s="5">
        <f t="shared" si="1220"/>
        <v>2026</v>
      </c>
      <c r="N5480" s="168">
        <v>230</v>
      </c>
      <c r="P5480" s="12"/>
      <c r="Q5480" s="7">
        <f t="shared" si="1221"/>
        <v>8336228.5500000138</v>
      </c>
      <c r="R5480" s="44" t="str">
        <f>VLOOKUP(F5480,'Set up'!$A$2:$E$100,5,FALSE)</f>
        <v>PD Chq</v>
      </c>
    </row>
    <row r="5481" spans="1:18" ht="16.8" customHeight="1" x14ac:dyDescent="0.3">
      <c r="A5481" s="150" t="s">
        <v>4719</v>
      </c>
      <c r="B5481" s="5">
        <f t="shared" si="1216"/>
        <v>6</v>
      </c>
      <c r="C5481" s="5">
        <f t="shared" si="1217"/>
        <v>2026</v>
      </c>
      <c r="D5481" s="150" t="s">
        <v>4745</v>
      </c>
      <c r="E5481" s="5" t="str">
        <f>VLOOKUP(F5481,'Set up'!$A$2:$C$100,2,FALSE)</f>
        <v>C00000003</v>
      </c>
      <c r="F5481" s="150" t="s">
        <v>20</v>
      </c>
      <c r="G5481" s="150" t="s">
        <v>2635</v>
      </c>
      <c r="H5481" s="150">
        <v>3</v>
      </c>
      <c r="I5481" s="5">
        <f>VLOOKUP(F5481,'Set up'!$A$2:$C$100,3,FALSE)</f>
        <v>45</v>
      </c>
      <c r="J5481" s="5">
        <f>VLOOKUP(F5481,'Set up'!$A$2:$D$100,4,FALSE)</f>
        <v>45</v>
      </c>
      <c r="K5481" s="4">
        <f t="shared" si="1218"/>
        <v>46238</v>
      </c>
      <c r="L5481" s="5">
        <f t="shared" si="1219"/>
        <v>8</v>
      </c>
      <c r="M5481" s="5">
        <f t="shared" si="1220"/>
        <v>2026</v>
      </c>
      <c r="N5481" s="168">
        <v>187.5</v>
      </c>
      <c r="P5481" s="12"/>
      <c r="Q5481" s="7">
        <f t="shared" si="1221"/>
        <v>8334618.4500000132</v>
      </c>
      <c r="R5481" s="44" t="str">
        <f>VLOOKUP(F5481,'Set up'!$A$2:$E$100,5,FALSE)</f>
        <v>PD Chq</v>
      </c>
    </row>
    <row r="5482" spans="1:18" ht="16.8" customHeight="1" x14ac:dyDescent="0.3">
      <c r="A5482" s="150" t="s">
        <v>4720</v>
      </c>
      <c r="B5482" s="5">
        <f t="shared" si="1216"/>
        <v>6</v>
      </c>
      <c r="C5482" s="5">
        <f t="shared" si="1217"/>
        <v>2026</v>
      </c>
      <c r="D5482" s="150" t="s">
        <v>4746</v>
      </c>
      <c r="E5482" s="5" t="str">
        <f>VLOOKUP(F5482,'Set up'!$A$2:$C$100,2,FALSE)</f>
        <v>C00000019</v>
      </c>
      <c r="F5482" s="150" t="s">
        <v>400</v>
      </c>
      <c r="G5482" s="150" t="s">
        <v>2449</v>
      </c>
      <c r="H5482" s="150">
        <v>1</v>
      </c>
      <c r="I5482" s="5" t="str">
        <f>VLOOKUP(F5482,'Set up'!$A$2:$C$100,3,FALSE)</f>
        <v>Cash</v>
      </c>
      <c r="J5482" s="5">
        <f>VLOOKUP(F5482,'Set up'!$A$2:$D$100,4,FALSE)</f>
        <v>0</v>
      </c>
      <c r="K5482" s="4">
        <f t="shared" si="1218"/>
        <v>46194</v>
      </c>
      <c r="L5482" s="5">
        <f t="shared" si="1219"/>
        <v>6</v>
      </c>
      <c r="M5482" s="5">
        <f t="shared" si="1220"/>
        <v>2026</v>
      </c>
      <c r="N5482" s="168">
        <v>420</v>
      </c>
      <c r="P5482" s="12"/>
      <c r="Q5482" s="7">
        <f t="shared" si="1221"/>
        <v>8334160.4500000132</v>
      </c>
      <c r="R5482" s="44" t="str">
        <f>VLOOKUP(F5482,'Set up'!$A$2:$E$100,5,FALSE)</f>
        <v>Trsf</v>
      </c>
    </row>
    <row r="5483" spans="1:18" ht="16.8" customHeight="1" x14ac:dyDescent="0.3">
      <c r="A5483" s="150" t="s">
        <v>4721</v>
      </c>
      <c r="B5483" s="5">
        <f t="shared" si="1216"/>
        <v>6</v>
      </c>
      <c r="C5483" s="5">
        <f t="shared" si="1217"/>
        <v>2026</v>
      </c>
      <c r="D5483" s="150" t="s">
        <v>4747</v>
      </c>
      <c r="E5483" s="5" t="str">
        <f>VLOOKUP(F5483,'Set up'!$A$2:$C$100,2,FALSE)</f>
        <v>C00000042</v>
      </c>
      <c r="F5483" s="150" t="s">
        <v>2012</v>
      </c>
      <c r="G5483" s="150" t="s">
        <v>3645</v>
      </c>
      <c r="H5483" s="150">
        <v>8</v>
      </c>
      <c r="I5483" s="5" t="str">
        <f>VLOOKUP(F5483,'Set up'!$A$2:$C$100,3,FALSE)</f>
        <v>Cash</v>
      </c>
      <c r="J5483" s="5">
        <f>VLOOKUP(F5483,'Set up'!$A$2:$D$100,4,FALSE)</f>
        <v>0</v>
      </c>
      <c r="K5483" s="4">
        <f t="shared" si="1218"/>
        <v>46195</v>
      </c>
      <c r="L5483" s="5">
        <f t="shared" si="1219"/>
        <v>6</v>
      </c>
      <c r="M5483" s="5">
        <f t="shared" si="1220"/>
        <v>2026</v>
      </c>
      <c r="N5483" s="168">
        <v>14580</v>
      </c>
      <c r="P5483" s="12"/>
      <c r="Q5483" s="7">
        <f t="shared" si="1221"/>
        <v>8351651.4500000132</v>
      </c>
      <c r="R5483" s="44" t="str">
        <f>VLOOKUP(F5483,'Set up'!$A$2:$E$100,5,FALSE)</f>
        <v>Trsf</v>
      </c>
    </row>
    <row r="5484" spans="1:18" ht="16.8" customHeight="1" x14ac:dyDescent="0.3">
      <c r="A5484" s="150" t="s">
        <v>4721</v>
      </c>
      <c r="B5484" s="5">
        <f t="shared" si="1216"/>
        <v>6</v>
      </c>
      <c r="C5484" s="5">
        <f t="shared" si="1217"/>
        <v>2026</v>
      </c>
      <c r="D5484" s="150" t="s">
        <v>4747</v>
      </c>
      <c r="E5484" s="5" t="str">
        <f>VLOOKUP(F5484,'Set up'!$A$2:$C$100,2,FALSE)</f>
        <v>C00000042</v>
      </c>
      <c r="F5484" s="150" t="s">
        <v>2012</v>
      </c>
      <c r="G5484" s="150" t="s">
        <v>2129</v>
      </c>
      <c r="H5484" s="150">
        <v>24</v>
      </c>
      <c r="I5484" s="5" t="str">
        <f>VLOOKUP(F5484,'Set up'!$A$2:$C$100,3,FALSE)</f>
        <v>Cash</v>
      </c>
      <c r="J5484" s="5">
        <f>VLOOKUP(F5484,'Set up'!$A$2:$D$100,4,FALSE)</f>
        <v>0</v>
      </c>
      <c r="K5484" s="4">
        <f t="shared" si="1218"/>
        <v>46195</v>
      </c>
      <c r="L5484" s="5">
        <f t="shared" si="1219"/>
        <v>6</v>
      </c>
      <c r="M5484" s="5">
        <f t="shared" si="1220"/>
        <v>2026</v>
      </c>
      <c r="N5484" s="168">
        <v>5150.3999999999996</v>
      </c>
      <c r="P5484" s="12"/>
      <c r="Q5484" s="7">
        <f t="shared" si="1221"/>
        <v>8344014.3500000136</v>
      </c>
      <c r="R5484" s="44" t="str">
        <f>VLOOKUP(F5484,'Set up'!$A$2:$E$100,5,FALSE)</f>
        <v>Trsf</v>
      </c>
    </row>
    <row r="5485" spans="1:18" ht="16.8" customHeight="1" x14ac:dyDescent="0.3">
      <c r="A5485" s="150" t="s">
        <v>4721</v>
      </c>
      <c r="B5485" s="5">
        <f t="shared" si="1216"/>
        <v>6</v>
      </c>
      <c r="C5485" s="5">
        <f t="shared" si="1217"/>
        <v>2026</v>
      </c>
      <c r="D5485" s="150" t="s">
        <v>4747</v>
      </c>
      <c r="E5485" s="5" t="str">
        <f>VLOOKUP(F5485,'Set up'!$A$2:$C$100,2,FALSE)</f>
        <v>C00000042</v>
      </c>
      <c r="F5485" s="150" t="s">
        <v>2012</v>
      </c>
      <c r="G5485" s="150" t="s">
        <v>1922</v>
      </c>
      <c r="H5485" s="150">
        <v>12</v>
      </c>
      <c r="I5485" s="5" t="str">
        <f>VLOOKUP(F5485,'Set up'!$A$2:$C$100,3,FALSE)</f>
        <v>Cash</v>
      </c>
      <c r="J5485" s="5">
        <f>VLOOKUP(F5485,'Set up'!$A$2:$D$100,4,FALSE)</f>
        <v>0</v>
      </c>
      <c r="K5485" s="4">
        <f t="shared" si="1218"/>
        <v>46195</v>
      </c>
      <c r="L5485" s="5">
        <f t="shared" si="1219"/>
        <v>6</v>
      </c>
      <c r="M5485" s="5">
        <f t="shared" si="1220"/>
        <v>2026</v>
      </c>
      <c r="N5485" s="168">
        <v>2484</v>
      </c>
      <c r="P5485" s="12"/>
      <c r="Q5485" s="7">
        <f t="shared" si="1221"/>
        <v>8338962.3500000136</v>
      </c>
      <c r="R5485" s="44" t="str">
        <f>VLOOKUP(F5485,'Set up'!$A$2:$E$100,5,FALSE)</f>
        <v>Trsf</v>
      </c>
    </row>
    <row r="5486" spans="1:18" ht="16.8" customHeight="1" x14ac:dyDescent="0.3">
      <c r="A5486" s="150" t="s">
        <v>4721</v>
      </c>
      <c r="B5486" s="5">
        <f t="shared" si="1216"/>
        <v>6</v>
      </c>
      <c r="C5486" s="5">
        <f t="shared" si="1217"/>
        <v>2026</v>
      </c>
      <c r="D5486" s="150" t="s">
        <v>4747</v>
      </c>
      <c r="E5486" s="5" t="str">
        <f>VLOOKUP(F5486,'Set up'!$A$2:$C$100,2,FALSE)</f>
        <v>C00000042</v>
      </c>
      <c r="F5486" s="150" t="s">
        <v>2012</v>
      </c>
      <c r="G5486" s="150" t="s">
        <v>4695</v>
      </c>
      <c r="H5486" s="150">
        <v>4</v>
      </c>
      <c r="I5486" s="5" t="str">
        <f>VLOOKUP(F5486,'Set up'!$A$2:$C$100,3,FALSE)</f>
        <v>Cash</v>
      </c>
      <c r="J5486" s="5">
        <f>VLOOKUP(F5486,'Set up'!$A$2:$D$100,4,FALSE)</f>
        <v>0</v>
      </c>
      <c r="K5486" s="4">
        <f t="shared" si="1218"/>
        <v>46195</v>
      </c>
      <c r="L5486" s="5">
        <f t="shared" si="1219"/>
        <v>6</v>
      </c>
      <c r="M5486" s="5">
        <f t="shared" si="1220"/>
        <v>2026</v>
      </c>
      <c r="N5486" s="168">
        <v>460</v>
      </c>
      <c r="P5486" s="12"/>
      <c r="Q5486" s="7">
        <f t="shared" si="1221"/>
        <v>8336691.3500000136</v>
      </c>
      <c r="R5486" s="44" t="str">
        <f>VLOOKUP(F5486,'Set up'!$A$2:$E$100,5,FALSE)</f>
        <v>Trsf</v>
      </c>
    </row>
    <row r="5487" spans="1:18" ht="16.8" customHeight="1" x14ac:dyDescent="0.3">
      <c r="A5487" s="150" t="s">
        <v>4721</v>
      </c>
      <c r="B5487" s="5">
        <f t="shared" si="1216"/>
        <v>6</v>
      </c>
      <c r="C5487" s="5">
        <f t="shared" si="1217"/>
        <v>2026</v>
      </c>
      <c r="D5487" s="150" t="s">
        <v>4747</v>
      </c>
      <c r="E5487" s="5" t="str">
        <f>VLOOKUP(F5487,'Set up'!$A$2:$C$100,2,FALSE)</f>
        <v>C00000042</v>
      </c>
      <c r="F5487" s="150" t="s">
        <v>2012</v>
      </c>
      <c r="G5487" s="150" t="s">
        <v>1073</v>
      </c>
      <c r="H5487" s="150">
        <v>1</v>
      </c>
      <c r="I5487" s="5" t="str">
        <f>VLOOKUP(F5487,'Set up'!$A$2:$C$100,3,FALSE)</f>
        <v>Cash</v>
      </c>
      <c r="J5487" s="5">
        <f>VLOOKUP(F5487,'Set up'!$A$2:$D$100,4,FALSE)</f>
        <v>0</v>
      </c>
      <c r="K5487" s="4">
        <f t="shared" si="1218"/>
        <v>46195</v>
      </c>
      <c r="L5487" s="5">
        <f t="shared" si="1219"/>
        <v>6</v>
      </c>
      <c r="M5487" s="5">
        <f t="shared" si="1220"/>
        <v>2026</v>
      </c>
      <c r="N5487" s="168">
        <v>1050</v>
      </c>
      <c r="P5487" s="12"/>
      <c r="Q5487" s="7">
        <f t="shared" si="1221"/>
        <v>8346453.9500000132</v>
      </c>
      <c r="R5487" s="44" t="str">
        <f>VLOOKUP(F5487,'Set up'!$A$2:$E$100,5,FALSE)</f>
        <v>Trsf</v>
      </c>
    </row>
    <row r="5488" spans="1:18" ht="16.8" customHeight="1" x14ac:dyDescent="0.3">
      <c r="A5488" s="150" t="s">
        <v>4722</v>
      </c>
      <c r="B5488" s="5">
        <f t="shared" si="1216"/>
        <v>6</v>
      </c>
      <c r="C5488" s="5">
        <f t="shared" si="1217"/>
        <v>2026</v>
      </c>
      <c r="D5488" s="150" t="s">
        <v>4748</v>
      </c>
      <c r="E5488" s="5" t="str">
        <f>VLOOKUP(F5488,'Set up'!$A$2:$C$100,2,FALSE)</f>
        <v>C00000042</v>
      </c>
      <c r="F5488" s="150" t="s">
        <v>2012</v>
      </c>
      <c r="G5488" s="150" t="s">
        <v>4695</v>
      </c>
      <c r="H5488" s="150">
        <v>4</v>
      </c>
      <c r="I5488" s="5" t="str">
        <f>VLOOKUP(F5488,'Set up'!$A$2:$C$100,3,FALSE)</f>
        <v>Cash</v>
      </c>
      <c r="J5488" s="5">
        <f>VLOOKUP(F5488,'Set up'!$A$2:$D$100,4,FALSE)</f>
        <v>0</v>
      </c>
      <c r="K5488" s="4">
        <f t="shared" si="1218"/>
        <v>46196</v>
      </c>
      <c r="L5488" s="5">
        <f t="shared" si="1219"/>
        <v>6</v>
      </c>
      <c r="M5488" s="5">
        <f t="shared" si="1220"/>
        <v>2026</v>
      </c>
      <c r="N5488" s="168">
        <v>460</v>
      </c>
      <c r="P5488" s="12"/>
      <c r="Q5488" s="7">
        <f t="shared" si="1221"/>
        <v>8344490.9500000132</v>
      </c>
      <c r="R5488" s="44" t="str">
        <f>VLOOKUP(F5488,'Set up'!$A$2:$E$100,5,FALSE)</f>
        <v>Trsf</v>
      </c>
    </row>
    <row r="5489" spans="1:18" ht="16.8" customHeight="1" x14ac:dyDescent="0.3">
      <c r="A5489" s="150" t="s">
        <v>4722</v>
      </c>
      <c r="B5489" s="5">
        <f t="shared" si="1216"/>
        <v>6</v>
      </c>
      <c r="C5489" s="5">
        <f t="shared" si="1217"/>
        <v>2026</v>
      </c>
      <c r="D5489" s="150" t="s">
        <v>4748</v>
      </c>
      <c r="E5489" s="5" t="str">
        <f>VLOOKUP(F5489,'Set up'!$A$2:$C$100,2,FALSE)</f>
        <v>C00000042</v>
      </c>
      <c r="F5489" s="150" t="s">
        <v>2012</v>
      </c>
      <c r="G5489" s="150" t="s">
        <v>4691</v>
      </c>
      <c r="H5489" s="150">
        <v>1</v>
      </c>
      <c r="I5489" s="5" t="str">
        <f>VLOOKUP(F5489,'Set up'!$A$2:$C$100,3,FALSE)</f>
        <v>Cash</v>
      </c>
      <c r="J5489" s="5">
        <f>VLOOKUP(F5489,'Set up'!$A$2:$D$100,4,FALSE)</f>
        <v>0</v>
      </c>
      <c r="K5489" s="4">
        <f t="shared" si="1218"/>
        <v>46196</v>
      </c>
      <c r="L5489" s="5">
        <f t="shared" si="1219"/>
        <v>6</v>
      </c>
      <c r="M5489" s="5">
        <f t="shared" si="1220"/>
        <v>2026</v>
      </c>
      <c r="N5489" s="168">
        <v>950</v>
      </c>
      <c r="P5489" s="12"/>
      <c r="Q5489" s="7">
        <f t="shared" si="1221"/>
        <v>8347264.3500000136</v>
      </c>
      <c r="R5489" s="44" t="str">
        <f>VLOOKUP(F5489,'Set up'!$A$2:$E$100,5,FALSE)</f>
        <v>Trsf</v>
      </c>
    </row>
    <row r="5490" spans="1:18" ht="16.8" customHeight="1" x14ac:dyDescent="0.3">
      <c r="A5490" s="150" t="s">
        <v>4723</v>
      </c>
      <c r="B5490" s="5">
        <f t="shared" si="1216"/>
        <v>6</v>
      </c>
      <c r="C5490" s="5">
        <f t="shared" si="1217"/>
        <v>2026</v>
      </c>
      <c r="D5490" s="150" t="s">
        <v>4749</v>
      </c>
      <c r="E5490" s="5" t="str">
        <f>VLOOKUP(F5490,'Set up'!$A$2:$C$100,2,FALSE)</f>
        <v>C00000027</v>
      </c>
      <c r="F5490" s="150" t="s">
        <v>859</v>
      </c>
      <c r="G5490" s="150" t="s">
        <v>4703</v>
      </c>
      <c r="H5490" s="150">
        <v>2</v>
      </c>
      <c r="I5490" s="5" t="str">
        <f>VLOOKUP(F5490,'Set up'!$A$2:$C$100,3,FALSE)</f>
        <v>Cash</v>
      </c>
      <c r="J5490" s="5">
        <f>VLOOKUP(F5490,'Set up'!$A$2:$D$100,4,FALSE)</f>
        <v>0</v>
      </c>
      <c r="K5490" s="4">
        <f t="shared" si="1218"/>
        <v>46197</v>
      </c>
      <c r="L5490" s="5">
        <f t="shared" si="1219"/>
        <v>6</v>
      </c>
      <c r="M5490" s="5">
        <f t="shared" si="1220"/>
        <v>2026</v>
      </c>
      <c r="N5490" s="168">
        <v>3870</v>
      </c>
      <c r="P5490" s="12"/>
      <c r="Q5490" s="7">
        <f t="shared" si="1221"/>
        <v>8346133.8500000136</v>
      </c>
      <c r="R5490" s="44" t="str">
        <f>VLOOKUP(F5490,'Set up'!$A$2:$E$100,5,FALSE)</f>
        <v>Trsf</v>
      </c>
    </row>
    <row r="5491" spans="1:18" ht="16.8" customHeight="1" x14ac:dyDescent="0.3">
      <c r="A5491" s="150" t="s">
        <v>4723</v>
      </c>
      <c r="B5491" s="5">
        <f t="shared" si="1216"/>
        <v>6</v>
      </c>
      <c r="C5491" s="5">
        <f t="shared" si="1217"/>
        <v>2026</v>
      </c>
      <c r="D5491" s="150" t="s">
        <v>4749</v>
      </c>
      <c r="E5491" s="5" t="str">
        <f>VLOOKUP(F5491,'Set up'!$A$2:$C$100,2,FALSE)</f>
        <v>C00000027</v>
      </c>
      <c r="F5491" s="150" t="s">
        <v>859</v>
      </c>
      <c r="G5491" s="150" t="s">
        <v>4046</v>
      </c>
      <c r="H5491" s="150">
        <v>5</v>
      </c>
      <c r="I5491" s="5" t="str">
        <f>VLOOKUP(F5491,'Set up'!$A$2:$C$100,3,FALSE)</f>
        <v>Cash</v>
      </c>
      <c r="J5491" s="5">
        <f>VLOOKUP(F5491,'Set up'!$A$2:$D$100,4,FALSE)</f>
        <v>0</v>
      </c>
      <c r="K5491" s="4">
        <f t="shared" si="1218"/>
        <v>46197</v>
      </c>
      <c r="L5491" s="5">
        <f t="shared" si="1219"/>
        <v>6</v>
      </c>
      <c r="M5491" s="5">
        <f t="shared" si="1220"/>
        <v>2026</v>
      </c>
      <c r="N5491" s="168">
        <v>1125</v>
      </c>
      <c r="P5491" s="12"/>
      <c r="Q5491" s="7">
        <f t="shared" si="1221"/>
        <v>8343970.4500000132</v>
      </c>
      <c r="R5491" s="44" t="str">
        <f>VLOOKUP(F5491,'Set up'!$A$2:$E$100,5,FALSE)</f>
        <v>Trsf</v>
      </c>
    </row>
    <row r="5492" spans="1:18" ht="16.8" customHeight="1" x14ac:dyDescent="0.3">
      <c r="A5492" s="150" t="s">
        <v>4723</v>
      </c>
      <c r="B5492" s="5">
        <f t="shared" si="1216"/>
        <v>6</v>
      </c>
      <c r="C5492" s="5">
        <f t="shared" si="1217"/>
        <v>2026</v>
      </c>
      <c r="D5492" s="150" t="s">
        <v>4749</v>
      </c>
      <c r="E5492" s="5" t="str">
        <f>VLOOKUP(F5492,'Set up'!$A$2:$C$100,2,FALSE)</f>
        <v>C00000027</v>
      </c>
      <c r="F5492" s="150" t="s">
        <v>859</v>
      </c>
      <c r="G5492" s="150" t="s">
        <v>4144</v>
      </c>
      <c r="H5492" s="150">
        <v>1</v>
      </c>
      <c r="I5492" s="5" t="str">
        <f>VLOOKUP(F5492,'Set up'!$A$2:$C$100,3,FALSE)</f>
        <v>Cash</v>
      </c>
      <c r="J5492" s="5">
        <f>VLOOKUP(F5492,'Set up'!$A$2:$D$100,4,FALSE)</f>
        <v>0</v>
      </c>
      <c r="K5492" s="4">
        <f t="shared" si="1218"/>
        <v>46197</v>
      </c>
      <c r="L5492" s="5">
        <f t="shared" si="1219"/>
        <v>6</v>
      </c>
      <c r="M5492" s="5">
        <f t="shared" si="1220"/>
        <v>2026</v>
      </c>
      <c r="N5492" s="168">
        <v>1336.6</v>
      </c>
      <c r="P5492" s="12"/>
      <c r="Q5492" s="7">
        <f t="shared" si="1221"/>
        <v>8352848.4500000132</v>
      </c>
      <c r="R5492" s="44" t="str">
        <f>VLOOKUP(F5492,'Set up'!$A$2:$E$100,5,FALSE)</f>
        <v>Trsf</v>
      </c>
    </row>
    <row r="5493" spans="1:18" ht="16.8" customHeight="1" x14ac:dyDescent="0.3">
      <c r="A5493" s="150" t="s">
        <v>4723</v>
      </c>
      <c r="B5493" s="5">
        <f t="shared" si="1216"/>
        <v>6</v>
      </c>
      <c r="C5493" s="5">
        <f t="shared" si="1217"/>
        <v>2026</v>
      </c>
      <c r="D5493" s="150" t="s">
        <v>4749</v>
      </c>
      <c r="E5493" s="5" t="str">
        <f>VLOOKUP(F5493,'Set up'!$A$2:$C$100,2,FALSE)</f>
        <v>C00000027</v>
      </c>
      <c r="F5493" s="150" t="s">
        <v>859</v>
      </c>
      <c r="G5493" s="150" t="s">
        <v>2449</v>
      </c>
      <c r="H5493" s="150">
        <v>1</v>
      </c>
      <c r="I5493" s="5" t="str">
        <f>VLOOKUP(F5493,'Set up'!$A$2:$C$100,3,FALSE)</f>
        <v>Cash</v>
      </c>
      <c r="J5493" s="5">
        <f>VLOOKUP(F5493,'Set up'!$A$2:$D$100,4,FALSE)</f>
        <v>0</v>
      </c>
      <c r="K5493" s="4">
        <f t="shared" si="1218"/>
        <v>46197</v>
      </c>
      <c r="L5493" s="5">
        <f t="shared" si="1219"/>
        <v>6</v>
      </c>
      <c r="M5493" s="5">
        <f t="shared" si="1220"/>
        <v>2026</v>
      </c>
      <c r="N5493" s="168">
        <v>420</v>
      </c>
      <c r="P5493" s="12"/>
      <c r="Q5493" s="7">
        <f t="shared" si="1221"/>
        <v>8350782.750000014</v>
      </c>
      <c r="R5493" s="44" t="str">
        <f>VLOOKUP(F5493,'Set up'!$A$2:$E$100,5,FALSE)</f>
        <v>Trsf</v>
      </c>
    </row>
    <row r="5494" spans="1:18" ht="16.8" customHeight="1" x14ac:dyDescent="0.3">
      <c r="A5494" s="150" t="s">
        <v>4723</v>
      </c>
      <c r="B5494" s="5">
        <f t="shared" si="1216"/>
        <v>6</v>
      </c>
      <c r="C5494" s="5">
        <f t="shared" si="1217"/>
        <v>2026</v>
      </c>
      <c r="D5494" s="150" t="s">
        <v>4749</v>
      </c>
      <c r="E5494" s="5" t="str">
        <f>VLOOKUP(F5494,'Set up'!$A$2:$C$100,2,FALSE)</f>
        <v>C00000027</v>
      </c>
      <c r="F5494" s="150" t="s">
        <v>859</v>
      </c>
      <c r="G5494" s="150" t="s">
        <v>4348</v>
      </c>
      <c r="H5494" s="150">
        <v>6</v>
      </c>
      <c r="I5494" s="5" t="str">
        <f>VLOOKUP(F5494,'Set up'!$A$2:$C$100,3,FALSE)</f>
        <v>Cash</v>
      </c>
      <c r="J5494" s="5">
        <f>VLOOKUP(F5494,'Set up'!$A$2:$D$100,4,FALSE)</f>
        <v>0</v>
      </c>
      <c r="K5494" s="4">
        <f t="shared" si="1218"/>
        <v>46197</v>
      </c>
      <c r="L5494" s="5">
        <f t="shared" si="1219"/>
        <v>6</v>
      </c>
      <c r="M5494" s="5">
        <f t="shared" si="1220"/>
        <v>2026</v>
      </c>
      <c r="N5494" s="168">
        <v>360</v>
      </c>
      <c r="P5494" s="12"/>
      <c r="Q5494" s="7">
        <f t="shared" si="1221"/>
        <v>8350881.3500000136</v>
      </c>
      <c r="R5494" s="44" t="str">
        <f>VLOOKUP(F5494,'Set up'!$A$2:$E$100,5,FALSE)</f>
        <v>Trsf</v>
      </c>
    </row>
    <row r="5495" spans="1:18" ht="16.8" customHeight="1" x14ac:dyDescent="0.3">
      <c r="A5495" s="150" t="s">
        <v>4723</v>
      </c>
      <c r="B5495" s="5">
        <f t="shared" si="1216"/>
        <v>6</v>
      </c>
      <c r="C5495" s="5">
        <f t="shared" si="1217"/>
        <v>2026</v>
      </c>
      <c r="D5495" s="150" t="s">
        <v>4749</v>
      </c>
      <c r="E5495" s="5" t="str">
        <f>VLOOKUP(F5495,'Set up'!$A$2:$C$100,2,FALSE)</f>
        <v>C00000027</v>
      </c>
      <c r="F5495" s="150" t="s">
        <v>859</v>
      </c>
      <c r="G5495" s="150" t="s">
        <v>4695</v>
      </c>
      <c r="H5495" s="150">
        <v>2</v>
      </c>
      <c r="I5495" s="5" t="str">
        <f>VLOOKUP(F5495,'Set up'!$A$2:$C$100,3,FALSE)</f>
        <v>Cash</v>
      </c>
      <c r="J5495" s="5">
        <f>VLOOKUP(F5495,'Set up'!$A$2:$D$100,4,FALSE)</f>
        <v>0</v>
      </c>
      <c r="K5495" s="4">
        <f t="shared" si="1218"/>
        <v>46197</v>
      </c>
      <c r="L5495" s="5">
        <f t="shared" si="1219"/>
        <v>6</v>
      </c>
      <c r="M5495" s="5">
        <f t="shared" si="1220"/>
        <v>2026</v>
      </c>
      <c r="N5495" s="168">
        <v>240</v>
      </c>
      <c r="P5495" s="12"/>
      <c r="Q5495" s="7">
        <f t="shared" si="1221"/>
        <v>8351102.3500000136</v>
      </c>
      <c r="R5495" s="44" t="str">
        <f>VLOOKUP(F5495,'Set up'!$A$2:$E$100,5,FALSE)</f>
        <v>Trsf</v>
      </c>
    </row>
    <row r="5496" spans="1:18" ht="16.8" customHeight="1" x14ac:dyDescent="0.3">
      <c r="A5496" s="150" t="s">
        <v>4723</v>
      </c>
      <c r="B5496" s="5">
        <f t="shared" si="1216"/>
        <v>6</v>
      </c>
      <c r="C5496" s="5">
        <f t="shared" si="1217"/>
        <v>2026</v>
      </c>
      <c r="D5496" s="150" t="s">
        <v>4749</v>
      </c>
      <c r="E5496" s="5" t="str">
        <f>VLOOKUP(F5496,'Set up'!$A$2:$C$100,2,FALSE)</f>
        <v>C00000027</v>
      </c>
      <c r="F5496" s="150" t="s">
        <v>859</v>
      </c>
      <c r="G5496" s="150" t="s">
        <v>1818</v>
      </c>
      <c r="H5496" s="150">
        <v>1</v>
      </c>
      <c r="I5496" s="5" t="str">
        <f>VLOOKUP(F5496,'Set up'!$A$2:$C$100,3,FALSE)</f>
        <v>Cash</v>
      </c>
      <c r="J5496" s="5">
        <f>VLOOKUP(F5496,'Set up'!$A$2:$D$100,4,FALSE)</f>
        <v>0</v>
      </c>
      <c r="K5496" s="4">
        <f t="shared" si="1218"/>
        <v>46197</v>
      </c>
      <c r="L5496" s="5">
        <f t="shared" si="1219"/>
        <v>6</v>
      </c>
      <c r="M5496" s="5">
        <f t="shared" si="1220"/>
        <v>2026</v>
      </c>
      <c r="N5496" s="168">
        <v>170</v>
      </c>
      <c r="P5496" s="12"/>
      <c r="Q5496" s="7">
        <f t="shared" si="1221"/>
        <v>8355443.3500000136</v>
      </c>
      <c r="R5496" s="44" t="str">
        <f>VLOOKUP(F5496,'Set up'!$A$2:$E$100,5,FALSE)</f>
        <v>Trsf</v>
      </c>
    </row>
    <row r="5497" spans="1:18" ht="16.8" customHeight="1" x14ac:dyDescent="0.3">
      <c r="A5497" s="150" t="s">
        <v>4724</v>
      </c>
      <c r="B5497" s="5">
        <f t="shared" si="1216"/>
        <v>6</v>
      </c>
      <c r="C5497" s="5">
        <f t="shared" si="1217"/>
        <v>2026</v>
      </c>
      <c r="D5497" s="150" t="s">
        <v>4750</v>
      </c>
      <c r="E5497" s="5" t="str">
        <f>VLOOKUP(F5497,'Set up'!$A$2:$C$100,2,FALSE)</f>
        <v>C00000042</v>
      </c>
      <c r="F5497" s="150" t="s">
        <v>2012</v>
      </c>
      <c r="G5497" s="150" t="s">
        <v>3645</v>
      </c>
      <c r="H5497" s="150">
        <v>8</v>
      </c>
      <c r="I5497" s="5" t="str">
        <f>VLOOKUP(F5497,'Set up'!$A$2:$C$100,3,FALSE)</f>
        <v>Cash</v>
      </c>
      <c r="J5497" s="5">
        <f>VLOOKUP(F5497,'Set up'!$A$2:$D$100,4,FALSE)</f>
        <v>0</v>
      </c>
      <c r="K5497" s="4">
        <f t="shared" si="1218"/>
        <v>46198</v>
      </c>
      <c r="L5497" s="5">
        <f t="shared" si="1219"/>
        <v>6</v>
      </c>
      <c r="M5497" s="5">
        <f t="shared" si="1220"/>
        <v>2026</v>
      </c>
      <c r="N5497" s="168">
        <v>14580</v>
      </c>
      <c r="P5497" s="12"/>
      <c r="Q5497" s="7">
        <f t="shared" si="1221"/>
        <v>8369252.8500000136</v>
      </c>
      <c r="R5497" s="44" t="str">
        <f>VLOOKUP(F5497,'Set up'!$A$2:$E$100,5,FALSE)</f>
        <v>Trsf</v>
      </c>
    </row>
    <row r="5498" spans="1:18" ht="16.8" customHeight="1" x14ac:dyDescent="0.3">
      <c r="A5498" s="150" t="s">
        <v>4724</v>
      </c>
      <c r="B5498" s="5">
        <f t="shared" si="1216"/>
        <v>6</v>
      </c>
      <c r="C5498" s="5">
        <f t="shared" si="1217"/>
        <v>2026</v>
      </c>
      <c r="D5498" s="150" t="s">
        <v>4750</v>
      </c>
      <c r="E5498" s="5" t="str">
        <f>VLOOKUP(F5498,'Set up'!$A$2:$C$100,2,FALSE)</f>
        <v>C00000042</v>
      </c>
      <c r="F5498" s="150" t="s">
        <v>2012</v>
      </c>
      <c r="G5498" s="150" t="s">
        <v>2129</v>
      </c>
      <c r="H5498" s="150">
        <v>24</v>
      </c>
      <c r="I5498" s="5" t="str">
        <f>VLOOKUP(F5498,'Set up'!$A$2:$C$100,3,FALSE)</f>
        <v>Cash</v>
      </c>
      <c r="J5498" s="5">
        <f>VLOOKUP(F5498,'Set up'!$A$2:$D$100,4,FALSE)</f>
        <v>0</v>
      </c>
      <c r="K5498" s="4">
        <f t="shared" si="1218"/>
        <v>46198</v>
      </c>
      <c r="L5498" s="5">
        <f t="shared" si="1219"/>
        <v>6</v>
      </c>
      <c r="M5498" s="5">
        <f t="shared" si="1220"/>
        <v>2026</v>
      </c>
      <c r="N5498" s="168">
        <v>5150.3999999999996</v>
      </c>
      <c r="P5498" s="12"/>
      <c r="Q5498" s="7">
        <f t="shared" si="1221"/>
        <v>8364653.250000014</v>
      </c>
      <c r="R5498" s="44" t="str">
        <f>VLOOKUP(F5498,'Set up'!$A$2:$E$100,5,FALSE)</f>
        <v>Trsf</v>
      </c>
    </row>
    <row r="5499" spans="1:18" ht="16.8" customHeight="1" x14ac:dyDescent="0.3">
      <c r="A5499" s="150" t="s">
        <v>4724</v>
      </c>
      <c r="B5499" s="5">
        <f t="shared" si="1216"/>
        <v>6</v>
      </c>
      <c r="C5499" s="5">
        <f t="shared" si="1217"/>
        <v>2026</v>
      </c>
      <c r="D5499" s="150" t="s">
        <v>4750</v>
      </c>
      <c r="E5499" s="5" t="str">
        <f>VLOOKUP(F5499,'Set up'!$A$2:$C$100,2,FALSE)</f>
        <v>C00000042</v>
      </c>
      <c r="F5499" s="150" t="s">
        <v>2012</v>
      </c>
      <c r="G5499" s="150" t="s">
        <v>1922</v>
      </c>
      <c r="H5499" s="150">
        <v>12</v>
      </c>
      <c r="I5499" s="5" t="str">
        <f>VLOOKUP(F5499,'Set up'!$A$2:$C$100,3,FALSE)</f>
        <v>Cash</v>
      </c>
      <c r="J5499" s="5">
        <f>VLOOKUP(F5499,'Set up'!$A$2:$D$100,4,FALSE)</f>
        <v>0</v>
      </c>
      <c r="K5499" s="4">
        <f t="shared" si="1218"/>
        <v>46198</v>
      </c>
      <c r="L5499" s="5">
        <f t="shared" si="1219"/>
        <v>6</v>
      </c>
      <c r="M5499" s="5">
        <f t="shared" si="1220"/>
        <v>2026</v>
      </c>
      <c r="N5499" s="168">
        <v>2484</v>
      </c>
      <c r="P5499" s="12"/>
      <c r="Q5499" s="7">
        <f t="shared" si="1221"/>
        <v>8357178.750000014</v>
      </c>
      <c r="R5499" s="44" t="str">
        <f>VLOOKUP(F5499,'Set up'!$A$2:$E$100,5,FALSE)</f>
        <v>Trsf</v>
      </c>
    </row>
    <row r="5500" spans="1:18" ht="16.8" customHeight="1" x14ac:dyDescent="0.3">
      <c r="A5500" s="150" t="s">
        <v>4724</v>
      </c>
      <c r="B5500" s="5">
        <f t="shared" si="1216"/>
        <v>6</v>
      </c>
      <c r="C5500" s="5">
        <f t="shared" si="1217"/>
        <v>2026</v>
      </c>
      <c r="D5500" s="150" t="s">
        <v>4750</v>
      </c>
      <c r="E5500" s="5" t="str">
        <f>VLOOKUP(F5500,'Set up'!$A$2:$C$100,2,FALSE)</f>
        <v>C00000042</v>
      </c>
      <c r="F5500" s="150" t="s">
        <v>2012</v>
      </c>
      <c r="G5500" s="150" t="s">
        <v>4695</v>
      </c>
      <c r="H5500" s="150">
        <v>4</v>
      </c>
      <c r="I5500" s="5" t="str">
        <f>VLOOKUP(F5500,'Set up'!$A$2:$C$100,3,FALSE)</f>
        <v>Cash</v>
      </c>
      <c r="J5500" s="5">
        <f>VLOOKUP(F5500,'Set up'!$A$2:$D$100,4,FALSE)</f>
        <v>0</v>
      </c>
      <c r="K5500" s="4">
        <f t="shared" si="1218"/>
        <v>46198</v>
      </c>
      <c r="L5500" s="5">
        <f t="shared" si="1219"/>
        <v>6</v>
      </c>
      <c r="M5500" s="5">
        <f t="shared" si="1220"/>
        <v>2026</v>
      </c>
      <c r="N5500" s="168">
        <v>460</v>
      </c>
      <c r="P5500" s="12"/>
      <c r="Q5500" s="7">
        <f t="shared" si="1221"/>
        <v>8364597.3500000136</v>
      </c>
      <c r="R5500" s="44" t="str">
        <f>VLOOKUP(F5500,'Set up'!$A$2:$E$100,5,FALSE)</f>
        <v>Trsf</v>
      </c>
    </row>
    <row r="5501" spans="1:18" ht="16.8" customHeight="1" x14ac:dyDescent="0.3">
      <c r="A5501" s="150" t="s">
        <v>4724</v>
      </c>
      <c r="B5501" s="5">
        <f t="shared" si="1216"/>
        <v>6</v>
      </c>
      <c r="C5501" s="5">
        <f t="shared" si="1217"/>
        <v>2026</v>
      </c>
      <c r="D5501" s="150" t="s">
        <v>4750</v>
      </c>
      <c r="E5501" s="5" t="str">
        <f>VLOOKUP(F5501,'Set up'!$A$2:$C$100,2,FALSE)</f>
        <v>C00000042</v>
      </c>
      <c r="F5501" s="150" t="s">
        <v>2012</v>
      </c>
      <c r="G5501" s="150" t="s">
        <v>4691</v>
      </c>
      <c r="H5501" s="150">
        <v>1</v>
      </c>
      <c r="I5501" s="5" t="str">
        <f>VLOOKUP(F5501,'Set up'!$A$2:$C$100,3,FALSE)</f>
        <v>Cash</v>
      </c>
      <c r="J5501" s="5">
        <f>VLOOKUP(F5501,'Set up'!$A$2:$D$100,4,FALSE)</f>
        <v>0</v>
      </c>
      <c r="K5501" s="4">
        <f t="shared" si="1218"/>
        <v>46198</v>
      </c>
      <c r="L5501" s="5">
        <f t="shared" si="1219"/>
        <v>6</v>
      </c>
      <c r="M5501" s="5">
        <f t="shared" si="1220"/>
        <v>2026</v>
      </c>
      <c r="N5501" s="168">
        <v>950</v>
      </c>
      <c r="P5501" s="12"/>
      <c r="Q5501" s="7">
        <f t="shared" si="1221"/>
        <v>8367048.0500000138</v>
      </c>
      <c r="R5501" s="44" t="str">
        <f>VLOOKUP(F5501,'Set up'!$A$2:$E$100,5,FALSE)</f>
        <v>Trsf</v>
      </c>
    </row>
    <row r="5502" spans="1:18" ht="16.8" customHeight="1" x14ac:dyDescent="0.3">
      <c r="A5502" s="150" t="s">
        <v>4725</v>
      </c>
      <c r="B5502" s="5">
        <f t="shared" si="1216"/>
        <v>6</v>
      </c>
      <c r="C5502" s="5">
        <f t="shared" si="1217"/>
        <v>2026</v>
      </c>
      <c r="D5502" s="150" t="s">
        <v>4751</v>
      </c>
      <c r="E5502" s="5" t="e">
        <f>VLOOKUP(F5502,'Set up'!$A$2:$C$100,2,FALSE)</f>
        <v>#N/A</v>
      </c>
      <c r="F5502" s="150" t="s">
        <v>4130</v>
      </c>
      <c r="G5502" s="150" t="s">
        <v>3122</v>
      </c>
      <c r="H5502" s="150">
        <v>1</v>
      </c>
      <c r="I5502" s="5" t="e">
        <f>VLOOKUP(F5502,'Set up'!$A$2:$C$100,3,FALSE)</f>
        <v>#N/A</v>
      </c>
      <c r="J5502" s="5" t="e">
        <f>VLOOKUP(F5502,'Set up'!$A$2:$D$100,4,FALSE)</f>
        <v>#N/A</v>
      </c>
      <c r="K5502" s="4" t="e">
        <f t="shared" si="1218"/>
        <v>#N/A</v>
      </c>
      <c r="L5502" s="5" t="e">
        <f t="shared" si="1219"/>
        <v>#N/A</v>
      </c>
      <c r="M5502" s="5" t="e">
        <f t="shared" si="1220"/>
        <v>#N/A</v>
      </c>
      <c r="N5502" s="168">
        <v>1912.5</v>
      </c>
      <c r="P5502" s="12"/>
      <c r="Q5502" s="7">
        <f t="shared" si="1221"/>
        <v>8366499.250000014</v>
      </c>
      <c r="R5502" s="44" t="e">
        <f>VLOOKUP(F5502,'Set up'!$A$2:$E$100,5,FALSE)</f>
        <v>#N/A</v>
      </c>
    </row>
    <row r="5503" spans="1:18" ht="16.8" customHeight="1" x14ac:dyDescent="0.3">
      <c r="A5503" s="150" t="s">
        <v>4725</v>
      </c>
      <c r="B5503" s="5">
        <f t="shared" si="1216"/>
        <v>6</v>
      </c>
      <c r="C5503" s="5">
        <f t="shared" si="1217"/>
        <v>2026</v>
      </c>
      <c r="D5503" s="150" t="s">
        <v>4751</v>
      </c>
      <c r="E5503" s="5" t="e">
        <f>VLOOKUP(F5503,'Set up'!$A$2:$C$100,2,FALSE)</f>
        <v>#N/A</v>
      </c>
      <c r="F5503" s="150" t="s">
        <v>4130</v>
      </c>
      <c r="G5503" s="150" t="s">
        <v>2556</v>
      </c>
      <c r="H5503" s="150">
        <v>1</v>
      </c>
      <c r="I5503" s="5" t="e">
        <f>VLOOKUP(F5503,'Set up'!$A$2:$C$100,3,FALSE)</f>
        <v>#N/A</v>
      </c>
      <c r="J5503" s="5" t="e">
        <f>VLOOKUP(F5503,'Set up'!$A$2:$D$100,4,FALSE)</f>
        <v>#N/A</v>
      </c>
      <c r="K5503" s="4" t="e">
        <f t="shared" si="1218"/>
        <v>#N/A</v>
      </c>
      <c r="L5503" s="5" t="e">
        <f t="shared" si="1219"/>
        <v>#N/A</v>
      </c>
      <c r="M5503" s="5" t="e">
        <f t="shared" si="1220"/>
        <v>#N/A</v>
      </c>
      <c r="N5503" s="168">
        <v>405</v>
      </c>
      <c r="P5503" s="12"/>
      <c r="Q5503" s="7">
        <f t="shared" si="1221"/>
        <v>8360302.5500000138</v>
      </c>
      <c r="R5503" s="44" t="e">
        <f>VLOOKUP(F5503,'Set up'!$A$2:$E$100,5,FALSE)</f>
        <v>#N/A</v>
      </c>
    </row>
    <row r="5504" spans="1:18" ht="16.8" customHeight="1" x14ac:dyDescent="0.3">
      <c r="A5504" s="150" t="s">
        <v>4725</v>
      </c>
      <c r="B5504" s="5">
        <f t="shared" si="1216"/>
        <v>6</v>
      </c>
      <c r="C5504" s="5">
        <f t="shared" si="1217"/>
        <v>2026</v>
      </c>
      <c r="D5504" s="150" t="s">
        <v>4751</v>
      </c>
      <c r="E5504" s="5" t="e">
        <f>VLOOKUP(F5504,'Set up'!$A$2:$C$100,2,FALSE)</f>
        <v>#N/A</v>
      </c>
      <c r="F5504" s="150" t="s">
        <v>4130</v>
      </c>
      <c r="G5504" s="150" t="s">
        <v>4204</v>
      </c>
      <c r="H5504" s="150">
        <v>2</v>
      </c>
      <c r="I5504" s="5" t="e">
        <f>VLOOKUP(F5504,'Set up'!$A$2:$C$100,3,FALSE)</f>
        <v>#N/A</v>
      </c>
      <c r="J5504" s="5" t="e">
        <f>VLOOKUP(F5504,'Set up'!$A$2:$D$100,4,FALSE)</f>
        <v>#N/A</v>
      </c>
      <c r="K5504" s="4" t="e">
        <f t="shared" si="1218"/>
        <v>#N/A</v>
      </c>
      <c r="L5504" s="5" t="e">
        <f t="shared" si="1219"/>
        <v>#N/A</v>
      </c>
      <c r="M5504" s="5" t="e">
        <f t="shared" si="1220"/>
        <v>#N/A</v>
      </c>
      <c r="N5504" s="168">
        <v>320</v>
      </c>
      <c r="P5504" s="12"/>
      <c r="Q5504" s="7">
        <f t="shared" si="1221"/>
        <v>8358713.5500000138</v>
      </c>
      <c r="R5504" s="44" t="e">
        <f>VLOOKUP(F5504,'Set up'!$A$2:$E$100,5,FALSE)</f>
        <v>#N/A</v>
      </c>
    </row>
    <row r="5505" spans="1:18" ht="16.8" customHeight="1" x14ac:dyDescent="0.3">
      <c r="A5505" s="150" t="s">
        <v>4726</v>
      </c>
      <c r="B5505" s="5">
        <f t="shared" si="1216"/>
        <v>6</v>
      </c>
      <c r="C5505" s="5">
        <f t="shared" si="1217"/>
        <v>2026</v>
      </c>
      <c r="D5505" s="150" t="s">
        <v>4752</v>
      </c>
      <c r="E5505" s="5" t="str">
        <f>VLOOKUP(F5505,'Set up'!$A$2:$C$100,2,FALSE)</f>
        <v>C00000042</v>
      </c>
      <c r="F5505" s="150" t="s">
        <v>2012</v>
      </c>
      <c r="G5505" s="150" t="s">
        <v>3645</v>
      </c>
      <c r="H5505" s="150">
        <v>5</v>
      </c>
      <c r="I5505" s="5" t="str">
        <f>VLOOKUP(F5505,'Set up'!$A$2:$C$100,3,FALSE)</f>
        <v>Cash</v>
      </c>
      <c r="J5505" s="5">
        <f>VLOOKUP(F5505,'Set up'!$A$2:$D$100,4,FALSE)</f>
        <v>0</v>
      </c>
      <c r="K5505" s="4">
        <f t="shared" si="1218"/>
        <v>46200</v>
      </c>
      <c r="L5505" s="5">
        <f t="shared" si="1219"/>
        <v>6</v>
      </c>
      <c r="M5505" s="5">
        <f t="shared" si="1220"/>
        <v>2026</v>
      </c>
      <c r="N5505" s="168">
        <v>9112.5</v>
      </c>
      <c r="P5505" s="12"/>
      <c r="Q5505" s="7">
        <f t="shared" si="1221"/>
        <v>8369501.0500000138</v>
      </c>
      <c r="R5505" s="44" t="str">
        <f>VLOOKUP(F5505,'Set up'!$A$2:$E$100,5,FALSE)</f>
        <v>Trsf</v>
      </c>
    </row>
    <row r="5506" spans="1:18" ht="16.8" customHeight="1" x14ac:dyDescent="0.3">
      <c r="A5506" s="150" t="s">
        <v>4726</v>
      </c>
      <c r="B5506" s="5">
        <f t="shared" si="1216"/>
        <v>6</v>
      </c>
      <c r="C5506" s="5">
        <f t="shared" si="1217"/>
        <v>2026</v>
      </c>
      <c r="D5506" s="150" t="s">
        <v>4752</v>
      </c>
      <c r="E5506" s="5" t="str">
        <f>VLOOKUP(F5506,'Set up'!$A$2:$C$100,2,FALSE)</f>
        <v>C00000042</v>
      </c>
      <c r="F5506" s="150" t="s">
        <v>2012</v>
      </c>
      <c r="G5506" s="150" t="s">
        <v>1543</v>
      </c>
      <c r="H5506" s="150">
        <v>15</v>
      </c>
      <c r="I5506" s="5" t="str">
        <f>VLOOKUP(F5506,'Set up'!$A$2:$C$100,3,FALSE)</f>
        <v>Cash</v>
      </c>
      <c r="J5506" s="5">
        <f>VLOOKUP(F5506,'Set up'!$A$2:$D$100,4,FALSE)</f>
        <v>0</v>
      </c>
      <c r="K5506" s="4">
        <f t="shared" si="1218"/>
        <v>46200</v>
      </c>
      <c r="L5506" s="5">
        <f t="shared" si="1219"/>
        <v>6</v>
      </c>
      <c r="M5506" s="5">
        <f t="shared" si="1220"/>
        <v>2026</v>
      </c>
      <c r="N5506" s="168">
        <v>2610</v>
      </c>
      <c r="P5506" s="12"/>
      <c r="Q5506" s="7">
        <f t="shared" si="1221"/>
        <v>8368745.5500000138</v>
      </c>
      <c r="R5506" s="44" t="str">
        <f>VLOOKUP(F5506,'Set up'!$A$2:$E$100,5,FALSE)</f>
        <v>Trsf</v>
      </c>
    </row>
    <row r="5507" spans="1:18" ht="16.8" customHeight="1" x14ac:dyDescent="0.3">
      <c r="A5507" s="150" t="s">
        <v>4726</v>
      </c>
      <c r="B5507" s="5">
        <f t="shared" si="1216"/>
        <v>6</v>
      </c>
      <c r="C5507" s="5">
        <f t="shared" si="1217"/>
        <v>2026</v>
      </c>
      <c r="D5507" s="150" t="s">
        <v>4752</v>
      </c>
      <c r="E5507" s="5" t="str">
        <f>VLOOKUP(F5507,'Set up'!$A$2:$C$100,2,FALSE)</f>
        <v>C00000042</v>
      </c>
      <c r="F5507" s="150" t="s">
        <v>2012</v>
      </c>
      <c r="G5507" s="150" t="s">
        <v>1922</v>
      </c>
      <c r="H5507" s="150">
        <v>8</v>
      </c>
      <c r="I5507" s="5" t="str">
        <f>VLOOKUP(F5507,'Set up'!$A$2:$C$100,3,FALSE)</f>
        <v>Cash</v>
      </c>
      <c r="J5507" s="5">
        <f>VLOOKUP(F5507,'Set up'!$A$2:$D$100,4,FALSE)</f>
        <v>0</v>
      </c>
      <c r="K5507" s="4">
        <f t="shared" si="1218"/>
        <v>46200</v>
      </c>
      <c r="L5507" s="5">
        <f t="shared" si="1219"/>
        <v>6</v>
      </c>
      <c r="M5507" s="5">
        <f t="shared" si="1220"/>
        <v>2026</v>
      </c>
      <c r="N5507" s="168">
        <v>1656</v>
      </c>
      <c r="P5507" s="12"/>
      <c r="Q5507" s="7">
        <f t="shared" si="1221"/>
        <v>8370826.5500000138</v>
      </c>
      <c r="R5507" s="44" t="str">
        <f>VLOOKUP(F5507,'Set up'!$A$2:$E$100,5,FALSE)</f>
        <v>Trsf</v>
      </c>
    </row>
    <row r="5508" spans="1:18" ht="16.8" customHeight="1" x14ac:dyDescent="0.3">
      <c r="A5508" s="150" t="s">
        <v>4726</v>
      </c>
      <c r="B5508" s="5">
        <f t="shared" si="1216"/>
        <v>6</v>
      </c>
      <c r="C5508" s="5">
        <f t="shared" si="1217"/>
        <v>2026</v>
      </c>
      <c r="D5508" s="150" t="s">
        <v>4752</v>
      </c>
      <c r="E5508" s="5" t="str">
        <f>VLOOKUP(F5508,'Set up'!$A$2:$C$100,2,FALSE)</f>
        <v>C00000042</v>
      </c>
      <c r="F5508" s="150" t="s">
        <v>2012</v>
      </c>
      <c r="G5508" s="150" t="s">
        <v>4695</v>
      </c>
      <c r="H5508" s="150">
        <v>4</v>
      </c>
      <c r="I5508" s="5" t="str">
        <f>VLOOKUP(F5508,'Set up'!$A$2:$C$100,3,FALSE)</f>
        <v>Cash</v>
      </c>
      <c r="J5508" s="5">
        <f>VLOOKUP(F5508,'Set up'!$A$2:$D$100,4,FALSE)</f>
        <v>0</v>
      </c>
      <c r="K5508" s="4">
        <f t="shared" si="1218"/>
        <v>46200</v>
      </c>
      <c r="L5508" s="5">
        <f t="shared" si="1219"/>
        <v>6</v>
      </c>
      <c r="M5508" s="5">
        <f t="shared" si="1220"/>
        <v>2026</v>
      </c>
      <c r="N5508" s="168">
        <v>460</v>
      </c>
      <c r="P5508" s="12"/>
      <c r="Q5508" s="7">
        <f t="shared" si="1221"/>
        <v>8369462.3500000136</v>
      </c>
      <c r="R5508" s="44" t="str">
        <f>VLOOKUP(F5508,'Set up'!$A$2:$E$100,5,FALSE)</f>
        <v>Trsf</v>
      </c>
    </row>
    <row r="5509" spans="1:18" ht="16.8" customHeight="1" x14ac:dyDescent="0.3">
      <c r="A5509" s="150" t="s">
        <v>4726</v>
      </c>
      <c r="B5509" s="5">
        <f t="shared" si="1216"/>
        <v>6</v>
      </c>
      <c r="C5509" s="5">
        <f t="shared" si="1217"/>
        <v>2026</v>
      </c>
      <c r="D5509" s="150" t="s">
        <v>4752</v>
      </c>
      <c r="E5509" s="5" t="str">
        <f>VLOOKUP(F5509,'Set up'!$A$2:$C$100,2,FALSE)</f>
        <v>C00000042</v>
      </c>
      <c r="F5509" s="150" t="s">
        <v>2012</v>
      </c>
      <c r="G5509" s="150" t="s">
        <v>1073</v>
      </c>
      <c r="H5509" s="150">
        <v>1</v>
      </c>
      <c r="I5509" s="5" t="str">
        <f>VLOOKUP(F5509,'Set up'!$A$2:$C$100,3,FALSE)</f>
        <v>Cash</v>
      </c>
      <c r="J5509" s="5">
        <f>VLOOKUP(F5509,'Set up'!$A$2:$D$100,4,FALSE)</f>
        <v>0</v>
      </c>
      <c r="K5509" s="4">
        <f t="shared" si="1218"/>
        <v>46200</v>
      </c>
      <c r="L5509" s="5">
        <f t="shared" si="1219"/>
        <v>6</v>
      </c>
      <c r="M5509" s="5">
        <f t="shared" si="1220"/>
        <v>2026</v>
      </c>
      <c r="N5509" s="168">
        <v>1050</v>
      </c>
      <c r="P5509" s="12"/>
      <c r="Q5509" s="7">
        <f t="shared" si="1221"/>
        <v>8382151.5500000138</v>
      </c>
      <c r="R5509" s="44" t="str">
        <f>VLOOKUP(F5509,'Set up'!$A$2:$E$100,5,FALSE)</f>
        <v>Trsf</v>
      </c>
    </row>
    <row r="5510" spans="1:18" ht="16.8" customHeight="1" x14ac:dyDescent="0.3">
      <c r="A5510" s="150" t="s">
        <v>4727</v>
      </c>
      <c r="B5510" s="5">
        <f t="shared" si="1216"/>
        <v>6</v>
      </c>
      <c r="C5510" s="5">
        <f t="shared" si="1217"/>
        <v>2026</v>
      </c>
      <c r="D5510" s="150" t="s">
        <v>4753</v>
      </c>
      <c r="E5510" s="5" t="e">
        <f>VLOOKUP(F5510,'Set up'!$A$2:$C$100,2,FALSE)</f>
        <v>#N/A</v>
      </c>
      <c r="F5510" s="150" t="s">
        <v>4707</v>
      </c>
      <c r="G5510" s="150" t="s">
        <v>4704</v>
      </c>
      <c r="H5510" s="150">
        <v>4</v>
      </c>
      <c r="I5510" s="5" t="e">
        <f>VLOOKUP(F5510,'Set up'!$A$2:$C$100,3,FALSE)</f>
        <v>#N/A</v>
      </c>
      <c r="J5510" s="5" t="e">
        <f>VLOOKUP(F5510,'Set up'!$A$2:$D$100,4,FALSE)</f>
        <v>#N/A</v>
      </c>
      <c r="K5510" s="4" t="e">
        <f t="shared" si="1218"/>
        <v>#N/A</v>
      </c>
      <c r="L5510" s="5" t="e">
        <f t="shared" si="1219"/>
        <v>#N/A</v>
      </c>
      <c r="M5510" s="5" t="e">
        <f t="shared" si="1220"/>
        <v>#N/A</v>
      </c>
      <c r="N5510" s="168">
        <v>1600</v>
      </c>
      <c r="P5510" s="12"/>
      <c r="Q5510" s="7">
        <f t="shared" si="1221"/>
        <v>8383332.8500000136</v>
      </c>
      <c r="R5510" s="44" t="e">
        <f>VLOOKUP(F5510,'Set up'!$A$2:$E$100,5,FALSE)</f>
        <v>#N/A</v>
      </c>
    </row>
    <row r="5511" spans="1:18" ht="16.8" customHeight="1" x14ac:dyDescent="0.3">
      <c r="A5511" s="150" t="s">
        <v>4727</v>
      </c>
      <c r="B5511" s="5">
        <f t="shared" si="1216"/>
        <v>6</v>
      </c>
      <c r="C5511" s="5">
        <f t="shared" si="1217"/>
        <v>2026</v>
      </c>
      <c r="D5511" s="150" t="s">
        <v>4753</v>
      </c>
      <c r="E5511" s="5" t="e">
        <f>VLOOKUP(F5511,'Set up'!$A$2:$C$100,2,FALSE)</f>
        <v>#N/A</v>
      </c>
      <c r="F5511" s="150" t="s">
        <v>4707</v>
      </c>
      <c r="G5511" s="150" t="s">
        <v>1543</v>
      </c>
      <c r="H5511" s="150">
        <v>2</v>
      </c>
      <c r="I5511" s="5" t="e">
        <f>VLOOKUP(F5511,'Set up'!$A$2:$C$100,3,FALSE)</f>
        <v>#N/A</v>
      </c>
      <c r="J5511" s="5" t="e">
        <f>VLOOKUP(F5511,'Set up'!$A$2:$D$100,4,FALSE)</f>
        <v>#N/A</v>
      </c>
      <c r="K5511" s="4" t="e">
        <f t="shared" si="1218"/>
        <v>#N/A</v>
      </c>
      <c r="L5511" s="5" t="e">
        <f t="shared" si="1219"/>
        <v>#N/A</v>
      </c>
      <c r="M5511" s="5" t="e">
        <f t="shared" si="1220"/>
        <v>#N/A</v>
      </c>
      <c r="N5511" s="168">
        <v>414</v>
      </c>
      <c r="P5511" s="12"/>
      <c r="Q5511" s="7">
        <f t="shared" si="1221"/>
        <v>8382143.5500000138</v>
      </c>
      <c r="R5511" s="44" t="e">
        <f>VLOOKUP(F5511,'Set up'!$A$2:$E$100,5,FALSE)</f>
        <v>#N/A</v>
      </c>
    </row>
    <row r="5512" spans="1:18" ht="16.8" customHeight="1" x14ac:dyDescent="0.3">
      <c r="A5512" s="150" t="s">
        <v>4727</v>
      </c>
      <c r="B5512" s="5">
        <f t="shared" si="1216"/>
        <v>6</v>
      </c>
      <c r="C5512" s="5">
        <f t="shared" si="1217"/>
        <v>2026</v>
      </c>
      <c r="D5512" s="150" t="s">
        <v>4753</v>
      </c>
      <c r="E5512" s="5" t="e">
        <f>VLOOKUP(F5512,'Set up'!$A$2:$C$100,2,FALSE)</f>
        <v>#N/A</v>
      </c>
      <c r="F5512" s="150" t="s">
        <v>4707</v>
      </c>
      <c r="G5512" s="150" t="s">
        <v>1922</v>
      </c>
      <c r="H5512" s="150">
        <v>1</v>
      </c>
      <c r="I5512" s="5" t="e">
        <f>VLOOKUP(F5512,'Set up'!$A$2:$C$100,3,FALSE)</f>
        <v>#N/A</v>
      </c>
      <c r="J5512" s="5" t="e">
        <f>VLOOKUP(F5512,'Set up'!$A$2:$D$100,4,FALSE)</f>
        <v>#N/A</v>
      </c>
      <c r="K5512" s="4" t="e">
        <f t="shared" si="1218"/>
        <v>#N/A</v>
      </c>
      <c r="L5512" s="5" t="e">
        <f t="shared" si="1219"/>
        <v>#N/A</v>
      </c>
      <c r="M5512" s="5" t="e">
        <f t="shared" si="1220"/>
        <v>#N/A</v>
      </c>
      <c r="N5512" s="168">
        <v>270</v>
      </c>
      <c r="P5512" s="12"/>
      <c r="Q5512" s="7">
        <f t="shared" si="1221"/>
        <v>8399396.8500000127</v>
      </c>
      <c r="R5512" s="44" t="e">
        <f>VLOOKUP(F5512,'Set up'!$A$2:$E$100,5,FALSE)</f>
        <v>#N/A</v>
      </c>
    </row>
    <row r="5513" spans="1:18" ht="16.8" customHeight="1" x14ac:dyDescent="0.3">
      <c r="A5513" s="150" t="s">
        <v>4727</v>
      </c>
      <c r="B5513" s="5">
        <f t="shared" si="1216"/>
        <v>6</v>
      </c>
      <c r="C5513" s="5">
        <f t="shared" si="1217"/>
        <v>2026</v>
      </c>
      <c r="D5513" s="150" t="s">
        <v>4753</v>
      </c>
      <c r="E5513" s="5" t="e">
        <f>VLOOKUP(F5513,'Set up'!$A$2:$C$100,2,FALSE)</f>
        <v>#N/A</v>
      </c>
      <c r="F5513" s="150" t="s">
        <v>4707</v>
      </c>
      <c r="G5513" s="150" t="s">
        <v>4051</v>
      </c>
      <c r="H5513" s="150">
        <v>1</v>
      </c>
      <c r="I5513" s="5" t="e">
        <f>VLOOKUP(F5513,'Set up'!$A$2:$C$100,3,FALSE)</f>
        <v>#N/A</v>
      </c>
      <c r="J5513" s="5" t="e">
        <f>VLOOKUP(F5513,'Set up'!$A$2:$D$100,4,FALSE)</f>
        <v>#N/A</v>
      </c>
      <c r="K5513" s="4" t="e">
        <f t="shared" si="1218"/>
        <v>#N/A</v>
      </c>
      <c r="L5513" s="5" t="e">
        <f t="shared" si="1219"/>
        <v>#N/A</v>
      </c>
      <c r="M5513" s="5" t="e">
        <f t="shared" si="1220"/>
        <v>#N/A</v>
      </c>
      <c r="N5513" s="168">
        <v>125</v>
      </c>
      <c r="P5513" s="12"/>
      <c r="Q5513" s="7">
        <f t="shared" si="1221"/>
        <v>8384903.3500000136</v>
      </c>
      <c r="R5513" s="44" t="e">
        <f>VLOOKUP(F5513,'Set up'!$A$2:$E$100,5,FALSE)</f>
        <v>#N/A</v>
      </c>
    </row>
    <row r="5514" spans="1:18" ht="16.8" customHeight="1" x14ac:dyDescent="0.3">
      <c r="A5514" s="150" t="s">
        <v>4728</v>
      </c>
      <c r="B5514" s="5">
        <f t="shared" si="1216"/>
        <v>6</v>
      </c>
      <c r="C5514" s="5">
        <f t="shared" si="1217"/>
        <v>2026</v>
      </c>
      <c r="D5514" s="150" t="s">
        <v>4754</v>
      </c>
      <c r="E5514" s="5" t="str">
        <f>VLOOKUP(F5514,'Set up'!$A$2:$C$100,2,FALSE)</f>
        <v>C00000042</v>
      </c>
      <c r="F5514" s="150" t="s">
        <v>2012</v>
      </c>
      <c r="G5514" s="150" t="s">
        <v>3645</v>
      </c>
      <c r="H5514" s="150">
        <v>5</v>
      </c>
      <c r="I5514" s="5" t="str">
        <f>VLOOKUP(F5514,'Set up'!$A$2:$C$100,3,FALSE)</f>
        <v>Cash</v>
      </c>
      <c r="J5514" s="5">
        <f>VLOOKUP(F5514,'Set up'!$A$2:$D$100,4,FALSE)</f>
        <v>0</v>
      </c>
      <c r="K5514" s="4">
        <f t="shared" si="1218"/>
        <v>46203</v>
      </c>
      <c r="L5514" s="5">
        <f t="shared" si="1219"/>
        <v>6</v>
      </c>
      <c r="M5514" s="5">
        <f t="shared" si="1220"/>
        <v>2026</v>
      </c>
      <c r="N5514" s="168">
        <v>9112.5</v>
      </c>
      <c r="P5514" s="12"/>
      <c r="Q5514" s="7">
        <f t="shared" si="1221"/>
        <v>8398507.8500000127</v>
      </c>
      <c r="R5514" s="44" t="str">
        <f>VLOOKUP(F5514,'Set up'!$A$2:$E$100,5,FALSE)</f>
        <v>Trsf</v>
      </c>
    </row>
    <row r="5515" spans="1:18" ht="16.8" customHeight="1" x14ac:dyDescent="0.3">
      <c r="A5515" s="150" t="s">
        <v>4728</v>
      </c>
      <c r="B5515" s="5">
        <f t="shared" si="1216"/>
        <v>6</v>
      </c>
      <c r="C5515" s="5">
        <f t="shared" si="1217"/>
        <v>2026</v>
      </c>
      <c r="D5515" s="150" t="s">
        <v>4754</v>
      </c>
      <c r="E5515" s="5" t="str">
        <f>VLOOKUP(F5515,'Set up'!$A$2:$C$100,2,FALSE)</f>
        <v>C00000042</v>
      </c>
      <c r="F5515" s="150" t="s">
        <v>2012</v>
      </c>
      <c r="G5515" s="150" t="s">
        <v>2129</v>
      </c>
      <c r="H5515" s="150">
        <v>15</v>
      </c>
      <c r="I5515" s="5" t="str">
        <f>VLOOKUP(F5515,'Set up'!$A$2:$C$100,3,FALSE)</f>
        <v>Cash</v>
      </c>
      <c r="J5515" s="5">
        <f>VLOOKUP(F5515,'Set up'!$A$2:$D$100,4,FALSE)</f>
        <v>0</v>
      </c>
      <c r="K5515" s="4">
        <f t="shared" si="1218"/>
        <v>46203</v>
      </c>
      <c r="L5515" s="5">
        <f t="shared" si="1219"/>
        <v>6</v>
      </c>
      <c r="M5515" s="5">
        <f t="shared" si="1220"/>
        <v>2026</v>
      </c>
      <c r="N5515" s="168">
        <v>3219</v>
      </c>
      <c r="P5515" s="12"/>
      <c r="Q5515" s="7">
        <f t="shared" si="1221"/>
        <v>8390204.3500000127</v>
      </c>
      <c r="R5515" s="44" t="str">
        <f>VLOOKUP(F5515,'Set up'!$A$2:$E$100,5,FALSE)</f>
        <v>Trsf</v>
      </c>
    </row>
    <row r="5516" spans="1:18" ht="16.8" customHeight="1" x14ac:dyDescent="0.3">
      <c r="A5516" s="150" t="s">
        <v>4728</v>
      </c>
      <c r="B5516" s="5">
        <f t="shared" si="1216"/>
        <v>6</v>
      </c>
      <c r="C5516" s="5">
        <f t="shared" si="1217"/>
        <v>2026</v>
      </c>
      <c r="D5516" s="150" t="s">
        <v>4754</v>
      </c>
      <c r="E5516" s="5" t="str">
        <f>VLOOKUP(F5516,'Set up'!$A$2:$C$100,2,FALSE)</f>
        <v>C00000042</v>
      </c>
      <c r="F5516" s="150" t="s">
        <v>2012</v>
      </c>
      <c r="G5516" s="150" t="s">
        <v>1922</v>
      </c>
      <c r="H5516" s="150">
        <v>8</v>
      </c>
      <c r="I5516" s="5" t="str">
        <f>VLOOKUP(F5516,'Set up'!$A$2:$C$100,3,FALSE)</f>
        <v>Cash</v>
      </c>
      <c r="J5516" s="5">
        <f>VLOOKUP(F5516,'Set up'!$A$2:$D$100,4,FALSE)</f>
        <v>0</v>
      </c>
      <c r="K5516" s="4">
        <f t="shared" si="1218"/>
        <v>46203</v>
      </c>
      <c r="L5516" s="5">
        <f t="shared" si="1219"/>
        <v>6</v>
      </c>
      <c r="M5516" s="5">
        <f t="shared" si="1220"/>
        <v>2026</v>
      </c>
      <c r="N5516" s="168">
        <v>1656</v>
      </c>
      <c r="P5516" s="12"/>
      <c r="Q5516" s="7">
        <f t="shared" si="1221"/>
        <v>8386693.8500000136</v>
      </c>
      <c r="R5516" s="44" t="str">
        <f>VLOOKUP(F5516,'Set up'!$A$2:$E$100,5,FALSE)</f>
        <v>Trsf</v>
      </c>
    </row>
    <row r="5517" spans="1:18" ht="16.8" customHeight="1" x14ac:dyDescent="0.3">
      <c r="A5517" s="150" t="s">
        <v>4728</v>
      </c>
      <c r="B5517" s="5">
        <f t="shared" si="1216"/>
        <v>6</v>
      </c>
      <c r="C5517" s="5">
        <f t="shared" si="1217"/>
        <v>2026</v>
      </c>
      <c r="D5517" s="150" t="s">
        <v>4754</v>
      </c>
      <c r="E5517" s="5" t="str">
        <f>VLOOKUP(F5517,'Set up'!$A$2:$C$100,2,FALSE)</f>
        <v>C00000042</v>
      </c>
      <c r="F5517" s="150" t="s">
        <v>2012</v>
      </c>
      <c r="G5517" s="150" t="s">
        <v>4691</v>
      </c>
      <c r="H5517" s="150">
        <v>1</v>
      </c>
      <c r="I5517" s="5" t="str">
        <f>VLOOKUP(F5517,'Set up'!$A$2:$C$100,3,FALSE)</f>
        <v>Cash</v>
      </c>
      <c r="J5517" s="5">
        <f>VLOOKUP(F5517,'Set up'!$A$2:$D$100,4,FALSE)</f>
        <v>0</v>
      </c>
      <c r="K5517" s="4">
        <f t="shared" si="1218"/>
        <v>46203</v>
      </c>
      <c r="L5517" s="5">
        <f t="shared" si="1219"/>
        <v>6</v>
      </c>
      <c r="M5517" s="5">
        <f t="shared" si="1220"/>
        <v>2026</v>
      </c>
      <c r="N5517" s="168">
        <v>950</v>
      </c>
      <c r="P5517" s="12"/>
      <c r="Q5517" s="7">
        <f t="shared" si="1221"/>
        <v>8391249.3500000127</v>
      </c>
      <c r="R5517" s="44" t="str">
        <f>VLOOKUP(F5517,'Set up'!$A$2:$E$100,5,FALSE)</f>
        <v>Trsf</v>
      </c>
    </row>
    <row r="5518" spans="1:18" ht="16.8" customHeight="1" x14ac:dyDescent="0.3">
      <c r="A5518" s="151"/>
      <c r="D5518" s="150"/>
      <c r="F5518" s="150"/>
      <c r="G5518" s="150"/>
      <c r="H5518" s="150"/>
      <c r="K5518" s="4"/>
      <c r="N5518" s="156"/>
      <c r="P5518" s="12"/>
      <c r="Q5518" s="7"/>
      <c r="R5518" s="44"/>
    </row>
    <row r="5519" spans="1:18" ht="16.8" customHeight="1" x14ac:dyDescent="0.3">
      <c r="A5519" s="151"/>
      <c r="D5519" s="170"/>
      <c r="F5519" s="150"/>
      <c r="G5519" s="150"/>
      <c r="H5519" s="150"/>
      <c r="K5519" s="4"/>
      <c r="N5519" s="156"/>
      <c r="P5519" s="12"/>
      <c r="Q5519" s="7"/>
      <c r="R5519" s="44"/>
    </row>
    <row r="5520" spans="1:18" ht="16.8" customHeight="1" x14ac:dyDescent="0.3">
      <c r="A5520" s="151"/>
      <c r="D5520" s="170"/>
      <c r="F5520" s="150"/>
      <c r="G5520" s="150"/>
      <c r="H5520" s="150"/>
      <c r="K5520" s="4"/>
      <c r="N5520" s="156"/>
      <c r="P5520" s="12"/>
      <c r="Q5520" s="7"/>
      <c r="R5520" s="44"/>
    </row>
    <row r="5521" spans="1:18" ht="16.8" customHeight="1" x14ac:dyDescent="0.3">
      <c r="A5521" s="151"/>
      <c r="D5521" s="170"/>
      <c r="F5521" s="150"/>
      <c r="G5521" s="150"/>
      <c r="H5521" s="150"/>
      <c r="K5521" s="4"/>
      <c r="N5521" s="156"/>
      <c r="P5521" s="12"/>
      <c r="Q5521" s="7"/>
      <c r="R5521" s="44"/>
    </row>
    <row r="5522" spans="1:18" ht="16.8" customHeight="1" x14ac:dyDescent="0.3">
      <c r="A5522" s="151"/>
      <c r="D5522" s="170"/>
      <c r="F5522" s="150"/>
      <c r="G5522" s="150"/>
      <c r="H5522" s="150"/>
      <c r="K5522" s="4"/>
      <c r="N5522" s="156"/>
      <c r="P5522" s="12"/>
      <c r="Q5522" s="7"/>
      <c r="R5522" s="44"/>
    </row>
    <row r="5523" spans="1:18" ht="16.8" customHeight="1" x14ac:dyDescent="0.3">
      <c r="A5523" s="151"/>
      <c r="D5523" s="170"/>
      <c r="F5523" s="150"/>
      <c r="G5523" s="150"/>
      <c r="H5523" s="150"/>
      <c r="K5523" s="4"/>
      <c r="N5523" s="156"/>
      <c r="P5523" s="12"/>
      <c r="Q5523" s="7"/>
      <c r="R5523" s="44"/>
    </row>
    <row r="5524" spans="1:18" ht="16.8" customHeight="1" x14ac:dyDescent="0.3">
      <c r="A5524" s="151"/>
      <c r="D5524" s="170"/>
      <c r="F5524" s="150"/>
      <c r="G5524" s="150"/>
      <c r="H5524" s="150"/>
      <c r="K5524" s="4"/>
      <c r="N5524" s="156"/>
      <c r="P5524" s="12"/>
      <c r="Q5524" s="7"/>
      <c r="R5524" s="44"/>
    </row>
    <row r="5525" spans="1:18" ht="16.8" customHeight="1" x14ac:dyDescent="0.3">
      <c r="A5525" s="170"/>
      <c r="D5525" s="170"/>
      <c r="F5525" s="150"/>
      <c r="G5525" s="150"/>
      <c r="H5525" s="150"/>
      <c r="K5525" s="4"/>
      <c r="N5525" s="156"/>
      <c r="P5525" s="12"/>
      <c r="Q5525" s="7"/>
      <c r="R5525" s="44"/>
    </row>
    <row r="5526" spans="1:18" ht="16.2" customHeight="1" x14ac:dyDescent="0.3">
      <c r="A5526" s="170"/>
      <c r="F5526" s="132"/>
      <c r="G5526" s="133"/>
      <c r="K5526" s="4"/>
      <c r="N5526" s="12"/>
      <c r="O5526" s="12"/>
      <c r="P5526" s="12"/>
      <c r="Q5526" s="7"/>
      <c r="R5526" s="44"/>
    </row>
    <row r="5527" spans="1:18" ht="15" customHeight="1" x14ac:dyDescent="0.3">
      <c r="A5527" s="170"/>
      <c r="G5527" s="99"/>
      <c r="K5527" s="4"/>
      <c r="Q5527" s="7"/>
      <c r="R5527" s="44"/>
    </row>
    <row r="5528" spans="1:18" x14ac:dyDescent="0.3">
      <c r="A5528" s="170"/>
      <c r="K5528" s="4"/>
      <c r="Q5528" s="51"/>
    </row>
    <row r="5529" spans="1:18" x14ac:dyDescent="0.3">
      <c r="A5529" s="170"/>
      <c r="K5529" s="11" t="s">
        <v>194</v>
      </c>
      <c r="N5529" s="30">
        <f>SUM(N2:N5528)</f>
        <v>9095263.9500000123</v>
      </c>
      <c r="O5529" s="32">
        <f>SUM(O2:O5528)</f>
        <v>-6212715.1500000041</v>
      </c>
      <c r="P5529" s="34">
        <f>SUM(P2:P5528)</f>
        <v>782669.10000000009</v>
      </c>
      <c r="Q5529" s="52">
        <f>SUM(N5529+O5529)</f>
        <v>2882548.8000000082</v>
      </c>
    </row>
    <row r="5530" spans="1:18" x14ac:dyDescent="0.3">
      <c r="A5530" s="170"/>
      <c r="N5530" s="31" t="s">
        <v>197</v>
      </c>
      <c r="O5530" s="33" t="s">
        <v>195</v>
      </c>
      <c r="P5530" s="35" t="s">
        <v>196</v>
      </c>
      <c r="Q5530" s="53"/>
    </row>
    <row r="5531" spans="1:18" x14ac:dyDescent="0.3">
      <c r="A5531" s="170"/>
      <c r="N5531" s="28"/>
      <c r="O5531" s="28"/>
      <c r="P5531" s="28"/>
      <c r="Q5531" s="28"/>
    </row>
    <row r="5532" spans="1:18" x14ac:dyDescent="0.3">
      <c r="A5532" s="170"/>
      <c r="Q5532" s="51"/>
    </row>
    <row r="5533" spans="1:18" x14ac:dyDescent="0.3">
      <c r="A5533" s="170"/>
      <c r="O5533" s="32">
        <f>SUM(O5529)</f>
        <v>-6212715.1500000041</v>
      </c>
      <c r="P5533" s="27" t="s">
        <v>193</v>
      </c>
      <c r="Q5533" s="54" t="s">
        <v>195</v>
      </c>
    </row>
    <row r="5534" spans="1:18" x14ac:dyDescent="0.3">
      <c r="A5534" s="170"/>
      <c r="O5534" s="6">
        <v>0.5</v>
      </c>
      <c r="P5534" s="27" t="s">
        <v>193</v>
      </c>
      <c r="Q5534" s="50" t="s">
        <v>284</v>
      </c>
    </row>
    <row r="5535" spans="1:18" x14ac:dyDescent="0.3">
      <c r="A5535" s="170"/>
      <c r="P5535" s="27"/>
      <c r="Q5535" s="50"/>
    </row>
    <row r="5536" spans="1:18" ht="16.2" thickBot="1" x14ac:dyDescent="0.35">
      <c r="A5536" s="170"/>
      <c r="O5536" s="29">
        <f>SUM(O5533:O5535)</f>
        <v>-6212714.6500000041</v>
      </c>
      <c r="P5536" s="27" t="s">
        <v>193</v>
      </c>
      <c r="Q5536" s="49" t="s">
        <v>3968</v>
      </c>
    </row>
    <row r="5537" spans="1:17" ht="16.2" thickTop="1" x14ac:dyDescent="0.3">
      <c r="A5537" s="170"/>
      <c r="Q5537" s="51"/>
    </row>
    <row r="5538" spans="1:17" x14ac:dyDescent="0.3">
      <c r="A5538" s="170"/>
      <c r="Q5538" s="51"/>
    </row>
    <row r="5539" spans="1:17" x14ac:dyDescent="0.3">
      <c r="A5539" s="170"/>
    </row>
    <row r="5540" spans="1:17" x14ac:dyDescent="0.3">
      <c r="A5540" s="170"/>
    </row>
    <row r="5541" spans="1:17" x14ac:dyDescent="0.3">
      <c r="A5541" s="170"/>
    </row>
    <row r="5542" spans="1:17" x14ac:dyDescent="0.3">
      <c r="A5542" s="170"/>
    </row>
    <row r="5543" spans="1:17" x14ac:dyDescent="0.3">
      <c r="A5543" s="170"/>
    </row>
    <row r="5544" spans="1:17" x14ac:dyDescent="0.3">
      <c r="A5544" s="170"/>
    </row>
    <row r="5545" spans="1:17" x14ac:dyDescent="0.3">
      <c r="A5545" s="170"/>
    </row>
    <row r="5546" spans="1:17" x14ac:dyDescent="0.3">
      <c r="A5546" s="170"/>
    </row>
    <row r="5547" spans="1:17" x14ac:dyDescent="0.3">
      <c r="A5547" s="170"/>
    </row>
    <row r="5548" spans="1:17" x14ac:dyDescent="0.3">
      <c r="A5548" s="170"/>
    </row>
    <row r="5549" spans="1:17" x14ac:dyDescent="0.3">
      <c r="A5549" s="170"/>
    </row>
    <row r="5550" spans="1:17" x14ac:dyDescent="0.3">
      <c r="A5550" s="170"/>
    </row>
    <row r="5551" spans="1:17" x14ac:dyDescent="0.3">
      <c r="A5551" s="170"/>
    </row>
    <row r="5552" spans="1:17" x14ac:dyDescent="0.3">
      <c r="A5552" s="170"/>
    </row>
    <row r="5553" spans="1:1" x14ac:dyDescent="0.3">
      <c r="A5553" s="170"/>
    </row>
    <row r="5554" spans="1:1" x14ac:dyDescent="0.3">
      <c r="A5554" s="170"/>
    </row>
    <row r="5555" spans="1:1" x14ac:dyDescent="0.3">
      <c r="A5555" s="170"/>
    </row>
    <row r="5556" spans="1:1" x14ac:dyDescent="0.3">
      <c r="A5556" s="170"/>
    </row>
    <row r="5557" spans="1:1" x14ac:dyDescent="0.3">
      <c r="A5557" s="170"/>
    </row>
    <row r="5558" spans="1:1" x14ac:dyDescent="0.3">
      <c r="A5558" s="170"/>
    </row>
    <row r="5559" spans="1:1" x14ac:dyDescent="0.3">
      <c r="A5559" s="170"/>
    </row>
    <row r="5560" spans="1:1" x14ac:dyDescent="0.3">
      <c r="A5560" s="170"/>
    </row>
    <row r="5561" spans="1:1" x14ac:dyDescent="0.3">
      <c r="A5561" s="170"/>
    </row>
    <row r="5562" spans="1:1" x14ac:dyDescent="0.3">
      <c r="A5562" s="170"/>
    </row>
    <row r="5563" spans="1:1" x14ac:dyDescent="0.3">
      <c r="A5563" s="170"/>
    </row>
    <row r="5564" spans="1:1" x14ac:dyDescent="0.3">
      <c r="A5564" s="170"/>
    </row>
    <row r="5565" spans="1:1" x14ac:dyDescent="0.3">
      <c r="A5565" s="170"/>
    </row>
    <row r="5566" spans="1:1" x14ac:dyDescent="0.3">
      <c r="A5566" s="170"/>
    </row>
    <row r="5567" spans="1:1" x14ac:dyDescent="0.3">
      <c r="A5567" s="170"/>
    </row>
    <row r="5568" spans="1:1" x14ac:dyDescent="0.3">
      <c r="A5568" s="170"/>
    </row>
    <row r="5569" spans="1:1" x14ac:dyDescent="0.3">
      <c r="A5569" s="170"/>
    </row>
    <row r="5570" spans="1:1" x14ac:dyDescent="0.3">
      <c r="A5570" s="170"/>
    </row>
    <row r="5571" spans="1:1" x14ac:dyDescent="0.3">
      <c r="A5571" s="170"/>
    </row>
    <row r="5572" spans="1:1" x14ac:dyDescent="0.3">
      <c r="A5572" s="170"/>
    </row>
    <row r="5573" spans="1:1" x14ac:dyDescent="0.3">
      <c r="A5573" s="170"/>
    </row>
    <row r="5574" spans="1:1" x14ac:dyDescent="0.3">
      <c r="A5574" s="170"/>
    </row>
    <row r="5575" spans="1:1" x14ac:dyDescent="0.3">
      <c r="A5575" s="170"/>
    </row>
    <row r="5576" spans="1:1" x14ac:dyDescent="0.3">
      <c r="A5576" s="170"/>
    </row>
    <row r="5577" spans="1:1" x14ac:dyDescent="0.3">
      <c r="A5577" s="170"/>
    </row>
    <row r="5578" spans="1:1" x14ac:dyDescent="0.3">
      <c r="A5578" s="170"/>
    </row>
    <row r="5579" spans="1:1" x14ac:dyDescent="0.3">
      <c r="A5579" s="170"/>
    </row>
    <row r="5580" spans="1:1" x14ac:dyDescent="0.3">
      <c r="A5580" s="170"/>
    </row>
    <row r="5581" spans="1:1" x14ac:dyDescent="0.3">
      <c r="A5581" s="170"/>
    </row>
    <row r="5582" spans="1:1" x14ac:dyDescent="0.3">
      <c r="A5582" s="170"/>
    </row>
    <row r="5583" spans="1:1" x14ac:dyDescent="0.3">
      <c r="A5583" s="170"/>
    </row>
    <row r="5584" spans="1:1" x14ac:dyDescent="0.3">
      <c r="A5584" s="170"/>
    </row>
    <row r="5585" spans="1:1" x14ac:dyDescent="0.3">
      <c r="A5585" s="170"/>
    </row>
    <row r="5586" spans="1:1" x14ac:dyDescent="0.3">
      <c r="A5586" s="170"/>
    </row>
    <row r="5587" spans="1:1" x14ac:dyDescent="0.3">
      <c r="A5587" s="170"/>
    </row>
    <row r="5588" spans="1:1" x14ac:dyDescent="0.3">
      <c r="A5588" s="170"/>
    </row>
    <row r="5589" spans="1:1" x14ac:dyDescent="0.3">
      <c r="A5589" s="170"/>
    </row>
    <row r="5590" spans="1:1" x14ac:dyDescent="0.3">
      <c r="A5590" s="170"/>
    </row>
    <row r="5591" spans="1:1" x14ac:dyDescent="0.3">
      <c r="A5591" s="170"/>
    </row>
    <row r="5592" spans="1:1" x14ac:dyDescent="0.3">
      <c r="A5592" s="170"/>
    </row>
    <row r="5593" spans="1:1" x14ac:dyDescent="0.3">
      <c r="A5593" s="170"/>
    </row>
    <row r="5594" spans="1:1" x14ac:dyDescent="0.3">
      <c r="A5594" s="170"/>
    </row>
    <row r="5595" spans="1:1" x14ac:dyDescent="0.3">
      <c r="A5595" s="170"/>
    </row>
    <row r="5596" spans="1:1" x14ac:dyDescent="0.3">
      <c r="A5596" s="170"/>
    </row>
    <row r="5597" spans="1:1" x14ac:dyDescent="0.3">
      <c r="A5597" s="170"/>
    </row>
    <row r="5598" spans="1:1" x14ac:dyDescent="0.3">
      <c r="A5598" s="170"/>
    </row>
    <row r="5599" spans="1:1" x14ac:dyDescent="0.3">
      <c r="A5599" s="170"/>
    </row>
    <row r="5600" spans="1:1" x14ac:dyDescent="0.3">
      <c r="A5600" s="170"/>
    </row>
    <row r="5601" spans="1:1" x14ac:dyDescent="0.3">
      <c r="A5601" s="170"/>
    </row>
    <row r="5602" spans="1:1" x14ac:dyDescent="0.3">
      <c r="A5602" s="170"/>
    </row>
    <row r="5603" spans="1:1" x14ac:dyDescent="0.3">
      <c r="A5603" s="170"/>
    </row>
    <row r="5604" spans="1:1" x14ac:dyDescent="0.3">
      <c r="A5604" s="170"/>
    </row>
    <row r="5605" spans="1:1" x14ac:dyDescent="0.3">
      <c r="A5605" s="170"/>
    </row>
    <row r="5606" spans="1:1" x14ac:dyDescent="0.3">
      <c r="A5606" s="170"/>
    </row>
    <row r="5607" spans="1:1" x14ac:dyDescent="0.3">
      <c r="A5607" s="170"/>
    </row>
    <row r="5608" spans="1:1" x14ac:dyDescent="0.3">
      <c r="A5608" s="170"/>
    </row>
    <row r="5609" spans="1:1" x14ac:dyDescent="0.3">
      <c r="A5609" s="170"/>
    </row>
    <row r="5610" spans="1:1" x14ac:dyDescent="0.3">
      <c r="A5610" s="170"/>
    </row>
    <row r="5611" spans="1:1" x14ac:dyDescent="0.3">
      <c r="A5611" s="170"/>
    </row>
    <row r="5612" spans="1:1" x14ac:dyDescent="0.3">
      <c r="A5612" s="170"/>
    </row>
    <row r="5613" spans="1:1" x14ac:dyDescent="0.3">
      <c r="A5613" s="170"/>
    </row>
    <row r="5614" spans="1:1" x14ac:dyDescent="0.3">
      <c r="A5614" s="170"/>
    </row>
    <row r="5615" spans="1:1" x14ac:dyDescent="0.3">
      <c r="A5615" s="170"/>
    </row>
    <row r="5616" spans="1:1" x14ac:dyDescent="0.3">
      <c r="A5616" s="170"/>
    </row>
    <row r="5617" spans="1:1" x14ac:dyDescent="0.3">
      <c r="A5617" s="170"/>
    </row>
    <row r="5618" spans="1:1" x14ac:dyDescent="0.3">
      <c r="A5618" s="151"/>
    </row>
    <row r="5619" spans="1:1" x14ac:dyDescent="0.3">
      <c r="A5619" s="1"/>
    </row>
    <row r="5620" spans="1:1" x14ac:dyDescent="0.3">
      <c r="A5620" s="1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34" orientation="landscape" r:id="rId1"/>
  <ignoredErrors>
    <ignoredError sqref="O117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3" workbookViewId="0">
      <selection activeCell="A66" sqref="A66"/>
    </sheetView>
  </sheetViews>
  <sheetFormatPr defaultRowHeight="14.4" x14ac:dyDescent="0.3"/>
  <cols>
    <col min="1" max="1" width="38.33203125" bestFit="1" customWidth="1"/>
    <col min="2" max="2" width="16" style="125" bestFit="1" customWidth="1"/>
    <col min="3" max="3" width="17.5546875" style="125" bestFit="1" customWidth="1"/>
    <col min="4" max="4" width="7.44140625" style="125" bestFit="1" customWidth="1"/>
    <col min="5" max="5" width="13.44140625" style="125" bestFit="1" customWidth="1"/>
  </cols>
  <sheetData>
    <row r="1" spans="1:5" x14ac:dyDescent="0.3">
      <c r="A1" t="s">
        <v>1</v>
      </c>
      <c r="B1" s="125" t="s">
        <v>0</v>
      </c>
      <c r="C1" s="125" t="s">
        <v>4</v>
      </c>
      <c r="D1" s="125" t="s">
        <v>87</v>
      </c>
      <c r="E1" s="125" t="s">
        <v>83</v>
      </c>
    </row>
    <row r="2" spans="1:5" x14ac:dyDescent="0.3">
      <c r="A2" t="s">
        <v>7</v>
      </c>
      <c r="B2" s="125" t="s">
        <v>6</v>
      </c>
      <c r="C2" s="125" t="s">
        <v>5</v>
      </c>
      <c r="D2" s="125">
        <v>0</v>
      </c>
      <c r="E2" s="125" t="s">
        <v>84</v>
      </c>
    </row>
    <row r="3" spans="1:5" x14ac:dyDescent="0.3">
      <c r="A3" t="s">
        <v>14</v>
      </c>
      <c r="B3" s="125" t="s">
        <v>13</v>
      </c>
      <c r="C3" s="125" t="s">
        <v>5</v>
      </c>
      <c r="D3" s="125">
        <v>0</v>
      </c>
      <c r="E3" s="125" t="s">
        <v>85</v>
      </c>
    </row>
    <row r="4" spans="1:5" x14ac:dyDescent="0.3">
      <c r="A4" t="s">
        <v>20</v>
      </c>
      <c r="B4" s="125" t="s">
        <v>19</v>
      </c>
      <c r="C4" s="125">
        <v>45</v>
      </c>
      <c r="D4" s="125">
        <v>45</v>
      </c>
      <c r="E4" s="125" t="s">
        <v>86</v>
      </c>
    </row>
    <row r="5" spans="1:5" x14ac:dyDescent="0.3">
      <c r="A5" t="s">
        <v>23</v>
      </c>
      <c r="B5" s="125" t="s">
        <v>22</v>
      </c>
      <c r="C5" s="125">
        <v>120</v>
      </c>
      <c r="D5" s="125">
        <v>120</v>
      </c>
      <c r="E5" s="125" t="s">
        <v>85</v>
      </c>
    </row>
    <row r="6" spans="1:5" x14ac:dyDescent="0.3">
      <c r="A6" t="s">
        <v>35</v>
      </c>
      <c r="B6" s="125" t="s">
        <v>34</v>
      </c>
      <c r="C6" s="125" t="s">
        <v>5</v>
      </c>
      <c r="D6" s="125">
        <v>0</v>
      </c>
      <c r="E6" s="125" t="s">
        <v>85</v>
      </c>
    </row>
    <row r="7" spans="1:5" x14ac:dyDescent="0.3">
      <c r="A7" t="s">
        <v>43</v>
      </c>
      <c r="B7" s="125" t="s">
        <v>42</v>
      </c>
      <c r="C7" s="125" t="s">
        <v>5</v>
      </c>
      <c r="D7" s="125">
        <v>0</v>
      </c>
      <c r="E7" s="125" t="s">
        <v>85</v>
      </c>
    </row>
    <row r="8" spans="1:5" x14ac:dyDescent="0.3">
      <c r="A8" t="s">
        <v>47</v>
      </c>
      <c r="B8" s="125" t="s">
        <v>48</v>
      </c>
      <c r="C8" s="125" t="s">
        <v>5</v>
      </c>
      <c r="D8" s="125">
        <v>0</v>
      </c>
      <c r="E8" s="125" t="s">
        <v>84</v>
      </c>
    </row>
    <row r="9" spans="1:5" x14ac:dyDescent="0.3">
      <c r="A9" t="s">
        <v>52</v>
      </c>
      <c r="B9" s="125" t="s">
        <v>51</v>
      </c>
      <c r="C9" s="125" t="s">
        <v>5</v>
      </c>
      <c r="D9" s="125">
        <v>0</v>
      </c>
      <c r="E9" s="125" t="s">
        <v>84</v>
      </c>
    </row>
    <row r="10" spans="1:5" x14ac:dyDescent="0.3">
      <c r="A10" t="s">
        <v>58</v>
      </c>
      <c r="B10" s="125" t="s">
        <v>59</v>
      </c>
      <c r="C10" s="125">
        <v>60</v>
      </c>
      <c r="D10" s="125">
        <v>60</v>
      </c>
      <c r="E10" s="125" t="s">
        <v>85</v>
      </c>
    </row>
    <row r="11" spans="1:5" x14ac:dyDescent="0.3">
      <c r="A11" t="s">
        <v>62</v>
      </c>
      <c r="B11" s="125" t="s">
        <v>61</v>
      </c>
      <c r="C11" s="125">
        <v>120</v>
      </c>
      <c r="D11" s="125">
        <v>120</v>
      </c>
      <c r="E11" s="125" t="s">
        <v>84</v>
      </c>
    </row>
    <row r="12" spans="1:5" x14ac:dyDescent="0.3">
      <c r="A12" t="s">
        <v>173</v>
      </c>
      <c r="B12" s="125" t="s">
        <v>174</v>
      </c>
      <c r="C12" s="125" t="s">
        <v>5</v>
      </c>
      <c r="D12" s="125">
        <v>0</v>
      </c>
      <c r="E12" s="125" t="s">
        <v>84</v>
      </c>
    </row>
    <row r="13" spans="1:5" x14ac:dyDescent="0.3">
      <c r="A13" t="s">
        <v>2928</v>
      </c>
      <c r="B13" s="125" t="s">
        <v>1696</v>
      </c>
      <c r="C13" s="125" t="s">
        <v>5</v>
      </c>
      <c r="D13" s="125">
        <v>0</v>
      </c>
      <c r="E13" s="125" t="s">
        <v>5</v>
      </c>
    </row>
    <row r="14" spans="1:5" x14ac:dyDescent="0.3">
      <c r="A14" t="s">
        <v>1453</v>
      </c>
      <c r="B14" s="125" t="s">
        <v>3506</v>
      </c>
      <c r="C14" s="125" t="s">
        <v>5</v>
      </c>
      <c r="D14" s="125">
        <v>0</v>
      </c>
      <c r="E14" s="125" t="s">
        <v>85</v>
      </c>
    </row>
    <row r="15" spans="1:5" ht="15.6" x14ac:dyDescent="0.3">
      <c r="A15" s="1" t="s">
        <v>3549</v>
      </c>
      <c r="B15" s="125" t="s">
        <v>227</v>
      </c>
      <c r="C15" s="125" t="s">
        <v>5</v>
      </c>
      <c r="D15" s="125">
        <v>0</v>
      </c>
      <c r="E15" s="125" t="s">
        <v>85</v>
      </c>
    </row>
    <row r="16" spans="1:5" x14ac:dyDescent="0.3">
      <c r="A16" t="s">
        <v>262</v>
      </c>
      <c r="B16" s="125" t="s">
        <v>257</v>
      </c>
      <c r="C16" s="125" t="s">
        <v>5</v>
      </c>
      <c r="D16" s="125">
        <v>0</v>
      </c>
      <c r="E16" s="125" t="s">
        <v>5</v>
      </c>
    </row>
    <row r="17" spans="1:5" x14ac:dyDescent="0.3">
      <c r="A17" t="s">
        <v>280</v>
      </c>
      <c r="B17" s="125" t="s">
        <v>279</v>
      </c>
      <c r="C17" s="125" t="s">
        <v>5</v>
      </c>
      <c r="D17" s="125">
        <v>0</v>
      </c>
      <c r="E17" s="125" t="s">
        <v>84</v>
      </c>
    </row>
    <row r="18" spans="1:5" x14ac:dyDescent="0.3">
      <c r="A18" t="s">
        <v>289</v>
      </c>
      <c r="B18" s="125" t="s">
        <v>288</v>
      </c>
      <c r="C18" s="125" t="s">
        <v>5</v>
      </c>
      <c r="D18" s="125">
        <v>0</v>
      </c>
      <c r="E18" s="125" t="s">
        <v>84</v>
      </c>
    </row>
    <row r="19" spans="1:5" x14ac:dyDescent="0.3">
      <c r="A19" t="s">
        <v>1697</v>
      </c>
      <c r="B19" s="125" t="s">
        <v>364</v>
      </c>
      <c r="C19" s="125" t="s">
        <v>5</v>
      </c>
      <c r="D19" s="125">
        <v>0</v>
      </c>
      <c r="E19" s="125" t="s">
        <v>84</v>
      </c>
    </row>
    <row r="20" spans="1:5" x14ac:dyDescent="0.3">
      <c r="A20" t="s">
        <v>375</v>
      </c>
      <c r="B20" s="125" t="s">
        <v>374</v>
      </c>
      <c r="C20" s="125" t="s">
        <v>5</v>
      </c>
      <c r="D20" s="125">
        <v>0</v>
      </c>
      <c r="E20" s="125" t="s">
        <v>84</v>
      </c>
    </row>
    <row r="21" spans="1:5" x14ac:dyDescent="0.3">
      <c r="A21" t="s">
        <v>400</v>
      </c>
      <c r="B21" s="125" t="s">
        <v>399</v>
      </c>
      <c r="C21" s="125" t="s">
        <v>5</v>
      </c>
      <c r="D21" s="125">
        <v>0</v>
      </c>
      <c r="E21" s="125" t="s">
        <v>84</v>
      </c>
    </row>
    <row r="22" spans="1:5" x14ac:dyDescent="0.3">
      <c r="A22" t="s">
        <v>409</v>
      </c>
      <c r="B22" s="125" t="s">
        <v>408</v>
      </c>
      <c r="C22" s="125" t="s">
        <v>5</v>
      </c>
      <c r="D22" s="125">
        <v>0</v>
      </c>
      <c r="E22" s="125" t="s">
        <v>84</v>
      </c>
    </row>
    <row r="23" spans="1:5" x14ac:dyDescent="0.3">
      <c r="A23" t="s">
        <v>491</v>
      </c>
      <c r="B23" s="125" t="s">
        <v>474</v>
      </c>
      <c r="C23" s="125" t="s">
        <v>5</v>
      </c>
      <c r="D23" s="125">
        <v>0</v>
      </c>
      <c r="E23" s="126" t="s">
        <v>86</v>
      </c>
    </row>
    <row r="24" spans="1:5" x14ac:dyDescent="0.3">
      <c r="A24" t="s">
        <v>637</v>
      </c>
      <c r="B24" s="125" t="s">
        <v>636</v>
      </c>
      <c r="C24" s="125" t="s">
        <v>5</v>
      </c>
      <c r="D24" s="125">
        <v>0</v>
      </c>
      <c r="E24" s="125" t="s">
        <v>84</v>
      </c>
    </row>
    <row r="25" spans="1:5" x14ac:dyDescent="0.3">
      <c r="A25" t="s">
        <v>665</v>
      </c>
      <c r="B25" s="125" t="s">
        <v>664</v>
      </c>
      <c r="C25" s="125" t="s">
        <v>5</v>
      </c>
      <c r="D25" s="125">
        <v>0</v>
      </c>
      <c r="E25" s="125" t="s">
        <v>84</v>
      </c>
    </row>
    <row r="26" spans="1:5" x14ac:dyDescent="0.3">
      <c r="A26" t="s">
        <v>773</v>
      </c>
      <c r="B26" s="125" t="s">
        <v>704</v>
      </c>
      <c r="C26" s="125" t="s">
        <v>5</v>
      </c>
      <c r="D26" s="125">
        <v>0</v>
      </c>
      <c r="E26" s="125" t="s">
        <v>84</v>
      </c>
    </row>
    <row r="27" spans="1:5" x14ac:dyDescent="0.3">
      <c r="A27" t="s">
        <v>709</v>
      </c>
      <c r="B27" s="125" t="s">
        <v>710</v>
      </c>
      <c r="C27" s="125" t="s">
        <v>5</v>
      </c>
      <c r="D27" s="125">
        <v>0</v>
      </c>
      <c r="E27" s="125" t="s">
        <v>84</v>
      </c>
    </row>
    <row r="28" spans="1:5" x14ac:dyDescent="0.3">
      <c r="A28" t="s">
        <v>784</v>
      </c>
      <c r="B28" s="125" t="s">
        <v>785</v>
      </c>
      <c r="C28" s="125" t="s">
        <v>5</v>
      </c>
      <c r="D28" s="125">
        <v>0</v>
      </c>
      <c r="E28" s="125" t="s">
        <v>84</v>
      </c>
    </row>
    <row r="29" spans="1:5" x14ac:dyDescent="0.3">
      <c r="A29" t="s">
        <v>859</v>
      </c>
      <c r="B29" s="125" t="s">
        <v>860</v>
      </c>
      <c r="C29" s="125" t="s">
        <v>5</v>
      </c>
      <c r="D29" s="125">
        <v>0</v>
      </c>
      <c r="E29" s="125" t="s">
        <v>84</v>
      </c>
    </row>
    <row r="30" spans="1:5" x14ac:dyDescent="0.3">
      <c r="A30" t="s">
        <v>1699</v>
      </c>
      <c r="B30" s="125" t="s">
        <v>1698</v>
      </c>
      <c r="C30" s="125" t="s">
        <v>5</v>
      </c>
      <c r="D30" s="125">
        <v>0</v>
      </c>
      <c r="E30" s="125" t="s">
        <v>84</v>
      </c>
    </row>
    <row r="31" spans="1:5" x14ac:dyDescent="0.3">
      <c r="A31" t="s">
        <v>958</v>
      </c>
      <c r="B31" s="125" t="s">
        <v>929</v>
      </c>
      <c r="C31" s="125" t="s">
        <v>5</v>
      </c>
      <c r="D31" s="125">
        <v>0</v>
      </c>
      <c r="E31" s="125" t="s">
        <v>84</v>
      </c>
    </row>
    <row r="32" spans="1:5" x14ac:dyDescent="0.3">
      <c r="A32" t="s">
        <v>1057</v>
      </c>
      <c r="B32" s="125" t="s">
        <v>1700</v>
      </c>
      <c r="C32" s="125" t="s">
        <v>5</v>
      </c>
      <c r="D32" s="125">
        <v>0</v>
      </c>
      <c r="E32" s="125" t="s">
        <v>84</v>
      </c>
    </row>
    <row r="33" spans="1:5" x14ac:dyDescent="0.3">
      <c r="A33" t="s">
        <v>1051</v>
      </c>
      <c r="B33" s="125" t="s">
        <v>1052</v>
      </c>
      <c r="C33" s="125" t="s">
        <v>5</v>
      </c>
      <c r="D33" s="125">
        <v>0</v>
      </c>
      <c r="E33" s="125" t="s">
        <v>84</v>
      </c>
    </row>
    <row r="34" spans="1:5" x14ac:dyDescent="0.3">
      <c r="A34" t="s">
        <v>1057</v>
      </c>
      <c r="B34" s="125" t="s">
        <v>1052</v>
      </c>
      <c r="C34" s="125" t="s">
        <v>5</v>
      </c>
      <c r="D34" s="125">
        <v>0</v>
      </c>
      <c r="E34" s="125" t="s">
        <v>84</v>
      </c>
    </row>
    <row r="35" spans="1:5" x14ac:dyDescent="0.3">
      <c r="A35" t="s">
        <v>1101</v>
      </c>
      <c r="B35" s="125" t="s">
        <v>1098</v>
      </c>
      <c r="C35" s="125" t="s">
        <v>5</v>
      </c>
      <c r="D35" s="125">
        <v>0</v>
      </c>
      <c r="E35" s="125" t="s">
        <v>84</v>
      </c>
    </row>
    <row r="36" spans="1:5" x14ac:dyDescent="0.3">
      <c r="A36" t="s">
        <v>1100</v>
      </c>
      <c r="B36" s="125" t="s">
        <v>1099</v>
      </c>
      <c r="C36" s="125" t="s">
        <v>5</v>
      </c>
      <c r="D36" s="125">
        <v>0</v>
      </c>
      <c r="E36" s="125" t="s">
        <v>84</v>
      </c>
    </row>
    <row r="37" spans="1:5" x14ac:dyDescent="0.3">
      <c r="A37" t="s">
        <v>1196</v>
      </c>
      <c r="B37" s="125" t="s">
        <v>1202</v>
      </c>
      <c r="C37" s="125" t="s">
        <v>5</v>
      </c>
      <c r="D37" s="125">
        <v>0</v>
      </c>
      <c r="E37" s="125" t="s">
        <v>84</v>
      </c>
    </row>
    <row r="38" spans="1:5" x14ac:dyDescent="0.3">
      <c r="A38" t="s">
        <v>1257</v>
      </c>
      <c r="B38" s="125" t="s">
        <v>1261</v>
      </c>
      <c r="C38" s="125" t="s">
        <v>5</v>
      </c>
      <c r="D38" s="125">
        <v>0</v>
      </c>
      <c r="E38" s="125" t="s">
        <v>84</v>
      </c>
    </row>
    <row r="39" spans="1:5" x14ac:dyDescent="0.3">
      <c r="A39" t="s">
        <v>1304</v>
      </c>
      <c r="B39" s="125" t="s">
        <v>1305</v>
      </c>
      <c r="C39" s="125" t="s">
        <v>5</v>
      </c>
      <c r="D39" s="125">
        <v>0</v>
      </c>
      <c r="E39" s="125" t="s">
        <v>84</v>
      </c>
    </row>
    <row r="40" spans="1:5" x14ac:dyDescent="0.3">
      <c r="A40" t="s">
        <v>1309</v>
      </c>
      <c r="B40" s="125" t="s">
        <v>1310</v>
      </c>
      <c r="C40" s="125">
        <v>30</v>
      </c>
      <c r="D40" s="125">
        <v>30</v>
      </c>
      <c r="E40" s="126" t="s">
        <v>85</v>
      </c>
    </row>
    <row r="41" spans="1:5" x14ac:dyDescent="0.3">
      <c r="A41" t="s">
        <v>1420</v>
      </c>
      <c r="B41" s="125" t="s">
        <v>1421</v>
      </c>
      <c r="C41" s="125" t="s">
        <v>5</v>
      </c>
      <c r="D41" s="125">
        <v>0</v>
      </c>
      <c r="E41" s="125" t="s">
        <v>84</v>
      </c>
    </row>
    <row r="42" spans="1:5" x14ac:dyDescent="0.3">
      <c r="A42" t="s">
        <v>1620</v>
      </c>
      <c r="B42" s="125" t="s">
        <v>1619</v>
      </c>
      <c r="C42" s="125" t="s">
        <v>5</v>
      </c>
      <c r="D42" s="125">
        <v>0</v>
      </c>
      <c r="E42" s="125" t="s">
        <v>84</v>
      </c>
    </row>
    <row r="43" spans="1:5" x14ac:dyDescent="0.3">
      <c r="A43" t="s">
        <v>1702</v>
      </c>
      <c r="B43" s="125" t="s">
        <v>1701</v>
      </c>
      <c r="C43" s="125" t="s">
        <v>5</v>
      </c>
      <c r="D43" s="125">
        <v>0</v>
      </c>
      <c r="E43" s="125" t="s">
        <v>5</v>
      </c>
    </row>
    <row r="44" spans="1:5" x14ac:dyDescent="0.3">
      <c r="A44" t="s">
        <v>1704</v>
      </c>
      <c r="B44" s="125" t="s">
        <v>1703</v>
      </c>
      <c r="C44" s="125" t="s">
        <v>5</v>
      </c>
      <c r="D44" s="125">
        <v>0</v>
      </c>
      <c r="E44" s="125" t="s">
        <v>84</v>
      </c>
    </row>
    <row r="45" spans="1:5" x14ac:dyDescent="0.3">
      <c r="A45" t="s">
        <v>2012</v>
      </c>
      <c r="B45" s="125" t="s">
        <v>2015</v>
      </c>
      <c r="C45" s="125" t="s">
        <v>5</v>
      </c>
      <c r="D45" s="125">
        <v>0</v>
      </c>
      <c r="E45" s="125" t="s">
        <v>84</v>
      </c>
    </row>
    <row r="46" spans="1:5" x14ac:dyDescent="0.3">
      <c r="A46" t="s">
        <v>2134</v>
      </c>
      <c r="B46" s="125" t="s">
        <v>2146</v>
      </c>
      <c r="C46" s="125" t="s">
        <v>5</v>
      </c>
      <c r="D46" s="125">
        <v>0</v>
      </c>
      <c r="E46" s="125" t="s">
        <v>84</v>
      </c>
    </row>
    <row r="47" spans="1:5" x14ac:dyDescent="0.3">
      <c r="A47" t="s">
        <v>2929</v>
      </c>
      <c r="B47" s="125" t="s">
        <v>2147</v>
      </c>
      <c r="C47" s="125" t="s">
        <v>5</v>
      </c>
      <c r="D47" s="125">
        <v>0</v>
      </c>
      <c r="E47" s="125" t="s">
        <v>5</v>
      </c>
    </row>
    <row r="48" spans="1:5" x14ac:dyDescent="0.3">
      <c r="A48" t="s">
        <v>2271</v>
      </c>
      <c r="B48" s="125" t="s">
        <v>2302</v>
      </c>
      <c r="C48" s="125" t="s">
        <v>5</v>
      </c>
      <c r="D48" s="125">
        <v>0</v>
      </c>
      <c r="E48" s="125" t="s">
        <v>84</v>
      </c>
    </row>
    <row r="49" spans="1:5" x14ac:dyDescent="0.3">
      <c r="A49" t="s">
        <v>2284</v>
      </c>
      <c r="B49" s="125" t="s">
        <v>2303</v>
      </c>
      <c r="C49" s="125" t="s">
        <v>5</v>
      </c>
      <c r="D49" s="125">
        <v>0</v>
      </c>
      <c r="E49" s="125" t="s">
        <v>5</v>
      </c>
    </row>
    <row r="50" spans="1:5" x14ac:dyDescent="0.3">
      <c r="A50" t="s">
        <v>2362</v>
      </c>
      <c r="B50" s="125" t="s">
        <v>2361</v>
      </c>
      <c r="C50" s="125" t="s">
        <v>5</v>
      </c>
      <c r="D50" s="125">
        <v>0</v>
      </c>
      <c r="E50" s="125" t="s">
        <v>5</v>
      </c>
    </row>
    <row r="51" spans="1:5" x14ac:dyDescent="0.3">
      <c r="A51" t="s">
        <v>2440</v>
      </c>
      <c r="B51" s="125" t="s">
        <v>2547</v>
      </c>
      <c r="C51" s="125" t="s">
        <v>5</v>
      </c>
      <c r="D51" s="125">
        <v>0</v>
      </c>
      <c r="E51" s="125" t="s">
        <v>5</v>
      </c>
    </row>
    <row r="52" spans="1:5" x14ac:dyDescent="0.3">
      <c r="A52" s="127" t="s">
        <v>2728</v>
      </c>
      <c r="B52" s="125" t="s">
        <v>2729</v>
      </c>
      <c r="C52" s="125" t="s">
        <v>5</v>
      </c>
      <c r="D52" s="125">
        <v>0</v>
      </c>
      <c r="E52" s="125" t="s">
        <v>5</v>
      </c>
    </row>
    <row r="53" spans="1:5" x14ac:dyDescent="0.3">
      <c r="A53" t="s">
        <v>2656</v>
      </c>
      <c r="B53" s="125" t="s">
        <v>2655</v>
      </c>
      <c r="C53" s="125" t="s">
        <v>5</v>
      </c>
      <c r="D53" s="125">
        <v>0</v>
      </c>
      <c r="E53" s="125" t="s">
        <v>5</v>
      </c>
    </row>
    <row r="54" spans="1:5" ht="15.6" x14ac:dyDescent="0.3">
      <c r="A54" s="1" t="s">
        <v>3061</v>
      </c>
      <c r="B54" s="125" t="s">
        <v>2663</v>
      </c>
      <c r="C54" s="125" t="s">
        <v>5</v>
      </c>
      <c r="D54" s="125">
        <v>0</v>
      </c>
      <c r="E54" s="125" t="s">
        <v>5</v>
      </c>
    </row>
    <row r="55" spans="1:5" x14ac:dyDescent="0.3">
      <c r="A55" t="s">
        <v>2734</v>
      </c>
      <c r="B55" s="125" t="s">
        <v>2747</v>
      </c>
      <c r="C55" s="125" t="s">
        <v>5</v>
      </c>
      <c r="D55" s="125">
        <v>0</v>
      </c>
      <c r="E55" s="125" t="s">
        <v>5</v>
      </c>
    </row>
    <row r="56" spans="1:5" x14ac:dyDescent="0.3">
      <c r="A56" t="s">
        <v>2740</v>
      </c>
      <c r="B56" s="125" t="s">
        <v>2775</v>
      </c>
      <c r="C56" s="125" t="s">
        <v>5</v>
      </c>
      <c r="D56" s="125">
        <v>0</v>
      </c>
      <c r="E56" s="125" t="s">
        <v>5</v>
      </c>
    </row>
    <row r="57" spans="1:5" ht="15.6" x14ac:dyDescent="0.3">
      <c r="A57" s="1" t="s">
        <v>2939</v>
      </c>
      <c r="B57" s="125" t="s">
        <v>2963</v>
      </c>
      <c r="C57" s="125" t="s">
        <v>5</v>
      </c>
      <c r="D57" s="125">
        <v>0</v>
      </c>
      <c r="E57" s="125" t="s">
        <v>5</v>
      </c>
    </row>
    <row r="58" spans="1:5" x14ac:dyDescent="0.3">
      <c r="A58" t="s">
        <v>3063</v>
      </c>
      <c r="B58" s="125" t="s">
        <v>3062</v>
      </c>
      <c r="C58" s="125" t="s">
        <v>5</v>
      </c>
      <c r="D58" s="125">
        <v>0</v>
      </c>
      <c r="E58" s="125" t="s">
        <v>5</v>
      </c>
    </row>
    <row r="59" spans="1:5" x14ac:dyDescent="0.3">
      <c r="A59" t="s">
        <v>3225</v>
      </c>
      <c r="B59" s="125" t="s">
        <v>3283</v>
      </c>
      <c r="C59" s="125" t="s">
        <v>5</v>
      </c>
      <c r="D59" s="125">
        <v>0</v>
      </c>
      <c r="E59" s="125" t="s">
        <v>5</v>
      </c>
    </row>
    <row r="60" spans="1:5" ht="15.6" x14ac:dyDescent="0.3">
      <c r="A60" s="1" t="s">
        <v>3230</v>
      </c>
      <c r="B60" s="125" t="s">
        <v>3328</v>
      </c>
      <c r="C60" s="125" t="s">
        <v>5</v>
      </c>
      <c r="D60" s="125">
        <v>0</v>
      </c>
      <c r="E60" s="125" t="s">
        <v>5</v>
      </c>
    </row>
    <row r="61" spans="1:5" ht="15.6" x14ac:dyDescent="0.3">
      <c r="A61" s="1" t="s">
        <v>3268</v>
      </c>
      <c r="B61" s="125" t="s">
        <v>3284</v>
      </c>
      <c r="C61" s="125" t="s">
        <v>5</v>
      </c>
      <c r="D61" s="125">
        <v>0</v>
      </c>
      <c r="E61" s="125" t="s">
        <v>5</v>
      </c>
    </row>
    <row r="62" spans="1:5" ht="15.6" x14ac:dyDescent="0.3">
      <c r="A62" s="1" t="s">
        <v>3329</v>
      </c>
      <c r="B62" s="125" t="s">
        <v>3331</v>
      </c>
      <c r="C62" s="125" t="s">
        <v>5</v>
      </c>
      <c r="D62" s="125">
        <v>0</v>
      </c>
      <c r="E62" s="125" t="s">
        <v>5</v>
      </c>
    </row>
    <row r="63" spans="1:5" ht="15.6" x14ac:dyDescent="0.3">
      <c r="A63" s="1" t="s">
        <v>3330</v>
      </c>
      <c r="B63" s="125" t="s">
        <v>3332</v>
      </c>
      <c r="C63" s="125" t="s">
        <v>5</v>
      </c>
      <c r="D63" s="125">
        <v>0</v>
      </c>
      <c r="E63" s="125" t="s">
        <v>5</v>
      </c>
    </row>
    <row r="64" spans="1:5" ht="15.6" x14ac:dyDescent="0.3">
      <c r="A64" s="99" t="s">
        <v>3532</v>
      </c>
      <c r="B64" s="125" t="s">
        <v>3531</v>
      </c>
      <c r="C64" s="125" t="s">
        <v>5</v>
      </c>
      <c r="D64" s="125">
        <v>0</v>
      </c>
      <c r="E64" s="125" t="s">
        <v>5</v>
      </c>
    </row>
    <row r="65" spans="1:5" ht="15.6" x14ac:dyDescent="0.3">
      <c r="A65" s="1" t="s">
        <v>3867</v>
      </c>
      <c r="B65" s="125" t="s">
        <v>3893</v>
      </c>
      <c r="C65" s="125" t="s">
        <v>5</v>
      </c>
      <c r="D65" s="125">
        <v>0</v>
      </c>
      <c r="E65" s="125" t="s">
        <v>5</v>
      </c>
    </row>
    <row r="66" spans="1:5" ht="15.6" x14ac:dyDescent="0.3">
      <c r="A66" s="1" t="s">
        <v>4198</v>
      </c>
      <c r="B66" s="125" t="s">
        <v>3894</v>
      </c>
      <c r="C66" s="125" t="s">
        <v>5</v>
      </c>
      <c r="D66" s="125">
        <v>0</v>
      </c>
      <c r="E66" s="125" t="s">
        <v>5</v>
      </c>
    </row>
    <row r="67" spans="1:5" ht="15.6" x14ac:dyDescent="0.3">
      <c r="A67" s="1" t="s">
        <v>4059</v>
      </c>
      <c r="B67" s="125" t="s">
        <v>4058</v>
      </c>
      <c r="C67" s="125" t="s">
        <v>5</v>
      </c>
      <c r="D67" s="125">
        <v>0</v>
      </c>
      <c r="E67" s="125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Q148"/>
  <sheetViews>
    <sheetView topLeftCell="A132" zoomScaleNormal="100" workbookViewId="0">
      <selection activeCell="I149" sqref="I149"/>
    </sheetView>
  </sheetViews>
  <sheetFormatPr defaultRowHeight="14.4" x14ac:dyDescent="0.3"/>
  <cols>
    <col min="1" max="1" width="37.88671875" bestFit="1" customWidth="1"/>
    <col min="2" max="2" width="38.33203125" bestFit="1" customWidth="1"/>
    <col min="3" max="9" width="11.44140625" bestFit="1" customWidth="1"/>
    <col min="10" max="12" width="9.88671875" bestFit="1" customWidth="1"/>
    <col min="13" max="13" width="11.44140625" bestFit="1" customWidth="1"/>
    <col min="14" max="20" width="9.88671875" bestFit="1" customWidth="1"/>
    <col min="21" max="21" width="11.44140625" bestFit="1" customWidth="1"/>
    <col min="22" max="22" width="38.33203125" bestFit="1" customWidth="1"/>
    <col min="23" max="23" width="12.77734375" bestFit="1" customWidth="1"/>
    <col min="24" max="24" width="9.5546875" bestFit="1" customWidth="1"/>
    <col min="25" max="41" width="9.88671875" bestFit="1" customWidth="1"/>
    <col min="42" max="43" width="11.44140625" bestFit="1" customWidth="1"/>
    <col min="44" max="44" width="9.88671875" bestFit="1" customWidth="1"/>
    <col min="45" max="45" width="11.44140625" bestFit="1" customWidth="1"/>
  </cols>
  <sheetData>
    <row r="1" spans="1:43" x14ac:dyDescent="0.3">
      <c r="A1" t="s">
        <v>203</v>
      </c>
      <c r="V1" t="s">
        <v>203</v>
      </c>
    </row>
    <row r="4" spans="1:43" x14ac:dyDescent="0.3">
      <c r="A4" s="14" t="s">
        <v>198</v>
      </c>
      <c r="C4" s="14" t="s">
        <v>87</v>
      </c>
      <c r="V4" s="14" t="s">
        <v>198</v>
      </c>
      <c r="W4" s="14" t="s">
        <v>225</v>
      </c>
      <c r="X4" s="14" t="s">
        <v>87</v>
      </c>
    </row>
    <row r="5" spans="1:43" x14ac:dyDescent="0.3">
      <c r="A5" s="14" t="s">
        <v>225</v>
      </c>
      <c r="B5" s="14" t="s">
        <v>1</v>
      </c>
      <c r="C5">
        <v>0</v>
      </c>
      <c r="D5">
        <v>45</v>
      </c>
      <c r="E5">
        <v>60</v>
      </c>
      <c r="F5">
        <v>120</v>
      </c>
      <c r="G5" t="s">
        <v>1763</v>
      </c>
      <c r="H5">
        <v>30</v>
      </c>
      <c r="I5" t="s">
        <v>131</v>
      </c>
      <c r="W5">
        <v>2019</v>
      </c>
      <c r="X5" t="s">
        <v>349</v>
      </c>
      <c r="Y5">
        <v>2020</v>
      </c>
      <c r="AD5" t="s">
        <v>350</v>
      </c>
      <c r="AE5">
        <v>2021</v>
      </c>
      <c r="AJ5" t="s">
        <v>351</v>
      </c>
      <c r="AK5">
        <v>2022</v>
      </c>
      <c r="AP5" t="s">
        <v>584</v>
      </c>
      <c r="AQ5" t="s">
        <v>131</v>
      </c>
    </row>
    <row r="6" spans="1:43" x14ac:dyDescent="0.3">
      <c r="A6">
        <v>2019</v>
      </c>
      <c r="B6" t="s">
        <v>7</v>
      </c>
      <c r="C6" s="18">
        <v>2973</v>
      </c>
      <c r="D6" s="18"/>
      <c r="E6" s="18"/>
      <c r="F6" s="18"/>
      <c r="G6" s="18"/>
      <c r="H6" s="18"/>
      <c r="I6" s="18">
        <v>2973</v>
      </c>
      <c r="V6" s="14" t="s">
        <v>1</v>
      </c>
      <c r="W6">
        <v>0</v>
      </c>
      <c r="Y6">
        <v>0</v>
      </c>
      <c r="Z6">
        <v>45</v>
      </c>
      <c r="AA6">
        <v>60</v>
      </c>
      <c r="AB6">
        <v>120</v>
      </c>
      <c r="AC6" t="s">
        <v>1763</v>
      </c>
      <c r="AE6">
        <v>0</v>
      </c>
      <c r="AF6">
        <v>45</v>
      </c>
      <c r="AG6">
        <v>60</v>
      </c>
      <c r="AH6">
        <v>120</v>
      </c>
      <c r="AI6" t="s">
        <v>1763</v>
      </c>
      <c r="AK6">
        <v>0</v>
      </c>
      <c r="AL6">
        <v>45</v>
      </c>
      <c r="AM6">
        <v>60</v>
      </c>
      <c r="AN6">
        <v>120</v>
      </c>
      <c r="AO6" t="s">
        <v>1763</v>
      </c>
    </row>
    <row r="7" spans="1:43" x14ac:dyDescent="0.3">
      <c r="A7" s="36" t="s">
        <v>349</v>
      </c>
      <c r="B7" s="36"/>
      <c r="C7" s="37">
        <v>2973</v>
      </c>
      <c r="D7" s="37"/>
      <c r="E7" s="37"/>
      <c r="F7" s="37"/>
      <c r="G7" s="37"/>
      <c r="H7" s="37"/>
      <c r="I7" s="37">
        <v>2973</v>
      </c>
      <c r="V7" t="s">
        <v>35</v>
      </c>
      <c r="W7" s="18"/>
      <c r="X7" s="18"/>
      <c r="Y7" s="18">
        <v>9334</v>
      </c>
      <c r="Z7" s="18"/>
      <c r="AA7" s="18"/>
      <c r="AB7" s="18"/>
      <c r="AC7" s="18"/>
      <c r="AD7" s="18">
        <v>9334</v>
      </c>
      <c r="AE7" s="18">
        <v>13661.4</v>
      </c>
      <c r="AF7" s="18"/>
      <c r="AG7" s="18"/>
      <c r="AH7" s="18"/>
      <c r="AI7" s="18"/>
      <c r="AJ7" s="18">
        <v>13661.4</v>
      </c>
      <c r="AK7" s="18"/>
      <c r="AL7" s="18"/>
      <c r="AM7" s="18"/>
      <c r="AN7" s="18"/>
      <c r="AO7" s="18"/>
      <c r="AP7" s="18"/>
      <c r="AQ7" s="18">
        <v>22995.4</v>
      </c>
    </row>
    <row r="8" spans="1:43" x14ac:dyDescent="0.3">
      <c r="A8">
        <v>2020</v>
      </c>
      <c r="B8" t="s">
        <v>35</v>
      </c>
      <c r="C8" s="18">
        <v>9334</v>
      </c>
      <c r="D8" s="18"/>
      <c r="E8" s="18"/>
      <c r="F8" s="18"/>
      <c r="G8" s="18"/>
      <c r="H8" s="18"/>
      <c r="I8" s="18">
        <v>9334</v>
      </c>
      <c r="V8" t="s">
        <v>47</v>
      </c>
      <c r="W8" s="18"/>
      <c r="X8" s="18"/>
      <c r="Y8" s="18">
        <v>5606</v>
      </c>
      <c r="Z8" s="18"/>
      <c r="AA8" s="18"/>
      <c r="AB8" s="18"/>
      <c r="AC8" s="18"/>
      <c r="AD8" s="18">
        <v>5606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5606</v>
      </c>
    </row>
    <row r="9" spans="1:43" x14ac:dyDescent="0.3">
      <c r="B9" t="s">
        <v>47</v>
      </c>
      <c r="C9" s="18">
        <v>5606</v>
      </c>
      <c r="D9" s="18"/>
      <c r="E9" s="18"/>
      <c r="F9" s="18"/>
      <c r="G9" s="18"/>
      <c r="H9" s="18"/>
      <c r="I9" s="18">
        <v>5606</v>
      </c>
      <c r="V9" t="s">
        <v>58</v>
      </c>
      <c r="W9" s="18"/>
      <c r="X9" s="18"/>
      <c r="Y9" s="18"/>
      <c r="Z9" s="18"/>
      <c r="AA9" s="18">
        <v>4191.2000000000007</v>
      </c>
      <c r="AB9" s="18"/>
      <c r="AC9" s="18"/>
      <c r="AD9" s="18">
        <v>4191.2000000000007</v>
      </c>
      <c r="AE9" s="18"/>
      <c r="AF9" s="18"/>
      <c r="AG9" s="18">
        <v>23646.6</v>
      </c>
      <c r="AH9" s="18"/>
      <c r="AI9" s="18"/>
      <c r="AJ9" s="18">
        <v>23646.6</v>
      </c>
      <c r="AK9" s="18"/>
      <c r="AL9" s="18"/>
      <c r="AM9" s="18">
        <v>37167.5</v>
      </c>
      <c r="AN9" s="18"/>
      <c r="AO9" s="18"/>
      <c r="AP9" s="18">
        <v>37167.5</v>
      </c>
      <c r="AQ9" s="18">
        <v>65005.3</v>
      </c>
    </row>
    <row r="10" spans="1:43" x14ac:dyDescent="0.3">
      <c r="B10" t="s">
        <v>58</v>
      </c>
      <c r="C10" s="18"/>
      <c r="D10" s="18"/>
      <c r="E10" s="18">
        <v>4191.2000000000007</v>
      </c>
      <c r="F10" s="18"/>
      <c r="G10" s="18"/>
      <c r="H10" s="18"/>
      <c r="I10" s="18">
        <v>4191.2000000000007</v>
      </c>
      <c r="V10" t="s">
        <v>7</v>
      </c>
      <c r="W10" s="18">
        <v>2973</v>
      </c>
      <c r="X10" s="18">
        <v>2973</v>
      </c>
      <c r="Y10" s="18">
        <v>34235</v>
      </c>
      <c r="Z10" s="18"/>
      <c r="AA10" s="18"/>
      <c r="AB10" s="18"/>
      <c r="AC10" s="18"/>
      <c r="AD10" s="18">
        <v>34235</v>
      </c>
      <c r="AE10" s="18">
        <v>22043</v>
      </c>
      <c r="AF10" s="18"/>
      <c r="AG10" s="18"/>
      <c r="AH10" s="18"/>
      <c r="AI10" s="18"/>
      <c r="AJ10" s="18">
        <v>22043</v>
      </c>
      <c r="AK10" s="18">
        <v>23044</v>
      </c>
      <c r="AL10" s="18"/>
      <c r="AM10" s="18"/>
      <c r="AN10" s="18"/>
      <c r="AO10" s="18"/>
      <c r="AP10" s="18">
        <v>23044</v>
      </c>
      <c r="AQ10" s="18">
        <v>82295</v>
      </c>
    </row>
    <row r="11" spans="1:43" x14ac:dyDescent="0.3">
      <c r="B11" t="s">
        <v>7</v>
      </c>
      <c r="C11" s="18">
        <v>34235</v>
      </c>
      <c r="D11" s="18"/>
      <c r="E11" s="18"/>
      <c r="F11" s="18"/>
      <c r="G11" s="18"/>
      <c r="H11" s="18"/>
      <c r="I11" s="18">
        <v>34235</v>
      </c>
      <c r="V11" t="s">
        <v>20</v>
      </c>
      <c r="W11" s="18"/>
      <c r="X11" s="18"/>
      <c r="Y11" s="18"/>
      <c r="Z11" s="18">
        <v>28025.7</v>
      </c>
      <c r="AA11" s="18"/>
      <c r="AB11" s="18"/>
      <c r="AC11" s="18"/>
      <c r="AD11" s="18">
        <v>28025.7</v>
      </c>
      <c r="AE11" s="18"/>
      <c r="AF11" s="18">
        <v>34482.5</v>
      </c>
      <c r="AG11" s="18"/>
      <c r="AH11" s="18"/>
      <c r="AI11" s="18"/>
      <c r="AJ11" s="18">
        <v>34482.5</v>
      </c>
      <c r="AK11" s="18"/>
      <c r="AL11" s="18">
        <v>43991</v>
      </c>
      <c r="AM11" s="18"/>
      <c r="AN11" s="18"/>
      <c r="AO11" s="18"/>
      <c r="AP11" s="18">
        <v>43991</v>
      </c>
      <c r="AQ11" s="18">
        <v>106499.2</v>
      </c>
    </row>
    <row r="12" spans="1:43" x14ac:dyDescent="0.3">
      <c r="B12" t="s">
        <v>20</v>
      </c>
      <c r="C12" s="18"/>
      <c r="D12" s="18">
        <v>28025.7</v>
      </c>
      <c r="E12" s="18"/>
      <c r="F12" s="18"/>
      <c r="G12" s="18"/>
      <c r="H12" s="18"/>
      <c r="I12" s="18">
        <v>28025.7</v>
      </c>
      <c r="V12" t="s">
        <v>43</v>
      </c>
      <c r="W12" s="18"/>
      <c r="X12" s="18"/>
      <c r="Y12" s="18">
        <v>4008</v>
      </c>
      <c r="Z12" s="18"/>
      <c r="AA12" s="18"/>
      <c r="AB12" s="18"/>
      <c r="AC12" s="18"/>
      <c r="AD12" s="18">
        <v>4008</v>
      </c>
      <c r="AE12" s="18">
        <v>240</v>
      </c>
      <c r="AF12" s="18"/>
      <c r="AG12" s="18"/>
      <c r="AH12" s="18"/>
      <c r="AI12" s="18"/>
      <c r="AJ12" s="18">
        <v>240</v>
      </c>
      <c r="AK12" s="18">
        <v>11828.5</v>
      </c>
      <c r="AL12" s="18"/>
      <c r="AM12" s="18"/>
      <c r="AN12" s="18"/>
      <c r="AO12" s="18"/>
      <c r="AP12" s="18">
        <v>11828.5</v>
      </c>
      <c r="AQ12" s="18">
        <v>16076.5</v>
      </c>
    </row>
    <row r="13" spans="1:43" x14ac:dyDescent="0.3">
      <c r="B13" t="s">
        <v>43</v>
      </c>
      <c r="C13" s="18">
        <v>4008</v>
      </c>
      <c r="D13" s="18"/>
      <c r="E13" s="18"/>
      <c r="F13" s="18"/>
      <c r="G13" s="18"/>
      <c r="H13" s="18"/>
      <c r="I13" s="18">
        <v>4008</v>
      </c>
      <c r="V13" t="s">
        <v>23</v>
      </c>
      <c r="W13" s="18"/>
      <c r="X13" s="18"/>
      <c r="Y13" s="18"/>
      <c r="Z13" s="18"/>
      <c r="AA13" s="18"/>
      <c r="AB13" s="18">
        <v>52285.600000000006</v>
      </c>
      <c r="AC13" s="18"/>
      <c r="AD13" s="18">
        <v>52285.600000000006</v>
      </c>
      <c r="AE13" s="18"/>
      <c r="AF13" s="18"/>
      <c r="AG13" s="18"/>
      <c r="AH13" s="18">
        <v>85763.000000000015</v>
      </c>
      <c r="AI13" s="18"/>
      <c r="AJ13" s="18">
        <v>85763.000000000015</v>
      </c>
      <c r="AK13" s="18"/>
      <c r="AL13" s="18"/>
      <c r="AM13" s="18"/>
      <c r="AN13" s="18">
        <v>101459.40000000001</v>
      </c>
      <c r="AO13" s="18"/>
      <c r="AP13" s="18">
        <v>101459.40000000001</v>
      </c>
      <c r="AQ13" s="18">
        <v>239508.00000000006</v>
      </c>
    </row>
    <row r="14" spans="1:43" x14ac:dyDescent="0.3">
      <c r="B14" t="s">
        <v>23</v>
      </c>
      <c r="C14" s="18"/>
      <c r="D14" s="18"/>
      <c r="E14" s="18"/>
      <c r="F14" s="18">
        <v>52285.600000000006</v>
      </c>
      <c r="G14" s="18"/>
      <c r="H14" s="18"/>
      <c r="I14" s="18">
        <v>52285.600000000006</v>
      </c>
      <c r="V14" t="s">
        <v>14</v>
      </c>
      <c r="W14" s="18"/>
      <c r="X14" s="18"/>
      <c r="Y14" s="18">
        <v>2067</v>
      </c>
      <c r="Z14" s="18"/>
      <c r="AA14" s="18"/>
      <c r="AB14" s="18"/>
      <c r="AC14" s="18"/>
      <c r="AD14" s="18">
        <v>2067</v>
      </c>
      <c r="AE14" s="18">
        <v>3432</v>
      </c>
      <c r="AF14" s="18"/>
      <c r="AG14" s="18"/>
      <c r="AH14" s="18"/>
      <c r="AI14" s="18"/>
      <c r="AJ14" s="18">
        <v>3432</v>
      </c>
      <c r="AK14" s="18"/>
      <c r="AL14" s="18"/>
      <c r="AM14" s="18"/>
      <c r="AN14" s="18"/>
      <c r="AO14" s="18"/>
      <c r="AP14" s="18"/>
      <c r="AQ14" s="18">
        <v>5499</v>
      </c>
    </row>
    <row r="15" spans="1:43" x14ac:dyDescent="0.3">
      <c r="B15" t="s">
        <v>14</v>
      </c>
      <c r="C15" s="18">
        <v>2067</v>
      </c>
      <c r="D15" s="18"/>
      <c r="E15" s="18"/>
      <c r="F15" s="18"/>
      <c r="G15" s="18"/>
      <c r="H15" s="18"/>
      <c r="I15" s="18">
        <v>2067</v>
      </c>
      <c r="V15" t="s">
        <v>52</v>
      </c>
      <c r="W15" s="18"/>
      <c r="X15" s="18"/>
      <c r="Y15" s="18">
        <v>9082</v>
      </c>
      <c r="Z15" s="18"/>
      <c r="AA15" s="18"/>
      <c r="AB15" s="18"/>
      <c r="AC15" s="18"/>
      <c r="AD15" s="18">
        <v>9082</v>
      </c>
      <c r="AE15" s="18">
        <v>8568</v>
      </c>
      <c r="AF15" s="18"/>
      <c r="AG15" s="18"/>
      <c r="AH15" s="18"/>
      <c r="AI15" s="18"/>
      <c r="AJ15" s="18">
        <v>8568</v>
      </c>
      <c r="AK15" s="18"/>
      <c r="AL15" s="18"/>
      <c r="AM15" s="18"/>
      <c r="AN15" s="18"/>
      <c r="AO15" s="18"/>
      <c r="AP15" s="18"/>
      <c r="AQ15" s="18">
        <v>17650</v>
      </c>
    </row>
    <row r="16" spans="1:43" x14ac:dyDescent="0.3">
      <c r="B16" t="s">
        <v>52</v>
      </c>
      <c r="C16" s="18">
        <v>9082</v>
      </c>
      <c r="D16" s="18"/>
      <c r="E16" s="18"/>
      <c r="F16" s="18"/>
      <c r="G16" s="18"/>
      <c r="H16" s="18"/>
      <c r="I16" s="18">
        <v>9082</v>
      </c>
      <c r="V16" t="s">
        <v>62</v>
      </c>
      <c r="W16" s="18"/>
      <c r="X16" s="18"/>
      <c r="Y16" s="18"/>
      <c r="Z16" s="18"/>
      <c r="AA16" s="18"/>
      <c r="AB16" s="18">
        <v>50446</v>
      </c>
      <c r="AC16" s="18"/>
      <c r="AD16" s="18">
        <v>50446</v>
      </c>
      <c r="AE16" s="18"/>
      <c r="AF16" s="18"/>
      <c r="AG16" s="18"/>
      <c r="AH16" s="18">
        <v>140677.6</v>
      </c>
      <c r="AI16" s="18"/>
      <c r="AJ16" s="18">
        <v>140677.6</v>
      </c>
      <c r="AK16" s="18"/>
      <c r="AL16" s="18"/>
      <c r="AM16" s="18"/>
      <c r="AN16" s="18">
        <v>206833.5</v>
      </c>
      <c r="AO16" s="18"/>
      <c r="AP16" s="18">
        <v>206833.5</v>
      </c>
      <c r="AQ16" s="18">
        <v>397957.1</v>
      </c>
    </row>
    <row r="17" spans="1:43" x14ac:dyDescent="0.3">
      <c r="B17" t="s">
        <v>62</v>
      </c>
      <c r="C17" s="18"/>
      <c r="D17" s="18"/>
      <c r="E17" s="18"/>
      <c r="F17" s="18">
        <v>50446</v>
      </c>
      <c r="G17" s="18"/>
      <c r="H17" s="18"/>
      <c r="I17" s="18">
        <v>50446</v>
      </c>
      <c r="V17" t="s">
        <v>173</v>
      </c>
      <c r="W17" s="18"/>
      <c r="X17" s="18"/>
      <c r="Y17" s="18">
        <v>1082.8000000000002</v>
      </c>
      <c r="Z17" s="18"/>
      <c r="AA17" s="18"/>
      <c r="AB17" s="18"/>
      <c r="AC17" s="18"/>
      <c r="AD17" s="18">
        <v>1082.8000000000002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1082.8000000000002</v>
      </c>
    </row>
    <row r="18" spans="1:43" x14ac:dyDescent="0.3">
      <c r="B18" t="s">
        <v>173</v>
      </c>
      <c r="C18" s="18">
        <v>1082.8000000000002</v>
      </c>
      <c r="D18" s="18"/>
      <c r="E18" s="18"/>
      <c r="F18" s="18"/>
      <c r="G18" s="18"/>
      <c r="H18" s="18"/>
      <c r="I18" s="18">
        <v>1082.8000000000002</v>
      </c>
      <c r="V18" t="s">
        <v>223</v>
      </c>
      <c r="W18" s="18"/>
      <c r="X18" s="18"/>
      <c r="Y18" s="18"/>
      <c r="Z18" s="18"/>
      <c r="AA18" s="18"/>
      <c r="AB18" s="18"/>
      <c r="AC18" s="18">
        <v>799.2</v>
      </c>
      <c r="AD18" s="18">
        <v>799.2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799.2</v>
      </c>
    </row>
    <row r="19" spans="1:43" x14ac:dyDescent="0.3">
      <c r="B19" t="s">
        <v>223</v>
      </c>
      <c r="C19" s="18"/>
      <c r="D19" s="18"/>
      <c r="E19" s="18"/>
      <c r="F19" s="18"/>
      <c r="G19" s="18">
        <v>799.2</v>
      </c>
      <c r="H19" s="18"/>
      <c r="I19" s="18">
        <v>799.2</v>
      </c>
      <c r="V19" t="s">
        <v>228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3070</v>
      </c>
      <c r="AJ19" s="18">
        <v>3070</v>
      </c>
      <c r="AK19" s="18"/>
      <c r="AL19" s="18"/>
      <c r="AM19" s="18"/>
      <c r="AN19" s="18"/>
      <c r="AO19" s="18"/>
      <c r="AP19" s="18"/>
      <c r="AQ19" s="18">
        <v>3070</v>
      </c>
    </row>
    <row r="20" spans="1:43" x14ac:dyDescent="0.3">
      <c r="A20" s="36" t="s">
        <v>350</v>
      </c>
      <c r="B20" s="36"/>
      <c r="C20" s="37">
        <v>65414.8</v>
      </c>
      <c r="D20" s="37">
        <v>28025.7</v>
      </c>
      <c r="E20" s="37">
        <v>4191.2000000000007</v>
      </c>
      <c r="F20" s="37">
        <v>102731.6</v>
      </c>
      <c r="G20" s="37">
        <v>799.2</v>
      </c>
      <c r="H20" s="37"/>
      <c r="I20" s="37">
        <v>201162.5</v>
      </c>
      <c r="V20" t="s">
        <v>262</v>
      </c>
      <c r="W20" s="18"/>
      <c r="X20" s="18"/>
      <c r="Y20" s="18"/>
      <c r="Z20" s="18"/>
      <c r="AA20" s="18"/>
      <c r="AB20" s="18"/>
      <c r="AC20" s="18"/>
      <c r="AD20" s="18"/>
      <c r="AE20" s="18">
        <v>8402</v>
      </c>
      <c r="AF20" s="18"/>
      <c r="AG20" s="18"/>
      <c r="AH20" s="18"/>
      <c r="AI20" s="18"/>
      <c r="AJ20" s="18">
        <v>8402</v>
      </c>
      <c r="AK20" s="18"/>
      <c r="AL20" s="18"/>
      <c r="AM20" s="18"/>
      <c r="AN20" s="18"/>
      <c r="AO20" s="18"/>
      <c r="AP20" s="18"/>
      <c r="AQ20" s="18">
        <v>8402</v>
      </c>
    </row>
    <row r="21" spans="1:43" x14ac:dyDescent="0.3">
      <c r="A21">
        <v>2021</v>
      </c>
      <c r="B21" t="s">
        <v>35</v>
      </c>
      <c r="C21" s="18">
        <v>13661.4</v>
      </c>
      <c r="D21" s="18"/>
      <c r="E21" s="18"/>
      <c r="F21" s="18"/>
      <c r="G21" s="18"/>
      <c r="H21" s="18"/>
      <c r="I21" s="18">
        <v>13661.4</v>
      </c>
      <c r="V21" t="s">
        <v>280</v>
      </c>
      <c r="W21" s="18"/>
      <c r="X21" s="18"/>
      <c r="Y21" s="18"/>
      <c r="Z21" s="18"/>
      <c r="AA21" s="18"/>
      <c r="AB21" s="18"/>
      <c r="AC21" s="18"/>
      <c r="AD21" s="18"/>
      <c r="AE21" s="18">
        <v>4247</v>
      </c>
      <c r="AF21" s="18"/>
      <c r="AG21" s="18"/>
      <c r="AH21" s="18"/>
      <c r="AI21" s="18"/>
      <c r="AJ21" s="18">
        <v>4247</v>
      </c>
      <c r="AK21" s="18"/>
      <c r="AL21" s="18"/>
      <c r="AM21" s="18"/>
      <c r="AN21" s="18"/>
      <c r="AO21" s="18"/>
      <c r="AP21" s="18"/>
      <c r="AQ21" s="18">
        <v>4247</v>
      </c>
    </row>
    <row r="22" spans="1:43" x14ac:dyDescent="0.3">
      <c r="B22" t="s">
        <v>58</v>
      </c>
      <c r="C22" s="18"/>
      <c r="D22" s="18"/>
      <c r="E22" s="18">
        <v>23646.6</v>
      </c>
      <c r="F22" s="18"/>
      <c r="G22" s="18"/>
      <c r="H22" s="18"/>
      <c r="I22" s="18">
        <v>23646.6</v>
      </c>
      <c r="V22" t="s">
        <v>289</v>
      </c>
      <c r="W22" s="18"/>
      <c r="X22" s="18"/>
      <c r="Y22" s="18"/>
      <c r="Z22" s="18"/>
      <c r="AA22" s="18"/>
      <c r="AB22" s="18"/>
      <c r="AC22" s="18"/>
      <c r="AD22" s="18"/>
      <c r="AE22" s="18">
        <v>10807.25</v>
      </c>
      <c r="AF22" s="18"/>
      <c r="AG22" s="18"/>
      <c r="AH22" s="18"/>
      <c r="AI22" s="18"/>
      <c r="AJ22" s="18">
        <v>10807.25</v>
      </c>
      <c r="AK22" s="18"/>
      <c r="AL22" s="18"/>
      <c r="AM22" s="18"/>
      <c r="AN22" s="18"/>
      <c r="AO22" s="18"/>
      <c r="AP22" s="18"/>
      <c r="AQ22" s="18">
        <v>10807.25</v>
      </c>
    </row>
    <row r="23" spans="1:43" x14ac:dyDescent="0.3">
      <c r="B23" t="s">
        <v>7</v>
      </c>
      <c r="C23" s="18">
        <v>22043</v>
      </c>
      <c r="D23" s="18"/>
      <c r="E23" s="18"/>
      <c r="F23" s="18"/>
      <c r="G23" s="18"/>
      <c r="H23" s="18"/>
      <c r="I23" s="18">
        <v>22043</v>
      </c>
      <c r="V23" t="s">
        <v>375</v>
      </c>
      <c r="W23" s="18"/>
      <c r="X23" s="18"/>
      <c r="Y23" s="18"/>
      <c r="Z23" s="18"/>
      <c r="AA23" s="18"/>
      <c r="AB23" s="18"/>
      <c r="AC23" s="18"/>
      <c r="AD23" s="18"/>
      <c r="AE23" s="18">
        <v>9592</v>
      </c>
      <c r="AF23" s="18"/>
      <c r="AG23" s="18"/>
      <c r="AH23" s="18"/>
      <c r="AI23" s="18"/>
      <c r="AJ23" s="18">
        <v>9592</v>
      </c>
      <c r="AK23" s="18"/>
      <c r="AL23" s="18"/>
      <c r="AM23" s="18"/>
      <c r="AN23" s="18"/>
      <c r="AO23" s="18"/>
      <c r="AP23" s="18"/>
      <c r="AQ23" s="18">
        <v>9592</v>
      </c>
    </row>
    <row r="24" spans="1:43" x14ac:dyDescent="0.3">
      <c r="B24" t="s">
        <v>20</v>
      </c>
      <c r="C24" s="18"/>
      <c r="D24" s="18">
        <v>34482.5</v>
      </c>
      <c r="E24" s="18"/>
      <c r="F24" s="18"/>
      <c r="G24" s="18"/>
      <c r="H24" s="18"/>
      <c r="I24" s="18">
        <v>34482.5</v>
      </c>
      <c r="V24" t="s">
        <v>400</v>
      </c>
      <c r="W24" s="18"/>
      <c r="X24" s="18"/>
      <c r="Y24" s="18"/>
      <c r="Z24" s="18"/>
      <c r="AA24" s="18"/>
      <c r="AB24" s="18"/>
      <c r="AC24" s="18"/>
      <c r="AD24" s="18"/>
      <c r="AE24" s="18">
        <v>31181.999999999996</v>
      </c>
      <c r="AF24" s="18"/>
      <c r="AG24" s="18"/>
      <c r="AH24" s="18"/>
      <c r="AI24" s="18"/>
      <c r="AJ24" s="18">
        <v>31181.999999999996</v>
      </c>
      <c r="AK24" s="18">
        <v>76338.899999999994</v>
      </c>
      <c r="AL24" s="18"/>
      <c r="AM24" s="18"/>
      <c r="AN24" s="18"/>
      <c r="AO24" s="18"/>
      <c r="AP24" s="18">
        <v>76338.899999999994</v>
      </c>
      <c r="AQ24" s="18">
        <v>107520.9</v>
      </c>
    </row>
    <row r="25" spans="1:43" x14ac:dyDescent="0.3">
      <c r="B25" t="s">
        <v>43</v>
      </c>
      <c r="C25" s="18">
        <v>240</v>
      </c>
      <c r="D25" s="18"/>
      <c r="E25" s="18"/>
      <c r="F25" s="18"/>
      <c r="G25" s="18"/>
      <c r="H25" s="18"/>
      <c r="I25" s="18">
        <v>240</v>
      </c>
      <c r="V25" t="s">
        <v>409</v>
      </c>
      <c r="W25" s="18"/>
      <c r="X25" s="18"/>
      <c r="Y25" s="18"/>
      <c r="Z25" s="18"/>
      <c r="AA25" s="18"/>
      <c r="AB25" s="18"/>
      <c r="AC25" s="18"/>
      <c r="AD25" s="18"/>
      <c r="AE25" s="18">
        <v>204219.6</v>
      </c>
      <c r="AF25" s="18"/>
      <c r="AG25" s="18"/>
      <c r="AH25" s="18"/>
      <c r="AI25" s="18"/>
      <c r="AJ25" s="18">
        <v>204219.6</v>
      </c>
      <c r="AK25" s="18">
        <v>583746.29999999993</v>
      </c>
      <c r="AL25" s="18"/>
      <c r="AM25" s="18"/>
      <c r="AN25" s="18"/>
      <c r="AO25" s="18"/>
      <c r="AP25" s="18">
        <v>583746.29999999993</v>
      </c>
      <c r="AQ25" s="18">
        <v>787965.89999999991</v>
      </c>
    </row>
    <row r="26" spans="1:43" x14ac:dyDescent="0.3">
      <c r="B26" t="s">
        <v>23</v>
      </c>
      <c r="C26" s="18"/>
      <c r="D26" s="18"/>
      <c r="E26" s="18"/>
      <c r="F26" s="18">
        <v>85763.000000000015</v>
      </c>
      <c r="G26" s="18"/>
      <c r="H26" s="18"/>
      <c r="I26" s="18">
        <v>85763.000000000015</v>
      </c>
      <c r="V26" t="s">
        <v>469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240</v>
      </c>
      <c r="AJ26" s="18">
        <v>240</v>
      </c>
      <c r="AK26" s="18"/>
      <c r="AL26" s="18"/>
      <c r="AM26" s="18"/>
      <c r="AN26" s="18"/>
      <c r="AO26" s="18"/>
      <c r="AP26" s="18"/>
      <c r="AQ26" s="18">
        <v>240</v>
      </c>
    </row>
    <row r="27" spans="1:43" x14ac:dyDescent="0.3">
      <c r="B27" t="s">
        <v>14</v>
      </c>
      <c r="C27" s="18">
        <v>3432</v>
      </c>
      <c r="D27" s="18"/>
      <c r="E27" s="18"/>
      <c r="F27" s="18"/>
      <c r="G27" s="18"/>
      <c r="H27" s="18"/>
      <c r="I27" s="18">
        <v>3432</v>
      </c>
      <c r="V27" t="s">
        <v>491</v>
      </c>
      <c r="W27" s="18"/>
      <c r="X27" s="18"/>
      <c r="Y27" s="18"/>
      <c r="Z27" s="18"/>
      <c r="AA27" s="18"/>
      <c r="AB27" s="18"/>
      <c r="AC27" s="18"/>
      <c r="AD27" s="18"/>
      <c r="AE27" s="18">
        <v>2024</v>
      </c>
      <c r="AF27" s="18"/>
      <c r="AG27" s="18"/>
      <c r="AH27" s="18"/>
      <c r="AI27" s="18"/>
      <c r="AJ27" s="18">
        <v>2024</v>
      </c>
      <c r="AK27" s="18">
        <v>79757.299999999988</v>
      </c>
      <c r="AL27" s="18"/>
      <c r="AM27" s="18"/>
      <c r="AN27" s="18"/>
      <c r="AO27" s="18"/>
      <c r="AP27" s="18">
        <v>79757.299999999988</v>
      </c>
      <c r="AQ27" s="18">
        <v>81781.299999999988</v>
      </c>
    </row>
    <row r="28" spans="1:43" x14ac:dyDescent="0.3">
      <c r="B28" t="s">
        <v>52</v>
      </c>
      <c r="C28" s="18">
        <v>8568</v>
      </c>
      <c r="D28" s="18"/>
      <c r="E28" s="18"/>
      <c r="F28" s="18"/>
      <c r="G28" s="18"/>
      <c r="H28" s="18"/>
      <c r="I28" s="18">
        <v>8568</v>
      </c>
      <c r="V28" t="s">
        <v>637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23064.7</v>
      </c>
      <c r="AL28" s="18"/>
      <c r="AM28" s="18"/>
      <c r="AN28" s="18"/>
      <c r="AO28" s="18"/>
      <c r="AP28" s="18">
        <v>23064.7</v>
      </c>
      <c r="AQ28" s="18">
        <v>23064.7</v>
      </c>
    </row>
    <row r="29" spans="1:43" x14ac:dyDescent="0.3">
      <c r="B29" t="s">
        <v>62</v>
      </c>
      <c r="C29" s="18"/>
      <c r="D29" s="18"/>
      <c r="E29" s="18"/>
      <c r="F29" s="18">
        <v>140677.6</v>
      </c>
      <c r="G29" s="18"/>
      <c r="H29" s="18"/>
      <c r="I29" s="18">
        <v>140677.6</v>
      </c>
      <c r="V29" t="s">
        <v>665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26300.5</v>
      </c>
      <c r="AL29" s="18"/>
      <c r="AM29" s="18"/>
      <c r="AN29" s="18"/>
      <c r="AO29" s="18"/>
      <c r="AP29" s="18">
        <v>26300.5</v>
      </c>
      <c r="AQ29" s="18">
        <v>26300.5</v>
      </c>
    </row>
    <row r="30" spans="1:43" x14ac:dyDescent="0.3">
      <c r="B30" t="s">
        <v>228</v>
      </c>
      <c r="C30" s="18"/>
      <c r="D30" s="18"/>
      <c r="E30" s="18"/>
      <c r="F30" s="18"/>
      <c r="G30" s="18">
        <v>3070</v>
      </c>
      <c r="H30" s="18"/>
      <c r="I30" s="18">
        <v>3070</v>
      </c>
      <c r="V30" t="s">
        <v>773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15169</v>
      </c>
      <c r="AL30" s="18"/>
      <c r="AM30" s="18"/>
      <c r="AN30" s="18"/>
      <c r="AO30" s="18"/>
      <c r="AP30" s="18">
        <v>15169</v>
      </c>
      <c r="AQ30" s="18">
        <v>15169</v>
      </c>
    </row>
    <row r="31" spans="1:43" x14ac:dyDescent="0.3">
      <c r="B31" t="s">
        <v>262</v>
      </c>
      <c r="C31" s="18">
        <v>8402</v>
      </c>
      <c r="D31" s="18"/>
      <c r="E31" s="18"/>
      <c r="F31" s="18"/>
      <c r="G31" s="18"/>
      <c r="H31" s="18"/>
      <c r="I31" s="18">
        <v>8402</v>
      </c>
      <c r="V31" t="s">
        <v>709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1238</v>
      </c>
      <c r="AL31" s="18"/>
      <c r="AM31" s="18"/>
      <c r="AN31" s="18"/>
      <c r="AO31" s="18"/>
      <c r="AP31" s="18">
        <v>1238</v>
      </c>
      <c r="AQ31" s="18">
        <v>1238</v>
      </c>
    </row>
    <row r="32" spans="1:43" x14ac:dyDescent="0.3">
      <c r="B32" t="s">
        <v>280</v>
      </c>
      <c r="C32" s="18">
        <v>4247</v>
      </c>
      <c r="D32" s="18"/>
      <c r="E32" s="18"/>
      <c r="F32" s="18"/>
      <c r="G32" s="18"/>
      <c r="H32" s="18"/>
      <c r="I32" s="18">
        <v>4247</v>
      </c>
      <c r="V32" t="s">
        <v>784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6907.6</v>
      </c>
      <c r="AL32" s="18"/>
      <c r="AM32" s="18"/>
      <c r="AN32" s="18"/>
      <c r="AO32" s="18"/>
      <c r="AP32" s="18">
        <v>6907.6</v>
      </c>
      <c r="AQ32" s="18">
        <v>6907.6</v>
      </c>
    </row>
    <row r="33" spans="1:43" x14ac:dyDescent="0.3">
      <c r="B33" t="s">
        <v>289</v>
      </c>
      <c r="C33" s="18">
        <v>10807.25</v>
      </c>
      <c r="D33" s="18"/>
      <c r="E33" s="18"/>
      <c r="F33" s="18"/>
      <c r="G33" s="18"/>
      <c r="H33" s="18"/>
      <c r="I33" s="18">
        <v>10807.25</v>
      </c>
      <c r="V33" t="s">
        <v>859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58888.799999999996</v>
      </c>
      <c r="AL33" s="18"/>
      <c r="AM33" s="18"/>
      <c r="AN33" s="18"/>
      <c r="AO33" s="18"/>
      <c r="AP33" s="18">
        <v>58888.799999999996</v>
      </c>
      <c r="AQ33" s="18">
        <v>58888.799999999996</v>
      </c>
    </row>
    <row r="34" spans="1:43" x14ac:dyDescent="0.3">
      <c r="B34" t="s">
        <v>375</v>
      </c>
      <c r="C34" s="18">
        <v>9592</v>
      </c>
      <c r="D34" s="18"/>
      <c r="E34" s="18"/>
      <c r="F34" s="18"/>
      <c r="G34" s="18"/>
      <c r="H34" s="18"/>
      <c r="I34" s="18">
        <v>9592</v>
      </c>
      <c r="V34" t="s">
        <v>1044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>
        <v>0</v>
      </c>
      <c r="AP34" s="18">
        <v>0</v>
      </c>
      <c r="AQ34" s="18">
        <v>0</v>
      </c>
    </row>
    <row r="35" spans="1:43" x14ac:dyDescent="0.3">
      <c r="B35" t="s">
        <v>400</v>
      </c>
      <c r="C35" s="18">
        <v>31181.999999999996</v>
      </c>
      <c r="D35" s="18"/>
      <c r="E35" s="18"/>
      <c r="F35" s="18"/>
      <c r="G35" s="18"/>
      <c r="H35" s="18"/>
      <c r="I35" s="18">
        <v>31181.999999999996</v>
      </c>
      <c r="V35" t="s">
        <v>958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4447.5</v>
      </c>
      <c r="AL35" s="18"/>
      <c r="AM35" s="18"/>
      <c r="AN35" s="18"/>
      <c r="AO35" s="18"/>
      <c r="AP35" s="18">
        <v>4447.5</v>
      </c>
      <c r="AQ35" s="18">
        <v>4447.5</v>
      </c>
    </row>
    <row r="36" spans="1:43" x14ac:dyDescent="0.3">
      <c r="B36" t="s">
        <v>409</v>
      </c>
      <c r="C36" s="18">
        <v>204219.6</v>
      </c>
      <c r="D36" s="18"/>
      <c r="E36" s="18"/>
      <c r="F36" s="18"/>
      <c r="G36" s="18"/>
      <c r="H36" s="18"/>
      <c r="I36" s="18">
        <v>204219.6</v>
      </c>
      <c r="V36" t="s">
        <v>1051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1672.6</v>
      </c>
      <c r="AL36" s="18"/>
      <c r="AM36" s="18"/>
      <c r="AN36" s="18"/>
      <c r="AO36" s="18"/>
      <c r="AP36" s="18">
        <v>1672.6</v>
      </c>
      <c r="AQ36" s="18">
        <v>1672.6</v>
      </c>
    </row>
    <row r="37" spans="1:43" x14ac:dyDescent="0.3">
      <c r="B37" t="s">
        <v>469</v>
      </c>
      <c r="C37" s="18"/>
      <c r="D37" s="18"/>
      <c r="E37" s="18"/>
      <c r="F37" s="18"/>
      <c r="G37" s="18">
        <v>240</v>
      </c>
      <c r="H37" s="18"/>
      <c r="I37" s="18">
        <v>240</v>
      </c>
      <c r="V37" t="s">
        <v>1057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4373</v>
      </c>
      <c r="AL37" s="18"/>
      <c r="AM37" s="18"/>
      <c r="AN37" s="18"/>
      <c r="AO37" s="18"/>
      <c r="AP37" s="18">
        <v>4373</v>
      </c>
      <c r="AQ37" s="18">
        <v>4373</v>
      </c>
    </row>
    <row r="38" spans="1:43" x14ac:dyDescent="0.3">
      <c r="B38" t="s">
        <v>491</v>
      </c>
      <c r="C38" s="18">
        <v>2024</v>
      </c>
      <c r="D38" s="18"/>
      <c r="E38" s="18"/>
      <c r="F38" s="18"/>
      <c r="G38" s="18"/>
      <c r="H38" s="18"/>
      <c r="I38" s="18">
        <v>2024</v>
      </c>
      <c r="V38" t="s">
        <v>1453</v>
      </c>
      <c r="W38" s="18"/>
      <c r="X38" s="18"/>
      <c r="Y38" s="18"/>
      <c r="Z38" s="18"/>
      <c r="AA38" s="18"/>
      <c r="AB38" s="18"/>
      <c r="AC38" s="18"/>
      <c r="AD38" s="18"/>
      <c r="AE38" s="18">
        <v>26393.4</v>
      </c>
      <c r="AF38" s="18"/>
      <c r="AG38" s="18"/>
      <c r="AH38" s="18"/>
      <c r="AI38" s="18"/>
      <c r="AJ38" s="18">
        <v>26393.4</v>
      </c>
      <c r="AK38" s="18"/>
      <c r="AL38" s="18"/>
      <c r="AM38" s="18"/>
      <c r="AN38" s="18"/>
      <c r="AO38" s="18"/>
      <c r="AP38" s="18"/>
      <c r="AQ38" s="18">
        <v>26393.4</v>
      </c>
    </row>
    <row r="39" spans="1:43" x14ac:dyDescent="0.3">
      <c r="B39" t="s">
        <v>1453</v>
      </c>
      <c r="C39" s="18">
        <v>26393.4</v>
      </c>
      <c r="D39" s="18"/>
      <c r="E39" s="18"/>
      <c r="F39" s="18"/>
      <c r="G39" s="18"/>
      <c r="H39" s="18"/>
      <c r="I39" s="18">
        <v>26393.4</v>
      </c>
      <c r="V39" t="s">
        <v>1697</v>
      </c>
      <c r="W39" s="18"/>
      <c r="X39" s="18"/>
      <c r="Y39" s="18"/>
      <c r="Z39" s="18"/>
      <c r="AA39" s="18"/>
      <c r="AB39" s="18"/>
      <c r="AC39" s="18"/>
      <c r="AD39" s="18"/>
      <c r="AE39" s="18">
        <v>855</v>
      </c>
      <c r="AF39" s="18"/>
      <c r="AG39" s="18"/>
      <c r="AH39" s="18"/>
      <c r="AI39" s="18"/>
      <c r="AJ39" s="18">
        <v>855</v>
      </c>
      <c r="AK39" s="18"/>
      <c r="AL39" s="18"/>
      <c r="AM39" s="18"/>
      <c r="AN39" s="18"/>
      <c r="AO39" s="18"/>
      <c r="AP39" s="18"/>
      <c r="AQ39" s="18">
        <v>855</v>
      </c>
    </row>
    <row r="40" spans="1:43" x14ac:dyDescent="0.3">
      <c r="B40" t="s">
        <v>1697</v>
      </c>
      <c r="C40" s="18">
        <v>855</v>
      </c>
      <c r="D40" s="18"/>
      <c r="E40" s="18"/>
      <c r="F40" s="18"/>
      <c r="G40" s="18"/>
      <c r="H40" s="18"/>
      <c r="I40" s="18">
        <v>855</v>
      </c>
      <c r="V40" t="s">
        <v>131</v>
      </c>
      <c r="W40" s="18">
        <v>2973</v>
      </c>
      <c r="X40" s="18">
        <v>2973</v>
      </c>
      <c r="Y40" s="18">
        <v>65414.8</v>
      </c>
      <c r="Z40" s="18">
        <v>28025.7</v>
      </c>
      <c r="AA40" s="18">
        <v>4191.2000000000007</v>
      </c>
      <c r="AB40" s="18">
        <v>102731.6</v>
      </c>
      <c r="AC40" s="18">
        <v>799.2</v>
      </c>
      <c r="AD40" s="18">
        <v>201162.5</v>
      </c>
      <c r="AE40" s="18">
        <v>345666.65</v>
      </c>
      <c r="AF40" s="18">
        <v>34482.5</v>
      </c>
      <c r="AG40" s="18">
        <v>23646.6</v>
      </c>
      <c r="AH40" s="18">
        <v>226440.60000000003</v>
      </c>
      <c r="AI40" s="18">
        <v>3310</v>
      </c>
      <c r="AJ40" s="18">
        <v>633546.35</v>
      </c>
      <c r="AK40" s="18">
        <v>916776.7</v>
      </c>
      <c r="AL40" s="18">
        <v>43991</v>
      </c>
      <c r="AM40" s="18">
        <v>37167.5</v>
      </c>
      <c r="AN40" s="18">
        <v>308292.90000000002</v>
      </c>
      <c r="AO40" s="18">
        <v>0</v>
      </c>
      <c r="AP40" s="18">
        <v>1306228.1000000003</v>
      </c>
      <c r="AQ40" s="18">
        <v>2143909.9500000002</v>
      </c>
    </row>
    <row r="41" spans="1:43" x14ac:dyDescent="0.3">
      <c r="A41" s="36" t="s">
        <v>351</v>
      </c>
      <c r="B41" s="36"/>
      <c r="C41" s="37">
        <v>345666.65</v>
      </c>
      <c r="D41" s="37">
        <v>34482.5</v>
      </c>
      <c r="E41" s="37">
        <v>23646.6</v>
      </c>
      <c r="F41" s="37">
        <v>226440.60000000003</v>
      </c>
      <c r="G41" s="37">
        <v>3310</v>
      </c>
      <c r="H41" s="37"/>
      <c r="I41" s="37">
        <v>633546.35</v>
      </c>
    </row>
    <row r="42" spans="1:43" x14ac:dyDescent="0.3">
      <c r="A42">
        <v>2022</v>
      </c>
      <c r="B42" t="s">
        <v>58</v>
      </c>
      <c r="C42" s="18"/>
      <c r="D42" s="18"/>
      <c r="E42" s="18">
        <v>41800.300000000003</v>
      </c>
      <c r="F42" s="18"/>
      <c r="G42" s="18"/>
      <c r="H42" s="18"/>
      <c r="I42" s="18">
        <v>41800.300000000003</v>
      </c>
    </row>
    <row r="43" spans="1:43" x14ac:dyDescent="0.3">
      <c r="B43" t="s">
        <v>7</v>
      </c>
      <c r="C43" s="18">
        <v>26376</v>
      </c>
      <c r="D43" s="18"/>
      <c r="E43" s="18"/>
      <c r="F43" s="18"/>
      <c r="G43" s="18"/>
      <c r="H43" s="18"/>
      <c r="I43" s="18">
        <v>26376</v>
      </c>
    </row>
    <row r="44" spans="1:43" x14ac:dyDescent="0.3">
      <c r="B44" t="s">
        <v>20</v>
      </c>
      <c r="C44" s="18"/>
      <c r="D44" s="18">
        <v>51210</v>
      </c>
      <c r="E44" s="18"/>
      <c r="F44" s="18"/>
      <c r="G44" s="18"/>
      <c r="H44" s="18"/>
      <c r="I44" s="18">
        <v>51210</v>
      </c>
    </row>
    <row r="45" spans="1:43" x14ac:dyDescent="0.3">
      <c r="B45" t="s">
        <v>43</v>
      </c>
      <c r="C45" s="18">
        <v>11828.5</v>
      </c>
      <c r="D45" s="18"/>
      <c r="E45" s="18"/>
      <c r="F45" s="18"/>
      <c r="G45" s="18"/>
      <c r="H45" s="18"/>
      <c r="I45" s="18">
        <v>11828.5</v>
      </c>
    </row>
    <row r="46" spans="1:43" x14ac:dyDescent="0.3">
      <c r="B46" t="s">
        <v>23</v>
      </c>
      <c r="C46" s="18"/>
      <c r="D46" s="18"/>
      <c r="E46" s="18"/>
      <c r="F46" s="18">
        <v>101459.40000000001</v>
      </c>
      <c r="G46" s="18"/>
      <c r="H46" s="18"/>
      <c r="I46" s="18">
        <v>101459.40000000001</v>
      </c>
    </row>
    <row r="47" spans="1:43" x14ac:dyDescent="0.3">
      <c r="B47" t="s">
        <v>62</v>
      </c>
      <c r="C47" s="18"/>
      <c r="D47" s="18"/>
      <c r="E47" s="18"/>
      <c r="F47" s="18">
        <v>232471</v>
      </c>
      <c r="G47" s="18"/>
      <c r="H47" s="18"/>
      <c r="I47" s="18">
        <v>232471</v>
      </c>
    </row>
    <row r="48" spans="1:43" x14ac:dyDescent="0.3">
      <c r="B48" t="s">
        <v>400</v>
      </c>
      <c r="C48" s="18">
        <v>82475</v>
      </c>
      <c r="D48" s="18"/>
      <c r="E48" s="18"/>
      <c r="F48" s="18"/>
      <c r="G48" s="18"/>
      <c r="H48" s="18"/>
      <c r="I48" s="18">
        <v>82475</v>
      </c>
    </row>
    <row r="49" spans="1:9" x14ac:dyDescent="0.3">
      <c r="B49" t="s">
        <v>409</v>
      </c>
      <c r="C49" s="18">
        <v>719068.89999999991</v>
      </c>
      <c r="D49" s="18"/>
      <c r="E49" s="18"/>
      <c r="F49" s="18"/>
      <c r="G49" s="18"/>
      <c r="H49" s="18"/>
      <c r="I49" s="18">
        <v>719068.89999999991</v>
      </c>
    </row>
    <row r="50" spans="1:9" x14ac:dyDescent="0.3">
      <c r="B50" t="s">
        <v>491</v>
      </c>
      <c r="C50" s="18">
        <v>88508.299999999988</v>
      </c>
      <c r="D50" s="18"/>
      <c r="E50" s="18"/>
      <c r="F50" s="18"/>
      <c r="G50" s="18"/>
      <c r="H50" s="18"/>
      <c r="I50" s="18">
        <v>88508.299999999988</v>
      </c>
    </row>
    <row r="51" spans="1:9" x14ac:dyDescent="0.3">
      <c r="B51" t="s">
        <v>637</v>
      </c>
      <c r="C51" s="18">
        <v>26086.7</v>
      </c>
      <c r="D51" s="18"/>
      <c r="E51" s="18"/>
      <c r="F51" s="18"/>
      <c r="G51" s="18"/>
      <c r="H51" s="18"/>
      <c r="I51" s="18">
        <v>26086.7</v>
      </c>
    </row>
    <row r="52" spans="1:9" x14ac:dyDescent="0.3">
      <c r="B52" t="s">
        <v>665</v>
      </c>
      <c r="C52" s="18">
        <v>26300.5</v>
      </c>
      <c r="D52" s="18"/>
      <c r="E52" s="18"/>
      <c r="F52" s="18"/>
      <c r="G52" s="18"/>
      <c r="H52" s="18"/>
      <c r="I52" s="18">
        <v>26300.5</v>
      </c>
    </row>
    <row r="53" spans="1:9" x14ac:dyDescent="0.3">
      <c r="B53" t="s">
        <v>709</v>
      </c>
      <c r="C53" s="18">
        <v>1238</v>
      </c>
      <c r="D53" s="18"/>
      <c r="E53" s="18"/>
      <c r="F53" s="18"/>
      <c r="G53" s="18"/>
      <c r="H53" s="18"/>
      <c r="I53" s="18">
        <v>1238</v>
      </c>
    </row>
    <row r="54" spans="1:9" x14ac:dyDescent="0.3">
      <c r="B54" t="s">
        <v>773</v>
      </c>
      <c r="C54" s="18">
        <v>15169</v>
      </c>
      <c r="D54" s="18"/>
      <c r="E54" s="18"/>
      <c r="F54" s="18"/>
      <c r="G54" s="18"/>
      <c r="H54" s="18"/>
      <c r="I54" s="18">
        <v>15169</v>
      </c>
    </row>
    <row r="55" spans="1:9" x14ac:dyDescent="0.3">
      <c r="B55" t="s">
        <v>784</v>
      </c>
      <c r="C55" s="18">
        <v>8970.6</v>
      </c>
      <c r="D55" s="18"/>
      <c r="E55" s="18"/>
      <c r="F55" s="18"/>
      <c r="G55" s="18"/>
      <c r="H55" s="18"/>
      <c r="I55" s="18">
        <v>8970.6</v>
      </c>
    </row>
    <row r="56" spans="1:9" x14ac:dyDescent="0.3">
      <c r="B56" t="s">
        <v>859</v>
      </c>
      <c r="C56" s="18">
        <v>58888.799999999996</v>
      </c>
      <c r="D56" s="18"/>
      <c r="E56" s="18"/>
      <c r="F56" s="18"/>
      <c r="G56" s="18"/>
      <c r="H56" s="18"/>
      <c r="I56" s="18">
        <v>58888.799999999996</v>
      </c>
    </row>
    <row r="57" spans="1:9" x14ac:dyDescent="0.3">
      <c r="B57" t="s">
        <v>958</v>
      </c>
      <c r="C57" s="18">
        <v>4447.5</v>
      </c>
      <c r="D57" s="18"/>
      <c r="E57" s="18"/>
      <c r="F57" s="18"/>
      <c r="G57" s="18"/>
      <c r="H57" s="18"/>
      <c r="I57" s="18">
        <v>4447.5</v>
      </c>
    </row>
    <row r="58" spans="1:9" x14ac:dyDescent="0.3">
      <c r="B58" t="s">
        <v>1044</v>
      </c>
      <c r="C58" s="18"/>
      <c r="D58" s="18"/>
      <c r="E58" s="18"/>
      <c r="F58" s="18"/>
      <c r="G58" s="18">
        <v>0</v>
      </c>
      <c r="H58" s="18"/>
      <c r="I58" s="18">
        <v>0</v>
      </c>
    </row>
    <row r="59" spans="1:9" x14ac:dyDescent="0.3">
      <c r="B59" t="s">
        <v>1051</v>
      </c>
      <c r="C59" s="18">
        <v>1732.6</v>
      </c>
      <c r="D59" s="18"/>
      <c r="E59" s="18"/>
      <c r="F59" s="18"/>
      <c r="G59" s="18"/>
      <c r="H59" s="18"/>
      <c r="I59" s="18">
        <v>1732.6</v>
      </c>
    </row>
    <row r="60" spans="1:9" x14ac:dyDescent="0.3">
      <c r="B60" t="s">
        <v>1057</v>
      </c>
      <c r="C60" s="18">
        <v>4373</v>
      </c>
      <c r="D60" s="18"/>
      <c r="E60" s="18"/>
      <c r="F60" s="18"/>
      <c r="G60" s="18"/>
      <c r="H60" s="18"/>
      <c r="I60" s="18">
        <v>4373</v>
      </c>
    </row>
    <row r="61" spans="1:9" x14ac:dyDescent="0.3">
      <c r="B61" t="s">
        <v>1101</v>
      </c>
      <c r="C61" s="18">
        <v>260</v>
      </c>
      <c r="D61" s="18"/>
      <c r="E61" s="18"/>
      <c r="F61" s="18"/>
      <c r="G61" s="18"/>
      <c r="H61" s="18"/>
      <c r="I61" s="18">
        <v>260</v>
      </c>
    </row>
    <row r="62" spans="1:9" x14ac:dyDescent="0.3">
      <c r="B62" t="s">
        <v>1100</v>
      </c>
      <c r="C62" s="18">
        <v>375</v>
      </c>
      <c r="D62" s="18"/>
      <c r="E62" s="18"/>
      <c r="F62" s="18"/>
      <c r="G62" s="18"/>
      <c r="H62" s="18"/>
      <c r="I62" s="18">
        <v>375</v>
      </c>
    </row>
    <row r="63" spans="1:9" x14ac:dyDescent="0.3">
      <c r="A63" s="36" t="s">
        <v>584</v>
      </c>
      <c r="B63" s="36"/>
      <c r="C63" s="37">
        <v>1076098.3999999999</v>
      </c>
      <c r="D63" s="37">
        <v>51210</v>
      </c>
      <c r="E63" s="37">
        <v>41800.300000000003</v>
      </c>
      <c r="F63" s="37">
        <v>333930.40000000002</v>
      </c>
      <c r="G63" s="37">
        <v>0</v>
      </c>
      <c r="H63" s="37"/>
      <c r="I63" s="37">
        <v>1503039.1</v>
      </c>
    </row>
    <row r="64" spans="1:9" x14ac:dyDescent="0.3">
      <c r="A64">
        <v>2023</v>
      </c>
      <c r="B64" t="s">
        <v>58</v>
      </c>
      <c r="C64" s="18"/>
      <c r="D64" s="18"/>
      <c r="E64" s="18">
        <v>36638.200000000012</v>
      </c>
      <c r="F64" s="18"/>
      <c r="G64" s="18"/>
      <c r="H64" s="18"/>
      <c r="I64" s="18">
        <v>36638.200000000012</v>
      </c>
    </row>
    <row r="65" spans="2:9" x14ac:dyDescent="0.3">
      <c r="B65" t="s">
        <v>7</v>
      </c>
      <c r="C65" s="18">
        <v>11804</v>
      </c>
      <c r="D65" s="18"/>
      <c r="E65" s="18"/>
      <c r="F65" s="18"/>
      <c r="G65" s="18"/>
      <c r="H65" s="18"/>
      <c r="I65" s="18">
        <v>11804</v>
      </c>
    </row>
    <row r="66" spans="2:9" x14ac:dyDescent="0.3">
      <c r="B66" t="s">
        <v>20</v>
      </c>
      <c r="C66" s="18"/>
      <c r="D66" s="18">
        <v>10972</v>
      </c>
      <c r="E66" s="18"/>
      <c r="F66" s="18"/>
      <c r="G66" s="18"/>
      <c r="H66" s="18"/>
      <c r="I66" s="18">
        <v>10972</v>
      </c>
    </row>
    <row r="67" spans="2:9" x14ac:dyDescent="0.3">
      <c r="B67" t="s">
        <v>43</v>
      </c>
      <c r="C67" s="18">
        <v>14405.2</v>
      </c>
      <c r="D67" s="18"/>
      <c r="E67" s="18"/>
      <c r="F67" s="18"/>
      <c r="G67" s="18"/>
      <c r="H67" s="18"/>
      <c r="I67" s="18">
        <v>14405.2</v>
      </c>
    </row>
    <row r="68" spans="2:9" x14ac:dyDescent="0.3">
      <c r="B68" t="s">
        <v>23</v>
      </c>
      <c r="C68" s="18"/>
      <c r="D68" s="18"/>
      <c r="E68" s="18"/>
      <c r="F68" s="18">
        <v>1620</v>
      </c>
      <c r="G68" s="18"/>
      <c r="H68" s="18"/>
      <c r="I68" s="18">
        <v>1620</v>
      </c>
    </row>
    <row r="69" spans="2:9" x14ac:dyDescent="0.3">
      <c r="B69" t="s">
        <v>62</v>
      </c>
      <c r="C69" s="18"/>
      <c r="D69" s="18"/>
      <c r="E69" s="18"/>
      <c r="F69" s="18">
        <v>183637.4</v>
      </c>
      <c r="G69" s="18"/>
      <c r="H69" s="18"/>
      <c r="I69" s="18">
        <v>183637.4</v>
      </c>
    </row>
    <row r="70" spans="2:9" x14ac:dyDescent="0.3">
      <c r="B70" t="s">
        <v>262</v>
      </c>
      <c r="C70" s="18">
        <v>113330.09999999999</v>
      </c>
      <c r="D70" s="18"/>
      <c r="E70" s="18"/>
      <c r="F70" s="18"/>
      <c r="G70" s="18"/>
      <c r="H70" s="18"/>
      <c r="I70" s="18">
        <v>113330.09999999999</v>
      </c>
    </row>
    <row r="71" spans="2:9" x14ac:dyDescent="0.3">
      <c r="B71" t="s">
        <v>400</v>
      </c>
      <c r="C71" s="18">
        <v>88097.9</v>
      </c>
      <c r="D71" s="18"/>
      <c r="E71" s="18"/>
      <c r="F71" s="18"/>
      <c r="G71" s="18"/>
      <c r="H71" s="18"/>
      <c r="I71" s="18">
        <v>88097.9</v>
      </c>
    </row>
    <row r="72" spans="2:9" x14ac:dyDescent="0.3">
      <c r="B72" t="s">
        <v>409</v>
      </c>
      <c r="C72" s="18">
        <v>566294.10000000009</v>
      </c>
      <c r="D72" s="18"/>
      <c r="E72" s="18"/>
      <c r="F72" s="18"/>
      <c r="G72" s="18"/>
      <c r="H72" s="18"/>
      <c r="I72" s="18">
        <v>566294.10000000009</v>
      </c>
    </row>
    <row r="73" spans="2:9" x14ac:dyDescent="0.3">
      <c r="B73" t="s">
        <v>491</v>
      </c>
      <c r="C73" s="18">
        <v>80917.5</v>
      </c>
      <c r="D73" s="18"/>
      <c r="E73" s="18"/>
      <c r="F73" s="18"/>
      <c r="G73" s="18"/>
      <c r="H73" s="18"/>
      <c r="I73" s="18">
        <v>80917.5</v>
      </c>
    </row>
    <row r="74" spans="2:9" x14ac:dyDescent="0.3">
      <c r="B74" t="s">
        <v>637</v>
      </c>
      <c r="C74" s="18">
        <v>33694.199999999997</v>
      </c>
      <c r="D74" s="18"/>
      <c r="E74" s="18"/>
      <c r="F74" s="18"/>
      <c r="G74" s="18"/>
      <c r="H74" s="18"/>
      <c r="I74" s="18">
        <v>33694.199999999997</v>
      </c>
    </row>
    <row r="75" spans="2:9" x14ac:dyDescent="0.3">
      <c r="B75" t="s">
        <v>665</v>
      </c>
      <c r="C75" s="18">
        <v>17384</v>
      </c>
      <c r="D75" s="18"/>
      <c r="E75" s="18"/>
      <c r="F75" s="18"/>
      <c r="G75" s="18"/>
      <c r="H75" s="18"/>
      <c r="I75" s="18">
        <v>17384</v>
      </c>
    </row>
    <row r="76" spans="2:9" x14ac:dyDescent="0.3">
      <c r="B76" t="s">
        <v>784</v>
      </c>
      <c r="C76" s="18">
        <v>3972.5</v>
      </c>
      <c r="D76" s="18"/>
      <c r="E76" s="18"/>
      <c r="F76" s="18"/>
      <c r="G76" s="18"/>
      <c r="H76" s="18"/>
      <c r="I76" s="18">
        <v>3972.5</v>
      </c>
    </row>
    <row r="77" spans="2:9" x14ac:dyDescent="0.3">
      <c r="B77" t="s">
        <v>859</v>
      </c>
      <c r="C77" s="18">
        <v>27345.699999999997</v>
      </c>
      <c r="D77" s="18"/>
      <c r="E77" s="18"/>
      <c r="F77" s="18"/>
      <c r="G77" s="18"/>
      <c r="H77" s="18"/>
      <c r="I77" s="18">
        <v>27345.699999999997</v>
      </c>
    </row>
    <row r="78" spans="2:9" x14ac:dyDescent="0.3">
      <c r="B78" t="s">
        <v>958</v>
      </c>
      <c r="C78" s="18">
        <v>250</v>
      </c>
      <c r="D78" s="18"/>
      <c r="E78" s="18"/>
      <c r="F78" s="18"/>
      <c r="G78" s="18"/>
      <c r="H78" s="18"/>
      <c r="I78" s="18">
        <v>250</v>
      </c>
    </row>
    <row r="79" spans="2:9" x14ac:dyDescent="0.3">
      <c r="B79" t="s">
        <v>1044</v>
      </c>
      <c r="C79" s="18"/>
      <c r="D79" s="18"/>
      <c r="E79" s="18"/>
      <c r="F79" s="18"/>
      <c r="G79" s="18">
        <v>0</v>
      </c>
      <c r="H79" s="18"/>
      <c r="I79" s="18">
        <v>0</v>
      </c>
    </row>
    <row r="80" spans="2:9" x14ac:dyDescent="0.3">
      <c r="B80" t="s">
        <v>1196</v>
      </c>
      <c r="C80" s="18">
        <v>125347.1</v>
      </c>
      <c r="D80" s="18"/>
      <c r="E80" s="18"/>
      <c r="F80" s="18"/>
      <c r="G80" s="18"/>
      <c r="H80" s="18"/>
      <c r="I80" s="18">
        <v>125347.1</v>
      </c>
    </row>
    <row r="81" spans="1:9" x14ac:dyDescent="0.3">
      <c r="B81" t="s">
        <v>1453</v>
      </c>
      <c r="C81" s="18">
        <v>111066.89999999998</v>
      </c>
      <c r="D81" s="18"/>
      <c r="E81" s="18"/>
      <c r="F81" s="18"/>
      <c r="G81" s="18"/>
      <c r="H81" s="18"/>
      <c r="I81" s="18">
        <v>111066.89999999998</v>
      </c>
    </row>
    <row r="82" spans="1:9" x14ac:dyDescent="0.3">
      <c r="B82" t="s">
        <v>1257</v>
      </c>
      <c r="C82" s="18">
        <v>1313</v>
      </c>
      <c r="D82" s="18"/>
      <c r="E82" s="18"/>
      <c r="F82" s="18"/>
      <c r="G82" s="18"/>
      <c r="H82" s="18"/>
      <c r="I82" s="18">
        <v>1313</v>
      </c>
    </row>
    <row r="83" spans="1:9" x14ac:dyDescent="0.3">
      <c r="B83" t="s">
        <v>1304</v>
      </c>
      <c r="C83" s="18">
        <v>1791</v>
      </c>
      <c r="D83" s="18"/>
      <c r="E83" s="18"/>
      <c r="F83" s="18"/>
      <c r="G83" s="18"/>
      <c r="H83" s="18"/>
      <c r="I83" s="18">
        <v>1791</v>
      </c>
    </row>
    <row r="84" spans="1:9" x14ac:dyDescent="0.3">
      <c r="B84" t="s">
        <v>1309</v>
      </c>
      <c r="C84" s="18"/>
      <c r="D84" s="18"/>
      <c r="E84" s="18"/>
      <c r="F84" s="18"/>
      <c r="G84" s="18"/>
      <c r="H84" s="18">
        <v>115065.69999999998</v>
      </c>
      <c r="I84" s="18">
        <v>115065.69999999998</v>
      </c>
    </row>
    <row r="85" spans="1:9" x14ac:dyDescent="0.3">
      <c r="B85" t="s">
        <v>1420</v>
      </c>
      <c r="C85" s="18">
        <v>3063</v>
      </c>
      <c r="D85" s="18"/>
      <c r="E85" s="18"/>
      <c r="F85" s="18"/>
      <c r="G85" s="18"/>
      <c r="H85" s="18"/>
      <c r="I85" s="18">
        <v>3063</v>
      </c>
    </row>
    <row r="86" spans="1:9" x14ac:dyDescent="0.3">
      <c r="B86" t="s">
        <v>1620</v>
      </c>
      <c r="C86" s="18">
        <v>5351</v>
      </c>
      <c r="D86" s="18"/>
      <c r="E86" s="18"/>
      <c r="F86" s="18"/>
      <c r="G86" s="18"/>
      <c r="H86" s="18"/>
      <c r="I86" s="18">
        <v>5351</v>
      </c>
    </row>
    <row r="87" spans="1:9" x14ac:dyDescent="0.3">
      <c r="B87" t="s">
        <v>1702</v>
      </c>
      <c r="C87" s="18">
        <v>48</v>
      </c>
      <c r="D87" s="18"/>
      <c r="E87" s="18"/>
      <c r="F87" s="18"/>
      <c r="G87" s="18"/>
      <c r="H87" s="18"/>
      <c r="I87" s="18">
        <v>48</v>
      </c>
    </row>
    <row r="88" spans="1:9" x14ac:dyDescent="0.3">
      <c r="B88" t="s">
        <v>1704</v>
      </c>
      <c r="C88" s="18">
        <v>2363</v>
      </c>
      <c r="D88" s="18"/>
      <c r="E88" s="18"/>
      <c r="F88" s="18"/>
      <c r="G88" s="18"/>
      <c r="H88" s="18"/>
      <c r="I88" s="18">
        <v>2363</v>
      </c>
    </row>
    <row r="89" spans="1:9" x14ac:dyDescent="0.3">
      <c r="B89" t="s">
        <v>2012</v>
      </c>
      <c r="C89" s="18">
        <v>168528.7</v>
      </c>
      <c r="D89" s="18"/>
      <c r="E89" s="18"/>
      <c r="F89" s="18"/>
      <c r="G89" s="18"/>
      <c r="H89" s="18"/>
      <c r="I89" s="18">
        <v>168528.7</v>
      </c>
    </row>
    <row r="90" spans="1:9" x14ac:dyDescent="0.3">
      <c r="B90" t="s">
        <v>2134</v>
      </c>
      <c r="C90" s="18">
        <v>9653.7999999999993</v>
      </c>
      <c r="D90" s="18"/>
      <c r="E90" s="18"/>
      <c r="F90" s="18"/>
      <c r="G90" s="18"/>
      <c r="H90" s="18"/>
      <c r="I90" s="18">
        <v>9653.7999999999993</v>
      </c>
    </row>
    <row r="91" spans="1:9" x14ac:dyDescent="0.3">
      <c r="B91" t="s">
        <v>2928</v>
      </c>
      <c r="C91" s="18">
        <v>4709.2</v>
      </c>
      <c r="D91" s="18"/>
      <c r="E91" s="18"/>
      <c r="F91" s="18"/>
      <c r="G91" s="18"/>
      <c r="H91" s="18"/>
      <c r="I91" s="18">
        <v>4709.2</v>
      </c>
    </row>
    <row r="92" spans="1:9" x14ac:dyDescent="0.3">
      <c r="B92" t="s">
        <v>2929</v>
      </c>
      <c r="C92" s="18">
        <v>2131</v>
      </c>
      <c r="D92" s="18"/>
      <c r="E92" s="18"/>
      <c r="F92" s="18"/>
      <c r="G92" s="18"/>
      <c r="H92" s="18"/>
      <c r="I92" s="18">
        <v>2131</v>
      </c>
    </row>
    <row r="93" spans="1:9" x14ac:dyDescent="0.3">
      <c r="A93" s="36" t="s">
        <v>1233</v>
      </c>
      <c r="B93" s="36"/>
      <c r="C93" s="37">
        <v>1392860.9</v>
      </c>
      <c r="D93" s="37">
        <v>10972</v>
      </c>
      <c r="E93" s="37">
        <v>36638.200000000012</v>
      </c>
      <c r="F93" s="37">
        <v>185257.4</v>
      </c>
      <c r="G93" s="37">
        <v>0</v>
      </c>
      <c r="H93" s="37">
        <v>115065.69999999998</v>
      </c>
      <c r="I93" s="37">
        <v>1740794.1999999997</v>
      </c>
    </row>
    <row r="94" spans="1:9" x14ac:dyDescent="0.3">
      <c r="A94">
        <v>2024</v>
      </c>
      <c r="B94" t="s">
        <v>35</v>
      </c>
      <c r="C94" s="18">
        <v>2439.6</v>
      </c>
      <c r="D94" s="18"/>
      <c r="E94" s="18"/>
      <c r="F94" s="18"/>
      <c r="G94" s="18"/>
      <c r="H94" s="18"/>
      <c r="I94" s="18">
        <v>2439.6</v>
      </c>
    </row>
    <row r="95" spans="1:9" x14ac:dyDescent="0.3">
      <c r="B95" t="s">
        <v>58</v>
      </c>
      <c r="C95" s="18"/>
      <c r="D95" s="18"/>
      <c r="E95" s="18">
        <v>38345.300000000003</v>
      </c>
      <c r="F95" s="18"/>
      <c r="G95" s="18"/>
      <c r="H95" s="18"/>
      <c r="I95" s="18">
        <v>38345.300000000003</v>
      </c>
    </row>
    <row r="96" spans="1:9" x14ac:dyDescent="0.3">
      <c r="B96" t="s">
        <v>20</v>
      </c>
      <c r="C96" s="18"/>
      <c r="D96" s="18">
        <v>18380</v>
      </c>
      <c r="E96" s="18"/>
      <c r="F96" s="18"/>
      <c r="G96" s="18"/>
      <c r="H96" s="18"/>
      <c r="I96" s="18">
        <v>18380</v>
      </c>
    </row>
    <row r="97" spans="2:9" x14ac:dyDescent="0.3">
      <c r="B97" t="s">
        <v>43</v>
      </c>
      <c r="C97" s="18">
        <v>27746.5</v>
      </c>
      <c r="D97" s="18"/>
      <c r="E97" s="18"/>
      <c r="F97" s="18"/>
      <c r="G97" s="18"/>
      <c r="H97" s="18"/>
      <c r="I97" s="18">
        <v>27746.5</v>
      </c>
    </row>
    <row r="98" spans="2:9" x14ac:dyDescent="0.3">
      <c r="B98" t="s">
        <v>62</v>
      </c>
      <c r="C98" s="18"/>
      <c r="D98" s="18"/>
      <c r="E98" s="18"/>
      <c r="F98" s="18">
        <v>300024.30000000005</v>
      </c>
      <c r="G98" s="18"/>
      <c r="H98" s="18"/>
      <c r="I98" s="18">
        <v>300024.30000000005</v>
      </c>
    </row>
    <row r="99" spans="2:9" x14ac:dyDescent="0.3">
      <c r="B99" t="s">
        <v>262</v>
      </c>
      <c r="C99" s="18">
        <v>16315.999999999998</v>
      </c>
      <c r="D99" s="18"/>
      <c r="E99" s="18"/>
      <c r="F99" s="18"/>
      <c r="G99" s="18"/>
      <c r="H99" s="18"/>
      <c r="I99" s="18">
        <v>16315.999999999998</v>
      </c>
    </row>
    <row r="100" spans="2:9" x14ac:dyDescent="0.3">
      <c r="B100" t="s">
        <v>400</v>
      </c>
      <c r="C100" s="18">
        <v>81301.100000000006</v>
      </c>
      <c r="D100" s="18"/>
      <c r="E100" s="18"/>
      <c r="F100" s="18"/>
      <c r="G100" s="18"/>
      <c r="H100" s="18"/>
      <c r="I100" s="18">
        <v>81301.100000000006</v>
      </c>
    </row>
    <row r="101" spans="2:9" x14ac:dyDescent="0.3">
      <c r="B101" t="s">
        <v>491</v>
      </c>
      <c r="C101" s="18">
        <v>26160.6</v>
      </c>
      <c r="D101" s="18"/>
      <c r="E101" s="18"/>
      <c r="F101" s="18"/>
      <c r="G101" s="18"/>
      <c r="H101" s="18"/>
      <c r="I101" s="18">
        <v>26160.6</v>
      </c>
    </row>
    <row r="102" spans="2:9" x14ac:dyDescent="0.3">
      <c r="B102" t="s">
        <v>784</v>
      </c>
      <c r="C102" s="18">
        <v>12534.400000000001</v>
      </c>
      <c r="D102" s="18"/>
      <c r="E102" s="18"/>
      <c r="F102" s="18"/>
      <c r="G102" s="18"/>
      <c r="H102" s="18"/>
      <c r="I102" s="18">
        <v>12534.400000000001</v>
      </c>
    </row>
    <row r="103" spans="2:9" x14ac:dyDescent="0.3">
      <c r="B103" t="s">
        <v>859</v>
      </c>
      <c r="C103" s="18">
        <v>36704</v>
      </c>
      <c r="D103" s="18"/>
      <c r="E103" s="18"/>
      <c r="F103" s="18"/>
      <c r="G103" s="18"/>
      <c r="H103" s="18"/>
      <c r="I103" s="18">
        <v>36704</v>
      </c>
    </row>
    <row r="104" spans="2:9" x14ac:dyDescent="0.3">
      <c r="B104" t="s">
        <v>1309</v>
      </c>
      <c r="C104" s="18"/>
      <c r="D104" s="18"/>
      <c r="E104" s="18"/>
      <c r="F104" s="18"/>
      <c r="G104" s="18"/>
      <c r="H104" s="18">
        <v>56632.4</v>
      </c>
      <c r="I104" s="18">
        <v>56632.4</v>
      </c>
    </row>
    <row r="105" spans="2:9" x14ac:dyDescent="0.3">
      <c r="B105" t="s">
        <v>1704</v>
      </c>
      <c r="C105" s="18">
        <v>2799</v>
      </c>
      <c r="D105" s="18"/>
      <c r="E105" s="18"/>
      <c r="F105" s="18"/>
      <c r="G105" s="18"/>
      <c r="H105" s="18"/>
      <c r="I105" s="18">
        <v>2799</v>
      </c>
    </row>
    <row r="106" spans="2:9" x14ac:dyDescent="0.3">
      <c r="B106" t="s">
        <v>2012</v>
      </c>
      <c r="C106" s="18">
        <v>962872.9</v>
      </c>
      <c r="D106" s="18"/>
      <c r="E106" s="18"/>
      <c r="F106" s="18"/>
      <c r="G106" s="18"/>
      <c r="H106" s="18"/>
      <c r="I106" s="18">
        <v>962872.9</v>
      </c>
    </row>
    <row r="107" spans="2:9" x14ac:dyDescent="0.3">
      <c r="B107" t="s">
        <v>2134</v>
      </c>
      <c r="C107" s="18">
        <v>7721.6</v>
      </c>
      <c r="D107" s="18"/>
      <c r="E107" s="18"/>
      <c r="F107" s="18"/>
      <c r="G107" s="18"/>
      <c r="H107" s="18"/>
      <c r="I107" s="18">
        <v>7721.6</v>
      </c>
    </row>
    <row r="108" spans="2:9" x14ac:dyDescent="0.3">
      <c r="B108" t="s">
        <v>2928</v>
      </c>
      <c r="C108" s="18">
        <v>1185</v>
      </c>
      <c r="D108" s="18"/>
      <c r="E108" s="18"/>
      <c r="F108" s="18"/>
      <c r="G108" s="18"/>
      <c r="H108" s="18"/>
      <c r="I108" s="18">
        <v>1185</v>
      </c>
    </row>
    <row r="109" spans="2:9" x14ac:dyDescent="0.3">
      <c r="B109" t="s">
        <v>2929</v>
      </c>
      <c r="C109" s="18">
        <v>48366.8</v>
      </c>
      <c r="D109" s="18"/>
      <c r="E109" s="18"/>
      <c r="F109" s="18"/>
      <c r="G109" s="18"/>
      <c r="H109" s="18"/>
      <c r="I109" s="18">
        <v>48366.8</v>
      </c>
    </row>
    <row r="110" spans="2:9" x14ac:dyDescent="0.3">
      <c r="B110" t="s">
        <v>2271</v>
      </c>
      <c r="C110" s="18">
        <v>2826</v>
      </c>
      <c r="D110" s="18"/>
      <c r="E110" s="18"/>
      <c r="F110" s="18"/>
      <c r="G110" s="18"/>
      <c r="H110" s="18"/>
      <c r="I110" s="18">
        <v>2826</v>
      </c>
    </row>
    <row r="111" spans="2:9" x14ac:dyDescent="0.3">
      <c r="B111" t="s">
        <v>2284</v>
      </c>
      <c r="C111" s="18">
        <v>9182.7999999999993</v>
      </c>
      <c r="D111" s="18"/>
      <c r="E111" s="18"/>
      <c r="F111" s="18"/>
      <c r="G111" s="18"/>
      <c r="H111" s="18"/>
      <c r="I111" s="18">
        <v>9182.7999999999993</v>
      </c>
    </row>
    <row r="112" spans="2:9" x14ac:dyDescent="0.3">
      <c r="B112" t="s">
        <v>2362</v>
      </c>
      <c r="C112" s="18">
        <v>623</v>
      </c>
      <c r="D112" s="18"/>
      <c r="E112" s="18"/>
      <c r="F112" s="18"/>
      <c r="G112" s="18"/>
      <c r="H112" s="18"/>
      <c r="I112" s="18">
        <v>623</v>
      </c>
    </row>
    <row r="113" spans="1:9" x14ac:dyDescent="0.3">
      <c r="B113" t="s">
        <v>2440</v>
      </c>
      <c r="C113" s="18">
        <v>200</v>
      </c>
      <c r="D113" s="18"/>
      <c r="E113" s="18"/>
      <c r="F113" s="18"/>
      <c r="G113" s="18"/>
      <c r="H113" s="18"/>
      <c r="I113" s="18">
        <v>200</v>
      </c>
    </row>
    <row r="114" spans="1:9" x14ac:dyDescent="0.3">
      <c r="B114" t="s">
        <v>2728</v>
      </c>
      <c r="C114" s="18">
        <v>36203.5</v>
      </c>
      <c r="D114" s="18"/>
      <c r="E114" s="18"/>
      <c r="F114" s="18"/>
      <c r="G114" s="18"/>
      <c r="H114" s="18"/>
      <c r="I114" s="18">
        <v>36203.5</v>
      </c>
    </row>
    <row r="115" spans="1:9" x14ac:dyDescent="0.3">
      <c r="B115" t="s">
        <v>2656</v>
      </c>
      <c r="C115" s="18">
        <v>50640</v>
      </c>
      <c r="D115" s="18"/>
      <c r="E115" s="18"/>
      <c r="F115" s="18"/>
      <c r="G115" s="18"/>
      <c r="H115" s="18"/>
      <c r="I115" s="18">
        <v>50640</v>
      </c>
    </row>
    <row r="116" spans="1:9" x14ac:dyDescent="0.3">
      <c r="B116" t="s">
        <v>3100</v>
      </c>
      <c r="C116" s="18"/>
      <c r="D116" s="18"/>
      <c r="E116" s="18"/>
      <c r="F116" s="18"/>
      <c r="G116" s="18">
        <v>0</v>
      </c>
      <c r="H116" s="18"/>
      <c r="I116" s="18">
        <v>0</v>
      </c>
    </row>
    <row r="117" spans="1:9" x14ac:dyDescent="0.3">
      <c r="B117" t="s">
        <v>2734</v>
      </c>
      <c r="C117" s="18">
        <v>1131.5</v>
      </c>
      <c r="D117" s="18"/>
      <c r="E117" s="18"/>
      <c r="F117" s="18"/>
      <c r="G117" s="18"/>
      <c r="H117" s="18"/>
      <c r="I117" s="18">
        <v>1131.5</v>
      </c>
    </row>
    <row r="118" spans="1:9" x14ac:dyDescent="0.3">
      <c r="B118" t="s">
        <v>2740</v>
      </c>
      <c r="C118" s="18">
        <v>625</v>
      </c>
      <c r="D118" s="18"/>
      <c r="E118" s="18"/>
      <c r="F118" s="18"/>
      <c r="G118" s="18"/>
      <c r="H118" s="18"/>
      <c r="I118" s="18">
        <v>625</v>
      </c>
    </row>
    <row r="119" spans="1:9" x14ac:dyDescent="0.3">
      <c r="B119" t="s">
        <v>3061</v>
      </c>
      <c r="C119" s="18">
        <v>755</v>
      </c>
      <c r="D119" s="18"/>
      <c r="E119" s="18"/>
      <c r="F119" s="18"/>
      <c r="G119" s="18"/>
      <c r="H119" s="18"/>
      <c r="I119" s="18">
        <v>755</v>
      </c>
    </row>
    <row r="120" spans="1:9" x14ac:dyDescent="0.3">
      <c r="B120" t="s">
        <v>2939</v>
      </c>
      <c r="C120" s="18">
        <v>1410</v>
      </c>
      <c r="D120" s="18"/>
      <c r="E120" s="18"/>
      <c r="F120" s="18"/>
      <c r="G120" s="18"/>
      <c r="H120" s="18"/>
      <c r="I120" s="18">
        <v>1410</v>
      </c>
    </row>
    <row r="121" spans="1:9" x14ac:dyDescent="0.3">
      <c r="B121" t="s">
        <v>3063</v>
      </c>
      <c r="C121" s="18">
        <v>231</v>
      </c>
      <c r="D121" s="18"/>
      <c r="E121" s="18"/>
      <c r="F121" s="18"/>
      <c r="G121" s="18"/>
      <c r="H121" s="18"/>
      <c r="I121" s="18">
        <v>231</v>
      </c>
    </row>
    <row r="122" spans="1:9" x14ac:dyDescent="0.3">
      <c r="B122" t="s">
        <v>3225</v>
      </c>
      <c r="C122" s="18">
        <v>820</v>
      </c>
      <c r="D122" s="18"/>
      <c r="E122" s="18"/>
      <c r="F122" s="18"/>
      <c r="G122" s="18"/>
      <c r="H122" s="18"/>
      <c r="I122" s="18">
        <v>820</v>
      </c>
    </row>
    <row r="123" spans="1:9" x14ac:dyDescent="0.3">
      <c r="B123" t="s">
        <v>3230</v>
      </c>
      <c r="C123" s="18">
        <v>1238</v>
      </c>
      <c r="D123" s="18"/>
      <c r="E123" s="18"/>
      <c r="F123" s="18"/>
      <c r="G123" s="18"/>
      <c r="H123" s="18"/>
      <c r="I123" s="18">
        <v>1238</v>
      </c>
    </row>
    <row r="124" spans="1:9" x14ac:dyDescent="0.3">
      <c r="B124" t="s">
        <v>3268</v>
      </c>
      <c r="C124" s="18">
        <v>3435</v>
      </c>
      <c r="D124" s="18"/>
      <c r="E124" s="18"/>
      <c r="F124" s="18"/>
      <c r="G124" s="18"/>
      <c r="H124" s="18"/>
      <c r="I124" s="18">
        <v>3435</v>
      </c>
    </row>
    <row r="125" spans="1:9" x14ac:dyDescent="0.3">
      <c r="A125" s="36" t="s">
        <v>2932</v>
      </c>
      <c r="B125" s="36"/>
      <c r="C125" s="37">
        <v>1335468.3000000003</v>
      </c>
      <c r="D125" s="37">
        <v>18380</v>
      </c>
      <c r="E125" s="37">
        <v>38345.300000000003</v>
      </c>
      <c r="F125" s="37">
        <v>300024.30000000005</v>
      </c>
      <c r="G125" s="37">
        <v>0</v>
      </c>
      <c r="H125" s="37">
        <v>56632.4</v>
      </c>
      <c r="I125" s="37">
        <v>1748850.3000000003</v>
      </c>
    </row>
    <row r="126" spans="1:9" x14ac:dyDescent="0.3">
      <c r="A126">
        <v>2025</v>
      </c>
      <c r="B126" t="s">
        <v>20</v>
      </c>
      <c r="C126" s="18"/>
      <c r="D126" s="18">
        <v>10863.5</v>
      </c>
      <c r="E126" s="18"/>
      <c r="F126" s="18"/>
      <c r="G126" s="18"/>
      <c r="H126" s="18"/>
      <c r="I126" s="18">
        <v>10863.5</v>
      </c>
    </row>
    <row r="127" spans="1:9" x14ac:dyDescent="0.3">
      <c r="B127" t="s">
        <v>43</v>
      </c>
      <c r="C127" s="18">
        <v>4623</v>
      </c>
      <c r="D127" s="18"/>
      <c r="E127" s="18"/>
      <c r="F127" s="18"/>
      <c r="G127" s="18"/>
      <c r="H127" s="18"/>
      <c r="I127" s="18">
        <v>4623</v>
      </c>
    </row>
    <row r="128" spans="1:9" x14ac:dyDescent="0.3">
      <c r="B128" t="s">
        <v>62</v>
      </c>
      <c r="C128" s="18"/>
      <c r="D128" s="18"/>
      <c r="E128" s="18"/>
      <c r="F128" s="18">
        <v>73451.399999999994</v>
      </c>
      <c r="G128" s="18"/>
      <c r="H128" s="18"/>
      <c r="I128" s="18">
        <v>73451.399999999994</v>
      </c>
    </row>
    <row r="129" spans="2:9" x14ac:dyDescent="0.3">
      <c r="B129" t="s">
        <v>400</v>
      </c>
      <c r="C129" s="18">
        <v>41235.199999999997</v>
      </c>
      <c r="D129" s="18"/>
      <c r="E129" s="18"/>
      <c r="F129" s="18"/>
      <c r="G129" s="18"/>
      <c r="H129" s="18"/>
      <c r="I129" s="18">
        <v>41235.199999999997</v>
      </c>
    </row>
    <row r="130" spans="2:9" x14ac:dyDescent="0.3">
      <c r="B130" t="s">
        <v>784</v>
      </c>
      <c r="C130" s="18">
        <v>0</v>
      </c>
      <c r="D130" s="18"/>
      <c r="E130" s="18"/>
      <c r="F130" s="18"/>
      <c r="G130" s="18"/>
      <c r="H130" s="18"/>
      <c r="I130" s="18">
        <v>0</v>
      </c>
    </row>
    <row r="131" spans="2:9" x14ac:dyDescent="0.3">
      <c r="B131" t="s">
        <v>859</v>
      </c>
      <c r="C131" s="18">
        <v>12228.900000000001</v>
      </c>
      <c r="D131" s="18"/>
      <c r="E131" s="18"/>
      <c r="F131" s="18"/>
      <c r="G131" s="18"/>
      <c r="H131" s="18"/>
      <c r="I131" s="18">
        <v>12228.900000000001</v>
      </c>
    </row>
    <row r="132" spans="2:9" x14ac:dyDescent="0.3">
      <c r="B132" t="s">
        <v>1453</v>
      </c>
      <c r="C132" s="18">
        <v>16896.5</v>
      </c>
      <c r="D132" s="18"/>
      <c r="E132" s="18"/>
      <c r="F132" s="18"/>
      <c r="G132" s="18"/>
      <c r="H132" s="18"/>
      <c r="I132" s="18">
        <v>16896.5</v>
      </c>
    </row>
    <row r="133" spans="2:9" x14ac:dyDescent="0.3">
      <c r="B133" t="s">
        <v>1309</v>
      </c>
      <c r="C133" s="18"/>
      <c r="D133" s="18"/>
      <c r="E133" s="18"/>
      <c r="F133" s="18"/>
      <c r="G133" s="18"/>
      <c r="H133" s="18">
        <v>9408.5</v>
      </c>
      <c r="I133" s="18">
        <v>9408.5</v>
      </c>
    </row>
    <row r="134" spans="2:9" x14ac:dyDescent="0.3">
      <c r="B134" t="s">
        <v>1620</v>
      </c>
      <c r="C134" s="18">
        <v>250</v>
      </c>
      <c r="D134" s="18"/>
      <c r="E134" s="18"/>
      <c r="F134" s="18"/>
      <c r="G134" s="18"/>
      <c r="H134" s="18"/>
      <c r="I134" s="18">
        <v>250</v>
      </c>
    </row>
    <row r="135" spans="2:9" x14ac:dyDescent="0.3">
      <c r="B135" t="s">
        <v>1704</v>
      </c>
      <c r="C135" s="18">
        <v>2358.5</v>
      </c>
      <c r="D135" s="18"/>
      <c r="E135" s="18"/>
      <c r="F135" s="18"/>
      <c r="G135" s="18"/>
      <c r="H135" s="18"/>
      <c r="I135" s="18">
        <v>2358.5</v>
      </c>
    </row>
    <row r="136" spans="2:9" x14ac:dyDescent="0.3">
      <c r="B136" t="s">
        <v>2012</v>
      </c>
      <c r="C136" s="18">
        <v>678881.89999999991</v>
      </c>
      <c r="D136" s="18"/>
      <c r="E136" s="18"/>
      <c r="F136" s="18"/>
      <c r="G136" s="18"/>
      <c r="H136" s="18"/>
      <c r="I136" s="18">
        <v>678881.89999999991</v>
      </c>
    </row>
    <row r="137" spans="2:9" x14ac:dyDescent="0.3">
      <c r="B137" t="s">
        <v>2929</v>
      </c>
      <c r="C137" s="18">
        <v>20535</v>
      </c>
      <c r="D137" s="18"/>
      <c r="E137" s="18"/>
      <c r="F137" s="18"/>
      <c r="G137" s="18"/>
      <c r="H137" s="18"/>
      <c r="I137" s="18">
        <v>20535</v>
      </c>
    </row>
    <row r="138" spans="2:9" x14ac:dyDescent="0.3">
      <c r="B138" t="s">
        <v>2271</v>
      </c>
      <c r="C138" s="18">
        <v>2433.4</v>
      </c>
      <c r="D138" s="18"/>
      <c r="E138" s="18"/>
      <c r="F138" s="18"/>
      <c r="G138" s="18"/>
      <c r="H138" s="18"/>
      <c r="I138" s="18">
        <v>2433.4</v>
      </c>
    </row>
    <row r="139" spans="2:9" x14ac:dyDescent="0.3">
      <c r="B139" t="s">
        <v>2656</v>
      </c>
      <c r="C139" s="18">
        <v>20285</v>
      </c>
      <c r="D139" s="18"/>
      <c r="E139" s="18"/>
      <c r="F139" s="18"/>
      <c r="G139" s="18"/>
      <c r="H139" s="18"/>
      <c r="I139" s="18">
        <v>20285</v>
      </c>
    </row>
    <row r="140" spans="2:9" x14ac:dyDescent="0.3">
      <c r="B140" t="s">
        <v>2939</v>
      </c>
      <c r="C140" s="18">
        <v>525</v>
      </c>
      <c r="D140" s="18"/>
      <c r="E140" s="18"/>
      <c r="F140" s="18"/>
      <c r="G140" s="18"/>
      <c r="H140" s="18"/>
      <c r="I140" s="18">
        <v>525</v>
      </c>
    </row>
    <row r="141" spans="2:9" x14ac:dyDescent="0.3">
      <c r="B141" t="s">
        <v>3230</v>
      </c>
      <c r="C141" s="18">
        <v>650</v>
      </c>
      <c r="D141" s="18"/>
      <c r="E141" s="18"/>
      <c r="F141" s="18"/>
      <c r="G141" s="18"/>
      <c r="H141" s="18"/>
      <c r="I141" s="18">
        <v>650</v>
      </c>
    </row>
    <row r="142" spans="2:9" x14ac:dyDescent="0.3">
      <c r="B142" t="s">
        <v>3330</v>
      </c>
      <c r="C142" s="18">
        <v>3082.5</v>
      </c>
      <c r="D142" s="18"/>
      <c r="E142" s="18"/>
      <c r="F142" s="18"/>
      <c r="G142" s="18"/>
      <c r="H142" s="18"/>
      <c r="I142" s="18">
        <v>3082.5</v>
      </c>
    </row>
    <row r="143" spans="2:9" x14ac:dyDescent="0.3">
      <c r="B143" t="s">
        <v>3532</v>
      </c>
      <c r="C143" s="18">
        <v>35697</v>
      </c>
      <c r="D143" s="18"/>
      <c r="E143" s="18"/>
      <c r="F143" s="18"/>
      <c r="G143" s="18"/>
      <c r="H143" s="18"/>
      <c r="I143" s="18">
        <v>35697</v>
      </c>
    </row>
    <row r="144" spans="2:9" x14ac:dyDescent="0.3">
      <c r="B144" t="s">
        <v>3549</v>
      </c>
      <c r="C144" s="18">
        <v>61327.600000000006</v>
      </c>
      <c r="D144" s="18"/>
      <c r="E144" s="18"/>
      <c r="F144" s="18"/>
      <c r="G144" s="18"/>
      <c r="H144" s="18"/>
      <c r="I144" s="18">
        <v>61327.600000000006</v>
      </c>
    </row>
    <row r="145" spans="1:9" x14ac:dyDescent="0.3">
      <c r="B145" t="s">
        <v>3837</v>
      </c>
      <c r="C145" s="18">
        <v>3811.4</v>
      </c>
      <c r="D145" s="18"/>
      <c r="E145" s="18"/>
      <c r="F145" s="18"/>
      <c r="G145" s="18"/>
      <c r="H145" s="18"/>
      <c r="I145" s="18">
        <v>3811.4</v>
      </c>
    </row>
    <row r="146" spans="1:9" x14ac:dyDescent="0.3">
      <c r="B146" t="s">
        <v>3867</v>
      </c>
      <c r="C146" s="18">
        <v>4660</v>
      </c>
      <c r="D146" s="18"/>
      <c r="E146" s="18"/>
      <c r="F146" s="18"/>
      <c r="G146" s="18"/>
      <c r="H146" s="18"/>
      <c r="I146" s="18">
        <v>4660</v>
      </c>
    </row>
    <row r="147" spans="1:9" x14ac:dyDescent="0.3">
      <c r="A147" s="36" t="s">
        <v>3965</v>
      </c>
      <c r="B147" s="36"/>
      <c r="C147" s="37">
        <v>909480.89999999991</v>
      </c>
      <c r="D147" s="37">
        <v>10863.5</v>
      </c>
      <c r="E147" s="37"/>
      <c r="F147" s="37">
        <v>73451.399999999994</v>
      </c>
      <c r="G147" s="37"/>
      <c r="H147" s="37">
        <v>9408.5</v>
      </c>
      <c r="I147" s="37">
        <v>1003204.2999999999</v>
      </c>
    </row>
    <row r="148" spans="1:9" x14ac:dyDescent="0.3">
      <c r="A148" t="s">
        <v>131</v>
      </c>
      <c r="C148" s="18">
        <v>5127962.9500000011</v>
      </c>
      <c r="D148" s="18">
        <v>153933.70000000001</v>
      </c>
      <c r="E148" s="18">
        <v>144621.60000000003</v>
      </c>
      <c r="F148" s="18">
        <v>1221835.7000000002</v>
      </c>
      <c r="G148" s="18">
        <v>4109.2</v>
      </c>
      <c r="H148" s="18">
        <v>181106.59999999998</v>
      </c>
      <c r="I148" s="18">
        <v>6833569.7500000019</v>
      </c>
    </row>
  </sheetData>
  <pageMargins left="0.39370078740157483" right="0" top="0.39370078740157483" bottom="0" header="0.31496062992125984" footer="0.31496062992125984"/>
  <pageSetup scale="82" orientation="portrait" r:id="rId3"/>
  <headerFooter>
    <oddFooter>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3:G411"/>
  <sheetViews>
    <sheetView topLeftCell="A265" workbookViewId="0">
      <selection activeCell="E277" sqref="E27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9.109375" bestFit="1" customWidth="1"/>
    <col min="4" max="4" width="33.88671875" bestFit="1" customWidth="1"/>
    <col min="5" max="5" width="10.33203125" style="16" customWidth="1"/>
    <col min="7" max="7" width="9.109375" bestFit="1" customWidth="1"/>
  </cols>
  <sheetData>
    <row r="3" spans="1:5" x14ac:dyDescent="0.3">
      <c r="A3" s="65" t="s">
        <v>162</v>
      </c>
      <c r="B3" s="62" t="s">
        <v>307</v>
      </c>
      <c r="C3" s="63" t="s">
        <v>2</v>
      </c>
      <c r="D3" s="63" t="s">
        <v>1</v>
      </c>
      <c r="E3" s="66" t="s">
        <v>306</v>
      </c>
    </row>
    <row r="4" spans="1:5" x14ac:dyDescent="0.3">
      <c r="A4">
        <v>12</v>
      </c>
      <c r="B4" s="57">
        <v>43822</v>
      </c>
      <c r="C4" t="s">
        <v>311</v>
      </c>
      <c r="D4" t="s">
        <v>7</v>
      </c>
      <c r="E4" s="16">
        <v>80</v>
      </c>
    </row>
    <row r="5" spans="1:5" x14ac:dyDescent="0.3">
      <c r="A5" s="17" t="s">
        <v>222</v>
      </c>
      <c r="B5" s="17"/>
      <c r="C5" s="17"/>
      <c r="D5" s="17"/>
      <c r="E5" s="22">
        <f>SUM(E4)</f>
        <v>80</v>
      </c>
    </row>
    <row r="6" spans="1:5" x14ac:dyDescent="0.3">
      <c r="A6">
        <v>6</v>
      </c>
      <c r="B6" s="57">
        <v>43984</v>
      </c>
      <c r="C6" t="s">
        <v>10</v>
      </c>
      <c r="D6" t="s">
        <v>7</v>
      </c>
      <c r="E6" s="16">
        <v>80</v>
      </c>
    </row>
    <row r="7" spans="1:5" x14ac:dyDescent="0.3">
      <c r="B7" s="57">
        <v>43993</v>
      </c>
      <c r="C7" t="s">
        <v>11</v>
      </c>
      <c r="D7" t="s">
        <v>14</v>
      </c>
      <c r="E7" s="16">
        <v>80</v>
      </c>
    </row>
    <row r="8" spans="1:5" x14ac:dyDescent="0.3">
      <c r="B8" s="57">
        <v>43999</v>
      </c>
      <c r="C8" t="s">
        <v>12</v>
      </c>
      <c r="D8" t="s">
        <v>7</v>
      </c>
      <c r="E8" s="16">
        <v>80</v>
      </c>
    </row>
    <row r="9" spans="1:5" x14ac:dyDescent="0.3">
      <c r="B9" s="57">
        <v>44004</v>
      </c>
      <c r="C9" t="s">
        <v>18</v>
      </c>
      <c r="D9" t="s">
        <v>20</v>
      </c>
      <c r="E9" s="16">
        <v>80</v>
      </c>
    </row>
    <row r="10" spans="1:5" x14ac:dyDescent="0.3">
      <c r="A10" s="17" t="s">
        <v>141</v>
      </c>
      <c r="B10" s="17"/>
      <c r="C10" s="17"/>
      <c r="D10" s="17"/>
      <c r="E10" s="23">
        <f>SUM(E6:E9)</f>
        <v>320</v>
      </c>
    </row>
    <row r="11" spans="1:5" x14ac:dyDescent="0.3">
      <c r="A11" s="58" t="s">
        <v>309</v>
      </c>
      <c r="B11" s="58"/>
      <c r="C11" s="58"/>
      <c r="D11" s="58"/>
      <c r="E11" s="59">
        <f>SUM(E10,E5)</f>
        <v>400</v>
      </c>
    </row>
    <row r="12" spans="1:5" x14ac:dyDescent="0.3">
      <c r="E12" s="45"/>
    </row>
    <row r="13" spans="1:5" x14ac:dyDescent="0.3">
      <c r="E13" s="45"/>
    </row>
    <row r="14" spans="1:5" x14ac:dyDescent="0.3">
      <c r="A14" s="61" t="s">
        <v>162</v>
      </c>
      <c r="B14" s="62" t="s">
        <v>307</v>
      </c>
      <c r="C14" s="63" t="s">
        <v>2</v>
      </c>
      <c r="D14" s="63" t="s">
        <v>1</v>
      </c>
      <c r="E14" s="64" t="s">
        <v>306</v>
      </c>
    </row>
    <row r="15" spans="1:5" x14ac:dyDescent="0.3">
      <c r="A15">
        <v>7</v>
      </c>
      <c r="B15" s="57">
        <v>44013</v>
      </c>
      <c r="C15" t="s">
        <v>21</v>
      </c>
      <c r="D15" t="s">
        <v>23</v>
      </c>
      <c r="E15" s="16">
        <v>80</v>
      </c>
    </row>
    <row r="16" spans="1:5" x14ac:dyDescent="0.3">
      <c r="B16" s="57">
        <v>44026</v>
      </c>
      <c r="C16" t="s">
        <v>26</v>
      </c>
      <c r="D16" t="s">
        <v>20</v>
      </c>
      <c r="E16" s="16">
        <v>80</v>
      </c>
    </row>
    <row r="17" spans="1:5" x14ac:dyDescent="0.3">
      <c r="B17" s="57">
        <v>44027</v>
      </c>
      <c r="C17" t="s">
        <v>27</v>
      </c>
      <c r="D17" t="s">
        <v>7</v>
      </c>
      <c r="E17" s="16">
        <v>80</v>
      </c>
    </row>
    <row r="18" spans="1:5" x14ac:dyDescent="0.3">
      <c r="A18" s="17" t="s">
        <v>142</v>
      </c>
      <c r="B18" s="17"/>
      <c r="C18" s="17"/>
      <c r="D18" s="17"/>
      <c r="E18" s="23">
        <f>SUM(E15:E17)</f>
        <v>240</v>
      </c>
    </row>
    <row r="19" spans="1:5" x14ac:dyDescent="0.3">
      <c r="A19">
        <v>8</v>
      </c>
      <c r="B19" s="57">
        <v>44044</v>
      </c>
      <c r="C19" t="s">
        <v>30</v>
      </c>
      <c r="D19" t="s">
        <v>23</v>
      </c>
      <c r="E19" s="16">
        <v>80</v>
      </c>
    </row>
    <row r="20" spans="1:5" x14ac:dyDescent="0.3">
      <c r="B20" s="57">
        <v>44051</v>
      </c>
      <c r="C20" t="s">
        <v>31</v>
      </c>
      <c r="D20" t="s">
        <v>23</v>
      </c>
      <c r="E20" s="16">
        <v>80</v>
      </c>
    </row>
    <row r="21" spans="1:5" x14ac:dyDescent="0.3">
      <c r="C21" t="s">
        <v>32</v>
      </c>
      <c r="D21" t="s">
        <v>23</v>
      </c>
      <c r="E21" s="16">
        <v>80</v>
      </c>
    </row>
    <row r="22" spans="1:5" x14ac:dyDescent="0.3">
      <c r="B22" s="57">
        <v>44053</v>
      </c>
      <c r="C22" t="s">
        <v>33</v>
      </c>
      <c r="D22" t="s">
        <v>35</v>
      </c>
      <c r="E22" s="16">
        <v>80</v>
      </c>
    </row>
    <row r="23" spans="1:5" x14ac:dyDescent="0.3">
      <c r="C23" t="s">
        <v>36</v>
      </c>
      <c r="D23" t="s">
        <v>20</v>
      </c>
      <c r="E23" s="16">
        <v>80</v>
      </c>
    </row>
    <row r="24" spans="1:5" x14ac:dyDescent="0.3">
      <c r="B24" s="57">
        <v>44055</v>
      </c>
      <c r="C24" t="s">
        <v>37</v>
      </c>
      <c r="D24" t="s">
        <v>7</v>
      </c>
      <c r="E24" s="16">
        <v>80</v>
      </c>
    </row>
    <row r="25" spans="1:5" x14ac:dyDescent="0.3">
      <c r="B25" s="57">
        <v>44056</v>
      </c>
      <c r="C25" t="s">
        <v>38</v>
      </c>
      <c r="D25" t="s">
        <v>7</v>
      </c>
      <c r="E25" s="16">
        <v>80</v>
      </c>
    </row>
    <row r="26" spans="1:5" x14ac:dyDescent="0.3">
      <c r="B26" s="57">
        <v>44062</v>
      </c>
      <c r="C26" t="s">
        <v>40</v>
      </c>
      <c r="D26" t="s">
        <v>20</v>
      </c>
      <c r="E26" s="16">
        <v>80</v>
      </c>
    </row>
    <row r="27" spans="1:5" x14ac:dyDescent="0.3">
      <c r="C27" t="s">
        <v>41</v>
      </c>
      <c r="D27" t="s">
        <v>43</v>
      </c>
      <c r="E27" s="16">
        <v>80</v>
      </c>
    </row>
    <row r="28" spans="1:5" x14ac:dyDescent="0.3">
      <c r="B28" s="57">
        <v>44065</v>
      </c>
      <c r="C28" t="s">
        <v>49</v>
      </c>
      <c r="D28" t="s">
        <v>47</v>
      </c>
      <c r="E28" s="16">
        <v>80</v>
      </c>
    </row>
    <row r="29" spans="1:5" x14ac:dyDescent="0.3">
      <c r="C29" t="s">
        <v>50</v>
      </c>
      <c r="D29" t="s">
        <v>52</v>
      </c>
      <c r="E29" s="16">
        <v>80</v>
      </c>
    </row>
    <row r="30" spans="1:5" x14ac:dyDescent="0.3">
      <c r="B30" s="57">
        <v>44067</v>
      </c>
      <c r="C30" t="s">
        <v>53</v>
      </c>
      <c r="D30" t="s">
        <v>20</v>
      </c>
      <c r="E30" s="16">
        <v>80</v>
      </c>
    </row>
    <row r="31" spans="1:5" x14ac:dyDescent="0.3">
      <c r="B31" s="57">
        <v>44068</v>
      </c>
      <c r="C31" t="s">
        <v>55</v>
      </c>
      <c r="D31" t="s">
        <v>58</v>
      </c>
      <c r="E31" s="16">
        <v>80</v>
      </c>
    </row>
    <row r="32" spans="1:5" x14ac:dyDescent="0.3">
      <c r="C32" t="s">
        <v>56</v>
      </c>
      <c r="D32" t="s">
        <v>7</v>
      </c>
      <c r="E32" s="16">
        <v>80</v>
      </c>
    </row>
    <row r="33" spans="1:5" x14ac:dyDescent="0.3">
      <c r="B33" s="57">
        <v>44070</v>
      </c>
      <c r="C33" t="s">
        <v>60</v>
      </c>
      <c r="D33" t="s">
        <v>62</v>
      </c>
      <c r="E33" s="16">
        <v>80</v>
      </c>
    </row>
    <row r="34" spans="1:5" x14ac:dyDescent="0.3">
      <c r="A34" s="17" t="s">
        <v>143</v>
      </c>
      <c r="B34" s="17"/>
      <c r="C34" s="17"/>
      <c r="D34" s="17"/>
      <c r="E34" s="23">
        <f>SUM(E19:E33)</f>
        <v>1200</v>
      </c>
    </row>
    <row r="35" spans="1:5" x14ac:dyDescent="0.3">
      <c r="A35">
        <v>9</v>
      </c>
      <c r="B35" s="57">
        <v>44075</v>
      </c>
      <c r="C35" t="s">
        <v>66</v>
      </c>
      <c r="D35" t="s">
        <v>52</v>
      </c>
      <c r="E35" s="16">
        <v>80</v>
      </c>
    </row>
    <row r="36" spans="1:5" x14ac:dyDescent="0.3">
      <c r="B36" s="57">
        <v>44076</v>
      </c>
      <c r="C36" t="s">
        <v>68</v>
      </c>
      <c r="D36" t="s">
        <v>7</v>
      </c>
      <c r="E36" s="16">
        <v>80</v>
      </c>
    </row>
    <row r="37" spans="1:5" x14ac:dyDescent="0.3">
      <c r="B37" s="57">
        <v>44079</v>
      </c>
      <c r="C37" t="s">
        <v>91</v>
      </c>
      <c r="D37" t="s">
        <v>7</v>
      </c>
      <c r="E37" s="16">
        <v>80</v>
      </c>
    </row>
    <row r="38" spans="1:5" x14ac:dyDescent="0.3">
      <c r="B38" s="57">
        <v>44091</v>
      </c>
      <c r="C38" t="s">
        <v>99</v>
      </c>
      <c r="D38" t="s">
        <v>23</v>
      </c>
      <c r="E38" s="16">
        <v>80</v>
      </c>
    </row>
    <row r="39" spans="1:5" x14ac:dyDescent="0.3">
      <c r="C39" t="s">
        <v>100</v>
      </c>
      <c r="D39" t="s">
        <v>7</v>
      </c>
      <c r="E39" s="16">
        <v>80</v>
      </c>
    </row>
    <row r="40" spans="1:5" x14ac:dyDescent="0.3">
      <c r="B40" s="57">
        <v>44096</v>
      </c>
      <c r="C40" t="s">
        <v>101</v>
      </c>
      <c r="D40" t="s">
        <v>23</v>
      </c>
      <c r="E40" s="16">
        <v>80</v>
      </c>
    </row>
    <row r="41" spans="1:5" x14ac:dyDescent="0.3">
      <c r="B41" s="57">
        <v>44097</v>
      </c>
      <c r="C41" t="s">
        <v>102</v>
      </c>
      <c r="D41" t="s">
        <v>62</v>
      </c>
      <c r="E41" s="16">
        <v>80</v>
      </c>
    </row>
    <row r="42" spans="1:5" x14ac:dyDescent="0.3">
      <c r="C42" t="s">
        <v>103</v>
      </c>
      <c r="D42" t="s">
        <v>7</v>
      </c>
      <c r="E42" s="16">
        <v>80</v>
      </c>
    </row>
    <row r="43" spans="1:5" x14ac:dyDescent="0.3">
      <c r="B43" s="57">
        <v>44100</v>
      </c>
      <c r="C43" t="s">
        <v>105</v>
      </c>
      <c r="D43" t="s">
        <v>7</v>
      </c>
      <c r="E43" s="16">
        <v>80</v>
      </c>
    </row>
    <row r="44" spans="1:5" x14ac:dyDescent="0.3">
      <c r="A44" s="17" t="s">
        <v>144</v>
      </c>
      <c r="B44" s="17"/>
      <c r="C44" s="17"/>
      <c r="D44" s="17"/>
      <c r="E44" s="23">
        <f>SUM(E35:E43)</f>
        <v>720</v>
      </c>
    </row>
    <row r="45" spans="1:5" x14ac:dyDescent="0.3">
      <c r="A45" s="58" t="s">
        <v>309</v>
      </c>
      <c r="B45" s="58"/>
      <c r="C45" s="58"/>
      <c r="D45" s="58"/>
      <c r="E45" s="59">
        <f>SUM(E44,E34,E18)</f>
        <v>2160</v>
      </c>
    </row>
    <row r="46" spans="1:5" x14ac:dyDescent="0.3">
      <c r="E46" s="45"/>
    </row>
    <row r="47" spans="1:5" x14ac:dyDescent="0.3">
      <c r="E47" s="45"/>
    </row>
    <row r="48" spans="1:5" x14ac:dyDescent="0.3">
      <c r="A48" s="65" t="s">
        <v>162</v>
      </c>
      <c r="B48" s="62" t="s">
        <v>307</v>
      </c>
      <c r="C48" s="63" t="s">
        <v>2</v>
      </c>
      <c r="D48" s="63" t="s">
        <v>1</v>
      </c>
      <c r="E48" s="66" t="s">
        <v>306</v>
      </c>
    </row>
    <row r="49" spans="1:5" x14ac:dyDescent="0.3">
      <c r="A49">
        <v>10</v>
      </c>
      <c r="B49" s="57">
        <v>44109</v>
      </c>
      <c r="C49" t="s">
        <v>106</v>
      </c>
      <c r="D49" t="s">
        <v>35</v>
      </c>
      <c r="E49" s="45">
        <v>80</v>
      </c>
    </row>
    <row r="50" spans="1:5" x14ac:dyDescent="0.3">
      <c r="C50" t="s">
        <v>109</v>
      </c>
      <c r="D50" t="s">
        <v>20</v>
      </c>
      <c r="E50" s="16">
        <v>80</v>
      </c>
    </row>
    <row r="51" spans="1:5" x14ac:dyDescent="0.3">
      <c r="B51" s="57">
        <v>44112</v>
      </c>
      <c r="C51" t="s">
        <v>110</v>
      </c>
      <c r="D51" t="s">
        <v>23</v>
      </c>
      <c r="E51" s="16">
        <v>80</v>
      </c>
    </row>
    <row r="52" spans="1:5" x14ac:dyDescent="0.3">
      <c r="B52" s="57">
        <v>44116</v>
      </c>
      <c r="C52" t="s">
        <v>112</v>
      </c>
      <c r="D52" t="s">
        <v>23</v>
      </c>
      <c r="E52" s="16">
        <v>80</v>
      </c>
    </row>
    <row r="53" spans="1:5" x14ac:dyDescent="0.3">
      <c r="C53" t="s">
        <v>116</v>
      </c>
      <c r="D53" t="s">
        <v>7</v>
      </c>
      <c r="E53" s="16">
        <v>80</v>
      </c>
    </row>
    <row r="54" spans="1:5" x14ac:dyDescent="0.3">
      <c r="B54" s="57">
        <v>44123</v>
      </c>
      <c r="C54" t="s">
        <v>117</v>
      </c>
      <c r="D54" t="s">
        <v>47</v>
      </c>
      <c r="E54" s="16">
        <v>80</v>
      </c>
    </row>
    <row r="55" spans="1:5" x14ac:dyDescent="0.3">
      <c r="B55" s="57">
        <v>44121</v>
      </c>
      <c r="C55" t="s">
        <v>118</v>
      </c>
      <c r="D55" t="s">
        <v>20</v>
      </c>
      <c r="E55" s="16">
        <v>80</v>
      </c>
    </row>
    <row r="56" spans="1:5" x14ac:dyDescent="0.3">
      <c r="C56" t="s">
        <v>120</v>
      </c>
      <c r="D56" t="s">
        <v>20</v>
      </c>
      <c r="E56" s="16">
        <v>80</v>
      </c>
    </row>
    <row r="57" spans="1:5" x14ac:dyDescent="0.3">
      <c r="C57" t="s">
        <v>122</v>
      </c>
      <c r="D57" t="s">
        <v>7</v>
      </c>
      <c r="E57" s="16">
        <v>80</v>
      </c>
    </row>
    <row r="58" spans="1:5" x14ac:dyDescent="0.3">
      <c r="C58" t="s">
        <v>123</v>
      </c>
      <c r="D58" t="s">
        <v>35</v>
      </c>
      <c r="E58" s="16">
        <v>80</v>
      </c>
    </row>
    <row r="59" spans="1:5" x14ac:dyDescent="0.3">
      <c r="B59" s="57">
        <v>44125</v>
      </c>
      <c r="C59" t="s">
        <v>126</v>
      </c>
      <c r="D59" t="s">
        <v>35</v>
      </c>
      <c r="E59" s="16">
        <v>80</v>
      </c>
    </row>
    <row r="60" spans="1:5" x14ac:dyDescent="0.3">
      <c r="C60" t="s">
        <v>127</v>
      </c>
      <c r="D60" t="s">
        <v>62</v>
      </c>
      <c r="E60" s="16">
        <v>80</v>
      </c>
    </row>
    <row r="61" spans="1:5" x14ac:dyDescent="0.3">
      <c r="B61" s="57">
        <v>44130</v>
      </c>
      <c r="C61" t="s">
        <v>130</v>
      </c>
      <c r="D61" t="s">
        <v>20</v>
      </c>
      <c r="E61" s="16">
        <v>80</v>
      </c>
    </row>
    <row r="62" spans="1:5" x14ac:dyDescent="0.3">
      <c r="B62" s="57">
        <v>44135</v>
      </c>
      <c r="C62" t="s">
        <v>148</v>
      </c>
      <c r="D62" t="s">
        <v>7</v>
      </c>
      <c r="E62" s="16">
        <v>80</v>
      </c>
    </row>
    <row r="63" spans="1:5" x14ac:dyDescent="0.3">
      <c r="C63" t="s">
        <v>149</v>
      </c>
      <c r="D63" t="s">
        <v>35</v>
      </c>
      <c r="E63" s="16">
        <v>80</v>
      </c>
    </row>
    <row r="64" spans="1:5" x14ac:dyDescent="0.3">
      <c r="A64" s="17" t="s">
        <v>145</v>
      </c>
      <c r="B64" s="17"/>
      <c r="C64" s="17"/>
      <c r="D64" s="17"/>
      <c r="E64" s="23">
        <f>SUM(E49:E63)</f>
        <v>1200</v>
      </c>
    </row>
    <row r="65" spans="1:5" x14ac:dyDescent="0.3">
      <c r="A65">
        <v>11</v>
      </c>
      <c r="B65" s="57">
        <v>44144</v>
      </c>
      <c r="C65" t="s">
        <v>151</v>
      </c>
      <c r="D65" t="s">
        <v>43</v>
      </c>
      <c r="E65" s="16">
        <v>80</v>
      </c>
    </row>
    <row r="66" spans="1:5" x14ac:dyDescent="0.3">
      <c r="B66" s="57">
        <v>44145</v>
      </c>
      <c r="C66" t="s">
        <v>153</v>
      </c>
      <c r="D66" t="s">
        <v>7</v>
      </c>
      <c r="E66" s="16">
        <v>80</v>
      </c>
    </row>
    <row r="67" spans="1:5" x14ac:dyDescent="0.3">
      <c r="C67" t="s">
        <v>154</v>
      </c>
      <c r="D67" t="s">
        <v>35</v>
      </c>
      <c r="E67" s="16">
        <v>80</v>
      </c>
    </row>
    <row r="68" spans="1:5" ht="15" customHeight="1" x14ac:dyDescent="0.3">
      <c r="B68" s="57">
        <v>44146</v>
      </c>
      <c r="C68" t="s">
        <v>155</v>
      </c>
      <c r="D68" t="s">
        <v>58</v>
      </c>
      <c r="E68" s="16">
        <v>80</v>
      </c>
    </row>
    <row r="69" spans="1:5" ht="15" customHeight="1" x14ac:dyDescent="0.3">
      <c r="B69" s="57">
        <v>44153</v>
      </c>
      <c r="C69" t="s">
        <v>165</v>
      </c>
      <c r="D69" t="s">
        <v>7</v>
      </c>
      <c r="E69" s="16">
        <v>80</v>
      </c>
    </row>
    <row r="70" spans="1:5" ht="15" customHeight="1" x14ac:dyDescent="0.3">
      <c r="B70" s="57">
        <v>44159</v>
      </c>
      <c r="C70" t="s">
        <v>166</v>
      </c>
      <c r="D70" t="s">
        <v>7</v>
      </c>
      <c r="E70" s="16">
        <v>80</v>
      </c>
    </row>
    <row r="71" spans="1:5" ht="15" customHeight="1" x14ac:dyDescent="0.3">
      <c r="B71" s="57">
        <v>44155</v>
      </c>
      <c r="C71" t="s">
        <v>167</v>
      </c>
      <c r="D71" t="s">
        <v>62</v>
      </c>
      <c r="E71" s="16">
        <v>80</v>
      </c>
    </row>
    <row r="72" spans="1:5" ht="15" customHeight="1" x14ac:dyDescent="0.3">
      <c r="B72" s="57">
        <v>44156</v>
      </c>
      <c r="C72" t="s">
        <v>170</v>
      </c>
      <c r="D72" t="s">
        <v>52</v>
      </c>
      <c r="E72" s="16">
        <v>80</v>
      </c>
    </row>
    <row r="73" spans="1:5" ht="15" customHeight="1" x14ac:dyDescent="0.3">
      <c r="B73" s="57">
        <v>44158</v>
      </c>
      <c r="C73" t="s">
        <v>172</v>
      </c>
      <c r="D73" t="s">
        <v>35</v>
      </c>
      <c r="E73" s="16">
        <v>80</v>
      </c>
    </row>
    <row r="74" spans="1:5" ht="15" customHeight="1" x14ac:dyDescent="0.3">
      <c r="B74" s="57">
        <v>44159</v>
      </c>
      <c r="C74" t="s">
        <v>175</v>
      </c>
      <c r="D74" t="s">
        <v>173</v>
      </c>
      <c r="E74" s="16">
        <v>80</v>
      </c>
    </row>
    <row r="75" spans="1:5" ht="15" customHeight="1" x14ac:dyDescent="0.3">
      <c r="C75" t="s">
        <v>179</v>
      </c>
      <c r="D75" t="s">
        <v>20</v>
      </c>
      <c r="E75" s="16">
        <v>80</v>
      </c>
    </row>
    <row r="76" spans="1:5" ht="15" customHeight="1" x14ac:dyDescent="0.3">
      <c r="B76" s="57">
        <v>44162</v>
      </c>
      <c r="C76" t="s">
        <v>181</v>
      </c>
      <c r="D76" t="s">
        <v>7</v>
      </c>
      <c r="E76" s="16">
        <v>80</v>
      </c>
    </row>
    <row r="77" spans="1:5" ht="15" customHeight="1" x14ac:dyDescent="0.3">
      <c r="B77" s="57">
        <v>44163</v>
      </c>
      <c r="C77" t="s">
        <v>182</v>
      </c>
      <c r="D77" t="s">
        <v>58</v>
      </c>
      <c r="E77" s="16">
        <v>80</v>
      </c>
    </row>
    <row r="78" spans="1:5" ht="15" customHeight="1" x14ac:dyDescent="0.3">
      <c r="B78" s="57">
        <v>44165</v>
      </c>
      <c r="C78" t="s">
        <v>183</v>
      </c>
      <c r="D78" t="s">
        <v>52</v>
      </c>
      <c r="E78" s="16">
        <v>80</v>
      </c>
    </row>
    <row r="79" spans="1:5" ht="15" customHeight="1" x14ac:dyDescent="0.3">
      <c r="C79" t="s">
        <v>334</v>
      </c>
      <c r="D79" t="s">
        <v>62</v>
      </c>
      <c r="E79" s="16">
        <v>80</v>
      </c>
    </row>
    <row r="80" spans="1:5" ht="15" customHeight="1" x14ac:dyDescent="0.3">
      <c r="A80" s="17" t="s">
        <v>160</v>
      </c>
      <c r="B80" s="17"/>
      <c r="C80" s="17"/>
      <c r="D80" s="17"/>
      <c r="E80" s="23">
        <f>SUM(E65:E79)</f>
        <v>1200</v>
      </c>
    </row>
    <row r="81" spans="1:5" ht="15" customHeight="1" x14ac:dyDescent="0.3">
      <c r="A81">
        <v>12</v>
      </c>
      <c r="B81" s="57">
        <v>44170</v>
      </c>
      <c r="C81" t="s">
        <v>209</v>
      </c>
      <c r="D81" t="s">
        <v>223</v>
      </c>
      <c r="E81" s="16">
        <v>80</v>
      </c>
    </row>
    <row r="82" spans="1:5" ht="15" customHeight="1" x14ac:dyDescent="0.3">
      <c r="B82" s="57">
        <v>44180</v>
      </c>
      <c r="C82" t="s">
        <v>210</v>
      </c>
      <c r="D82" t="s">
        <v>7</v>
      </c>
      <c r="E82" s="16">
        <v>80</v>
      </c>
    </row>
    <row r="83" spans="1:5" ht="15" customHeight="1" x14ac:dyDescent="0.3">
      <c r="B83" s="57">
        <v>44191</v>
      </c>
      <c r="C83" t="s">
        <v>211</v>
      </c>
      <c r="D83" t="s">
        <v>23</v>
      </c>
      <c r="E83" s="16">
        <v>80</v>
      </c>
    </row>
    <row r="84" spans="1:5" ht="15" customHeight="1" x14ac:dyDescent="0.3">
      <c r="B84" s="57">
        <v>44195</v>
      </c>
      <c r="C84" t="s">
        <v>216</v>
      </c>
      <c r="D84" t="s">
        <v>20</v>
      </c>
      <c r="E84" s="16">
        <v>80</v>
      </c>
    </row>
    <row r="85" spans="1:5" ht="15" customHeight="1" x14ac:dyDescent="0.3">
      <c r="B85" s="57">
        <v>44196</v>
      </c>
      <c r="C85" t="s">
        <v>217</v>
      </c>
      <c r="D85" t="s">
        <v>62</v>
      </c>
      <c r="E85" s="16">
        <v>80</v>
      </c>
    </row>
    <row r="86" spans="1:5" x14ac:dyDescent="0.3">
      <c r="A86" s="17" t="s">
        <v>222</v>
      </c>
      <c r="B86" s="17"/>
      <c r="C86" s="17"/>
      <c r="D86" s="17"/>
      <c r="E86" s="23">
        <f>SUM(E81:E85)</f>
        <v>400</v>
      </c>
    </row>
    <row r="87" spans="1:5" x14ac:dyDescent="0.3">
      <c r="A87" s="58" t="s">
        <v>309</v>
      </c>
      <c r="B87" s="58"/>
      <c r="C87" s="58"/>
      <c r="D87" s="58"/>
      <c r="E87" s="59">
        <f>SUM(E86,E80,E64)</f>
        <v>2800</v>
      </c>
    </row>
    <row r="88" spans="1:5" x14ac:dyDescent="0.3">
      <c r="E88" s="45"/>
    </row>
    <row r="89" spans="1:5" x14ac:dyDescent="0.3">
      <c r="E89" s="45"/>
    </row>
    <row r="90" spans="1:5" x14ac:dyDescent="0.3">
      <c r="A90" s="65" t="s">
        <v>162</v>
      </c>
      <c r="B90" s="62" t="s">
        <v>307</v>
      </c>
      <c r="C90" s="63" t="s">
        <v>2</v>
      </c>
      <c r="D90" s="63" t="s">
        <v>1</v>
      </c>
      <c r="E90" s="66" t="s">
        <v>306</v>
      </c>
    </row>
    <row r="91" spans="1:5" x14ac:dyDescent="0.3">
      <c r="A91">
        <v>1</v>
      </c>
      <c r="B91" s="57">
        <v>44200</v>
      </c>
      <c r="C91" t="s">
        <v>226</v>
      </c>
      <c r="D91" t="s">
        <v>228</v>
      </c>
      <c r="E91" s="45">
        <v>80</v>
      </c>
    </row>
    <row r="92" spans="1:5" x14ac:dyDescent="0.3">
      <c r="B92" s="57">
        <v>44207</v>
      </c>
      <c r="C92" t="s">
        <v>239</v>
      </c>
      <c r="D92" t="s">
        <v>62</v>
      </c>
      <c r="E92" s="45">
        <v>80</v>
      </c>
    </row>
    <row r="93" spans="1:5" x14ac:dyDescent="0.3">
      <c r="B93" s="57">
        <v>44204</v>
      </c>
      <c r="C93" t="s">
        <v>242</v>
      </c>
      <c r="D93" t="s">
        <v>228</v>
      </c>
      <c r="E93" s="45">
        <v>80</v>
      </c>
    </row>
    <row r="94" spans="1:5" x14ac:dyDescent="0.3">
      <c r="B94" s="57">
        <v>44205</v>
      </c>
      <c r="C94" t="s">
        <v>244</v>
      </c>
      <c r="D94" t="s">
        <v>20</v>
      </c>
      <c r="E94" s="45">
        <v>80</v>
      </c>
    </row>
    <row r="95" spans="1:5" x14ac:dyDescent="0.3">
      <c r="B95" s="57">
        <v>44214</v>
      </c>
      <c r="C95" t="s">
        <v>246</v>
      </c>
      <c r="D95" t="s">
        <v>228</v>
      </c>
      <c r="E95" s="45">
        <v>80</v>
      </c>
    </row>
    <row r="96" spans="1:5" x14ac:dyDescent="0.3">
      <c r="B96" s="57">
        <v>44223</v>
      </c>
      <c r="C96" t="s">
        <v>250</v>
      </c>
      <c r="D96" t="s">
        <v>20</v>
      </c>
      <c r="E96" s="45">
        <v>80</v>
      </c>
    </row>
    <row r="97" spans="1:7" x14ac:dyDescent="0.3">
      <c r="B97" s="57">
        <v>44225</v>
      </c>
      <c r="C97" t="s">
        <v>252</v>
      </c>
      <c r="D97" t="s">
        <v>7</v>
      </c>
      <c r="E97" s="45">
        <v>80</v>
      </c>
    </row>
    <row r="98" spans="1:7" x14ac:dyDescent="0.3">
      <c r="C98" t="s">
        <v>253</v>
      </c>
      <c r="D98" t="s">
        <v>62</v>
      </c>
      <c r="E98" s="45">
        <v>80</v>
      </c>
    </row>
    <row r="99" spans="1:7" x14ac:dyDescent="0.3">
      <c r="A99" s="17" t="s">
        <v>254</v>
      </c>
      <c r="B99" s="17"/>
      <c r="C99" s="17"/>
      <c r="D99" s="17"/>
      <c r="E99" s="23">
        <f>SUM(E91:E98)</f>
        <v>640</v>
      </c>
    </row>
    <row r="100" spans="1:7" x14ac:dyDescent="0.3">
      <c r="A100">
        <v>2</v>
      </c>
      <c r="B100" s="57">
        <v>44230</v>
      </c>
      <c r="C100" t="s">
        <v>256</v>
      </c>
      <c r="D100" t="s">
        <v>262</v>
      </c>
      <c r="E100" s="47">
        <v>80</v>
      </c>
    </row>
    <row r="101" spans="1:7" x14ac:dyDescent="0.3">
      <c r="B101" s="57">
        <v>44229</v>
      </c>
      <c r="C101" t="s">
        <v>260</v>
      </c>
      <c r="D101" t="s">
        <v>35</v>
      </c>
      <c r="E101" s="47">
        <v>80</v>
      </c>
    </row>
    <row r="102" spans="1:7" x14ac:dyDescent="0.3">
      <c r="B102" s="57">
        <v>44233</v>
      </c>
      <c r="C102" t="s">
        <v>261</v>
      </c>
      <c r="D102" t="s">
        <v>262</v>
      </c>
      <c r="E102" s="47">
        <v>80</v>
      </c>
    </row>
    <row r="103" spans="1:7" x14ac:dyDescent="0.3">
      <c r="B103" s="57">
        <v>44236</v>
      </c>
      <c r="C103" t="s">
        <v>265</v>
      </c>
      <c r="D103" t="s">
        <v>228</v>
      </c>
      <c r="E103" s="47">
        <v>80</v>
      </c>
    </row>
    <row r="104" spans="1:7" x14ac:dyDescent="0.3">
      <c r="B104" s="57">
        <v>44244</v>
      </c>
      <c r="C104" t="s">
        <v>266</v>
      </c>
      <c r="D104" t="s">
        <v>35</v>
      </c>
      <c r="E104" s="47">
        <v>80</v>
      </c>
    </row>
    <row r="105" spans="1:7" x14ac:dyDescent="0.3">
      <c r="B105" s="57">
        <v>44246</v>
      </c>
      <c r="C105" t="s">
        <v>273</v>
      </c>
      <c r="D105" t="s">
        <v>7</v>
      </c>
      <c r="E105" s="47">
        <v>80</v>
      </c>
    </row>
    <row r="106" spans="1:7" x14ac:dyDescent="0.3">
      <c r="B106" s="57">
        <v>44249</v>
      </c>
      <c r="C106" t="s">
        <v>274</v>
      </c>
      <c r="D106" t="s">
        <v>23</v>
      </c>
      <c r="E106" s="47">
        <v>80</v>
      </c>
    </row>
    <row r="107" spans="1:7" x14ac:dyDescent="0.3">
      <c r="B107" s="57">
        <v>44250</v>
      </c>
      <c r="C107" t="s">
        <v>275</v>
      </c>
      <c r="D107" t="s">
        <v>52</v>
      </c>
      <c r="E107" s="47">
        <v>80</v>
      </c>
    </row>
    <row r="108" spans="1:7" x14ac:dyDescent="0.3">
      <c r="B108" s="57">
        <v>44253</v>
      </c>
      <c r="C108" t="s">
        <v>278</v>
      </c>
      <c r="D108" t="s">
        <v>280</v>
      </c>
      <c r="E108" s="47">
        <v>80</v>
      </c>
    </row>
    <row r="109" spans="1:7" x14ac:dyDescent="0.3">
      <c r="A109" s="17" t="s">
        <v>272</v>
      </c>
      <c r="B109" s="17"/>
      <c r="C109" s="17"/>
      <c r="D109" s="17"/>
      <c r="E109" s="23">
        <f>SUM(E100:E108)</f>
        <v>720</v>
      </c>
    </row>
    <row r="110" spans="1:7" x14ac:dyDescent="0.3">
      <c r="A110" s="58" t="s">
        <v>309</v>
      </c>
      <c r="B110" s="58"/>
      <c r="C110" s="58"/>
      <c r="D110" s="58"/>
      <c r="E110" s="59">
        <f>SUM(E109,E99)</f>
        <v>1360</v>
      </c>
      <c r="G110" s="60">
        <f>SUM(E11+E45+E87+E110)</f>
        <v>6720</v>
      </c>
    </row>
    <row r="111" spans="1:7" x14ac:dyDescent="0.3">
      <c r="E111" s="45"/>
    </row>
    <row r="113" spans="1:5" x14ac:dyDescent="0.3">
      <c r="A113" s="65" t="s">
        <v>162</v>
      </c>
      <c r="B113" s="62" t="s">
        <v>307</v>
      </c>
      <c r="C113" s="63" t="s">
        <v>2</v>
      </c>
      <c r="D113" s="63" t="s">
        <v>1</v>
      </c>
      <c r="E113" s="66" t="s">
        <v>306</v>
      </c>
    </row>
    <row r="114" spans="1:5" x14ac:dyDescent="0.3">
      <c r="A114">
        <v>3</v>
      </c>
      <c r="B114" s="57">
        <v>44263</v>
      </c>
      <c r="C114" t="s">
        <v>285</v>
      </c>
      <c r="D114" t="s">
        <v>23</v>
      </c>
      <c r="E114" s="47">
        <v>80</v>
      </c>
    </row>
    <row r="115" spans="1:5" x14ac:dyDescent="0.3">
      <c r="B115" s="57">
        <v>44265</v>
      </c>
      <c r="C115" t="s">
        <v>315</v>
      </c>
      <c r="D115" t="s">
        <v>289</v>
      </c>
      <c r="E115" s="47">
        <v>80</v>
      </c>
    </row>
    <row r="116" spans="1:5" ht="15" customHeight="1" x14ac:dyDescent="0.3">
      <c r="B116" s="57">
        <v>44266</v>
      </c>
      <c r="C116" t="s">
        <v>316</v>
      </c>
      <c r="D116" t="s">
        <v>58</v>
      </c>
      <c r="E116" s="47">
        <v>80</v>
      </c>
    </row>
    <row r="117" spans="1:5" ht="15" customHeight="1" x14ac:dyDescent="0.3">
      <c r="B117" s="57">
        <v>44278</v>
      </c>
      <c r="C117" t="s">
        <v>318</v>
      </c>
      <c r="D117" t="s">
        <v>23</v>
      </c>
      <c r="E117" s="47">
        <v>80</v>
      </c>
    </row>
    <row r="118" spans="1:5" ht="15" customHeight="1" x14ac:dyDescent="0.3">
      <c r="B118" s="57">
        <v>44279</v>
      </c>
      <c r="C118" t="s">
        <v>319</v>
      </c>
      <c r="D118" t="s">
        <v>58</v>
      </c>
      <c r="E118" s="47">
        <v>80</v>
      </c>
    </row>
    <row r="119" spans="1:5" ht="15" customHeight="1" x14ac:dyDescent="0.3">
      <c r="C119" t="s">
        <v>320</v>
      </c>
      <c r="D119" t="s">
        <v>62</v>
      </c>
      <c r="E119" s="47">
        <v>80</v>
      </c>
    </row>
    <row r="120" spans="1:5" ht="15" customHeight="1" x14ac:dyDescent="0.3">
      <c r="B120" s="57">
        <v>44280</v>
      </c>
      <c r="C120" t="s">
        <v>321</v>
      </c>
      <c r="D120" t="s">
        <v>262</v>
      </c>
      <c r="E120" s="47">
        <v>80</v>
      </c>
    </row>
    <row r="121" spans="1:5" ht="15" customHeight="1" x14ac:dyDescent="0.3">
      <c r="B121" s="57">
        <v>44285</v>
      </c>
      <c r="C121" t="s">
        <v>322</v>
      </c>
      <c r="D121" t="s">
        <v>23</v>
      </c>
      <c r="E121" s="47">
        <v>80</v>
      </c>
    </row>
    <row r="122" spans="1:5" x14ac:dyDescent="0.3">
      <c r="A122" s="17" t="s">
        <v>597</v>
      </c>
      <c r="B122" s="17"/>
      <c r="C122" s="17"/>
      <c r="D122" s="17"/>
      <c r="E122" s="22">
        <f>SUM(E114:E121)</f>
        <v>640</v>
      </c>
    </row>
    <row r="123" spans="1:5" x14ac:dyDescent="0.3">
      <c r="A123">
        <v>4</v>
      </c>
      <c r="B123" s="57">
        <v>44287</v>
      </c>
      <c r="C123" t="s">
        <v>333</v>
      </c>
      <c r="D123" t="s">
        <v>20</v>
      </c>
      <c r="E123" s="47">
        <v>100</v>
      </c>
    </row>
    <row r="124" spans="1:5" x14ac:dyDescent="0.3">
      <c r="B124" s="57">
        <v>44294</v>
      </c>
      <c r="C124" t="s">
        <v>325</v>
      </c>
      <c r="D124" t="s">
        <v>280</v>
      </c>
      <c r="E124" s="47">
        <v>80</v>
      </c>
    </row>
    <row r="125" spans="1:5" x14ac:dyDescent="0.3">
      <c r="C125" t="s">
        <v>326</v>
      </c>
      <c r="D125" t="s">
        <v>62</v>
      </c>
      <c r="E125" s="47">
        <v>80</v>
      </c>
    </row>
    <row r="126" spans="1:5" x14ac:dyDescent="0.3">
      <c r="B126" s="57">
        <v>44295</v>
      </c>
      <c r="C126" t="s">
        <v>327</v>
      </c>
      <c r="D126" t="s">
        <v>7</v>
      </c>
      <c r="E126" s="47">
        <v>80</v>
      </c>
    </row>
    <row r="127" spans="1:5" x14ac:dyDescent="0.3">
      <c r="B127" s="57">
        <v>44313</v>
      </c>
      <c r="C127" t="s">
        <v>328</v>
      </c>
      <c r="D127" t="s">
        <v>58</v>
      </c>
      <c r="E127" s="47">
        <v>80</v>
      </c>
    </row>
    <row r="128" spans="1:5" x14ac:dyDescent="0.3">
      <c r="B128" s="57">
        <v>44315</v>
      </c>
      <c r="C128" t="s">
        <v>331</v>
      </c>
      <c r="D128" t="s">
        <v>62</v>
      </c>
      <c r="E128" s="47">
        <v>80</v>
      </c>
    </row>
    <row r="129" spans="1:5" x14ac:dyDescent="0.3">
      <c r="A129" s="17" t="s">
        <v>596</v>
      </c>
      <c r="B129" s="17"/>
      <c r="C129" s="17"/>
      <c r="D129" s="17"/>
      <c r="E129" s="23">
        <f>SUM(E123:E128)</f>
        <v>500</v>
      </c>
    </row>
    <row r="130" spans="1:5" x14ac:dyDescent="0.3">
      <c r="A130">
        <v>5</v>
      </c>
      <c r="B130" s="57">
        <v>44319</v>
      </c>
      <c r="C130" t="s">
        <v>329</v>
      </c>
      <c r="D130" t="s">
        <v>23</v>
      </c>
      <c r="E130" s="45">
        <v>80</v>
      </c>
    </row>
    <row r="131" spans="1:5" x14ac:dyDescent="0.3">
      <c r="B131" s="57">
        <v>44322</v>
      </c>
      <c r="C131" t="s">
        <v>337</v>
      </c>
      <c r="D131" t="s">
        <v>35</v>
      </c>
      <c r="E131" s="45">
        <v>80</v>
      </c>
    </row>
    <row r="132" spans="1:5" x14ac:dyDescent="0.3">
      <c r="B132" s="57">
        <v>44323</v>
      </c>
      <c r="C132" t="s">
        <v>338</v>
      </c>
      <c r="D132" t="s">
        <v>7</v>
      </c>
      <c r="E132" s="45">
        <v>80</v>
      </c>
    </row>
    <row r="133" spans="1:5" x14ac:dyDescent="0.3">
      <c r="B133" s="57" t="s">
        <v>353</v>
      </c>
      <c r="C133" t="s">
        <v>352</v>
      </c>
      <c r="D133" t="s">
        <v>35</v>
      </c>
      <c r="E133" s="45">
        <v>100</v>
      </c>
    </row>
    <row r="134" spans="1:5" x14ac:dyDescent="0.3">
      <c r="B134" s="57">
        <v>44337</v>
      </c>
      <c r="C134" t="s">
        <v>341</v>
      </c>
      <c r="D134" t="s">
        <v>20</v>
      </c>
      <c r="E134" s="45">
        <v>80</v>
      </c>
    </row>
    <row r="135" spans="1:5" x14ac:dyDescent="0.3">
      <c r="B135" s="57">
        <v>44337</v>
      </c>
      <c r="C135" t="s">
        <v>317</v>
      </c>
      <c r="D135" t="s">
        <v>228</v>
      </c>
      <c r="E135" s="45">
        <v>80</v>
      </c>
    </row>
    <row r="136" spans="1:5" x14ac:dyDescent="0.3">
      <c r="A136" s="17" t="s">
        <v>594</v>
      </c>
      <c r="B136" s="17"/>
      <c r="C136" s="17"/>
      <c r="D136" s="17"/>
      <c r="E136" s="23">
        <f>SUM(E130:E135)</f>
        <v>500</v>
      </c>
    </row>
    <row r="137" spans="1:5" x14ac:dyDescent="0.3">
      <c r="A137">
        <v>6</v>
      </c>
      <c r="B137" s="57">
        <v>44348</v>
      </c>
      <c r="C137" t="s">
        <v>361</v>
      </c>
      <c r="D137" t="s">
        <v>62</v>
      </c>
      <c r="E137" s="45">
        <v>100</v>
      </c>
    </row>
    <row r="138" spans="1:5" x14ac:dyDescent="0.3">
      <c r="B138" s="57">
        <v>44348</v>
      </c>
      <c r="C138" t="s">
        <v>362</v>
      </c>
      <c r="D138" t="s">
        <v>58</v>
      </c>
      <c r="E138" s="45">
        <v>100</v>
      </c>
    </row>
    <row r="139" spans="1:5" x14ac:dyDescent="0.3">
      <c r="A139" s="17" t="s">
        <v>593</v>
      </c>
      <c r="B139" s="17"/>
      <c r="C139" s="17"/>
      <c r="D139" s="17"/>
      <c r="E139" s="23">
        <f>SUM(E137:E138)</f>
        <v>200</v>
      </c>
    </row>
    <row r="140" spans="1:5" x14ac:dyDescent="0.3">
      <c r="A140" s="58" t="s">
        <v>755</v>
      </c>
      <c r="B140" s="58"/>
      <c r="C140" s="58"/>
      <c r="D140" s="58"/>
      <c r="E140" s="59">
        <f>SUM(E139,E136,E129,E122)</f>
        <v>1840</v>
      </c>
    </row>
    <row r="141" spans="1:5" x14ac:dyDescent="0.3">
      <c r="E141" s="45"/>
    </row>
    <row r="142" spans="1:5" x14ac:dyDescent="0.3">
      <c r="A142" s="65" t="s">
        <v>162</v>
      </c>
      <c r="B142" s="62" t="s">
        <v>307</v>
      </c>
      <c r="C142" s="63" t="s">
        <v>2</v>
      </c>
      <c r="D142" s="101" t="s">
        <v>1</v>
      </c>
      <c r="E142" s="66" t="s">
        <v>306</v>
      </c>
    </row>
    <row r="143" spans="1:5" x14ac:dyDescent="0.3">
      <c r="A143">
        <v>9</v>
      </c>
      <c r="B143" s="57">
        <v>44440</v>
      </c>
      <c r="C143" t="s">
        <v>363</v>
      </c>
      <c r="D143" t="s">
        <v>365</v>
      </c>
      <c r="E143" s="45">
        <v>80</v>
      </c>
    </row>
    <row r="144" spans="1:5" x14ac:dyDescent="0.3">
      <c r="B144" s="57">
        <v>44440</v>
      </c>
      <c r="C144" t="s">
        <v>467</v>
      </c>
      <c r="D144" t="s">
        <v>35</v>
      </c>
      <c r="E144" s="45">
        <v>90</v>
      </c>
    </row>
    <row r="145" spans="1:5" x14ac:dyDescent="0.3">
      <c r="B145" s="57">
        <v>44440</v>
      </c>
      <c r="C145" t="s">
        <v>369</v>
      </c>
      <c r="D145" t="s">
        <v>23</v>
      </c>
      <c r="E145" s="45">
        <v>80</v>
      </c>
    </row>
    <row r="146" spans="1:5" x14ac:dyDescent="0.3">
      <c r="B146" s="57">
        <v>44440</v>
      </c>
      <c r="C146" t="s">
        <v>370</v>
      </c>
      <c r="D146" t="s">
        <v>14</v>
      </c>
      <c r="E146" s="45">
        <v>80</v>
      </c>
    </row>
    <row r="147" spans="1:5" x14ac:dyDescent="0.3">
      <c r="B147" s="57">
        <v>44453</v>
      </c>
      <c r="C147" t="s">
        <v>371</v>
      </c>
      <c r="D147" t="s">
        <v>20</v>
      </c>
      <c r="E147" s="45">
        <v>80</v>
      </c>
    </row>
    <row r="148" spans="1:5" x14ac:dyDescent="0.3">
      <c r="B148" s="57">
        <v>44453</v>
      </c>
      <c r="C148" t="s">
        <v>372</v>
      </c>
      <c r="D148" t="s">
        <v>62</v>
      </c>
      <c r="E148" s="45">
        <v>80</v>
      </c>
    </row>
    <row r="149" spans="1:5" x14ac:dyDescent="0.3">
      <c r="B149" s="57">
        <v>44460</v>
      </c>
      <c r="C149" t="s">
        <v>373</v>
      </c>
      <c r="D149" t="s">
        <v>375</v>
      </c>
      <c r="E149" s="45">
        <v>80</v>
      </c>
    </row>
    <row r="150" spans="1:5" x14ac:dyDescent="0.3">
      <c r="B150" s="57">
        <v>44464</v>
      </c>
      <c r="C150" t="s">
        <v>376</v>
      </c>
      <c r="D150" t="s">
        <v>7</v>
      </c>
      <c r="E150" s="45">
        <v>80</v>
      </c>
    </row>
    <row r="151" spans="1:5" ht="13.95" customHeight="1" x14ac:dyDescent="0.3">
      <c r="B151" t="s">
        <v>756</v>
      </c>
      <c r="C151" t="s">
        <v>466</v>
      </c>
      <c r="D151" t="s">
        <v>23</v>
      </c>
      <c r="E151" s="45">
        <v>100</v>
      </c>
    </row>
    <row r="152" spans="1:5" ht="13.95" customHeight="1" x14ac:dyDescent="0.3">
      <c r="B152" s="57">
        <v>44467</v>
      </c>
      <c r="C152" t="s">
        <v>379</v>
      </c>
      <c r="D152" t="s">
        <v>35</v>
      </c>
      <c r="E152" s="45">
        <v>80</v>
      </c>
    </row>
    <row r="153" spans="1:5" ht="13.95" customHeight="1" x14ac:dyDescent="0.3">
      <c r="A153" s="17" t="s">
        <v>595</v>
      </c>
      <c r="B153" s="17"/>
      <c r="C153" s="17"/>
      <c r="D153" s="17"/>
      <c r="E153" s="23">
        <f>SUM(E143:E152)</f>
        <v>830</v>
      </c>
    </row>
    <row r="154" spans="1:5" x14ac:dyDescent="0.3">
      <c r="A154">
        <v>10</v>
      </c>
      <c r="B154" s="57">
        <v>44470</v>
      </c>
      <c r="C154" t="s">
        <v>397</v>
      </c>
      <c r="D154" t="s">
        <v>43</v>
      </c>
      <c r="E154" s="45">
        <v>80</v>
      </c>
    </row>
    <row r="155" spans="1:5" x14ac:dyDescent="0.3">
      <c r="B155" s="57">
        <v>44471</v>
      </c>
      <c r="C155" t="s">
        <v>585</v>
      </c>
      <c r="D155" t="s">
        <v>400</v>
      </c>
      <c r="E155" s="45">
        <v>90</v>
      </c>
    </row>
    <row r="156" spans="1:5" x14ac:dyDescent="0.3">
      <c r="B156" s="57">
        <v>44474</v>
      </c>
      <c r="C156" t="s">
        <v>402</v>
      </c>
      <c r="D156" t="s">
        <v>62</v>
      </c>
      <c r="E156" s="45">
        <v>80</v>
      </c>
    </row>
    <row r="157" spans="1:5" x14ac:dyDescent="0.3">
      <c r="B157" s="57">
        <v>44476</v>
      </c>
      <c r="C157" t="s">
        <v>403</v>
      </c>
      <c r="D157" t="s">
        <v>20</v>
      </c>
      <c r="E157" s="45">
        <v>80</v>
      </c>
    </row>
    <row r="158" spans="1:5" x14ac:dyDescent="0.3">
      <c r="B158" s="57">
        <v>44477</v>
      </c>
      <c r="C158" t="s">
        <v>405</v>
      </c>
      <c r="D158" t="s">
        <v>20</v>
      </c>
      <c r="E158" s="45">
        <v>80</v>
      </c>
    </row>
    <row r="159" spans="1:5" x14ac:dyDescent="0.3">
      <c r="B159" s="57">
        <v>44478</v>
      </c>
      <c r="C159" t="s">
        <v>407</v>
      </c>
      <c r="D159" t="s">
        <v>409</v>
      </c>
      <c r="E159" s="45">
        <v>100</v>
      </c>
    </row>
    <row r="160" spans="1:5" x14ac:dyDescent="0.3">
      <c r="B160" s="57">
        <v>44480</v>
      </c>
      <c r="C160" t="s">
        <v>410</v>
      </c>
      <c r="D160" t="s">
        <v>586</v>
      </c>
      <c r="E160" s="45">
        <v>80</v>
      </c>
    </row>
    <row r="161" spans="2:5" x14ac:dyDescent="0.3">
      <c r="B161" s="57">
        <v>44481</v>
      </c>
      <c r="C161" t="s">
        <v>411</v>
      </c>
      <c r="D161" t="s">
        <v>409</v>
      </c>
      <c r="E161" s="45">
        <v>150</v>
      </c>
    </row>
    <row r="162" spans="2:5" x14ac:dyDescent="0.3">
      <c r="B162" t="s">
        <v>757</v>
      </c>
      <c r="C162" t="s">
        <v>587</v>
      </c>
      <c r="D162" t="s">
        <v>400</v>
      </c>
      <c r="E162" s="45">
        <v>90</v>
      </c>
    </row>
    <row r="163" spans="2:5" x14ac:dyDescent="0.3">
      <c r="B163" s="57">
        <v>44483</v>
      </c>
      <c r="C163" t="s">
        <v>418</v>
      </c>
      <c r="D163" t="s">
        <v>58</v>
      </c>
      <c r="E163" s="45">
        <v>80</v>
      </c>
    </row>
    <row r="164" spans="2:5" x14ac:dyDescent="0.3">
      <c r="B164" s="57">
        <v>44484</v>
      </c>
      <c r="C164" t="s">
        <v>419</v>
      </c>
      <c r="D164" t="s">
        <v>262</v>
      </c>
      <c r="E164" s="45">
        <v>80</v>
      </c>
    </row>
    <row r="165" spans="2:5" x14ac:dyDescent="0.3">
      <c r="B165" s="57">
        <v>44484</v>
      </c>
      <c r="C165" t="s">
        <v>423</v>
      </c>
      <c r="D165" t="s">
        <v>35</v>
      </c>
      <c r="E165" s="45">
        <v>80</v>
      </c>
    </row>
    <row r="166" spans="2:5" x14ac:dyDescent="0.3">
      <c r="B166" s="57">
        <v>44487</v>
      </c>
      <c r="C166" t="s">
        <v>425</v>
      </c>
      <c r="D166" t="s">
        <v>409</v>
      </c>
      <c r="E166" s="45">
        <v>150</v>
      </c>
    </row>
    <row r="167" spans="2:5" x14ac:dyDescent="0.3">
      <c r="B167" s="57">
        <v>44488</v>
      </c>
      <c r="C167" t="s">
        <v>426</v>
      </c>
      <c r="D167" t="s">
        <v>409</v>
      </c>
      <c r="E167" s="45">
        <v>100</v>
      </c>
    </row>
    <row r="168" spans="2:5" x14ac:dyDescent="0.3">
      <c r="B168" s="57">
        <v>44489</v>
      </c>
      <c r="C168" t="s">
        <v>427</v>
      </c>
      <c r="D168" t="s">
        <v>409</v>
      </c>
      <c r="E168" s="45">
        <v>150</v>
      </c>
    </row>
    <row r="169" spans="2:5" x14ac:dyDescent="0.3">
      <c r="B169" s="57">
        <v>44492</v>
      </c>
      <c r="C169" t="s">
        <v>441</v>
      </c>
      <c r="D169" t="s">
        <v>52</v>
      </c>
      <c r="E169" s="45">
        <v>100</v>
      </c>
    </row>
    <row r="170" spans="2:5" x14ac:dyDescent="0.3">
      <c r="B170" s="57">
        <v>44495</v>
      </c>
      <c r="C170" t="s">
        <v>442</v>
      </c>
      <c r="D170" t="s">
        <v>7</v>
      </c>
      <c r="E170" s="45">
        <v>80</v>
      </c>
    </row>
    <row r="171" spans="2:5" x14ac:dyDescent="0.3">
      <c r="B171" s="57">
        <v>44495</v>
      </c>
      <c r="C171" t="s">
        <v>443</v>
      </c>
      <c r="D171" t="s">
        <v>409</v>
      </c>
      <c r="E171" s="45">
        <v>150</v>
      </c>
    </row>
    <row r="172" spans="2:5" x14ac:dyDescent="0.3">
      <c r="B172" s="57">
        <v>44497</v>
      </c>
      <c r="C172" t="s">
        <v>444</v>
      </c>
      <c r="D172" t="s">
        <v>52</v>
      </c>
      <c r="E172" s="45">
        <v>90</v>
      </c>
    </row>
    <row r="173" spans="2:5" x14ac:dyDescent="0.3">
      <c r="B173" s="57">
        <v>44496</v>
      </c>
      <c r="C173" t="s">
        <v>445</v>
      </c>
      <c r="D173" t="s">
        <v>409</v>
      </c>
      <c r="E173" s="45">
        <v>150</v>
      </c>
    </row>
    <row r="174" spans="2:5" x14ac:dyDescent="0.3">
      <c r="B174" s="57">
        <v>44497</v>
      </c>
      <c r="C174" t="s">
        <v>446</v>
      </c>
      <c r="D174" t="s">
        <v>62</v>
      </c>
      <c r="E174" s="45">
        <v>80</v>
      </c>
    </row>
    <row r="175" spans="2:5" x14ac:dyDescent="0.3">
      <c r="B175" s="57">
        <v>44497</v>
      </c>
      <c r="C175" t="s">
        <v>447</v>
      </c>
      <c r="D175" t="s">
        <v>400</v>
      </c>
      <c r="E175" s="45">
        <v>80</v>
      </c>
    </row>
    <row r="176" spans="2:5" x14ac:dyDescent="0.3">
      <c r="B176" s="57">
        <v>44499</v>
      </c>
      <c r="C176" t="s">
        <v>449</v>
      </c>
      <c r="D176" t="s">
        <v>62</v>
      </c>
      <c r="E176" s="45">
        <v>80</v>
      </c>
    </row>
    <row r="177" spans="1:5" x14ac:dyDescent="0.3">
      <c r="A177" s="17" t="s">
        <v>598</v>
      </c>
      <c r="B177" s="17"/>
      <c r="C177" s="17"/>
      <c r="D177" s="17"/>
      <c r="E177" s="23">
        <f>SUM(E154:E176)</f>
        <v>2280</v>
      </c>
    </row>
    <row r="178" spans="1:5" x14ac:dyDescent="0.3">
      <c r="A178">
        <v>11</v>
      </c>
      <c r="B178" s="57">
        <v>44501</v>
      </c>
      <c r="C178" t="s">
        <v>455</v>
      </c>
      <c r="D178" t="s">
        <v>35</v>
      </c>
      <c r="E178" s="45">
        <v>80</v>
      </c>
    </row>
    <row r="179" spans="1:5" x14ac:dyDescent="0.3">
      <c r="B179" s="57">
        <v>44502</v>
      </c>
      <c r="C179" t="s">
        <v>457</v>
      </c>
      <c r="D179" t="s">
        <v>400</v>
      </c>
      <c r="E179" s="45">
        <v>80</v>
      </c>
    </row>
    <row r="180" spans="1:5" x14ac:dyDescent="0.3">
      <c r="B180" s="57">
        <v>44502</v>
      </c>
      <c r="C180" t="s">
        <v>458</v>
      </c>
      <c r="D180" t="s">
        <v>20</v>
      </c>
      <c r="E180" s="45">
        <v>80</v>
      </c>
    </row>
    <row r="181" spans="1:5" x14ac:dyDescent="0.3">
      <c r="B181" s="57">
        <v>44503</v>
      </c>
      <c r="C181" t="s">
        <v>459</v>
      </c>
      <c r="D181" t="s">
        <v>409</v>
      </c>
      <c r="E181" s="45">
        <v>150</v>
      </c>
    </row>
    <row r="182" spans="1:5" x14ac:dyDescent="0.3">
      <c r="B182" s="57">
        <v>44503</v>
      </c>
      <c r="C182" t="s">
        <v>460</v>
      </c>
      <c r="D182" t="s">
        <v>62</v>
      </c>
      <c r="E182" s="45">
        <v>80</v>
      </c>
    </row>
    <row r="183" spans="1:5" x14ac:dyDescent="0.3">
      <c r="B183" s="57">
        <v>44506</v>
      </c>
      <c r="C183" t="s">
        <v>464</v>
      </c>
      <c r="D183" t="s">
        <v>409</v>
      </c>
      <c r="E183" s="45">
        <v>150</v>
      </c>
    </row>
    <row r="184" spans="1:5" x14ac:dyDescent="0.3">
      <c r="B184" s="57">
        <v>44508</v>
      </c>
      <c r="C184" t="s">
        <v>465</v>
      </c>
      <c r="D184" t="s">
        <v>62</v>
      </c>
      <c r="E184" s="45">
        <v>80</v>
      </c>
    </row>
    <row r="185" spans="1:5" x14ac:dyDescent="0.3">
      <c r="B185" s="57">
        <v>44510</v>
      </c>
      <c r="C185" t="s">
        <v>472</v>
      </c>
      <c r="D185" t="s">
        <v>491</v>
      </c>
      <c r="E185" s="45">
        <v>80</v>
      </c>
    </row>
    <row r="186" spans="1:5" x14ac:dyDescent="0.3">
      <c r="B186" s="57">
        <v>44511</v>
      </c>
      <c r="C186" t="s">
        <v>588</v>
      </c>
      <c r="D186" t="s">
        <v>409</v>
      </c>
      <c r="E186" s="45">
        <v>150</v>
      </c>
    </row>
    <row r="187" spans="1:5" x14ac:dyDescent="0.3">
      <c r="B187" s="57">
        <v>44510</v>
      </c>
      <c r="C187" t="s">
        <v>476</v>
      </c>
      <c r="D187" t="s">
        <v>586</v>
      </c>
      <c r="E187" s="45">
        <v>80</v>
      </c>
    </row>
    <row r="188" spans="1:5" x14ac:dyDescent="0.3">
      <c r="B188" s="57">
        <v>44513</v>
      </c>
      <c r="C188" t="s">
        <v>477</v>
      </c>
      <c r="D188" t="s">
        <v>400</v>
      </c>
      <c r="E188" s="45">
        <v>80</v>
      </c>
    </row>
    <row r="189" spans="1:5" x14ac:dyDescent="0.3">
      <c r="B189" s="57">
        <v>44523</v>
      </c>
      <c r="C189" t="s">
        <v>480</v>
      </c>
      <c r="D189" t="s">
        <v>20</v>
      </c>
      <c r="E189" s="45">
        <v>80</v>
      </c>
    </row>
    <row r="190" spans="1:5" x14ac:dyDescent="0.3">
      <c r="B190" s="57">
        <v>44526</v>
      </c>
      <c r="C190" t="s">
        <v>589</v>
      </c>
      <c r="D190" t="s">
        <v>400</v>
      </c>
      <c r="E190" s="45">
        <v>100</v>
      </c>
    </row>
    <row r="191" spans="1:5" x14ac:dyDescent="0.3">
      <c r="B191" s="57">
        <v>44529</v>
      </c>
      <c r="C191" t="s">
        <v>484</v>
      </c>
      <c r="D191" t="s">
        <v>52</v>
      </c>
      <c r="E191" s="45">
        <v>80</v>
      </c>
    </row>
    <row r="192" spans="1:5" x14ac:dyDescent="0.3">
      <c r="A192" s="17" t="s">
        <v>599</v>
      </c>
      <c r="B192" s="17"/>
      <c r="C192" s="17"/>
      <c r="D192" s="17"/>
      <c r="E192" s="23">
        <f>SUM(E178:E191)</f>
        <v>1350</v>
      </c>
    </row>
    <row r="193" spans="1:5" x14ac:dyDescent="0.3">
      <c r="A193">
        <v>12</v>
      </c>
      <c r="B193" s="57">
        <v>44537</v>
      </c>
      <c r="C193" t="s">
        <v>501</v>
      </c>
      <c r="D193" t="s">
        <v>409</v>
      </c>
      <c r="E193" s="45">
        <v>150</v>
      </c>
    </row>
    <row r="194" spans="1:5" x14ac:dyDescent="0.3">
      <c r="B194" s="57">
        <v>44540</v>
      </c>
      <c r="C194" t="s">
        <v>502</v>
      </c>
      <c r="D194" t="s">
        <v>586</v>
      </c>
      <c r="E194" s="45">
        <v>80</v>
      </c>
    </row>
    <row r="195" spans="1:5" x14ac:dyDescent="0.3">
      <c r="B195" s="57">
        <v>44540</v>
      </c>
      <c r="C195" t="s">
        <v>504</v>
      </c>
      <c r="D195" t="s">
        <v>409</v>
      </c>
      <c r="E195" s="45">
        <v>80</v>
      </c>
    </row>
    <row r="196" spans="1:5" x14ac:dyDescent="0.3">
      <c r="B196" s="57">
        <v>44545</v>
      </c>
      <c r="C196" t="s">
        <v>507</v>
      </c>
      <c r="D196" t="s">
        <v>62</v>
      </c>
      <c r="E196" s="45">
        <v>80</v>
      </c>
    </row>
    <row r="197" spans="1:5" x14ac:dyDescent="0.3">
      <c r="B197" t="s">
        <v>758</v>
      </c>
      <c r="C197" t="s">
        <v>590</v>
      </c>
      <c r="D197" t="s">
        <v>23</v>
      </c>
      <c r="E197" s="45">
        <v>100</v>
      </c>
    </row>
    <row r="198" spans="1:5" x14ac:dyDescent="0.3">
      <c r="B198" s="57">
        <v>44550</v>
      </c>
      <c r="C198" t="s">
        <v>511</v>
      </c>
      <c r="D198" t="s">
        <v>409</v>
      </c>
      <c r="E198" s="45">
        <v>150</v>
      </c>
    </row>
    <row r="199" spans="1:5" x14ac:dyDescent="0.3">
      <c r="B199" s="57">
        <v>44551</v>
      </c>
      <c r="C199" t="s">
        <v>512</v>
      </c>
      <c r="D199" t="s">
        <v>23</v>
      </c>
      <c r="E199" s="45">
        <v>80</v>
      </c>
    </row>
    <row r="200" spans="1:5" x14ac:dyDescent="0.3">
      <c r="B200" s="57">
        <v>44552</v>
      </c>
      <c r="C200" t="s">
        <v>522</v>
      </c>
      <c r="D200" t="s">
        <v>409</v>
      </c>
      <c r="E200" s="45">
        <v>150</v>
      </c>
    </row>
    <row r="201" spans="1:5" x14ac:dyDescent="0.3">
      <c r="B201" s="57">
        <v>44558</v>
      </c>
      <c r="C201" t="s">
        <v>531</v>
      </c>
      <c r="D201" t="s">
        <v>7</v>
      </c>
      <c r="E201" s="45">
        <v>80</v>
      </c>
    </row>
    <row r="202" spans="1:5" x14ac:dyDescent="0.3">
      <c r="B202" s="57">
        <v>44560</v>
      </c>
      <c r="C202" t="s">
        <v>532</v>
      </c>
      <c r="D202" t="s">
        <v>409</v>
      </c>
      <c r="E202" s="45">
        <v>150</v>
      </c>
    </row>
    <row r="203" spans="1:5" x14ac:dyDescent="0.3">
      <c r="B203" s="57">
        <v>44561</v>
      </c>
      <c r="C203" t="s">
        <v>535</v>
      </c>
      <c r="D203" t="s">
        <v>62</v>
      </c>
      <c r="E203" s="45">
        <v>80</v>
      </c>
    </row>
    <row r="204" spans="1:5" x14ac:dyDescent="0.3">
      <c r="B204" s="57">
        <v>44561</v>
      </c>
      <c r="C204" t="s">
        <v>536</v>
      </c>
      <c r="D204" t="s">
        <v>400</v>
      </c>
      <c r="E204" s="45">
        <v>150</v>
      </c>
    </row>
    <row r="205" spans="1:5" x14ac:dyDescent="0.3">
      <c r="A205" s="17" t="s">
        <v>600</v>
      </c>
      <c r="B205" s="17"/>
      <c r="C205" s="17"/>
      <c r="D205" s="17"/>
      <c r="E205" s="23">
        <f>SUM(E193:E204)</f>
        <v>1330</v>
      </c>
    </row>
    <row r="206" spans="1:5" x14ac:dyDescent="0.3">
      <c r="A206" s="58" t="s">
        <v>759</v>
      </c>
      <c r="B206" s="58"/>
      <c r="C206" s="58"/>
      <c r="D206" s="58"/>
      <c r="E206" s="59">
        <f>SUM(E205,E192,E177,E153)</f>
        <v>5790</v>
      </c>
    </row>
    <row r="207" spans="1:5" x14ac:dyDescent="0.3">
      <c r="E207" s="45"/>
    </row>
    <row r="208" spans="1:5" x14ac:dyDescent="0.3">
      <c r="E208" s="45"/>
    </row>
    <row r="209" spans="1:5" x14ac:dyDescent="0.3">
      <c r="A209" s="65" t="s">
        <v>162</v>
      </c>
      <c r="B209" s="62" t="s">
        <v>307</v>
      </c>
      <c r="C209" s="63" t="s">
        <v>2</v>
      </c>
      <c r="D209" s="63" t="s">
        <v>1</v>
      </c>
      <c r="E209" s="66" t="s">
        <v>306</v>
      </c>
    </row>
    <row r="210" spans="1:5" x14ac:dyDescent="0.3">
      <c r="A210" s="94" t="s">
        <v>760</v>
      </c>
      <c r="B210" s="57">
        <v>44564</v>
      </c>
      <c r="C210" t="s">
        <v>546</v>
      </c>
      <c r="D210" t="s">
        <v>409</v>
      </c>
      <c r="E210" s="45">
        <v>180</v>
      </c>
    </row>
    <row r="211" spans="1:5" x14ac:dyDescent="0.3">
      <c r="B211" s="57">
        <v>44567</v>
      </c>
      <c r="C211" t="s">
        <v>547</v>
      </c>
      <c r="D211" t="s">
        <v>400</v>
      </c>
      <c r="E211" s="45">
        <v>120</v>
      </c>
    </row>
    <row r="212" spans="1:5" x14ac:dyDescent="0.3">
      <c r="B212" s="57">
        <v>44569</v>
      </c>
      <c r="C212" t="s">
        <v>591</v>
      </c>
      <c r="D212" t="s">
        <v>409</v>
      </c>
      <c r="E212" s="45">
        <v>180</v>
      </c>
    </row>
    <row r="213" spans="1:5" x14ac:dyDescent="0.3">
      <c r="B213" s="57">
        <v>44571</v>
      </c>
      <c r="C213" t="s">
        <v>550</v>
      </c>
      <c r="D213" t="s">
        <v>20</v>
      </c>
      <c r="E213" s="45">
        <v>150</v>
      </c>
    </row>
    <row r="214" spans="1:5" x14ac:dyDescent="0.3">
      <c r="B214" s="57">
        <v>44572</v>
      </c>
      <c r="C214" t="s">
        <v>552</v>
      </c>
      <c r="D214" t="s">
        <v>62</v>
      </c>
      <c r="E214" s="45">
        <v>150</v>
      </c>
    </row>
    <row r="215" spans="1:5" x14ac:dyDescent="0.3">
      <c r="B215" s="57">
        <v>44574</v>
      </c>
      <c r="C215" t="s">
        <v>557</v>
      </c>
      <c r="D215" t="s">
        <v>400</v>
      </c>
      <c r="E215" s="45">
        <v>120</v>
      </c>
    </row>
    <row r="216" spans="1:5" x14ac:dyDescent="0.3">
      <c r="B216" s="57">
        <v>44574</v>
      </c>
      <c r="C216" t="s">
        <v>558</v>
      </c>
      <c r="D216" t="s">
        <v>409</v>
      </c>
      <c r="E216" s="45">
        <v>180</v>
      </c>
    </row>
    <row r="217" spans="1:5" x14ac:dyDescent="0.3">
      <c r="B217" s="57">
        <v>44575</v>
      </c>
      <c r="C217" t="s">
        <v>559</v>
      </c>
      <c r="D217" t="s">
        <v>23</v>
      </c>
      <c r="E217" s="45">
        <v>120</v>
      </c>
    </row>
    <row r="218" spans="1:5" x14ac:dyDescent="0.3">
      <c r="B218" s="57">
        <v>44575</v>
      </c>
      <c r="C218" t="s">
        <v>561</v>
      </c>
      <c r="D218" t="s">
        <v>23</v>
      </c>
      <c r="E218" s="45">
        <v>100</v>
      </c>
    </row>
    <row r="219" spans="1:5" x14ac:dyDescent="0.3">
      <c r="B219" s="57">
        <v>44578</v>
      </c>
      <c r="C219" t="s">
        <v>562</v>
      </c>
      <c r="D219" t="s">
        <v>23</v>
      </c>
      <c r="E219" s="45">
        <v>120</v>
      </c>
    </row>
    <row r="220" spans="1:5" x14ac:dyDescent="0.3">
      <c r="B220" s="57">
        <v>44579</v>
      </c>
      <c r="C220" t="s">
        <v>564</v>
      </c>
      <c r="D220" t="s">
        <v>409</v>
      </c>
      <c r="E220" s="45">
        <v>180</v>
      </c>
    </row>
    <row r="221" spans="1:5" x14ac:dyDescent="0.3">
      <c r="B221" s="57">
        <v>44583</v>
      </c>
      <c r="C221" t="s">
        <v>565</v>
      </c>
      <c r="D221" t="s">
        <v>400</v>
      </c>
      <c r="E221" s="45">
        <v>120</v>
      </c>
    </row>
    <row r="222" spans="1:5" x14ac:dyDescent="0.3">
      <c r="B222" s="57">
        <v>44585</v>
      </c>
      <c r="C222" t="s">
        <v>567</v>
      </c>
      <c r="D222" t="s">
        <v>62</v>
      </c>
      <c r="E222" s="45">
        <v>150</v>
      </c>
    </row>
    <row r="223" spans="1:5" x14ac:dyDescent="0.3">
      <c r="B223" s="57">
        <v>44586</v>
      </c>
      <c r="C223" t="s">
        <v>568</v>
      </c>
      <c r="D223" t="s">
        <v>43</v>
      </c>
      <c r="E223" s="45">
        <v>80</v>
      </c>
    </row>
    <row r="224" spans="1:5" x14ac:dyDescent="0.3">
      <c r="B224" s="57">
        <v>44587</v>
      </c>
      <c r="C224" t="s">
        <v>569</v>
      </c>
      <c r="D224" t="s">
        <v>23</v>
      </c>
      <c r="E224" s="45">
        <v>120</v>
      </c>
    </row>
    <row r="225" spans="1:5" x14ac:dyDescent="0.3">
      <c r="A225" s="17" t="s">
        <v>592</v>
      </c>
      <c r="B225" s="17"/>
      <c r="C225" s="17"/>
      <c r="D225" s="17"/>
      <c r="E225" s="23">
        <f>SUM(E210:E224)</f>
        <v>2070</v>
      </c>
    </row>
    <row r="226" spans="1:5" x14ac:dyDescent="0.3">
      <c r="A226" s="94" t="s">
        <v>761</v>
      </c>
      <c r="B226" s="57">
        <v>44602</v>
      </c>
      <c r="C226" t="s">
        <v>601</v>
      </c>
      <c r="D226" t="s">
        <v>400</v>
      </c>
      <c r="E226" s="45">
        <v>120</v>
      </c>
    </row>
    <row r="227" spans="1:5" x14ac:dyDescent="0.3">
      <c r="B227" s="57">
        <v>44607</v>
      </c>
      <c r="C227" t="s">
        <v>602</v>
      </c>
      <c r="D227" t="s">
        <v>23</v>
      </c>
      <c r="E227" s="45">
        <v>120</v>
      </c>
    </row>
    <row r="228" spans="1:5" x14ac:dyDescent="0.3">
      <c r="B228" s="57">
        <v>44609</v>
      </c>
      <c r="C228" t="s">
        <v>603</v>
      </c>
      <c r="D228" t="s">
        <v>62</v>
      </c>
      <c r="E228" s="45">
        <v>150</v>
      </c>
    </row>
    <row r="229" spans="1:5" x14ac:dyDescent="0.3">
      <c r="B229" s="57">
        <v>44610</v>
      </c>
      <c r="C229" t="s">
        <v>604</v>
      </c>
      <c r="D229" t="s">
        <v>58</v>
      </c>
      <c r="E229" s="45">
        <v>120</v>
      </c>
    </row>
    <row r="230" spans="1:5" x14ac:dyDescent="0.3">
      <c r="B230" s="57">
        <v>44611</v>
      </c>
      <c r="C230" t="s">
        <v>605</v>
      </c>
      <c r="D230" t="s">
        <v>20</v>
      </c>
      <c r="E230" s="45">
        <v>150</v>
      </c>
    </row>
    <row r="231" spans="1:5" x14ac:dyDescent="0.3">
      <c r="B231" s="57">
        <v>44613</v>
      </c>
      <c r="C231" t="s">
        <v>606</v>
      </c>
      <c r="D231" t="s">
        <v>491</v>
      </c>
      <c r="E231" s="45">
        <v>150</v>
      </c>
    </row>
    <row r="232" spans="1:5" x14ac:dyDescent="0.3">
      <c r="B232" s="57">
        <v>44613</v>
      </c>
      <c r="C232" t="s">
        <v>607</v>
      </c>
      <c r="D232" t="s">
        <v>43</v>
      </c>
      <c r="E232" s="45">
        <v>80</v>
      </c>
    </row>
    <row r="233" spans="1:5" x14ac:dyDescent="0.3">
      <c r="B233" s="57">
        <v>44614</v>
      </c>
      <c r="C233" t="s">
        <v>608</v>
      </c>
      <c r="D233" t="s">
        <v>400</v>
      </c>
      <c r="E233" s="45">
        <v>120</v>
      </c>
    </row>
    <row r="234" spans="1:5" x14ac:dyDescent="0.3">
      <c r="B234" s="57">
        <v>44616</v>
      </c>
      <c r="C234" t="s">
        <v>609</v>
      </c>
      <c r="D234" t="s">
        <v>409</v>
      </c>
      <c r="E234" s="45">
        <v>180</v>
      </c>
    </row>
    <row r="235" spans="1:5" x14ac:dyDescent="0.3">
      <c r="B235" s="57">
        <v>44618</v>
      </c>
      <c r="C235" t="s">
        <v>610</v>
      </c>
      <c r="D235" t="s">
        <v>409</v>
      </c>
      <c r="E235" s="45">
        <v>180</v>
      </c>
    </row>
    <row r="236" spans="1:5" x14ac:dyDescent="0.3">
      <c r="B236" s="57">
        <v>44618</v>
      </c>
      <c r="C236" t="s">
        <v>611</v>
      </c>
      <c r="D236" t="s">
        <v>20</v>
      </c>
      <c r="E236" s="45">
        <v>150</v>
      </c>
    </row>
    <row r="237" spans="1:5" x14ac:dyDescent="0.3">
      <c r="A237" s="87" t="s">
        <v>612</v>
      </c>
      <c r="B237" s="17"/>
      <c r="C237" s="17"/>
      <c r="D237" s="17"/>
      <c r="E237" s="23">
        <f>SUM(E226:E236)</f>
        <v>1520</v>
      </c>
    </row>
    <row r="238" spans="1:5" x14ac:dyDescent="0.3">
      <c r="A238" s="58" t="s">
        <v>131</v>
      </c>
      <c r="B238" s="58"/>
      <c r="C238" s="58"/>
      <c r="D238" s="58"/>
      <c r="E238" s="59">
        <f>SUM(E237,E225)</f>
        <v>3590</v>
      </c>
    </row>
    <row r="242" spans="1:5" x14ac:dyDescent="0.3">
      <c r="A242" s="65" t="s">
        <v>162</v>
      </c>
      <c r="B242" s="62" t="s">
        <v>307</v>
      </c>
      <c r="C242" s="63" t="s">
        <v>2</v>
      </c>
      <c r="D242" s="63" t="s">
        <v>1</v>
      </c>
      <c r="E242" s="66" t="s">
        <v>306</v>
      </c>
    </row>
    <row r="243" spans="1:5" x14ac:dyDescent="0.3">
      <c r="C243" t="s">
        <v>633</v>
      </c>
      <c r="D243" t="s">
        <v>491</v>
      </c>
      <c r="E243" s="16">
        <v>180</v>
      </c>
    </row>
    <row r="244" spans="1:5" x14ac:dyDescent="0.3">
      <c r="C244" t="s">
        <v>634</v>
      </c>
      <c r="D244" t="s">
        <v>637</v>
      </c>
      <c r="E244" s="16">
        <v>80</v>
      </c>
    </row>
    <row r="245" spans="1:5" x14ac:dyDescent="0.3">
      <c r="C245" t="s">
        <v>635</v>
      </c>
      <c r="D245" t="s">
        <v>62</v>
      </c>
      <c r="E245" s="16">
        <v>150</v>
      </c>
    </row>
    <row r="246" spans="1:5" x14ac:dyDescent="0.3">
      <c r="C246" t="s">
        <v>642</v>
      </c>
      <c r="D246" t="s">
        <v>637</v>
      </c>
      <c r="E246" s="16">
        <v>80</v>
      </c>
    </row>
    <row r="247" spans="1:5" x14ac:dyDescent="0.3">
      <c r="C247" t="s">
        <v>643</v>
      </c>
      <c r="D247" t="s">
        <v>400</v>
      </c>
      <c r="E247" s="16">
        <v>120</v>
      </c>
    </row>
    <row r="248" spans="1:5" x14ac:dyDescent="0.3">
      <c r="C248" t="s">
        <v>644</v>
      </c>
      <c r="D248" t="s">
        <v>637</v>
      </c>
      <c r="E248" s="16">
        <v>80</v>
      </c>
    </row>
    <row r="249" spans="1:5" x14ac:dyDescent="0.3">
      <c r="C249" t="s">
        <v>645</v>
      </c>
      <c r="D249" t="s">
        <v>43</v>
      </c>
      <c r="E249" s="16">
        <v>80</v>
      </c>
    </row>
    <row r="250" spans="1:5" x14ac:dyDescent="0.3">
      <c r="C250" t="s">
        <v>646</v>
      </c>
      <c r="D250" t="s">
        <v>409</v>
      </c>
      <c r="E250" s="16">
        <v>180</v>
      </c>
    </row>
    <row r="251" spans="1:5" x14ac:dyDescent="0.3">
      <c r="C251" t="s">
        <v>647</v>
      </c>
      <c r="D251" t="s">
        <v>62</v>
      </c>
      <c r="E251" s="16">
        <v>150</v>
      </c>
    </row>
    <row r="252" spans="1:5" x14ac:dyDescent="0.3">
      <c r="C252" t="s">
        <v>648</v>
      </c>
      <c r="D252" t="s">
        <v>409</v>
      </c>
      <c r="E252" s="16">
        <v>180</v>
      </c>
    </row>
    <row r="253" spans="1:5" x14ac:dyDescent="0.3">
      <c r="C253" t="s">
        <v>649</v>
      </c>
      <c r="D253" t="s">
        <v>400</v>
      </c>
      <c r="E253" s="16">
        <v>120</v>
      </c>
    </row>
    <row r="254" spans="1:5" x14ac:dyDescent="0.3">
      <c r="C254" t="s">
        <v>650</v>
      </c>
      <c r="D254" t="s">
        <v>409</v>
      </c>
      <c r="E254" s="16">
        <v>180</v>
      </c>
    </row>
    <row r="255" spans="1:5" x14ac:dyDescent="0.3">
      <c r="C255" t="s">
        <v>651</v>
      </c>
      <c r="D255" t="s">
        <v>491</v>
      </c>
      <c r="E255" s="16">
        <v>150</v>
      </c>
    </row>
    <row r="256" spans="1:5" x14ac:dyDescent="0.3">
      <c r="C256" t="s">
        <v>652</v>
      </c>
      <c r="D256" t="s">
        <v>43</v>
      </c>
      <c r="E256" s="16">
        <v>80</v>
      </c>
    </row>
    <row r="257" spans="1:5" x14ac:dyDescent="0.3">
      <c r="C257" t="s">
        <v>653</v>
      </c>
      <c r="D257" t="s">
        <v>409</v>
      </c>
      <c r="E257" s="16">
        <v>180</v>
      </c>
    </row>
    <row r="258" spans="1:5" x14ac:dyDescent="0.3">
      <c r="C258" t="s">
        <v>660</v>
      </c>
      <c r="D258" t="s">
        <v>409</v>
      </c>
      <c r="E258" s="16">
        <v>180</v>
      </c>
    </row>
    <row r="259" spans="1:5" x14ac:dyDescent="0.3">
      <c r="C259" t="s">
        <v>661</v>
      </c>
      <c r="D259" t="s">
        <v>7</v>
      </c>
      <c r="E259" s="16">
        <v>100</v>
      </c>
    </row>
    <row r="260" spans="1:5" x14ac:dyDescent="0.3">
      <c r="C260" t="s">
        <v>662</v>
      </c>
      <c r="D260" t="s">
        <v>409</v>
      </c>
      <c r="E260" s="16">
        <v>180</v>
      </c>
    </row>
    <row r="261" spans="1:5" x14ac:dyDescent="0.3">
      <c r="C261" t="s">
        <v>663</v>
      </c>
      <c r="D261" t="s">
        <v>665</v>
      </c>
      <c r="E261" s="16">
        <v>150</v>
      </c>
    </row>
    <row r="262" spans="1:5" x14ac:dyDescent="0.3">
      <c r="A262" s="87" t="s">
        <v>632</v>
      </c>
      <c r="B262" s="17"/>
      <c r="C262" s="17"/>
      <c r="D262" s="17"/>
      <c r="E262" s="23">
        <f>SUM(E243:E261)</f>
        <v>2600</v>
      </c>
    </row>
    <row r="263" spans="1:5" x14ac:dyDescent="0.3">
      <c r="A263" s="93"/>
      <c r="C263" t="s">
        <v>680</v>
      </c>
      <c r="D263" t="s">
        <v>491</v>
      </c>
      <c r="E263" s="45">
        <v>150</v>
      </c>
    </row>
    <row r="264" spans="1:5" x14ac:dyDescent="0.3">
      <c r="A264" s="93"/>
      <c r="C264" t="s">
        <v>683</v>
      </c>
      <c r="D264" t="s">
        <v>409</v>
      </c>
      <c r="E264" s="45">
        <v>180</v>
      </c>
    </row>
    <row r="265" spans="1:5" x14ac:dyDescent="0.3">
      <c r="A265" s="93"/>
      <c r="C265" t="s">
        <v>684</v>
      </c>
      <c r="D265" t="s">
        <v>637</v>
      </c>
      <c r="E265" s="45">
        <v>80</v>
      </c>
    </row>
    <row r="266" spans="1:5" x14ac:dyDescent="0.3">
      <c r="A266" s="93"/>
      <c r="C266" t="s">
        <v>685</v>
      </c>
      <c r="D266" t="s">
        <v>409</v>
      </c>
      <c r="E266" s="45">
        <v>180</v>
      </c>
    </row>
    <row r="267" spans="1:5" x14ac:dyDescent="0.3">
      <c r="A267" s="93"/>
      <c r="C267" t="s">
        <v>686</v>
      </c>
      <c r="D267" t="s">
        <v>400</v>
      </c>
      <c r="E267" s="45">
        <v>120</v>
      </c>
    </row>
    <row r="268" spans="1:5" x14ac:dyDescent="0.3">
      <c r="A268" s="93"/>
      <c r="C268" t="s">
        <v>687</v>
      </c>
      <c r="D268" t="s">
        <v>20</v>
      </c>
      <c r="E268" s="45">
        <v>150</v>
      </c>
    </row>
    <row r="269" spans="1:5" x14ac:dyDescent="0.3">
      <c r="A269" s="93"/>
      <c r="C269" t="s">
        <v>688</v>
      </c>
      <c r="D269" t="s">
        <v>58</v>
      </c>
      <c r="E269" s="45">
        <v>120</v>
      </c>
    </row>
    <row r="270" spans="1:5" x14ac:dyDescent="0.3">
      <c r="A270" s="93"/>
      <c r="C270" t="s">
        <v>689</v>
      </c>
      <c r="D270" t="s">
        <v>409</v>
      </c>
      <c r="E270" s="45">
        <v>180</v>
      </c>
    </row>
    <row r="271" spans="1:5" x14ac:dyDescent="0.3">
      <c r="A271" s="93"/>
      <c r="C271" t="s">
        <v>690</v>
      </c>
      <c r="D271" t="s">
        <v>773</v>
      </c>
      <c r="E271" s="45">
        <v>150</v>
      </c>
    </row>
    <row r="272" spans="1:5" x14ac:dyDescent="0.3">
      <c r="A272" s="93"/>
      <c r="C272" t="s">
        <v>691</v>
      </c>
      <c r="D272" t="s">
        <v>637</v>
      </c>
      <c r="E272" s="45">
        <v>80</v>
      </c>
    </row>
    <row r="273" spans="1:5" x14ac:dyDescent="0.3">
      <c r="A273" s="93"/>
      <c r="C273" t="s">
        <v>692</v>
      </c>
      <c r="D273" t="s">
        <v>773</v>
      </c>
      <c r="E273" s="45">
        <v>50</v>
      </c>
    </row>
    <row r="274" spans="1:5" x14ac:dyDescent="0.3">
      <c r="A274" s="93"/>
      <c r="C274" t="s">
        <v>693</v>
      </c>
      <c r="D274" t="s">
        <v>409</v>
      </c>
      <c r="E274" s="45">
        <v>180</v>
      </c>
    </row>
    <row r="275" spans="1:5" x14ac:dyDescent="0.3">
      <c r="A275" s="93"/>
      <c r="C275" t="s">
        <v>694</v>
      </c>
      <c r="D275" t="s">
        <v>491</v>
      </c>
      <c r="E275" s="45">
        <v>150</v>
      </c>
    </row>
    <row r="276" spans="1:5" x14ac:dyDescent="0.3">
      <c r="A276" s="93"/>
      <c r="C276" t="s">
        <v>695</v>
      </c>
      <c r="D276" t="s">
        <v>773</v>
      </c>
      <c r="E276" s="45">
        <v>180</v>
      </c>
    </row>
    <row r="277" spans="1:5" x14ac:dyDescent="0.3">
      <c r="A277" s="93"/>
      <c r="C277" t="s">
        <v>696</v>
      </c>
      <c r="D277" t="s">
        <v>409</v>
      </c>
      <c r="E277" s="45"/>
    </row>
    <row r="278" spans="1:5" x14ac:dyDescent="0.3">
      <c r="A278" s="93"/>
      <c r="C278" t="s">
        <v>697</v>
      </c>
      <c r="D278" t="s">
        <v>665</v>
      </c>
      <c r="E278" s="45"/>
    </row>
    <row r="279" spans="1:5" x14ac:dyDescent="0.3">
      <c r="A279" s="93"/>
      <c r="C279" t="s">
        <v>698</v>
      </c>
      <c r="D279" t="s">
        <v>409</v>
      </c>
      <c r="E279" s="45"/>
    </row>
    <row r="280" spans="1:5" x14ac:dyDescent="0.3">
      <c r="A280" s="93"/>
      <c r="C280" t="s">
        <v>699</v>
      </c>
      <c r="D280" t="s">
        <v>709</v>
      </c>
      <c r="E280" s="45"/>
    </row>
    <row r="281" spans="1:5" x14ac:dyDescent="0.3">
      <c r="A281" s="93"/>
      <c r="C281" t="s">
        <v>700</v>
      </c>
      <c r="D281" t="s">
        <v>23</v>
      </c>
      <c r="E281" s="45"/>
    </row>
    <row r="282" spans="1:5" x14ac:dyDescent="0.3">
      <c r="A282" s="93"/>
      <c r="C282" t="s">
        <v>701</v>
      </c>
      <c r="D282" t="s">
        <v>709</v>
      </c>
      <c r="E282" s="45"/>
    </row>
    <row r="283" spans="1:5" x14ac:dyDescent="0.3">
      <c r="A283" s="93"/>
      <c r="C283" t="s">
        <v>715</v>
      </c>
      <c r="D283" t="s">
        <v>7</v>
      </c>
      <c r="E283" s="45"/>
    </row>
    <row r="284" spans="1:5" x14ac:dyDescent="0.3">
      <c r="A284" s="93"/>
      <c r="C284" t="s">
        <v>718</v>
      </c>
      <c r="D284" t="s">
        <v>409</v>
      </c>
      <c r="E284" s="45"/>
    </row>
    <row r="285" spans="1:5" x14ac:dyDescent="0.3">
      <c r="A285" s="93"/>
      <c r="C285" t="s">
        <v>720</v>
      </c>
      <c r="D285" t="s">
        <v>665</v>
      </c>
      <c r="E285" s="45"/>
    </row>
    <row r="286" spans="1:5" x14ac:dyDescent="0.3">
      <c r="A286" s="93"/>
      <c r="C286" t="s">
        <v>723</v>
      </c>
      <c r="D286" t="s">
        <v>62</v>
      </c>
      <c r="E286" s="45"/>
    </row>
    <row r="287" spans="1:5" x14ac:dyDescent="0.3">
      <c r="A287" s="93"/>
      <c r="C287" t="s">
        <v>724</v>
      </c>
      <c r="D287" t="s">
        <v>491</v>
      </c>
      <c r="E287" s="45"/>
    </row>
    <row r="288" spans="1:5" x14ac:dyDescent="0.3">
      <c r="A288" s="93"/>
      <c r="C288" t="s">
        <v>725</v>
      </c>
      <c r="D288" t="s">
        <v>409</v>
      </c>
      <c r="E288" s="45"/>
    </row>
    <row r="289" spans="1:5" x14ac:dyDescent="0.3">
      <c r="A289" s="93"/>
      <c r="C289" t="s">
        <v>726</v>
      </c>
      <c r="D289" t="s">
        <v>400</v>
      </c>
      <c r="E289" s="45"/>
    </row>
    <row r="290" spans="1:5" x14ac:dyDescent="0.3">
      <c r="A290" s="93"/>
      <c r="C290" t="s">
        <v>728</v>
      </c>
      <c r="D290" t="s">
        <v>665</v>
      </c>
      <c r="E290" s="45"/>
    </row>
    <row r="291" spans="1:5" x14ac:dyDescent="0.3">
      <c r="A291" s="93"/>
      <c r="C291" t="s">
        <v>729</v>
      </c>
      <c r="D291" t="s">
        <v>409</v>
      </c>
      <c r="E291" s="45"/>
    </row>
    <row r="292" spans="1:5" x14ac:dyDescent="0.3">
      <c r="A292" s="87" t="s">
        <v>702</v>
      </c>
      <c r="B292" s="17"/>
      <c r="C292" s="17"/>
      <c r="D292" s="17"/>
      <c r="E292" s="23">
        <f>SUM(E263:E282)</f>
        <v>1950</v>
      </c>
    </row>
    <row r="293" spans="1:5" x14ac:dyDescent="0.3">
      <c r="A293" s="93"/>
      <c r="C293" t="s">
        <v>762</v>
      </c>
      <c r="D293" t="s">
        <v>409</v>
      </c>
      <c r="E293" s="45"/>
    </row>
    <row r="294" spans="1:5" x14ac:dyDescent="0.3">
      <c r="A294" s="93"/>
      <c r="C294" t="s">
        <v>763</v>
      </c>
      <c r="D294" t="s">
        <v>665</v>
      </c>
      <c r="E294" s="45"/>
    </row>
    <row r="295" spans="1:5" x14ac:dyDescent="0.3">
      <c r="A295" s="93"/>
      <c r="C295" t="s">
        <v>764</v>
      </c>
      <c r="D295" t="s">
        <v>409</v>
      </c>
      <c r="E295" s="45"/>
    </row>
    <row r="296" spans="1:5" x14ac:dyDescent="0.3">
      <c r="A296" s="93"/>
      <c r="C296" t="s">
        <v>765</v>
      </c>
      <c r="D296" t="s">
        <v>58</v>
      </c>
      <c r="E296" s="45"/>
    </row>
    <row r="297" spans="1:5" x14ac:dyDescent="0.3">
      <c r="A297" s="93"/>
      <c r="C297" t="s">
        <v>766</v>
      </c>
      <c r="D297" t="s">
        <v>43</v>
      </c>
      <c r="E297" s="45"/>
    </row>
    <row r="298" spans="1:5" x14ac:dyDescent="0.3">
      <c r="A298" s="93"/>
      <c r="C298" t="s">
        <v>769</v>
      </c>
      <c r="D298" t="s">
        <v>637</v>
      </c>
      <c r="E298" s="45"/>
    </row>
    <row r="299" spans="1:5" x14ac:dyDescent="0.3">
      <c r="A299" s="93"/>
      <c r="C299" t="s">
        <v>774</v>
      </c>
      <c r="D299" t="s">
        <v>773</v>
      </c>
      <c r="E299" s="45"/>
    </row>
    <row r="300" spans="1:5" x14ac:dyDescent="0.3">
      <c r="A300" s="93"/>
      <c r="C300" t="s">
        <v>776</v>
      </c>
      <c r="D300" t="s">
        <v>43</v>
      </c>
      <c r="E300" s="45"/>
    </row>
    <row r="301" spans="1:5" x14ac:dyDescent="0.3">
      <c r="A301" s="93"/>
      <c r="C301" t="s">
        <v>777</v>
      </c>
      <c r="D301" t="s">
        <v>409</v>
      </c>
      <c r="E301" s="45"/>
    </row>
    <row r="302" spans="1:5" x14ac:dyDescent="0.3">
      <c r="A302" s="93"/>
      <c r="C302" t="s">
        <v>779</v>
      </c>
      <c r="D302" t="s">
        <v>20</v>
      </c>
      <c r="E302" s="45"/>
    </row>
    <row r="303" spans="1:5" x14ac:dyDescent="0.3">
      <c r="A303" s="93"/>
      <c r="C303" t="s">
        <v>780</v>
      </c>
      <c r="D303" t="s">
        <v>409</v>
      </c>
      <c r="E303" s="45"/>
    </row>
    <row r="304" spans="1:5" x14ac:dyDescent="0.3">
      <c r="A304" s="93"/>
      <c r="C304" t="s">
        <v>781</v>
      </c>
      <c r="D304" t="s">
        <v>491</v>
      </c>
      <c r="E304" s="45"/>
    </row>
    <row r="305" spans="1:5" x14ac:dyDescent="0.3">
      <c r="A305" s="93"/>
      <c r="C305" t="s">
        <v>783</v>
      </c>
      <c r="D305" t="s">
        <v>409</v>
      </c>
      <c r="E305" s="45"/>
    </row>
    <row r="306" spans="1:5" x14ac:dyDescent="0.3">
      <c r="A306" s="93"/>
      <c r="C306" t="s">
        <v>788</v>
      </c>
      <c r="D306" t="s">
        <v>784</v>
      </c>
      <c r="E306" s="45"/>
    </row>
    <row r="307" spans="1:5" x14ac:dyDescent="0.3">
      <c r="A307" s="93"/>
      <c r="C307" t="s">
        <v>789</v>
      </c>
      <c r="D307" t="s">
        <v>409</v>
      </c>
      <c r="E307" s="45"/>
    </row>
    <row r="308" spans="1:5" x14ac:dyDescent="0.3">
      <c r="A308" s="93"/>
      <c r="C308" t="s">
        <v>790</v>
      </c>
      <c r="D308" t="s">
        <v>62</v>
      </c>
      <c r="E308" s="45"/>
    </row>
    <row r="309" spans="1:5" x14ac:dyDescent="0.3">
      <c r="A309" s="93"/>
      <c r="C309" t="s">
        <v>793</v>
      </c>
      <c r="D309" t="s">
        <v>409</v>
      </c>
      <c r="E309" s="45"/>
    </row>
    <row r="310" spans="1:5" x14ac:dyDescent="0.3">
      <c r="A310" s="93"/>
      <c r="C310" t="s">
        <v>794</v>
      </c>
      <c r="D310" t="s">
        <v>400</v>
      </c>
      <c r="E310" s="45"/>
    </row>
    <row r="311" spans="1:5" x14ac:dyDescent="0.3">
      <c r="A311" s="93"/>
      <c r="C311" t="s">
        <v>795</v>
      </c>
      <c r="D311" t="s">
        <v>23</v>
      </c>
      <c r="E311" s="45"/>
    </row>
    <row r="312" spans="1:5" x14ac:dyDescent="0.3">
      <c r="A312" s="93"/>
      <c r="C312" t="s">
        <v>796</v>
      </c>
      <c r="D312" t="s">
        <v>409</v>
      </c>
      <c r="E312" s="45"/>
    </row>
    <row r="313" spans="1:5" x14ac:dyDescent="0.3">
      <c r="A313" s="93"/>
      <c r="C313" t="s">
        <v>797</v>
      </c>
      <c r="D313" t="s">
        <v>491</v>
      </c>
      <c r="E313" s="45"/>
    </row>
    <row r="314" spans="1:5" x14ac:dyDescent="0.3">
      <c r="A314" s="87" t="s">
        <v>938</v>
      </c>
      <c r="B314" s="17"/>
      <c r="C314" s="17"/>
      <c r="D314" s="17"/>
      <c r="E314" s="23"/>
    </row>
    <row r="315" spans="1:5" x14ac:dyDescent="0.3">
      <c r="A315" s="93"/>
      <c r="C315" t="s">
        <v>826</v>
      </c>
      <c r="D315" t="s">
        <v>409</v>
      </c>
      <c r="E315" s="45"/>
    </row>
    <row r="316" spans="1:5" x14ac:dyDescent="0.3">
      <c r="A316" s="93"/>
      <c r="C316" t="s">
        <v>827</v>
      </c>
      <c r="D316" t="s">
        <v>637</v>
      </c>
      <c r="E316" s="45"/>
    </row>
    <row r="317" spans="1:5" x14ac:dyDescent="0.3">
      <c r="A317" s="93"/>
      <c r="C317" t="s">
        <v>828</v>
      </c>
      <c r="D317" t="s">
        <v>409</v>
      </c>
      <c r="E317" s="45"/>
    </row>
    <row r="318" spans="1:5" x14ac:dyDescent="0.3">
      <c r="A318" s="93"/>
      <c r="C318" t="s">
        <v>829</v>
      </c>
      <c r="D318" t="s">
        <v>7</v>
      </c>
      <c r="E318" s="45"/>
    </row>
    <row r="319" spans="1:5" x14ac:dyDescent="0.3">
      <c r="A319" s="93"/>
      <c r="C319" t="s">
        <v>831</v>
      </c>
      <c r="D319" t="s">
        <v>62</v>
      </c>
      <c r="E319" s="45"/>
    </row>
    <row r="320" spans="1:5" x14ac:dyDescent="0.3">
      <c r="A320" s="93"/>
      <c r="C320" t="s">
        <v>832</v>
      </c>
      <c r="D320" t="s">
        <v>637</v>
      </c>
      <c r="E320" s="45"/>
    </row>
    <row r="321" spans="1:5" x14ac:dyDescent="0.3">
      <c r="A321" s="93"/>
      <c r="C321" t="s">
        <v>833</v>
      </c>
      <c r="D321" t="s">
        <v>491</v>
      </c>
      <c r="E321" s="45"/>
    </row>
    <row r="322" spans="1:5" x14ac:dyDescent="0.3">
      <c r="A322" s="93"/>
      <c r="C322" t="s">
        <v>834</v>
      </c>
      <c r="D322" t="s">
        <v>409</v>
      </c>
      <c r="E322" s="45"/>
    </row>
    <row r="323" spans="1:5" x14ac:dyDescent="0.3">
      <c r="A323" s="93"/>
      <c r="C323" t="s">
        <v>835</v>
      </c>
      <c r="D323" t="s">
        <v>665</v>
      </c>
      <c r="E323" s="45"/>
    </row>
    <row r="324" spans="1:5" x14ac:dyDescent="0.3">
      <c r="A324" s="93"/>
      <c r="C324" t="s">
        <v>836</v>
      </c>
      <c r="D324" t="s">
        <v>58</v>
      </c>
      <c r="E324" s="45"/>
    </row>
    <row r="325" spans="1:5" x14ac:dyDescent="0.3">
      <c r="A325" s="93"/>
      <c r="C325" t="s">
        <v>837</v>
      </c>
      <c r="D325" t="s">
        <v>7</v>
      </c>
      <c r="E325" s="45"/>
    </row>
    <row r="326" spans="1:5" x14ac:dyDescent="0.3">
      <c r="A326" s="93"/>
      <c r="C326" t="s">
        <v>842</v>
      </c>
      <c r="D326" t="s">
        <v>409</v>
      </c>
      <c r="E326" s="45"/>
    </row>
    <row r="327" spans="1:5" x14ac:dyDescent="0.3">
      <c r="A327" s="93"/>
      <c r="C327" t="s">
        <v>843</v>
      </c>
      <c r="D327" t="s">
        <v>43</v>
      </c>
      <c r="E327" s="45"/>
    </row>
    <row r="328" spans="1:5" x14ac:dyDescent="0.3">
      <c r="A328" s="93"/>
      <c r="C328" t="s">
        <v>844</v>
      </c>
      <c r="D328" t="s">
        <v>491</v>
      </c>
      <c r="E328" s="45"/>
    </row>
    <row r="329" spans="1:5" x14ac:dyDescent="0.3">
      <c r="A329" s="93"/>
      <c r="C329" t="s">
        <v>845</v>
      </c>
      <c r="D329" t="s">
        <v>409</v>
      </c>
      <c r="E329" s="45"/>
    </row>
    <row r="330" spans="1:5" x14ac:dyDescent="0.3">
      <c r="A330" s="93"/>
      <c r="C330" t="s">
        <v>846</v>
      </c>
      <c r="D330" t="s">
        <v>400</v>
      </c>
      <c r="E330" s="45"/>
    </row>
    <row r="331" spans="1:5" x14ac:dyDescent="0.3">
      <c r="A331" s="93"/>
      <c r="C331" t="s">
        <v>847</v>
      </c>
      <c r="D331" t="s">
        <v>62</v>
      </c>
      <c r="E331" s="45"/>
    </row>
    <row r="332" spans="1:5" x14ac:dyDescent="0.3">
      <c r="A332" s="87" t="s">
        <v>939</v>
      </c>
      <c r="B332" s="17"/>
      <c r="C332" s="17"/>
      <c r="D332" s="17"/>
      <c r="E332" s="23"/>
    </row>
    <row r="333" spans="1:5" x14ac:dyDescent="0.3">
      <c r="A333" s="93"/>
      <c r="C333" t="s">
        <v>856</v>
      </c>
      <c r="D333" t="s">
        <v>58</v>
      </c>
      <c r="E333" s="45"/>
    </row>
    <row r="334" spans="1:5" x14ac:dyDescent="0.3">
      <c r="A334" s="93"/>
      <c r="C334" t="s">
        <v>857</v>
      </c>
      <c r="D334" t="s">
        <v>400</v>
      </c>
      <c r="E334" s="45"/>
    </row>
    <row r="335" spans="1:5" x14ac:dyDescent="0.3">
      <c r="A335" s="93"/>
      <c r="C335" t="s">
        <v>858</v>
      </c>
      <c r="D335" t="s">
        <v>409</v>
      </c>
      <c r="E335" s="45"/>
    </row>
    <row r="336" spans="1:5" x14ac:dyDescent="0.3">
      <c r="A336" s="93"/>
      <c r="C336" t="s">
        <v>861</v>
      </c>
      <c r="D336" t="s">
        <v>859</v>
      </c>
      <c r="E336" s="45"/>
    </row>
    <row r="337" spans="1:5" x14ac:dyDescent="0.3">
      <c r="A337" s="93"/>
      <c r="C337" t="s">
        <v>866</v>
      </c>
      <c r="D337" t="s">
        <v>409</v>
      </c>
      <c r="E337" s="45"/>
    </row>
    <row r="338" spans="1:5" x14ac:dyDescent="0.3">
      <c r="A338" s="93"/>
      <c r="C338" t="s">
        <v>867</v>
      </c>
      <c r="D338" t="s">
        <v>409</v>
      </c>
      <c r="E338" s="45"/>
    </row>
    <row r="339" spans="1:5" x14ac:dyDescent="0.3">
      <c r="A339" s="93"/>
      <c r="C339" t="s">
        <v>868</v>
      </c>
      <c r="D339" t="s">
        <v>409</v>
      </c>
      <c r="E339" s="45"/>
    </row>
    <row r="340" spans="1:5" x14ac:dyDescent="0.3">
      <c r="A340" s="93"/>
      <c r="C340" t="s">
        <v>869</v>
      </c>
      <c r="D340" t="s">
        <v>7</v>
      </c>
      <c r="E340" s="45"/>
    </row>
    <row r="341" spans="1:5" x14ac:dyDescent="0.3">
      <c r="A341" s="93"/>
      <c r="C341" t="s">
        <v>870</v>
      </c>
      <c r="D341" t="s">
        <v>62</v>
      </c>
      <c r="E341" s="45"/>
    </row>
    <row r="342" spans="1:5" x14ac:dyDescent="0.3">
      <c r="A342" s="93"/>
      <c r="C342" t="s">
        <v>871</v>
      </c>
      <c r="D342" t="s">
        <v>491</v>
      </c>
      <c r="E342" s="45"/>
    </row>
    <row r="343" spans="1:5" x14ac:dyDescent="0.3">
      <c r="A343" s="93"/>
      <c r="C343" t="s">
        <v>873</v>
      </c>
      <c r="D343" t="s">
        <v>58</v>
      </c>
      <c r="E343" s="45"/>
    </row>
    <row r="344" spans="1:5" x14ac:dyDescent="0.3">
      <c r="A344" s="87" t="s">
        <v>940</v>
      </c>
      <c r="B344" s="17"/>
      <c r="C344" s="17"/>
      <c r="D344" s="17"/>
      <c r="E344" s="23"/>
    </row>
    <row r="345" spans="1:5" x14ac:dyDescent="0.3">
      <c r="A345" s="93"/>
      <c r="C345" t="s">
        <v>891</v>
      </c>
      <c r="D345" t="s">
        <v>859</v>
      </c>
      <c r="E345" s="45"/>
    </row>
    <row r="346" spans="1:5" x14ac:dyDescent="0.3">
      <c r="A346" s="93"/>
      <c r="C346" t="s">
        <v>895</v>
      </c>
      <c r="D346" t="s">
        <v>409</v>
      </c>
      <c r="E346" s="45"/>
    </row>
    <row r="347" spans="1:5" x14ac:dyDescent="0.3">
      <c r="A347" s="93"/>
      <c r="C347" t="s">
        <v>897</v>
      </c>
      <c r="D347" t="s">
        <v>7</v>
      </c>
      <c r="E347" s="45"/>
    </row>
    <row r="348" spans="1:5" x14ac:dyDescent="0.3">
      <c r="A348" s="93"/>
      <c r="C348" t="s">
        <v>898</v>
      </c>
      <c r="D348" t="s">
        <v>784</v>
      </c>
      <c r="E348" s="45"/>
    </row>
    <row r="349" spans="1:5" x14ac:dyDescent="0.3">
      <c r="A349" s="93"/>
      <c r="C349" t="s">
        <v>899</v>
      </c>
      <c r="D349" t="s">
        <v>409</v>
      </c>
      <c r="E349" s="45"/>
    </row>
    <row r="350" spans="1:5" x14ac:dyDescent="0.3">
      <c r="A350" s="93"/>
      <c r="C350" t="s">
        <v>900</v>
      </c>
      <c r="D350" t="s">
        <v>901</v>
      </c>
      <c r="E350" s="45"/>
    </row>
    <row r="351" spans="1:5" x14ac:dyDescent="0.3">
      <c r="A351" s="93"/>
      <c r="C351" t="s">
        <v>902</v>
      </c>
      <c r="D351" t="s">
        <v>23</v>
      </c>
      <c r="E351" s="45"/>
    </row>
    <row r="352" spans="1:5" x14ac:dyDescent="0.3">
      <c r="A352" s="93"/>
      <c r="C352" t="s">
        <v>906</v>
      </c>
      <c r="D352" t="s">
        <v>20</v>
      </c>
      <c r="E352" s="45"/>
    </row>
    <row r="353" spans="1:5" x14ac:dyDescent="0.3">
      <c r="A353" s="93"/>
      <c r="C353" t="s">
        <v>907</v>
      </c>
      <c r="D353" t="s">
        <v>491</v>
      </c>
      <c r="E353" s="45"/>
    </row>
    <row r="354" spans="1:5" x14ac:dyDescent="0.3">
      <c r="A354" s="93"/>
      <c r="C354" t="s">
        <v>909</v>
      </c>
      <c r="D354" t="s">
        <v>859</v>
      </c>
      <c r="E354" s="45"/>
    </row>
    <row r="355" spans="1:5" x14ac:dyDescent="0.3">
      <c r="A355" s="93"/>
      <c r="C355" t="s">
        <v>910</v>
      </c>
      <c r="D355" t="s">
        <v>409</v>
      </c>
      <c r="E355" s="45"/>
    </row>
    <row r="356" spans="1:5" x14ac:dyDescent="0.3">
      <c r="A356" s="93"/>
      <c r="C356" t="s">
        <v>911</v>
      </c>
      <c r="D356" t="s">
        <v>58</v>
      </c>
      <c r="E356" s="45"/>
    </row>
    <row r="357" spans="1:5" x14ac:dyDescent="0.3">
      <c r="A357" s="93"/>
      <c r="C357" t="s">
        <v>912</v>
      </c>
      <c r="D357" t="s">
        <v>62</v>
      </c>
      <c r="E357" s="45"/>
    </row>
    <row r="358" spans="1:5" x14ac:dyDescent="0.3">
      <c r="A358" s="93"/>
      <c r="C358" t="s">
        <v>914</v>
      </c>
      <c r="D358" t="s">
        <v>859</v>
      </c>
      <c r="E358" s="45"/>
    </row>
    <row r="359" spans="1:5" x14ac:dyDescent="0.3">
      <c r="A359" s="93"/>
      <c r="C359" t="s">
        <v>915</v>
      </c>
      <c r="D359" t="s">
        <v>400</v>
      </c>
      <c r="E359" s="45"/>
    </row>
    <row r="360" spans="1:5" x14ac:dyDescent="0.3">
      <c r="A360" s="87" t="s">
        <v>941</v>
      </c>
      <c r="B360" s="17"/>
      <c r="C360" s="17"/>
      <c r="D360" s="17"/>
      <c r="E360" s="23"/>
    </row>
    <row r="361" spans="1:5" x14ac:dyDescent="0.3">
      <c r="A361" s="93"/>
      <c r="C361" t="s">
        <v>924</v>
      </c>
      <c r="D361" t="s">
        <v>409</v>
      </c>
      <c r="E361" s="45"/>
    </row>
    <row r="362" spans="1:5" x14ac:dyDescent="0.3">
      <c r="A362" s="93"/>
      <c r="C362" t="s">
        <v>925</v>
      </c>
      <c r="D362" t="s">
        <v>58</v>
      </c>
      <c r="E362" s="45"/>
    </row>
    <row r="363" spans="1:5" x14ac:dyDescent="0.3">
      <c r="A363" s="93"/>
      <c r="C363" t="s">
        <v>927</v>
      </c>
      <c r="D363" t="s">
        <v>409</v>
      </c>
      <c r="E363" s="45"/>
    </row>
    <row r="364" spans="1:5" x14ac:dyDescent="0.3">
      <c r="A364" s="93"/>
      <c r="C364" t="s">
        <v>930</v>
      </c>
      <c r="D364" t="s">
        <v>928</v>
      </c>
      <c r="E364" s="45"/>
    </row>
    <row r="365" spans="1:5" x14ac:dyDescent="0.3">
      <c r="A365" s="93"/>
      <c r="C365" t="s">
        <v>931</v>
      </c>
      <c r="D365" t="s">
        <v>409</v>
      </c>
      <c r="E365" s="45"/>
    </row>
    <row r="366" spans="1:5" x14ac:dyDescent="0.3">
      <c r="A366" s="93"/>
      <c r="C366" t="s">
        <v>932</v>
      </c>
      <c r="D366" t="s">
        <v>491</v>
      </c>
      <c r="E366" s="45"/>
    </row>
    <row r="367" spans="1:5" x14ac:dyDescent="0.3">
      <c r="A367" s="93"/>
      <c r="C367" t="s">
        <v>933</v>
      </c>
      <c r="D367" t="s">
        <v>409</v>
      </c>
      <c r="E367" s="45"/>
    </row>
    <row r="368" spans="1:5" x14ac:dyDescent="0.3">
      <c r="A368" s="93"/>
      <c r="C368" t="s">
        <v>934</v>
      </c>
      <c r="D368" t="s">
        <v>409</v>
      </c>
      <c r="E368" s="45"/>
    </row>
    <row r="369" spans="1:5" x14ac:dyDescent="0.3">
      <c r="A369" s="93"/>
      <c r="C369" t="s">
        <v>936</v>
      </c>
      <c r="D369" t="s">
        <v>7</v>
      </c>
      <c r="E369" s="45"/>
    </row>
    <row r="370" spans="1:5" x14ac:dyDescent="0.3">
      <c r="A370" s="93"/>
      <c r="C370" t="s">
        <v>937</v>
      </c>
      <c r="D370" t="s">
        <v>491</v>
      </c>
      <c r="E370" s="45"/>
    </row>
    <row r="371" spans="1:5" x14ac:dyDescent="0.3">
      <c r="A371" s="93"/>
      <c r="E371" s="45"/>
    </row>
    <row r="372" spans="1:5" x14ac:dyDescent="0.3">
      <c r="A372" s="93"/>
      <c r="E372" s="45"/>
    </row>
    <row r="373" spans="1:5" x14ac:dyDescent="0.3">
      <c r="A373" s="93"/>
      <c r="E373" s="45"/>
    </row>
    <row r="374" spans="1:5" x14ac:dyDescent="0.3">
      <c r="A374" s="93"/>
      <c r="E374" s="45"/>
    </row>
    <row r="375" spans="1:5" x14ac:dyDescent="0.3">
      <c r="A375" s="93"/>
      <c r="E375" s="45"/>
    </row>
    <row r="376" spans="1:5" x14ac:dyDescent="0.3">
      <c r="A376" s="93"/>
      <c r="E376" s="45"/>
    </row>
    <row r="377" spans="1:5" x14ac:dyDescent="0.3">
      <c r="A377" s="93"/>
      <c r="E377" s="45"/>
    </row>
    <row r="378" spans="1:5" x14ac:dyDescent="0.3">
      <c r="A378" s="93"/>
      <c r="E378" s="45"/>
    </row>
    <row r="379" spans="1:5" x14ac:dyDescent="0.3">
      <c r="A379" s="93"/>
      <c r="E379" s="45"/>
    </row>
    <row r="380" spans="1:5" x14ac:dyDescent="0.3">
      <c r="A380" s="93"/>
      <c r="E380" s="45"/>
    </row>
    <row r="381" spans="1:5" x14ac:dyDescent="0.3">
      <c r="A381" s="93"/>
      <c r="E381" s="45"/>
    </row>
    <row r="382" spans="1:5" x14ac:dyDescent="0.3">
      <c r="A382" s="93"/>
      <c r="E382" s="45"/>
    </row>
    <row r="383" spans="1:5" x14ac:dyDescent="0.3">
      <c r="A383" s="87" t="s">
        <v>942</v>
      </c>
      <c r="B383" s="17"/>
      <c r="C383" s="17"/>
      <c r="D383" s="17"/>
      <c r="E383" s="23"/>
    </row>
    <row r="384" spans="1:5" x14ac:dyDescent="0.3">
      <c r="A384" s="93"/>
      <c r="E384" s="45"/>
    </row>
    <row r="385" spans="1:5" x14ac:dyDescent="0.3">
      <c r="A385" s="93"/>
      <c r="E385" s="45"/>
    </row>
    <row r="386" spans="1:5" x14ac:dyDescent="0.3">
      <c r="A386" s="93"/>
      <c r="E386" s="45"/>
    </row>
    <row r="387" spans="1:5" x14ac:dyDescent="0.3">
      <c r="A387" s="93"/>
      <c r="E387" s="45"/>
    </row>
    <row r="388" spans="1:5" x14ac:dyDescent="0.3">
      <c r="A388" s="93"/>
      <c r="E388" s="45"/>
    </row>
    <row r="389" spans="1:5" x14ac:dyDescent="0.3">
      <c r="A389" s="93"/>
      <c r="E389" s="45"/>
    </row>
    <row r="390" spans="1:5" x14ac:dyDescent="0.3">
      <c r="A390" s="93"/>
      <c r="E390" s="45"/>
    </row>
    <row r="391" spans="1:5" x14ac:dyDescent="0.3">
      <c r="A391" s="93"/>
      <c r="E391" s="45"/>
    </row>
    <row r="392" spans="1:5" x14ac:dyDescent="0.3">
      <c r="A392" s="93"/>
      <c r="E392" s="45"/>
    </row>
    <row r="393" spans="1:5" x14ac:dyDescent="0.3">
      <c r="A393" s="93"/>
      <c r="E393" s="45"/>
    </row>
    <row r="394" spans="1:5" x14ac:dyDescent="0.3">
      <c r="A394" s="93"/>
      <c r="E394" s="45"/>
    </row>
    <row r="395" spans="1:5" x14ac:dyDescent="0.3">
      <c r="A395" s="93"/>
      <c r="E395" s="45"/>
    </row>
    <row r="396" spans="1:5" x14ac:dyDescent="0.3">
      <c r="A396" s="93"/>
      <c r="E396" s="45"/>
    </row>
    <row r="397" spans="1:5" x14ac:dyDescent="0.3">
      <c r="A397" s="93"/>
      <c r="E397" s="45"/>
    </row>
    <row r="398" spans="1:5" x14ac:dyDescent="0.3">
      <c r="A398" s="93"/>
      <c r="E398" s="45"/>
    </row>
    <row r="399" spans="1:5" x14ac:dyDescent="0.3">
      <c r="A399" s="93"/>
      <c r="E399" s="45"/>
    </row>
    <row r="400" spans="1:5" x14ac:dyDescent="0.3">
      <c r="A400" s="93"/>
      <c r="E400" s="45"/>
    </row>
    <row r="401" spans="1:5" x14ac:dyDescent="0.3">
      <c r="A401" s="93"/>
      <c r="E401" s="45"/>
    </row>
    <row r="402" spans="1:5" x14ac:dyDescent="0.3">
      <c r="A402" s="93"/>
      <c r="E402" s="45"/>
    </row>
    <row r="403" spans="1:5" x14ac:dyDescent="0.3">
      <c r="A403" s="93"/>
      <c r="E403" s="45"/>
    </row>
    <row r="404" spans="1:5" x14ac:dyDescent="0.3">
      <c r="A404" s="93"/>
      <c r="E404" s="45"/>
    </row>
    <row r="405" spans="1:5" x14ac:dyDescent="0.3">
      <c r="A405" s="93"/>
      <c r="E405" s="45"/>
    </row>
    <row r="406" spans="1:5" x14ac:dyDescent="0.3">
      <c r="A406" s="93"/>
      <c r="E406" s="45"/>
    </row>
    <row r="407" spans="1:5" x14ac:dyDescent="0.3">
      <c r="A407" s="93"/>
      <c r="E407" s="45"/>
    </row>
    <row r="408" spans="1:5" x14ac:dyDescent="0.3">
      <c r="A408" s="93"/>
      <c r="E408" s="45"/>
    </row>
    <row r="409" spans="1:5" x14ac:dyDescent="0.3">
      <c r="A409" s="93"/>
      <c r="E409" s="45"/>
    </row>
    <row r="410" spans="1:5" x14ac:dyDescent="0.3">
      <c r="A410" s="93"/>
      <c r="E410" s="45"/>
    </row>
    <row r="411" spans="1:5" x14ac:dyDescent="0.3">
      <c r="A411" s="58" t="s">
        <v>131</v>
      </c>
      <c r="B411" s="58"/>
      <c r="C411" s="58"/>
      <c r="D411" s="58"/>
      <c r="E411" s="59">
        <f>SUM(E292,E262)</f>
        <v>4550</v>
      </c>
    </row>
  </sheetData>
  <phoneticPr fontId="2" type="noConversion"/>
  <pageMargins left="0.78740157480314965" right="0" top="0.39370078740157483" bottom="0.39370078740157483" header="0.31496062992125984" footer="0"/>
  <pageSetup scale="75" orientation="portrait" r:id="rId1"/>
  <headerFooter>
    <oddHeader>&amp;LChemitjaya Sdn Bhd - Transportation Fee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E205"/>
  <sheetViews>
    <sheetView topLeftCell="A187" workbookViewId="0">
      <selection activeCell="F205" sqref="F205"/>
    </sheetView>
  </sheetViews>
  <sheetFormatPr defaultRowHeight="14.4" x14ac:dyDescent="0.3"/>
  <cols>
    <col min="1" max="1" width="20.5546875" bestFit="1" customWidth="1"/>
    <col min="2" max="2" width="21.44140625" customWidth="1"/>
    <col min="3" max="3" width="37.88671875" bestFit="1" customWidth="1"/>
    <col min="4" max="4" width="31.44140625" bestFit="1" customWidth="1"/>
    <col min="5" max="5" width="11.44140625" bestFit="1" customWidth="1"/>
  </cols>
  <sheetData>
    <row r="1" spans="1:5" x14ac:dyDescent="0.3">
      <c r="A1" s="14" t="s">
        <v>225</v>
      </c>
      <c r="B1" s="92">
        <v>2022</v>
      </c>
    </row>
    <row r="3" spans="1:5" x14ac:dyDescent="0.3">
      <c r="A3" s="14" t="s">
        <v>198</v>
      </c>
    </row>
    <row r="4" spans="1:5" x14ac:dyDescent="0.3">
      <c r="A4" s="14" t="s">
        <v>162</v>
      </c>
      <c r="B4" s="14" t="s">
        <v>3</v>
      </c>
      <c r="C4" s="14" t="s">
        <v>2</v>
      </c>
      <c r="D4" s="14" t="s">
        <v>1</v>
      </c>
      <c r="E4" t="s">
        <v>309</v>
      </c>
    </row>
    <row r="5" spans="1:5" x14ac:dyDescent="0.3">
      <c r="A5">
        <v>3</v>
      </c>
      <c r="B5" s="57">
        <v>44625</v>
      </c>
      <c r="C5" t="s">
        <v>633</v>
      </c>
      <c r="D5" t="s">
        <v>491</v>
      </c>
      <c r="E5" s="18">
        <v>6301</v>
      </c>
    </row>
    <row r="6" spans="1:5" x14ac:dyDescent="0.3">
      <c r="B6" s="57">
        <v>44628</v>
      </c>
      <c r="C6" t="s">
        <v>634</v>
      </c>
      <c r="D6" t="s">
        <v>637</v>
      </c>
      <c r="E6" s="18">
        <v>4873</v>
      </c>
    </row>
    <row r="7" spans="1:5" x14ac:dyDescent="0.3">
      <c r="C7" t="s">
        <v>635</v>
      </c>
      <c r="D7" t="s">
        <v>62</v>
      </c>
      <c r="E7" s="18">
        <v>15280</v>
      </c>
    </row>
    <row r="8" spans="1:5" x14ac:dyDescent="0.3">
      <c r="B8" s="57">
        <v>44629</v>
      </c>
      <c r="C8" t="s">
        <v>642</v>
      </c>
      <c r="D8" t="s">
        <v>637</v>
      </c>
      <c r="E8" s="18">
        <v>65</v>
      </c>
    </row>
    <row r="9" spans="1:5" x14ac:dyDescent="0.3">
      <c r="B9" s="57">
        <v>44631</v>
      </c>
      <c r="C9" t="s">
        <v>643</v>
      </c>
      <c r="D9" t="s">
        <v>400</v>
      </c>
      <c r="E9" s="18">
        <v>6379.9</v>
      </c>
    </row>
    <row r="10" spans="1:5" x14ac:dyDescent="0.3">
      <c r="B10" s="57">
        <v>44632</v>
      </c>
      <c r="C10" t="s">
        <v>644</v>
      </c>
      <c r="D10" t="s">
        <v>637</v>
      </c>
      <c r="E10" s="18">
        <v>390</v>
      </c>
    </row>
    <row r="11" spans="1:5" x14ac:dyDescent="0.3">
      <c r="C11" t="s">
        <v>645</v>
      </c>
      <c r="D11" t="s">
        <v>43</v>
      </c>
      <c r="E11" s="18">
        <v>2068</v>
      </c>
    </row>
    <row r="12" spans="1:5" x14ac:dyDescent="0.3">
      <c r="B12" s="57">
        <v>44634</v>
      </c>
      <c r="C12" t="s">
        <v>646</v>
      </c>
      <c r="D12" t="s">
        <v>409</v>
      </c>
      <c r="E12" s="18">
        <v>3029</v>
      </c>
    </row>
    <row r="13" spans="1:5" x14ac:dyDescent="0.3">
      <c r="B13" s="57">
        <v>44635</v>
      </c>
      <c r="C13" t="s">
        <v>647</v>
      </c>
      <c r="D13" t="s">
        <v>62</v>
      </c>
      <c r="E13" s="18">
        <v>14185</v>
      </c>
    </row>
    <row r="14" spans="1:5" x14ac:dyDescent="0.3">
      <c r="C14" t="s">
        <v>648</v>
      </c>
      <c r="D14" t="s">
        <v>409</v>
      </c>
      <c r="E14" s="18">
        <v>11425</v>
      </c>
    </row>
    <row r="15" spans="1:5" x14ac:dyDescent="0.3">
      <c r="B15" s="57">
        <v>44637</v>
      </c>
      <c r="C15" t="s">
        <v>649</v>
      </c>
      <c r="D15" t="s">
        <v>400</v>
      </c>
      <c r="E15" s="18">
        <v>315</v>
      </c>
    </row>
    <row r="16" spans="1:5" x14ac:dyDescent="0.3">
      <c r="B16" s="57">
        <v>44638</v>
      </c>
      <c r="C16" t="s">
        <v>650</v>
      </c>
      <c r="D16" t="s">
        <v>409</v>
      </c>
      <c r="E16" s="18">
        <v>9888</v>
      </c>
    </row>
    <row r="17" spans="1:5" x14ac:dyDescent="0.3">
      <c r="B17" s="57">
        <v>44639</v>
      </c>
      <c r="C17" t="s">
        <v>651</v>
      </c>
      <c r="D17" t="s">
        <v>491</v>
      </c>
      <c r="E17" s="18">
        <v>8127.5</v>
      </c>
    </row>
    <row r="18" spans="1:5" x14ac:dyDescent="0.3">
      <c r="B18" s="57">
        <v>44641</v>
      </c>
      <c r="C18" t="s">
        <v>652</v>
      </c>
      <c r="D18" t="s">
        <v>43</v>
      </c>
      <c r="E18" s="18">
        <v>337.5</v>
      </c>
    </row>
    <row r="19" spans="1:5" x14ac:dyDescent="0.3">
      <c r="B19" s="57">
        <v>44643</v>
      </c>
      <c r="C19" t="s">
        <v>653</v>
      </c>
      <c r="D19" t="s">
        <v>409</v>
      </c>
      <c r="E19" s="18">
        <v>8819</v>
      </c>
    </row>
    <row r="20" spans="1:5" x14ac:dyDescent="0.3">
      <c r="B20" s="57">
        <v>44645</v>
      </c>
      <c r="C20" t="s">
        <v>660</v>
      </c>
      <c r="D20" t="s">
        <v>409</v>
      </c>
      <c r="E20" s="18">
        <v>14422</v>
      </c>
    </row>
    <row r="21" spans="1:5" x14ac:dyDescent="0.3">
      <c r="B21" s="57">
        <v>44649</v>
      </c>
      <c r="C21" t="s">
        <v>661</v>
      </c>
      <c r="D21" t="s">
        <v>7</v>
      </c>
      <c r="E21" s="18">
        <v>3232</v>
      </c>
    </row>
    <row r="22" spans="1:5" x14ac:dyDescent="0.3">
      <c r="C22" t="s">
        <v>662</v>
      </c>
      <c r="D22" t="s">
        <v>409</v>
      </c>
      <c r="E22" s="18">
        <v>7593</v>
      </c>
    </row>
    <row r="23" spans="1:5" x14ac:dyDescent="0.3">
      <c r="B23" s="57">
        <v>44651</v>
      </c>
      <c r="C23" t="s">
        <v>663</v>
      </c>
      <c r="D23" t="s">
        <v>665</v>
      </c>
      <c r="E23" s="18">
        <v>3555</v>
      </c>
    </row>
    <row r="24" spans="1:5" x14ac:dyDescent="0.3">
      <c r="A24" s="58" t="s">
        <v>287</v>
      </c>
      <c r="B24" s="58"/>
      <c r="C24" s="58"/>
      <c r="D24" s="58"/>
      <c r="E24" s="102">
        <v>120284.9</v>
      </c>
    </row>
    <row r="25" spans="1:5" x14ac:dyDescent="0.3">
      <c r="A25">
        <v>4</v>
      </c>
      <c r="B25" t="s">
        <v>721</v>
      </c>
      <c r="C25" t="s">
        <v>720</v>
      </c>
      <c r="D25" t="s">
        <v>665</v>
      </c>
      <c r="E25" s="18">
        <v>3799</v>
      </c>
    </row>
    <row r="26" spans="1:5" x14ac:dyDescent="0.3">
      <c r="B26" s="57">
        <v>44652</v>
      </c>
      <c r="C26" t="s">
        <v>680</v>
      </c>
      <c r="D26" t="s">
        <v>491</v>
      </c>
      <c r="E26" s="18">
        <v>6083.5</v>
      </c>
    </row>
    <row r="27" spans="1:5" x14ac:dyDescent="0.3">
      <c r="C27" t="s">
        <v>683</v>
      </c>
      <c r="D27" t="s">
        <v>409</v>
      </c>
      <c r="E27" s="18">
        <v>9157.5</v>
      </c>
    </row>
    <row r="28" spans="1:5" x14ac:dyDescent="0.3">
      <c r="C28" t="s">
        <v>684</v>
      </c>
      <c r="D28" t="s">
        <v>637</v>
      </c>
      <c r="E28" s="18">
        <v>3480</v>
      </c>
    </row>
    <row r="29" spans="1:5" x14ac:dyDescent="0.3">
      <c r="B29" s="57">
        <v>44656</v>
      </c>
      <c r="C29" t="s">
        <v>685</v>
      </c>
      <c r="D29" t="s">
        <v>409</v>
      </c>
      <c r="E29" s="18">
        <v>10497.5</v>
      </c>
    </row>
    <row r="30" spans="1:5" x14ac:dyDescent="0.3">
      <c r="B30" s="57">
        <v>44659</v>
      </c>
      <c r="C30" t="s">
        <v>686</v>
      </c>
      <c r="D30" t="s">
        <v>400</v>
      </c>
      <c r="E30" s="18">
        <v>6361.1</v>
      </c>
    </row>
    <row r="31" spans="1:5" x14ac:dyDescent="0.3">
      <c r="C31" t="s">
        <v>687</v>
      </c>
      <c r="D31" t="s">
        <v>20</v>
      </c>
      <c r="E31" s="18">
        <v>7316</v>
      </c>
    </row>
    <row r="32" spans="1:5" x14ac:dyDescent="0.3">
      <c r="B32" s="57">
        <v>44660</v>
      </c>
      <c r="C32" t="s">
        <v>688</v>
      </c>
      <c r="D32" t="s">
        <v>58</v>
      </c>
      <c r="E32" s="18">
        <v>5043</v>
      </c>
    </row>
    <row r="33" spans="2:5" x14ac:dyDescent="0.3">
      <c r="C33" t="s">
        <v>689</v>
      </c>
      <c r="D33" t="s">
        <v>409</v>
      </c>
      <c r="E33" s="18">
        <v>8569.5</v>
      </c>
    </row>
    <row r="34" spans="2:5" x14ac:dyDescent="0.3">
      <c r="C34" t="s">
        <v>690</v>
      </c>
      <c r="D34" t="s">
        <v>773</v>
      </c>
      <c r="E34" s="18">
        <v>3881.5</v>
      </c>
    </row>
    <row r="35" spans="2:5" x14ac:dyDescent="0.3">
      <c r="B35" s="57">
        <v>44663</v>
      </c>
      <c r="C35" t="s">
        <v>691</v>
      </c>
      <c r="D35" t="s">
        <v>637</v>
      </c>
      <c r="E35" s="18">
        <v>590</v>
      </c>
    </row>
    <row r="36" spans="2:5" x14ac:dyDescent="0.3">
      <c r="B36" s="57">
        <v>44664</v>
      </c>
      <c r="C36" t="s">
        <v>692</v>
      </c>
      <c r="D36" t="s">
        <v>773</v>
      </c>
      <c r="E36" s="18">
        <v>588</v>
      </c>
    </row>
    <row r="37" spans="2:5" x14ac:dyDescent="0.3">
      <c r="C37" t="s">
        <v>693</v>
      </c>
      <c r="D37" t="s">
        <v>409</v>
      </c>
      <c r="E37" s="18">
        <v>10975.5</v>
      </c>
    </row>
    <row r="38" spans="2:5" x14ac:dyDescent="0.3">
      <c r="B38" s="57">
        <v>44665</v>
      </c>
      <c r="C38" t="s">
        <v>694</v>
      </c>
      <c r="D38" t="s">
        <v>491</v>
      </c>
      <c r="E38" s="18">
        <v>5746</v>
      </c>
    </row>
    <row r="39" spans="2:5" x14ac:dyDescent="0.3">
      <c r="B39" s="57">
        <v>44666</v>
      </c>
      <c r="C39" t="s">
        <v>695</v>
      </c>
      <c r="D39" t="s">
        <v>773</v>
      </c>
      <c r="E39" s="18">
        <v>2175</v>
      </c>
    </row>
    <row r="40" spans="2:5" x14ac:dyDescent="0.3">
      <c r="B40" s="57">
        <v>44667</v>
      </c>
      <c r="C40" t="s">
        <v>696</v>
      </c>
      <c r="D40" t="s">
        <v>409</v>
      </c>
      <c r="E40" s="18">
        <v>10103.5</v>
      </c>
    </row>
    <row r="41" spans="2:5" x14ac:dyDescent="0.3">
      <c r="C41" t="s">
        <v>697</v>
      </c>
      <c r="D41" t="s">
        <v>665</v>
      </c>
      <c r="E41" s="18">
        <v>14088.5</v>
      </c>
    </row>
    <row r="42" spans="2:5" x14ac:dyDescent="0.3">
      <c r="B42" s="57">
        <v>44670</v>
      </c>
      <c r="C42" t="s">
        <v>698</v>
      </c>
      <c r="D42" t="s">
        <v>409</v>
      </c>
      <c r="E42" s="18">
        <v>3076</v>
      </c>
    </row>
    <row r="43" spans="2:5" x14ac:dyDescent="0.3">
      <c r="B43" s="57">
        <v>44671</v>
      </c>
      <c r="C43" t="s">
        <v>699</v>
      </c>
      <c r="D43" t="s">
        <v>709</v>
      </c>
      <c r="E43" s="18">
        <v>1170</v>
      </c>
    </row>
    <row r="44" spans="2:5" x14ac:dyDescent="0.3">
      <c r="B44" s="57">
        <v>44672</v>
      </c>
      <c r="C44" t="s">
        <v>700</v>
      </c>
      <c r="D44" t="s">
        <v>23</v>
      </c>
      <c r="E44" s="18">
        <v>15222</v>
      </c>
    </row>
    <row r="45" spans="2:5" x14ac:dyDescent="0.3">
      <c r="C45" t="s">
        <v>701</v>
      </c>
      <c r="D45" t="s">
        <v>709</v>
      </c>
      <c r="E45" s="18">
        <v>68</v>
      </c>
    </row>
    <row r="46" spans="2:5" x14ac:dyDescent="0.3">
      <c r="C46" t="s">
        <v>715</v>
      </c>
      <c r="D46" t="s">
        <v>7</v>
      </c>
      <c r="E46" s="18">
        <v>2068</v>
      </c>
    </row>
    <row r="47" spans="2:5" x14ac:dyDescent="0.3">
      <c r="B47" s="57">
        <v>44673</v>
      </c>
      <c r="C47" t="s">
        <v>715</v>
      </c>
      <c r="D47" t="s">
        <v>7</v>
      </c>
      <c r="E47" s="18">
        <v>420</v>
      </c>
    </row>
    <row r="48" spans="2:5" x14ac:dyDescent="0.3">
      <c r="B48" s="57">
        <v>44674</v>
      </c>
      <c r="C48" t="s">
        <v>718</v>
      </c>
      <c r="D48" t="s">
        <v>409</v>
      </c>
      <c r="E48" s="18">
        <v>11151</v>
      </c>
    </row>
    <row r="49" spans="1:5" x14ac:dyDescent="0.3">
      <c r="B49" s="57">
        <v>44678</v>
      </c>
      <c r="C49" t="s">
        <v>723</v>
      </c>
      <c r="D49" t="s">
        <v>62</v>
      </c>
      <c r="E49" s="18">
        <v>11160</v>
      </c>
    </row>
    <row r="50" spans="1:5" x14ac:dyDescent="0.3">
      <c r="B50" s="57">
        <v>44679</v>
      </c>
      <c r="C50" t="s">
        <v>724</v>
      </c>
      <c r="D50" t="s">
        <v>491</v>
      </c>
      <c r="E50" s="18">
        <v>5458</v>
      </c>
    </row>
    <row r="51" spans="1:5" x14ac:dyDescent="0.3">
      <c r="C51" t="s">
        <v>725</v>
      </c>
      <c r="D51" t="s">
        <v>409</v>
      </c>
      <c r="E51" s="18">
        <v>11858.5</v>
      </c>
    </row>
    <row r="52" spans="1:5" x14ac:dyDescent="0.3">
      <c r="C52" t="s">
        <v>726</v>
      </c>
      <c r="D52" t="s">
        <v>400</v>
      </c>
      <c r="E52" s="18">
        <v>6096.1</v>
      </c>
    </row>
    <row r="53" spans="1:5" x14ac:dyDescent="0.3">
      <c r="B53" s="57">
        <v>44680</v>
      </c>
      <c r="C53" t="s">
        <v>728</v>
      </c>
      <c r="D53" t="s">
        <v>665</v>
      </c>
      <c r="E53" s="18">
        <v>1350</v>
      </c>
    </row>
    <row r="54" spans="1:5" x14ac:dyDescent="0.3">
      <c r="B54" s="57">
        <v>44681</v>
      </c>
      <c r="C54" t="s">
        <v>729</v>
      </c>
      <c r="D54" t="s">
        <v>409</v>
      </c>
      <c r="E54" s="18">
        <v>15244</v>
      </c>
    </row>
    <row r="55" spans="1:5" x14ac:dyDescent="0.3">
      <c r="A55" s="58" t="s">
        <v>308</v>
      </c>
      <c r="B55" s="58"/>
      <c r="C55" s="58"/>
      <c r="D55" s="58"/>
      <c r="E55" s="102">
        <v>192796.7</v>
      </c>
    </row>
    <row r="56" spans="1:5" x14ac:dyDescent="0.3">
      <c r="A56">
        <v>5</v>
      </c>
      <c r="B56" t="s">
        <v>767</v>
      </c>
      <c r="C56" t="s">
        <v>766</v>
      </c>
      <c r="D56" t="s">
        <v>43</v>
      </c>
      <c r="E56" s="18">
        <v>2534</v>
      </c>
    </row>
    <row r="57" spans="1:5" x14ac:dyDescent="0.3">
      <c r="B57" s="57">
        <v>44687</v>
      </c>
      <c r="C57" t="s">
        <v>762</v>
      </c>
      <c r="D57" t="s">
        <v>409</v>
      </c>
      <c r="E57" s="18">
        <v>11530</v>
      </c>
    </row>
    <row r="58" spans="1:5" x14ac:dyDescent="0.3">
      <c r="C58" t="s">
        <v>763</v>
      </c>
      <c r="D58" t="s">
        <v>665</v>
      </c>
      <c r="E58" s="18">
        <v>1350</v>
      </c>
    </row>
    <row r="59" spans="1:5" x14ac:dyDescent="0.3">
      <c r="B59" s="57">
        <v>44688</v>
      </c>
      <c r="C59" t="s">
        <v>764</v>
      </c>
      <c r="D59" t="s">
        <v>409</v>
      </c>
      <c r="E59" s="18">
        <v>16245</v>
      </c>
    </row>
    <row r="60" spans="1:5" x14ac:dyDescent="0.3">
      <c r="B60" s="57">
        <v>44691</v>
      </c>
      <c r="C60" t="s">
        <v>765</v>
      </c>
      <c r="D60" t="s">
        <v>58</v>
      </c>
      <c r="E60" s="18">
        <v>5100</v>
      </c>
    </row>
    <row r="61" spans="1:5" x14ac:dyDescent="0.3">
      <c r="B61" s="57">
        <v>44693</v>
      </c>
      <c r="C61" t="s">
        <v>769</v>
      </c>
      <c r="D61" t="s">
        <v>637</v>
      </c>
      <c r="E61" s="18">
        <v>4317.8999999999996</v>
      </c>
    </row>
    <row r="62" spans="1:5" x14ac:dyDescent="0.3">
      <c r="C62" t="s">
        <v>774</v>
      </c>
      <c r="D62" t="s">
        <v>773</v>
      </c>
      <c r="E62" s="18">
        <v>8524.5</v>
      </c>
    </row>
    <row r="63" spans="1:5" x14ac:dyDescent="0.3">
      <c r="B63" s="57">
        <v>44695</v>
      </c>
      <c r="C63" t="s">
        <v>776</v>
      </c>
      <c r="D63" t="s">
        <v>43</v>
      </c>
      <c r="E63" s="18">
        <v>100</v>
      </c>
    </row>
    <row r="64" spans="1:5" x14ac:dyDescent="0.3">
      <c r="C64" t="s">
        <v>777</v>
      </c>
      <c r="D64" t="s">
        <v>409</v>
      </c>
      <c r="E64" s="18">
        <v>10369.5</v>
      </c>
    </row>
    <row r="65" spans="1:5" x14ac:dyDescent="0.3">
      <c r="B65" s="57">
        <v>44697</v>
      </c>
      <c r="C65" t="s">
        <v>779</v>
      </c>
      <c r="D65" t="s">
        <v>20</v>
      </c>
      <c r="E65" s="18">
        <v>7336</v>
      </c>
    </row>
    <row r="66" spans="1:5" x14ac:dyDescent="0.3">
      <c r="B66" s="57">
        <v>44699</v>
      </c>
      <c r="C66" t="s">
        <v>780</v>
      </c>
      <c r="D66" t="s">
        <v>409</v>
      </c>
      <c r="E66" s="18">
        <v>8417</v>
      </c>
    </row>
    <row r="67" spans="1:5" x14ac:dyDescent="0.3">
      <c r="B67" s="57">
        <v>44700</v>
      </c>
      <c r="C67" t="s">
        <v>781</v>
      </c>
      <c r="D67" t="s">
        <v>491</v>
      </c>
      <c r="E67" s="18">
        <v>3484</v>
      </c>
    </row>
    <row r="68" spans="1:5" x14ac:dyDescent="0.3">
      <c r="B68" s="57">
        <v>44701</v>
      </c>
      <c r="C68" t="s">
        <v>783</v>
      </c>
      <c r="D68" t="s">
        <v>409</v>
      </c>
      <c r="E68" s="18">
        <v>13110</v>
      </c>
    </row>
    <row r="69" spans="1:5" x14ac:dyDescent="0.3">
      <c r="B69" s="57">
        <v>44702</v>
      </c>
      <c r="C69" t="s">
        <v>788</v>
      </c>
      <c r="D69" t="s">
        <v>784</v>
      </c>
      <c r="E69" s="18">
        <v>1239.5999999999999</v>
      </c>
    </row>
    <row r="70" spans="1:5" x14ac:dyDescent="0.3">
      <c r="C70" t="s">
        <v>789</v>
      </c>
      <c r="D70" t="s">
        <v>409</v>
      </c>
      <c r="E70" s="18">
        <v>13110</v>
      </c>
    </row>
    <row r="71" spans="1:5" x14ac:dyDescent="0.3">
      <c r="B71" s="57">
        <v>44704</v>
      </c>
      <c r="C71" t="s">
        <v>790</v>
      </c>
      <c r="D71" t="s">
        <v>62</v>
      </c>
      <c r="E71" s="18">
        <v>14715</v>
      </c>
    </row>
    <row r="72" spans="1:5" x14ac:dyDescent="0.3">
      <c r="C72" t="s">
        <v>793</v>
      </c>
      <c r="D72" t="s">
        <v>409</v>
      </c>
      <c r="E72" s="18">
        <v>6750</v>
      </c>
    </row>
    <row r="73" spans="1:5" x14ac:dyDescent="0.3">
      <c r="C73" t="s">
        <v>794</v>
      </c>
      <c r="D73" t="s">
        <v>400</v>
      </c>
      <c r="E73" s="18">
        <v>6201.1</v>
      </c>
    </row>
    <row r="74" spans="1:5" x14ac:dyDescent="0.3">
      <c r="B74" s="57">
        <v>44705</v>
      </c>
      <c r="C74" t="s">
        <v>795</v>
      </c>
      <c r="D74" t="s">
        <v>23</v>
      </c>
      <c r="E74" s="18">
        <v>10120</v>
      </c>
    </row>
    <row r="75" spans="1:5" x14ac:dyDescent="0.3">
      <c r="B75" s="57">
        <v>44706</v>
      </c>
      <c r="C75" t="s">
        <v>796</v>
      </c>
      <c r="D75" t="s">
        <v>409</v>
      </c>
      <c r="E75" s="18">
        <v>14068</v>
      </c>
    </row>
    <row r="76" spans="1:5" x14ac:dyDescent="0.3">
      <c r="B76" s="57">
        <v>44709</v>
      </c>
      <c r="C76" t="s">
        <v>797</v>
      </c>
      <c r="D76" t="s">
        <v>491</v>
      </c>
      <c r="E76" s="18">
        <v>3241</v>
      </c>
    </row>
    <row r="77" spans="1:5" x14ac:dyDescent="0.3">
      <c r="A77" s="58" t="s">
        <v>330</v>
      </c>
      <c r="B77" s="58"/>
      <c r="C77" s="58"/>
      <c r="D77" s="58"/>
      <c r="E77" s="102">
        <v>161862.6</v>
      </c>
    </row>
    <row r="78" spans="1:5" x14ac:dyDescent="0.3">
      <c r="A78">
        <v>6</v>
      </c>
      <c r="B78" s="57">
        <v>44714</v>
      </c>
      <c r="C78" t="s">
        <v>826</v>
      </c>
      <c r="D78" t="s">
        <v>409</v>
      </c>
      <c r="E78" s="18">
        <v>12427</v>
      </c>
    </row>
    <row r="79" spans="1:5" x14ac:dyDescent="0.3">
      <c r="B79" s="57">
        <v>44715</v>
      </c>
      <c r="C79" t="s">
        <v>827</v>
      </c>
      <c r="D79" t="s">
        <v>637</v>
      </c>
      <c r="E79" s="18">
        <v>2112</v>
      </c>
    </row>
    <row r="80" spans="1:5" x14ac:dyDescent="0.3">
      <c r="B80" s="57">
        <v>44716</v>
      </c>
      <c r="C80" t="s">
        <v>828</v>
      </c>
      <c r="D80" t="s">
        <v>409</v>
      </c>
      <c r="E80" s="18">
        <v>9000</v>
      </c>
    </row>
    <row r="81" spans="1:5" x14ac:dyDescent="0.3">
      <c r="B81" s="57">
        <v>44719</v>
      </c>
      <c r="C81" t="s">
        <v>829</v>
      </c>
      <c r="D81" t="s">
        <v>7</v>
      </c>
      <c r="E81" s="18">
        <v>2356</v>
      </c>
    </row>
    <row r="82" spans="1:5" x14ac:dyDescent="0.3">
      <c r="B82" s="57">
        <v>44721</v>
      </c>
      <c r="C82" t="s">
        <v>831</v>
      </c>
      <c r="D82" t="s">
        <v>62</v>
      </c>
      <c r="E82" s="18">
        <v>12690</v>
      </c>
    </row>
    <row r="83" spans="1:5" x14ac:dyDescent="0.3">
      <c r="C83" t="s">
        <v>832</v>
      </c>
      <c r="D83" t="s">
        <v>637</v>
      </c>
      <c r="E83" s="18">
        <v>2112</v>
      </c>
    </row>
    <row r="84" spans="1:5" x14ac:dyDescent="0.3">
      <c r="B84" s="57">
        <v>44722</v>
      </c>
      <c r="C84" t="s">
        <v>833</v>
      </c>
      <c r="D84" t="s">
        <v>491</v>
      </c>
      <c r="E84" s="18">
        <v>2746</v>
      </c>
    </row>
    <row r="85" spans="1:5" x14ac:dyDescent="0.3">
      <c r="B85" s="57">
        <v>44723</v>
      </c>
      <c r="C85" t="s">
        <v>834</v>
      </c>
      <c r="D85" t="s">
        <v>409</v>
      </c>
      <c r="E85" s="18">
        <v>4950</v>
      </c>
    </row>
    <row r="86" spans="1:5" x14ac:dyDescent="0.3">
      <c r="B86" s="57">
        <v>44725</v>
      </c>
      <c r="C86" t="s">
        <v>835</v>
      </c>
      <c r="D86" t="s">
        <v>665</v>
      </c>
      <c r="E86" s="18">
        <v>2158</v>
      </c>
    </row>
    <row r="87" spans="1:5" x14ac:dyDescent="0.3">
      <c r="B87" s="57">
        <v>44726</v>
      </c>
      <c r="C87" t="s">
        <v>836</v>
      </c>
      <c r="D87" t="s">
        <v>58</v>
      </c>
      <c r="E87" s="18">
        <v>3960</v>
      </c>
    </row>
    <row r="88" spans="1:5" x14ac:dyDescent="0.3">
      <c r="C88" t="s">
        <v>837</v>
      </c>
      <c r="D88" t="s">
        <v>7</v>
      </c>
      <c r="E88" s="18">
        <v>3232</v>
      </c>
    </row>
    <row r="89" spans="1:5" x14ac:dyDescent="0.3">
      <c r="B89" s="57">
        <v>44730</v>
      </c>
      <c r="C89" t="s">
        <v>842</v>
      </c>
      <c r="D89" t="s">
        <v>409</v>
      </c>
      <c r="E89" s="18">
        <v>4431.5</v>
      </c>
    </row>
    <row r="90" spans="1:5" x14ac:dyDescent="0.3">
      <c r="B90" s="57">
        <v>44732</v>
      </c>
      <c r="C90" t="s">
        <v>843</v>
      </c>
      <c r="D90" t="s">
        <v>43</v>
      </c>
      <c r="E90" s="18">
        <v>2068</v>
      </c>
    </row>
    <row r="91" spans="1:5" x14ac:dyDescent="0.3">
      <c r="B91" s="57">
        <v>44736</v>
      </c>
      <c r="C91" t="s">
        <v>844</v>
      </c>
      <c r="D91" t="s">
        <v>491</v>
      </c>
      <c r="E91" s="18">
        <v>3374.5</v>
      </c>
    </row>
    <row r="92" spans="1:5" x14ac:dyDescent="0.3">
      <c r="C92" t="s">
        <v>845</v>
      </c>
      <c r="D92" t="s">
        <v>409</v>
      </c>
      <c r="E92" s="18">
        <v>5889</v>
      </c>
    </row>
    <row r="93" spans="1:5" x14ac:dyDescent="0.3">
      <c r="B93" s="57">
        <v>44740</v>
      </c>
      <c r="C93" t="s">
        <v>846</v>
      </c>
      <c r="D93" t="s">
        <v>400</v>
      </c>
      <c r="E93" s="18">
        <v>6223.6</v>
      </c>
    </row>
    <row r="94" spans="1:5" x14ac:dyDescent="0.3">
      <c r="B94" s="57">
        <v>44741</v>
      </c>
      <c r="C94" t="s">
        <v>847</v>
      </c>
      <c r="D94" t="s">
        <v>62</v>
      </c>
      <c r="E94" s="18">
        <v>18515</v>
      </c>
    </row>
    <row r="95" spans="1:5" x14ac:dyDescent="0.3">
      <c r="A95" s="58" t="s">
        <v>141</v>
      </c>
      <c r="B95" s="58"/>
      <c r="C95" s="58"/>
      <c r="D95" s="58"/>
      <c r="E95" s="102">
        <v>98244.6</v>
      </c>
    </row>
    <row r="96" spans="1:5" x14ac:dyDescent="0.3">
      <c r="A96">
        <v>7</v>
      </c>
      <c r="B96" s="57">
        <v>44743</v>
      </c>
      <c r="C96" t="s">
        <v>856</v>
      </c>
      <c r="D96" t="s">
        <v>58</v>
      </c>
      <c r="E96" s="18">
        <v>1539</v>
      </c>
    </row>
    <row r="97" spans="1:5" x14ac:dyDescent="0.3">
      <c r="B97" s="57">
        <v>44754</v>
      </c>
      <c r="C97" t="s">
        <v>857</v>
      </c>
      <c r="D97" t="s">
        <v>400</v>
      </c>
      <c r="E97" s="18">
        <v>5183.6000000000004</v>
      </c>
    </row>
    <row r="98" spans="1:5" x14ac:dyDescent="0.3">
      <c r="B98" s="57">
        <v>44756</v>
      </c>
      <c r="C98" t="s">
        <v>858</v>
      </c>
      <c r="D98" t="s">
        <v>409</v>
      </c>
      <c r="E98" s="18">
        <v>12855.5</v>
      </c>
    </row>
    <row r="99" spans="1:5" x14ac:dyDescent="0.3">
      <c r="C99" t="s">
        <v>861</v>
      </c>
      <c r="D99" t="s">
        <v>859</v>
      </c>
      <c r="E99" s="18">
        <v>8568.2000000000007</v>
      </c>
    </row>
    <row r="100" spans="1:5" x14ac:dyDescent="0.3">
      <c r="B100" s="57">
        <v>44760</v>
      </c>
      <c r="C100" t="s">
        <v>866</v>
      </c>
      <c r="D100" t="s">
        <v>409</v>
      </c>
      <c r="E100" s="18">
        <v>9153</v>
      </c>
    </row>
    <row r="101" spans="1:5" x14ac:dyDescent="0.3">
      <c r="B101" s="57">
        <v>44762</v>
      </c>
      <c r="C101" t="s">
        <v>867</v>
      </c>
      <c r="D101" t="s">
        <v>409</v>
      </c>
      <c r="E101" s="18">
        <v>925.5</v>
      </c>
    </row>
    <row r="102" spans="1:5" x14ac:dyDescent="0.3">
      <c r="B102" s="57">
        <v>44765</v>
      </c>
      <c r="C102" t="s">
        <v>868</v>
      </c>
      <c r="D102" t="s">
        <v>409</v>
      </c>
      <c r="E102" s="18">
        <v>6625</v>
      </c>
    </row>
    <row r="103" spans="1:5" x14ac:dyDescent="0.3">
      <c r="C103" t="s">
        <v>869</v>
      </c>
      <c r="D103" t="s">
        <v>7</v>
      </c>
      <c r="E103" s="18">
        <v>4092</v>
      </c>
    </row>
    <row r="104" spans="1:5" x14ac:dyDescent="0.3">
      <c r="B104" s="57">
        <v>44768</v>
      </c>
      <c r="C104" t="s">
        <v>870</v>
      </c>
      <c r="D104" t="s">
        <v>62</v>
      </c>
      <c r="E104" s="18">
        <v>13445</v>
      </c>
    </row>
    <row r="105" spans="1:5" x14ac:dyDescent="0.3">
      <c r="B105" s="57">
        <v>44771</v>
      </c>
      <c r="C105" t="s">
        <v>871</v>
      </c>
      <c r="D105" t="s">
        <v>491</v>
      </c>
      <c r="E105" s="18">
        <v>2180</v>
      </c>
    </row>
    <row r="106" spans="1:5" x14ac:dyDescent="0.3">
      <c r="C106" t="s">
        <v>873</v>
      </c>
      <c r="D106" t="s">
        <v>58</v>
      </c>
      <c r="E106" s="18">
        <v>4596.5</v>
      </c>
    </row>
    <row r="107" spans="1:5" x14ac:dyDescent="0.3">
      <c r="A107" s="58" t="s">
        <v>142</v>
      </c>
      <c r="B107" s="58"/>
      <c r="C107" s="58"/>
      <c r="D107" s="58"/>
      <c r="E107" s="102">
        <v>69163.3</v>
      </c>
    </row>
    <row r="108" spans="1:5" x14ac:dyDescent="0.3">
      <c r="A108">
        <v>8</v>
      </c>
      <c r="B108" s="57">
        <v>44777</v>
      </c>
      <c r="C108" t="s">
        <v>891</v>
      </c>
      <c r="D108" t="s">
        <v>859</v>
      </c>
      <c r="E108" s="18">
        <v>12643.199999999999</v>
      </c>
    </row>
    <row r="109" spans="1:5" x14ac:dyDescent="0.3">
      <c r="B109" s="57">
        <v>44779</v>
      </c>
      <c r="C109" t="s">
        <v>895</v>
      </c>
      <c r="D109" t="s">
        <v>409</v>
      </c>
      <c r="E109" s="18">
        <v>5268.6</v>
      </c>
    </row>
    <row r="110" spans="1:5" x14ac:dyDescent="0.3">
      <c r="C110" t="s">
        <v>897</v>
      </c>
      <c r="D110" t="s">
        <v>7</v>
      </c>
      <c r="E110" s="18">
        <v>864</v>
      </c>
    </row>
    <row r="111" spans="1:5" x14ac:dyDescent="0.3">
      <c r="B111" s="57">
        <v>44782</v>
      </c>
      <c r="C111" t="s">
        <v>898</v>
      </c>
      <c r="D111" t="s">
        <v>784</v>
      </c>
      <c r="E111" s="18">
        <v>2068</v>
      </c>
    </row>
    <row r="112" spans="1:5" x14ac:dyDescent="0.3">
      <c r="B112" s="57">
        <v>44785</v>
      </c>
      <c r="C112" t="s">
        <v>899</v>
      </c>
      <c r="D112" t="s">
        <v>409</v>
      </c>
      <c r="E112" s="18">
        <v>4312.5</v>
      </c>
    </row>
    <row r="113" spans="1:5" x14ac:dyDescent="0.3">
      <c r="B113" s="57">
        <v>44788</v>
      </c>
      <c r="C113" t="s">
        <v>900</v>
      </c>
      <c r="D113" t="s">
        <v>1044</v>
      </c>
      <c r="E113" s="18">
        <v>0</v>
      </c>
    </row>
    <row r="114" spans="1:5" x14ac:dyDescent="0.3">
      <c r="C114" t="s">
        <v>902</v>
      </c>
      <c r="D114" t="s">
        <v>23</v>
      </c>
      <c r="E114" s="18">
        <v>16536.7</v>
      </c>
    </row>
    <row r="115" spans="1:5" x14ac:dyDescent="0.3">
      <c r="C115" t="s">
        <v>906</v>
      </c>
      <c r="D115" t="s">
        <v>20</v>
      </c>
      <c r="E115" s="18">
        <v>7521</v>
      </c>
    </row>
    <row r="116" spans="1:5" x14ac:dyDescent="0.3">
      <c r="B116" s="57">
        <v>44789</v>
      </c>
      <c r="C116" t="s">
        <v>907</v>
      </c>
      <c r="D116" t="s">
        <v>491</v>
      </c>
      <c r="E116" s="18">
        <v>3459</v>
      </c>
    </row>
    <row r="117" spans="1:5" x14ac:dyDescent="0.3">
      <c r="B117" s="57">
        <v>44796</v>
      </c>
      <c r="C117" t="s">
        <v>909</v>
      </c>
      <c r="D117" t="s">
        <v>859</v>
      </c>
      <c r="E117" s="18">
        <v>5840</v>
      </c>
    </row>
    <row r="118" spans="1:5" x14ac:dyDescent="0.3">
      <c r="C118" t="s">
        <v>910</v>
      </c>
      <c r="D118" t="s">
        <v>409</v>
      </c>
      <c r="E118" s="18">
        <v>6838.5</v>
      </c>
    </row>
    <row r="119" spans="1:5" x14ac:dyDescent="0.3">
      <c r="C119" t="s">
        <v>911</v>
      </c>
      <c r="D119" t="s">
        <v>58</v>
      </c>
      <c r="E119" s="18">
        <v>762</v>
      </c>
    </row>
    <row r="120" spans="1:5" x14ac:dyDescent="0.3">
      <c r="B120" s="57">
        <v>44798</v>
      </c>
      <c r="C120" t="s">
        <v>912</v>
      </c>
      <c r="D120" t="s">
        <v>62</v>
      </c>
      <c r="E120" s="18">
        <v>15671</v>
      </c>
    </row>
    <row r="121" spans="1:5" x14ac:dyDescent="0.3">
      <c r="C121" t="s">
        <v>914</v>
      </c>
      <c r="D121" t="s">
        <v>859</v>
      </c>
      <c r="E121" s="18">
        <v>6006</v>
      </c>
    </row>
    <row r="122" spans="1:5" x14ac:dyDescent="0.3">
      <c r="C122" t="s">
        <v>915</v>
      </c>
      <c r="D122" t="s">
        <v>400</v>
      </c>
      <c r="E122" s="18">
        <v>5886.8</v>
      </c>
    </row>
    <row r="123" spans="1:5" x14ac:dyDescent="0.3">
      <c r="B123" s="57">
        <v>44799</v>
      </c>
      <c r="C123" t="s">
        <v>915</v>
      </c>
      <c r="D123" t="s">
        <v>400</v>
      </c>
      <c r="E123" s="18">
        <v>250</v>
      </c>
    </row>
    <row r="124" spans="1:5" x14ac:dyDescent="0.3">
      <c r="A124" s="58" t="s">
        <v>143</v>
      </c>
      <c r="B124" s="58"/>
      <c r="C124" s="58"/>
      <c r="D124" s="58"/>
      <c r="E124" s="102">
        <v>93927.3</v>
      </c>
    </row>
    <row r="125" spans="1:5" x14ac:dyDescent="0.3">
      <c r="A125">
        <v>9</v>
      </c>
      <c r="B125" t="s">
        <v>926</v>
      </c>
      <c r="C125" t="s">
        <v>925</v>
      </c>
      <c r="D125" t="s">
        <v>58</v>
      </c>
      <c r="E125" s="18">
        <v>3784</v>
      </c>
    </row>
    <row r="126" spans="1:5" x14ac:dyDescent="0.3">
      <c r="B126" s="57">
        <v>44806</v>
      </c>
      <c r="C126" t="s">
        <v>924</v>
      </c>
      <c r="D126" t="s">
        <v>409</v>
      </c>
      <c r="E126" s="18">
        <v>9343.9</v>
      </c>
    </row>
    <row r="127" spans="1:5" x14ac:dyDescent="0.3">
      <c r="B127" s="57">
        <v>44810</v>
      </c>
      <c r="C127" t="s">
        <v>927</v>
      </c>
      <c r="D127" t="s">
        <v>409</v>
      </c>
      <c r="E127" s="18">
        <v>11453.6</v>
      </c>
    </row>
    <row r="128" spans="1:5" x14ac:dyDescent="0.3">
      <c r="B128" s="57">
        <v>44813</v>
      </c>
      <c r="C128" t="s">
        <v>930</v>
      </c>
      <c r="D128" t="s">
        <v>958</v>
      </c>
      <c r="E128" s="18">
        <v>2452</v>
      </c>
    </row>
    <row r="129" spans="1:5" x14ac:dyDescent="0.3">
      <c r="C129" t="s">
        <v>931</v>
      </c>
      <c r="D129" t="s">
        <v>409</v>
      </c>
      <c r="E129" s="18">
        <v>1914</v>
      </c>
    </row>
    <row r="130" spans="1:5" x14ac:dyDescent="0.3">
      <c r="C130" t="s">
        <v>932</v>
      </c>
      <c r="D130" t="s">
        <v>491</v>
      </c>
      <c r="E130" s="18">
        <v>2251</v>
      </c>
    </row>
    <row r="131" spans="1:5" x14ac:dyDescent="0.3">
      <c r="B131" s="57">
        <v>44817</v>
      </c>
      <c r="C131" t="s">
        <v>933</v>
      </c>
      <c r="D131" t="s">
        <v>409</v>
      </c>
      <c r="E131" s="18">
        <v>13163</v>
      </c>
    </row>
    <row r="132" spans="1:5" x14ac:dyDescent="0.3">
      <c r="C132" t="s">
        <v>934</v>
      </c>
      <c r="D132" t="s">
        <v>409</v>
      </c>
      <c r="E132" s="18">
        <v>11823</v>
      </c>
    </row>
    <row r="133" spans="1:5" x14ac:dyDescent="0.3">
      <c r="B133" s="57">
        <v>44818</v>
      </c>
      <c r="C133" t="s">
        <v>936</v>
      </c>
      <c r="D133" t="s">
        <v>7</v>
      </c>
      <c r="E133" s="18">
        <v>1840</v>
      </c>
    </row>
    <row r="134" spans="1:5" x14ac:dyDescent="0.3">
      <c r="B134" s="57">
        <v>44819</v>
      </c>
      <c r="C134" t="s">
        <v>937</v>
      </c>
      <c r="D134" t="s">
        <v>491</v>
      </c>
      <c r="E134" s="18">
        <v>3655.7</v>
      </c>
    </row>
    <row r="135" spans="1:5" x14ac:dyDescent="0.3">
      <c r="B135" s="57">
        <v>44827</v>
      </c>
      <c r="C135" t="s">
        <v>943</v>
      </c>
      <c r="D135" t="s">
        <v>400</v>
      </c>
      <c r="E135" s="18">
        <v>3546.1</v>
      </c>
    </row>
    <row r="136" spans="1:5" x14ac:dyDescent="0.3">
      <c r="B136" s="57">
        <v>44828</v>
      </c>
      <c r="C136" t="s">
        <v>947</v>
      </c>
      <c r="D136" t="s">
        <v>62</v>
      </c>
      <c r="E136" s="18">
        <v>11757.5</v>
      </c>
    </row>
    <row r="137" spans="1:5" x14ac:dyDescent="0.3">
      <c r="B137" s="57">
        <v>44830</v>
      </c>
      <c r="C137" t="s">
        <v>950</v>
      </c>
      <c r="D137" t="s">
        <v>491</v>
      </c>
      <c r="E137" s="18">
        <v>3595.6</v>
      </c>
    </row>
    <row r="138" spans="1:5" x14ac:dyDescent="0.3">
      <c r="C138" t="s">
        <v>952</v>
      </c>
      <c r="D138" t="s">
        <v>637</v>
      </c>
      <c r="E138" s="18">
        <v>2968.8</v>
      </c>
    </row>
    <row r="139" spans="1:5" x14ac:dyDescent="0.3">
      <c r="C139" t="s">
        <v>953</v>
      </c>
      <c r="D139" t="s">
        <v>637</v>
      </c>
      <c r="E139" s="18">
        <v>840</v>
      </c>
    </row>
    <row r="140" spans="1:5" x14ac:dyDescent="0.3">
      <c r="B140" s="57">
        <v>44832</v>
      </c>
      <c r="C140" t="s">
        <v>955</v>
      </c>
      <c r="D140" t="s">
        <v>859</v>
      </c>
      <c r="E140" s="18">
        <v>11266.8</v>
      </c>
    </row>
    <row r="141" spans="1:5" x14ac:dyDescent="0.3">
      <c r="C141" t="s">
        <v>956</v>
      </c>
      <c r="D141" t="s">
        <v>958</v>
      </c>
      <c r="E141" s="18">
        <v>1995.5</v>
      </c>
    </row>
    <row r="142" spans="1:5" x14ac:dyDescent="0.3">
      <c r="A142" s="58" t="s">
        <v>144</v>
      </c>
      <c r="B142" s="58"/>
      <c r="C142" s="58"/>
      <c r="D142" s="58"/>
      <c r="E142" s="102">
        <v>97650.5</v>
      </c>
    </row>
    <row r="143" spans="1:5" x14ac:dyDescent="0.3">
      <c r="A143">
        <v>10</v>
      </c>
      <c r="B143" t="s">
        <v>994</v>
      </c>
      <c r="C143" t="s">
        <v>993</v>
      </c>
      <c r="D143" t="s">
        <v>491</v>
      </c>
      <c r="E143" s="18">
        <v>2636.5</v>
      </c>
    </row>
    <row r="144" spans="1:5" x14ac:dyDescent="0.3">
      <c r="B144" t="s">
        <v>992</v>
      </c>
      <c r="C144" t="s">
        <v>987</v>
      </c>
      <c r="D144" t="s">
        <v>409</v>
      </c>
      <c r="E144" s="18">
        <v>48172.5</v>
      </c>
    </row>
    <row r="145" spans="2:5" x14ac:dyDescent="0.3">
      <c r="B145" s="57">
        <v>44835</v>
      </c>
      <c r="C145" t="s">
        <v>986</v>
      </c>
      <c r="D145" t="s">
        <v>62</v>
      </c>
      <c r="E145" s="18">
        <v>13065</v>
      </c>
    </row>
    <row r="146" spans="2:5" x14ac:dyDescent="0.3">
      <c r="B146" s="57">
        <v>44836</v>
      </c>
      <c r="C146" t="s">
        <v>995</v>
      </c>
      <c r="D146" t="s">
        <v>20</v>
      </c>
      <c r="E146" s="18">
        <v>2849</v>
      </c>
    </row>
    <row r="147" spans="2:5" x14ac:dyDescent="0.3">
      <c r="C147" t="s">
        <v>996</v>
      </c>
      <c r="D147" t="s">
        <v>20</v>
      </c>
      <c r="E147" s="18">
        <v>4048</v>
      </c>
    </row>
    <row r="148" spans="2:5" x14ac:dyDescent="0.3">
      <c r="B148" s="57">
        <v>44845</v>
      </c>
      <c r="C148" t="s">
        <v>997</v>
      </c>
      <c r="D148" t="s">
        <v>43</v>
      </c>
      <c r="E148" s="18">
        <v>2237</v>
      </c>
    </row>
    <row r="149" spans="2:5" x14ac:dyDescent="0.3">
      <c r="C149" t="s">
        <v>998</v>
      </c>
      <c r="D149" t="s">
        <v>400</v>
      </c>
      <c r="E149" s="18">
        <v>3137.3</v>
      </c>
    </row>
    <row r="150" spans="2:5" x14ac:dyDescent="0.3">
      <c r="B150" s="57">
        <v>44847</v>
      </c>
      <c r="C150" t="s">
        <v>999</v>
      </c>
      <c r="D150" t="s">
        <v>409</v>
      </c>
      <c r="E150" s="18">
        <v>10166.299999999999</v>
      </c>
    </row>
    <row r="151" spans="2:5" x14ac:dyDescent="0.3">
      <c r="C151" t="s">
        <v>1000</v>
      </c>
      <c r="D151" t="s">
        <v>491</v>
      </c>
      <c r="E151" s="18">
        <v>2570</v>
      </c>
    </row>
    <row r="152" spans="2:5" x14ac:dyDescent="0.3">
      <c r="B152" s="57">
        <v>44849</v>
      </c>
      <c r="C152" t="s">
        <v>1001</v>
      </c>
      <c r="D152" t="s">
        <v>62</v>
      </c>
      <c r="E152" s="18">
        <v>11480</v>
      </c>
    </row>
    <row r="153" spans="2:5" x14ac:dyDescent="0.3">
      <c r="B153" s="57">
        <v>44851</v>
      </c>
      <c r="C153" t="s">
        <v>1004</v>
      </c>
      <c r="D153" t="s">
        <v>784</v>
      </c>
      <c r="E153" s="18">
        <v>3600</v>
      </c>
    </row>
    <row r="154" spans="2:5" x14ac:dyDescent="0.3">
      <c r="C154" t="s">
        <v>1005</v>
      </c>
      <c r="D154" t="s">
        <v>62</v>
      </c>
      <c r="E154" s="18">
        <v>395</v>
      </c>
    </row>
    <row r="155" spans="2:5" x14ac:dyDescent="0.3">
      <c r="B155" s="57">
        <v>44852</v>
      </c>
      <c r="C155" t="s">
        <v>1006</v>
      </c>
      <c r="D155" t="s">
        <v>58</v>
      </c>
      <c r="E155" s="18">
        <v>1960.2</v>
      </c>
    </row>
    <row r="156" spans="2:5" x14ac:dyDescent="0.3">
      <c r="B156" s="57">
        <v>44854</v>
      </c>
      <c r="C156" t="s">
        <v>1008</v>
      </c>
      <c r="D156" t="s">
        <v>23</v>
      </c>
      <c r="E156" s="18">
        <v>15677.2</v>
      </c>
    </row>
    <row r="157" spans="2:5" x14ac:dyDescent="0.3">
      <c r="B157" s="57">
        <v>44855</v>
      </c>
      <c r="C157" t="s">
        <v>1009</v>
      </c>
      <c r="D157" t="s">
        <v>7</v>
      </c>
      <c r="E157" s="18">
        <v>3004</v>
      </c>
    </row>
    <row r="158" spans="2:5" x14ac:dyDescent="0.3">
      <c r="B158" s="57">
        <v>44856</v>
      </c>
      <c r="C158" t="s">
        <v>1010</v>
      </c>
      <c r="D158" t="s">
        <v>409</v>
      </c>
      <c r="E158" s="18">
        <v>7590.5</v>
      </c>
    </row>
    <row r="159" spans="2:5" x14ac:dyDescent="0.3">
      <c r="C159" t="s">
        <v>1011</v>
      </c>
      <c r="D159" t="s">
        <v>491</v>
      </c>
      <c r="E159" s="18">
        <v>2837</v>
      </c>
    </row>
    <row r="160" spans="2:5" x14ac:dyDescent="0.3">
      <c r="B160" s="57">
        <v>44861</v>
      </c>
      <c r="C160" t="s">
        <v>1012</v>
      </c>
      <c r="D160" t="s">
        <v>409</v>
      </c>
      <c r="E160" s="18">
        <v>250</v>
      </c>
    </row>
    <row r="161" spans="1:5" x14ac:dyDescent="0.3">
      <c r="B161" s="57">
        <v>44865</v>
      </c>
      <c r="C161" t="s">
        <v>1014</v>
      </c>
      <c r="D161" t="s">
        <v>409</v>
      </c>
      <c r="E161" s="18">
        <v>47685</v>
      </c>
    </row>
    <row r="162" spans="1:5" x14ac:dyDescent="0.3">
      <c r="C162" t="s">
        <v>1015</v>
      </c>
      <c r="D162" t="s">
        <v>491</v>
      </c>
      <c r="E162" s="18">
        <v>3095</v>
      </c>
    </row>
    <row r="163" spans="1:5" x14ac:dyDescent="0.3">
      <c r="A163" s="58" t="s">
        <v>145</v>
      </c>
      <c r="B163" s="58"/>
      <c r="C163" s="58"/>
      <c r="D163" s="58"/>
      <c r="E163" s="102">
        <v>186455.5</v>
      </c>
    </row>
    <row r="164" spans="1:5" x14ac:dyDescent="0.3">
      <c r="A164">
        <v>11</v>
      </c>
      <c r="B164" t="s">
        <v>1069</v>
      </c>
      <c r="C164" t="s">
        <v>1067</v>
      </c>
      <c r="D164" t="s">
        <v>400</v>
      </c>
      <c r="E164" s="18">
        <v>105</v>
      </c>
    </row>
    <row r="165" spans="1:5" x14ac:dyDescent="0.3">
      <c r="B165" t="s">
        <v>1070</v>
      </c>
      <c r="C165" t="s">
        <v>1068</v>
      </c>
      <c r="D165" t="s">
        <v>7</v>
      </c>
      <c r="E165" s="18">
        <v>1936</v>
      </c>
    </row>
    <row r="166" spans="1:5" x14ac:dyDescent="0.3">
      <c r="C166" t="s">
        <v>1071</v>
      </c>
      <c r="D166" t="s">
        <v>1051</v>
      </c>
      <c r="E166" s="18">
        <v>780</v>
      </c>
    </row>
    <row r="167" spans="1:5" x14ac:dyDescent="0.3">
      <c r="C167" t="s">
        <v>1075</v>
      </c>
      <c r="D167" t="s">
        <v>409</v>
      </c>
      <c r="E167" s="18">
        <v>17236.599999999999</v>
      </c>
    </row>
    <row r="168" spans="1:5" x14ac:dyDescent="0.3">
      <c r="B168" s="57">
        <v>44866</v>
      </c>
      <c r="C168" t="s">
        <v>1046</v>
      </c>
      <c r="D168" t="s">
        <v>23</v>
      </c>
      <c r="E168" s="18">
        <v>10824</v>
      </c>
    </row>
    <row r="169" spans="1:5" x14ac:dyDescent="0.3">
      <c r="C169" t="s">
        <v>1047</v>
      </c>
      <c r="D169" t="s">
        <v>62</v>
      </c>
      <c r="E169" s="18">
        <v>11260</v>
      </c>
    </row>
    <row r="170" spans="1:5" x14ac:dyDescent="0.3">
      <c r="B170" s="57">
        <v>44868</v>
      </c>
      <c r="C170" t="s">
        <v>1048</v>
      </c>
      <c r="D170" t="s">
        <v>58</v>
      </c>
      <c r="E170" s="18">
        <v>4482.8</v>
      </c>
    </row>
    <row r="171" spans="1:5" x14ac:dyDescent="0.3">
      <c r="B171" s="57">
        <v>44869</v>
      </c>
      <c r="C171" t="s">
        <v>1050</v>
      </c>
      <c r="D171" t="s">
        <v>409</v>
      </c>
      <c r="E171" s="18">
        <v>403.8</v>
      </c>
    </row>
    <row r="172" spans="1:5" x14ac:dyDescent="0.3">
      <c r="B172" s="57">
        <v>44870</v>
      </c>
      <c r="C172" t="s">
        <v>1053</v>
      </c>
      <c r="D172" t="s">
        <v>1051</v>
      </c>
      <c r="E172" s="18">
        <v>892.6</v>
      </c>
    </row>
    <row r="173" spans="1:5" x14ac:dyDescent="0.3">
      <c r="B173" s="57">
        <v>44872</v>
      </c>
      <c r="C173" t="s">
        <v>1055</v>
      </c>
      <c r="D173" t="s">
        <v>637</v>
      </c>
      <c r="E173" s="18">
        <v>1316</v>
      </c>
    </row>
    <row r="174" spans="1:5" x14ac:dyDescent="0.3">
      <c r="B174" s="57">
        <v>44873</v>
      </c>
      <c r="C174" t="s">
        <v>1062</v>
      </c>
      <c r="D174" t="s">
        <v>1057</v>
      </c>
      <c r="E174" s="18">
        <v>4373</v>
      </c>
    </row>
    <row r="175" spans="1:5" x14ac:dyDescent="0.3">
      <c r="B175" s="57">
        <v>44874</v>
      </c>
      <c r="C175" t="s">
        <v>1063</v>
      </c>
      <c r="D175" t="s">
        <v>491</v>
      </c>
      <c r="E175" s="18">
        <v>3094</v>
      </c>
    </row>
    <row r="176" spans="1:5" x14ac:dyDescent="0.3">
      <c r="B176" s="57">
        <v>44876</v>
      </c>
      <c r="C176" t="s">
        <v>1064</v>
      </c>
      <c r="D176" t="s">
        <v>409</v>
      </c>
      <c r="E176" s="18">
        <v>14886.5</v>
      </c>
    </row>
    <row r="177" spans="1:5" x14ac:dyDescent="0.3">
      <c r="B177" s="57">
        <v>44879</v>
      </c>
      <c r="C177" t="s">
        <v>1065</v>
      </c>
      <c r="D177" t="s">
        <v>859</v>
      </c>
      <c r="E177" s="18">
        <v>14564.6</v>
      </c>
    </row>
    <row r="178" spans="1:5" x14ac:dyDescent="0.3">
      <c r="B178" s="57">
        <v>44880</v>
      </c>
      <c r="C178" t="s">
        <v>1066</v>
      </c>
      <c r="D178" t="s">
        <v>400</v>
      </c>
      <c r="E178" s="18">
        <v>5283.2</v>
      </c>
    </row>
    <row r="179" spans="1:5" x14ac:dyDescent="0.3">
      <c r="B179" s="57">
        <v>44894</v>
      </c>
      <c r="C179" t="s">
        <v>1091</v>
      </c>
      <c r="D179" t="s">
        <v>20</v>
      </c>
      <c r="E179" s="18">
        <v>7219</v>
      </c>
    </row>
    <row r="180" spans="1:5" x14ac:dyDescent="0.3">
      <c r="C180" t="s">
        <v>1092</v>
      </c>
      <c r="D180" t="s">
        <v>62</v>
      </c>
      <c r="E180" s="18">
        <v>11410.5</v>
      </c>
    </row>
    <row r="181" spans="1:5" x14ac:dyDescent="0.3">
      <c r="B181" s="57">
        <v>44895</v>
      </c>
      <c r="C181" t="s">
        <v>1096</v>
      </c>
      <c r="D181" t="s">
        <v>1101</v>
      </c>
      <c r="E181" s="18">
        <v>260</v>
      </c>
    </row>
    <row r="182" spans="1:5" x14ac:dyDescent="0.3">
      <c r="C182" t="s">
        <v>1097</v>
      </c>
      <c r="D182" t="s">
        <v>1100</v>
      </c>
      <c r="E182" s="18">
        <v>375</v>
      </c>
    </row>
    <row r="183" spans="1:5" x14ac:dyDescent="0.3">
      <c r="A183" s="58" t="s">
        <v>160</v>
      </c>
      <c r="B183" s="58"/>
      <c r="C183" s="58"/>
      <c r="D183" s="58"/>
      <c r="E183" s="102">
        <v>110702.6</v>
      </c>
    </row>
    <row r="184" spans="1:5" x14ac:dyDescent="0.3">
      <c r="A184">
        <v>12</v>
      </c>
      <c r="B184" s="57">
        <v>44896</v>
      </c>
      <c r="C184" t="s">
        <v>1106</v>
      </c>
      <c r="D184" t="s">
        <v>1051</v>
      </c>
      <c r="E184" s="18">
        <v>60</v>
      </c>
    </row>
    <row r="185" spans="1:5" x14ac:dyDescent="0.3">
      <c r="C185" t="s">
        <v>1108</v>
      </c>
      <c r="D185" t="s">
        <v>637</v>
      </c>
      <c r="E185" s="18">
        <v>855</v>
      </c>
    </row>
    <row r="186" spans="1:5" x14ac:dyDescent="0.3">
      <c r="B186" s="57">
        <v>44897</v>
      </c>
      <c r="C186" t="s">
        <v>1109</v>
      </c>
      <c r="D186" t="s">
        <v>409</v>
      </c>
      <c r="E186" s="18">
        <v>4489</v>
      </c>
    </row>
    <row r="187" spans="1:5" x14ac:dyDescent="0.3">
      <c r="C187" t="s">
        <v>1111</v>
      </c>
      <c r="D187" t="s">
        <v>409</v>
      </c>
      <c r="E187" s="18">
        <v>3915</v>
      </c>
    </row>
    <row r="188" spans="1:5" x14ac:dyDescent="0.3">
      <c r="B188" s="57">
        <v>44898</v>
      </c>
      <c r="C188" t="s">
        <v>1113</v>
      </c>
      <c r="D188" t="s">
        <v>58</v>
      </c>
      <c r="E188" s="18">
        <v>4632.8</v>
      </c>
    </row>
    <row r="189" spans="1:5" x14ac:dyDescent="0.3">
      <c r="C189" t="s">
        <v>1115</v>
      </c>
      <c r="D189" t="s">
        <v>409</v>
      </c>
      <c r="E189" s="18">
        <v>7395.5</v>
      </c>
    </row>
    <row r="190" spans="1:5" x14ac:dyDescent="0.3">
      <c r="B190" s="57">
        <v>44900</v>
      </c>
      <c r="C190" t="s">
        <v>1116</v>
      </c>
      <c r="D190" t="s">
        <v>637</v>
      </c>
      <c r="E190" s="18">
        <v>93</v>
      </c>
    </row>
    <row r="191" spans="1:5" x14ac:dyDescent="0.3">
      <c r="B191" s="57">
        <v>44901</v>
      </c>
      <c r="C191" t="s">
        <v>1119</v>
      </c>
      <c r="D191" t="s">
        <v>491</v>
      </c>
      <c r="E191" s="18">
        <v>3067</v>
      </c>
    </row>
    <row r="192" spans="1:5" x14ac:dyDescent="0.3">
      <c r="B192" s="57">
        <v>44902</v>
      </c>
      <c r="C192" t="s">
        <v>1120</v>
      </c>
      <c r="D192" t="s">
        <v>637</v>
      </c>
      <c r="E192" s="18">
        <v>2024</v>
      </c>
    </row>
    <row r="193" spans="1:5" x14ac:dyDescent="0.3">
      <c r="B193" s="57">
        <v>44904</v>
      </c>
      <c r="C193" t="s">
        <v>1122</v>
      </c>
      <c r="D193" t="s">
        <v>409</v>
      </c>
      <c r="E193" s="18">
        <v>49088.1</v>
      </c>
    </row>
    <row r="194" spans="1:5" x14ac:dyDescent="0.3">
      <c r="B194" s="57">
        <v>44908</v>
      </c>
      <c r="C194" t="s">
        <v>1123</v>
      </c>
      <c r="D194" t="s">
        <v>491</v>
      </c>
      <c r="E194" s="18">
        <v>2842</v>
      </c>
    </row>
    <row r="195" spans="1:5" x14ac:dyDescent="0.3">
      <c r="B195" t="s">
        <v>1124</v>
      </c>
      <c r="C195" t="s">
        <v>1125</v>
      </c>
      <c r="D195" t="s">
        <v>784</v>
      </c>
      <c r="E195" s="18">
        <v>2063</v>
      </c>
    </row>
    <row r="196" spans="1:5" x14ac:dyDescent="0.3">
      <c r="B196" s="57">
        <v>44917</v>
      </c>
      <c r="C196" t="s">
        <v>1127</v>
      </c>
      <c r="D196" t="s">
        <v>409</v>
      </c>
      <c r="E196" s="18">
        <v>47686.5</v>
      </c>
    </row>
    <row r="197" spans="1:5" x14ac:dyDescent="0.3">
      <c r="C197" t="s">
        <v>1130</v>
      </c>
      <c r="D197" t="s">
        <v>637</v>
      </c>
      <c r="E197" s="18">
        <v>50</v>
      </c>
    </row>
    <row r="198" spans="1:5" x14ac:dyDescent="0.3">
      <c r="B198" s="57">
        <v>44915</v>
      </c>
      <c r="C198" t="s">
        <v>1128</v>
      </c>
      <c r="D198" t="s">
        <v>7</v>
      </c>
      <c r="E198" s="18">
        <v>3332</v>
      </c>
    </row>
    <row r="199" spans="1:5" x14ac:dyDescent="0.3">
      <c r="B199" t="s">
        <v>1134</v>
      </c>
      <c r="C199" t="s">
        <v>1133</v>
      </c>
      <c r="D199" t="s">
        <v>400</v>
      </c>
      <c r="E199" s="18">
        <v>6136.1</v>
      </c>
    </row>
    <row r="200" spans="1:5" x14ac:dyDescent="0.3">
      <c r="B200" s="57">
        <v>44919</v>
      </c>
      <c r="C200" t="s">
        <v>1135</v>
      </c>
      <c r="D200" t="s">
        <v>491</v>
      </c>
      <c r="E200" s="18">
        <v>2842</v>
      </c>
    </row>
    <row r="201" spans="1:5" x14ac:dyDescent="0.3">
      <c r="B201" s="57">
        <v>44922</v>
      </c>
      <c r="C201" t="s">
        <v>1137</v>
      </c>
      <c r="D201" t="s">
        <v>62</v>
      </c>
      <c r="E201" s="18">
        <v>14227</v>
      </c>
    </row>
    <row r="202" spans="1:5" x14ac:dyDescent="0.3">
      <c r="B202" s="57">
        <v>44923</v>
      </c>
      <c r="C202" t="s">
        <v>1138</v>
      </c>
      <c r="D202" t="s">
        <v>409</v>
      </c>
      <c r="E202" s="18">
        <v>1008</v>
      </c>
    </row>
    <row r="203" spans="1:5" x14ac:dyDescent="0.3">
      <c r="B203" s="57">
        <v>44925</v>
      </c>
      <c r="C203" t="s">
        <v>1139</v>
      </c>
      <c r="D203" t="s">
        <v>409</v>
      </c>
      <c r="E203" s="18">
        <v>21740.5</v>
      </c>
    </row>
    <row r="204" spans="1:5" x14ac:dyDescent="0.3">
      <c r="A204" s="58" t="s">
        <v>222</v>
      </c>
      <c r="B204" s="58"/>
      <c r="C204" s="58"/>
      <c r="D204" s="58"/>
      <c r="E204" s="102">
        <v>177546.5</v>
      </c>
    </row>
    <row r="205" spans="1:5" x14ac:dyDescent="0.3">
      <c r="A205" t="s">
        <v>131</v>
      </c>
      <c r="E205" s="18">
        <v>1308634.5000000002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T1027"/>
  <sheetViews>
    <sheetView topLeftCell="H100" workbookViewId="0">
      <selection activeCell="S111" sqref="S111"/>
    </sheetView>
  </sheetViews>
  <sheetFormatPr defaultRowHeight="14.4" x14ac:dyDescent="0.3"/>
  <cols>
    <col min="1" max="1" width="14.44140625" bestFit="1" customWidth="1"/>
    <col min="2" max="2" width="19" customWidth="1"/>
    <col min="3" max="3" width="31.44140625" bestFit="1" customWidth="1"/>
    <col min="4" max="4" width="19.77734375" bestFit="1" customWidth="1"/>
    <col min="5" max="5" width="15.44140625" bestFit="1" customWidth="1"/>
    <col min="6" max="6" width="17.6640625" bestFit="1" customWidth="1"/>
    <col min="7" max="7" width="16.77734375" bestFit="1" customWidth="1"/>
    <col min="8" max="13" width="1.77734375" customWidth="1"/>
    <col min="14" max="14" width="35.21875" customWidth="1"/>
    <col min="15" max="15" width="16.6640625" bestFit="1" customWidth="1"/>
    <col min="16" max="16" width="12.77734375" bestFit="1" customWidth="1"/>
    <col min="17" max="17" width="9.5546875" bestFit="1" customWidth="1"/>
    <col min="18" max="24" width="8.88671875" bestFit="1" customWidth="1"/>
    <col min="25" max="48" width="9.88671875" bestFit="1" customWidth="1"/>
    <col min="49" max="49" width="11.44140625" bestFit="1" customWidth="1"/>
    <col min="50" max="61" width="9.88671875" bestFit="1" customWidth="1"/>
    <col min="62" max="62" width="11.44140625" bestFit="1" customWidth="1"/>
    <col min="63" max="70" width="9.88671875" bestFit="1" customWidth="1"/>
    <col min="71" max="72" width="11.44140625" bestFit="1" customWidth="1"/>
  </cols>
  <sheetData>
    <row r="1" spans="1:72" x14ac:dyDescent="0.3">
      <c r="A1" s="14" t="s">
        <v>225</v>
      </c>
      <c r="B1" s="92">
        <v>2022</v>
      </c>
    </row>
    <row r="3" spans="1:72" ht="28.8" x14ac:dyDescent="0.3">
      <c r="D3" s="14" t="s">
        <v>205</v>
      </c>
      <c r="N3" s="14" t="s">
        <v>198</v>
      </c>
      <c r="P3" s="14" t="s">
        <v>225</v>
      </c>
      <c r="Q3" s="26" t="s">
        <v>162</v>
      </c>
    </row>
    <row r="4" spans="1:72" x14ac:dyDescent="0.3">
      <c r="A4" s="14" t="s">
        <v>162</v>
      </c>
      <c r="B4" s="14" t="s">
        <v>2</v>
      </c>
      <c r="C4" s="14" t="s">
        <v>1</v>
      </c>
      <c r="D4" t="s">
        <v>208</v>
      </c>
      <c r="E4" t="s">
        <v>207</v>
      </c>
      <c r="F4" t="s">
        <v>199</v>
      </c>
      <c r="P4">
        <v>2019</v>
      </c>
      <c r="Q4" t="s">
        <v>349</v>
      </c>
      <c r="R4">
        <v>2020</v>
      </c>
      <c r="Y4" t="s">
        <v>350</v>
      </c>
      <c r="Z4">
        <v>2021</v>
      </c>
      <c r="AJ4" t="s">
        <v>351</v>
      </c>
      <c r="AK4">
        <v>2022</v>
      </c>
      <c r="AW4" t="s">
        <v>584</v>
      </c>
      <c r="AX4">
        <v>2023</v>
      </c>
      <c r="BJ4" t="s">
        <v>1233</v>
      </c>
      <c r="BK4">
        <v>2024</v>
      </c>
      <c r="BS4" t="s">
        <v>2932</v>
      </c>
      <c r="BT4" t="s">
        <v>131</v>
      </c>
    </row>
    <row r="5" spans="1:72" x14ac:dyDescent="0.3">
      <c r="A5">
        <v>6</v>
      </c>
      <c r="B5" t="s">
        <v>826</v>
      </c>
      <c r="C5" t="s">
        <v>409</v>
      </c>
      <c r="D5" s="18">
        <v>12427</v>
      </c>
      <c r="E5" s="38">
        <v>-12427</v>
      </c>
      <c r="F5" s="18">
        <v>0</v>
      </c>
      <c r="J5" s="18"/>
      <c r="N5" s="14" t="s">
        <v>1</v>
      </c>
      <c r="O5" s="14" t="s">
        <v>2</v>
      </c>
      <c r="P5">
        <v>12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Z5">
        <v>6</v>
      </c>
      <c r="AA5">
        <v>9</v>
      </c>
      <c r="AB5">
        <v>10</v>
      </c>
      <c r="AC5">
        <v>11</v>
      </c>
      <c r="AD5">
        <v>12</v>
      </c>
      <c r="AE5">
        <v>1</v>
      </c>
      <c r="AF5">
        <v>2</v>
      </c>
      <c r="AG5">
        <v>3</v>
      </c>
      <c r="AH5">
        <v>4</v>
      </c>
      <c r="AI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11</v>
      </c>
      <c r="AQ5">
        <v>12</v>
      </c>
      <c r="AR5">
        <v>1</v>
      </c>
      <c r="AS5">
        <v>2</v>
      </c>
      <c r="AT5">
        <v>3</v>
      </c>
      <c r="AU5">
        <v>4</v>
      </c>
      <c r="AV5">
        <v>5</v>
      </c>
      <c r="AX5">
        <v>6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</v>
      </c>
      <c r="BF5">
        <v>2</v>
      </c>
      <c r="BG5">
        <v>3</v>
      </c>
      <c r="BH5">
        <v>4</v>
      </c>
      <c r="BI5">
        <v>5</v>
      </c>
      <c r="BK5">
        <v>6</v>
      </c>
      <c r="BL5">
        <v>7</v>
      </c>
      <c r="BM5">
        <v>8</v>
      </c>
      <c r="BN5">
        <v>1</v>
      </c>
      <c r="BO5">
        <v>2</v>
      </c>
      <c r="BP5">
        <v>3</v>
      </c>
      <c r="BQ5">
        <v>4</v>
      </c>
      <c r="BR5">
        <v>5</v>
      </c>
    </row>
    <row r="6" spans="1:72" x14ac:dyDescent="0.3">
      <c r="B6" t="s">
        <v>827</v>
      </c>
      <c r="C6" t="s">
        <v>637</v>
      </c>
      <c r="D6" s="18">
        <v>2112</v>
      </c>
      <c r="E6" s="38">
        <v>-2112</v>
      </c>
      <c r="F6" s="18">
        <v>0</v>
      </c>
      <c r="J6" s="18"/>
      <c r="N6" t="s">
        <v>35</v>
      </c>
      <c r="O6" t="s">
        <v>33</v>
      </c>
      <c r="P6" s="18"/>
      <c r="Q6" s="18"/>
      <c r="R6" s="18"/>
      <c r="S6" s="18"/>
      <c r="T6" s="18">
        <v>1586</v>
      </c>
      <c r="U6" s="18"/>
      <c r="V6" s="18"/>
      <c r="W6" s="18"/>
      <c r="X6" s="18"/>
      <c r="Y6" s="18">
        <v>1586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>
        <v>1586</v>
      </c>
    </row>
    <row r="7" spans="1:72" x14ac:dyDescent="0.3">
      <c r="B7" t="s">
        <v>828</v>
      </c>
      <c r="C7" t="s">
        <v>409</v>
      </c>
      <c r="D7" s="18">
        <v>9000</v>
      </c>
      <c r="E7" s="38">
        <v>-9000</v>
      </c>
      <c r="F7" s="18">
        <v>0</v>
      </c>
      <c r="J7" s="18"/>
      <c r="O7" t="s">
        <v>106</v>
      </c>
      <c r="P7" s="18"/>
      <c r="Q7" s="18"/>
      <c r="R7" s="18"/>
      <c r="S7" s="18"/>
      <c r="T7" s="18"/>
      <c r="U7" s="18"/>
      <c r="V7" s="18">
        <v>1496</v>
      </c>
      <c r="W7" s="18"/>
      <c r="X7" s="18"/>
      <c r="Y7" s="18">
        <v>1496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>
        <v>1496</v>
      </c>
    </row>
    <row r="8" spans="1:72" x14ac:dyDescent="0.3">
      <c r="B8" t="s">
        <v>829</v>
      </c>
      <c r="C8" t="s">
        <v>7</v>
      </c>
      <c r="D8" s="18">
        <v>2356</v>
      </c>
      <c r="E8" s="38">
        <v>-2356</v>
      </c>
      <c r="F8" s="18">
        <v>0</v>
      </c>
      <c r="J8" s="18"/>
      <c r="O8" t="s">
        <v>123</v>
      </c>
      <c r="P8" s="18"/>
      <c r="Q8" s="18"/>
      <c r="R8" s="18"/>
      <c r="S8" s="18"/>
      <c r="T8" s="18"/>
      <c r="U8" s="18"/>
      <c r="V8" s="18">
        <v>90</v>
      </c>
      <c r="W8" s="18"/>
      <c r="X8" s="18"/>
      <c r="Y8" s="18">
        <v>90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>
        <v>90</v>
      </c>
    </row>
    <row r="9" spans="1:72" x14ac:dyDescent="0.3">
      <c r="B9" t="s">
        <v>831</v>
      </c>
      <c r="C9" t="s">
        <v>62</v>
      </c>
      <c r="D9" s="18">
        <v>12690</v>
      </c>
      <c r="E9" s="38">
        <v>-12690</v>
      </c>
      <c r="F9" s="18">
        <v>0</v>
      </c>
      <c r="J9" s="18"/>
      <c r="O9" t="s">
        <v>126</v>
      </c>
      <c r="P9" s="18"/>
      <c r="Q9" s="18"/>
      <c r="R9" s="18"/>
      <c r="S9" s="18"/>
      <c r="T9" s="18"/>
      <c r="U9" s="18"/>
      <c r="V9" s="18">
        <v>1496</v>
      </c>
      <c r="W9" s="18"/>
      <c r="X9" s="18"/>
      <c r="Y9" s="18">
        <v>1496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>
        <v>1496</v>
      </c>
    </row>
    <row r="10" spans="1:72" x14ac:dyDescent="0.3">
      <c r="B10" t="s">
        <v>832</v>
      </c>
      <c r="C10" t="s">
        <v>637</v>
      </c>
      <c r="D10" s="18">
        <v>2112</v>
      </c>
      <c r="E10" s="38">
        <v>-2112</v>
      </c>
      <c r="F10" s="18">
        <v>0</v>
      </c>
      <c r="J10" s="18"/>
      <c r="O10" t="s">
        <v>149</v>
      </c>
      <c r="P10" s="18"/>
      <c r="Q10" s="18"/>
      <c r="R10" s="18"/>
      <c r="S10" s="18"/>
      <c r="T10" s="18"/>
      <c r="U10" s="18"/>
      <c r="V10" s="18">
        <v>1496</v>
      </c>
      <c r="W10" s="18"/>
      <c r="X10" s="18"/>
      <c r="Y10" s="18">
        <v>1496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>
        <v>1496</v>
      </c>
    </row>
    <row r="11" spans="1:72" x14ac:dyDescent="0.3">
      <c r="B11" t="s">
        <v>833</v>
      </c>
      <c r="C11" t="s">
        <v>491</v>
      </c>
      <c r="D11" s="18">
        <v>2746</v>
      </c>
      <c r="E11" s="38">
        <v>-2746</v>
      </c>
      <c r="F11" s="18">
        <v>0</v>
      </c>
      <c r="J11" s="18"/>
      <c r="O11" t="s">
        <v>154</v>
      </c>
      <c r="P11" s="18"/>
      <c r="Q11" s="18"/>
      <c r="R11" s="18"/>
      <c r="S11" s="18"/>
      <c r="T11" s="18"/>
      <c r="U11" s="18"/>
      <c r="V11" s="18"/>
      <c r="W11" s="18">
        <v>1630</v>
      </c>
      <c r="X11" s="18"/>
      <c r="Y11" s="18">
        <v>1630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1630</v>
      </c>
    </row>
    <row r="12" spans="1:72" x14ac:dyDescent="0.3">
      <c r="B12" t="s">
        <v>834</v>
      </c>
      <c r="C12" t="s">
        <v>409</v>
      </c>
      <c r="D12" s="18">
        <v>4950</v>
      </c>
      <c r="E12" s="38">
        <v>-4950</v>
      </c>
      <c r="F12" s="18">
        <v>0</v>
      </c>
      <c r="J12" s="18"/>
      <c r="O12" t="s">
        <v>172</v>
      </c>
      <c r="P12" s="18"/>
      <c r="Q12" s="18"/>
      <c r="R12" s="18"/>
      <c r="S12" s="18"/>
      <c r="T12" s="18"/>
      <c r="U12" s="18"/>
      <c r="V12" s="18"/>
      <c r="W12" s="18">
        <v>1540</v>
      </c>
      <c r="X12" s="18"/>
      <c r="Y12" s="18">
        <v>1540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1540</v>
      </c>
    </row>
    <row r="13" spans="1:72" x14ac:dyDescent="0.3">
      <c r="B13" t="s">
        <v>835</v>
      </c>
      <c r="C13" t="s">
        <v>665</v>
      </c>
      <c r="D13" s="18">
        <v>2158</v>
      </c>
      <c r="E13" s="38">
        <v>-2158</v>
      </c>
      <c r="F13" s="18">
        <v>0</v>
      </c>
      <c r="J13" s="18"/>
      <c r="O13" t="s">
        <v>260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>
        <v>1750</v>
      </c>
      <c r="AG13" s="18"/>
      <c r="AH13" s="18"/>
      <c r="AI13" s="18"/>
      <c r="AJ13" s="18">
        <v>1750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>
        <v>1750</v>
      </c>
    </row>
    <row r="14" spans="1:72" x14ac:dyDescent="0.3">
      <c r="B14" t="s">
        <v>836</v>
      </c>
      <c r="C14" t="s">
        <v>58</v>
      </c>
      <c r="D14" s="18">
        <v>3960</v>
      </c>
      <c r="E14" s="38">
        <v>-3960</v>
      </c>
      <c r="F14" s="18">
        <v>0</v>
      </c>
      <c r="J14" s="18"/>
      <c r="O14" t="s">
        <v>266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225</v>
      </c>
      <c r="AG14" s="18"/>
      <c r="AH14" s="18"/>
      <c r="AI14" s="18"/>
      <c r="AJ14" s="18">
        <v>225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>
        <v>225</v>
      </c>
    </row>
    <row r="15" spans="1:72" x14ac:dyDescent="0.3">
      <c r="B15" t="s">
        <v>837</v>
      </c>
      <c r="C15" t="s">
        <v>7</v>
      </c>
      <c r="D15" s="18">
        <v>3232</v>
      </c>
      <c r="E15" s="38">
        <v>-3232</v>
      </c>
      <c r="F15" s="18">
        <v>0</v>
      </c>
      <c r="J15" s="18"/>
      <c r="O15" t="s">
        <v>337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>
        <v>1876</v>
      </c>
      <c r="AJ15" s="18">
        <v>1876</v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>
        <v>1876</v>
      </c>
    </row>
    <row r="16" spans="1:72" x14ac:dyDescent="0.3">
      <c r="B16" t="s">
        <v>842</v>
      </c>
      <c r="C16" t="s">
        <v>409</v>
      </c>
      <c r="D16" s="18">
        <v>4431.5</v>
      </c>
      <c r="E16" s="38">
        <v>-4431.5</v>
      </c>
      <c r="F16" s="18">
        <v>0</v>
      </c>
      <c r="J16" s="18"/>
      <c r="O16" t="s">
        <v>340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v>1826</v>
      </c>
      <c r="AJ16" s="18">
        <v>1826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>
        <v>1826</v>
      </c>
    </row>
    <row r="17" spans="1:72" x14ac:dyDescent="0.3">
      <c r="B17" t="s">
        <v>843</v>
      </c>
      <c r="C17" t="s">
        <v>43</v>
      </c>
      <c r="D17" s="18">
        <v>2068</v>
      </c>
      <c r="E17" s="38">
        <v>-2068</v>
      </c>
      <c r="F17" s="18">
        <v>0</v>
      </c>
      <c r="J17" s="18"/>
      <c r="O17" t="s">
        <v>342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100</v>
      </c>
      <c r="AJ17" s="18">
        <v>100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>
        <v>100</v>
      </c>
    </row>
    <row r="18" spans="1:72" x14ac:dyDescent="0.3">
      <c r="B18" t="s">
        <v>844</v>
      </c>
      <c r="C18" t="s">
        <v>491</v>
      </c>
      <c r="D18" s="18">
        <v>3374.5</v>
      </c>
      <c r="E18" s="38">
        <v>-3374.5</v>
      </c>
      <c r="F18" s="18">
        <v>0</v>
      </c>
      <c r="J18" s="18"/>
      <c r="O18" t="s">
        <v>367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1826</v>
      </c>
      <c r="AB18" s="18"/>
      <c r="AC18" s="18"/>
      <c r="AD18" s="18"/>
      <c r="AE18" s="18"/>
      <c r="AF18" s="18"/>
      <c r="AG18" s="18"/>
      <c r="AH18" s="18"/>
      <c r="AI18" s="18"/>
      <c r="AJ18" s="18">
        <v>1826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>
        <v>1826</v>
      </c>
    </row>
    <row r="19" spans="1:72" x14ac:dyDescent="0.3">
      <c r="B19" t="s">
        <v>845</v>
      </c>
      <c r="C19" t="s">
        <v>409</v>
      </c>
      <c r="D19" s="18">
        <v>5889</v>
      </c>
      <c r="E19" s="38">
        <v>-5889</v>
      </c>
      <c r="F19" s="18">
        <v>0</v>
      </c>
      <c r="J19" s="18"/>
      <c r="O19" t="s">
        <v>368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1926</v>
      </c>
      <c r="AB19" s="18"/>
      <c r="AC19" s="18"/>
      <c r="AD19" s="18"/>
      <c r="AE19" s="18"/>
      <c r="AF19" s="18"/>
      <c r="AG19" s="18"/>
      <c r="AH19" s="18"/>
      <c r="AI19" s="18"/>
      <c r="AJ19" s="18">
        <v>1926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>
        <v>1926</v>
      </c>
    </row>
    <row r="20" spans="1:72" x14ac:dyDescent="0.3">
      <c r="B20" t="s">
        <v>846</v>
      </c>
      <c r="C20" t="s">
        <v>400</v>
      </c>
      <c r="D20" s="18">
        <v>6223.6</v>
      </c>
      <c r="E20" s="38">
        <v>-6223.6</v>
      </c>
      <c r="F20" s="18">
        <v>0</v>
      </c>
      <c r="J20" s="18"/>
      <c r="O20" t="s">
        <v>379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>
        <v>1826</v>
      </c>
      <c r="AB20" s="18"/>
      <c r="AC20" s="18"/>
      <c r="AD20" s="18"/>
      <c r="AE20" s="18"/>
      <c r="AF20" s="18"/>
      <c r="AG20" s="18"/>
      <c r="AH20" s="18"/>
      <c r="AI20" s="18"/>
      <c r="AJ20" s="18">
        <v>1826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>
        <v>1826</v>
      </c>
    </row>
    <row r="21" spans="1:72" x14ac:dyDescent="0.3">
      <c r="B21" t="s">
        <v>847</v>
      </c>
      <c r="C21" t="s">
        <v>62</v>
      </c>
      <c r="D21" s="18">
        <v>18515</v>
      </c>
      <c r="E21" s="38">
        <v>-18515</v>
      </c>
      <c r="F21" s="18">
        <v>0</v>
      </c>
      <c r="J21" s="18"/>
      <c r="O21" t="s">
        <v>423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1926</v>
      </c>
      <c r="AC21" s="18"/>
      <c r="AD21" s="18"/>
      <c r="AE21" s="18"/>
      <c r="AF21" s="18"/>
      <c r="AG21" s="18"/>
      <c r="AH21" s="18"/>
      <c r="AI21" s="18"/>
      <c r="AJ21" s="18">
        <v>1926</v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>
        <v>1926</v>
      </c>
    </row>
    <row r="22" spans="1:72" x14ac:dyDescent="0.3">
      <c r="A22" s="17" t="s">
        <v>141</v>
      </c>
      <c r="B22" s="17"/>
      <c r="C22" s="17"/>
      <c r="D22" s="19">
        <v>98244.6</v>
      </c>
      <c r="E22" s="39">
        <v>-98244.6</v>
      </c>
      <c r="F22" s="19">
        <v>0</v>
      </c>
      <c r="J22" s="18"/>
      <c r="O22" t="s">
        <v>455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v>380.4</v>
      </c>
      <c r="AD22" s="18"/>
      <c r="AE22" s="18"/>
      <c r="AF22" s="18"/>
      <c r="AG22" s="18"/>
      <c r="AH22" s="18"/>
      <c r="AI22" s="18"/>
      <c r="AJ22" s="18">
        <v>380.4</v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>
        <v>380.4</v>
      </c>
    </row>
    <row r="23" spans="1:72" x14ac:dyDescent="0.3">
      <c r="A23">
        <v>7</v>
      </c>
      <c r="B23" t="s">
        <v>856</v>
      </c>
      <c r="C23" t="s">
        <v>58</v>
      </c>
      <c r="D23" s="18">
        <v>1539</v>
      </c>
      <c r="E23" s="38">
        <v>-1539</v>
      </c>
      <c r="F23" s="18">
        <v>0</v>
      </c>
      <c r="J23" s="18"/>
      <c r="N23" s="17" t="s">
        <v>132</v>
      </c>
      <c r="O23" s="17"/>
      <c r="P23" s="19"/>
      <c r="Q23" s="19"/>
      <c r="R23" s="19"/>
      <c r="S23" s="19"/>
      <c r="T23" s="19">
        <v>1586</v>
      </c>
      <c r="U23" s="19"/>
      <c r="V23" s="19">
        <v>4578</v>
      </c>
      <c r="W23" s="19">
        <v>3170</v>
      </c>
      <c r="X23" s="19"/>
      <c r="Y23" s="19">
        <v>9334</v>
      </c>
      <c r="Z23" s="19"/>
      <c r="AA23" s="19">
        <v>5578</v>
      </c>
      <c r="AB23" s="19">
        <v>1926</v>
      </c>
      <c r="AC23" s="19">
        <v>380.4</v>
      </c>
      <c r="AD23" s="19"/>
      <c r="AE23" s="19"/>
      <c r="AF23" s="19">
        <v>1975</v>
      </c>
      <c r="AG23" s="19"/>
      <c r="AH23" s="19"/>
      <c r="AI23" s="19">
        <v>3802</v>
      </c>
      <c r="AJ23" s="19">
        <v>13661.4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>
        <v>22995.4</v>
      </c>
    </row>
    <row r="24" spans="1:72" x14ac:dyDescent="0.3">
      <c r="B24" t="s">
        <v>857</v>
      </c>
      <c r="C24" t="s">
        <v>400</v>
      </c>
      <c r="D24" s="18">
        <v>5183.6000000000004</v>
      </c>
      <c r="E24" s="38">
        <v>-5183.6000000000004</v>
      </c>
      <c r="F24" s="18">
        <v>0</v>
      </c>
      <c r="J24" s="18"/>
      <c r="N24" t="s">
        <v>47</v>
      </c>
      <c r="O24" t="s">
        <v>49</v>
      </c>
      <c r="P24" s="18"/>
      <c r="Q24" s="18"/>
      <c r="R24" s="18"/>
      <c r="S24" s="18"/>
      <c r="T24" s="18">
        <v>2956</v>
      </c>
      <c r="U24" s="18"/>
      <c r="V24" s="18"/>
      <c r="W24" s="18"/>
      <c r="X24" s="18"/>
      <c r="Y24" s="18">
        <v>2956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>
        <v>2956</v>
      </c>
    </row>
    <row r="25" spans="1:72" x14ac:dyDescent="0.3">
      <c r="B25" t="s">
        <v>858</v>
      </c>
      <c r="C25" t="s">
        <v>409</v>
      </c>
      <c r="D25" s="18">
        <v>12855.5</v>
      </c>
      <c r="E25" s="38">
        <v>-12855.5</v>
      </c>
      <c r="F25" s="18">
        <v>0</v>
      </c>
      <c r="J25" s="18"/>
      <c r="O25" t="s">
        <v>117</v>
      </c>
      <c r="P25" s="18"/>
      <c r="Q25" s="18"/>
      <c r="R25" s="18"/>
      <c r="S25" s="18"/>
      <c r="T25" s="18"/>
      <c r="U25" s="18"/>
      <c r="V25" s="18">
        <v>2650</v>
      </c>
      <c r="W25" s="18"/>
      <c r="X25" s="18"/>
      <c r="Y25" s="18">
        <v>2650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>
        <v>2650</v>
      </c>
    </row>
    <row r="26" spans="1:72" x14ac:dyDescent="0.3">
      <c r="B26" t="s">
        <v>861</v>
      </c>
      <c r="C26" t="s">
        <v>859</v>
      </c>
      <c r="D26" s="18">
        <v>8568.2000000000007</v>
      </c>
      <c r="E26" s="38">
        <v>-8568.2000000000007</v>
      </c>
      <c r="F26" s="18">
        <v>0</v>
      </c>
      <c r="J26" s="18"/>
      <c r="N26" s="17" t="s">
        <v>133</v>
      </c>
      <c r="O26" s="17"/>
      <c r="P26" s="19"/>
      <c r="Q26" s="19"/>
      <c r="R26" s="19"/>
      <c r="S26" s="19"/>
      <c r="T26" s="19">
        <v>2956</v>
      </c>
      <c r="U26" s="19"/>
      <c r="V26" s="19">
        <v>2650</v>
      </c>
      <c r="W26" s="19"/>
      <c r="X26" s="19"/>
      <c r="Y26" s="19">
        <v>5606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>
        <v>5606</v>
      </c>
    </row>
    <row r="27" spans="1:72" x14ac:dyDescent="0.3">
      <c r="B27" t="s">
        <v>866</v>
      </c>
      <c r="C27" t="s">
        <v>409</v>
      </c>
      <c r="D27" s="18">
        <v>9153</v>
      </c>
      <c r="E27" s="38">
        <v>-9153</v>
      </c>
      <c r="F27" s="18">
        <v>0</v>
      </c>
      <c r="J27" s="18"/>
      <c r="N27" t="s">
        <v>58</v>
      </c>
      <c r="O27" t="s">
        <v>55</v>
      </c>
      <c r="P27" s="18"/>
      <c r="Q27" s="18"/>
      <c r="R27" s="18"/>
      <c r="S27" s="18"/>
      <c r="T27" s="18">
        <v>2552</v>
      </c>
      <c r="U27" s="18"/>
      <c r="V27" s="18"/>
      <c r="W27" s="18"/>
      <c r="X27" s="18"/>
      <c r="Y27" s="18">
        <v>2552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>
        <v>2552</v>
      </c>
    </row>
    <row r="28" spans="1:72" x14ac:dyDescent="0.3">
      <c r="B28" t="s">
        <v>867</v>
      </c>
      <c r="C28" t="s">
        <v>409</v>
      </c>
      <c r="D28" s="18">
        <v>925.5</v>
      </c>
      <c r="E28" s="38">
        <v>-925.5</v>
      </c>
      <c r="F28" s="18">
        <v>0</v>
      </c>
      <c r="J28" s="18"/>
      <c r="O28" t="s">
        <v>155</v>
      </c>
      <c r="P28" s="18"/>
      <c r="Q28" s="18"/>
      <c r="R28" s="18"/>
      <c r="S28" s="18"/>
      <c r="T28" s="18"/>
      <c r="U28" s="18"/>
      <c r="V28" s="18"/>
      <c r="W28" s="18">
        <v>1231.2</v>
      </c>
      <c r="X28" s="18"/>
      <c r="Y28" s="18">
        <v>1231.2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>
        <v>1231.2</v>
      </c>
    </row>
    <row r="29" spans="1:72" x14ac:dyDescent="0.3">
      <c r="B29" t="s">
        <v>868</v>
      </c>
      <c r="C29" t="s">
        <v>409</v>
      </c>
      <c r="D29" s="18">
        <v>6625</v>
      </c>
      <c r="E29" s="38">
        <v>-6625</v>
      </c>
      <c r="F29" s="18">
        <v>0</v>
      </c>
      <c r="J29" s="18"/>
      <c r="O29" t="s">
        <v>182</v>
      </c>
      <c r="P29" s="18"/>
      <c r="Q29" s="18"/>
      <c r="R29" s="18"/>
      <c r="S29" s="18"/>
      <c r="T29" s="18"/>
      <c r="U29" s="18"/>
      <c r="V29" s="18"/>
      <c r="W29" s="18">
        <v>408</v>
      </c>
      <c r="X29" s="18"/>
      <c r="Y29" s="18">
        <v>408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>
        <v>408</v>
      </c>
    </row>
    <row r="30" spans="1:72" x14ac:dyDescent="0.3">
      <c r="B30" t="s">
        <v>869</v>
      </c>
      <c r="C30" t="s">
        <v>7</v>
      </c>
      <c r="D30" s="18">
        <v>4092</v>
      </c>
      <c r="E30" s="38">
        <v>-4092</v>
      </c>
      <c r="F30" s="18">
        <v>0</v>
      </c>
      <c r="J30" s="18"/>
      <c r="O30" t="s">
        <v>316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6459.6</v>
      </c>
      <c r="AH30" s="18"/>
      <c r="AI30" s="18"/>
      <c r="AJ30" s="18">
        <v>6459.6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>
        <v>6459.6</v>
      </c>
    </row>
    <row r="31" spans="1:72" x14ac:dyDescent="0.3">
      <c r="B31" t="s">
        <v>870</v>
      </c>
      <c r="C31" t="s">
        <v>62</v>
      </c>
      <c r="D31" s="18">
        <v>13445</v>
      </c>
      <c r="E31" s="38">
        <v>-13445</v>
      </c>
      <c r="F31" s="18">
        <v>0</v>
      </c>
      <c r="J31" s="18"/>
      <c r="O31" t="s">
        <v>319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90</v>
      </c>
      <c r="AH31" s="18"/>
      <c r="AI31" s="18"/>
      <c r="AJ31" s="18">
        <v>90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>
        <v>90</v>
      </c>
    </row>
    <row r="32" spans="1:72" x14ac:dyDescent="0.3">
      <c r="B32" t="s">
        <v>871</v>
      </c>
      <c r="C32" t="s">
        <v>491</v>
      </c>
      <c r="D32" s="18">
        <v>2180</v>
      </c>
      <c r="E32" s="38">
        <v>-2180</v>
      </c>
      <c r="F32" s="18">
        <v>0</v>
      </c>
      <c r="J32" s="18"/>
      <c r="O32" t="s">
        <v>328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7482</v>
      </c>
      <c r="AI32" s="18"/>
      <c r="AJ32" s="18">
        <v>7482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v>7482</v>
      </c>
    </row>
    <row r="33" spans="1:72" x14ac:dyDescent="0.3">
      <c r="B33" t="s">
        <v>873</v>
      </c>
      <c r="C33" t="s">
        <v>58</v>
      </c>
      <c r="D33" s="18">
        <v>4596.5</v>
      </c>
      <c r="E33" s="38">
        <v>-4596.5</v>
      </c>
      <c r="F33" s="18">
        <v>0</v>
      </c>
      <c r="J33" s="18"/>
      <c r="O33" t="s">
        <v>356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>
        <v>3825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v>3825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v>3825</v>
      </c>
    </row>
    <row r="34" spans="1:72" x14ac:dyDescent="0.3">
      <c r="A34" s="17" t="s">
        <v>142</v>
      </c>
      <c r="B34" s="17"/>
      <c r="C34" s="17"/>
      <c r="D34" s="19">
        <v>69163.3</v>
      </c>
      <c r="E34" s="39">
        <v>-69163.3</v>
      </c>
      <c r="F34" s="19">
        <v>0</v>
      </c>
      <c r="J34" s="18"/>
      <c r="O34" t="s">
        <v>357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690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690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>
        <v>690</v>
      </c>
    </row>
    <row r="35" spans="1:72" x14ac:dyDescent="0.3">
      <c r="A35">
        <v>8</v>
      </c>
      <c r="B35" t="s">
        <v>891</v>
      </c>
      <c r="C35" t="s">
        <v>859</v>
      </c>
      <c r="D35" s="18">
        <v>12643.199999999999</v>
      </c>
      <c r="E35" s="38">
        <v>-12643</v>
      </c>
      <c r="F35" s="18">
        <v>0.20000000000004547</v>
      </c>
      <c r="J35" s="18"/>
      <c r="O35" t="s">
        <v>418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5100</v>
      </c>
      <c r="AC35" s="18"/>
      <c r="AD35" s="18"/>
      <c r="AE35" s="18"/>
      <c r="AF35" s="18"/>
      <c r="AG35" s="18"/>
      <c r="AH35" s="18"/>
      <c r="AI35" s="18"/>
      <c r="AJ35" s="18">
        <v>5100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>
        <v>5100</v>
      </c>
    </row>
    <row r="36" spans="1:72" x14ac:dyDescent="0.3">
      <c r="B36" t="s">
        <v>895</v>
      </c>
      <c r="C36" t="s">
        <v>409</v>
      </c>
      <c r="D36" s="18">
        <v>5268.6</v>
      </c>
      <c r="E36" s="38">
        <v>-5268.6</v>
      </c>
      <c r="F36" s="18">
        <v>0</v>
      </c>
      <c r="J36" s="18"/>
      <c r="O36" t="s">
        <v>604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>
        <v>5940</v>
      </c>
      <c r="AT36" s="18"/>
      <c r="AU36" s="18"/>
      <c r="AV36" s="18"/>
      <c r="AW36" s="18">
        <v>5940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>
        <v>5940</v>
      </c>
    </row>
    <row r="37" spans="1:72" x14ac:dyDescent="0.3">
      <c r="B37" t="s">
        <v>897</v>
      </c>
      <c r="C37" t="s">
        <v>7</v>
      </c>
      <c r="D37" s="18">
        <v>864</v>
      </c>
      <c r="E37" s="38">
        <v>-864</v>
      </c>
      <c r="F37" s="18">
        <v>0</v>
      </c>
      <c r="J37" s="18"/>
      <c r="O37" t="s">
        <v>688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5043</v>
      </c>
      <c r="AV37" s="18"/>
      <c r="AW37" s="18">
        <v>5043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>
        <v>5043</v>
      </c>
    </row>
    <row r="38" spans="1:72" x14ac:dyDescent="0.3">
      <c r="B38" t="s">
        <v>898</v>
      </c>
      <c r="C38" t="s">
        <v>784</v>
      </c>
      <c r="D38" s="18">
        <v>2068</v>
      </c>
      <c r="E38" s="38">
        <v>-2068</v>
      </c>
      <c r="F38" s="18">
        <v>0</v>
      </c>
      <c r="J38" s="18"/>
      <c r="O38" t="s">
        <v>765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5100</v>
      </c>
      <c r="AW38" s="18">
        <v>5100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>
        <v>5100</v>
      </c>
    </row>
    <row r="39" spans="1:72" x14ac:dyDescent="0.3">
      <c r="B39" t="s">
        <v>899</v>
      </c>
      <c r="C39" t="s">
        <v>409</v>
      </c>
      <c r="D39" s="18">
        <v>4312.5</v>
      </c>
      <c r="E39" s="38">
        <v>-4312.5</v>
      </c>
      <c r="F39" s="18">
        <v>0</v>
      </c>
      <c r="J39" s="18"/>
      <c r="O39" t="s">
        <v>836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3960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3960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>
        <v>3960</v>
      </c>
    </row>
    <row r="40" spans="1:72" x14ac:dyDescent="0.3">
      <c r="B40" t="s">
        <v>900</v>
      </c>
      <c r="C40" t="s">
        <v>1044</v>
      </c>
      <c r="D40" s="18">
        <v>0</v>
      </c>
      <c r="E40" s="38"/>
      <c r="F40" s="18">
        <v>0</v>
      </c>
      <c r="J40" s="18"/>
      <c r="O40" t="s">
        <v>856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v>1539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1539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>
        <v>1539</v>
      </c>
    </row>
    <row r="41" spans="1:72" x14ac:dyDescent="0.3">
      <c r="B41" t="s">
        <v>902</v>
      </c>
      <c r="C41" t="s">
        <v>23</v>
      </c>
      <c r="D41" s="18">
        <v>16536.7</v>
      </c>
      <c r="E41" s="38">
        <v>-16536.7</v>
      </c>
      <c r="F41" s="18">
        <v>0</v>
      </c>
      <c r="J41" s="18"/>
      <c r="O41" t="s">
        <v>873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v>4596.5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4596.5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>
        <v>4596.5</v>
      </c>
    </row>
    <row r="42" spans="1:72" x14ac:dyDescent="0.3">
      <c r="B42" t="s">
        <v>906</v>
      </c>
      <c r="C42" t="s">
        <v>20</v>
      </c>
      <c r="D42" s="18">
        <v>7521</v>
      </c>
      <c r="E42" s="38">
        <v>-7521</v>
      </c>
      <c r="F42" s="18">
        <v>0</v>
      </c>
      <c r="J42" s="18"/>
      <c r="O42" t="s">
        <v>911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>
        <v>762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762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>
        <v>762</v>
      </c>
    </row>
    <row r="43" spans="1:72" x14ac:dyDescent="0.3">
      <c r="B43" t="s">
        <v>907</v>
      </c>
      <c r="C43" t="s">
        <v>491</v>
      </c>
      <c r="D43" s="18">
        <v>3459</v>
      </c>
      <c r="E43" s="38">
        <v>-3459</v>
      </c>
      <c r="F43" s="18">
        <v>0</v>
      </c>
      <c r="J43" s="18"/>
      <c r="O43" t="s">
        <v>925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3784</v>
      </c>
      <c r="AO43" s="18"/>
      <c r="AP43" s="18"/>
      <c r="AQ43" s="18"/>
      <c r="AR43" s="18"/>
      <c r="AS43" s="18"/>
      <c r="AT43" s="18"/>
      <c r="AU43" s="18"/>
      <c r="AV43" s="18"/>
      <c r="AW43" s="18">
        <v>3784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>
        <v>3784</v>
      </c>
    </row>
    <row r="44" spans="1:72" x14ac:dyDescent="0.3">
      <c r="B44" t="s">
        <v>909</v>
      </c>
      <c r="C44" t="s">
        <v>859</v>
      </c>
      <c r="D44" s="18">
        <v>5840</v>
      </c>
      <c r="E44" s="38">
        <v>-5840</v>
      </c>
      <c r="F44" s="18">
        <v>0</v>
      </c>
      <c r="J44" s="18"/>
      <c r="O44" t="s">
        <v>1006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>
        <v>1960.2</v>
      </c>
      <c r="AP44" s="18"/>
      <c r="AQ44" s="18"/>
      <c r="AR44" s="18"/>
      <c r="AS44" s="18"/>
      <c r="AT44" s="18"/>
      <c r="AU44" s="18"/>
      <c r="AV44" s="18"/>
      <c r="AW44" s="18">
        <v>1960.2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>
        <v>1960.2</v>
      </c>
    </row>
    <row r="45" spans="1:72" x14ac:dyDescent="0.3">
      <c r="B45" t="s">
        <v>910</v>
      </c>
      <c r="C45" t="s">
        <v>409</v>
      </c>
      <c r="D45" s="18">
        <v>6838.5</v>
      </c>
      <c r="E45" s="38">
        <v>-6838.5</v>
      </c>
      <c r="F45" s="18">
        <v>0</v>
      </c>
      <c r="J45" s="18"/>
      <c r="O45" t="s">
        <v>1048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4482.8</v>
      </c>
      <c r="AQ45" s="18"/>
      <c r="AR45" s="18"/>
      <c r="AS45" s="18"/>
      <c r="AT45" s="18"/>
      <c r="AU45" s="18"/>
      <c r="AV45" s="18"/>
      <c r="AW45" s="18">
        <v>4482.8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>
        <v>4482.8</v>
      </c>
    </row>
    <row r="46" spans="1:72" x14ac:dyDescent="0.3">
      <c r="B46" t="s">
        <v>911</v>
      </c>
      <c r="C46" t="s">
        <v>58</v>
      </c>
      <c r="D46" s="18">
        <v>762</v>
      </c>
      <c r="E46" s="38">
        <v>-762</v>
      </c>
      <c r="F46" s="18">
        <v>0</v>
      </c>
      <c r="J46" s="18"/>
      <c r="O46" t="s">
        <v>1113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v>4632.8</v>
      </c>
      <c r="AR46" s="18"/>
      <c r="AS46" s="18"/>
      <c r="AT46" s="18"/>
      <c r="AU46" s="18"/>
      <c r="AV46" s="18"/>
      <c r="AW46" s="18">
        <v>4632.8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>
        <v>4632.8</v>
      </c>
    </row>
    <row r="47" spans="1:72" x14ac:dyDescent="0.3">
      <c r="B47" t="s">
        <v>912</v>
      </c>
      <c r="C47" t="s">
        <v>62</v>
      </c>
      <c r="D47" s="18">
        <v>15671</v>
      </c>
      <c r="E47" s="38">
        <v>-15671</v>
      </c>
      <c r="F47" s="18">
        <v>0</v>
      </c>
      <c r="J47" s="18"/>
      <c r="O47" t="s">
        <v>1195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>
        <v>5616</v>
      </c>
      <c r="BF47" s="18"/>
      <c r="BG47" s="18"/>
      <c r="BH47" s="18"/>
      <c r="BI47" s="18"/>
      <c r="BJ47" s="18">
        <v>5616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>
        <v>5616</v>
      </c>
    </row>
    <row r="48" spans="1:72" x14ac:dyDescent="0.3">
      <c r="B48" t="s">
        <v>914</v>
      </c>
      <c r="C48" t="s">
        <v>859</v>
      </c>
      <c r="D48" s="18">
        <v>6006</v>
      </c>
      <c r="E48" s="38">
        <v>-6006</v>
      </c>
      <c r="F48" s="18">
        <v>0</v>
      </c>
      <c r="J48" s="18"/>
      <c r="O48" t="s">
        <v>1338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>
        <v>4461.8</v>
      </c>
      <c r="BH48" s="18"/>
      <c r="BI48" s="18"/>
      <c r="BJ48" s="18">
        <v>4461.8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>
        <v>4461.8</v>
      </c>
    </row>
    <row r="49" spans="1:72" x14ac:dyDescent="0.3">
      <c r="B49" t="s">
        <v>915</v>
      </c>
      <c r="C49" t="s">
        <v>400</v>
      </c>
      <c r="D49" s="18">
        <v>6136.8</v>
      </c>
      <c r="E49" s="38">
        <v>-6136.8</v>
      </c>
      <c r="F49" s="18">
        <v>0</v>
      </c>
      <c r="J49" s="18"/>
      <c r="O49" t="s">
        <v>1410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220</v>
      </c>
      <c r="BI49" s="18"/>
      <c r="BJ49" s="18">
        <v>220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>
        <v>220</v>
      </c>
    </row>
    <row r="50" spans="1:72" x14ac:dyDescent="0.3">
      <c r="A50" s="17" t="s">
        <v>143</v>
      </c>
      <c r="B50" s="17"/>
      <c r="C50" s="17"/>
      <c r="D50" s="19">
        <v>93927.3</v>
      </c>
      <c r="E50" s="39">
        <v>-93927.1</v>
      </c>
      <c r="F50" s="19">
        <v>0.20000000000004547</v>
      </c>
      <c r="J50" s="18"/>
      <c r="O50" t="s">
        <v>1440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4878.3999999999996</v>
      </c>
      <c r="BI50" s="18"/>
      <c r="BJ50" s="18">
        <v>4878.3999999999996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>
        <v>4878.3999999999996</v>
      </c>
    </row>
    <row r="51" spans="1:72" x14ac:dyDescent="0.3">
      <c r="A51">
        <v>9</v>
      </c>
      <c r="B51" t="s">
        <v>924</v>
      </c>
      <c r="C51" t="s">
        <v>409</v>
      </c>
      <c r="D51" s="18">
        <v>9343.9</v>
      </c>
      <c r="E51" s="38">
        <v>-9343.9</v>
      </c>
      <c r="F51" s="18">
        <v>0</v>
      </c>
      <c r="J51" s="18"/>
      <c r="O51" t="s">
        <v>1537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>
        <v>220</v>
      </c>
      <c r="BJ51" s="18">
        <v>220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>
        <v>220</v>
      </c>
    </row>
    <row r="52" spans="1:72" x14ac:dyDescent="0.3">
      <c r="B52" t="s">
        <v>925</v>
      </c>
      <c r="C52" t="s">
        <v>58</v>
      </c>
      <c r="D52" s="18">
        <v>3784</v>
      </c>
      <c r="E52" s="38">
        <v>-3784</v>
      </c>
      <c r="F52" s="18">
        <v>0</v>
      </c>
      <c r="J52" s="18"/>
      <c r="O52" t="s">
        <v>1560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>
        <v>4621.2</v>
      </c>
      <c r="BJ52" s="18">
        <v>4621.2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>
        <v>4621.2</v>
      </c>
    </row>
    <row r="53" spans="1:72" x14ac:dyDescent="0.3">
      <c r="B53" t="s">
        <v>927</v>
      </c>
      <c r="C53" t="s">
        <v>409</v>
      </c>
      <c r="D53" s="18">
        <v>11453.6</v>
      </c>
      <c r="E53" s="38">
        <v>-11453.6</v>
      </c>
      <c r="F53" s="18">
        <v>0</v>
      </c>
      <c r="J53" s="18"/>
      <c r="O53" t="s">
        <v>1705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220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>
        <v>220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>
        <v>220</v>
      </c>
    </row>
    <row r="54" spans="1:72" x14ac:dyDescent="0.3">
      <c r="B54" t="s">
        <v>930</v>
      </c>
      <c r="C54" t="s">
        <v>958</v>
      </c>
      <c r="D54" s="18">
        <v>2452</v>
      </c>
      <c r="E54" s="38">
        <v>-2452</v>
      </c>
      <c r="F54" s="18">
        <v>0</v>
      </c>
      <c r="J54" s="18"/>
      <c r="O54" t="s">
        <v>1792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3124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>
        <v>3124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>
        <v>3124</v>
      </c>
    </row>
    <row r="55" spans="1:72" x14ac:dyDescent="0.3">
      <c r="B55" t="s">
        <v>931</v>
      </c>
      <c r="C55" t="s">
        <v>409</v>
      </c>
      <c r="D55" s="18">
        <v>1914</v>
      </c>
      <c r="E55" s="38">
        <v>-1914</v>
      </c>
      <c r="F55" s="18">
        <v>0</v>
      </c>
      <c r="J55" s="18"/>
      <c r="O55" t="s">
        <v>1809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220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>
        <v>220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>
        <v>220</v>
      </c>
    </row>
    <row r="56" spans="1:72" x14ac:dyDescent="0.3">
      <c r="B56" t="s">
        <v>932</v>
      </c>
      <c r="C56" t="s">
        <v>491</v>
      </c>
      <c r="D56" s="18">
        <v>2251</v>
      </c>
      <c r="E56" s="38">
        <v>-2251</v>
      </c>
      <c r="F56" s="18">
        <v>0</v>
      </c>
      <c r="J56" s="18"/>
      <c r="O56" t="s">
        <v>1890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>
        <v>540</v>
      </c>
      <c r="BB56" s="18"/>
      <c r="BC56" s="18"/>
      <c r="BD56" s="18"/>
      <c r="BE56" s="18"/>
      <c r="BF56" s="18"/>
      <c r="BG56" s="18"/>
      <c r="BH56" s="18"/>
      <c r="BI56" s="18"/>
      <c r="BJ56" s="18">
        <v>540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>
        <v>540</v>
      </c>
    </row>
    <row r="57" spans="1:72" x14ac:dyDescent="0.3">
      <c r="B57" t="s">
        <v>933</v>
      </c>
      <c r="C57" t="s">
        <v>409</v>
      </c>
      <c r="D57" s="18">
        <v>13163</v>
      </c>
      <c r="E57" s="38">
        <v>-13163</v>
      </c>
      <c r="F57" s="18">
        <v>0</v>
      </c>
      <c r="J57" s="18"/>
      <c r="O57" t="s">
        <v>2008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v>1628</v>
      </c>
      <c r="BC57" s="18"/>
      <c r="BD57" s="18"/>
      <c r="BE57" s="18"/>
      <c r="BF57" s="18"/>
      <c r="BG57" s="18"/>
      <c r="BH57" s="18"/>
      <c r="BI57" s="18"/>
      <c r="BJ57" s="18">
        <v>1628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>
        <v>1628</v>
      </c>
    </row>
    <row r="58" spans="1:72" x14ac:dyDescent="0.3">
      <c r="B58" t="s">
        <v>934</v>
      </c>
      <c r="C58" t="s">
        <v>409</v>
      </c>
      <c r="D58" s="18">
        <v>11823</v>
      </c>
      <c r="E58" s="38">
        <v>-11823</v>
      </c>
      <c r="F58" s="18">
        <v>0</v>
      </c>
      <c r="J58" s="18"/>
      <c r="O58" t="s">
        <v>2016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>
        <v>4818</v>
      </c>
      <c r="BC58" s="18"/>
      <c r="BD58" s="18"/>
      <c r="BE58" s="18"/>
      <c r="BF58" s="18"/>
      <c r="BG58" s="18"/>
      <c r="BH58" s="18"/>
      <c r="BI58" s="18"/>
      <c r="BJ58" s="18">
        <v>4818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>
        <v>4818</v>
      </c>
    </row>
    <row r="59" spans="1:72" x14ac:dyDescent="0.3">
      <c r="B59" t="s">
        <v>936</v>
      </c>
      <c r="C59" t="s">
        <v>7</v>
      </c>
      <c r="D59" s="18">
        <v>1840</v>
      </c>
      <c r="E59" s="38">
        <v>-1840</v>
      </c>
      <c r="F59" s="18">
        <v>0</v>
      </c>
      <c r="J59" s="18"/>
      <c r="O59" t="s">
        <v>2189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>
        <v>6070.7999999999993</v>
      </c>
      <c r="BE59" s="18"/>
      <c r="BF59" s="18"/>
      <c r="BG59" s="18"/>
      <c r="BH59" s="18"/>
      <c r="BI59" s="18"/>
      <c r="BJ59" s="18">
        <v>6070.7999999999993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>
        <v>6070.7999999999993</v>
      </c>
    </row>
    <row r="60" spans="1:72" x14ac:dyDescent="0.3">
      <c r="B60" t="s">
        <v>937</v>
      </c>
      <c r="C60" t="s">
        <v>491</v>
      </c>
      <c r="D60" s="18">
        <v>3655.7</v>
      </c>
      <c r="E60" s="38">
        <v>-3655.7</v>
      </c>
      <c r="F60" s="18">
        <v>0</v>
      </c>
      <c r="J60" s="18"/>
      <c r="O60" t="s">
        <v>2274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>
        <v>6290.7999999999993</v>
      </c>
      <c r="BO60" s="18"/>
      <c r="BP60" s="18"/>
      <c r="BQ60" s="18"/>
      <c r="BR60" s="18"/>
      <c r="BS60" s="18">
        <v>6290.7999999999993</v>
      </c>
      <c r="BT60" s="18">
        <v>6290.7999999999993</v>
      </c>
    </row>
    <row r="61" spans="1:72" x14ac:dyDescent="0.3">
      <c r="B61" t="s">
        <v>943</v>
      </c>
      <c r="C61" t="s">
        <v>400</v>
      </c>
      <c r="D61" s="18">
        <v>3546.1</v>
      </c>
      <c r="E61" s="38">
        <v>-3546.1</v>
      </c>
      <c r="F61" s="18">
        <v>0</v>
      </c>
      <c r="J61" s="18"/>
      <c r="O61" t="s">
        <v>2365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v>5884.4</v>
      </c>
      <c r="BP61" s="18"/>
      <c r="BQ61" s="18"/>
      <c r="BR61" s="18"/>
      <c r="BS61" s="18">
        <v>5884.4</v>
      </c>
      <c r="BT61" s="18">
        <v>5884.4</v>
      </c>
    </row>
    <row r="62" spans="1:72" x14ac:dyDescent="0.3">
      <c r="B62" t="s">
        <v>947</v>
      </c>
      <c r="C62" t="s">
        <v>62</v>
      </c>
      <c r="D62" s="18">
        <v>11757.5</v>
      </c>
      <c r="E62" s="38">
        <v>-11757.5</v>
      </c>
      <c r="F62" s="18">
        <v>0</v>
      </c>
      <c r="J62" s="18"/>
      <c r="O62" t="s">
        <v>2428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v>3212</v>
      </c>
      <c r="BQ62" s="18"/>
      <c r="BR62" s="18"/>
      <c r="BS62" s="18">
        <v>3212</v>
      </c>
      <c r="BT62" s="18">
        <v>3212</v>
      </c>
    </row>
    <row r="63" spans="1:72" x14ac:dyDescent="0.3">
      <c r="B63" t="s">
        <v>950</v>
      </c>
      <c r="C63" t="s">
        <v>491</v>
      </c>
      <c r="D63" s="18">
        <v>3595.6</v>
      </c>
      <c r="E63" s="38">
        <v>-3595.6</v>
      </c>
      <c r="F63" s="18">
        <v>0</v>
      </c>
      <c r="J63" s="18"/>
      <c r="O63" t="s">
        <v>2507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>
        <v>6619.2999999999993</v>
      </c>
      <c r="BR63" s="18"/>
      <c r="BS63" s="18">
        <v>6619.2999999999993</v>
      </c>
      <c r="BT63" s="18">
        <v>6619.2999999999993</v>
      </c>
    </row>
    <row r="64" spans="1:72" x14ac:dyDescent="0.3">
      <c r="B64" t="s">
        <v>952</v>
      </c>
      <c r="C64" t="s">
        <v>637</v>
      </c>
      <c r="D64" s="18">
        <v>2968.8</v>
      </c>
      <c r="E64" s="38">
        <v>-2968.8</v>
      </c>
      <c r="F64" s="18">
        <v>0</v>
      </c>
      <c r="J64" s="18"/>
      <c r="O64" t="s">
        <v>2508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>
        <v>260</v>
      </c>
      <c r="BR64" s="18"/>
      <c r="BS64" s="18">
        <v>260</v>
      </c>
      <c r="BT64" s="18">
        <v>260</v>
      </c>
    </row>
    <row r="65" spans="1:72" x14ac:dyDescent="0.3">
      <c r="B65" t="s">
        <v>953</v>
      </c>
      <c r="C65" t="s">
        <v>637</v>
      </c>
      <c r="D65" s="18">
        <v>840</v>
      </c>
      <c r="E65" s="38">
        <v>-840</v>
      </c>
      <c r="F65" s="18">
        <v>0</v>
      </c>
      <c r="J65" s="18"/>
      <c r="O65" t="s">
        <v>2525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>
        <v>5334</v>
      </c>
      <c r="BR65" s="18"/>
      <c r="BS65" s="18">
        <v>5334</v>
      </c>
      <c r="BT65" s="18">
        <v>5334</v>
      </c>
    </row>
    <row r="66" spans="1:72" x14ac:dyDescent="0.3">
      <c r="B66" t="s">
        <v>955</v>
      </c>
      <c r="C66" t="s">
        <v>859</v>
      </c>
      <c r="D66" s="18">
        <v>11266.8</v>
      </c>
      <c r="E66" s="38">
        <v>-11266.8</v>
      </c>
      <c r="F66" s="18">
        <v>0</v>
      </c>
      <c r="J66" s="18"/>
      <c r="O66" t="s">
        <v>2659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>
        <v>5042</v>
      </c>
      <c r="BL66" s="18"/>
      <c r="BM66" s="18"/>
      <c r="BN66" s="18"/>
      <c r="BO66" s="18"/>
      <c r="BP66" s="18"/>
      <c r="BQ66" s="18"/>
      <c r="BR66" s="18"/>
      <c r="BS66" s="18">
        <v>5042</v>
      </c>
      <c r="BT66" s="18">
        <v>5042</v>
      </c>
    </row>
    <row r="67" spans="1:72" x14ac:dyDescent="0.3">
      <c r="B67" t="s">
        <v>956</v>
      </c>
      <c r="C67" t="s">
        <v>958</v>
      </c>
      <c r="D67" s="18">
        <v>1995.5</v>
      </c>
      <c r="E67" s="38">
        <v>-1995.5</v>
      </c>
      <c r="F67" s="18">
        <v>0</v>
      </c>
      <c r="J67" s="18"/>
      <c r="O67" t="s">
        <v>2759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>
        <v>818.8</v>
      </c>
      <c r="BM67" s="18"/>
      <c r="BN67" s="18"/>
      <c r="BO67" s="18"/>
      <c r="BP67" s="18"/>
      <c r="BQ67" s="18"/>
      <c r="BR67" s="18"/>
      <c r="BS67" s="18">
        <v>818.8</v>
      </c>
      <c r="BT67" s="18">
        <v>818.8</v>
      </c>
    </row>
    <row r="68" spans="1:72" x14ac:dyDescent="0.3">
      <c r="A68" s="17" t="s">
        <v>144</v>
      </c>
      <c r="B68" s="17"/>
      <c r="C68" s="17"/>
      <c r="D68" s="19">
        <v>97650.5</v>
      </c>
      <c r="E68" s="39">
        <v>-97650.5</v>
      </c>
      <c r="F68" s="19">
        <v>0</v>
      </c>
      <c r="J68" s="18"/>
      <c r="O68" t="s">
        <v>2766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>
        <v>4884</v>
      </c>
      <c r="BM68" s="18"/>
      <c r="BN68" s="18"/>
      <c r="BO68" s="18"/>
      <c r="BP68" s="18"/>
      <c r="BQ68" s="18"/>
      <c r="BR68" s="18"/>
      <c r="BS68" s="18">
        <v>4884</v>
      </c>
      <c r="BT68" s="18">
        <v>4884</v>
      </c>
    </row>
    <row r="69" spans="1:72" x14ac:dyDescent="0.3">
      <c r="A69">
        <v>10</v>
      </c>
      <c r="B69" t="s">
        <v>986</v>
      </c>
      <c r="C69" t="s">
        <v>62</v>
      </c>
      <c r="D69" s="18">
        <v>13065</v>
      </c>
      <c r="E69" s="38">
        <v>-13065</v>
      </c>
      <c r="F69" s="18">
        <v>0</v>
      </c>
      <c r="J69" s="18"/>
      <c r="N69" s="17" t="s">
        <v>134</v>
      </c>
      <c r="O69" s="17"/>
      <c r="P69" s="19"/>
      <c r="Q69" s="19"/>
      <c r="R69" s="19"/>
      <c r="S69" s="19"/>
      <c r="T69" s="19">
        <v>2552</v>
      </c>
      <c r="U69" s="19"/>
      <c r="V69" s="19"/>
      <c r="W69" s="19">
        <v>1639.2</v>
      </c>
      <c r="X69" s="19"/>
      <c r="Y69" s="19">
        <v>4191.2</v>
      </c>
      <c r="Z69" s="19">
        <v>4515</v>
      </c>
      <c r="AA69" s="19"/>
      <c r="AB69" s="19">
        <v>5100</v>
      </c>
      <c r="AC69" s="19"/>
      <c r="AD69" s="19"/>
      <c r="AE69" s="19"/>
      <c r="AF69" s="19"/>
      <c r="AG69" s="19">
        <v>6549.6</v>
      </c>
      <c r="AH69" s="19">
        <v>7482</v>
      </c>
      <c r="AI69" s="19"/>
      <c r="AJ69" s="19">
        <v>23646.6</v>
      </c>
      <c r="AK69" s="19">
        <v>3960</v>
      </c>
      <c r="AL69" s="19">
        <v>6135.5</v>
      </c>
      <c r="AM69" s="19">
        <v>762</v>
      </c>
      <c r="AN69" s="19">
        <v>3784</v>
      </c>
      <c r="AO69" s="19">
        <v>1960.2</v>
      </c>
      <c r="AP69" s="19">
        <v>4482.8</v>
      </c>
      <c r="AQ69" s="19">
        <v>4632.8</v>
      </c>
      <c r="AR69" s="19"/>
      <c r="AS69" s="19">
        <v>5940</v>
      </c>
      <c r="AT69" s="19"/>
      <c r="AU69" s="19">
        <v>5043</v>
      </c>
      <c r="AV69" s="19">
        <v>5100</v>
      </c>
      <c r="AW69" s="19">
        <v>41800.300000000003</v>
      </c>
      <c r="AX69" s="19"/>
      <c r="AY69" s="19">
        <v>220</v>
      </c>
      <c r="AZ69" s="19">
        <v>3344</v>
      </c>
      <c r="BA69" s="19">
        <v>540</v>
      </c>
      <c r="BB69" s="19">
        <v>6446</v>
      </c>
      <c r="BC69" s="19"/>
      <c r="BD69" s="19">
        <v>6070.7999999999993</v>
      </c>
      <c r="BE69" s="19">
        <v>5616</v>
      </c>
      <c r="BF69" s="19"/>
      <c r="BG69" s="19">
        <v>4461.8</v>
      </c>
      <c r="BH69" s="19">
        <v>5098.3999999999996</v>
      </c>
      <c r="BI69" s="19">
        <v>4841.2</v>
      </c>
      <c r="BJ69" s="19">
        <v>36638.199999999997</v>
      </c>
      <c r="BK69" s="19">
        <v>5042</v>
      </c>
      <c r="BL69" s="19">
        <v>5702.8</v>
      </c>
      <c r="BM69" s="19"/>
      <c r="BN69" s="19">
        <v>6290.7999999999993</v>
      </c>
      <c r="BO69" s="19">
        <v>5884.4</v>
      </c>
      <c r="BP69" s="19">
        <v>3212</v>
      </c>
      <c r="BQ69" s="19">
        <v>12213.3</v>
      </c>
      <c r="BR69" s="19"/>
      <c r="BS69" s="19">
        <v>38345.300000000003</v>
      </c>
      <c r="BT69" s="19">
        <v>144621.59999999998</v>
      </c>
    </row>
    <row r="70" spans="1:72" x14ac:dyDescent="0.3">
      <c r="B70" t="s">
        <v>987</v>
      </c>
      <c r="C70" t="s">
        <v>409</v>
      </c>
      <c r="D70" s="18">
        <v>48172.5</v>
      </c>
      <c r="E70" s="38">
        <v>-48172.5</v>
      </c>
      <c r="F70" s="18">
        <v>0</v>
      </c>
      <c r="J70" s="18"/>
      <c r="N70" t="s">
        <v>7</v>
      </c>
      <c r="O70" t="s">
        <v>10</v>
      </c>
      <c r="P70" s="18"/>
      <c r="Q70" s="18"/>
      <c r="R70" s="18">
        <v>480</v>
      </c>
      <c r="S70" s="18"/>
      <c r="T70" s="18"/>
      <c r="U70" s="18"/>
      <c r="V70" s="18"/>
      <c r="W70" s="18"/>
      <c r="X70" s="18"/>
      <c r="Y70" s="18">
        <v>480</v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>
        <v>480</v>
      </c>
    </row>
    <row r="71" spans="1:72" x14ac:dyDescent="0.3">
      <c r="B71" t="s">
        <v>993</v>
      </c>
      <c r="C71" t="s">
        <v>491</v>
      </c>
      <c r="D71" s="18">
        <v>2636.5</v>
      </c>
      <c r="E71" s="38">
        <v>-2636.5</v>
      </c>
      <c r="F71" s="18">
        <v>0</v>
      </c>
      <c r="J71" s="18"/>
      <c r="O71" t="s">
        <v>12</v>
      </c>
      <c r="P71" s="18"/>
      <c r="Q71" s="18"/>
      <c r="R71" s="18">
        <v>2435</v>
      </c>
      <c r="S71" s="18"/>
      <c r="T71" s="18"/>
      <c r="U71" s="18"/>
      <c r="V71" s="18"/>
      <c r="W71" s="18"/>
      <c r="X71" s="18"/>
      <c r="Y71" s="18">
        <v>2435</v>
      </c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>
        <v>2435</v>
      </c>
    </row>
    <row r="72" spans="1:72" x14ac:dyDescent="0.3">
      <c r="B72" t="s">
        <v>995</v>
      </c>
      <c r="C72" t="s">
        <v>20</v>
      </c>
      <c r="D72" s="18">
        <v>2849</v>
      </c>
      <c r="E72" s="38">
        <v>-2849</v>
      </c>
      <c r="F72" s="18">
        <v>0</v>
      </c>
      <c r="J72" s="18"/>
      <c r="O72" t="s">
        <v>27</v>
      </c>
      <c r="P72" s="18"/>
      <c r="Q72" s="18"/>
      <c r="R72" s="18"/>
      <c r="S72" s="18">
        <v>2098</v>
      </c>
      <c r="T72" s="18"/>
      <c r="U72" s="18"/>
      <c r="V72" s="18"/>
      <c r="W72" s="18"/>
      <c r="X72" s="18"/>
      <c r="Y72" s="18">
        <v>2098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>
        <v>2098</v>
      </c>
    </row>
    <row r="73" spans="1:72" x14ac:dyDescent="0.3">
      <c r="B73" t="s">
        <v>996</v>
      </c>
      <c r="C73" t="s">
        <v>20</v>
      </c>
      <c r="D73" s="18">
        <v>4048</v>
      </c>
      <c r="E73" s="38">
        <v>-4048</v>
      </c>
      <c r="F73" s="18">
        <v>0</v>
      </c>
      <c r="J73" s="18"/>
      <c r="O73" t="s">
        <v>37</v>
      </c>
      <c r="P73" s="18"/>
      <c r="Q73" s="18"/>
      <c r="R73" s="18"/>
      <c r="S73" s="18"/>
      <c r="T73" s="18">
        <v>2922</v>
      </c>
      <c r="U73" s="18"/>
      <c r="V73" s="18"/>
      <c r="W73" s="18"/>
      <c r="X73" s="18"/>
      <c r="Y73" s="18">
        <v>2922</v>
      </c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>
        <v>2922</v>
      </c>
    </row>
    <row r="74" spans="1:72" x14ac:dyDescent="0.3">
      <c r="B74" t="s">
        <v>997</v>
      </c>
      <c r="C74" t="s">
        <v>43</v>
      </c>
      <c r="D74" s="18">
        <v>2237</v>
      </c>
      <c r="E74" s="38">
        <v>-2237</v>
      </c>
      <c r="F74" s="18">
        <v>0</v>
      </c>
      <c r="J74" s="18"/>
      <c r="O74" t="s">
        <v>38</v>
      </c>
      <c r="P74" s="18"/>
      <c r="Q74" s="18"/>
      <c r="R74" s="18"/>
      <c r="S74" s="18"/>
      <c r="T74" s="18">
        <v>960</v>
      </c>
      <c r="U74" s="18"/>
      <c r="V74" s="18"/>
      <c r="W74" s="18"/>
      <c r="X74" s="18"/>
      <c r="Y74" s="18">
        <v>960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>
        <v>960</v>
      </c>
    </row>
    <row r="75" spans="1:72" x14ac:dyDescent="0.3">
      <c r="B75" t="s">
        <v>998</v>
      </c>
      <c r="C75" t="s">
        <v>400</v>
      </c>
      <c r="D75" s="18">
        <v>3137.3</v>
      </c>
      <c r="E75" s="38">
        <v>-3137.3</v>
      </c>
      <c r="F75" s="18">
        <v>0</v>
      </c>
      <c r="O75" t="s">
        <v>56</v>
      </c>
      <c r="P75" s="18"/>
      <c r="Q75" s="18"/>
      <c r="R75" s="18"/>
      <c r="S75" s="18"/>
      <c r="T75" s="18">
        <v>1496</v>
      </c>
      <c r="U75" s="18"/>
      <c r="V75" s="18"/>
      <c r="W75" s="18"/>
      <c r="X75" s="18"/>
      <c r="Y75" s="18">
        <v>1496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>
        <v>1496</v>
      </c>
    </row>
    <row r="76" spans="1:72" x14ac:dyDescent="0.3">
      <c r="B76" t="s">
        <v>999</v>
      </c>
      <c r="C76" t="s">
        <v>409</v>
      </c>
      <c r="D76" s="18">
        <v>10166.299999999999</v>
      </c>
      <c r="E76" s="38">
        <v>-10166.299999999999</v>
      </c>
      <c r="F76" s="18">
        <v>0</v>
      </c>
      <c r="O76" t="s">
        <v>68</v>
      </c>
      <c r="P76" s="18"/>
      <c r="Q76" s="18"/>
      <c r="R76" s="18"/>
      <c r="S76" s="18"/>
      <c r="T76" s="18"/>
      <c r="U76" s="18">
        <v>1250</v>
      </c>
      <c r="V76" s="18"/>
      <c r="W76" s="18"/>
      <c r="X76" s="18"/>
      <c r="Y76" s="18">
        <v>1250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>
        <v>1250</v>
      </c>
    </row>
    <row r="77" spans="1:72" x14ac:dyDescent="0.3">
      <c r="B77" t="s">
        <v>1000</v>
      </c>
      <c r="C77" t="s">
        <v>491</v>
      </c>
      <c r="D77" s="18">
        <v>2570</v>
      </c>
      <c r="E77" s="38">
        <v>-2570</v>
      </c>
      <c r="F77" s="18">
        <v>0</v>
      </c>
      <c r="O77" t="s">
        <v>91</v>
      </c>
      <c r="P77" s="18"/>
      <c r="Q77" s="18"/>
      <c r="R77" s="18"/>
      <c r="S77" s="18"/>
      <c r="T77" s="18"/>
      <c r="U77" s="18">
        <v>2458</v>
      </c>
      <c r="V77" s="18"/>
      <c r="W77" s="18"/>
      <c r="X77" s="18"/>
      <c r="Y77" s="18">
        <v>2458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>
        <v>2458</v>
      </c>
    </row>
    <row r="78" spans="1:72" x14ac:dyDescent="0.3">
      <c r="B78" t="s">
        <v>1001</v>
      </c>
      <c r="C78" t="s">
        <v>62</v>
      </c>
      <c r="D78" s="18">
        <v>11480</v>
      </c>
      <c r="E78" s="38">
        <v>-11480</v>
      </c>
      <c r="F78" s="18">
        <v>0</v>
      </c>
      <c r="O78" t="s">
        <v>100</v>
      </c>
      <c r="P78" s="18"/>
      <c r="Q78" s="18"/>
      <c r="R78" s="18"/>
      <c r="S78" s="18"/>
      <c r="T78" s="18"/>
      <c r="U78" s="18">
        <v>1977</v>
      </c>
      <c r="V78" s="18"/>
      <c r="W78" s="18"/>
      <c r="X78" s="18"/>
      <c r="Y78" s="18">
        <v>1977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>
        <v>1977</v>
      </c>
    </row>
    <row r="79" spans="1:72" x14ac:dyDescent="0.3">
      <c r="B79" t="s">
        <v>1004</v>
      </c>
      <c r="C79" t="s">
        <v>784</v>
      </c>
      <c r="D79" s="18">
        <v>3600</v>
      </c>
      <c r="E79" s="38">
        <v>-3600</v>
      </c>
      <c r="F79" s="18">
        <v>0</v>
      </c>
      <c r="O79" t="s">
        <v>103</v>
      </c>
      <c r="P79" s="18"/>
      <c r="Q79" s="18"/>
      <c r="R79" s="18"/>
      <c r="S79" s="18"/>
      <c r="T79" s="18"/>
      <c r="U79" s="18">
        <v>1392</v>
      </c>
      <c r="V79" s="18"/>
      <c r="W79" s="18"/>
      <c r="X79" s="18"/>
      <c r="Y79" s="18">
        <v>1392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>
        <v>1392</v>
      </c>
    </row>
    <row r="80" spans="1:72" x14ac:dyDescent="0.3">
      <c r="B80" t="s">
        <v>1005</v>
      </c>
      <c r="C80" t="s">
        <v>62</v>
      </c>
      <c r="D80" s="18">
        <v>395</v>
      </c>
      <c r="E80" s="38">
        <v>-395</v>
      </c>
      <c r="F80" s="18">
        <v>0</v>
      </c>
      <c r="O80" t="s">
        <v>105</v>
      </c>
      <c r="P80" s="18"/>
      <c r="Q80" s="18"/>
      <c r="R80" s="18"/>
      <c r="S80" s="18"/>
      <c r="T80" s="18"/>
      <c r="U80" s="18">
        <v>1496</v>
      </c>
      <c r="V80" s="18"/>
      <c r="W80" s="18"/>
      <c r="X80" s="18"/>
      <c r="Y80" s="18">
        <v>1496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>
        <v>1496</v>
      </c>
    </row>
    <row r="81" spans="1:72" x14ac:dyDescent="0.3">
      <c r="B81" t="s">
        <v>1006</v>
      </c>
      <c r="C81" t="s">
        <v>58</v>
      </c>
      <c r="D81" s="18">
        <v>1960.2</v>
      </c>
      <c r="E81" s="38">
        <v>-1960.2</v>
      </c>
      <c r="F81" s="18">
        <v>0</v>
      </c>
      <c r="O81" t="s">
        <v>116</v>
      </c>
      <c r="P81" s="18"/>
      <c r="Q81" s="18"/>
      <c r="R81" s="18"/>
      <c r="S81" s="18"/>
      <c r="T81" s="18"/>
      <c r="U81" s="18"/>
      <c r="V81" s="18">
        <v>2458</v>
      </c>
      <c r="W81" s="18"/>
      <c r="X81" s="18"/>
      <c r="Y81" s="18">
        <v>2458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>
        <v>2458</v>
      </c>
    </row>
    <row r="82" spans="1:72" x14ac:dyDescent="0.3">
      <c r="B82" t="s">
        <v>1008</v>
      </c>
      <c r="C82" t="s">
        <v>23</v>
      </c>
      <c r="D82" s="18">
        <v>15677.2</v>
      </c>
      <c r="E82" s="38">
        <v>-15677.2</v>
      </c>
      <c r="F82" s="18">
        <v>0</v>
      </c>
      <c r="O82" t="s">
        <v>122</v>
      </c>
      <c r="P82" s="18"/>
      <c r="Q82" s="18"/>
      <c r="R82" s="18"/>
      <c r="S82" s="18"/>
      <c r="T82" s="18"/>
      <c r="U82" s="18"/>
      <c r="V82" s="18">
        <v>1645</v>
      </c>
      <c r="W82" s="18"/>
      <c r="X82" s="18"/>
      <c r="Y82" s="18">
        <v>1645</v>
      </c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>
        <v>1645</v>
      </c>
    </row>
    <row r="83" spans="1:72" x14ac:dyDescent="0.3">
      <c r="B83" t="s">
        <v>1009</v>
      </c>
      <c r="C83" t="s">
        <v>7</v>
      </c>
      <c r="D83" s="18">
        <v>3004</v>
      </c>
      <c r="E83" s="38">
        <v>-3004</v>
      </c>
      <c r="F83" s="18">
        <v>0</v>
      </c>
      <c r="O83" t="s">
        <v>148</v>
      </c>
      <c r="P83" s="18"/>
      <c r="Q83" s="18"/>
      <c r="R83" s="18"/>
      <c r="S83" s="18"/>
      <c r="T83" s="18"/>
      <c r="U83" s="18"/>
      <c r="V83" s="18">
        <v>2458</v>
      </c>
      <c r="W83" s="18"/>
      <c r="X83" s="18"/>
      <c r="Y83" s="18">
        <v>2458</v>
      </c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>
        <v>2458</v>
      </c>
    </row>
    <row r="84" spans="1:72" x14ac:dyDescent="0.3">
      <c r="B84" t="s">
        <v>1010</v>
      </c>
      <c r="C84" t="s">
        <v>409</v>
      </c>
      <c r="D84" s="18">
        <v>7590.5</v>
      </c>
      <c r="E84" s="38">
        <v>-7590.5</v>
      </c>
      <c r="F84" s="18">
        <v>0</v>
      </c>
      <c r="O84" t="s">
        <v>153</v>
      </c>
      <c r="P84" s="18"/>
      <c r="Q84" s="18"/>
      <c r="R84" s="18"/>
      <c r="S84" s="18"/>
      <c r="T84" s="18"/>
      <c r="U84" s="18"/>
      <c r="V84" s="18"/>
      <c r="W84" s="18">
        <v>1954</v>
      </c>
      <c r="X84" s="18"/>
      <c r="Y84" s="18">
        <v>1954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>
        <v>1954</v>
      </c>
    </row>
    <row r="85" spans="1:72" x14ac:dyDescent="0.3">
      <c r="B85" t="s">
        <v>1011</v>
      </c>
      <c r="C85" t="s">
        <v>491</v>
      </c>
      <c r="D85" s="18">
        <v>2837</v>
      </c>
      <c r="E85" s="38">
        <v>-2837</v>
      </c>
      <c r="F85" s="18">
        <v>0</v>
      </c>
      <c r="O85" t="s">
        <v>165</v>
      </c>
      <c r="P85" s="18"/>
      <c r="Q85" s="18"/>
      <c r="R85" s="18"/>
      <c r="S85" s="18"/>
      <c r="T85" s="18"/>
      <c r="U85" s="18"/>
      <c r="V85" s="18"/>
      <c r="W85" s="18">
        <v>1584</v>
      </c>
      <c r="X85" s="18"/>
      <c r="Y85" s="18">
        <v>1584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>
        <v>1584</v>
      </c>
    </row>
    <row r="86" spans="1:72" x14ac:dyDescent="0.3">
      <c r="B86" t="s">
        <v>1012</v>
      </c>
      <c r="C86" t="s">
        <v>409</v>
      </c>
      <c r="D86" s="18">
        <v>250</v>
      </c>
      <c r="E86" s="38">
        <v>-250</v>
      </c>
      <c r="F86" s="18">
        <v>0</v>
      </c>
      <c r="O86" t="s">
        <v>166</v>
      </c>
      <c r="P86" s="18"/>
      <c r="Q86" s="18"/>
      <c r="R86" s="18"/>
      <c r="S86" s="18"/>
      <c r="T86" s="18"/>
      <c r="U86" s="18"/>
      <c r="V86" s="18"/>
      <c r="W86" s="18">
        <v>520</v>
      </c>
      <c r="X86" s="18"/>
      <c r="Y86" s="18">
        <v>520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>
        <v>520</v>
      </c>
    </row>
    <row r="87" spans="1:72" x14ac:dyDescent="0.3">
      <c r="B87" t="s">
        <v>1014</v>
      </c>
      <c r="C87" t="s">
        <v>409</v>
      </c>
      <c r="D87" s="18">
        <v>47685</v>
      </c>
      <c r="E87" s="38">
        <v>-47685</v>
      </c>
      <c r="F87" s="18">
        <v>0</v>
      </c>
      <c r="O87" t="s">
        <v>181</v>
      </c>
      <c r="P87" s="18"/>
      <c r="Q87" s="18"/>
      <c r="R87" s="18"/>
      <c r="S87" s="18"/>
      <c r="T87" s="18"/>
      <c r="U87" s="18"/>
      <c r="V87" s="18"/>
      <c r="W87" s="18">
        <v>2424</v>
      </c>
      <c r="X87" s="18"/>
      <c r="Y87" s="18">
        <v>2424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>
        <v>2424</v>
      </c>
    </row>
    <row r="88" spans="1:72" x14ac:dyDescent="0.3">
      <c r="B88" t="s">
        <v>1015</v>
      </c>
      <c r="C88" t="s">
        <v>491</v>
      </c>
      <c r="D88" s="18">
        <v>3095</v>
      </c>
      <c r="E88" s="38">
        <v>-3095</v>
      </c>
      <c r="F88" s="18">
        <v>0</v>
      </c>
      <c r="O88" t="s">
        <v>210</v>
      </c>
      <c r="P88" s="18"/>
      <c r="Q88" s="18"/>
      <c r="R88" s="18"/>
      <c r="S88" s="18"/>
      <c r="T88" s="18"/>
      <c r="U88" s="18"/>
      <c r="V88" s="18"/>
      <c r="W88" s="18"/>
      <c r="X88" s="18">
        <v>2228</v>
      </c>
      <c r="Y88" s="18">
        <v>2228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>
        <v>2228</v>
      </c>
    </row>
    <row r="89" spans="1:72" x14ac:dyDescent="0.3">
      <c r="A89" s="17" t="s">
        <v>145</v>
      </c>
      <c r="B89" s="17"/>
      <c r="C89" s="17"/>
      <c r="D89" s="19">
        <v>186455.5</v>
      </c>
      <c r="E89" s="39">
        <v>-186455.5</v>
      </c>
      <c r="F89" s="19">
        <v>0</v>
      </c>
      <c r="O89" t="s">
        <v>252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>
        <v>2866</v>
      </c>
      <c r="AF89" s="18"/>
      <c r="AG89" s="18"/>
      <c r="AH89" s="18"/>
      <c r="AI89" s="18"/>
      <c r="AJ89" s="18">
        <v>2866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>
        <v>2866</v>
      </c>
    </row>
    <row r="90" spans="1:72" x14ac:dyDescent="0.3">
      <c r="A90">
        <v>11</v>
      </c>
      <c r="B90" t="s">
        <v>1046</v>
      </c>
      <c r="C90" t="s">
        <v>23</v>
      </c>
      <c r="D90" s="18">
        <v>10824</v>
      </c>
      <c r="E90" s="38">
        <v>-10824</v>
      </c>
      <c r="F90" s="18">
        <v>0</v>
      </c>
      <c r="O90" t="s">
        <v>273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1694</v>
      </c>
      <c r="AG90" s="18"/>
      <c r="AH90" s="18"/>
      <c r="AI90" s="18"/>
      <c r="AJ90" s="18">
        <v>1694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>
        <v>1694</v>
      </c>
    </row>
    <row r="91" spans="1:72" x14ac:dyDescent="0.3">
      <c r="B91" t="s">
        <v>1047</v>
      </c>
      <c r="C91" t="s">
        <v>62</v>
      </c>
      <c r="D91" s="18">
        <v>11260</v>
      </c>
      <c r="E91" s="38">
        <v>-11260</v>
      </c>
      <c r="F91" s="18">
        <v>0</v>
      </c>
      <c r="O91" t="s">
        <v>311</v>
      </c>
      <c r="P91" s="18">
        <v>2973</v>
      </c>
      <c r="Q91" s="18">
        <v>2973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>
        <v>2973</v>
      </c>
    </row>
    <row r="92" spans="1:72" x14ac:dyDescent="0.3">
      <c r="B92" t="s">
        <v>1048</v>
      </c>
      <c r="C92" t="s">
        <v>58</v>
      </c>
      <c r="D92" s="18">
        <v>4482.8</v>
      </c>
      <c r="E92" s="38">
        <v>-4482.8</v>
      </c>
      <c r="F92" s="18">
        <v>0</v>
      </c>
      <c r="O92" t="s">
        <v>327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>
        <v>520</v>
      </c>
      <c r="AI92" s="18"/>
      <c r="AJ92" s="18">
        <v>520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>
        <v>520</v>
      </c>
    </row>
    <row r="93" spans="1:72" x14ac:dyDescent="0.3">
      <c r="B93" t="s">
        <v>1050</v>
      </c>
      <c r="C93" t="s">
        <v>409</v>
      </c>
      <c r="D93" s="18">
        <v>403.8</v>
      </c>
      <c r="E93" s="38">
        <v>-403.8</v>
      </c>
      <c r="F93" s="18">
        <v>0</v>
      </c>
      <c r="O93" t="s">
        <v>338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v>2846</v>
      </c>
      <c r="AJ93" s="18">
        <v>2846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>
        <v>2846</v>
      </c>
    </row>
    <row r="94" spans="1:72" x14ac:dyDescent="0.3">
      <c r="B94" t="s">
        <v>1053</v>
      </c>
      <c r="C94" t="s">
        <v>1051</v>
      </c>
      <c r="D94" s="18">
        <v>892.6</v>
      </c>
      <c r="E94" s="38">
        <v>-892.6</v>
      </c>
      <c r="F94" s="18">
        <v>0</v>
      </c>
      <c r="O94" t="s">
        <v>376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>
        <v>1870</v>
      </c>
      <c r="AB94" s="18"/>
      <c r="AC94" s="18"/>
      <c r="AD94" s="18"/>
      <c r="AE94" s="18"/>
      <c r="AF94" s="18"/>
      <c r="AG94" s="18"/>
      <c r="AH94" s="18"/>
      <c r="AI94" s="18"/>
      <c r="AJ94" s="18">
        <v>1870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>
        <v>1870</v>
      </c>
    </row>
    <row r="95" spans="1:72" x14ac:dyDescent="0.3">
      <c r="B95" t="s">
        <v>1055</v>
      </c>
      <c r="C95" t="s">
        <v>637</v>
      </c>
      <c r="D95" s="18">
        <v>1316</v>
      </c>
      <c r="E95" s="38">
        <v>-1316</v>
      </c>
      <c r="F95" s="18">
        <v>0</v>
      </c>
      <c r="O95" t="s">
        <v>442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6656</v>
      </c>
      <c r="AC95" s="18"/>
      <c r="AD95" s="18"/>
      <c r="AE95" s="18"/>
      <c r="AF95" s="18"/>
      <c r="AG95" s="18"/>
      <c r="AH95" s="18"/>
      <c r="AI95" s="18"/>
      <c r="AJ95" s="18">
        <v>6656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>
        <v>6656</v>
      </c>
    </row>
    <row r="96" spans="1:72" x14ac:dyDescent="0.3">
      <c r="B96" t="s">
        <v>1062</v>
      </c>
      <c r="C96" t="s">
        <v>1057</v>
      </c>
      <c r="D96" s="18">
        <v>4373</v>
      </c>
      <c r="E96" s="38">
        <v>-4373</v>
      </c>
      <c r="F96" s="18">
        <v>0</v>
      </c>
      <c r="O96" t="s">
        <v>531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>
        <v>5591</v>
      </c>
      <c r="AE96" s="18"/>
      <c r="AF96" s="18"/>
      <c r="AG96" s="18"/>
      <c r="AH96" s="18"/>
      <c r="AI96" s="18"/>
      <c r="AJ96" s="18">
        <v>5591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>
        <v>5591</v>
      </c>
    </row>
    <row r="97" spans="1:72" x14ac:dyDescent="0.3">
      <c r="B97" t="s">
        <v>1063</v>
      </c>
      <c r="C97" t="s">
        <v>491</v>
      </c>
      <c r="D97" s="18">
        <v>3094</v>
      </c>
      <c r="E97" s="38">
        <v>-3094</v>
      </c>
      <c r="F97" s="18">
        <v>0</v>
      </c>
      <c r="O97" t="s">
        <v>661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>
        <v>3232</v>
      </c>
      <c r="AU97" s="18"/>
      <c r="AV97" s="18"/>
      <c r="AW97" s="18">
        <v>3232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>
        <v>3232</v>
      </c>
    </row>
    <row r="98" spans="1:72" x14ac:dyDescent="0.3">
      <c r="B98" t="s">
        <v>1064</v>
      </c>
      <c r="C98" t="s">
        <v>409</v>
      </c>
      <c r="D98" s="18">
        <v>14886.5</v>
      </c>
      <c r="E98" s="38">
        <v>-14886.5</v>
      </c>
      <c r="F98" s="18">
        <v>0</v>
      </c>
      <c r="O98" t="s">
        <v>715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>
        <v>2488</v>
      </c>
      <c r="AV98" s="18"/>
      <c r="AW98" s="18">
        <v>2488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>
        <v>2488</v>
      </c>
    </row>
    <row r="99" spans="1:72" x14ac:dyDescent="0.3">
      <c r="B99" t="s">
        <v>1065</v>
      </c>
      <c r="C99" t="s">
        <v>859</v>
      </c>
      <c r="D99" s="18">
        <v>14564.6</v>
      </c>
      <c r="E99" s="38">
        <v>-14564.6</v>
      </c>
      <c r="F99" s="18">
        <v>0</v>
      </c>
      <c r="O99" t="s">
        <v>829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2356</v>
      </c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>
        <v>2356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>
        <v>2356</v>
      </c>
    </row>
    <row r="100" spans="1:72" x14ac:dyDescent="0.3">
      <c r="B100" t="s">
        <v>1066</v>
      </c>
      <c r="C100" t="s">
        <v>400</v>
      </c>
      <c r="D100" s="18">
        <v>5283.2</v>
      </c>
      <c r="E100" s="38">
        <v>-5283.2</v>
      </c>
      <c r="F100" s="18">
        <v>0</v>
      </c>
      <c r="O100" t="s">
        <v>837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3232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>
        <v>3232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>
        <v>3232</v>
      </c>
    </row>
    <row r="101" spans="1:72" x14ac:dyDescent="0.3">
      <c r="B101" t="s">
        <v>1067</v>
      </c>
      <c r="C101" t="s">
        <v>400</v>
      </c>
      <c r="D101" s="18">
        <v>105</v>
      </c>
      <c r="E101" s="38">
        <v>-105</v>
      </c>
      <c r="F101" s="18">
        <v>0</v>
      </c>
      <c r="O101" t="s">
        <v>869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v>4092</v>
      </c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>
        <v>4092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>
        <v>4092</v>
      </c>
    </row>
    <row r="102" spans="1:72" x14ac:dyDescent="0.3">
      <c r="B102" t="s">
        <v>1068</v>
      </c>
      <c r="C102" t="s">
        <v>7</v>
      </c>
      <c r="D102" s="18">
        <v>1936</v>
      </c>
      <c r="E102" s="38">
        <v>-1936</v>
      </c>
      <c r="F102" s="18">
        <v>0</v>
      </c>
      <c r="O102" t="s">
        <v>897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>
        <v>864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>
        <v>864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>
        <v>864</v>
      </c>
    </row>
    <row r="103" spans="1:72" x14ac:dyDescent="0.3">
      <c r="B103" t="s">
        <v>1071</v>
      </c>
      <c r="C103" t="s">
        <v>1051</v>
      </c>
      <c r="D103" s="18">
        <v>780</v>
      </c>
      <c r="E103" s="38">
        <v>-780</v>
      </c>
      <c r="F103" s="18">
        <v>0</v>
      </c>
      <c r="O103" t="s">
        <v>936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>
        <v>1840</v>
      </c>
      <c r="AO103" s="18"/>
      <c r="AP103" s="18"/>
      <c r="AQ103" s="18"/>
      <c r="AR103" s="18"/>
      <c r="AS103" s="18"/>
      <c r="AT103" s="18"/>
      <c r="AU103" s="18"/>
      <c r="AV103" s="18"/>
      <c r="AW103" s="18">
        <v>1840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>
        <v>1840</v>
      </c>
    </row>
    <row r="104" spans="1:72" x14ac:dyDescent="0.3">
      <c r="B104" t="s">
        <v>1075</v>
      </c>
      <c r="C104" t="s">
        <v>409</v>
      </c>
      <c r="D104" s="18">
        <v>17236.599999999999</v>
      </c>
      <c r="E104" s="38">
        <v>-17236.599999999999</v>
      </c>
      <c r="F104" s="18">
        <v>0</v>
      </c>
      <c r="O104" t="s">
        <v>1009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>
        <v>3004</v>
      </c>
      <c r="AP104" s="18"/>
      <c r="AQ104" s="18"/>
      <c r="AR104" s="18"/>
      <c r="AS104" s="18"/>
      <c r="AT104" s="18"/>
      <c r="AU104" s="18"/>
      <c r="AV104" s="18"/>
      <c r="AW104" s="18">
        <v>3004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>
        <v>3004</v>
      </c>
    </row>
    <row r="105" spans="1:72" x14ac:dyDescent="0.3">
      <c r="B105" t="s">
        <v>1091</v>
      </c>
      <c r="C105" t="s">
        <v>20</v>
      </c>
      <c r="D105" s="18">
        <v>7219</v>
      </c>
      <c r="E105" s="38">
        <v>-7219</v>
      </c>
      <c r="F105" s="18">
        <v>0</v>
      </c>
      <c r="O105" t="s">
        <v>1068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1936</v>
      </c>
      <c r="AQ105" s="18"/>
      <c r="AR105" s="18"/>
      <c r="AS105" s="18"/>
      <c r="AT105" s="18"/>
      <c r="AU105" s="18"/>
      <c r="AV105" s="18"/>
      <c r="AW105" s="18">
        <v>1936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>
        <v>1936</v>
      </c>
    </row>
    <row r="106" spans="1:72" x14ac:dyDescent="0.3">
      <c r="B106" t="s">
        <v>1092</v>
      </c>
      <c r="C106" t="s">
        <v>62</v>
      </c>
      <c r="D106" s="18">
        <v>11410.5</v>
      </c>
      <c r="E106" s="38">
        <v>-11410.5</v>
      </c>
      <c r="F106" s="18">
        <v>0</v>
      </c>
      <c r="O106" t="s">
        <v>1128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v>3332</v>
      </c>
      <c r="AR106" s="18"/>
      <c r="AS106" s="18"/>
      <c r="AT106" s="18"/>
      <c r="AU106" s="18"/>
      <c r="AV106" s="18"/>
      <c r="AW106" s="18">
        <v>3332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>
        <v>3332</v>
      </c>
    </row>
    <row r="107" spans="1:72" x14ac:dyDescent="0.3">
      <c r="B107" t="s">
        <v>1096</v>
      </c>
      <c r="C107" t="s">
        <v>1101</v>
      </c>
      <c r="D107" s="18">
        <v>260</v>
      </c>
      <c r="E107" s="38">
        <v>-260</v>
      </c>
      <c r="F107" s="18">
        <v>0</v>
      </c>
      <c r="O107" t="s">
        <v>1176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>
        <v>1804</v>
      </c>
      <c r="BF107" s="18"/>
      <c r="BG107" s="18"/>
      <c r="BH107" s="18"/>
      <c r="BI107" s="18"/>
      <c r="BJ107" s="18">
        <v>1804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>
        <v>1804</v>
      </c>
    </row>
    <row r="108" spans="1:72" x14ac:dyDescent="0.3">
      <c r="B108" t="s">
        <v>1097</v>
      </c>
      <c r="C108" t="s">
        <v>1100</v>
      </c>
      <c r="D108" s="18">
        <v>375</v>
      </c>
      <c r="E108" s="38">
        <v>-375</v>
      </c>
      <c r="F108" s="18">
        <v>0</v>
      </c>
      <c r="O108" t="s">
        <v>1302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2716</v>
      </c>
      <c r="BH108" s="18"/>
      <c r="BI108" s="18"/>
      <c r="BJ108" s="18">
        <v>2716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>
        <v>2716</v>
      </c>
    </row>
    <row r="109" spans="1:72" x14ac:dyDescent="0.3">
      <c r="A109" s="17" t="s">
        <v>160</v>
      </c>
      <c r="B109" s="17"/>
      <c r="C109" s="17"/>
      <c r="D109" s="19">
        <v>110702.6</v>
      </c>
      <c r="E109" s="39">
        <v>-110702.6</v>
      </c>
      <c r="F109" s="19">
        <v>0</v>
      </c>
      <c r="O109" t="s">
        <v>1457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2716</v>
      </c>
      <c r="BI109" s="18"/>
      <c r="BJ109" s="18">
        <v>2716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>
        <v>2716</v>
      </c>
    </row>
    <row r="110" spans="1:72" x14ac:dyDescent="0.3">
      <c r="A110">
        <v>12</v>
      </c>
      <c r="B110" t="s">
        <v>1106</v>
      </c>
      <c r="C110" t="s">
        <v>1051</v>
      </c>
      <c r="D110" s="18">
        <v>60</v>
      </c>
      <c r="E110" s="38">
        <v>-60</v>
      </c>
      <c r="F110" s="18">
        <v>0</v>
      </c>
      <c r="O110" t="s">
        <v>1565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>
        <v>4568</v>
      </c>
      <c r="BJ110" s="18">
        <v>4568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>
        <v>4568</v>
      </c>
    </row>
    <row r="111" spans="1:72" x14ac:dyDescent="0.3">
      <c r="B111" t="s">
        <v>1108</v>
      </c>
      <c r="C111" t="s">
        <v>637</v>
      </c>
      <c r="D111" s="18">
        <v>855</v>
      </c>
      <c r="E111" s="38">
        <v>-855</v>
      </c>
      <c r="F111" s="18">
        <v>0</v>
      </c>
      <c r="N111" s="17" t="s">
        <v>135</v>
      </c>
      <c r="O111" s="17"/>
      <c r="P111" s="19">
        <v>2973</v>
      </c>
      <c r="Q111" s="19">
        <v>2973</v>
      </c>
      <c r="R111" s="19">
        <v>2915</v>
      </c>
      <c r="S111" s="19">
        <v>2098</v>
      </c>
      <c r="T111" s="19">
        <v>5378</v>
      </c>
      <c r="U111" s="19">
        <v>8573</v>
      </c>
      <c r="V111" s="19">
        <v>6561</v>
      </c>
      <c r="W111" s="19">
        <v>6482</v>
      </c>
      <c r="X111" s="19">
        <v>2228</v>
      </c>
      <c r="Y111" s="19">
        <v>34235</v>
      </c>
      <c r="Z111" s="19"/>
      <c r="AA111" s="19">
        <v>1870</v>
      </c>
      <c r="AB111" s="19">
        <v>6656</v>
      </c>
      <c r="AC111" s="19"/>
      <c r="AD111" s="19">
        <v>5591</v>
      </c>
      <c r="AE111" s="19">
        <v>2866</v>
      </c>
      <c r="AF111" s="19">
        <v>1694</v>
      </c>
      <c r="AG111" s="19"/>
      <c r="AH111" s="19">
        <v>520</v>
      </c>
      <c r="AI111" s="19">
        <v>2846</v>
      </c>
      <c r="AJ111" s="19">
        <v>22043</v>
      </c>
      <c r="AK111" s="19">
        <v>5588</v>
      </c>
      <c r="AL111" s="19">
        <v>4092</v>
      </c>
      <c r="AM111" s="19">
        <v>864</v>
      </c>
      <c r="AN111" s="19">
        <v>1840</v>
      </c>
      <c r="AO111" s="19">
        <v>3004</v>
      </c>
      <c r="AP111" s="19">
        <v>1936</v>
      </c>
      <c r="AQ111" s="19">
        <v>3332</v>
      </c>
      <c r="AR111" s="19"/>
      <c r="AS111" s="19"/>
      <c r="AT111" s="19">
        <v>3232</v>
      </c>
      <c r="AU111" s="19">
        <v>2488</v>
      </c>
      <c r="AV111" s="19"/>
      <c r="AW111" s="19">
        <v>26376</v>
      </c>
      <c r="AX111" s="19"/>
      <c r="AY111" s="19"/>
      <c r="AZ111" s="19"/>
      <c r="BA111" s="19"/>
      <c r="BB111" s="19"/>
      <c r="BC111" s="19"/>
      <c r="BD111" s="19"/>
      <c r="BE111" s="19">
        <v>1804</v>
      </c>
      <c r="BF111" s="19"/>
      <c r="BG111" s="19">
        <v>2716</v>
      </c>
      <c r="BH111" s="19">
        <v>2716</v>
      </c>
      <c r="BI111" s="19">
        <v>4568</v>
      </c>
      <c r="BJ111" s="19">
        <v>11804</v>
      </c>
      <c r="BK111" s="19"/>
      <c r="BL111" s="19"/>
      <c r="BM111" s="19"/>
      <c r="BN111" s="19"/>
      <c r="BO111" s="19"/>
      <c r="BP111" s="19"/>
      <c r="BQ111" s="19"/>
      <c r="BR111" s="19"/>
      <c r="BS111" s="19"/>
      <c r="BT111" s="19">
        <v>97431</v>
      </c>
    </row>
    <row r="112" spans="1:72" x14ac:dyDescent="0.3">
      <c r="B112" t="s">
        <v>1109</v>
      </c>
      <c r="C112" t="s">
        <v>409</v>
      </c>
      <c r="D112" s="18">
        <v>4489</v>
      </c>
      <c r="E112" s="38">
        <v>-4489</v>
      </c>
      <c r="F112" s="18">
        <v>0</v>
      </c>
      <c r="N112" t="s">
        <v>20</v>
      </c>
      <c r="O112" t="s">
        <v>18</v>
      </c>
      <c r="P112" s="18"/>
      <c r="Q112" s="18"/>
      <c r="R112" s="18">
        <v>1827.5</v>
      </c>
      <c r="S112" s="18"/>
      <c r="T112" s="18"/>
      <c r="U112" s="18"/>
      <c r="V112" s="18"/>
      <c r="W112" s="18"/>
      <c r="X112" s="18"/>
      <c r="Y112" s="18">
        <v>1827.5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>
        <v>1827.5</v>
      </c>
    </row>
    <row r="113" spans="2:72" x14ac:dyDescent="0.3">
      <c r="B113" t="s">
        <v>1111</v>
      </c>
      <c r="C113" t="s">
        <v>409</v>
      </c>
      <c r="D113" s="18">
        <v>3915</v>
      </c>
      <c r="E113" s="38">
        <v>-3915</v>
      </c>
      <c r="F113" s="18">
        <v>0</v>
      </c>
      <c r="O113" t="s">
        <v>26</v>
      </c>
      <c r="P113" s="18"/>
      <c r="Q113" s="18"/>
      <c r="R113" s="18"/>
      <c r="S113" s="18">
        <v>1200</v>
      </c>
      <c r="T113" s="18"/>
      <c r="U113" s="18"/>
      <c r="V113" s="18"/>
      <c r="W113" s="18"/>
      <c r="X113" s="18"/>
      <c r="Y113" s="18">
        <v>1200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>
        <v>1200</v>
      </c>
    </row>
    <row r="114" spans="2:72" x14ac:dyDescent="0.3">
      <c r="B114" t="s">
        <v>1113</v>
      </c>
      <c r="C114" t="s">
        <v>58</v>
      </c>
      <c r="D114" s="18">
        <v>4632.8</v>
      </c>
      <c r="E114" s="38">
        <v>-4632.8</v>
      </c>
      <c r="F114" s="18">
        <v>0</v>
      </c>
      <c r="O114" t="s">
        <v>36</v>
      </c>
      <c r="P114" s="18"/>
      <c r="Q114" s="18"/>
      <c r="R114" s="18"/>
      <c r="S114" s="18"/>
      <c r="T114" s="18">
        <v>3406</v>
      </c>
      <c r="U114" s="18"/>
      <c r="V114" s="18"/>
      <c r="W114" s="18"/>
      <c r="X114" s="18"/>
      <c r="Y114" s="18">
        <v>3406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>
        <v>3406</v>
      </c>
    </row>
    <row r="115" spans="2:72" x14ac:dyDescent="0.3">
      <c r="B115" t="s">
        <v>1115</v>
      </c>
      <c r="C115" t="s">
        <v>409</v>
      </c>
      <c r="D115" s="18">
        <v>7395.5</v>
      </c>
      <c r="E115" s="38">
        <v>-7395.5</v>
      </c>
      <c r="F115" s="18">
        <v>0</v>
      </c>
      <c r="O115" t="s">
        <v>40</v>
      </c>
      <c r="P115" s="18"/>
      <c r="Q115" s="18"/>
      <c r="R115" s="18"/>
      <c r="S115" s="18"/>
      <c r="T115" s="18">
        <v>367.2</v>
      </c>
      <c r="U115" s="18"/>
      <c r="V115" s="18"/>
      <c r="W115" s="18"/>
      <c r="X115" s="18"/>
      <c r="Y115" s="18">
        <v>367.2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>
        <v>367.2</v>
      </c>
    </row>
    <row r="116" spans="2:72" x14ac:dyDescent="0.3">
      <c r="B116" t="s">
        <v>1116</v>
      </c>
      <c r="C116" t="s">
        <v>637</v>
      </c>
      <c r="D116" s="18">
        <v>93</v>
      </c>
      <c r="E116" s="38">
        <v>-93</v>
      </c>
      <c r="F116" s="18">
        <v>0</v>
      </c>
      <c r="O116" t="s">
        <v>53</v>
      </c>
      <c r="P116" s="18"/>
      <c r="Q116" s="18"/>
      <c r="R116" s="18"/>
      <c r="S116" s="18"/>
      <c r="T116" s="18">
        <v>1903</v>
      </c>
      <c r="U116" s="18"/>
      <c r="V116" s="18"/>
      <c r="W116" s="18"/>
      <c r="X116" s="18"/>
      <c r="Y116" s="18">
        <v>1903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>
        <v>1903</v>
      </c>
    </row>
    <row r="117" spans="2:72" x14ac:dyDescent="0.3">
      <c r="B117" t="s">
        <v>1119</v>
      </c>
      <c r="C117" t="s">
        <v>491</v>
      </c>
      <c r="D117" s="18">
        <v>3067</v>
      </c>
      <c r="E117" s="38">
        <v>-3067</v>
      </c>
      <c r="F117" s="18">
        <v>0</v>
      </c>
      <c r="O117" t="s">
        <v>109</v>
      </c>
      <c r="P117" s="18"/>
      <c r="Q117" s="18"/>
      <c r="R117" s="18"/>
      <c r="S117" s="18"/>
      <c r="T117" s="18"/>
      <c r="U117" s="18"/>
      <c r="V117" s="18">
        <v>5713</v>
      </c>
      <c r="W117" s="18"/>
      <c r="X117" s="18"/>
      <c r="Y117" s="18">
        <v>5713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>
        <v>5713</v>
      </c>
    </row>
    <row r="118" spans="2:72" x14ac:dyDescent="0.3">
      <c r="B118" t="s">
        <v>1120</v>
      </c>
      <c r="C118" t="s">
        <v>637</v>
      </c>
      <c r="D118" s="18">
        <v>2024</v>
      </c>
      <c r="E118" s="38">
        <v>-2024</v>
      </c>
      <c r="F118" s="18">
        <v>0</v>
      </c>
      <c r="O118" t="s">
        <v>118</v>
      </c>
      <c r="P118" s="18"/>
      <c r="Q118" s="18"/>
      <c r="R118" s="18"/>
      <c r="S118" s="18"/>
      <c r="T118" s="18"/>
      <c r="U118" s="18"/>
      <c r="V118" s="18">
        <v>180</v>
      </c>
      <c r="W118" s="18"/>
      <c r="X118" s="18"/>
      <c r="Y118" s="18">
        <v>180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>
        <v>180</v>
      </c>
    </row>
    <row r="119" spans="2:72" x14ac:dyDescent="0.3">
      <c r="B119" t="s">
        <v>1122</v>
      </c>
      <c r="C119" t="s">
        <v>409</v>
      </c>
      <c r="D119" s="18">
        <v>49088.1</v>
      </c>
      <c r="E119" s="38">
        <v>-49088.1</v>
      </c>
      <c r="F119" s="18">
        <v>0</v>
      </c>
      <c r="O119" t="s">
        <v>120</v>
      </c>
      <c r="P119" s="18"/>
      <c r="Q119" s="18"/>
      <c r="R119" s="18"/>
      <c r="S119" s="18"/>
      <c r="T119" s="18"/>
      <c r="U119" s="18"/>
      <c r="V119" s="18">
        <v>204</v>
      </c>
      <c r="W119" s="18"/>
      <c r="X119" s="18"/>
      <c r="Y119" s="18">
        <v>204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>
        <v>204</v>
      </c>
    </row>
    <row r="120" spans="2:72" x14ac:dyDescent="0.3">
      <c r="B120" t="s">
        <v>1123</v>
      </c>
      <c r="C120" t="s">
        <v>491</v>
      </c>
      <c r="D120" s="18">
        <v>2842</v>
      </c>
      <c r="E120" s="38">
        <v>-2842</v>
      </c>
      <c r="F120" s="18">
        <v>0</v>
      </c>
      <c r="O120" t="s">
        <v>130</v>
      </c>
      <c r="P120" s="18"/>
      <c r="Q120" s="18"/>
      <c r="R120" s="18"/>
      <c r="S120" s="18"/>
      <c r="T120" s="18"/>
      <c r="U120" s="18"/>
      <c r="V120" s="18">
        <v>5109</v>
      </c>
      <c r="W120" s="18"/>
      <c r="X120" s="18"/>
      <c r="Y120" s="18">
        <v>5109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>
        <v>5109</v>
      </c>
    </row>
    <row r="121" spans="2:72" x14ac:dyDescent="0.3">
      <c r="B121" t="s">
        <v>1125</v>
      </c>
      <c r="C121" t="s">
        <v>784</v>
      </c>
      <c r="D121" s="18">
        <v>2063</v>
      </c>
      <c r="E121" s="38">
        <v>-2063</v>
      </c>
      <c r="F121" s="18">
        <v>0</v>
      </c>
      <c r="O121" t="s">
        <v>179</v>
      </c>
      <c r="P121" s="18"/>
      <c r="Q121" s="18"/>
      <c r="R121" s="18"/>
      <c r="S121" s="18"/>
      <c r="T121" s="18"/>
      <c r="U121" s="18"/>
      <c r="V121" s="18"/>
      <c r="W121" s="18">
        <v>2008</v>
      </c>
      <c r="X121" s="18"/>
      <c r="Y121" s="18">
        <v>2008</v>
      </c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>
        <v>2008</v>
      </c>
    </row>
    <row r="122" spans="2:72" x14ac:dyDescent="0.3">
      <c r="B122" t="s">
        <v>1127</v>
      </c>
      <c r="C122" t="s">
        <v>409</v>
      </c>
      <c r="D122" s="18">
        <v>47686.5</v>
      </c>
      <c r="E122" s="38">
        <v>-47686.5</v>
      </c>
      <c r="F122" s="18">
        <v>0</v>
      </c>
      <c r="O122" t="s">
        <v>216</v>
      </c>
      <c r="P122" s="18"/>
      <c r="Q122" s="18"/>
      <c r="R122" s="18"/>
      <c r="S122" s="18"/>
      <c r="T122" s="18"/>
      <c r="U122" s="18"/>
      <c r="V122" s="18"/>
      <c r="W122" s="18"/>
      <c r="X122" s="18">
        <v>6108</v>
      </c>
      <c r="Y122" s="18">
        <v>6108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>
        <v>6108</v>
      </c>
    </row>
    <row r="123" spans="2:72" x14ac:dyDescent="0.3">
      <c r="B123" t="s">
        <v>1128</v>
      </c>
      <c r="C123" t="s">
        <v>7</v>
      </c>
      <c r="D123" s="18">
        <v>3332</v>
      </c>
      <c r="E123" s="38">
        <v>-3332</v>
      </c>
      <c r="F123" s="18">
        <v>0</v>
      </c>
      <c r="O123" t="s">
        <v>244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>
        <v>340</v>
      </c>
      <c r="AF123" s="18"/>
      <c r="AG123" s="18"/>
      <c r="AH123" s="18"/>
      <c r="AI123" s="18"/>
      <c r="AJ123" s="18">
        <v>340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>
        <v>340</v>
      </c>
    </row>
    <row r="124" spans="2:72" x14ac:dyDescent="0.3">
      <c r="B124" t="s">
        <v>1130</v>
      </c>
      <c r="C124" t="s">
        <v>637</v>
      </c>
      <c r="D124" s="18">
        <v>50</v>
      </c>
      <c r="E124" s="38">
        <v>-50</v>
      </c>
      <c r="F124" s="18">
        <v>0</v>
      </c>
      <c r="O124" t="s">
        <v>250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>
        <v>5887</v>
      </c>
      <c r="AF124" s="18"/>
      <c r="AG124" s="18"/>
      <c r="AH124" s="18"/>
      <c r="AI124" s="18"/>
      <c r="AJ124" s="18">
        <v>5887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>
        <v>5887</v>
      </c>
    </row>
    <row r="125" spans="2:72" x14ac:dyDescent="0.3">
      <c r="B125" t="s">
        <v>1133</v>
      </c>
      <c r="C125" t="s">
        <v>400</v>
      </c>
      <c r="D125" s="18">
        <v>6136.1</v>
      </c>
      <c r="E125" s="38">
        <v>-6136.1</v>
      </c>
      <c r="F125" s="18">
        <v>0</v>
      </c>
      <c r="O125" t="s">
        <v>323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>
        <v>6621</v>
      </c>
      <c r="AI125" s="18"/>
      <c r="AJ125" s="18">
        <v>6621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>
        <v>6621</v>
      </c>
    </row>
    <row r="126" spans="2:72" x14ac:dyDescent="0.3">
      <c r="B126" t="s">
        <v>1135</v>
      </c>
      <c r="C126" t="s">
        <v>491</v>
      </c>
      <c r="D126" s="18">
        <v>2842</v>
      </c>
      <c r="E126" s="38">
        <v>-2842</v>
      </c>
      <c r="F126" s="18">
        <v>0</v>
      </c>
      <c r="O126" t="s">
        <v>324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>
        <v>90</v>
      </c>
      <c r="AI126" s="18"/>
      <c r="AJ126" s="18">
        <v>90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>
        <v>90</v>
      </c>
    </row>
    <row r="127" spans="2:72" x14ac:dyDescent="0.3">
      <c r="B127" t="s">
        <v>1137</v>
      </c>
      <c r="C127" t="s">
        <v>62</v>
      </c>
      <c r="D127" s="18">
        <v>14227</v>
      </c>
      <c r="E127" s="38">
        <v>-14227</v>
      </c>
      <c r="F127" s="18">
        <v>0</v>
      </c>
      <c r="O127" t="s">
        <v>341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>
        <v>6450</v>
      </c>
      <c r="AJ127" s="18">
        <v>6450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>
        <v>6450</v>
      </c>
    </row>
    <row r="128" spans="2:72" x14ac:dyDescent="0.3">
      <c r="B128" t="s">
        <v>1138</v>
      </c>
      <c r="C128" t="s">
        <v>409</v>
      </c>
      <c r="D128" s="18">
        <v>1008</v>
      </c>
      <c r="E128" s="38">
        <v>-1008</v>
      </c>
      <c r="F128" s="18">
        <v>0</v>
      </c>
      <c r="O128" t="s">
        <v>371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>
        <v>6914</v>
      </c>
      <c r="AB128" s="18"/>
      <c r="AC128" s="18"/>
      <c r="AD128" s="18"/>
      <c r="AE128" s="18"/>
      <c r="AF128" s="18"/>
      <c r="AG128" s="18"/>
      <c r="AH128" s="18"/>
      <c r="AI128" s="18"/>
      <c r="AJ128" s="18">
        <v>6914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>
        <v>6914</v>
      </c>
    </row>
    <row r="129" spans="1:72" x14ac:dyDescent="0.3">
      <c r="B129" t="s">
        <v>1139</v>
      </c>
      <c r="C129" t="s">
        <v>409</v>
      </c>
      <c r="D129" s="18">
        <v>21740.5</v>
      </c>
      <c r="E129" s="38">
        <v>-21740.5</v>
      </c>
      <c r="F129" s="18">
        <v>0</v>
      </c>
      <c r="O129" t="s">
        <v>403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>
        <v>2330</v>
      </c>
      <c r="AC129" s="18"/>
      <c r="AD129" s="18"/>
      <c r="AE129" s="18"/>
      <c r="AF129" s="18"/>
      <c r="AG129" s="18"/>
      <c r="AH129" s="18"/>
      <c r="AI129" s="18"/>
      <c r="AJ129" s="18">
        <v>2330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>
        <v>2330</v>
      </c>
    </row>
    <row r="130" spans="1:72" x14ac:dyDescent="0.3">
      <c r="A130" s="17" t="s">
        <v>222</v>
      </c>
      <c r="B130" s="17"/>
      <c r="C130" s="17"/>
      <c r="D130" s="19">
        <v>177546.5</v>
      </c>
      <c r="E130" s="39">
        <v>-177546.5</v>
      </c>
      <c r="F130" s="19">
        <v>0</v>
      </c>
      <c r="O130" t="s">
        <v>405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>
        <v>1300</v>
      </c>
      <c r="AC130" s="18"/>
      <c r="AD130" s="18"/>
      <c r="AE130" s="18"/>
      <c r="AF130" s="18"/>
      <c r="AG130" s="18"/>
      <c r="AH130" s="18"/>
      <c r="AI130" s="18"/>
      <c r="AJ130" s="18">
        <v>1300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>
        <v>1300</v>
      </c>
    </row>
    <row r="131" spans="1:72" x14ac:dyDescent="0.3">
      <c r="A131">
        <v>1</v>
      </c>
      <c r="B131" t="s">
        <v>546</v>
      </c>
      <c r="C131" t="s">
        <v>409</v>
      </c>
      <c r="D131" s="18">
        <v>8273</v>
      </c>
      <c r="E131" s="38">
        <v>-8273</v>
      </c>
      <c r="F131" s="18">
        <v>0</v>
      </c>
      <c r="O131" t="s">
        <v>458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>
        <v>2184</v>
      </c>
      <c r="AD131" s="18"/>
      <c r="AE131" s="18"/>
      <c r="AF131" s="18"/>
      <c r="AG131" s="18"/>
      <c r="AH131" s="18"/>
      <c r="AI131" s="18"/>
      <c r="AJ131" s="18">
        <v>2184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>
        <v>2184</v>
      </c>
    </row>
    <row r="132" spans="1:72" x14ac:dyDescent="0.3">
      <c r="B132" t="s">
        <v>547</v>
      </c>
      <c r="C132" t="s">
        <v>400</v>
      </c>
      <c r="D132" s="18">
        <v>1080</v>
      </c>
      <c r="E132" s="38">
        <v>-1080</v>
      </c>
      <c r="F132" s="18">
        <v>0</v>
      </c>
      <c r="O132" t="s">
        <v>480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>
        <v>2366.5</v>
      </c>
      <c r="AD132" s="18"/>
      <c r="AE132" s="18"/>
      <c r="AF132" s="18"/>
      <c r="AG132" s="18"/>
      <c r="AH132" s="18"/>
      <c r="AI132" s="18"/>
      <c r="AJ132" s="18">
        <v>2366.5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>
        <v>2366.5</v>
      </c>
    </row>
    <row r="133" spans="1:72" x14ac:dyDescent="0.3">
      <c r="B133" t="s">
        <v>548</v>
      </c>
      <c r="C133" t="s">
        <v>409</v>
      </c>
      <c r="D133" s="18">
        <v>1233</v>
      </c>
      <c r="E133" s="38">
        <v>-1233</v>
      </c>
      <c r="F133" s="18">
        <v>0</v>
      </c>
      <c r="O133" t="s">
        <v>550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>
        <v>7335</v>
      </c>
      <c r="AS133" s="18"/>
      <c r="AT133" s="18"/>
      <c r="AU133" s="18"/>
      <c r="AV133" s="18"/>
      <c r="AW133" s="18">
        <v>7335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>
        <v>7335</v>
      </c>
    </row>
    <row r="134" spans="1:72" x14ac:dyDescent="0.3">
      <c r="B134" t="s">
        <v>549</v>
      </c>
      <c r="C134" t="s">
        <v>409</v>
      </c>
      <c r="D134" s="18">
        <v>7377</v>
      </c>
      <c r="E134" s="38">
        <v>-7377</v>
      </c>
      <c r="F134" s="18">
        <v>0</v>
      </c>
      <c r="O134" t="s">
        <v>605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>
        <v>7271</v>
      </c>
      <c r="AT134" s="18"/>
      <c r="AU134" s="18"/>
      <c r="AV134" s="18"/>
      <c r="AW134" s="18">
        <v>7271</v>
      </c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>
        <v>7271</v>
      </c>
    </row>
    <row r="135" spans="1:72" x14ac:dyDescent="0.3">
      <c r="B135" t="s">
        <v>550</v>
      </c>
      <c r="C135" t="s">
        <v>20</v>
      </c>
      <c r="D135" s="18">
        <v>7335</v>
      </c>
      <c r="E135" s="38">
        <v>-7335</v>
      </c>
      <c r="F135" s="18">
        <v>0</v>
      </c>
      <c r="O135" t="s">
        <v>611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>
        <v>315</v>
      </c>
      <c r="AT135" s="18"/>
      <c r="AU135" s="18"/>
      <c r="AV135" s="18"/>
      <c r="AW135" s="18">
        <v>315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>
        <v>315</v>
      </c>
    </row>
    <row r="136" spans="1:72" x14ac:dyDescent="0.3">
      <c r="B136" t="s">
        <v>552</v>
      </c>
      <c r="C136" t="s">
        <v>62</v>
      </c>
      <c r="D136" s="18">
        <v>15346</v>
      </c>
      <c r="E136" s="38">
        <v>-15346</v>
      </c>
      <c r="F136" s="18">
        <v>0</v>
      </c>
      <c r="O136" t="s">
        <v>687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>
        <v>7316</v>
      </c>
      <c r="AV136" s="18"/>
      <c r="AW136" s="18">
        <v>7316</v>
      </c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>
        <v>7316</v>
      </c>
    </row>
    <row r="137" spans="1:72" x14ac:dyDescent="0.3">
      <c r="B137" t="s">
        <v>557</v>
      </c>
      <c r="C137" t="s">
        <v>400</v>
      </c>
      <c r="D137" s="18">
        <v>5183.6000000000004</v>
      </c>
      <c r="E137" s="38">
        <v>-5183.6000000000004</v>
      </c>
      <c r="F137" s="18">
        <v>0</v>
      </c>
      <c r="O137" t="s">
        <v>779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>
        <v>7336</v>
      </c>
      <c r="AW137" s="18">
        <v>7336</v>
      </c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>
        <v>7336</v>
      </c>
    </row>
    <row r="138" spans="1:72" x14ac:dyDescent="0.3">
      <c r="B138" t="s">
        <v>558</v>
      </c>
      <c r="C138" t="s">
        <v>409</v>
      </c>
      <c r="D138" s="18">
        <v>28549</v>
      </c>
      <c r="E138" s="38">
        <v>-28549</v>
      </c>
      <c r="F138" s="18">
        <v>0</v>
      </c>
      <c r="O138" t="s">
        <v>906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>
        <v>7521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>
        <v>7521</v>
      </c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>
        <v>7521</v>
      </c>
    </row>
    <row r="139" spans="1:72" x14ac:dyDescent="0.3">
      <c r="B139" t="s">
        <v>559</v>
      </c>
      <c r="C139" t="s">
        <v>23</v>
      </c>
      <c r="D139" s="18">
        <v>6803</v>
      </c>
      <c r="E139" s="38">
        <v>-6803</v>
      </c>
      <c r="F139" s="18">
        <v>0</v>
      </c>
      <c r="O139" t="s">
        <v>995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>
        <v>2849</v>
      </c>
      <c r="AP139" s="18"/>
      <c r="AQ139" s="18"/>
      <c r="AR139" s="18"/>
      <c r="AS139" s="18"/>
      <c r="AT139" s="18"/>
      <c r="AU139" s="18"/>
      <c r="AV139" s="18"/>
      <c r="AW139" s="18">
        <v>2849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>
        <v>2849</v>
      </c>
    </row>
    <row r="140" spans="1:72" x14ac:dyDescent="0.3">
      <c r="B140" t="s">
        <v>561</v>
      </c>
      <c r="C140" t="s">
        <v>23</v>
      </c>
      <c r="D140" s="18">
        <v>1202.5</v>
      </c>
      <c r="E140" s="38">
        <v>-1202.5</v>
      </c>
      <c r="F140" s="18">
        <v>0</v>
      </c>
      <c r="O140" t="s">
        <v>996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>
        <v>4048</v>
      </c>
      <c r="AP140" s="18"/>
      <c r="AQ140" s="18"/>
      <c r="AR140" s="18"/>
      <c r="AS140" s="18"/>
      <c r="AT140" s="18"/>
      <c r="AU140" s="18"/>
      <c r="AV140" s="18"/>
      <c r="AW140" s="18">
        <v>4048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>
        <v>4048</v>
      </c>
    </row>
    <row r="141" spans="1:72" x14ac:dyDescent="0.3">
      <c r="B141" t="s">
        <v>562</v>
      </c>
      <c r="C141" t="s">
        <v>23</v>
      </c>
      <c r="D141" s="18">
        <v>8486</v>
      </c>
      <c r="E141" s="38">
        <v>-8486</v>
      </c>
      <c r="F141" s="18">
        <v>0</v>
      </c>
      <c r="O141" t="s">
        <v>1091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7219</v>
      </c>
      <c r="AQ141" s="18"/>
      <c r="AR141" s="18"/>
      <c r="AS141" s="18"/>
      <c r="AT141" s="18"/>
      <c r="AU141" s="18"/>
      <c r="AV141" s="18"/>
      <c r="AW141" s="18">
        <v>7219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>
        <v>7219</v>
      </c>
    </row>
    <row r="142" spans="1:72" x14ac:dyDescent="0.3">
      <c r="B142" t="s">
        <v>564</v>
      </c>
      <c r="C142" t="s">
        <v>409</v>
      </c>
      <c r="D142" s="18">
        <v>11502</v>
      </c>
      <c r="E142" s="38">
        <v>-11502</v>
      </c>
      <c r="F142" s="18">
        <v>0</v>
      </c>
      <c r="O142" t="s">
        <v>1547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>
        <v>4292</v>
      </c>
      <c r="BJ142" s="18">
        <v>4292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>
        <v>4292</v>
      </c>
    </row>
    <row r="143" spans="1:72" x14ac:dyDescent="0.3">
      <c r="B143" t="s">
        <v>565</v>
      </c>
      <c r="C143" t="s">
        <v>400</v>
      </c>
      <c r="D143" s="18">
        <v>2696.8</v>
      </c>
      <c r="E143" s="38">
        <v>-2696.8</v>
      </c>
      <c r="F143" s="18">
        <v>0</v>
      </c>
      <c r="O143" t="s">
        <v>1737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>
        <v>3960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>
        <v>3960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>
        <v>3960</v>
      </c>
    </row>
    <row r="144" spans="1:72" x14ac:dyDescent="0.3">
      <c r="B144" t="s">
        <v>567</v>
      </c>
      <c r="C144" t="s">
        <v>62</v>
      </c>
      <c r="D144" s="18">
        <v>13474</v>
      </c>
      <c r="E144" s="38">
        <v>-13474</v>
      </c>
      <c r="F144" s="18">
        <v>0</v>
      </c>
      <c r="O144" t="s">
        <v>1819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>
        <v>630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>
        <v>630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>
        <v>630</v>
      </c>
    </row>
    <row r="145" spans="1:72" x14ac:dyDescent="0.3">
      <c r="B145" t="s">
        <v>568</v>
      </c>
      <c r="C145" t="s">
        <v>43</v>
      </c>
      <c r="D145" s="18">
        <v>2309</v>
      </c>
      <c r="E145" s="38">
        <v>-2309</v>
      </c>
      <c r="F145" s="18">
        <v>0</v>
      </c>
      <c r="O145" t="s">
        <v>1898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>
        <v>2090</v>
      </c>
      <c r="BB145" s="18"/>
      <c r="BC145" s="18"/>
      <c r="BD145" s="18"/>
      <c r="BE145" s="18"/>
      <c r="BF145" s="18"/>
      <c r="BG145" s="18"/>
      <c r="BH145" s="18"/>
      <c r="BI145" s="18"/>
      <c r="BJ145" s="18">
        <v>2090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>
        <v>2090</v>
      </c>
    </row>
    <row r="146" spans="1:72" x14ac:dyDescent="0.3">
      <c r="B146" t="s">
        <v>569</v>
      </c>
      <c r="C146" t="s">
        <v>23</v>
      </c>
      <c r="D146" s="18">
        <v>15108</v>
      </c>
      <c r="E146" s="38">
        <v>-15108</v>
      </c>
      <c r="F146" s="18">
        <v>0</v>
      </c>
      <c r="O146" t="s">
        <v>2432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v>2018</v>
      </c>
      <c r="BQ146" s="18"/>
      <c r="BR146" s="18"/>
      <c r="BS146" s="18">
        <v>2018</v>
      </c>
      <c r="BT146" s="18">
        <v>2018</v>
      </c>
    </row>
    <row r="147" spans="1:72" x14ac:dyDescent="0.3">
      <c r="A147" s="17" t="s">
        <v>254</v>
      </c>
      <c r="B147" s="17"/>
      <c r="C147" s="17"/>
      <c r="D147" s="19">
        <v>135957.90000000002</v>
      </c>
      <c r="E147" s="39">
        <v>-135957.90000000002</v>
      </c>
      <c r="F147" s="19">
        <v>0</v>
      </c>
      <c r="O147" t="s">
        <v>2456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v>1958</v>
      </c>
      <c r="BQ147" s="18"/>
      <c r="BR147" s="18"/>
      <c r="BS147" s="18">
        <v>1958</v>
      </c>
      <c r="BT147" s="18">
        <v>1958</v>
      </c>
    </row>
    <row r="148" spans="1:72" x14ac:dyDescent="0.3">
      <c r="A148">
        <v>2</v>
      </c>
      <c r="B148" t="s">
        <v>601</v>
      </c>
      <c r="C148" t="s">
        <v>400</v>
      </c>
      <c r="D148" s="18">
        <v>6532.4</v>
      </c>
      <c r="E148" s="38">
        <v>-6532.4</v>
      </c>
      <c r="F148" s="18">
        <v>0</v>
      </c>
      <c r="O148" t="s">
        <v>2638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>
        <v>1958</v>
      </c>
      <c r="BL148" s="18"/>
      <c r="BM148" s="18"/>
      <c r="BN148" s="18"/>
      <c r="BO148" s="18"/>
      <c r="BP148" s="18"/>
      <c r="BQ148" s="18"/>
      <c r="BR148" s="18"/>
      <c r="BS148" s="18">
        <v>1958</v>
      </c>
      <c r="BT148" s="18">
        <v>1958</v>
      </c>
    </row>
    <row r="149" spans="1:72" x14ac:dyDescent="0.3">
      <c r="B149" t="s">
        <v>602</v>
      </c>
      <c r="C149" t="s">
        <v>23</v>
      </c>
      <c r="D149" s="18">
        <v>1480</v>
      </c>
      <c r="E149" s="38">
        <v>-1480</v>
      </c>
      <c r="F149" s="18">
        <v>0</v>
      </c>
      <c r="O149" t="s">
        <v>2751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>
        <v>130</v>
      </c>
      <c r="BM149" s="18"/>
      <c r="BN149" s="18"/>
      <c r="BO149" s="18"/>
      <c r="BP149" s="18"/>
      <c r="BQ149" s="18"/>
      <c r="BR149" s="18"/>
      <c r="BS149" s="18">
        <v>130</v>
      </c>
      <c r="BT149" s="18">
        <v>130</v>
      </c>
    </row>
    <row r="150" spans="1:72" x14ac:dyDescent="0.3">
      <c r="B150" t="s">
        <v>603</v>
      </c>
      <c r="C150" t="s">
        <v>62</v>
      </c>
      <c r="D150" s="18">
        <v>14395</v>
      </c>
      <c r="E150" s="38">
        <v>-14395</v>
      </c>
      <c r="F150" s="18">
        <v>0</v>
      </c>
      <c r="O150" t="s">
        <v>2854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>
        <v>2322</v>
      </c>
      <c r="BN150" s="18"/>
      <c r="BO150" s="18"/>
      <c r="BP150" s="18"/>
      <c r="BQ150" s="18"/>
      <c r="BR150" s="18"/>
      <c r="BS150" s="18">
        <v>2322</v>
      </c>
      <c r="BT150" s="18">
        <v>2322</v>
      </c>
    </row>
    <row r="151" spans="1:72" x14ac:dyDescent="0.3">
      <c r="B151" t="s">
        <v>604</v>
      </c>
      <c r="C151" t="s">
        <v>58</v>
      </c>
      <c r="D151" s="18">
        <v>5940</v>
      </c>
      <c r="E151" s="38">
        <v>-5940</v>
      </c>
      <c r="F151" s="18">
        <v>0</v>
      </c>
      <c r="N151" s="17" t="s">
        <v>136</v>
      </c>
      <c r="O151" s="17"/>
      <c r="P151" s="19"/>
      <c r="Q151" s="19"/>
      <c r="R151" s="19">
        <v>1827.5</v>
      </c>
      <c r="S151" s="19">
        <v>1200</v>
      </c>
      <c r="T151" s="19">
        <v>5676.2</v>
      </c>
      <c r="U151" s="19"/>
      <c r="V151" s="19">
        <v>11206</v>
      </c>
      <c r="W151" s="19">
        <v>2008</v>
      </c>
      <c r="X151" s="19">
        <v>6108</v>
      </c>
      <c r="Y151" s="19">
        <v>28025.7</v>
      </c>
      <c r="Z151" s="19"/>
      <c r="AA151" s="19">
        <v>6914</v>
      </c>
      <c r="AB151" s="19">
        <v>3630</v>
      </c>
      <c r="AC151" s="19">
        <v>4550.5</v>
      </c>
      <c r="AD151" s="19"/>
      <c r="AE151" s="19">
        <v>6227</v>
      </c>
      <c r="AF151" s="19"/>
      <c r="AG151" s="19"/>
      <c r="AH151" s="19">
        <v>6711</v>
      </c>
      <c r="AI151" s="19">
        <v>6450</v>
      </c>
      <c r="AJ151" s="19">
        <v>34482.5</v>
      </c>
      <c r="AK151" s="19"/>
      <c r="AL151" s="19"/>
      <c r="AM151" s="19">
        <v>7521</v>
      </c>
      <c r="AN151" s="19"/>
      <c r="AO151" s="19">
        <v>6897</v>
      </c>
      <c r="AP151" s="19">
        <v>7219</v>
      </c>
      <c r="AQ151" s="19"/>
      <c r="AR151" s="19">
        <v>7335</v>
      </c>
      <c r="AS151" s="19">
        <v>7586</v>
      </c>
      <c r="AT151" s="19"/>
      <c r="AU151" s="19">
        <v>7316</v>
      </c>
      <c r="AV151" s="19">
        <v>7336</v>
      </c>
      <c r="AW151" s="19">
        <v>51210</v>
      </c>
      <c r="AX151" s="19"/>
      <c r="AY151" s="19">
        <v>3960</v>
      </c>
      <c r="AZ151" s="19">
        <v>630</v>
      </c>
      <c r="BA151" s="19">
        <v>2090</v>
      </c>
      <c r="BB151" s="19"/>
      <c r="BC151" s="19"/>
      <c r="BD151" s="19"/>
      <c r="BE151" s="19"/>
      <c r="BF151" s="19"/>
      <c r="BG151" s="19"/>
      <c r="BH151" s="19"/>
      <c r="BI151" s="19">
        <v>4292</v>
      </c>
      <c r="BJ151" s="19">
        <v>10972</v>
      </c>
      <c r="BK151" s="19">
        <v>1958</v>
      </c>
      <c r="BL151" s="19">
        <v>130</v>
      </c>
      <c r="BM151" s="19">
        <v>2322</v>
      </c>
      <c r="BN151" s="19"/>
      <c r="BO151" s="19"/>
      <c r="BP151" s="19">
        <v>3976</v>
      </c>
      <c r="BQ151" s="19"/>
      <c r="BR151" s="19"/>
      <c r="BS151" s="19">
        <v>8386</v>
      </c>
      <c r="BT151" s="19">
        <v>133076.20000000001</v>
      </c>
    </row>
    <row r="152" spans="1:72" x14ac:dyDescent="0.3">
      <c r="B152" t="s">
        <v>605</v>
      </c>
      <c r="C152" t="s">
        <v>20</v>
      </c>
      <c r="D152" s="18">
        <v>7271</v>
      </c>
      <c r="E152" s="38">
        <v>-7271</v>
      </c>
      <c r="F152" s="18">
        <v>0</v>
      </c>
      <c r="N152" t="s">
        <v>43</v>
      </c>
      <c r="O152" t="s">
        <v>41</v>
      </c>
      <c r="P152" s="18"/>
      <c r="Q152" s="18"/>
      <c r="R152" s="18"/>
      <c r="S152" s="18"/>
      <c r="T152" s="18">
        <v>1706</v>
      </c>
      <c r="U152" s="18"/>
      <c r="V152" s="18"/>
      <c r="W152" s="18"/>
      <c r="X152" s="18"/>
      <c r="Y152" s="18">
        <v>1706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>
        <v>1706</v>
      </c>
    </row>
    <row r="153" spans="1:72" x14ac:dyDescent="0.3">
      <c r="B153" t="s">
        <v>606</v>
      </c>
      <c r="C153" t="s">
        <v>491</v>
      </c>
      <c r="D153" s="18">
        <v>5822</v>
      </c>
      <c r="E153" s="38">
        <v>-5822</v>
      </c>
      <c r="F153" s="18">
        <v>0</v>
      </c>
      <c r="O153" t="s">
        <v>151</v>
      </c>
      <c r="P153" s="18"/>
      <c r="Q153" s="18"/>
      <c r="R153" s="18"/>
      <c r="S153" s="18"/>
      <c r="T153" s="18"/>
      <c r="U153" s="18"/>
      <c r="V153" s="18"/>
      <c r="W153" s="18">
        <v>2302</v>
      </c>
      <c r="X153" s="18"/>
      <c r="Y153" s="18">
        <v>2302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>
        <v>2302</v>
      </c>
    </row>
    <row r="154" spans="1:72" x14ac:dyDescent="0.3">
      <c r="B154" t="s">
        <v>607</v>
      </c>
      <c r="C154" t="s">
        <v>43</v>
      </c>
      <c r="D154" s="18">
        <v>175</v>
      </c>
      <c r="E154" s="38">
        <v>-175</v>
      </c>
      <c r="F154" s="18">
        <v>0</v>
      </c>
      <c r="O154" t="s">
        <v>397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240</v>
      </c>
      <c r="AC154" s="18"/>
      <c r="AD154" s="18"/>
      <c r="AE154" s="18"/>
      <c r="AF154" s="18"/>
      <c r="AG154" s="18"/>
      <c r="AH154" s="18"/>
      <c r="AI154" s="18"/>
      <c r="AJ154" s="18">
        <v>240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>
        <v>240</v>
      </c>
    </row>
    <row r="155" spans="1:72" x14ac:dyDescent="0.3">
      <c r="B155" t="s">
        <v>608</v>
      </c>
      <c r="C155" t="s">
        <v>400</v>
      </c>
      <c r="D155" s="18">
        <v>5877.3</v>
      </c>
      <c r="E155" s="38">
        <v>-5877.3</v>
      </c>
      <c r="F155" s="18">
        <v>0</v>
      </c>
      <c r="O155" t="s">
        <v>568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>
        <v>2309</v>
      </c>
      <c r="AS155" s="18"/>
      <c r="AT155" s="18"/>
      <c r="AU155" s="18"/>
      <c r="AV155" s="18"/>
      <c r="AW155" s="18">
        <v>2309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>
        <v>2309</v>
      </c>
    </row>
    <row r="156" spans="1:72" x14ac:dyDescent="0.3">
      <c r="B156" t="s">
        <v>609</v>
      </c>
      <c r="C156" t="s">
        <v>409</v>
      </c>
      <c r="D156" s="18">
        <v>7961</v>
      </c>
      <c r="E156" s="38">
        <v>-7961</v>
      </c>
      <c r="F156" s="18">
        <v>0</v>
      </c>
      <c r="O156" t="s">
        <v>607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>
        <v>175</v>
      </c>
      <c r="AT156" s="18"/>
      <c r="AU156" s="18"/>
      <c r="AV156" s="18"/>
      <c r="AW156" s="18">
        <v>175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>
        <v>175</v>
      </c>
    </row>
    <row r="157" spans="1:72" x14ac:dyDescent="0.3">
      <c r="B157" t="s">
        <v>610</v>
      </c>
      <c r="C157" t="s">
        <v>409</v>
      </c>
      <c r="D157" s="18">
        <v>2678</v>
      </c>
      <c r="E157" s="38">
        <v>-2678</v>
      </c>
      <c r="F157" s="18">
        <v>0</v>
      </c>
      <c r="O157" t="s">
        <v>645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2068</v>
      </c>
      <c r="AU157" s="18"/>
      <c r="AV157" s="18"/>
      <c r="AW157" s="18">
        <v>2068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>
        <v>2068</v>
      </c>
    </row>
    <row r="158" spans="1:72" x14ac:dyDescent="0.3">
      <c r="B158" t="s">
        <v>611</v>
      </c>
      <c r="C158" t="s">
        <v>20</v>
      </c>
      <c r="D158" s="18">
        <v>315</v>
      </c>
      <c r="E158" s="38">
        <v>-315</v>
      </c>
      <c r="F158" s="18">
        <v>0</v>
      </c>
      <c r="O158" t="s">
        <v>652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>
        <v>337.5</v>
      </c>
      <c r="AU158" s="18"/>
      <c r="AV158" s="18"/>
      <c r="AW158" s="18">
        <v>337.5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>
        <v>337.5</v>
      </c>
    </row>
    <row r="159" spans="1:72" x14ac:dyDescent="0.3">
      <c r="A159" s="17" t="s">
        <v>272</v>
      </c>
      <c r="B159" s="17"/>
      <c r="C159" s="17"/>
      <c r="D159" s="19">
        <v>58446.700000000004</v>
      </c>
      <c r="E159" s="39">
        <v>-58446.700000000004</v>
      </c>
      <c r="F159" s="19">
        <v>0</v>
      </c>
      <c r="O159" t="s">
        <v>766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>
        <v>2534</v>
      </c>
      <c r="AW159" s="18">
        <v>2534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>
        <v>2534</v>
      </c>
    </row>
    <row r="160" spans="1:72" x14ac:dyDescent="0.3">
      <c r="A160">
        <v>3</v>
      </c>
      <c r="B160" t="s">
        <v>633</v>
      </c>
      <c r="C160" t="s">
        <v>491</v>
      </c>
      <c r="D160" s="18">
        <v>6301</v>
      </c>
      <c r="E160" s="38">
        <v>-6301</v>
      </c>
      <c r="F160" s="18">
        <v>0</v>
      </c>
      <c r="O160" t="s">
        <v>776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>
        <v>100</v>
      </c>
      <c r="AW160" s="18">
        <v>100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>
        <v>100</v>
      </c>
    </row>
    <row r="161" spans="2:72" x14ac:dyDescent="0.3">
      <c r="B161" t="s">
        <v>634</v>
      </c>
      <c r="C161" t="s">
        <v>637</v>
      </c>
      <c r="D161" s="18">
        <v>4873</v>
      </c>
      <c r="E161" s="38">
        <v>-4873</v>
      </c>
      <c r="F161" s="18">
        <v>0</v>
      </c>
      <c r="O161" t="s">
        <v>843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>
        <v>2068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>
        <v>2068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>
        <v>2068</v>
      </c>
    </row>
    <row r="162" spans="2:72" x14ac:dyDescent="0.3">
      <c r="B162" t="s">
        <v>635</v>
      </c>
      <c r="C162" t="s">
        <v>62</v>
      </c>
      <c r="D162" s="18">
        <v>15280</v>
      </c>
      <c r="E162" s="38">
        <v>-15280</v>
      </c>
      <c r="F162" s="18">
        <v>0</v>
      </c>
      <c r="O162" t="s">
        <v>997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>
        <v>2237</v>
      </c>
      <c r="AP162" s="18"/>
      <c r="AQ162" s="18"/>
      <c r="AR162" s="18"/>
      <c r="AS162" s="18"/>
      <c r="AT162" s="18"/>
      <c r="AU162" s="18"/>
      <c r="AV162" s="18"/>
      <c r="AW162" s="18">
        <v>2237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>
        <v>2237</v>
      </c>
    </row>
    <row r="163" spans="2:72" x14ac:dyDescent="0.3">
      <c r="B163" t="s">
        <v>642</v>
      </c>
      <c r="C163" t="s">
        <v>637</v>
      </c>
      <c r="D163" s="18">
        <v>65</v>
      </c>
      <c r="E163" s="38">
        <v>-65</v>
      </c>
      <c r="F163" s="18">
        <v>0</v>
      </c>
      <c r="O163" t="s">
        <v>1415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>
        <v>2104</v>
      </c>
      <c r="BI163" s="18"/>
      <c r="BJ163" s="18">
        <v>2104</v>
      </c>
      <c r="BK163" s="18"/>
      <c r="BL163" s="18"/>
      <c r="BM163" s="18"/>
      <c r="BN163" s="18"/>
      <c r="BO163" s="18"/>
      <c r="BP163" s="18"/>
      <c r="BQ163" s="18"/>
      <c r="BR163" s="18"/>
      <c r="BS163" s="18"/>
      <c r="BT163" s="18">
        <v>2104</v>
      </c>
    </row>
    <row r="164" spans="2:72" x14ac:dyDescent="0.3">
      <c r="B164" t="s">
        <v>643</v>
      </c>
      <c r="C164" t="s">
        <v>400</v>
      </c>
      <c r="D164" s="18">
        <v>6379.9</v>
      </c>
      <c r="E164" s="38">
        <v>-6379.9</v>
      </c>
      <c r="F164" s="18">
        <v>0</v>
      </c>
      <c r="O164" t="s">
        <v>1797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>
        <v>2381</v>
      </c>
      <c r="BA164" s="18"/>
      <c r="BB164" s="18"/>
      <c r="BC164" s="18"/>
      <c r="BD164" s="18"/>
      <c r="BE164" s="18"/>
      <c r="BF164" s="18"/>
      <c r="BG164" s="18"/>
      <c r="BH164" s="18"/>
      <c r="BI164" s="18"/>
      <c r="BJ164" s="18">
        <v>2381</v>
      </c>
      <c r="BK164" s="18"/>
      <c r="BL164" s="18"/>
      <c r="BM164" s="18"/>
      <c r="BN164" s="18"/>
      <c r="BO164" s="18"/>
      <c r="BP164" s="18"/>
      <c r="BQ164" s="18"/>
      <c r="BR164" s="18"/>
      <c r="BS164" s="18"/>
      <c r="BT164" s="18">
        <v>2381</v>
      </c>
    </row>
    <row r="165" spans="2:72" x14ac:dyDescent="0.3">
      <c r="B165" t="s">
        <v>644</v>
      </c>
      <c r="C165" t="s">
        <v>637</v>
      </c>
      <c r="D165" s="18">
        <v>390</v>
      </c>
      <c r="E165" s="38">
        <v>-390</v>
      </c>
      <c r="F165" s="18">
        <v>0</v>
      </c>
      <c r="O165" t="s">
        <v>1822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>
        <v>2440</v>
      </c>
      <c r="BA165" s="18"/>
      <c r="BB165" s="18"/>
      <c r="BC165" s="18"/>
      <c r="BD165" s="18"/>
      <c r="BE165" s="18"/>
      <c r="BF165" s="18"/>
      <c r="BG165" s="18"/>
      <c r="BH165" s="18"/>
      <c r="BI165" s="18"/>
      <c r="BJ165" s="18">
        <v>2440</v>
      </c>
      <c r="BK165" s="18"/>
      <c r="BL165" s="18"/>
      <c r="BM165" s="18"/>
      <c r="BN165" s="18"/>
      <c r="BO165" s="18"/>
      <c r="BP165" s="18"/>
      <c r="BQ165" s="18"/>
      <c r="BR165" s="18"/>
      <c r="BS165" s="18"/>
      <c r="BT165" s="18">
        <v>2440</v>
      </c>
    </row>
    <row r="166" spans="2:72" x14ac:dyDescent="0.3">
      <c r="B166" t="s">
        <v>645</v>
      </c>
      <c r="C166" t="s">
        <v>43</v>
      </c>
      <c r="D166" s="18">
        <v>2068</v>
      </c>
      <c r="E166" s="38">
        <v>-2068</v>
      </c>
      <c r="F166" s="18">
        <v>0</v>
      </c>
      <c r="O166" t="s">
        <v>2000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v>5067.2</v>
      </c>
      <c r="BC166" s="18"/>
      <c r="BD166" s="18"/>
      <c r="BE166" s="18"/>
      <c r="BF166" s="18"/>
      <c r="BG166" s="18"/>
      <c r="BH166" s="18"/>
      <c r="BI166" s="18"/>
      <c r="BJ166" s="18">
        <v>5067.2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18">
        <v>5067.2</v>
      </c>
    </row>
    <row r="167" spans="2:72" x14ac:dyDescent="0.3">
      <c r="B167" t="s">
        <v>646</v>
      </c>
      <c r="C167" t="s">
        <v>409</v>
      </c>
      <c r="D167" s="18">
        <v>3029</v>
      </c>
      <c r="E167" s="38">
        <v>-3029</v>
      </c>
      <c r="F167" s="18">
        <v>0</v>
      </c>
      <c r="O167" t="s">
        <v>2167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v>2413</v>
      </c>
      <c r="BD167" s="18"/>
      <c r="BE167" s="18"/>
      <c r="BF167" s="18"/>
      <c r="BG167" s="18"/>
      <c r="BH167" s="18"/>
      <c r="BI167" s="18"/>
      <c r="BJ167" s="18">
        <v>2413</v>
      </c>
      <c r="BK167" s="18"/>
      <c r="BL167" s="18"/>
      <c r="BM167" s="18"/>
      <c r="BN167" s="18"/>
      <c r="BO167" s="18"/>
      <c r="BP167" s="18"/>
      <c r="BQ167" s="18"/>
      <c r="BR167" s="18"/>
      <c r="BS167" s="18"/>
      <c r="BT167" s="18">
        <v>2413</v>
      </c>
    </row>
    <row r="168" spans="2:72" x14ac:dyDescent="0.3">
      <c r="B168" t="s">
        <v>647</v>
      </c>
      <c r="C168" t="s">
        <v>62</v>
      </c>
      <c r="D168" s="18">
        <v>14185</v>
      </c>
      <c r="E168" s="38">
        <v>-14185</v>
      </c>
      <c r="F168" s="18">
        <v>0</v>
      </c>
      <c r="O168" t="s">
        <v>2269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>
        <v>2648</v>
      </c>
      <c r="BO168" s="18"/>
      <c r="BP168" s="18"/>
      <c r="BQ168" s="18"/>
      <c r="BR168" s="18"/>
      <c r="BS168" s="18">
        <v>2648</v>
      </c>
      <c r="BT168" s="18">
        <v>2648</v>
      </c>
    </row>
    <row r="169" spans="2:72" x14ac:dyDescent="0.3">
      <c r="B169" t="s">
        <v>648</v>
      </c>
      <c r="C169" t="s">
        <v>409</v>
      </c>
      <c r="D169" s="18">
        <v>11425</v>
      </c>
      <c r="E169" s="38">
        <v>-11425</v>
      </c>
      <c r="F169" s="18">
        <v>0</v>
      </c>
      <c r="O169" t="s">
        <v>2512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>
        <v>4151</v>
      </c>
      <c r="BR169" s="18"/>
      <c r="BS169" s="18">
        <v>4151</v>
      </c>
      <c r="BT169" s="18">
        <v>4151</v>
      </c>
    </row>
    <row r="170" spans="2:72" x14ac:dyDescent="0.3">
      <c r="B170" t="s">
        <v>649</v>
      </c>
      <c r="C170" t="s">
        <v>400</v>
      </c>
      <c r="D170" s="18">
        <v>315</v>
      </c>
      <c r="E170" s="38">
        <v>-315</v>
      </c>
      <c r="F170" s="18">
        <v>0</v>
      </c>
      <c r="O170" t="s">
        <v>2557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>
        <v>5577</v>
      </c>
      <c r="BS170" s="18">
        <v>5577</v>
      </c>
      <c r="BT170" s="18">
        <v>5577</v>
      </c>
    </row>
    <row r="171" spans="2:72" x14ac:dyDescent="0.3">
      <c r="B171" t="s">
        <v>650</v>
      </c>
      <c r="C171" t="s">
        <v>409</v>
      </c>
      <c r="D171" s="18">
        <v>9888</v>
      </c>
      <c r="E171" s="38">
        <v>-9888</v>
      </c>
      <c r="F171" s="18">
        <v>0</v>
      </c>
      <c r="O171" t="s">
        <v>2753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>
        <v>3120.5</v>
      </c>
      <c r="BM171" s="18"/>
      <c r="BN171" s="18"/>
      <c r="BO171" s="18"/>
      <c r="BP171" s="18"/>
      <c r="BQ171" s="18"/>
      <c r="BR171" s="18"/>
      <c r="BS171" s="18">
        <v>3120.5</v>
      </c>
      <c r="BT171" s="18">
        <v>3120.5</v>
      </c>
    </row>
    <row r="172" spans="2:72" x14ac:dyDescent="0.3">
      <c r="B172" t="s">
        <v>651</v>
      </c>
      <c r="C172" t="s">
        <v>491</v>
      </c>
      <c r="D172" s="18">
        <v>8127.5</v>
      </c>
      <c r="E172" s="38">
        <v>-8127.5</v>
      </c>
      <c r="F172" s="18">
        <v>0</v>
      </c>
      <c r="O172" t="s">
        <v>2842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>
        <v>12250</v>
      </c>
      <c r="BN172" s="18"/>
      <c r="BO172" s="18"/>
      <c r="BP172" s="18"/>
      <c r="BQ172" s="18"/>
      <c r="BR172" s="18"/>
      <c r="BS172" s="18">
        <v>12250</v>
      </c>
      <c r="BT172" s="18">
        <v>12250</v>
      </c>
    </row>
    <row r="173" spans="2:72" x14ac:dyDescent="0.3">
      <c r="B173" t="s">
        <v>652</v>
      </c>
      <c r="C173" t="s">
        <v>43</v>
      </c>
      <c r="D173" s="18">
        <v>337.5</v>
      </c>
      <c r="E173" s="38">
        <v>-337.5</v>
      </c>
      <c r="F173" s="18">
        <v>0</v>
      </c>
      <c r="N173" s="17" t="s">
        <v>137</v>
      </c>
      <c r="O173" s="17"/>
      <c r="P173" s="19"/>
      <c r="Q173" s="19"/>
      <c r="R173" s="19"/>
      <c r="S173" s="19"/>
      <c r="T173" s="19">
        <v>1706</v>
      </c>
      <c r="U173" s="19"/>
      <c r="V173" s="19"/>
      <c r="W173" s="19">
        <v>2302</v>
      </c>
      <c r="X173" s="19"/>
      <c r="Y173" s="19">
        <v>4008</v>
      </c>
      <c r="Z173" s="19"/>
      <c r="AA173" s="19"/>
      <c r="AB173" s="19">
        <v>240</v>
      </c>
      <c r="AC173" s="19"/>
      <c r="AD173" s="19"/>
      <c r="AE173" s="19"/>
      <c r="AF173" s="19"/>
      <c r="AG173" s="19"/>
      <c r="AH173" s="19"/>
      <c r="AI173" s="19"/>
      <c r="AJ173" s="19">
        <v>240</v>
      </c>
      <c r="AK173" s="19">
        <v>2068</v>
      </c>
      <c r="AL173" s="19"/>
      <c r="AM173" s="19"/>
      <c r="AN173" s="19"/>
      <c r="AO173" s="19">
        <v>2237</v>
      </c>
      <c r="AP173" s="19"/>
      <c r="AQ173" s="19"/>
      <c r="AR173" s="19">
        <v>2309</v>
      </c>
      <c r="AS173" s="19">
        <v>175</v>
      </c>
      <c r="AT173" s="19">
        <v>2405.5</v>
      </c>
      <c r="AU173" s="19"/>
      <c r="AV173" s="19">
        <v>2634</v>
      </c>
      <c r="AW173" s="19">
        <v>11828.5</v>
      </c>
      <c r="AX173" s="19"/>
      <c r="AY173" s="19"/>
      <c r="AZ173" s="19">
        <v>4821</v>
      </c>
      <c r="BA173" s="19"/>
      <c r="BB173" s="19">
        <v>5067.2</v>
      </c>
      <c r="BC173" s="19">
        <v>2413</v>
      </c>
      <c r="BD173" s="19"/>
      <c r="BE173" s="19"/>
      <c r="BF173" s="19"/>
      <c r="BG173" s="19"/>
      <c r="BH173" s="19">
        <v>2104</v>
      </c>
      <c r="BI173" s="19"/>
      <c r="BJ173" s="19">
        <v>14405.2</v>
      </c>
      <c r="BK173" s="19"/>
      <c r="BL173" s="19">
        <v>3120.5</v>
      </c>
      <c r="BM173" s="19">
        <v>12250</v>
      </c>
      <c r="BN173" s="19">
        <v>2648</v>
      </c>
      <c r="BO173" s="19"/>
      <c r="BP173" s="19"/>
      <c r="BQ173" s="19">
        <v>4151</v>
      </c>
      <c r="BR173" s="19">
        <v>5577</v>
      </c>
      <c r="BS173" s="19">
        <v>27746.5</v>
      </c>
      <c r="BT173" s="19">
        <v>58228.2</v>
      </c>
    </row>
    <row r="174" spans="2:72" x14ac:dyDescent="0.3">
      <c r="B174" t="s">
        <v>653</v>
      </c>
      <c r="C174" t="s">
        <v>409</v>
      </c>
      <c r="D174" s="18">
        <v>8819</v>
      </c>
      <c r="E174" s="38">
        <v>-8819</v>
      </c>
      <c r="F174" s="18">
        <v>0</v>
      </c>
      <c r="N174" t="s">
        <v>23</v>
      </c>
      <c r="O174" t="s">
        <v>21</v>
      </c>
      <c r="P174" s="18"/>
      <c r="Q174" s="18"/>
      <c r="R174" s="18"/>
      <c r="S174" s="18">
        <v>1836</v>
      </c>
      <c r="T174" s="18"/>
      <c r="U174" s="18"/>
      <c r="V174" s="18"/>
      <c r="W174" s="18"/>
      <c r="X174" s="18"/>
      <c r="Y174" s="18">
        <v>1836</v>
      </c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>
        <v>1836</v>
      </c>
    </row>
    <row r="175" spans="2:72" x14ac:dyDescent="0.3">
      <c r="B175" t="s">
        <v>660</v>
      </c>
      <c r="C175" t="s">
        <v>409</v>
      </c>
      <c r="D175" s="18">
        <v>14422</v>
      </c>
      <c r="E175" s="38">
        <v>-14422</v>
      </c>
      <c r="F175" s="18">
        <v>0</v>
      </c>
      <c r="O175" t="s">
        <v>30</v>
      </c>
      <c r="P175" s="18"/>
      <c r="Q175" s="18"/>
      <c r="R175" s="18"/>
      <c r="S175" s="18"/>
      <c r="T175" s="18">
        <v>2508</v>
      </c>
      <c r="U175" s="18"/>
      <c r="V175" s="18"/>
      <c r="W175" s="18"/>
      <c r="X175" s="18"/>
      <c r="Y175" s="18">
        <v>2508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>
        <v>2508</v>
      </c>
    </row>
    <row r="176" spans="2:72" x14ac:dyDescent="0.3">
      <c r="B176" t="s">
        <v>661</v>
      </c>
      <c r="C176" t="s">
        <v>7</v>
      </c>
      <c r="D176" s="18">
        <v>3232</v>
      </c>
      <c r="E176" s="38">
        <v>-3232</v>
      </c>
      <c r="F176" s="18">
        <v>0</v>
      </c>
      <c r="O176" t="s">
        <v>31</v>
      </c>
      <c r="P176" s="18"/>
      <c r="Q176" s="18"/>
      <c r="R176" s="18"/>
      <c r="S176" s="18"/>
      <c r="T176" s="18">
        <v>2508</v>
      </c>
      <c r="U176" s="18"/>
      <c r="V176" s="18"/>
      <c r="W176" s="18"/>
      <c r="X176" s="18"/>
      <c r="Y176" s="18">
        <v>2508</v>
      </c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>
        <v>2508</v>
      </c>
    </row>
    <row r="177" spans="1:72" x14ac:dyDescent="0.3">
      <c r="B177" t="s">
        <v>662</v>
      </c>
      <c r="C177" t="s">
        <v>409</v>
      </c>
      <c r="D177" s="18">
        <v>7593</v>
      </c>
      <c r="E177" s="38">
        <v>-7593</v>
      </c>
      <c r="F177" s="18">
        <v>0</v>
      </c>
      <c r="O177" t="s">
        <v>32</v>
      </c>
      <c r="P177" s="18"/>
      <c r="Q177" s="18"/>
      <c r="R177" s="18"/>
      <c r="S177" s="18"/>
      <c r="T177" s="18">
        <v>324</v>
      </c>
      <c r="U177" s="18"/>
      <c r="V177" s="18"/>
      <c r="W177" s="18"/>
      <c r="X177" s="18"/>
      <c r="Y177" s="18">
        <v>324</v>
      </c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>
        <v>324</v>
      </c>
    </row>
    <row r="178" spans="1:72" x14ac:dyDescent="0.3">
      <c r="B178" t="s">
        <v>663</v>
      </c>
      <c r="C178" t="s">
        <v>665</v>
      </c>
      <c r="D178" s="18">
        <v>3555</v>
      </c>
      <c r="E178" s="38">
        <v>-3555</v>
      </c>
      <c r="F178" s="18">
        <v>0</v>
      </c>
      <c r="O178" t="s">
        <v>99</v>
      </c>
      <c r="P178" s="18"/>
      <c r="Q178" s="18"/>
      <c r="R178" s="18"/>
      <c r="S178" s="18"/>
      <c r="T178" s="18"/>
      <c r="U178" s="18">
        <v>11247.599999999999</v>
      </c>
      <c r="V178" s="18"/>
      <c r="W178" s="18"/>
      <c r="X178" s="18"/>
      <c r="Y178" s="18">
        <v>11247.599999999999</v>
      </c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>
        <v>11247.599999999999</v>
      </c>
    </row>
    <row r="179" spans="1:72" x14ac:dyDescent="0.3">
      <c r="A179" s="17" t="s">
        <v>287</v>
      </c>
      <c r="B179" s="17"/>
      <c r="C179" s="17"/>
      <c r="D179" s="19">
        <v>120284.9</v>
      </c>
      <c r="E179" s="39">
        <v>-120284.9</v>
      </c>
      <c r="F179" s="19">
        <v>0</v>
      </c>
      <c r="O179" t="s">
        <v>101</v>
      </c>
      <c r="P179" s="18"/>
      <c r="Q179" s="18"/>
      <c r="R179" s="18"/>
      <c r="S179" s="18"/>
      <c r="T179" s="18"/>
      <c r="U179" s="18">
        <v>11605.2</v>
      </c>
      <c r="V179" s="18"/>
      <c r="W179" s="18"/>
      <c r="X179" s="18"/>
      <c r="Y179" s="18">
        <v>11605.2</v>
      </c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>
        <v>11605.2</v>
      </c>
    </row>
    <row r="180" spans="1:72" x14ac:dyDescent="0.3">
      <c r="A180">
        <v>4</v>
      </c>
      <c r="B180" t="s">
        <v>680</v>
      </c>
      <c r="C180" t="s">
        <v>491</v>
      </c>
      <c r="D180" s="18">
        <v>6083.5</v>
      </c>
      <c r="E180" s="38">
        <v>-6083.5</v>
      </c>
      <c r="F180" s="18">
        <v>0</v>
      </c>
      <c r="O180" t="s">
        <v>110</v>
      </c>
      <c r="P180" s="18"/>
      <c r="Q180" s="18"/>
      <c r="R180" s="18"/>
      <c r="S180" s="18"/>
      <c r="T180" s="18"/>
      <c r="U180" s="18"/>
      <c r="V180" s="18">
        <v>10618.8</v>
      </c>
      <c r="W180" s="18"/>
      <c r="X180" s="18"/>
      <c r="Y180" s="18">
        <v>10618.8</v>
      </c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>
        <v>10618.8</v>
      </c>
    </row>
    <row r="181" spans="1:72" x14ac:dyDescent="0.3">
      <c r="B181" t="s">
        <v>683</v>
      </c>
      <c r="C181" t="s">
        <v>409</v>
      </c>
      <c r="D181" s="18">
        <v>9157.5</v>
      </c>
      <c r="E181" s="38">
        <v>-9157.5</v>
      </c>
      <c r="F181" s="18">
        <v>0</v>
      </c>
      <c r="O181" t="s">
        <v>112</v>
      </c>
      <c r="P181" s="18"/>
      <c r="Q181" s="18"/>
      <c r="R181" s="18"/>
      <c r="S181" s="18"/>
      <c r="T181" s="18"/>
      <c r="U181" s="18"/>
      <c r="V181" s="18">
        <v>8778</v>
      </c>
      <c r="W181" s="18"/>
      <c r="X181" s="18"/>
      <c r="Y181" s="18">
        <v>8778</v>
      </c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>
        <v>8778</v>
      </c>
    </row>
    <row r="182" spans="1:72" x14ac:dyDescent="0.3">
      <c r="B182" t="s">
        <v>684</v>
      </c>
      <c r="C182" t="s">
        <v>637</v>
      </c>
      <c r="D182" s="18">
        <v>3480</v>
      </c>
      <c r="E182" s="38">
        <v>-3480</v>
      </c>
      <c r="F182" s="18">
        <v>0</v>
      </c>
      <c r="O182" t="s">
        <v>211</v>
      </c>
      <c r="P182" s="18"/>
      <c r="Q182" s="18"/>
      <c r="R182" s="18"/>
      <c r="S182" s="18"/>
      <c r="T182" s="18"/>
      <c r="U182" s="18"/>
      <c r="V182" s="18"/>
      <c r="W182" s="18"/>
      <c r="X182" s="18">
        <v>2860</v>
      </c>
      <c r="Y182" s="18">
        <v>2860</v>
      </c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>
        <v>2860</v>
      </c>
    </row>
    <row r="183" spans="1:72" x14ac:dyDescent="0.3">
      <c r="B183" t="s">
        <v>685</v>
      </c>
      <c r="C183" t="s">
        <v>409</v>
      </c>
      <c r="D183" s="18">
        <v>10497.5</v>
      </c>
      <c r="E183" s="38">
        <v>-10497.5</v>
      </c>
      <c r="F183" s="18">
        <v>0</v>
      </c>
      <c r="O183" t="s">
        <v>274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>
        <v>9111.2000000000007</v>
      </c>
      <c r="AG183" s="18"/>
      <c r="AH183" s="18"/>
      <c r="AI183" s="18"/>
      <c r="AJ183" s="18">
        <v>9111.2000000000007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>
        <v>9111.2000000000007</v>
      </c>
    </row>
    <row r="184" spans="1:72" x14ac:dyDescent="0.3">
      <c r="B184" t="s">
        <v>686</v>
      </c>
      <c r="C184" t="s">
        <v>400</v>
      </c>
      <c r="D184" s="18">
        <v>6361.1</v>
      </c>
      <c r="E184" s="38">
        <v>-6361.1</v>
      </c>
      <c r="F184" s="18">
        <v>0</v>
      </c>
      <c r="O184" t="s">
        <v>285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>
        <v>14813.6</v>
      </c>
      <c r="AH184" s="18"/>
      <c r="AI184" s="18"/>
      <c r="AJ184" s="18">
        <v>14813.6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>
        <v>14813.6</v>
      </c>
    </row>
    <row r="185" spans="1:72" x14ac:dyDescent="0.3">
      <c r="B185" t="s">
        <v>687</v>
      </c>
      <c r="C185" t="s">
        <v>20</v>
      </c>
      <c r="D185" s="18">
        <v>7316</v>
      </c>
      <c r="E185" s="38">
        <v>-7316</v>
      </c>
      <c r="F185" s="18">
        <v>0</v>
      </c>
      <c r="O185" t="s">
        <v>318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>
        <v>11803.2</v>
      </c>
      <c r="AH185" s="18"/>
      <c r="AI185" s="18"/>
      <c r="AJ185" s="18">
        <v>11803.2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>
        <v>11803.2</v>
      </c>
    </row>
    <row r="186" spans="1:72" x14ac:dyDescent="0.3">
      <c r="B186" t="s">
        <v>688</v>
      </c>
      <c r="C186" t="s">
        <v>58</v>
      </c>
      <c r="D186" s="18">
        <v>5043</v>
      </c>
      <c r="E186" s="38">
        <v>-5043</v>
      </c>
      <c r="F186" s="18">
        <v>0</v>
      </c>
      <c r="O186" t="s">
        <v>322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3510</v>
      </c>
      <c r="AH186" s="18"/>
      <c r="AI186" s="18"/>
      <c r="AJ186" s="18">
        <v>3510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>
        <v>3510</v>
      </c>
    </row>
    <row r="187" spans="1:72" x14ac:dyDescent="0.3">
      <c r="B187" t="s">
        <v>689</v>
      </c>
      <c r="C187" t="s">
        <v>409</v>
      </c>
      <c r="D187" s="18">
        <v>8569.5</v>
      </c>
      <c r="E187" s="38">
        <v>-8569.5</v>
      </c>
      <c r="F187" s="18">
        <v>0</v>
      </c>
      <c r="O187" t="s">
        <v>329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>
        <v>14034.8</v>
      </c>
      <c r="AJ187" s="18">
        <v>14034.8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>
        <v>14034.8</v>
      </c>
    </row>
    <row r="188" spans="1:72" x14ac:dyDescent="0.3">
      <c r="B188" t="s">
        <v>690</v>
      </c>
      <c r="C188" t="s">
        <v>773</v>
      </c>
      <c r="D188" s="18">
        <v>3881.5</v>
      </c>
      <c r="E188" s="38">
        <v>-3881.5</v>
      </c>
      <c r="F188" s="18">
        <v>0</v>
      </c>
      <c r="O188" t="s">
        <v>369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>
        <v>3830.4</v>
      </c>
      <c r="AB188" s="18"/>
      <c r="AC188" s="18"/>
      <c r="AD188" s="18"/>
      <c r="AE188" s="18"/>
      <c r="AF188" s="18"/>
      <c r="AG188" s="18"/>
      <c r="AH188" s="18"/>
      <c r="AI188" s="18"/>
      <c r="AJ188" s="18">
        <v>3830.4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>
        <v>3830.4</v>
      </c>
    </row>
    <row r="189" spans="1:72" x14ac:dyDescent="0.3">
      <c r="B189" t="s">
        <v>691</v>
      </c>
      <c r="C189" t="s">
        <v>637</v>
      </c>
      <c r="D189" s="18">
        <v>590</v>
      </c>
      <c r="E189" s="38">
        <v>-590</v>
      </c>
      <c r="F189" s="18">
        <v>0</v>
      </c>
      <c r="O189" t="s">
        <v>377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>
        <v>12524</v>
      </c>
      <c r="AB189" s="18"/>
      <c r="AC189" s="18"/>
      <c r="AD189" s="18"/>
      <c r="AE189" s="18"/>
      <c r="AF189" s="18"/>
      <c r="AG189" s="18"/>
      <c r="AH189" s="18"/>
      <c r="AI189" s="18"/>
      <c r="AJ189" s="18">
        <v>12524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>
        <v>12524</v>
      </c>
    </row>
    <row r="190" spans="1:72" x14ac:dyDescent="0.3">
      <c r="B190" t="s">
        <v>692</v>
      </c>
      <c r="C190" t="s">
        <v>773</v>
      </c>
      <c r="D190" s="18">
        <v>588</v>
      </c>
      <c r="E190" s="38">
        <v>-588</v>
      </c>
      <c r="F190" s="18">
        <v>0</v>
      </c>
      <c r="O190" t="s">
        <v>380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>
        <v>240</v>
      </c>
      <c r="AB190" s="18"/>
      <c r="AC190" s="18"/>
      <c r="AD190" s="18"/>
      <c r="AE190" s="18"/>
      <c r="AF190" s="18"/>
      <c r="AG190" s="18"/>
      <c r="AH190" s="18"/>
      <c r="AI190" s="18"/>
      <c r="AJ190" s="18">
        <v>240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>
        <v>240</v>
      </c>
    </row>
    <row r="191" spans="1:72" x14ac:dyDescent="0.3">
      <c r="B191" t="s">
        <v>693</v>
      </c>
      <c r="C191" t="s">
        <v>409</v>
      </c>
      <c r="D191" s="18">
        <v>10975.5</v>
      </c>
      <c r="E191" s="38">
        <v>-10975.5</v>
      </c>
      <c r="F191" s="18">
        <v>0</v>
      </c>
      <c r="O191" t="s">
        <v>508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v>12484</v>
      </c>
      <c r="AE191" s="18"/>
      <c r="AF191" s="18"/>
      <c r="AG191" s="18"/>
      <c r="AH191" s="18"/>
      <c r="AI191" s="18"/>
      <c r="AJ191" s="18">
        <v>12484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>
        <v>12484</v>
      </c>
    </row>
    <row r="192" spans="1:72" x14ac:dyDescent="0.3">
      <c r="B192" t="s">
        <v>694</v>
      </c>
      <c r="C192" t="s">
        <v>491</v>
      </c>
      <c r="D192" s="18">
        <v>5746</v>
      </c>
      <c r="E192" s="38">
        <v>-5746</v>
      </c>
      <c r="F192" s="18">
        <v>0</v>
      </c>
      <c r="O192" t="s">
        <v>510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>
        <v>390</v>
      </c>
      <c r="AE192" s="18"/>
      <c r="AF192" s="18"/>
      <c r="AG192" s="18"/>
      <c r="AH192" s="18"/>
      <c r="AI192" s="18"/>
      <c r="AJ192" s="18">
        <v>390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>
        <v>390</v>
      </c>
    </row>
    <row r="193" spans="2:72" x14ac:dyDescent="0.3">
      <c r="B193" t="s">
        <v>695</v>
      </c>
      <c r="C193" t="s">
        <v>773</v>
      </c>
      <c r="D193" s="18">
        <v>2175</v>
      </c>
      <c r="E193" s="38">
        <v>-2175</v>
      </c>
      <c r="F193" s="18">
        <v>0</v>
      </c>
      <c r="O193" t="s">
        <v>512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>
        <v>3021.8</v>
      </c>
      <c r="AE193" s="18"/>
      <c r="AF193" s="18"/>
      <c r="AG193" s="18"/>
      <c r="AH193" s="18"/>
      <c r="AI193" s="18"/>
      <c r="AJ193" s="18">
        <v>3021.8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>
        <v>3021.8</v>
      </c>
    </row>
    <row r="194" spans="2:72" x14ac:dyDescent="0.3">
      <c r="B194" t="s">
        <v>696</v>
      </c>
      <c r="C194" t="s">
        <v>409</v>
      </c>
      <c r="D194" s="18">
        <v>10103.5</v>
      </c>
      <c r="E194" s="38">
        <v>-10103.5</v>
      </c>
      <c r="F194" s="18">
        <v>0</v>
      </c>
      <c r="O194" t="s">
        <v>559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>
        <v>6803</v>
      </c>
      <c r="AS194" s="18"/>
      <c r="AT194" s="18"/>
      <c r="AU194" s="18"/>
      <c r="AV194" s="18"/>
      <c r="AW194" s="18">
        <v>6803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>
        <v>6803</v>
      </c>
    </row>
    <row r="195" spans="2:72" x14ac:dyDescent="0.3">
      <c r="B195" t="s">
        <v>697</v>
      </c>
      <c r="C195" t="s">
        <v>665</v>
      </c>
      <c r="D195" s="18">
        <v>14088.5</v>
      </c>
      <c r="E195" s="38">
        <v>-14088.5</v>
      </c>
      <c r="F195" s="18">
        <v>0</v>
      </c>
      <c r="O195" t="s">
        <v>561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>
        <v>1202.5</v>
      </c>
      <c r="AS195" s="18"/>
      <c r="AT195" s="18"/>
      <c r="AU195" s="18"/>
      <c r="AV195" s="18"/>
      <c r="AW195" s="18">
        <v>1202.5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>
        <v>1202.5</v>
      </c>
    </row>
    <row r="196" spans="2:72" x14ac:dyDescent="0.3">
      <c r="B196" t="s">
        <v>698</v>
      </c>
      <c r="C196" t="s">
        <v>409</v>
      </c>
      <c r="D196" s="18">
        <v>3076</v>
      </c>
      <c r="E196" s="38">
        <v>-3076</v>
      </c>
      <c r="F196" s="18">
        <v>0</v>
      </c>
      <c r="O196" t="s">
        <v>562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8486</v>
      </c>
      <c r="AS196" s="18"/>
      <c r="AT196" s="18"/>
      <c r="AU196" s="18"/>
      <c r="AV196" s="18"/>
      <c r="AW196" s="18">
        <v>8486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>
        <v>8486</v>
      </c>
    </row>
    <row r="197" spans="2:72" x14ac:dyDescent="0.3">
      <c r="B197" t="s">
        <v>699</v>
      </c>
      <c r="C197" t="s">
        <v>709</v>
      </c>
      <c r="D197" s="18">
        <v>1170</v>
      </c>
      <c r="E197" s="38">
        <v>-1170</v>
      </c>
      <c r="F197" s="18">
        <v>0</v>
      </c>
      <c r="O197" t="s">
        <v>569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>
        <v>15108</v>
      </c>
      <c r="AS197" s="18"/>
      <c r="AT197" s="18"/>
      <c r="AU197" s="18"/>
      <c r="AV197" s="18"/>
      <c r="AW197" s="18">
        <v>15108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>
        <v>15108</v>
      </c>
    </row>
    <row r="198" spans="2:72" x14ac:dyDescent="0.3">
      <c r="B198" t="s">
        <v>700</v>
      </c>
      <c r="C198" t="s">
        <v>23</v>
      </c>
      <c r="D198" s="18">
        <v>15222</v>
      </c>
      <c r="E198" s="38">
        <v>-15222</v>
      </c>
      <c r="F198" s="18">
        <v>0</v>
      </c>
      <c r="O198" t="s">
        <v>602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>
        <v>1480</v>
      </c>
      <c r="AT198" s="18"/>
      <c r="AU198" s="18"/>
      <c r="AV198" s="18"/>
      <c r="AW198" s="18">
        <v>1480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>
        <v>1480</v>
      </c>
    </row>
    <row r="199" spans="2:72" x14ac:dyDescent="0.3">
      <c r="B199" t="s">
        <v>701</v>
      </c>
      <c r="C199" t="s">
        <v>709</v>
      </c>
      <c r="D199" s="18">
        <v>68</v>
      </c>
      <c r="E199" s="38">
        <v>-68</v>
      </c>
      <c r="F199" s="18">
        <v>0</v>
      </c>
      <c r="O199" t="s">
        <v>700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>
        <v>15222</v>
      </c>
      <c r="AV199" s="18"/>
      <c r="AW199" s="18">
        <v>15222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>
        <v>15222</v>
      </c>
    </row>
    <row r="200" spans="2:72" x14ac:dyDescent="0.3">
      <c r="B200" t="s">
        <v>715</v>
      </c>
      <c r="C200" t="s">
        <v>7</v>
      </c>
      <c r="D200" s="18">
        <v>2488</v>
      </c>
      <c r="E200" s="38">
        <v>-2488</v>
      </c>
      <c r="F200" s="18">
        <v>0</v>
      </c>
      <c r="O200" t="s">
        <v>795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>
        <v>10120</v>
      </c>
      <c r="AW200" s="18">
        <v>10120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>
        <v>10120</v>
      </c>
    </row>
    <row r="201" spans="2:72" x14ac:dyDescent="0.3">
      <c r="B201" t="s">
        <v>718</v>
      </c>
      <c r="C201" t="s">
        <v>409</v>
      </c>
      <c r="D201" s="18">
        <v>11151</v>
      </c>
      <c r="E201" s="38">
        <v>-11151</v>
      </c>
      <c r="F201" s="18">
        <v>0</v>
      </c>
      <c r="O201" t="s">
        <v>902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>
        <v>16536.699999999997</v>
      </c>
      <c r="AN201" s="18"/>
      <c r="AO201" s="18"/>
      <c r="AP201" s="18"/>
      <c r="AQ201" s="18"/>
      <c r="AR201" s="18"/>
      <c r="AS201" s="18"/>
      <c r="AT201" s="18"/>
      <c r="AU201" s="18"/>
      <c r="AV201" s="18"/>
      <c r="AW201" s="18">
        <v>16536.699999999997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>
        <v>16536.699999999997</v>
      </c>
    </row>
    <row r="202" spans="2:72" x14ac:dyDescent="0.3">
      <c r="B202" t="s">
        <v>720</v>
      </c>
      <c r="C202" t="s">
        <v>665</v>
      </c>
      <c r="D202" s="18">
        <v>3799</v>
      </c>
      <c r="E202" s="38">
        <v>-3799</v>
      </c>
      <c r="F202" s="18">
        <v>0</v>
      </c>
      <c r="O202" t="s">
        <v>1008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>
        <v>15677.2</v>
      </c>
      <c r="AP202" s="18"/>
      <c r="AQ202" s="18"/>
      <c r="AR202" s="18"/>
      <c r="AS202" s="18"/>
      <c r="AT202" s="18"/>
      <c r="AU202" s="18"/>
      <c r="AV202" s="18"/>
      <c r="AW202" s="18">
        <v>15677.2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>
        <v>15677.2</v>
      </c>
    </row>
    <row r="203" spans="2:72" x14ac:dyDescent="0.3">
      <c r="B203" t="s">
        <v>723</v>
      </c>
      <c r="C203" t="s">
        <v>62</v>
      </c>
      <c r="D203" s="18">
        <v>11160</v>
      </c>
      <c r="E203" s="38">
        <v>-11160</v>
      </c>
      <c r="F203" s="18">
        <v>0</v>
      </c>
      <c r="O203" t="s">
        <v>1046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10824</v>
      </c>
      <c r="AQ203" s="18"/>
      <c r="AR203" s="18"/>
      <c r="AS203" s="18"/>
      <c r="AT203" s="18"/>
      <c r="AU203" s="18"/>
      <c r="AV203" s="18"/>
      <c r="AW203" s="18">
        <v>10824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>
        <v>10824</v>
      </c>
    </row>
    <row r="204" spans="2:72" x14ac:dyDescent="0.3">
      <c r="B204" t="s">
        <v>724</v>
      </c>
      <c r="C204" t="s">
        <v>491</v>
      </c>
      <c r="D204" s="18">
        <v>5458</v>
      </c>
      <c r="E204" s="38">
        <v>-5458</v>
      </c>
      <c r="F204" s="18">
        <v>0</v>
      </c>
      <c r="O204" t="s">
        <v>1273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>
        <v>1620</v>
      </c>
      <c r="BG204" s="18"/>
      <c r="BH204" s="18"/>
      <c r="BI204" s="18"/>
      <c r="BJ204" s="18">
        <v>1620</v>
      </c>
      <c r="BK204" s="18"/>
      <c r="BL204" s="18"/>
      <c r="BM204" s="18"/>
      <c r="BN204" s="18"/>
      <c r="BO204" s="18"/>
      <c r="BP204" s="18"/>
      <c r="BQ204" s="18"/>
      <c r="BR204" s="18"/>
      <c r="BS204" s="18"/>
      <c r="BT204" s="18">
        <v>1620</v>
      </c>
    </row>
    <row r="205" spans="2:72" x14ac:dyDescent="0.3">
      <c r="B205" t="s">
        <v>725</v>
      </c>
      <c r="C205" t="s">
        <v>409</v>
      </c>
      <c r="D205" s="18">
        <v>11858.5</v>
      </c>
      <c r="E205" s="38">
        <v>-11858.5</v>
      </c>
      <c r="F205" s="18">
        <v>0</v>
      </c>
      <c r="N205" s="17" t="s">
        <v>138</v>
      </c>
      <c r="O205" s="17"/>
      <c r="P205" s="19"/>
      <c r="Q205" s="19"/>
      <c r="R205" s="19"/>
      <c r="S205" s="19">
        <v>1836</v>
      </c>
      <c r="T205" s="19">
        <v>5340</v>
      </c>
      <c r="U205" s="19">
        <v>22852.799999999999</v>
      </c>
      <c r="V205" s="19">
        <v>19396.8</v>
      </c>
      <c r="W205" s="19"/>
      <c r="X205" s="19">
        <v>2860</v>
      </c>
      <c r="Y205" s="19">
        <v>52285.599999999999</v>
      </c>
      <c r="Z205" s="19"/>
      <c r="AA205" s="19">
        <v>16594.400000000001</v>
      </c>
      <c r="AB205" s="19"/>
      <c r="AC205" s="19"/>
      <c r="AD205" s="19">
        <v>15895.8</v>
      </c>
      <c r="AE205" s="19"/>
      <c r="AF205" s="19">
        <v>9111.2000000000007</v>
      </c>
      <c r="AG205" s="19">
        <v>30126.800000000003</v>
      </c>
      <c r="AH205" s="19"/>
      <c r="AI205" s="19">
        <v>14034.8</v>
      </c>
      <c r="AJ205" s="19">
        <v>85763.000000000015</v>
      </c>
      <c r="AK205" s="19"/>
      <c r="AL205" s="19"/>
      <c r="AM205" s="19">
        <v>16536.699999999997</v>
      </c>
      <c r="AN205" s="19"/>
      <c r="AO205" s="19">
        <v>15677.2</v>
      </c>
      <c r="AP205" s="19">
        <v>10824</v>
      </c>
      <c r="AQ205" s="19"/>
      <c r="AR205" s="19">
        <v>31599.5</v>
      </c>
      <c r="AS205" s="19">
        <v>1480</v>
      </c>
      <c r="AT205" s="19"/>
      <c r="AU205" s="19">
        <v>15222</v>
      </c>
      <c r="AV205" s="19">
        <v>10120</v>
      </c>
      <c r="AW205" s="19">
        <v>101459.4</v>
      </c>
      <c r="AX205" s="19"/>
      <c r="AY205" s="19"/>
      <c r="AZ205" s="19"/>
      <c r="BA205" s="19"/>
      <c r="BB205" s="19"/>
      <c r="BC205" s="19"/>
      <c r="BD205" s="19"/>
      <c r="BE205" s="19"/>
      <c r="BF205" s="19">
        <v>1620</v>
      </c>
      <c r="BG205" s="19"/>
      <c r="BH205" s="19"/>
      <c r="BI205" s="19"/>
      <c r="BJ205" s="19">
        <v>1620</v>
      </c>
      <c r="BK205" s="19"/>
      <c r="BL205" s="19"/>
      <c r="BM205" s="19"/>
      <c r="BN205" s="19"/>
      <c r="BO205" s="19"/>
      <c r="BP205" s="19"/>
      <c r="BQ205" s="19"/>
      <c r="BR205" s="19"/>
      <c r="BS205" s="19"/>
      <c r="BT205" s="19">
        <v>241128</v>
      </c>
    </row>
    <row r="206" spans="2:72" x14ac:dyDescent="0.3">
      <c r="B206" t="s">
        <v>726</v>
      </c>
      <c r="C206" t="s">
        <v>400</v>
      </c>
      <c r="D206" s="18">
        <v>6096.1</v>
      </c>
      <c r="E206" s="38">
        <v>-6096.1</v>
      </c>
      <c r="F206" s="18">
        <v>0</v>
      </c>
      <c r="N206" t="s">
        <v>14</v>
      </c>
      <c r="O206" t="s">
        <v>11</v>
      </c>
      <c r="P206" s="18"/>
      <c r="Q206" s="18"/>
      <c r="R206" s="18">
        <v>2067</v>
      </c>
      <c r="S206" s="18"/>
      <c r="T206" s="18"/>
      <c r="U206" s="18"/>
      <c r="V206" s="18"/>
      <c r="W206" s="18"/>
      <c r="X206" s="18"/>
      <c r="Y206" s="18">
        <v>2067</v>
      </c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>
        <v>2067</v>
      </c>
    </row>
    <row r="207" spans="2:72" x14ac:dyDescent="0.3">
      <c r="B207" t="s">
        <v>728</v>
      </c>
      <c r="C207" t="s">
        <v>665</v>
      </c>
      <c r="D207" s="18">
        <v>1350</v>
      </c>
      <c r="E207" s="38">
        <v>-1350</v>
      </c>
      <c r="F207" s="18">
        <v>0</v>
      </c>
      <c r="O207" t="s">
        <v>370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>
        <v>3432</v>
      </c>
      <c r="AB207" s="18"/>
      <c r="AC207" s="18"/>
      <c r="AD207" s="18"/>
      <c r="AE207" s="18"/>
      <c r="AF207" s="18"/>
      <c r="AG207" s="18"/>
      <c r="AH207" s="18"/>
      <c r="AI207" s="18"/>
      <c r="AJ207" s="18">
        <v>3432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>
        <v>3432</v>
      </c>
    </row>
    <row r="208" spans="2:72" x14ac:dyDescent="0.3">
      <c r="B208" t="s">
        <v>729</v>
      </c>
      <c r="C208" t="s">
        <v>409</v>
      </c>
      <c r="D208" s="18">
        <v>15244</v>
      </c>
      <c r="E208" s="38">
        <v>-15244</v>
      </c>
      <c r="F208" s="18">
        <v>0</v>
      </c>
      <c r="N208" s="17" t="s">
        <v>139</v>
      </c>
      <c r="O208" s="17"/>
      <c r="P208" s="19"/>
      <c r="Q208" s="19"/>
      <c r="R208" s="19">
        <v>2067</v>
      </c>
      <c r="S208" s="19"/>
      <c r="T208" s="19"/>
      <c r="U208" s="19"/>
      <c r="V208" s="19"/>
      <c r="W208" s="19"/>
      <c r="X208" s="19"/>
      <c r="Y208" s="19">
        <v>2067</v>
      </c>
      <c r="Z208" s="19"/>
      <c r="AA208" s="19">
        <v>3432</v>
      </c>
      <c r="AB208" s="19"/>
      <c r="AC208" s="19"/>
      <c r="AD208" s="19"/>
      <c r="AE208" s="19"/>
      <c r="AF208" s="19"/>
      <c r="AG208" s="19"/>
      <c r="AH208" s="19"/>
      <c r="AI208" s="19"/>
      <c r="AJ208" s="19">
        <v>3432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>
        <v>5499</v>
      </c>
    </row>
    <row r="209" spans="1:72" x14ac:dyDescent="0.3">
      <c r="A209" s="17" t="s">
        <v>308</v>
      </c>
      <c r="B209" s="17"/>
      <c r="C209" s="17"/>
      <c r="D209" s="19">
        <v>192796.7</v>
      </c>
      <c r="E209" s="39">
        <v>-192796.7</v>
      </c>
      <c r="F209" s="19">
        <v>0</v>
      </c>
      <c r="N209" t="s">
        <v>52</v>
      </c>
      <c r="O209" t="s">
        <v>50</v>
      </c>
      <c r="P209" s="18"/>
      <c r="Q209" s="18"/>
      <c r="R209" s="18"/>
      <c r="S209" s="18"/>
      <c r="T209" s="18">
        <v>1452</v>
      </c>
      <c r="U209" s="18"/>
      <c r="V209" s="18"/>
      <c r="W209" s="18"/>
      <c r="X209" s="18"/>
      <c r="Y209" s="18">
        <v>1452</v>
      </c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>
        <v>1452</v>
      </c>
    </row>
    <row r="210" spans="1:72" x14ac:dyDescent="0.3">
      <c r="A210">
        <v>5</v>
      </c>
      <c r="B210" t="s">
        <v>762</v>
      </c>
      <c r="C210" t="s">
        <v>409</v>
      </c>
      <c r="D210" s="18">
        <v>11530</v>
      </c>
      <c r="E210" s="38">
        <v>-11530</v>
      </c>
      <c r="F210" s="18">
        <v>0</v>
      </c>
      <c r="O210" t="s">
        <v>66</v>
      </c>
      <c r="P210" s="18"/>
      <c r="Q210" s="18"/>
      <c r="R210" s="18"/>
      <c r="S210" s="18"/>
      <c r="T210" s="18"/>
      <c r="U210" s="18">
        <v>3968</v>
      </c>
      <c r="V210" s="18"/>
      <c r="W210" s="18"/>
      <c r="X210" s="18"/>
      <c r="Y210" s="18">
        <v>3968</v>
      </c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>
        <v>3968</v>
      </c>
    </row>
    <row r="211" spans="1:72" x14ac:dyDescent="0.3">
      <c r="B211" t="s">
        <v>763</v>
      </c>
      <c r="C211" t="s">
        <v>665</v>
      </c>
      <c r="D211" s="18">
        <v>1350</v>
      </c>
      <c r="E211" s="38">
        <v>-1350</v>
      </c>
      <c r="F211" s="18">
        <v>0</v>
      </c>
      <c r="O211" t="s">
        <v>170</v>
      </c>
      <c r="P211" s="18"/>
      <c r="Q211" s="18"/>
      <c r="R211" s="18"/>
      <c r="S211" s="18"/>
      <c r="T211" s="18"/>
      <c r="U211" s="18"/>
      <c r="V211" s="18"/>
      <c r="W211" s="18">
        <v>2612</v>
      </c>
      <c r="X211" s="18"/>
      <c r="Y211" s="18">
        <v>2612</v>
      </c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>
        <v>2612</v>
      </c>
    </row>
    <row r="212" spans="1:72" x14ac:dyDescent="0.3">
      <c r="B212" t="s">
        <v>764</v>
      </c>
      <c r="C212" t="s">
        <v>409</v>
      </c>
      <c r="D212" s="18">
        <v>16245</v>
      </c>
      <c r="E212" s="38">
        <v>-16245</v>
      </c>
      <c r="F212" s="18">
        <v>0</v>
      </c>
      <c r="O212" t="s">
        <v>183</v>
      </c>
      <c r="P212" s="18"/>
      <c r="Q212" s="18"/>
      <c r="R212" s="18"/>
      <c r="S212" s="18"/>
      <c r="T212" s="18"/>
      <c r="U212" s="18"/>
      <c r="V212" s="18"/>
      <c r="W212" s="18">
        <v>1050</v>
      </c>
      <c r="X212" s="18"/>
      <c r="Y212" s="18">
        <v>1050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>
        <v>1050</v>
      </c>
    </row>
    <row r="213" spans="1:72" x14ac:dyDescent="0.3">
      <c r="B213" t="s">
        <v>765</v>
      </c>
      <c r="C213" t="s">
        <v>58</v>
      </c>
      <c r="D213" s="18">
        <v>5100</v>
      </c>
      <c r="E213" s="38">
        <v>-5100</v>
      </c>
      <c r="F213" s="18">
        <v>0</v>
      </c>
      <c r="O213" t="s">
        <v>275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>
        <v>1200</v>
      </c>
      <c r="AG213" s="18"/>
      <c r="AH213" s="18"/>
      <c r="AI213" s="18"/>
      <c r="AJ213" s="18">
        <v>1200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>
        <v>1200</v>
      </c>
    </row>
    <row r="214" spans="1:72" x14ac:dyDescent="0.3">
      <c r="B214" t="s">
        <v>766</v>
      </c>
      <c r="C214" t="s">
        <v>43</v>
      </c>
      <c r="D214" s="18">
        <v>2534</v>
      </c>
      <c r="E214" s="38">
        <v>-2534</v>
      </c>
      <c r="F214" s="18">
        <v>0</v>
      </c>
      <c r="O214" t="s">
        <v>441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3362</v>
      </c>
      <c r="AC214" s="18"/>
      <c r="AD214" s="18"/>
      <c r="AE214" s="18"/>
      <c r="AF214" s="18"/>
      <c r="AG214" s="18"/>
      <c r="AH214" s="18"/>
      <c r="AI214" s="18"/>
      <c r="AJ214" s="18">
        <v>3362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>
        <v>3362</v>
      </c>
    </row>
    <row r="215" spans="1:72" x14ac:dyDescent="0.3">
      <c r="B215" t="s">
        <v>769</v>
      </c>
      <c r="C215" t="s">
        <v>637</v>
      </c>
      <c r="D215" s="18">
        <v>4317.8999999999996</v>
      </c>
      <c r="E215" s="38">
        <v>-4317.8999999999996</v>
      </c>
      <c r="F215" s="18">
        <v>0</v>
      </c>
      <c r="O215" t="s">
        <v>444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510</v>
      </c>
      <c r="AC215" s="18"/>
      <c r="AD215" s="18"/>
      <c r="AE215" s="18"/>
      <c r="AF215" s="18"/>
      <c r="AG215" s="18"/>
      <c r="AH215" s="18"/>
      <c r="AI215" s="18"/>
      <c r="AJ215" s="18">
        <v>510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>
        <v>510</v>
      </c>
    </row>
    <row r="216" spans="1:72" x14ac:dyDescent="0.3">
      <c r="B216" t="s">
        <v>774</v>
      </c>
      <c r="C216" t="s">
        <v>773</v>
      </c>
      <c r="D216" s="18">
        <v>8524.5</v>
      </c>
      <c r="E216" s="38">
        <v>-8524.5</v>
      </c>
      <c r="F216" s="18">
        <v>0</v>
      </c>
      <c r="O216" t="s">
        <v>484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>
        <v>3496</v>
      </c>
      <c r="AD216" s="18"/>
      <c r="AE216" s="18"/>
      <c r="AF216" s="18"/>
      <c r="AG216" s="18"/>
      <c r="AH216" s="18"/>
      <c r="AI216" s="18"/>
      <c r="AJ216" s="18">
        <v>3496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>
        <v>3496</v>
      </c>
    </row>
    <row r="217" spans="1:72" x14ac:dyDescent="0.3">
      <c r="B217" t="s">
        <v>776</v>
      </c>
      <c r="C217" t="s">
        <v>43</v>
      </c>
      <c r="D217" s="18">
        <v>100</v>
      </c>
      <c r="E217" s="38">
        <v>-100</v>
      </c>
      <c r="F217" s="18">
        <v>0</v>
      </c>
      <c r="N217" s="17" t="s">
        <v>140</v>
      </c>
      <c r="O217" s="17"/>
      <c r="P217" s="19"/>
      <c r="Q217" s="19"/>
      <c r="R217" s="19"/>
      <c r="S217" s="19"/>
      <c r="T217" s="19">
        <v>1452</v>
      </c>
      <c r="U217" s="19">
        <v>3968</v>
      </c>
      <c r="V217" s="19"/>
      <c r="W217" s="19">
        <v>3662</v>
      </c>
      <c r="X217" s="19"/>
      <c r="Y217" s="19">
        <v>9082</v>
      </c>
      <c r="Z217" s="19"/>
      <c r="AA217" s="19"/>
      <c r="AB217" s="19">
        <v>3872</v>
      </c>
      <c r="AC217" s="19">
        <v>3496</v>
      </c>
      <c r="AD217" s="19"/>
      <c r="AE217" s="19"/>
      <c r="AF217" s="19">
        <v>1200</v>
      </c>
      <c r="AG217" s="19"/>
      <c r="AH217" s="19"/>
      <c r="AI217" s="19"/>
      <c r="AJ217" s="19">
        <v>8568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>
        <v>17650</v>
      </c>
    </row>
    <row r="218" spans="1:72" x14ac:dyDescent="0.3">
      <c r="B218" t="s">
        <v>777</v>
      </c>
      <c r="C218" t="s">
        <v>409</v>
      </c>
      <c r="D218" s="18">
        <v>10369.5</v>
      </c>
      <c r="E218" s="38">
        <v>-10369.5</v>
      </c>
      <c r="F218" s="18">
        <v>0</v>
      </c>
      <c r="N218" t="s">
        <v>62</v>
      </c>
      <c r="O218" t="s">
        <v>60</v>
      </c>
      <c r="P218" s="18"/>
      <c r="Q218" s="18"/>
      <c r="R218" s="18"/>
      <c r="S218" s="18"/>
      <c r="T218" s="18">
        <v>6734</v>
      </c>
      <c r="U218" s="18"/>
      <c r="V218" s="18"/>
      <c r="W218" s="18"/>
      <c r="X218" s="18"/>
      <c r="Y218" s="18">
        <v>6734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>
        <v>6734</v>
      </c>
    </row>
    <row r="219" spans="1:72" x14ac:dyDescent="0.3">
      <c r="B219" t="s">
        <v>779</v>
      </c>
      <c r="C219" t="s">
        <v>20</v>
      </c>
      <c r="D219" s="18">
        <v>7336</v>
      </c>
      <c r="E219" s="38">
        <v>-7336</v>
      </c>
      <c r="F219" s="18">
        <v>0</v>
      </c>
      <c r="O219" t="s">
        <v>102</v>
      </c>
      <c r="P219" s="18"/>
      <c r="Q219" s="18"/>
      <c r="R219" s="18"/>
      <c r="S219" s="18"/>
      <c r="T219" s="18"/>
      <c r="U219" s="18">
        <v>8123</v>
      </c>
      <c r="V219" s="18"/>
      <c r="W219" s="18"/>
      <c r="X219" s="18"/>
      <c r="Y219" s="18">
        <v>8123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>
        <v>8123</v>
      </c>
    </row>
    <row r="220" spans="1:72" x14ac:dyDescent="0.3">
      <c r="B220" t="s">
        <v>780</v>
      </c>
      <c r="C220" t="s">
        <v>409</v>
      </c>
      <c r="D220" s="18">
        <v>8417</v>
      </c>
      <c r="E220" s="38">
        <v>-8417</v>
      </c>
      <c r="F220" s="18">
        <v>0</v>
      </c>
      <c r="O220" t="s">
        <v>127</v>
      </c>
      <c r="P220" s="18"/>
      <c r="Q220" s="18"/>
      <c r="R220" s="18"/>
      <c r="S220" s="18"/>
      <c r="T220" s="18"/>
      <c r="U220" s="18"/>
      <c r="V220" s="18">
        <v>8123</v>
      </c>
      <c r="W220" s="18"/>
      <c r="X220" s="18"/>
      <c r="Y220" s="18">
        <v>8123</v>
      </c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>
        <v>8123</v>
      </c>
    </row>
    <row r="221" spans="1:72" x14ac:dyDescent="0.3">
      <c r="B221" t="s">
        <v>781</v>
      </c>
      <c r="C221" t="s">
        <v>491</v>
      </c>
      <c r="D221" s="18">
        <v>3484</v>
      </c>
      <c r="E221" s="38">
        <v>-3484</v>
      </c>
      <c r="F221" s="18">
        <v>0</v>
      </c>
      <c r="O221" t="s">
        <v>167</v>
      </c>
      <c r="P221" s="18"/>
      <c r="Q221" s="18"/>
      <c r="R221" s="18"/>
      <c r="S221" s="18"/>
      <c r="T221" s="18"/>
      <c r="U221" s="18"/>
      <c r="V221" s="18"/>
      <c r="W221" s="18">
        <v>9296</v>
      </c>
      <c r="X221" s="18"/>
      <c r="Y221" s="18">
        <v>9296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>
        <v>9296</v>
      </c>
    </row>
    <row r="222" spans="1:72" x14ac:dyDescent="0.3">
      <c r="B222" t="s">
        <v>783</v>
      </c>
      <c r="C222" t="s">
        <v>409</v>
      </c>
      <c r="D222" s="18">
        <v>13110</v>
      </c>
      <c r="E222" s="38">
        <v>-13110</v>
      </c>
      <c r="F222" s="18">
        <v>0</v>
      </c>
      <c r="O222" t="s">
        <v>184</v>
      </c>
      <c r="P222" s="18"/>
      <c r="Q222" s="18"/>
      <c r="R222" s="18"/>
      <c r="S222" s="18"/>
      <c r="T222" s="18"/>
      <c r="U222" s="18"/>
      <c r="V222" s="18"/>
      <c r="W222" s="18">
        <v>7775</v>
      </c>
      <c r="X222" s="18"/>
      <c r="Y222" s="18">
        <v>7775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>
        <v>7775</v>
      </c>
    </row>
    <row r="223" spans="1:72" x14ac:dyDescent="0.3">
      <c r="B223" t="s">
        <v>788</v>
      </c>
      <c r="C223" t="s">
        <v>784</v>
      </c>
      <c r="D223" s="18">
        <v>1239.5999999999999</v>
      </c>
      <c r="E223" s="38">
        <v>-1239.5999999999999</v>
      </c>
      <c r="F223" s="18">
        <v>0</v>
      </c>
      <c r="O223" t="s">
        <v>200</v>
      </c>
      <c r="P223" s="18"/>
      <c r="Q223" s="18"/>
      <c r="R223" s="18"/>
      <c r="S223" s="18"/>
      <c r="T223" s="18"/>
      <c r="U223" s="18"/>
      <c r="V223" s="18"/>
      <c r="W223" s="18">
        <v>275</v>
      </c>
      <c r="X223" s="18"/>
      <c r="Y223" s="18">
        <v>275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>
        <v>275</v>
      </c>
    </row>
    <row r="224" spans="1:72" x14ac:dyDescent="0.3">
      <c r="B224" t="s">
        <v>789</v>
      </c>
      <c r="C224" t="s">
        <v>409</v>
      </c>
      <c r="D224" s="18">
        <v>13110</v>
      </c>
      <c r="E224" s="38">
        <v>-13110</v>
      </c>
      <c r="F224" s="18">
        <v>0</v>
      </c>
      <c r="O224" t="s">
        <v>217</v>
      </c>
      <c r="P224" s="18"/>
      <c r="Q224" s="18"/>
      <c r="R224" s="18"/>
      <c r="S224" s="18"/>
      <c r="T224" s="18"/>
      <c r="U224" s="18"/>
      <c r="V224" s="18"/>
      <c r="W224" s="18"/>
      <c r="X224" s="18">
        <v>10120</v>
      </c>
      <c r="Y224" s="18">
        <v>10120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>
        <v>10120</v>
      </c>
    </row>
    <row r="225" spans="1:72" x14ac:dyDescent="0.3">
      <c r="B225" t="s">
        <v>790</v>
      </c>
      <c r="C225" t="s">
        <v>62</v>
      </c>
      <c r="D225" s="18">
        <v>14715</v>
      </c>
      <c r="E225" s="38">
        <v>-14715</v>
      </c>
      <c r="F225" s="18">
        <v>0</v>
      </c>
      <c r="O225" t="s">
        <v>239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>
        <v>0</v>
      </c>
      <c r="AF225" s="18"/>
      <c r="AG225" s="18"/>
      <c r="AH225" s="18"/>
      <c r="AI225" s="18"/>
      <c r="AJ225" s="18">
        <v>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>
        <v>0</v>
      </c>
    </row>
    <row r="226" spans="1:72" x14ac:dyDescent="0.3">
      <c r="B226" t="s">
        <v>793</v>
      </c>
      <c r="C226" t="s">
        <v>409</v>
      </c>
      <c r="D226" s="18">
        <v>6750</v>
      </c>
      <c r="E226" s="38">
        <v>-6750</v>
      </c>
      <c r="F226" s="18">
        <v>0</v>
      </c>
      <c r="O226" t="s">
        <v>253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>
        <v>10310</v>
      </c>
      <c r="AF226" s="18"/>
      <c r="AG226" s="18"/>
      <c r="AH226" s="18"/>
      <c r="AI226" s="18"/>
      <c r="AJ226" s="18">
        <v>10310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>
        <v>10310</v>
      </c>
    </row>
    <row r="227" spans="1:72" x14ac:dyDescent="0.3">
      <c r="B227" t="s">
        <v>794</v>
      </c>
      <c r="C227" t="s">
        <v>400</v>
      </c>
      <c r="D227" s="18">
        <v>6201.1</v>
      </c>
      <c r="E227" s="38">
        <v>-6201.1</v>
      </c>
      <c r="F227" s="18">
        <v>0</v>
      </c>
      <c r="O227" t="s">
        <v>320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>
        <v>10075</v>
      </c>
      <c r="AH227" s="18"/>
      <c r="AI227" s="18"/>
      <c r="AJ227" s="18">
        <v>10075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>
        <v>10075</v>
      </c>
    </row>
    <row r="228" spans="1:72" x14ac:dyDescent="0.3">
      <c r="B228" t="s">
        <v>795</v>
      </c>
      <c r="C228" t="s">
        <v>23</v>
      </c>
      <c r="D228" s="18">
        <v>10120</v>
      </c>
      <c r="E228" s="38">
        <v>-10120</v>
      </c>
      <c r="F228" s="18">
        <v>0</v>
      </c>
      <c r="O228" t="s">
        <v>326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>
        <v>12101.6</v>
      </c>
      <c r="AI228" s="18"/>
      <c r="AJ228" s="18">
        <v>12101.6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>
        <v>12101.6</v>
      </c>
    </row>
    <row r="229" spans="1:72" x14ac:dyDescent="0.3">
      <c r="B229" t="s">
        <v>796</v>
      </c>
      <c r="C229" t="s">
        <v>409</v>
      </c>
      <c r="D229" s="18">
        <v>14068</v>
      </c>
      <c r="E229" s="38">
        <v>-14068</v>
      </c>
      <c r="F229" s="18">
        <v>0</v>
      </c>
      <c r="O229" t="s">
        <v>331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>
        <v>11585</v>
      </c>
      <c r="AI229" s="18"/>
      <c r="AJ229" s="18">
        <v>11585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>
        <v>11585</v>
      </c>
    </row>
    <row r="230" spans="1:72" x14ac:dyDescent="0.3">
      <c r="B230" t="s">
        <v>797</v>
      </c>
      <c r="C230" t="s">
        <v>491</v>
      </c>
      <c r="D230" s="18">
        <v>3241</v>
      </c>
      <c r="E230" s="38">
        <v>-3241</v>
      </c>
      <c r="F230" s="18">
        <v>0</v>
      </c>
      <c r="O230" t="s">
        <v>355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>
        <v>6952</v>
      </c>
      <c r="AA230" s="18"/>
      <c r="AB230" s="18"/>
      <c r="AC230" s="18"/>
      <c r="AD230" s="18"/>
      <c r="AE230" s="18"/>
      <c r="AF230" s="18"/>
      <c r="AG230" s="18"/>
      <c r="AH230" s="18"/>
      <c r="AI230" s="18"/>
      <c r="AJ230" s="18">
        <v>6952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>
        <v>6952</v>
      </c>
    </row>
    <row r="231" spans="1:72" x14ac:dyDescent="0.3">
      <c r="A231" s="17" t="s">
        <v>330</v>
      </c>
      <c r="B231" s="17"/>
      <c r="C231" s="17"/>
      <c r="D231" s="19">
        <v>161862.6</v>
      </c>
      <c r="E231" s="39">
        <v>-161862.6</v>
      </c>
      <c r="F231" s="19">
        <v>0</v>
      </c>
      <c r="O231" t="s">
        <v>358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>
        <v>930</v>
      </c>
      <c r="AA231" s="18"/>
      <c r="AB231" s="18"/>
      <c r="AC231" s="18"/>
      <c r="AD231" s="18"/>
      <c r="AE231" s="18"/>
      <c r="AF231" s="18"/>
      <c r="AG231" s="18"/>
      <c r="AH231" s="18"/>
      <c r="AI231" s="18"/>
      <c r="AJ231" s="18">
        <v>930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>
        <v>930</v>
      </c>
    </row>
    <row r="232" spans="1:72" x14ac:dyDescent="0.3">
      <c r="A232" t="s">
        <v>131</v>
      </c>
      <c r="D232" s="18">
        <v>1503039.1</v>
      </c>
      <c r="E232" s="38">
        <v>-1503038.9000000004</v>
      </c>
      <c r="F232" s="18">
        <v>0.20000000000004547</v>
      </c>
      <c r="O232" t="s">
        <v>372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>
        <v>14208</v>
      </c>
      <c r="AB232" s="18"/>
      <c r="AC232" s="18"/>
      <c r="AD232" s="18"/>
      <c r="AE232" s="18"/>
      <c r="AF232" s="18"/>
      <c r="AG232" s="18"/>
      <c r="AH232" s="18"/>
      <c r="AI232" s="18"/>
      <c r="AJ232" s="18">
        <v>14208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>
        <v>14208</v>
      </c>
    </row>
    <row r="233" spans="1:72" x14ac:dyDescent="0.3">
      <c r="O233" t="s">
        <v>402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12121</v>
      </c>
      <c r="AC233" s="18"/>
      <c r="AD233" s="18"/>
      <c r="AE233" s="18"/>
      <c r="AF233" s="18"/>
      <c r="AG233" s="18"/>
      <c r="AH233" s="18"/>
      <c r="AI233" s="18"/>
      <c r="AJ233" s="18">
        <v>12121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>
        <v>12121</v>
      </c>
    </row>
    <row r="234" spans="1:72" x14ac:dyDescent="0.3">
      <c r="O234" t="s">
        <v>446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>
        <v>13723.8</v>
      </c>
      <c r="AC234" s="18"/>
      <c r="AD234" s="18"/>
      <c r="AE234" s="18"/>
      <c r="AF234" s="18"/>
      <c r="AG234" s="18"/>
      <c r="AH234" s="18"/>
      <c r="AI234" s="18"/>
      <c r="AJ234" s="18">
        <v>13723.8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>
        <v>13723.8</v>
      </c>
    </row>
    <row r="235" spans="1:72" x14ac:dyDescent="0.3">
      <c r="O235" t="s">
        <v>449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10019.200000000001</v>
      </c>
      <c r="AC235" s="18"/>
      <c r="AD235" s="18"/>
      <c r="AE235" s="18"/>
      <c r="AF235" s="18"/>
      <c r="AG235" s="18"/>
      <c r="AH235" s="18"/>
      <c r="AI235" s="18"/>
      <c r="AJ235" s="18">
        <v>10019.200000000001</v>
      </c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>
        <v>10019.200000000001</v>
      </c>
    </row>
    <row r="236" spans="1:72" x14ac:dyDescent="0.3">
      <c r="O236" t="s">
        <v>460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>
        <v>2135</v>
      </c>
      <c r="AD236" s="18"/>
      <c r="AE236" s="18"/>
      <c r="AF236" s="18"/>
      <c r="AG236" s="18"/>
      <c r="AH236" s="18"/>
      <c r="AI236" s="18"/>
      <c r="AJ236" s="18">
        <v>2135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>
        <v>2135</v>
      </c>
    </row>
    <row r="237" spans="1:72" x14ac:dyDescent="0.3">
      <c r="O237" t="s">
        <v>465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>
        <v>14253</v>
      </c>
      <c r="AD237" s="18"/>
      <c r="AE237" s="18"/>
      <c r="AF237" s="18"/>
      <c r="AG237" s="18"/>
      <c r="AH237" s="18"/>
      <c r="AI237" s="18"/>
      <c r="AJ237" s="18">
        <v>14253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>
        <v>14253</v>
      </c>
    </row>
    <row r="238" spans="1:72" x14ac:dyDescent="0.3">
      <c r="O238" t="s">
        <v>507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>
        <v>12144</v>
      </c>
      <c r="AE238" s="18"/>
      <c r="AF238" s="18"/>
      <c r="AG238" s="18"/>
      <c r="AH238" s="18"/>
      <c r="AI238" s="18"/>
      <c r="AJ238" s="18">
        <v>12144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>
        <v>12144</v>
      </c>
    </row>
    <row r="239" spans="1:72" x14ac:dyDescent="0.3">
      <c r="O239" t="s">
        <v>535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v>10120</v>
      </c>
      <c r="AE239" s="18"/>
      <c r="AF239" s="18"/>
      <c r="AG239" s="18"/>
      <c r="AH239" s="18"/>
      <c r="AI239" s="18"/>
      <c r="AJ239" s="18">
        <v>10120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>
        <v>10120</v>
      </c>
    </row>
    <row r="240" spans="1:72" x14ac:dyDescent="0.3">
      <c r="O240" t="s">
        <v>552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15346</v>
      </c>
      <c r="AS240" s="18"/>
      <c r="AT240" s="18"/>
      <c r="AU240" s="18"/>
      <c r="AV240" s="18"/>
      <c r="AW240" s="18">
        <v>15346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>
        <v>15346</v>
      </c>
    </row>
    <row r="241" spans="15:72" x14ac:dyDescent="0.3">
      <c r="O241" t="s">
        <v>567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>
        <v>13474</v>
      </c>
      <c r="AS241" s="18"/>
      <c r="AT241" s="18"/>
      <c r="AU241" s="18"/>
      <c r="AV241" s="18"/>
      <c r="AW241" s="18">
        <v>13474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>
        <v>13474</v>
      </c>
    </row>
    <row r="242" spans="15:72" x14ac:dyDescent="0.3">
      <c r="O242" t="s">
        <v>603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14395</v>
      </c>
      <c r="AT242" s="18"/>
      <c r="AU242" s="18"/>
      <c r="AV242" s="18"/>
      <c r="AW242" s="18">
        <v>14395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>
        <v>14395</v>
      </c>
    </row>
    <row r="243" spans="15:72" x14ac:dyDescent="0.3">
      <c r="O243" t="s">
        <v>635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>
        <v>15280</v>
      </c>
      <c r="AU243" s="18"/>
      <c r="AV243" s="18"/>
      <c r="AW243" s="18">
        <v>15280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>
        <v>15280</v>
      </c>
    </row>
    <row r="244" spans="15:72" x14ac:dyDescent="0.3">
      <c r="O244" t="s">
        <v>647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>
        <v>14185</v>
      </c>
      <c r="AU244" s="18"/>
      <c r="AV244" s="18"/>
      <c r="AW244" s="18">
        <v>14185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>
        <v>14185</v>
      </c>
    </row>
    <row r="245" spans="15:72" x14ac:dyDescent="0.3">
      <c r="O245" t="s">
        <v>723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>
        <v>11160</v>
      </c>
      <c r="AV245" s="18"/>
      <c r="AW245" s="18">
        <v>11160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>
        <v>11160</v>
      </c>
    </row>
    <row r="246" spans="15:72" x14ac:dyDescent="0.3">
      <c r="O246" t="s">
        <v>790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>
        <v>14715</v>
      </c>
      <c r="AW246" s="18">
        <v>14715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>
        <v>14715</v>
      </c>
    </row>
    <row r="247" spans="15:72" x14ac:dyDescent="0.3">
      <c r="O247" t="s">
        <v>831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>
        <v>12690</v>
      </c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>
        <v>12690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>
        <v>12690</v>
      </c>
    </row>
    <row r="248" spans="15:72" x14ac:dyDescent="0.3">
      <c r="O248" t="s">
        <v>847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>
        <v>18515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>
        <v>18515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>
        <v>18515</v>
      </c>
    </row>
    <row r="249" spans="15:72" x14ac:dyDescent="0.3">
      <c r="O249" t="s">
        <v>870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>
        <v>13445</v>
      </c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>
        <v>13445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>
        <v>13445</v>
      </c>
    </row>
    <row r="250" spans="15:72" x14ac:dyDescent="0.3">
      <c r="O250" t="s">
        <v>912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>
        <v>15671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>
        <v>15671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>
        <v>15671</v>
      </c>
    </row>
    <row r="251" spans="15:72" x14ac:dyDescent="0.3">
      <c r="O251" t="s">
        <v>947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>
        <v>11757.5</v>
      </c>
      <c r="AO251" s="18"/>
      <c r="AP251" s="18"/>
      <c r="AQ251" s="18"/>
      <c r="AR251" s="18"/>
      <c r="AS251" s="18"/>
      <c r="AT251" s="18"/>
      <c r="AU251" s="18"/>
      <c r="AV251" s="18"/>
      <c r="AW251" s="18">
        <v>11757.5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>
        <v>11757.5</v>
      </c>
    </row>
    <row r="252" spans="15:72" x14ac:dyDescent="0.3">
      <c r="O252" t="s">
        <v>986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>
        <v>13065</v>
      </c>
      <c r="AP252" s="18"/>
      <c r="AQ252" s="18"/>
      <c r="AR252" s="18"/>
      <c r="AS252" s="18"/>
      <c r="AT252" s="18"/>
      <c r="AU252" s="18"/>
      <c r="AV252" s="18"/>
      <c r="AW252" s="18">
        <v>13065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>
        <v>13065</v>
      </c>
    </row>
    <row r="253" spans="15:72" x14ac:dyDescent="0.3">
      <c r="O253" t="s">
        <v>1001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>
        <v>11480</v>
      </c>
      <c r="AP253" s="18"/>
      <c r="AQ253" s="18"/>
      <c r="AR253" s="18"/>
      <c r="AS253" s="18"/>
      <c r="AT253" s="18"/>
      <c r="AU253" s="18"/>
      <c r="AV253" s="18"/>
      <c r="AW253" s="18">
        <v>11480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>
        <v>11480</v>
      </c>
    </row>
    <row r="254" spans="15:72" x14ac:dyDescent="0.3">
      <c r="O254" t="s">
        <v>1005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>
        <v>395</v>
      </c>
      <c r="AP254" s="18"/>
      <c r="AQ254" s="18"/>
      <c r="AR254" s="18"/>
      <c r="AS254" s="18"/>
      <c r="AT254" s="18"/>
      <c r="AU254" s="18"/>
      <c r="AV254" s="18"/>
      <c r="AW254" s="18">
        <v>395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>
        <v>395</v>
      </c>
    </row>
    <row r="255" spans="15:72" x14ac:dyDescent="0.3">
      <c r="O255" t="s">
        <v>1047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11260</v>
      </c>
      <c r="AQ255" s="18"/>
      <c r="AR255" s="18"/>
      <c r="AS255" s="18"/>
      <c r="AT255" s="18"/>
      <c r="AU255" s="18"/>
      <c r="AV255" s="18"/>
      <c r="AW255" s="18">
        <v>11260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>
        <v>11260</v>
      </c>
    </row>
    <row r="256" spans="15:72" x14ac:dyDescent="0.3">
      <c r="O256" t="s">
        <v>1092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>
        <v>11410.5</v>
      </c>
      <c r="AQ256" s="18"/>
      <c r="AR256" s="18"/>
      <c r="AS256" s="18"/>
      <c r="AT256" s="18"/>
      <c r="AU256" s="18"/>
      <c r="AV256" s="18"/>
      <c r="AW256" s="18">
        <v>11410.5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>
        <v>11410.5</v>
      </c>
    </row>
    <row r="257" spans="15:72" x14ac:dyDescent="0.3">
      <c r="O257" t="s">
        <v>1137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>
        <v>14227</v>
      </c>
      <c r="AR257" s="18"/>
      <c r="AS257" s="18"/>
      <c r="AT257" s="18"/>
      <c r="AU257" s="18"/>
      <c r="AV257" s="18"/>
      <c r="AW257" s="18">
        <v>14227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>
        <v>14227</v>
      </c>
    </row>
    <row r="258" spans="15:72" x14ac:dyDescent="0.3">
      <c r="O258" t="s">
        <v>1180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>
        <v>14268</v>
      </c>
      <c r="BF258" s="18"/>
      <c r="BG258" s="18"/>
      <c r="BH258" s="18"/>
      <c r="BI258" s="18"/>
      <c r="BJ258" s="18">
        <v>14268</v>
      </c>
      <c r="BK258" s="18"/>
      <c r="BL258" s="18"/>
      <c r="BM258" s="18"/>
      <c r="BN258" s="18"/>
      <c r="BO258" s="18"/>
      <c r="BP258" s="18"/>
      <c r="BQ258" s="18"/>
      <c r="BR258" s="18"/>
      <c r="BS258" s="18"/>
      <c r="BT258" s="18">
        <v>14268</v>
      </c>
    </row>
    <row r="259" spans="15:72" x14ac:dyDescent="0.3">
      <c r="O259" t="s">
        <v>1192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>
        <v>17129</v>
      </c>
      <c r="BF259" s="18"/>
      <c r="BG259" s="18"/>
      <c r="BH259" s="18"/>
      <c r="BI259" s="18"/>
      <c r="BJ259" s="18">
        <v>17129</v>
      </c>
      <c r="BK259" s="18"/>
      <c r="BL259" s="18"/>
      <c r="BM259" s="18"/>
      <c r="BN259" s="18"/>
      <c r="BO259" s="18"/>
      <c r="BP259" s="18"/>
      <c r="BQ259" s="18"/>
      <c r="BR259" s="18"/>
      <c r="BS259" s="18"/>
      <c r="BT259" s="18">
        <v>17129</v>
      </c>
    </row>
    <row r="260" spans="15:72" x14ac:dyDescent="0.3">
      <c r="O260" t="s">
        <v>1251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>
        <v>10765</v>
      </c>
      <c r="BG260" s="18"/>
      <c r="BH260" s="18"/>
      <c r="BI260" s="18"/>
      <c r="BJ260" s="18">
        <v>10765</v>
      </c>
      <c r="BK260" s="18"/>
      <c r="BL260" s="18"/>
      <c r="BM260" s="18"/>
      <c r="BN260" s="18"/>
      <c r="BO260" s="18"/>
      <c r="BP260" s="18"/>
      <c r="BQ260" s="18"/>
      <c r="BR260" s="18"/>
      <c r="BS260" s="18"/>
      <c r="BT260" s="18">
        <v>10765</v>
      </c>
    </row>
    <row r="261" spans="15:72" x14ac:dyDescent="0.3">
      <c r="O261" t="s">
        <v>1333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>
        <v>12678</v>
      </c>
      <c r="BH261" s="18"/>
      <c r="BI261" s="18"/>
      <c r="BJ261" s="18">
        <v>12678</v>
      </c>
      <c r="BK261" s="18"/>
      <c r="BL261" s="18"/>
      <c r="BM261" s="18"/>
      <c r="BN261" s="18"/>
      <c r="BO261" s="18"/>
      <c r="BP261" s="18"/>
      <c r="BQ261" s="18"/>
      <c r="BR261" s="18"/>
      <c r="BS261" s="18"/>
      <c r="BT261" s="18">
        <v>12678</v>
      </c>
    </row>
    <row r="262" spans="15:72" x14ac:dyDescent="0.3">
      <c r="O262" t="s">
        <v>1404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>
        <v>13297.5</v>
      </c>
      <c r="BI262" s="18"/>
      <c r="BJ262" s="18">
        <v>13297.5</v>
      </c>
      <c r="BK262" s="18"/>
      <c r="BL262" s="18"/>
      <c r="BM262" s="18"/>
      <c r="BN262" s="18"/>
      <c r="BO262" s="18"/>
      <c r="BP262" s="18"/>
      <c r="BQ262" s="18"/>
      <c r="BR262" s="18"/>
      <c r="BS262" s="18"/>
      <c r="BT262" s="18">
        <v>13297.5</v>
      </c>
    </row>
    <row r="263" spans="15:72" x14ac:dyDescent="0.3">
      <c r="O263" t="s">
        <v>1542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>
        <v>11813</v>
      </c>
      <c r="BJ263" s="18">
        <v>11813</v>
      </c>
      <c r="BK263" s="18"/>
      <c r="BL263" s="18"/>
      <c r="BM263" s="18"/>
      <c r="BN263" s="18"/>
      <c r="BO263" s="18"/>
      <c r="BP263" s="18"/>
      <c r="BQ263" s="18"/>
      <c r="BR263" s="18"/>
      <c r="BS263" s="18"/>
      <c r="BT263" s="18">
        <v>11813</v>
      </c>
    </row>
    <row r="264" spans="15:72" x14ac:dyDescent="0.3">
      <c r="O264" t="s">
        <v>1616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>
        <v>13457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>
        <v>13457</v>
      </c>
      <c r="BK264" s="18"/>
      <c r="BL264" s="18"/>
      <c r="BM264" s="18"/>
      <c r="BN264" s="18"/>
      <c r="BO264" s="18"/>
      <c r="BP264" s="18"/>
      <c r="BQ264" s="18"/>
      <c r="BR264" s="18"/>
      <c r="BS264" s="18"/>
      <c r="BT264" s="18">
        <v>13457</v>
      </c>
    </row>
    <row r="265" spans="15:72" x14ac:dyDescent="0.3">
      <c r="O265" t="s">
        <v>1716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>
        <v>13666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>
        <v>13666</v>
      </c>
      <c r="BK265" s="18"/>
      <c r="BL265" s="18"/>
      <c r="BM265" s="18"/>
      <c r="BN265" s="18"/>
      <c r="BO265" s="18"/>
      <c r="BP265" s="18"/>
      <c r="BQ265" s="18"/>
      <c r="BR265" s="18"/>
      <c r="BS265" s="18"/>
      <c r="BT265" s="18">
        <v>13666</v>
      </c>
    </row>
    <row r="266" spans="15:72" x14ac:dyDescent="0.3">
      <c r="O266" t="s">
        <v>1727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>
        <v>11398.5</v>
      </c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>
        <v>11398.5</v>
      </c>
      <c r="BK266" s="18"/>
      <c r="BL266" s="18"/>
      <c r="BM266" s="18"/>
      <c r="BN266" s="18"/>
      <c r="BO266" s="18"/>
      <c r="BP266" s="18"/>
      <c r="BQ266" s="18"/>
      <c r="BR266" s="18"/>
      <c r="BS266" s="18"/>
      <c r="BT266" s="18">
        <v>11398.5</v>
      </c>
    </row>
    <row r="267" spans="15:72" x14ac:dyDescent="0.3">
      <c r="O267" t="s">
        <v>1795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>
        <v>13533.5</v>
      </c>
      <c r="BA267" s="18"/>
      <c r="BB267" s="18"/>
      <c r="BC267" s="18"/>
      <c r="BD267" s="18"/>
      <c r="BE267" s="18"/>
      <c r="BF267" s="18"/>
      <c r="BG267" s="18"/>
      <c r="BH267" s="18"/>
      <c r="BI267" s="18"/>
      <c r="BJ267" s="18">
        <v>13533.5</v>
      </c>
      <c r="BK267" s="18"/>
      <c r="BL267" s="18"/>
      <c r="BM267" s="18"/>
      <c r="BN267" s="18"/>
      <c r="BO267" s="18"/>
      <c r="BP267" s="18"/>
      <c r="BQ267" s="18"/>
      <c r="BR267" s="18"/>
      <c r="BS267" s="18"/>
      <c r="BT267" s="18">
        <v>13533.5</v>
      </c>
    </row>
    <row r="268" spans="15:72" x14ac:dyDescent="0.3">
      <c r="O268" t="s">
        <v>1883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v>12167</v>
      </c>
      <c r="BB268" s="18"/>
      <c r="BC268" s="18"/>
      <c r="BD268" s="18"/>
      <c r="BE268" s="18"/>
      <c r="BF268" s="18"/>
      <c r="BG268" s="18"/>
      <c r="BH268" s="18"/>
      <c r="BI268" s="18"/>
      <c r="BJ268" s="18">
        <v>12167</v>
      </c>
      <c r="BK268" s="18"/>
      <c r="BL268" s="18"/>
      <c r="BM268" s="18"/>
      <c r="BN268" s="18"/>
      <c r="BO268" s="18"/>
      <c r="BP268" s="18"/>
      <c r="BQ268" s="18"/>
      <c r="BR268" s="18"/>
      <c r="BS268" s="18"/>
      <c r="BT268" s="18">
        <v>12167</v>
      </c>
    </row>
    <row r="269" spans="15:72" x14ac:dyDescent="0.3">
      <c r="O269" t="s">
        <v>1998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>
        <v>11769</v>
      </c>
      <c r="BC269" s="18"/>
      <c r="BD269" s="18"/>
      <c r="BE269" s="18"/>
      <c r="BF269" s="18"/>
      <c r="BG269" s="18"/>
      <c r="BH269" s="18"/>
      <c r="BI269" s="18"/>
      <c r="BJ269" s="18">
        <v>11769</v>
      </c>
      <c r="BK269" s="18"/>
      <c r="BL269" s="18"/>
      <c r="BM269" s="18"/>
      <c r="BN269" s="18"/>
      <c r="BO269" s="18"/>
      <c r="BP269" s="18"/>
      <c r="BQ269" s="18"/>
      <c r="BR269" s="18"/>
      <c r="BS269" s="18"/>
      <c r="BT269" s="18">
        <v>11769</v>
      </c>
    </row>
    <row r="270" spans="15:72" x14ac:dyDescent="0.3">
      <c r="O270" t="s">
        <v>2159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>
        <v>12406</v>
      </c>
      <c r="BD270" s="18"/>
      <c r="BE270" s="18"/>
      <c r="BF270" s="18"/>
      <c r="BG270" s="18"/>
      <c r="BH270" s="18"/>
      <c r="BI270" s="18"/>
      <c r="BJ270" s="18">
        <v>12406</v>
      </c>
      <c r="BK270" s="18"/>
      <c r="BL270" s="18"/>
      <c r="BM270" s="18"/>
      <c r="BN270" s="18"/>
      <c r="BO270" s="18"/>
      <c r="BP270" s="18"/>
      <c r="BQ270" s="18"/>
      <c r="BR270" s="18"/>
      <c r="BS270" s="18"/>
      <c r="BT270" s="18">
        <v>12406</v>
      </c>
    </row>
    <row r="271" spans="15:72" x14ac:dyDescent="0.3">
      <c r="O271" t="s">
        <v>2160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v>1597.5</v>
      </c>
      <c r="BD271" s="18"/>
      <c r="BE271" s="18"/>
      <c r="BF271" s="18"/>
      <c r="BG271" s="18"/>
      <c r="BH271" s="18"/>
      <c r="BI271" s="18"/>
      <c r="BJ271" s="18">
        <v>1597.5</v>
      </c>
      <c r="BK271" s="18"/>
      <c r="BL271" s="18"/>
      <c r="BM271" s="18"/>
      <c r="BN271" s="18"/>
      <c r="BO271" s="18"/>
      <c r="BP271" s="18"/>
      <c r="BQ271" s="18"/>
      <c r="BR271" s="18"/>
      <c r="BS271" s="18"/>
      <c r="BT271" s="18">
        <v>1597.5</v>
      </c>
    </row>
    <row r="272" spans="15:72" x14ac:dyDescent="0.3">
      <c r="O272" t="s">
        <v>2175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>
        <v>12996.4</v>
      </c>
      <c r="BE272" s="18"/>
      <c r="BF272" s="18"/>
      <c r="BG272" s="18"/>
      <c r="BH272" s="18"/>
      <c r="BI272" s="18"/>
      <c r="BJ272" s="18">
        <v>12996.4</v>
      </c>
      <c r="BK272" s="18"/>
      <c r="BL272" s="18"/>
      <c r="BM272" s="18"/>
      <c r="BN272" s="18"/>
      <c r="BO272" s="18"/>
      <c r="BP272" s="18"/>
      <c r="BQ272" s="18"/>
      <c r="BR272" s="18"/>
      <c r="BS272" s="18"/>
      <c r="BT272" s="18">
        <v>12996.4</v>
      </c>
    </row>
    <row r="273" spans="15:72" x14ac:dyDescent="0.3">
      <c r="O273" t="s">
        <v>2199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>
        <v>696</v>
      </c>
      <c r="BE273" s="18"/>
      <c r="BF273" s="18"/>
      <c r="BG273" s="18"/>
      <c r="BH273" s="18"/>
      <c r="BI273" s="18"/>
      <c r="BJ273" s="18">
        <v>696</v>
      </c>
      <c r="BK273" s="18"/>
      <c r="BL273" s="18"/>
      <c r="BM273" s="18"/>
      <c r="BN273" s="18"/>
      <c r="BO273" s="18"/>
      <c r="BP273" s="18"/>
      <c r="BQ273" s="18"/>
      <c r="BR273" s="18"/>
      <c r="BS273" s="18"/>
      <c r="BT273" s="18">
        <v>696</v>
      </c>
    </row>
    <row r="274" spans="15:72" x14ac:dyDescent="0.3">
      <c r="O274" t="s">
        <v>2280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>
        <v>12797</v>
      </c>
      <c r="BO274" s="18"/>
      <c r="BP274" s="18"/>
      <c r="BQ274" s="18"/>
      <c r="BR274" s="18"/>
      <c r="BS274" s="18">
        <v>12797</v>
      </c>
      <c r="BT274" s="18">
        <v>12797</v>
      </c>
    </row>
    <row r="275" spans="15:72" x14ac:dyDescent="0.3">
      <c r="O275" t="s">
        <v>2348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>
        <v>16858</v>
      </c>
      <c r="BP275" s="18"/>
      <c r="BQ275" s="18"/>
      <c r="BR275" s="18"/>
      <c r="BS275" s="18">
        <v>16858</v>
      </c>
      <c r="BT275" s="18">
        <v>16858</v>
      </c>
    </row>
    <row r="276" spans="15:72" x14ac:dyDescent="0.3">
      <c r="O276" t="s">
        <v>2353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>
        <v>12743.5</v>
      </c>
      <c r="BP276" s="18"/>
      <c r="BQ276" s="18"/>
      <c r="BR276" s="18"/>
      <c r="BS276" s="18">
        <v>12743.5</v>
      </c>
      <c r="BT276" s="18">
        <v>12743.5</v>
      </c>
    </row>
    <row r="277" spans="15:72" x14ac:dyDescent="0.3">
      <c r="O277" t="s">
        <v>2355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>
        <v>707.5</v>
      </c>
      <c r="BP277" s="18"/>
      <c r="BQ277" s="18"/>
      <c r="BR277" s="18"/>
      <c r="BS277" s="18">
        <v>707.5</v>
      </c>
      <c r="BT277" s="18">
        <v>707.5</v>
      </c>
    </row>
    <row r="278" spans="15:72" x14ac:dyDescent="0.3">
      <c r="O278" t="s">
        <v>2424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15548</v>
      </c>
      <c r="BQ278" s="18"/>
      <c r="BR278" s="18"/>
      <c r="BS278" s="18">
        <v>15548</v>
      </c>
      <c r="BT278" s="18">
        <v>15548</v>
      </c>
    </row>
    <row r="279" spans="15:72" x14ac:dyDescent="0.3">
      <c r="O279" t="s">
        <v>2433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>
        <v>15068.5</v>
      </c>
      <c r="BQ279" s="18"/>
      <c r="BR279" s="18"/>
      <c r="BS279" s="18">
        <v>15068.5</v>
      </c>
      <c r="BT279" s="18">
        <v>15068.5</v>
      </c>
    </row>
    <row r="280" spans="15:72" x14ac:dyDescent="0.3">
      <c r="O280" t="s">
        <v>2448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>
        <v>15196</v>
      </c>
      <c r="BQ280" s="18"/>
      <c r="BR280" s="18"/>
      <c r="BS280" s="18">
        <v>15196</v>
      </c>
      <c r="BT280" s="18">
        <v>15196</v>
      </c>
    </row>
    <row r="281" spans="15:72" x14ac:dyDescent="0.3">
      <c r="O281" t="s">
        <v>2516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>
        <v>12343</v>
      </c>
      <c r="BR281" s="18"/>
      <c r="BS281" s="18">
        <v>12343</v>
      </c>
      <c r="BT281" s="18">
        <v>12343</v>
      </c>
    </row>
    <row r="282" spans="15:72" x14ac:dyDescent="0.3">
      <c r="O282" t="s">
        <v>2562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>
        <v>13338</v>
      </c>
      <c r="BS282" s="18">
        <v>13338</v>
      </c>
      <c r="BT282" s="18">
        <v>13338</v>
      </c>
    </row>
    <row r="283" spans="15:72" x14ac:dyDescent="0.3">
      <c r="O283" t="s">
        <v>2634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>
        <v>17981.900000000001</v>
      </c>
      <c r="BL283" s="18"/>
      <c r="BM283" s="18"/>
      <c r="BN283" s="18"/>
      <c r="BO283" s="18"/>
      <c r="BP283" s="18"/>
      <c r="BQ283" s="18"/>
      <c r="BR283" s="18"/>
      <c r="BS283" s="18">
        <v>17981.900000000001</v>
      </c>
      <c r="BT283" s="18">
        <v>17981.900000000001</v>
      </c>
    </row>
    <row r="284" spans="15:72" x14ac:dyDescent="0.3">
      <c r="O284" t="s">
        <v>2658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>
        <v>16625</v>
      </c>
      <c r="BL284" s="18"/>
      <c r="BM284" s="18"/>
      <c r="BN284" s="18"/>
      <c r="BO284" s="18"/>
      <c r="BP284" s="18"/>
      <c r="BQ284" s="18"/>
      <c r="BR284" s="18"/>
      <c r="BS284" s="18">
        <v>16625</v>
      </c>
      <c r="BT284" s="18">
        <v>16625</v>
      </c>
    </row>
    <row r="285" spans="15:72" x14ac:dyDescent="0.3">
      <c r="O285" t="s">
        <v>2660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>
        <v>1143.5999999999999</v>
      </c>
      <c r="BL285" s="18"/>
      <c r="BM285" s="18"/>
      <c r="BN285" s="18"/>
      <c r="BO285" s="18"/>
      <c r="BP285" s="18"/>
      <c r="BQ285" s="18"/>
      <c r="BR285" s="18"/>
      <c r="BS285" s="18">
        <v>1143.5999999999999</v>
      </c>
      <c r="BT285" s="18">
        <v>1143.5999999999999</v>
      </c>
    </row>
    <row r="286" spans="15:72" x14ac:dyDescent="0.3">
      <c r="O286" t="s">
        <v>2748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>
        <v>420</v>
      </c>
      <c r="BM286" s="18"/>
      <c r="BN286" s="18"/>
      <c r="BO286" s="18"/>
      <c r="BP286" s="18"/>
      <c r="BQ286" s="18"/>
      <c r="BR286" s="18"/>
      <c r="BS286" s="18">
        <v>420</v>
      </c>
      <c r="BT286" s="18">
        <v>420</v>
      </c>
    </row>
    <row r="287" spans="15:72" x14ac:dyDescent="0.3">
      <c r="O287" t="s">
        <v>2763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>
        <v>15347.5</v>
      </c>
      <c r="BM287" s="18"/>
      <c r="BN287" s="18"/>
      <c r="BO287" s="18"/>
      <c r="BP287" s="18"/>
      <c r="BQ287" s="18"/>
      <c r="BR287" s="18"/>
      <c r="BS287" s="18">
        <v>15347.5</v>
      </c>
      <c r="BT287" s="18">
        <v>15347.5</v>
      </c>
    </row>
    <row r="288" spans="15:72" x14ac:dyDescent="0.3">
      <c r="O288" t="s">
        <v>2764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>
        <v>2054</v>
      </c>
      <c r="BM288" s="18"/>
      <c r="BN288" s="18"/>
      <c r="BO288" s="18"/>
      <c r="BP288" s="18"/>
      <c r="BQ288" s="18"/>
      <c r="BR288" s="18"/>
      <c r="BS288" s="18">
        <v>2054</v>
      </c>
      <c r="BT288" s="18">
        <v>2054</v>
      </c>
    </row>
    <row r="289" spans="14:72" x14ac:dyDescent="0.3">
      <c r="O289" t="s">
        <v>2846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>
        <v>17177.599999999999</v>
      </c>
      <c r="BN289" s="18"/>
      <c r="BO289" s="18"/>
      <c r="BP289" s="18"/>
      <c r="BQ289" s="18"/>
      <c r="BR289" s="18"/>
      <c r="BS289" s="18">
        <v>17177.599999999999</v>
      </c>
      <c r="BT289" s="18">
        <v>17177.599999999999</v>
      </c>
    </row>
    <row r="290" spans="14:72" x14ac:dyDescent="0.3">
      <c r="O290" t="s">
        <v>2868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>
        <v>881</v>
      </c>
      <c r="BN290" s="18"/>
      <c r="BO290" s="18"/>
      <c r="BP290" s="18"/>
      <c r="BQ290" s="18"/>
      <c r="BR290" s="18"/>
      <c r="BS290" s="18">
        <v>881</v>
      </c>
      <c r="BT290" s="18">
        <v>881</v>
      </c>
    </row>
    <row r="291" spans="14:72" x14ac:dyDescent="0.3">
      <c r="O291" t="s">
        <v>2875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>
        <v>2450</v>
      </c>
      <c r="BN291" s="18"/>
      <c r="BO291" s="18"/>
      <c r="BP291" s="18"/>
      <c r="BQ291" s="18"/>
      <c r="BR291" s="18"/>
      <c r="BS291" s="18">
        <v>2450</v>
      </c>
      <c r="BT291" s="18">
        <v>2450</v>
      </c>
    </row>
    <row r="292" spans="14:72" x14ac:dyDescent="0.3">
      <c r="N292" s="17" t="s">
        <v>204</v>
      </c>
      <c r="O292" s="17"/>
      <c r="P292" s="19"/>
      <c r="Q292" s="19"/>
      <c r="R292" s="19"/>
      <c r="S292" s="19"/>
      <c r="T292" s="19">
        <v>6734</v>
      </c>
      <c r="U292" s="19">
        <v>8123</v>
      </c>
      <c r="V292" s="19">
        <v>8123</v>
      </c>
      <c r="W292" s="19">
        <v>17346</v>
      </c>
      <c r="X292" s="19">
        <v>10120</v>
      </c>
      <c r="Y292" s="19">
        <v>50446</v>
      </c>
      <c r="Z292" s="19">
        <v>7882</v>
      </c>
      <c r="AA292" s="19">
        <v>14208</v>
      </c>
      <c r="AB292" s="19">
        <v>35864</v>
      </c>
      <c r="AC292" s="19">
        <v>16388</v>
      </c>
      <c r="AD292" s="19">
        <v>22264</v>
      </c>
      <c r="AE292" s="19">
        <v>10310</v>
      </c>
      <c r="AF292" s="19"/>
      <c r="AG292" s="19">
        <v>10075</v>
      </c>
      <c r="AH292" s="19">
        <v>23686.6</v>
      </c>
      <c r="AI292" s="19"/>
      <c r="AJ292" s="19">
        <v>140677.6</v>
      </c>
      <c r="AK292" s="19">
        <v>31205</v>
      </c>
      <c r="AL292" s="19">
        <v>13445</v>
      </c>
      <c r="AM292" s="19">
        <v>15671</v>
      </c>
      <c r="AN292" s="19">
        <v>11757.5</v>
      </c>
      <c r="AO292" s="19">
        <v>24940</v>
      </c>
      <c r="AP292" s="19">
        <v>22670.5</v>
      </c>
      <c r="AQ292" s="19">
        <v>14227</v>
      </c>
      <c r="AR292" s="19">
        <v>28820</v>
      </c>
      <c r="AS292" s="19">
        <v>14395</v>
      </c>
      <c r="AT292" s="19">
        <v>29465</v>
      </c>
      <c r="AU292" s="19">
        <v>11160</v>
      </c>
      <c r="AV292" s="19">
        <v>14715</v>
      </c>
      <c r="AW292" s="19">
        <v>232471</v>
      </c>
      <c r="AX292" s="19">
        <v>13457</v>
      </c>
      <c r="AY292" s="19">
        <v>25064.5</v>
      </c>
      <c r="AZ292" s="19">
        <v>13533.5</v>
      </c>
      <c r="BA292" s="19">
        <v>12167</v>
      </c>
      <c r="BB292" s="19">
        <v>11769</v>
      </c>
      <c r="BC292" s="19">
        <v>14003.5</v>
      </c>
      <c r="BD292" s="19">
        <v>13692.4</v>
      </c>
      <c r="BE292" s="19">
        <v>31397</v>
      </c>
      <c r="BF292" s="19">
        <v>10765</v>
      </c>
      <c r="BG292" s="19">
        <v>12678</v>
      </c>
      <c r="BH292" s="19">
        <v>13297.5</v>
      </c>
      <c r="BI292" s="19">
        <v>11813</v>
      </c>
      <c r="BJ292" s="19">
        <v>183637.4</v>
      </c>
      <c r="BK292" s="19">
        <v>35750.5</v>
      </c>
      <c r="BL292" s="19">
        <v>17821.5</v>
      </c>
      <c r="BM292" s="19">
        <v>20508.599999999999</v>
      </c>
      <c r="BN292" s="19">
        <v>12797</v>
      </c>
      <c r="BO292" s="19">
        <v>30309</v>
      </c>
      <c r="BP292" s="19">
        <v>45812.5</v>
      </c>
      <c r="BQ292" s="19">
        <v>12343</v>
      </c>
      <c r="BR292" s="19">
        <v>13338</v>
      </c>
      <c r="BS292" s="19">
        <v>188680.1</v>
      </c>
      <c r="BT292" s="19">
        <v>795912.1</v>
      </c>
    </row>
    <row r="293" spans="14:72" x14ac:dyDescent="0.3">
      <c r="N293" t="s">
        <v>173</v>
      </c>
      <c r="O293" t="s">
        <v>175</v>
      </c>
      <c r="P293" s="18"/>
      <c r="Q293" s="18"/>
      <c r="R293" s="18"/>
      <c r="S293" s="18"/>
      <c r="T293" s="18"/>
      <c r="U293" s="18"/>
      <c r="V293" s="18"/>
      <c r="W293" s="18">
        <v>1082.8000000000002</v>
      </c>
      <c r="X293" s="18"/>
      <c r="Y293" s="18">
        <v>1082.8000000000002</v>
      </c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>
        <v>1082.8000000000002</v>
      </c>
    </row>
    <row r="294" spans="14:72" x14ac:dyDescent="0.3">
      <c r="N294" s="17" t="s">
        <v>185</v>
      </c>
      <c r="O294" s="17"/>
      <c r="P294" s="19"/>
      <c r="Q294" s="19"/>
      <c r="R294" s="19"/>
      <c r="S294" s="19"/>
      <c r="T294" s="19"/>
      <c r="U294" s="19"/>
      <c r="V294" s="19"/>
      <c r="W294" s="19">
        <v>1082.8000000000002</v>
      </c>
      <c r="X294" s="19"/>
      <c r="Y294" s="19">
        <v>1082.8000000000002</v>
      </c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>
        <v>1082.8000000000002</v>
      </c>
    </row>
    <row r="295" spans="14:72" x14ac:dyDescent="0.3">
      <c r="N295" t="s">
        <v>223</v>
      </c>
      <c r="O295" t="s">
        <v>209</v>
      </c>
      <c r="P295" s="18"/>
      <c r="Q295" s="18"/>
      <c r="R295" s="18"/>
      <c r="S295" s="18"/>
      <c r="T295" s="18"/>
      <c r="U295" s="18"/>
      <c r="V295" s="18"/>
      <c r="W295" s="18"/>
      <c r="X295" s="18">
        <v>799.2</v>
      </c>
      <c r="Y295" s="18">
        <v>799.2</v>
      </c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>
        <v>799.2</v>
      </c>
    </row>
    <row r="296" spans="14:72" x14ac:dyDescent="0.3">
      <c r="N296" s="17" t="s">
        <v>224</v>
      </c>
      <c r="O296" s="17"/>
      <c r="P296" s="19"/>
      <c r="Q296" s="19"/>
      <c r="R296" s="19"/>
      <c r="S296" s="19"/>
      <c r="T296" s="19"/>
      <c r="U296" s="19"/>
      <c r="V296" s="19"/>
      <c r="W296" s="19"/>
      <c r="X296" s="19">
        <v>799.2</v>
      </c>
      <c r="Y296" s="19">
        <v>799.2</v>
      </c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>
        <v>799.2</v>
      </c>
    </row>
    <row r="297" spans="14:72" x14ac:dyDescent="0.3">
      <c r="N297" t="s">
        <v>228</v>
      </c>
      <c r="O297" t="s">
        <v>476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>
        <v>3070</v>
      </c>
      <c r="AD297" s="18"/>
      <c r="AE297" s="18"/>
      <c r="AF297" s="18"/>
      <c r="AG297" s="18"/>
      <c r="AH297" s="18"/>
      <c r="AI297" s="18"/>
      <c r="AJ297" s="18">
        <v>3070</v>
      </c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>
        <v>3070</v>
      </c>
    </row>
    <row r="298" spans="14:72" x14ac:dyDescent="0.3">
      <c r="N298" s="17" t="s">
        <v>255</v>
      </c>
      <c r="O298" s="17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3070</v>
      </c>
      <c r="AD298" s="19"/>
      <c r="AE298" s="19"/>
      <c r="AF298" s="19"/>
      <c r="AG298" s="19"/>
      <c r="AH298" s="19"/>
      <c r="AI298" s="19"/>
      <c r="AJ298" s="19">
        <v>3070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>
        <v>3070</v>
      </c>
    </row>
    <row r="299" spans="14:72" x14ac:dyDescent="0.3">
      <c r="N299" t="s">
        <v>262</v>
      </c>
      <c r="O299" t="s">
        <v>256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>
        <v>5356</v>
      </c>
      <c r="AG299" s="18"/>
      <c r="AH299" s="18"/>
      <c r="AI299" s="18"/>
      <c r="AJ299" s="18">
        <v>5356</v>
      </c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>
        <v>5356</v>
      </c>
    </row>
    <row r="300" spans="14:72" x14ac:dyDescent="0.3">
      <c r="O300" t="s">
        <v>261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>
        <v>130</v>
      </c>
      <c r="AG300" s="18"/>
      <c r="AH300" s="18"/>
      <c r="AI300" s="18"/>
      <c r="AJ300" s="18">
        <v>130</v>
      </c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>
        <v>130</v>
      </c>
    </row>
    <row r="301" spans="14:72" x14ac:dyDescent="0.3">
      <c r="O301" t="s">
        <v>321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>
        <v>240</v>
      </c>
      <c r="AH301" s="18"/>
      <c r="AI301" s="18"/>
      <c r="AJ301" s="18">
        <v>240</v>
      </c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>
        <v>240</v>
      </c>
    </row>
    <row r="302" spans="14:72" x14ac:dyDescent="0.3">
      <c r="O302" t="s">
        <v>419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>
        <v>2676</v>
      </c>
      <c r="AC302" s="18"/>
      <c r="AD302" s="18"/>
      <c r="AE302" s="18"/>
      <c r="AF302" s="18"/>
      <c r="AG302" s="18"/>
      <c r="AH302" s="18"/>
      <c r="AI302" s="18"/>
      <c r="AJ302" s="18">
        <v>2676</v>
      </c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>
        <v>2676</v>
      </c>
    </row>
    <row r="303" spans="14:72" x14ac:dyDescent="0.3">
      <c r="O303" t="s">
        <v>1177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>
        <v>2132.5</v>
      </c>
      <c r="BF303" s="18"/>
      <c r="BG303" s="18"/>
      <c r="BH303" s="18"/>
      <c r="BI303" s="18"/>
      <c r="BJ303" s="18">
        <v>2132.5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>
        <v>2132.5</v>
      </c>
    </row>
    <row r="304" spans="14:72" x14ac:dyDescent="0.3">
      <c r="O304" t="s">
        <v>1329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>
        <v>2545</v>
      </c>
      <c r="BH304" s="18"/>
      <c r="BI304" s="18"/>
      <c r="BJ304" s="18">
        <v>2545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>
        <v>2545</v>
      </c>
    </row>
    <row r="305" spans="15:72" x14ac:dyDescent="0.3">
      <c r="O305" t="s">
        <v>1341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>
        <v>7025</v>
      </c>
      <c r="BH305" s="18"/>
      <c r="BI305" s="18"/>
      <c r="BJ305" s="18">
        <v>7025</v>
      </c>
      <c r="BK305" s="18"/>
      <c r="BL305" s="18"/>
      <c r="BM305" s="18"/>
      <c r="BN305" s="18"/>
      <c r="BO305" s="18"/>
      <c r="BP305" s="18"/>
      <c r="BQ305" s="18"/>
      <c r="BR305" s="18"/>
      <c r="BS305" s="18"/>
      <c r="BT305" s="18">
        <v>7025</v>
      </c>
    </row>
    <row r="306" spans="15:72" x14ac:dyDescent="0.3">
      <c r="O306" t="s">
        <v>1456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>
        <v>6792.5</v>
      </c>
      <c r="BI306" s="18"/>
      <c r="BJ306" s="18">
        <v>6792.5</v>
      </c>
      <c r="BK306" s="18"/>
      <c r="BL306" s="18"/>
      <c r="BM306" s="18"/>
      <c r="BN306" s="18"/>
      <c r="BO306" s="18"/>
      <c r="BP306" s="18"/>
      <c r="BQ306" s="18"/>
      <c r="BR306" s="18"/>
      <c r="BS306" s="18"/>
      <c r="BT306" s="18">
        <v>6792.5</v>
      </c>
    </row>
    <row r="307" spans="15:72" x14ac:dyDescent="0.3">
      <c r="O307" t="s">
        <v>1540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>
        <v>9692.5</v>
      </c>
      <c r="BJ307" s="18">
        <v>9692.5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>
        <v>9692.5</v>
      </c>
    </row>
    <row r="308" spans="15:72" x14ac:dyDescent="0.3">
      <c r="O308" t="s">
        <v>1557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>
        <v>3588</v>
      </c>
      <c r="BJ308" s="18">
        <v>3588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>
        <v>3588</v>
      </c>
    </row>
    <row r="309" spans="15:72" x14ac:dyDescent="0.3">
      <c r="O309" t="s">
        <v>1561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>
        <v>2912</v>
      </c>
      <c r="BJ309" s="18">
        <v>2912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>
        <v>2912</v>
      </c>
    </row>
    <row r="310" spans="15:72" x14ac:dyDescent="0.3">
      <c r="O310" t="s">
        <v>1617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>
        <v>5392</v>
      </c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>
        <v>5392</v>
      </c>
      <c r="BK310" s="18"/>
      <c r="BL310" s="18"/>
      <c r="BM310" s="18"/>
      <c r="BN310" s="18"/>
      <c r="BO310" s="18"/>
      <c r="BP310" s="18"/>
      <c r="BQ310" s="18"/>
      <c r="BR310" s="18"/>
      <c r="BS310" s="18"/>
      <c r="BT310" s="18">
        <v>5392</v>
      </c>
    </row>
    <row r="311" spans="15:72" x14ac:dyDescent="0.3">
      <c r="O311" t="s">
        <v>1628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>
        <v>4918</v>
      </c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>
        <v>4918</v>
      </c>
      <c r="BK311" s="18"/>
      <c r="BL311" s="18"/>
      <c r="BM311" s="18"/>
      <c r="BN311" s="18"/>
      <c r="BO311" s="18"/>
      <c r="BP311" s="18"/>
      <c r="BQ311" s="18"/>
      <c r="BR311" s="18"/>
      <c r="BS311" s="18"/>
      <c r="BT311" s="18">
        <v>4918</v>
      </c>
    </row>
    <row r="312" spans="15:72" x14ac:dyDescent="0.3">
      <c r="O312" t="s">
        <v>1650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>
        <v>1192</v>
      </c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>
        <v>1192</v>
      </c>
      <c r="BK312" s="18"/>
      <c r="BL312" s="18"/>
      <c r="BM312" s="18"/>
      <c r="BN312" s="18"/>
      <c r="BO312" s="18"/>
      <c r="BP312" s="18"/>
      <c r="BQ312" s="18"/>
      <c r="BR312" s="18"/>
      <c r="BS312" s="18"/>
      <c r="BT312" s="18">
        <v>1192</v>
      </c>
    </row>
    <row r="313" spans="15:72" x14ac:dyDescent="0.3">
      <c r="O313" t="s">
        <v>1714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>
        <v>7536</v>
      </c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>
        <v>7536</v>
      </c>
      <c r="BK313" s="18"/>
      <c r="BL313" s="18"/>
      <c r="BM313" s="18"/>
      <c r="BN313" s="18"/>
      <c r="BO313" s="18"/>
      <c r="BP313" s="18"/>
      <c r="BQ313" s="18"/>
      <c r="BR313" s="18"/>
      <c r="BS313" s="18"/>
      <c r="BT313" s="18">
        <v>7536</v>
      </c>
    </row>
    <row r="314" spans="15:72" x14ac:dyDescent="0.3">
      <c r="O314" t="s">
        <v>1794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>
        <v>4386.5</v>
      </c>
      <c r="BA314" s="18"/>
      <c r="BB314" s="18"/>
      <c r="BC314" s="18"/>
      <c r="BD314" s="18"/>
      <c r="BE314" s="18"/>
      <c r="BF314" s="18"/>
      <c r="BG314" s="18"/>
      <c r="BH314" s="18"/>
      <c r="BI314" s="18"/>
      <c r="BJ314" s="18">
        <v>4386.5</v>
      </c>
      <c r="BK314" s="18"/>
      <c r="BL314" s="18"/>
      <c r="BM314" s="18"/>
      <c r="BN314" s="18"/>
      <c r="BO314" s="18"/>
      <c r="BP314" s="18"/>
      <c r="BQ314" s="18"/>
      <c r="BR314" s="18"/>
      <c r="BS314" s="18"/>
      <c r="BT314" s="18">
        <v>4386.5</v>
      </c>
    </row>
    <row r="315" spans="15:72" x14ac:dyDescent="0.3">
      <c r="O315" t="s">
        <v>1804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>
        <v>1088.8</v>
      </c>
      <c r="BA315" s="18"/>
      <c r="BB315" s="18"/>
      <c r="BC315" s="18"/>
      <c r="BD315" s="18"/>
      <c r="BE315" s="18"/>
      <c r="BF315" s="18"/>
      <c r="BG315" s="18"/>
      <c r="BH315" s="18"/>
      <c r="BI315" s="18"/>
      <c r="BJ315" s="18">
        <v>1088.8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>
        <v>1088.8</v>
      </c>
    </row>
    <row r="316" spans="15:72" x14ac:dyDescent="0.3">
      <c r="O316" t="s">
        <v>1820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>
        <v>2878.5</v>
      </c>
      <c r="BA316" s="18"/>
      <c r="BB316" s="18"/>
      <c r="BC316" s="18"/>
      <c r="BD316" s="18"/>
      <c r="BE316" s="18"/>
      <c r="BF316" s="18"/>
      <c r="BG316" s="18"/>
      <c r="BH316" s="18"/>
      <c r="BI316" s="18"/>
      <c r="BJ316" s="18">
        <v>2878.5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>
        <v>2878.5</v>
      </c>
    </row>
    <row r="317" spans="15:72" x14ac:dyDescent="0.3">
      <c r="O317" t="s">
        <v>1885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>
        <v>6017</v>
      </c>
      <c r="BB317" s="18"/>
      <c r="BC317" s="18"/>
      <c r="BD317" s="18"/>
      <c r="BE317" s="18"/>
      <c r="BF317" s="18"/>
      <c r="BG317" s="18"/>
      <c r="BH317" s="18"/>
      <c r="BI317" s="18"/>
      <c r="BJ317" s="18">
        <v>6017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>
        <v>6017</v>
      </c>
    </row>
    <row r="318" spans="15:72" x14ac:dyDescent="0.3">
      <c r="O318" t="s">
        <v>1887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v>62.5</v>
      </c>
      <c r="BB318" s="18"/>
      <c r="BC318" s="18"/>
      <c r="BD318" s="18"/>
      <c r="BE318" s="18"/>
      <c r="BF318" s="18"/>
      <c r="BG318" s="18"/>
      <c r="BH318" s="18"/>
      <c r="BI318" s="18"/>
      <c r="BJ318" s="18">
        <v>62.5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>
        <v>62.5</v>
      </c>
    </row>
    <row r="319" spans="15:72" x14ac:dyDescent="0.3">
      <c r="O319" t="s">
        <v>1899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>
        <v>8087</v>
      </c>
      <c r="BB319" s="18"/>
      <c r="BC319" s="18"/>
      <c r="BD319" s="18"/>
      <c r="BE319" s="18"/>
      <c r="BF319" s="18"/>
      <c r="BG319" s="18"/>
      <c r="BH319" s="18"/>
      <c r="BI319" s="18"/>
      <c r="BJ319" s="18">
        <v>8087</v>
      </c>
      <c r="BK319" s="18"/>
      <c r="BL319" s="18"/>
      <c r="BM319" s="18"/>
      <c r="BN319" s="18"/>
      <c r="BO319" s="18"/>
      <c r="BP319" s="18"/>
      <c r="BQ319" s="18"/>
      <c r="BR319" s="18"/>
      <c r="BS319" s="18"/>
      <c r="BT319" s="18">
        <v>8087</v>
      </c>
    </row>
    <row r="320" spans="15:72" x14ac:dyDescent="0.3">
      <c r="O320" t="s">
        <v>1914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v>5264</v>
      </c>
      <c r="BB320" s="18"/>
      <c r="BC320" s="18"/>
      <c r="BD320" s="18"/>
      <c r="BE320" s="18"/>
      <c r="BF320" s="18"/>
      <c r="BG320" s="18"/>
      <c r="BH320" s="18"/>
      <c r="BI320" s="18"/>
      <c r="BJ320" s="18">
        <v>5264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>
        <v>5264</v>
      </c>
    </row>
    <row r="321" spans="14:72" x14ac:dyDescent="0.3">
      <c r="O321" t="s">
        <v>1988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>
        <v>5258.5</v>
      </c>
      <c r="BC321" s="18"/>
      <c r="BD321" s="18"/>
      <c r="BE321" s="18"/>
      <c r="BF321" s="18"/>
      <c r="BG321" s="18"/>
      <c r="BH321" s="18"/>
      <c r="BI321" s="18"/>
      <c r="BJ321" s="18">
        <v>5258.5</v>
      </c>
      <c r="BK321" s="18"/>
      <c r="BL321" s="18"/>
      <c r="BM321" s="18"/>
      <c r="BN321" s="18"/>
      <c r="BO321" s="18"/>
      <c r="BP321" s="18"/>
      <c r="BQ321" s="18"/>
      <c r="BR321" s="18"/>
      <c r="BS321" s="18"/>
      <c r="BT321" s="18">
        <v>5258.5</v>
      </c>
    </row>
    <row r="322" spans="14:72" x14ac:dyDescent="0.3">
      <c r="O322" t="s">
        <v>2005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>
        <v>2909</v>
      </c>
      <c r="BC322" s="18"/>
      <c r="BD322" s="18"/>
      <c r="BE322" s="18"/>
      <c r="BF322" s="18"/>
      <c r="BG322" s="18"/>
      <c r="BH322" s="18"/>
      <c r="BI322" s="18"/>
      <c r="BJ322" s="18">
        <v>2909</v>
      </c>
      <c r="BK322" s="18"/>
      <c r="BL322" s="18"/>
      <c r="BM322" s="18"/>
      <c r="BN322" s="18"/>
      <c r="BO322" s="18"/>
      <c r="BP322" s="18"/>
      <c r="BQ322" s="18"/>
      <c r="BR322" s="18"/>
      <c r="BS322" s="18"/>
      <c r="BT322" s="18">
        <v>2909</v>
      </c>
    </row>
    <row r="323" spans="14:72" x14ac:dyDescent="0.3">
      <c r="O323" t="s">
        <v>2154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v>5805</v>
      </c>
      <c r="BD323" s="18"/>
      <c r="BE323" s="18"/>
      <c r="BF323" s="18"/>
      <c r="BG323" s="18"/>
      <c r="BH323" s="18"/>
      <c r="BI323" s="18"/>
      <c r="BJ323" s="18">
        <v>5805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>
        <v>5805</v>
      </c>
    </row>
    <row r="324" spans="14:72" x14ac:dyDescent="0.3">
      <c r="O324" t="s">
        <v>2158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>
        <v>567.6</v>
      </c>
      <c r="BD324" s="18"/>
      <c r="BE324" s="18"/>
      <c r="BF324" s="18"/>
      <c r="BG324" s="18"/>
      <c r="BH324" s="18"/>
      <c r="BI324" s="18"/>
      <c r="BJ324" s="18">
        <v>567.6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>
        <v>567.6</v>
      </c>
    </row>
    <row r="325" spans="14:72" x14ac:dyDescent="0.3">
      <c r="O325" t="s">
        <v>2164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v>5844.4</v>
      </c>
      <c r="BD325" s="18"/>
      <c r="BE325" s="18"/>
      <c r="BF325" s="18"/>
      <c r="BG325" s="18"/>
      <c r="BH325" s="18"/>
      <c r="BI325" s="18"/>
      <c r="BJ325" s="18">
        <v>5844.4</v>
      </c>
      <c r="BK325" s="18"/>
      <c r="BL325" s="18"/>
      <c r="BM325" s="18"/>
      <c r="BN325" s="18"/>
      <c r="BO325" s="18"/>
      <c r="BP325" s="18"/>
      <c r="BQ325" s="18"/>
      <c r="BR325" s="18"/>
      <c r="BS325" s="18"/>
      <c r="BT325" s="18">
        <v>5844.4</v>
      </c>
    </row>
    <row r="326" spans="14:72" x14ac:dyDescent="0.3">
      <c r="O326" t="s">
        <v>2179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>
        <v>5479.9</v>
      </c>
      <c r="BE326" s="18"/>
      <c r="BF326" s="18"/>
      <c r="BG326" s="18"/>
      <c r="BH326" s="18"/>
      <c r="BI326" s="18"/>
      <c r="BJ326" s="18">
        <v>5479.9</v>
      </c>
      <c r="BK326" s="18"/>
      <c r="BL326" s="18"/>
      <c r="BM326" s="18"/>
      <c r="BN326" s="18"/>
      <c r="BO326" s="18"/>
      <c r="BP326" s="18"/>
      <c r="BQ326" s="18"/>
      <c r="BR326" s="18"/>
      <c r="BS326" s="18"/>
      <c r="BT326" s="18">
        <v>5479.9</v>
      </c>
    </row>
    <row r="327" spans="14:72" x14ac:dyDescent="0.3">
      <c r="O327" t="s">
        <v>2194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>
        <v>5955.9</v>
      </c>
      <c r="BE327" s="18"/>
      <c r="BF327" s="18"/>
      <c r="BG327" s="18"/>
      <c r="BH327" s="18"/>
      <c r="BI327" s="18"/>
      <c r="BJ327" s="18">
        <v>5955.9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>
        <v>5955.9</v>
      </c>
    </row>
    <row r="328" spans="14:72" x14ac:dyDescent="0.3">
      <c r="O328" t="s">
        <v>2268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>
        <v>2236</v>
      </c>
      <c r="BO328" s="18"/>
      <c r="BP328" s="18"/>
      <c r="BQ328" s="18"/>
      <c r="BR328" s="18"/>
      <c r="BS328" s="18">
        <v>2236</v>
      </c>
      <c r="BT328" s="18">
        <v>2236</v>
      </c>
    </row>
    <row r="329" spans="14:72" x14ac:dyDescent="0.3">
      <c r="O329" t="s">
        <v>2438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>
        <v>4877.6000000000004</v>
      </c>
      <c r="BQ329" s="18"/>
      <c r="BR329" s="18"/>
      <c r="BS329" s="18">
        <v>4877.6000000000004</v>
      </c>
      <c r="BT329" s="18">
        <v>4877.6000000000004</v>
      </c>
    </row>
    <row r="330" spans="14:72" x14ac:dyDescent="0.3">
      <c r="O330" t="s">
        <v>2517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>
        <v>3087.8</v>
      </c>
      <c r="BR330" s="18"/>
      <c r="BS330" s="18">
        <v>3087.8</v>
      </c>
      <c r="BT330" s="18">
        <v>3087.8</v>
      </c>
    </row>
    <row r="331" spans="14:72" x14ac:dyDescent="0.3">
      <c r="O331" t="s">
        <v>2549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>
        <v>443.8</v>
      </c>
      <c r="BS331" s="18">
        <v>443.8</v>
      </c>
      <c r="BT331" s="18">
        <v>443.8</v>
      </c>
    </row>
    <row r="332" spans="14:72" x14ac:dyDescent="0.3">
      <c r="O332" t="s">
        <v>2569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>
        <v>3373.8</v>
      </c>
      <c r="BS332" s="18">
        <v>3373.8</v>
      </c>
      <c r="BT332" s="18">
        <v>3373.8</v>
      </c>
    </row>
    <row r="333" spans="14:72" x14ac:dyDescent="0.3">
      <c r="O333" t="s">
        <v>2637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>
        <v>2090</v>
      </c>
      <c r="BL333" s="18"/>
      <c r="BM333" s="18"/>
      <c r="BN333" s="18"/>
      <c r="BO333" s="18"/>
      <c r="BP333" s="18"/>
      <c r="BQ333" s="18"/>
      <c r="BR333" s="18"/>
      <c r="BS333" s="18">
        <v>2090</v>
      </c>
      <c r="BT333" s="18">
        <v>2090</v>
      </c>
    </row>
    <row r="334" spans="14:72" x14ac:dyDescent="0.3">
      <c r="O334" t="s">
        <v>2870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>
        <v>207</v>
      </c>
      <c r="BN334" s="18"/>
      <c r="BO334" s="18"/>
      <c r="BP334" s="18"/>
      <c r="BQ334" s="18"/>
      <c r="BR334" s="18"/>
      <c r="BS334" s="18">
        <v>207</v>
      </c>
      <c r="BT334" s="18">
        <v>207</v>
      </c>
    </row>
    <row r="335" spans="14:72" x14ac:dyDescent="0.3">
      <c r="N335" s="17" t="s">
        <v>263</v>
      </c>
      <c r="O335" s="17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>
        <v>2676</v>
      </c>
      <c r="AC335" s="19"/>
      <c r="AD335" s="19"/>
      <c r="AE335" s="19"/>
      <c r="AF335" s="19">
        <v>5486</v>
      </c>
      <c r="AG335" s="19">
        <v>240</v>
      </c>
      <c r="AH335" s="19"/>
      <c r="AI335" s="19"/>
      <c r="AJ335" s="19">
        <v>8402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>
        <v>11502</v>
      </c>
      <c r="AY335" s="19">
        <v>7536</v>
      </c>
      <c r="AZ335" s="19">
        <v>8353.7999999999993</v>
      </c>
      <c r="BA335" s="19">
        <v>19430.5</v>
      </c>
      <c r="BB335" s="19">
        <v>8167.5</v>
      </c>
      <c r="BC335" s="19">
        <v>12217</v>
      </c>
      <c r="BD335" s="19">
        <v>11435.8</v>
      </c>
      <c r="BE335" s="19">
        <v>2132.5</v>
      </c>
      <c r="BF335" s="19"/>
      <c r="BG335" s="19">
        <v>9570</v>
      </c>
      <c r="BH335" s="19">
        <v>6792.5</v>
      </c>
      <c r="BI335" s="19">
        <v>16192.5</v>
      </c>
      <c r="BJ335" s="19">
        <v>113330.09999999999</v>
      </c>
      <c r="BK335" s="19">
        <v>2090</v>
      </c>
      <c r="BL335" s="19"/>
      <c r="BM335" s="19">
        <v>207</v>
      </c>
      <c r="BN335" s="19">
        <v>2236</v>
      </c>
      <c r="BO335" s="19"/>
      <c r="BP335" s="19">
        <v>4877.6000000000004</v>
      </c>
      <c r="BQ335" s="19">
        <v>3087.8</v>
      </c>
      <c r="BR335" s="19">
        <v>3817.6000000000004</v>
      </c>
      <c r="BS335" s="19">
        <v>16316</v>
      </c>
      <c r="BT335" s="19">
        <v>138048.09999999998</v>
      </c>
    </row>
    <row r="336" spans="14:72" x14ac:dyDescent="0.3">
      <c r="N336" t="s">
        <v>280</v>
      </c>
      <c r="O336" t="s">
        <v>278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>
        <v>2022</v>
      </c>
      <c r="AG336" s="18"/>
      <c r="AH336" s="18"/>
      <c r="AI336" s="18"/>
      <c r="AJ336" s="18">
        <v>2022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>
        <v>2022</v>
      </c>
    </row>
    <row r="337" spans="14:72" x14ac:dyDescent="0.3">
      <c r="O337" t="s">
        <v>325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>
        <v>2225</v>
      </c>
      <c r="AI337" s="18"/>
      <c r="AJ337" s="18">
        <v>2225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>
        <v>2225</v>
      </c>
    </row>
    <row r="338" spans="14:72" x14ac:dyDescent="0.3">
      <c r="N338" s="17" t="s">
        <v>281</v>
      </c>
      <c r="O338" s="17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>
        <v>2022</v>
      </c>
      <c r="AG338" s="19"/>
      <c r="AH338" s="19">
        <v>2225</v>
      </c>
      <c r="AI338" s="19"/>
      <c r="AJ338" s="19">
        <v>4247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>
        <v>4247</v>
      </c>
    </row>
    <row r="339" spans="14:72" x14ac:dyDescent="0.3">
      <c r="N339" t="s">
        <v>289</v>
      </c>
      <c r="O339" t="s">
        <v>315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>
        <v>10807.25</v>
      </c>
      <c r="AH339" s="18"/>
      <c r="AI339" s="18"/>
      <c r="AJ339" s="18">
        <v>10807.25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>
        <v>10807.25</v>
      </c>
    </row>
    <row r="340" spans="14:72" x14ac:dyDescent="0.3">
      <c r="N340" s="17" t="s">
        <v>291</v>
      </c>
      <c r="O340" s="17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>
        <v>10807.25</v>
      </c>
      <c r="AH340" s="19"/>
      <c r="AI340" s="19"/>
      <c r="AJ340" s="19">
        <v>10807.25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>
        <v>10807.25</v>
      </c>
    </row>
    <row r="341" spans="14:72" x14ac:dyDescent="0.3">
      <c r="N341" t="s">
        <v>375</v>
      </c>
      <c r="O341" t="s">
        <v>373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>
        <v>9592</v>
      </c>
      <c r="AB341" s="18"/>
      <c r="AC341" s="18"/>
      <c r="AD341" s="18"/>
      <c r="AE341" s="18"/>
      <c r="AF341" s="18"/>
      <c r="AG341" s="18"/>
      <c r="AH341" s="18"/>
      <c r="AI341" s="18"/>
      <c r="AJ341" s="18">
        <v>9592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>
        <v>9592</v>
      </c>
    </row>
    <row r="342" spans="14:72" x14ac:dyDescent="0.3">
      <c r="N342" s="17" t="s">
        <v>382</v>
      </c>
      <c r="O342" s="17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>
        <v>9592</v>
      </c>
      <c r="AB342" s="19"/>
      <c r="AC342" s="19"/>
      <c r="AD342" s="19"/>
      <c r="AE342" s="19"/>
      <c r="AF342" s="19"/>
      <c r="AG342" s="19"/>
      <c r="AH342" s="19"/>
      <c r="AI342" s="19"/>
      <c r="AJ342" s="19">
        <v>9592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>
        <v>9592</v>
      </c>
    </row>
    <row r="343" spans="14:72" x14ac:dyDescent="0.3">
      <c r="N343" t="s">
        <v>400</v>
      </c>
      <c r="O343" t="s">
        <v>398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>
        <v>5056.2</v>
      </c>
      <c r="AC343" s="18"/>
      <c r="AD343" s="18"/>
      <c r="AE343" s="18"/>
      <c r="AF343" s="18"/>
      <c r="AG343" s="18"/>
      <c r="AH343" s="18"/>
      <c r="AI343" s="18"/>
      <c r="AJ343" s="18">
        <v>5056.2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>
        <v>5056.2</v>
      </c>
    </row>
    <row r="344" spans="14:72" x14ac:dyDescent="0.3">
      <c r="O344" t="s">
        <v>401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>
        <v>100</v>
      </c>
      <c r="AC344" s="18"/>
      <c r="AD344" s="18"/>
      <c r="AE344" s="18"/>
      <c r="AF344" s="18"/>
      <c r="AG344" s="18"/>
      <c r="AH344" s="18"/>
      <c r="AI344" s="18"/>
      <c r="AJ344" s="18">
        <v>100</v>
      </c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>
        <v>100</v>
      </c>
    </row>
    <row r="345" spans="14:72" x14ac:dyDescent="0.3">
      <c r="O345" t="s">
        <v>415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5006.3999999999996</v>
      </c>
      <c r="AC345" s="18"/>
      <c r="AD345" s="18"/>
      <c r="AE345" s="18"/>
      <c r="AF345" s="18"/>
      <c r="AG345" s="18"/>
      <c r="AH345" s="18"/>
      <c r="AI345" s="18"/>
      <c r="AJ345" s="18">
        <v>5006.3999999999996</v>
      </c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>
        <v>5006.3999999999996</v>
      </c>
    </row>
    <row r="346" spans="14:72" x14ac:dyDescent="0.3">
      <c r="O346" t="s">
        <v>416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>
        <v>400</v>
      </c>
      <c r="AC346" s="18"/>
      <c r="AD346" s="18"/>
      <c r="AE346" s="18"/>
      <c r="AF346" s="18"/>
      <c r="AG346" s="18"/>
      <c r="AH346" s="18"/>
      <c r="AI346" s="18"/>
      <c r="AJ346" s="18">
        <v>400</v>
      </c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>
        <v>400</v>
      </c>
    </row>
    <row r="347" spans="14:72" x14ac:dyDescent="0.3">
      <c r="O347" t="s">
        <v>447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720</v>
      </c>
      <c r="AC347" s="18"/>
      <c r="AD347" s="18"/>
      <c r="AE347" s="18"/>
      <c r="AF347" s="18"/>
      <c r="AG347" s="18"/>
      <c r="AH347" s="18"/>
      <c r="AI347" s="18"/>
      <c r="AJ347" s="18">
        <v>720</v>
      </c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>
        <v>720</v>
      </c>
    </row>
    <row r="348" spans="14:72" x14ac:dyDescent="0.3">
      <c r="O348" t="s">
        <v>457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>
        <v>5120</v>
      </c>
      <c r="AD348" s="18"/>
      <c r="AE348" s="18"/>
      <c r="AF348" s="18"/>
      <c r="AG348" s="18"/>
      <c r="AH348" s="18"/>
      <c r="AI348" s="18"/>
      <c r="AJ348" s="18">
        <v>5120</v>
      </c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>
        <v>5120</v>
      </c>
    </row>
    <row r="349" spans="14:72" x14ac:dyDescent="0.3">
      <c r="O349" t="s">
        <v>477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>
        <v>5366.6</v>
      </c>
      <c r="AD349" s="18"/>
      <c r="AE349" s="18"/>
      <c r="AF349" s="18"/>
      <c r="AG349" s="18"/>
      <c r="AH349" s="18"/>
      <c r="AI349" s="18"/>
      <c r="AJ349" s="18">
        <v>5366.6</v>
      </c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>
        <v>5366.6</v>
      </c>
    </row>
    <row r="350" spans="14:72" x14ac:dyDescent="0.3">
      <c r="O350" t="s">
        <v>481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>
        <v>2374</v>
      </c>
      <c r="AD350" s="18"/>
      <c r="AE350" s="18"/>
      <c r="AF350" s="18"/>
      <c r="AG350" s="18"/>
      <c r="AH350" s="18"/>
      <c r="AI350" s="18"/>
      <c r="AJ350" s="18">
        <v>2374</v>
      </c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>
        <v>2374</v>
      </c>
    </row>
    <row r="351" spans="14:72" x14ac:dyDescent="0.3">
      <c r="O351" t="s">
        <v>482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>
        <v>2024</v>
      </c>
      <c r="AD351" s="18"/>
      <c r="AE351" s="18"/>
      <c r="AF351" s="18"/>
      <c r="AG351" s="18"/>
      <c r="AH351" s="18"/>
      <c r="AI351" s="18"/>
      <c r="AJ351" s="18">
        <v>2024</v>
      </c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>
        <v>2024</v>
      </c>
    </row>
    <row r="352" spans="14:72" x14ac:dyDescent="0.3">
      <c r="O352" t="s">
        <v>536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v>5014.8</v>
      </c>
      <c r="AE352" s="18"/>
      <c r="AF352" s="18"/>
      <c r="AG352" s="18"/>
      <c r="AH352" s="18"/>
      <c r="AI352" s="18"/>
      <c r="AJ352" s="18">
        <v>5014.8</v>
      </c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>
        <v>5014.8</v>
      </c>
    </row>
    <row r="353" spans="15:72" x14ac:dyDescent="0.3">
      <c r="O353" t="s">
        <v>547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>
        <v>1080</v>
      </c>
      <c r="AS353" s="18"/>
      <c r="AT353" s="18"/>
      <c r="AU353" s="18"/>
      <c r="AV353" s="18"/>
      <c r="AW353" s="18">
        <v>1080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>
        <v>1080</v>
      </c>
    </row>
    <row r="354" spans="15:72" x14ac:dyDescent="0.3">
      <c r="O354" t="s">
        <v>557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>
        <v>5183.6000000000004</v>
      </c>
      <c r="AS354" s="18"/>
      <c r="AT354" s="18"/>
      <c r="AU354" s="18"/>
      <c r="AV354" s="18"/>
      <c r="AW354" s="18">
        <v>5183.6000000000004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>
        <v>5183.6000000000004</v>
      </c>
    </row>
    <row r="355" spans="15:72" x14ac:dyDescent="0.3">
      <c r="O355" t="s">
        <v>565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>
        <v>2696.8</v>
      </c>
      <c r="AS355" s="18"/>
      <c r="AT355" s="18"/>
      <c r="AU355" s="18"/>
      <c r="AV355" s="18"/>
      <c r="AW355" s="18">
        <v>2696.8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>
        <v>2696.8</v>
      </c>
    </row>
    <row r="356" spans="15:72" x14ac:dyDescent="0.3">
      <c r="O356" t="s">
        <v>601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>
        <v>6532.4</v>
      </c>
      <c r="AT356" s="18"/>
      <c r="AU356" s="18"/>
      <c r="AV356" s="18"/>
      <c r="AW356" s="18">
        <v>6532.4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>
        <v>6532.4</v>
      </c>
    </row>
    <row r="357" spans="15:72" x14ac:dyDescent="0.3">
      <c r="O357" t="s">
        <v>608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>
        <v>5877.3</v>
      </c>
      <c r="AT357" s="18"/>
      <c r="AU357" s="18"/>
      <c r="AV357" s="18"/>
      <c r="AW357" s="18">
        <v>5877.3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>
        <v>5877.3</v>
      </c>
    </row>
    <row r="358" spans="15:72" x14ac:dyDescent="0.3">
      <c r="O358" t="s">
        <v>643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>
        <v>6379.9</v>
      </c>
      <c r="AU358" s="18"/>
      <c r="AV358" s="18"/>
      <c r="AW358" s="18">
        <v>6379.9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>
        <v>6379.9</v>
      </c>
    </row>
    <row r="359" spans="15:72" x14ac:dyDescent="0.3">
      <c r="O359" t="s">
        <v>649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>
        <v>315</v>
      </c>
      <c r="AU359" s="18"/>
      <c r="AV359" s="18"/>
      <c r="AW359" s="18">
        <v>315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>
        <v>315</v>
      </c>
    </row>
    <row r="360" spans="15:72" x14ac:dyDescent="0.3">
      <c r="O360" t="s">
        <v>686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>
        <v>6361.1</v>
      </c>
      <c r="AV360" s="18"/>
      <c r="AW360" s="18">
        <v>6361.1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>
        <v>6361.1</v>
      </c>
    </row>
    <row r="361" spans="15:72" x14ac:dyDescent="0.3">
      <c r="O361" t="s">
        <v>726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>
        <v>6096.1</v>
      </c>
      <c r="AV361" s="18"/>
      <c r="AW361" s="18">
        <v>6096.1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>
        <v>6096.1</v>
      </c>
    </row>
    <row r="362" spans="15:72" x14ac:dyDescent="0.3">
      <c r="O362" t="s">
        <v>794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>
        <v>6201.1</v>
      </c>
      <c r="AW362" s="18">
        <v>6201.1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>
        <v>6201.1</v>
      </c>
    </row>
    <row r="363" spans="15:72" x14ac:dyDescent="0.3">
      <c r="O363" t="s">
        <v>846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>
        <v>6223.6</v>
      </c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>
        <v>6223.6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>
        <v>6223.6</v>
      </c>
    </row>
    <row r="364" spans="15:72" x14ac:dyDescent="0.3">
      <c r="O364" t="s">
        <v>857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v>5183.6000000000004</v>
      </c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>
        <v>5183.6000000000004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>
        <v>5183.6000000000004</v>
      </c>
    </row>
    <row r="365" spans="15:72" x14ac:dyDescent="0.3">
      <c r="O365" t="s">
        <v>915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>
        <v>6136.8</v>
      </c>
      <c r="AN365" s="18"/>
      <c r="AO365" s="18"/>
      <c r="AP365" s="18"/>
      <c r="AQ365" s="18"/>
      <c r="AR365" s="18"/>
      <c r="AS365" s="18"/>
      <c r="AT365" s="18"/>
      <c r="AU365" s="18"/>
      <c r="AV365" s="18"/>
      <c r="AW365" s="18">
        <v>6136.8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>
        <v>6136.8</v>
      </c>
    </row>
    <row r="366" spans="15:72" x14ac:dyDescent="0.3">
      <c r="O366" t="s">
        <v>943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>
        <v>3546.1</v>
      </c>
      <c r="AO366" s="18"/>
      <c r="AP366" s="18"/>
      <c r="AQ366" s="18"/>
      <c r="AR366" s="18"/>
      <c r="AS366" s="18"/>
      <c r="AT366" s="18"/>
      <c r="AU366" s="18"/>
      <c r="AV366" s="18"/>
      <c r="AW366" s="18">
        <v>3546.1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>
        <v>3546.1</v>
      </c>
    </row>
    <row r="367" spans="15:72" x14ac:dyDescent="0.3">
      <c r="O367" t="s">
        <v>998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>
        <v>3137.3</v>
      </c>
      <c r="AP367" s="18"/>
      <c r="AQ367" s="18"/>
      <c r="AR367" s="18"/>
      <c r="AS367" s="18"/>
      <c r="AT367" s="18"/>
      <c r="AU367" s="18"/>
      <c r="AV367" s="18"/>
      <c r="AW367" s="18">
        <v>3137.3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>
        <v>3137.3</v>
      </c>
    </row>
    <row r="368" spans="15:72" x14ac:dyDescent="0.3">
      <c r="O368" t="s">
        <v>1066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>
        <v>5283.2</v>
      </c>
      <c r="AQ368" s="18"/>
      <c r="AR368" s="18"/>
      <c r="AS368" s="18"/>
      <c r="AT368" s="18"/>
      <c r="AU368" s="18"/>
      <c r="AV368" s="18"/>
      <c r="AW368" s="18">
        <v>5283.2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>
        <v>5283.2</v>
      </c>
    </row>
    <row r="369" spans="15:72" x14ac:dyDescent="0.3">
      <c r="O369" t="s">
        <v>1067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>
        <v>105</v>
      </c>
      <c r="AQ369" s="18"/>
      <c r="AR369" s="18"/>
      <c r="AS369" s="18"/>
      <c r="AT369" s="18"/>
      <c r="AU369" s="18"/>
      <c r="AV369" s="18"/>
      <c r="AW369" s="18">
        <v>105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>
        <v>105</v>
      </c>
    </row>
    <row r="370" spans="15:72" x14ac:dyDescent="0.3">
      <c r="O370" t="s">
        <v>1133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v>6136.1</v>
      </c>
      <c r="AR370" s="18"/>
      <c r="AS370" s="18"/>
      <c r="AT370" s="18"/>
      <c r="AU370" s="18"/>
      <c r="AV370" s="18"/>
      <c r="AW370" s="18">
        <v>6136.1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>
        <v>6136.1</v>
      </c>
    </row>
    <row r="371" spans="15:72" x14ac:dyDescent="0.3">
      <c r="O371" t="s">
        <v>1194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>
        <v>6152.1</v>
      </c>
      <c r="BF371" s="18"/>
      <c r="BG371" s="18"/>
      <c r="BH371" s="18"/>
      <c r="BI371" s="18"/>
      <c r="BJ371" s="18">
        <v>6152.1</v>
      </c>
      <c r="BK371" s="18"/>
      <c r="BL371" s="18"/>
      <c r="BM371" s="18"/>
      <c r="BN371" s="18"/>
      <c r="BO371" s="18"/>
      <c r="BP371" s="18"/>
      <c r="BQ371" s="18"/>
      <c r="BR371" s="18"/>
      <c r="BS371" s="18"/>
      <c r="BT371" s="18">
        <v>6152.1</v>
      </c>
    </row>
    <row r="372" spans="15:72" x14ac:dyDescent="0.3">
      <c r="O372" t="s">
        <v>1256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>
        <v>450</v>
      </c>
      <c r="BG372" s="18"/>
      <c r="BH372" s="18"/>
      <c r="BI372" s="18"/>
      <c r="BJ372" s="18">
        <v>450</v>
      </c>
      <c r="BK372" s="18"/>
      <c r="BL372" s="18"/>
      <c r="BM372" s="18"/>
      <c r="BN372" s="18"/>
      <c r="BO372" s="18"/>
      <c r="BP372" s="18"/>
      <c r="BQ372" s="18"/>
      <c r="BR372" s="18"/>
      <c r="BS372" s="18"/>
      <c r="BT372" s="18">
        <v>450</v>
      </c>
    </row>
    <row r="373" spans="15:72" x14ac:dyDescent="0.3">
      <c r="O373" t="s">
        <v>1280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>
        <v>842.4</v>
      </c>
      <c r="BG373" s="18"/>
      <c r="BH373" s="18"/>
      <c r="BI373" s="18"/>
      <c r="BJ373" s="18">
        <v>842.4</v>
      </c>
      <c r="BK373" s="18"/>
      <c r="BL373" s="18"/>
      <c r="BM373" s="18"/>
      <c r="BN373" s="18"/>
      <c r="BO373" s="18"/>
      <c r="BP373" s="18"/>
      <c r="BQ373" s="18"/>
      <c r="BR373" s="18"/>
      <c r="BS373" s="18"/>
      <c r="BT373" s="18">
        <v>842.4</v>
      </c>
    </row>
    <row r="374" spans="15:72" x14ac:dyDescent="0.3">
      <c r="O374" t="s">
        <v>1281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>
        <v>312.5</v>
      </c>
      <c r="BG374" s="18"/>
      <c r="BH374" s="18"/>
      <c r="BI374" s="18"/>
      <c r="BJ374" s="18">
        <v>312.5</v>
      </c>
      <c r="BK374" s="18"/>
      <c r="BL374" s="18"/>
      <c r="BM374" s="18"/>
      <c r="BN374" s="18"/>
      <c r="BO374" s="18"/>
      <c r="BP374" s="18"/>
      <c r="BQ374" s="18"/>
      <c r="BR374" s="18"/>
      <c r="BS374" s="18"/>
      <c r="BT374" s="18">
        <v>312.5</v>
      </c>
    </row>
    <row r="375" spans="15:72" x14ac:dyDescent="0.3">
      <c r="O375" t="s">
        <v>1319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>
        <v>4406.3999999999996</v>
      </c>
      <c r="BH375" s="18"/>
      <c r="BI375" s="18"/>
      <c r="BJ375" s="18">
        <v>4406.3999999999996</v>
      </c>
      <c r="BK375" s="18"/>
      <c r="BL375" s="18"/>
      <c r="BM375" s="18"/>
      <c r="BN375" s="18"/>
      <c r="BO375" s="18"/>
      <c r="BP375" s="18"/>
      <c r="BQ375" s="18"/>
      <c r="BR375" s="18"/>
      <c r="BS375" s="18"/>
      <c r="BT375" s="18">
        <v>4406.3999999999996</v>
      </c>
    </row>
    <row r="376" spans="15:72" x14ac:dyDescent="0.3">
      <c r="O376" t="s">
        <v>1320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>
        <v>1020.5</v>
      </c>
      <c r="BH376" s="18"/>
      <c r="BI376" s="18"/>
      <c r="BJ376" s="18">
        <v>1020.5</v>
      </c>
      <c r="BK376" s="18"/>
      <c r="BL376" s="18"/>
      <c r="BM376" s="18"/>
      <c r="BN376" s="18"/>
      <c r="BO376" s="18"/>
      <c r="BP376" s="18"/>
      <c r="BQ376" s="18"/>
      <c r="BR376" s="18"/>
      <c r="BS376" s="18"/>
      <c r="BT376" s="18">
        <v>1020.5</v>
      </c>
    </row>
    <row r="377" spans="15:72" x14ac:dyDescent="0.3">
      <c r="O377" t="s">
        <v>1337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>
        <v>640</v>
      </c>
      <c r="BH377" s="18"/>
      <c r="BI377" s="18"/>
      <c r="BJ377" s="18">
        <v>640</v>
      </c>
      <c r="BK377" s="18"/>
      <c r="BL377" s="18"/>
      <c r="BM377" s="18"/>
      <c r="BN377" s="18"/>
      <c r="BO377" s="18"/>
      <c r="BP377" s="18"/>
      <c r="BQ377" s="18"/>
      <c r="BR377" s="18"/>
      <c r="BS377" s="18"/>
      <c r="BT377" s="18">
        <v>640</v>
      </c>
    </row>
    <row r="378" spans="15:72" x14ac:dyDescent="0.3">
      <c r="O378" t="s">
        <v>1412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>
        <v>5632.9</v>
      </c>
      <c r="BI378" s="18"/>
      <c r="BJ378" s="18">
        <v>5632.9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>
        <v>5632.9</v>
      </c>
    </row>
    <row r="379" spans="15:72" x14ac:dyDescent="0.3">
      <c r="O379" t="s">
        <v>1461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>
        <v>4947.8999999999996</v>
      </c>
      <c r="BI379" s="18"/>
      <c r="BJ379" s="18">
        <v>4947.8999999999996</v>
      </c>
      <c r="BK379" s="18"/>
      <c r="BL379" s="18"/>
      <c r="BM379" s="18"/>
      <c r="BN379" s="18"/>
      <c r="BO379" s="18"/>
      <c r="BP379" s="18"/>
      <c r="BQ379" s="18"/>
      <c r="BR379" s="18"/>
      <c r="BS379" s="18"/>
      <c r="BT379" s="18">
        <v>4947.8999999999996</v>
      </c>
    </row>
    <row r="380" spans="15:72" x14ac:dyDescent="0.3">
      <c r="O380" t="s">
        <v>1467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>
        <v>712.5</v>
      </c>
      <c r="BI380" s="18"/>
      <c r="BJ380" s="18">
        <v>712.5</v>
      </c>
      <c r="BK380" s="18"/>
      <c r="BL380" s="18"/>
      <c r="BM380" s="18"/>
      <c r="BN380" s="18"/>
      <c r="BO380" s="18"/>
      <c r="BP380" s="18"/>
      <c r="BQ380" s="18"/>
      <c r="BR380" s="18"/>
      <c r="BS380" s="18"/>
      <c r="BT380" s="18">
        <v>712.5</v>
      </c>
    </row>
    <row r="381" spans="15:72" x14ac:dyDescent="0.3">
      <c r="O381" t="s">
        <v>1541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>
        <v>4785.7</v>
      </c>
      <c r="BJ381" s="18">
        <v>4785.7</v>
      </c>
      <c r="BK381" s="18"/>
      <c r="BL381" s="18"/>
      <c r="BM381" s="18"/>
      <c r="BN381" s="18"/>
      <c r="BO381" s="18"/>
      <c r="BP381" s="18"/>
      <c r="BQ381" s="18"/>
      <c r="BR381" s="18"/>
      <c r="BS381" s="18"/>
      <c r="BT381" s="18">
        <v>4785.7</v>
      </c>
    </row>
    <row r="382" spans="15:72" x14ac:dyDescent="0.3">
      <c r="O382" t="s">
        <v>1610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>
        <v>5874.7</v>
      </c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>
        <v>5874.7</v>
      </c>
      <c r="BK382" s="18"/>
      <c r="BL382" s="18"/>
      <c r="BM382" s="18"/>
      <c r="BN382" s="18"/>
      <c r="BO382" s="18"/>
      <c r="BP382" s="18"/>
      <c r="BQ382" s="18"/>
      <c r="BR382" s="18"/>
      <c r="BS382" s="18"/>
      <c r="BT382" s="18">
        <v>5874.7</v>
      </c>
    </row>
    <row r="383" spans="15:72" x14ac:dyDescent="0.3">
      <c r="O383" t="s">
        <v>1626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>
        <v>410</v>
      </c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>
        <v>410</v>
      </c>
      <c r="BK383" s="18"/>
      <c r="BL383" s="18"/>
      <c r="BM383" s="18"/>
      <c r="BN383" s="18"/>
      <c r="BO383" s="18"/>
      <c r="BP383" s="18"/>
      <c r="BQ383" s="18"/>
      <c r="BR383" s="18"/>
      <c r="BS383" s="18"/>
      <c r="BT383" s="18">
        <v>410</v>
      </c>
    </row>
    <row r="384" spans="15:72" x14ac:dyDescent="0.3">
      <c r="O384" t="s">
        <v>1651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>
        <v>5329.9</v>
      </c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>
        <v>5329.9</v>
      </c>
      <c r="BK384" s="18"/>
      <c r="BL384" s="18"/>
      <c r="BM384" s="18"/>
      <c r="BN384" s="18"/>
      <c r="BO384" s="18"/>
      <c r="BP384" s="18"/>
      <c r="BQ384" s="18"/>
      <c r="BR384" s="18"/>
      <c r="BS384" s="18"/>
      <c r="BT384" s="18">
        <v>5329.9</v>
      </c>
    </row>
    <row r="385" spans="15:72" x14ac:dyDescent="0.3">
      <c r="O385" t="s">
        <v>1723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>
        <v>5238.8999999999996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>
        <v>5238.8999999999996</v>
      </c>
      <c r="BK385" s="18"/>
      <c r="BL385" s="18"/>
      <c r="BM385" s="18"/>
      <c r="BN385" s="18"/>
      <c r="BO385" s="18"/>
      <c r="BP385" s="18"/>
      <c r="BQ385" s="18"/>
      <c r="BR385" s="18"/>
      <c r="BS385" s="18"/>
      <c r="BT385" s="18">
        <v>5238.8999999999996</v>
      </c>
    </row>
    <row r="386" spans="15:72" x14ac:dyDescent="0.3">
      <c r="O386" t="s">
        <v>1726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>
        <v>420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>
        <v>420</v>
      </c>
      <c r="BK386" s="18"/>
      <c r="BL386" s="18"/>
      <c r="BM386" s="18"/>
      <c r="BN386" s="18"/>
      <c r="BO386" s="18"/>
      <c r="BP386" s="18"/>
      <c r="BQ386" s="18"/>
      <c r="BR386" s="18"/>
      <c r="BS386" s="18"/>
      <c r="BT386" s="18">
        <v>420</v>
      </c>
    </row>
    <row r="387" spans="15:72" x14ac:dyDescent="0.3">
      <c r="O387" t="s">
        <v>1798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>
        <v>3565.5</v>
      </c>
      <c r="BA387" s="18"/>
      <c r="BB387" s="18"/>
      <c r="BC387" s="18"/>
      <c r="BD387" s="18"/>
      <c r="BE387" s="18"/>
      <c r="BF387" s="18"/>
      <c r="BG387" s="18"/>
      <c r="BH387" s="18"/>
      <c r="BI387" s="18"/>
      <c r="BJ387" s="18">
        <v>3565.5</v>
      </c>
      <c r="BK387" s="18"/>
      <c r="BL387" s="18"/>
      <c r="BM387" s="18"/>
      <c r="BN387" s="18"/>
      <c r="BO387" s="18"/>
      <c r="BP387" s="18"/>
      <c r="BQ387" s="18"/>
      <c r="BR387" s="18"/>
      <c r="BS387" s="18"/>
      <c r="BT387" s="18">
        <v>3565.5</v>
      </c>
    </row>
    <row r="388" spans="15:72" x14ac:dyDescent="0.3">
      <c r="O388" t="s">
        <v>1812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>
        <v>1738</v>
      </c>
      <c r="BA388" s="18"/>
      <c r="BB388" s="18"/>
      <c r="BC388" s="18"/>
      <c r="BD388" s="18"/>
      <c r="BE388" s="18"/>
      <c r="BF388" s="18"/>
      <c r="BG388" s="18"/>
      <c r="BH388" s="18"/>
      <c r="BI388" s="18"/>
      <c r="BJ388" s="18">
        <v>1738</v>
      </c>
      <c r="BK388" s="18"/>
      <c r="BL388" s="18"/>
      <c r="BM388" s="18"/>
      <c r="BN388" s="18"/>
      <c r="BO388" s="18"/>
      <c r="BP388" s="18"/>
      <c r="BQ388" s="18"/>
      <c r="BR388" s="18"/>
      <c r="BS388" s="18"/>
      <c r="BT388" s="18">
        <v>1738</v>
      </c>
    </row>
    <row r="389" spans="15:72" x14ac:dyDescent="0.3">
      <c r="O389" t="s">
        <v>1821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>
        <v>250</v>
      </c>
      <c r="BA389" s="18"/>
      <c r="BB389" s="18"/>
      <c r="BC389" s="18"/>
      <c r="BD389" s="18"/>
      <c r="BE389" s="18"/>
      <c r="BF389" s="18"/>
      <c r="BG389" s="18"/>
      <c r="BH389" s="18"/>
      <c r="BI389" s="18"/>
      <c r="BJ389" s="18">
        <v>250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>
        <v>250</v>
      </c>
    </row>
    <row r="390" spans="15:72" x14ac:dyDescent="0.3">
      <c r="O390" t="s">
        <v>1826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>
        <v>1738</v>
      </c>
      <c r="BA390" s="18"/>
      <c r="BB390" s="18"/>
      <c r="BC390" s="18"/>
      <c r="BD390" s="18"/>
      <c r="BE390" s="18"/>
      <c r="BF390" s="18"/>
      <c r="BG390" s="18"/>
      <c r="BH390" s="18"/>
      <c r="BI390" s="18"/>
      <c r="BJ390" s="18">
        <v>1738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>
        <v>1738</v>
      </c>
    </row>
    <row r="391" spans="15:72" x14ac:dyDescent="0.3">
      <c r="O391" t="s">
        <v>1830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>
        <v>811.2</v>
      </c>
      <c r="BA391" s="18"/>
      <c r="BB391" s="18"/>
      <c r="BC391" s="18"/>
      <c r="BD391" s="18"/>
      <c r="BE391" s="18"/>
      <c r="BF391" s="18"/>
      <c r="BG391" s="18"/>
      <c r="BH391" s="18"/>
      <c r="BI391" s="18"/>
      <c r="BJ391" s="18">
        <v>811.2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>
        <v>811.2</v>
      </c>
    </row>
    <row r="392" spans="15:72" x14ac:dyDescent="0.3">
      <c r="O392" t="s">
        <v>1835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>
        <v>1738</v>
      </c>
      <c r="BA392" s="18"/>
      <c r="BB392" s="18"/>
      <c r="BC392" s="18"/>
      <c r="BD392" s="18"/>
      <c r="BE392" s="18"/>
      <c r="BF392" s="18"/>
      <c r="BG392" s="18"/>
      <c r="BH392" s="18"/>
      <c r="BI392" s="18"/>
      <c r="BJ392" s="18">
        <v>1738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>
        <v>1738</v>
      </c>
    </row>
    <row r="393" spans="15:72" x14ac:dyDescent="0.3">
      <c r="O393" t="s">
        <v>1889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>
        <v>3005.6</v>
      </c>
      <c r="BB393" s="18"/>
      <c r="BC393" s="18"/>
      <c r="BD393" s="18"/>
      <c r="BE393" s="18"/>
      <c r="BF393" s="18"/>
      <c r="BG393" s="18"/>
      <c r="BH393" s="18"/>
      <c r="BI393" s="18"/>
      <c r="BJ393" s="18">
        <v>3005.6</v>
      </c>
      <c r="BK393" s="18"/>
      <c r="BL393" s="18"/>
      <c r="BM393" s="18"/>
      <c r="BN393" s="18"/>
      <c r="BO393" s="18"/>
      <c r="BP393" s="18"/>
      <c r="BQ393" s="18"/>
      <c r="BR393" s="18"/>
      <c r="BS393" s="18"/>
      <c r="BT393" s="18">
        <v>3005.6</v>
      </c>
    </row>
    <row r="394" spans="15:72" x14ac:dyDescent="0.3">
      <c r="O394" t="s">
        <v>1902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v>322.5</v>
      </c>
      <c r="BB394" s="18"/>
      <c r="BC394" s="18"/>
      <c r="BD394" s="18"/>
      <c r="BE394" s="18"/>
      <c r="BF394" s="18"/>
      <c r="BG394" s="18"/>
      <c r="BH394" s="18"/>
      <c r="BI394" s="18"/>
      <c r="BJ394" s="18">
        <v>322.5</v>
      </c>
      <c r="BK394" s="18"/>
      <c r="BL394" s="18"/>
      <c r="BM394" s="18"/>
      <c r="BN394" s="18"/>
      <c r="BO394" s="18"/>
      <c r="BP394" s="18"/>
      <c r="BQ394" s="18"/>
      <c r="BR394" s="18"/>
      <c r="BS394" s="18"/>
      <c r="BT394" s="18">
        <v>322.5</v>
      </c>
    </row>
    <row r="395" spans="15:72" x14ac:dyDescent="0.3">
      <c r="O395" t="s">
        <v>1916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v>2128</v>
      </c>
      <c r="BB395" s="18"/>
      <c r="BC395" s="18"/>
      <c r="BD395" s="18"/>
      <c r="BE395" s="18"/>
      <c r="BF395" s="18"/>
      <c r="BG395" s="18"/>
      <c r="BH395" s="18"/>
      <c r="BI395" s="18"/>
      <c r="BJ395" s="18">
        <v>2128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>
        <v>2128</v>
      </c>
    </row>
    <row r="396" spans="15:72" x14ac:dyDescent="0.3">
      <c r="O396" t="s">
        <v>1920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>
        <v>1196.2</v>
      </c>
      <c r="BB396" s="18"/>
      <c r="BC396" s="18"/>
      <c r="BD396" s="18"/>
      <c r="BE396" s="18"/>
      <c r="BF396" s="18"/>
      <c r="BG396" s="18"/>
      <c r="BH396" s="18"/>
      <c r="BI396" s="18"/>
      <c r="BJ396" s="18">
        <v>1196.2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>
        <v>1196.2</v>
      </c>
    </row>
    <row r="397" spans="15:72" x14ac:dyDescent="0.3">
      <c r="O397" t="s">
        <v>1991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>
        <v>2615.1999999999998</v>
      </c>
      <c r="BC397" s="18"/>
      <c r="BD397" s="18"/>
      <c r="BE397" s="18"/>
      <c r="BF397" s="18"/>
      <c r="BG397" s="18"/>
      <c r="BH397" s="18"/>
      <c r="BI397" s="18"/>
      <c r="BJ397" s="18">
        <v>2615.1999999999998</v>
      </c>
      <c r="BK397" s="18"/>
      <c r="BL397" s="18"/>
      <c r="BM397" s="18"/>
      <c r="BN397" s="18"/>
      <c r="BO397" s="18"/>
      <c r="BP397" s="18"/>
      <c r="BQ397" s="18"/>
      <c r="BR397" s="18"/>
      <c r="BS397" s="18"/>
      <c r="BT397" s="18">
        <v>2615.1999999999998</v>
      </c>
    </row>
    <row r="398" spans="15:72" x14ac:dyDescent="0.3">
      <c r="O398" t="s">
        <v>2010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>
        <v>1738</v>
      </c>
      <c r="BC398" s="18"/>
      <c r="BD398" s="18"/>
      <c r="BE398" s="18"/>
      <c r="BF398" s="18"/>
      <c r="BG398" s="18"/>
      <c r="BH398" s="18"/>
      <c r="BI398" s="18"/>
      <c r="BJ398" s="18">
        <v>1738</v>
      </c>
      <c r="BK398" s="18"/>
      <c r="BL398" s="18"/>
      <c r="BM398" s="18"/>
      <c r="BN398" s="18"/>
      <c r="BO398" s="18"/>
      <c r="BP398" s="18"/>
      <c r="BQ398" s="18"/>
      <c r="BR398" s="18"/>
      <c r="BS398" s="18"/>
      <c r="BT398" s="18">
        <v>1738</v>
      </c>
    </row>
    <row r="399" spans="15:72" x14ac:dyDescent="0.3">
      <c r="O399" t="s">
        <v>2030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>
        <v>2535.5</v>
      </c>
      <c r="BC399" s="18"/>
      <c r="BD399" s="18"/>
      <c r="BE399" s="18"/>
      <c r="BF399" s="18"/>
      <c r="BG399" s="18"/>
      <c r="BH399" s="18"/>
      <c r="BI399" s="18"/>
      <c r="BJ399" s="18">
        <v>2535.5</v>
      </c>
      <c r="BK399" s="18"/>
      <c r="BL399" s="18"/>
      <c r="BM399" s="18"/>
      <c r="BN399" s="18"/>
      <c r="BO399" s="18"/>
      <c r="BP399" s="18"/>
      <c r="BQ399" s="18"/>
      <c r="BR399" s="18"/>
      <c r="BS399" s="18"/>
      <c r="BT399" s="18">
        <v>2535.5</v>
      </c>
    </row>
    <row r="400" spans="15:72" x14ac:dyDescent="0.3">
      <c r="O400" t="s">
        <v>2032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>
        <v>648</v>
      </c>
      <c r="BC400" s="18"/>
      <c r="BD400" s="18"/>
      <c r="BE400" s="18"/>
      <c r="BF400" s="18"/>
      <c r="BG400" s="18"/>
      <c r="BH400" s="18"/>
      <c r="BI400" s="18"/>
      <c r="BJ400" s="18">
        <v>648</v>
      </c>
      <c r="BK400" s="18"/>
      <c r="BL400" s="18"/>
      <c r="BM400" s="18"/>
      <c r="BN400" s="18"/>
      <c r="BO400" s="18"/>
      <c r="BP400" s="18"/>
      <c r="BQ400" s="18"/>
      <c r="BR400" s="18"/>
      <c r="BS400" s="18"/>
      <c r="BT400" s="18">
        <v>648</v>
      </c>
    </row>
    <row r="401" spans="15:72" x14ac:dyDescent="0.3">
      <c r="O401" t="s">
        <v>2149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>
        <v>2418</v>
      </c>
      <c r="BD401" s="18"/>
      <c r="BE401" s="18"/>
      <c r="BF401" s="18"/>
      <c r="BG401" s="18"/>
      <c r="BH401" s="18"/>
      <c r="BI401" s="18"/>
      <c r="BJ401" s="18">
        <v>2418</v>
      </c>
      <c r="BK401" s="18"/>
      <c r="BL401" s="18"/>
      <c r="BM401" s="18"/>
      <c r="BN401" s="18"/>
      <c r="BO401" s="18"/>
      <c r="BP401" s="18"/>
      <c r="BQ401" s="18"/>
      <c r="BR401" s="18"/>
      <c r="BS401" s="18"/>
      <c r="BT401" s="18">
        <v>2418</v>
      </c>
    </row>
    <row r="402" spans="15:72" x14ac:dyDescent="0.3">
      <c r="O402" t="s">
        <v>2161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>
        <v>3085.5</v>
      </c>
      <c r="BD402" s="18"/>
      <c r="BE402" s="18"/>
      <c r="BF402" s="18"/>
      <c r="BG402" s="18"/>
      <c r="BH402" s="18"/>
      <c r="BI402" s="18"/>
      <c r="BJ402" s="18">
        <v>3085.5</v>
      </c>
      <c r="BK402" s="18"/>
      <c r="BL402" s="18"/>
      <c r="BM402" s="18"/>
      <c r="BN402" s="18"/>
      <c r="BO402" s="18"/>
      <c r="BP402" s="18"/>
      <c r="BQ402" s="18"/>
      <c r="BR402" s="18"/>
      <c r="BS402" s="18"/>
      <c r="BT402" s="18">
        <v>3085.5</v>
      </c>
    </row>
    <row r="403" spans="15:72" x14ac:dyDescent="0.3">
      <c r="O403" t="s">
        <v>2174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>
        <v>3424.3</v>
      </c>
      <c r="BD403" s="18"/>
      <c r="BE403" s="18"/>
      <c r="BF403" s="18"/>
      <c r="BG403" s="18"/>
      <c r="BH403" s="18"/>
      <c r="BI403" s="18"/>
      <c r="BJ403" s="18">
        <v>3424.3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>
        <v>3424.3</v>
      </c>
    </row>
    <row r="404" spans="15:72" x14ac:dyDescent="0.3">
      <c r="O404" t="s">
        <v>2186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>
        <v>2693</v>
      </c>
      <c r="BE404" s="18"/>
      <c r="BF404" s="18"/>
      <c r="BG404" s="18"/>
      <c r="BH404" s="18"/>
      <c r="BI404" s="18"/>
      <c r="BJ404" s="18">
        <v>2693</v>
      </c>
      <c r="BK404" s="18"/>
      <c r="BL404" s="18"/>
      <c r="BM404" s="18"/>
      <c r="BN404" s="18"/>
      <c r="BO404" s="18"/>
      <c r="BP404" s="18"/>
      <c r="BQ404" s="18"/>
      <c r="BR404" s="18"/>
      <c r="BS404" s="18"/>
      <c r="BT404" s="18">
        <v>2693</v>
      </c>
    </row>
    <row r="405" spans="15:72" x14ac:dyDescent="0.3">
      <c r="O405" t="s">
        <v>2200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>
        <v>2918</v>
      </c>
      <c r="BE405" s="18"/>
      <c r="BF405" s="18"/>
      <c r="BG405" s="18"/>
      <c r="BH405" s="18"/>
      <c r="BI405" s="18"/>
      <c r="BJ405" s="18">
        <v>2918</v>
      </c>
      <c r="BK405" s="18"/>
      <c r="BL405" s="18"/>
      <c r="BM405" s="18"/>
      <c r="BN405" s="18"/>
      <c r="BO405" s="18"/>
      <c r="BP405" s="18"/>
      <c r="BQ405" s="18"/>
      <c r="BR405" s="18"/>
      <c r="BS405" s="18"/>
      <c r="BT405" s="18">
        <v>2918</v>
      </c>
    </row>
    <row r="406" spans="15:72" x14ac:dyDescent="0.3">
      <c r="O406" t="s">
        <v>2214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>
        <v>2353</v>
      </c>
      <c r="BE406" s="18"/>
      <c r="BF406" s="18"/>
      <c r="BG406" s="18"/>
      <c r="BH406" s="18"/>
      <c r="BI406" s="18"/>
      <c r="BJ406" s="18">
        <v>2353</v>
      </c>
      <c r="BK406" s="18"/>
      <c r="BL406" s="18"/>
      <c r="BM406" s="18"/>
      <c r="BN406" s="18"/>
      <c r="BO406" s="18"/>
      <c r="BP406" s="18"/>
      <c r="BQ406" s="18"/>
      <c r="BR406" s="18"/>
      <c r="BS406" s="18"/>
      <c r="BT406" s="18">
        <v>2353</v>
      </c>
    </row>
    <row r="407" spans="15:72" x14ac:dyDescent="0.3">
      <c r="O407" t="s">
        <v>2276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>
        <v>2075.5</v>
      </c>
      <c r="BO407" s="18"/>
      <c r="BP407" s="18"/>
      <c r="BQ407" s="18"/>
      <c r="BR407" s="18"/>
      <c r="BS407" s="18">
        <v>2075.5</v>
      </c>
      <c r="BT407" s="18">
        <v>2075.5</v>
      </c>
    </row>
    <row r="408" spans="15:72" x14ac:dyDescent="0.3">
      <c r="O408" t="s">
        <v>2282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>
        <v>795</v>
      </c>
      <c r="BO408" s="18"/>
      <c r="BP408" s="18"/>
      <c r="BQ408" s="18"/>
      <c r="BR408" s="18"/>
      <c r="BS408" s="18">
        <v>795</v>
      </c>
      <c r="BT408" s="18">
        <v>795</v>
      </c>
    </row>
    <row r="409" spans="15:72" x14ac:dyDescent="0.3">
      <c r="O409" t="s">
        <v>2286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>
        <v>2269.3000000000002</v>
      </c>
      <c r="BO409" s="18"/>
      <c r="BP409" s="18"/>
      <c r="BQ409" s="18"/>
      <c r="BR409" s="18"/>
      <c r="BS409" s="18">
        <v>2269.3000000000002</v>
      </c>
      <c r="BT409" s="18">
        <v>2269.3000000000002</v>
      </c>
    </row>
    <row r="410" spans="15:72" x14ac:dyDescent="0.3">
      <c r="O410" t="s">
        <v>2342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>
        <v>2643</v>
      </c>
      <c r="BP410" s="18"/>
      <c r="BQ410" s="18"/>
      <c r="BR410" s="18"/>
      <c r="BS410" s="18">
        <v>2643</v>
      </c>
      <c r="BT410" s="18">
        <v>2643</v>
      </c>
    </row>
    <row r="411" spans="15:72" x14ac:dyDescent="0.3">
      <c r="O411" t="s">
        <v>2354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>
        <v>2720.5</v>
      </c>
      <c r="BP411" s="18"/>
      <c r="BQ411" s="18"/>
      <c r="BR411" s="18"/>
      <c r="BS411" s="18">
        <v>2720.5</v>
      </c>
      <c r="BT411" s="18">
        <v>2720.5</v>
      </c>
    </row>
    <row r="412" spans="15:72" x14ac:dyDescent="0.3">
      <c r="O412" t="s">
        <v>2366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>
        <v>3060.5</v>
      </c>
      <c r="BP412" s="18"/>
      <c r="BQ412" s="18"/>
      <c r="BR412" s="18"/>
      <c r="BS412" s="18">
        <v>3060.5</v>
      </c>
      <c r="BT412" s="18">
        <v>3060.5</v>
      </c>
    </row>
    <row r="413" spans="15:72" x14ac:dyDescent="0.3">
      <c r="O413" t="s">
        <v>2430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>
        <v>1848</v>
      </c>
      <c r="BQ413" s="18"/>
      <c r="BR413" s="18"/>
      <c r="BS413" s="18">
        <v>1848</v>
      </c>
      <c r="BT413" s="18">
        <v>1848</v>
      </c>
    </row>
    <row r="414" spans="15:72" x14ac:dyDescent="0.3">
      <c r="O414" t="s">
        <v>2441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>
        <v>3494.3</v>
      </c>
      <c r="BQ414" s="18"/>
      <c r="BR414" s="18"/>
      <c r="BS414" s="18">
        <v>3494.3</v>
      </c>
      <c r="BT414" s="18">
        <v>3494.3</v>
      </c>
    </row>
    <row r="415" spans="15:72" x14ac:dyDescent="0.3">
      <c r="O415" t="s">
        <v>2452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>
        <v>2533</v>
      </c>
      <c r="BQ415" s="18"/>
      <c r="BR415" s="18"/>
      <c r="BS415" s="18">
        <v>2533</v>
      </c>
      <c r="BT415" s="18">
        <v>2533</v>
      </c>
    </row>
    <row r="416" spans="15:72" x14ac:dyDescent="0.3">
      <c r="O416" t="s">
        <v>2509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>
        <v>2688</v>
      </c>
      <c r="BR416" s="18"/>
      <c r="BS416" s="18">
        <v>2688</v>
      </c>
      <c r="BT416" s="18">
        <v>2688</v>
      </c>
    </row>
    <row r="417" spans="14:72" x14ac:dyDescent="0.3">
      <c r="O417" t="s">
        <v>2515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>
        <v>1925.5</v>
      </c>
      <c r="BR417" s="18"/>
      <c r="BS417" s="18">
        <v>1925.5</v>
      </c>
      <c r="BT417" s="18">
        <v>1925.5</v>
      </c>
    </row>
    <row r="418" spans="14:72" x14ac:dyDescent="0.3">
      <c r="O418" t="s">
        <v>2521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>
        <v>530</v>
      </c>
      <c r="BR418" s="18"/>
      <c r="BS418" s="18">
        <v>530</v>
      </c>
      <c r="BT418" s="18">
        <v>530</v>
      </c>
    </row>
    <row r="419" spans="14:72" x14ac:dyDescent="0.3">
      <c r="O419" t="s">
        <v>2548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>
        <v>2742.5</v>
      </c>
      <c r="BS419" s="18">
        <v>2742.5</v>
      </c>
      <c r="BT419" s="18">
        <v>2742.5</v>
      </c>
    </row>
    <row r="420" spans="14:72" x14ac:dyDescent="0.3">
      <c r="O420" t="s">
        <v>2561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>
        <v>2512.5</v>
      </c>
      <c r="BS420" s="18">
        <v>2512.5</v>
      </c>
      <c r="BT420" s="18">
        <v>2512.5</v>
      </c>
    </row>
    <row r="421" spans="14:72" x14ac:dyDescent="0.3">
      <c r="O421" t="s">
        <v>2568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>
        <v>2708.8</v>
      </c>
      <c r="BS421" s="18">
        <v>2708.8</v>
      </c>
      <c r="BT421" s="18">
        <v>2708.8</v>
      </c>
    </row>
    <row r="422" spans="14:72" x14ac:dyDescent="0.3">
      <c r="O422" t="s">
        <v>2642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>
        <v>2390</v>
      </c>
      <c r="BL422" s="18"/>
      <c r="BM422" s="18"/>
      <c r="BN422" s="18"/>
      <c r="BO422" s="18"/>
      <c r="BP422" s="18"/>
      <c r="BQ422" s="18"/>
      <c r="BR422" s="18"/>
      <c r="BS422" s="18">
        <v>2390</v>
      </c>
      <c r="BT422" s="18">
        <v>2390</v>
      </c>
    </row>
    <row r="423" spans="14:72" x14ac:dyDescent="0.3">
      <c r="O423" t="s">
        <v>2657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>
        <v>2462.5</v>
      </c>
      <c r="BL423" s="18"/>
      <c r="BM423" s="18"/>
      <c r="BN423" s="18"/>
      <c r="BO423" s="18"/>
      <c r="BP423" s="18"/>
      <c r="BQ423" s="18"/>
      <c r="BR423" s="18"/>
      <c r="BS423" s="18">
        <v>2462.5</v>
      </c>
      <c r="BT423" s="18">
        <v>2462.5</v>
      </c>
    </row>
    <row r="424" spans="14:72" x14ac:dyDescent="0.3">
      <c r="O424" t="s">
        <v>2754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>
        <v>3105</v>
      </c>
      <c r="BM424" s="18"/>
      <c r="BN424" s="18"/>
      <c r="BO424" s="18"/>
      <c r="BP424" s="18"/>
      <c r="BQ424" s="18"/>
      <c r="BR424" s="18"/>
      <c r="BS424" s="18">
        <v>3105</v>
      </c>
      <c r="BT424" s="18">
        <v>3105</v>
      </c>
    </row>
    <row r="425" spans="14:72" x14ac:dyDescent="0.3">
      <c r="O425" t="s">
        <v>2762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>
        <v>2165</v>
      </c>
      <c r="BM425" s="18"/>
      <c r="BN425" s="18"/>
      <c r="BO425" s="18"/>
      <c r="BP425" s="18"/>
      <c r="BQ425" s="18"/>
      <c r="BR425" s="18"/>
      <c r="BS425" s="18">
        <v>2165</v>
      </c>
      <c r="BT425" s="18">
        <v>2165</v>
      </c>
    </row>
    <row r="426" spans="14:72" x14ac:dyDescent="0.3">
      <c r="O426" t="s">
        <v>2767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>
        <v>3451.3</v>
      </c>
      <c r="BM426" s="18"/>
      <c r="BN426" s="18"/>
      <c r="BO426" s="18"/>
      <c r="BP426" s="18"/>
      <c r="BQ426" s="18"/>
      <c r="BR426" s="18"/>
      <c r="BS426" s="18">
        <v>3451.3</v>
      </c>
      <c r="BT426" s="18">
        <v>3451.3</v>
      </c>
    </row>
    <row r="427" spans="14:72" x14ac:dyDescent="0.3">
      <c r="O427" t="s">
        <v>2847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>
        <v>2997.5</v>
      </c>
      <c r="BN427" s="18"/>
      <c r="BO427" s="18"/>
      <c r="BP427" s="18"/>
      <c r="BQ427" s="18"/>
      <c r="BR427" s="18"/>
      <c r="BS427" s="18">
        <v>2997.5</v>
      </c>
      <c r="BT427" s="18">
        <v>2997.5</v>
      </c>
    </row>
    <row r="428" spans="14:72" x14ac:dyDescent="0.3">
      <c r="O428" t="s">
        <v>2860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>
        <v>1880</v>
      </c>
      <c r="BN428" s="18"/>
      <c r="BO428" s="18"/>
      <c r="BP428" s="18"/>
      <c r="BQ428" s="18"/>
      <c r="BR428" s="18"/>
      <c r="BS428" s="18">
        <v>1880</v>
      </c>
      <c r="BT428" s="18">
        <v>1880</v>
      </c>
    </row>
    <row r="429" spans="14:72" x14ac:dyDescent="0.3">
      <c r="O429" t="s">
        <v>2872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>
        <v>2772.5</v>
      </c>
      <c r="BN429" s="18"/>
      <c r="BO429" s="18"/>
      <c r="BP429" s="18"/>
      <c r="BQ429" s="18"/>
      <c r="BR429" s="18"/>
      <c r="BS429" s="18">
        <v>2772.5</v>
      </c>
      <c r="BT429" s="18">
        <v>2772.5</v>
      </c>
    </row>
    <row r="430" spans="14:72" x14ac:dyDescent="0.3">
      <c r="N430" s="17" t="s">
        <v>421</v>
      </c>
      <c r="O430" s="17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>
        <v>11282.599999999999</v>
      </c>
      <c r="AC430" s="19">
        <v>14884.6</v>
      </c>
      <c r="AD430" s="19">
        <v>5014.8</v>
      </c>
      <c r="AE430" s="19"/>
      <c r="AF430" s="19"/>
      <c r="AG430" s="19"/>
      <c r="AH430" s="19"/>
      <c r="AI430" s="19"/>
      <c r="AJ430" s="19">
        <v>31181.999999999996</v>
      </c>
      <c r="AK430" s="19">
        <v>6223.6</v>
      </c>
      <c r="AL430" s="19">
        <v>5183.6000000000004</v>
      </c>
      <c r="AM430" s="19">
        <v>6136.8</v>
      </c>
      <c r="AN430" s="19">
        <v>3546.1</v>
      </c>
      <c r="AO430" s="19">
        <v>3137.3</v>
      </c>
      <c r="AP430" s="19">
        <v>5388.2</v>
      </c>
      <c r="AQ430" s="19">
        <v>6136.1</v>
      </c>
      <c r="AR430" s="19">
        <v>8960.4000000000015</v>
      </c>
      <c r="AS430" s="19">
        <v>12409.7</v>
      </c>
      <c r="AT430" s="19">
        <v>6694.9</v>
      </c>
      <c r="AU430" s="19">
        <v>12457.2</v>
      </c>
      <c r="AV430" s="19">
        <v>6201.1</v>
      </c>
      <c r="AW430" s="19">
        <v>82475</v>
      </c>
      <c r="AX430" s="19">
        <v>11614.599999999999</v>
      </c>
      <c r="AY430" s="19">
        <v>5658.9</v>
      </c>
      <c r="AZ430" s="19">
        <v>9840.7000000000007</v>
      </c>
      <c r="BA430" s="19">
        <v>6652.3</v>
      </c>
      <c r="BB430" s="19">
        <v>7536.7</v>
      </c>
      <c r="BC430" s="19">
        <v>8927.7999999999993</v>
      </c>
      <c r="BD430" s="19">
        <v>7964</v>
      </c>
      <c r="BE430" s="19">
        <v>6152.1</v>
      </c>
      <c r="BF430" s="19">
        <v>1604.9</v>
      </c>
      <c r="BG430" s="19">
        <v>6066.9</v>
      </c>
      <c r="BH430" s="19">
        <v>11293.3</v>
      </c>
      <c r="BI430" s="19">
        <v>4785.7</v>
      </c>
      <c r="BJ430" s="19">
        <v>88097.9</v>
      </c>
      <c r="BK430" s="19">
        <v>4852.5</v>
      </c>
      <c r="BL430" s="19">
        <v>8721.2999999999993</v>
      </c>
      <c r="BM430" s="19">
        <v>7650</v>
      </c>
      <c r="BN430" s="19">
        <v>5139.8</v>
      </c>
      <c r="BO430" s="19">
        <v>8424</v>
      </c>
      <c r="BP430" s="19">
        <v>7875.3</v>
      </c>
      <c r="BQ430" s="19">
        <v>5143.5</v>
      </c>
      <c r="BR430" s="19">
        <v>7963.8</v>
      </c>
      <c r="BS430" s="19">
        <v>55770.200000000004</v>
      </c>
      <c r="BT430" s="19">
        <v>257525.10000000003</v>
      </c>
    </row>
    <row r="431" spans="14:72" x14ac:dyDescent="0.3">
      <c r="N431" t="s">
        <v>409</v>
      </c>
      <c r="O431" t="s">
        <v>407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>
        <v>1760</v>
      </c>
      <c r="AC431" s="18"/>
      <c r="AD431" s="18"/>
      <c r="AE431" s="18"/>
      <c r="AF431" s="18"/>
      <c r="AG431" s="18"/>
      <c r="AH431" s="18"/>
      <c r="AI431" s="18"/>
      <c r="AJ431" s="18">
        <v>1760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>
        <v>1760</v>
      </c>
    </row>
    <row r="432" spans="14:72" x14ac:dyDescent="0.3">
      <c r="O432" t="s">
        <v>411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>
        <v>12627</v>
      </c>
      <c r="AC432" s="18"/>
      <c r="AD432" s="18"/>
      <c r="AE432" s="18"/>
      <c r="AF432" s="18"/>
      <c r="AG432" s="18"/>
      <c r="AH432" s="18"/>
      <c r="AI432" s="18"/>
      <c r="AJ432" s="18">
        <v>12627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>
        <v>12627</v>
      </c>
    </row>
    <row r="433" spans="15:72" x14ac:dyDescent="0.3">
      <c r="O433" t="s">
        <v>424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>
        <v>1311.4</v>
      </c>
      <c r="AC433" s="18"/>
      <c r="AD433" s="18"/>
      <c r="AE433" s="18"/>
      <c r="AF433" s="18"/>
      <c r="AG433" s="18"/>
      <c r="AH433" s="18"/>
      <c r="AI433" s="18"/>
      <c r="AJ433" s="18">
        <v>1311.4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>
        <v>1311.4</v>
      </c>
    </row>
    <row r="434" spans="15:72" x14ac:dyDescent="0.3">
      <c r="O434" t="s">
        <v>425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>
        <v>13109.2</v>
      </c>
      <c r="AC434" s="18"/>
      <c r="AD434" s="18"/>
      <c r="AE434" s="18"/>
      <c r="AF434" s="18"/>
      <c r="AG434" s="18"/>
      <c r="AH434" s="18"/>
      <c r="AI434" s="18"/>
      <c r="AJ434" s="18">
        <v>13109.2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>
        <v>13109.2</v>
      </c>
    </row>
    <row r="435" spans="15:72" x14ac:dyDescent="0.3">
      <c r="O435" t="s">
        <v>426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>
        <v>1000</v>
      </c>
      <c r="AC435" s="18"/>
      <c r="AD435" s="18"/>
      <c r="AE435" s="18"/>
      <c r="AF435" s="18"/>
      <c r="AG435" s="18"/>
      <c r="AH435" s="18"/>
      <c r="AI435" s="18"/>
      <c r="AJ435" s="18">
        <v>1000</v>
      </c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>
        <v>1000</v>
      </c>
    </row>
    <row r="436" spans="15:72" x14ac:dyDescent="0.3">
      <c r="O436" t="s">
        <v>427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>
        <v>9673.4</v>
      </c>
      <c r="AC436" s="18"/>
      <c r="AD436" s="18"/>
      <c r="AE436" s="18"/>
      <c r="AF436" s="18"/>
      <c r="AG436" s="18"/>
      <c r="AH436" s="18"/>
      <c r="AI436" s="18"/>
      <c r="AJ436" s="18">
        <v>9673.4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>
        <v>9673.4</v>
      </c>
    </row>
    <row r="437" spans="15:72" x14ac:dyDescent="0.3">
      <c r="O437" t="s">
        <v>443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>
        <v>16976.2</v>
      </c>
      <c r="AC437" s="18"/>
      <c r="AD437" s="18"/>
      <c r="AE437" s="18"/>
      <c r="AF437" s="18"/>
      <c r="AG437" s="18"/>
      <c r="AH437" s="18"/>
      <c r="AI437" s="18"/>
      <c r="AJ437" s="18">
        <v>16976.2</v>
      </c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>
        <v>16976.2</v>
      </c>
    </row>
    <row r="438" spans="15:72" x14ac:dyDescent="0.3">
      <c r="O438" t="s">
        <v>445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>
        <v>5874</v>
      </c>
      <c r="AC438" s="18"/>
      <c r="AD438" s="18"/>
      <c r="AE438" s="18"/>
      <c r="AF438" s="18"/>
      <c r="AG438" s="18"/>
      <c r="AH438" s="18"/>
      <c r="AI438" s="18"/>
      <c r="AJ438" s="18">
        <v>5874</v>
      </c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>
        <v>5874</v>
      </c>
    </row>
    <row r="439" spans="15:72" x14ac:dyDescent="0.3">
      <c r="O439" t="s">
        <v>459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19017.5</v>
      </c>
      <c r="AD439" s="18"/>
      <c r="AE439" s="18"/>
      <c r="AF439" s="18"/>
      <c r="AG439" s="18"/>
      <c r="AH439" s="18"/>
      <c r="AI439" s="18"/>
      <c r="AJ439" s="18">
        <v>19017.5</v>
      </c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>
        <v>19017.5</v>
      </c>
    </row>
    <row r="440" spans="15:72" x14ac:dyDescent="0.3">
      <c r="O440" t="s">
        <v>464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19315.5</v>
      </c>
      <c r="AD440" s="18"/>
      <c r="AE440" s="18"/>
      <c r="AF440" s="18"/>
      <c r="AG440" s="18"/>
      <c r="AH440" s="18"/>
      <c r="AI440" s="18"/>
      <c r="AJ440" s="18">
        <v>19315.5</v>
      </c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>
        <v>19315.5</v>
      </c>
    </row>
    <row r="441" spans="15:72" x14ac:dyDescent="0.3">
      <c r="O441" t="s">
        <v>473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>
        <v>33172</v>
      </c>
      <c r="AD441" s="18"/>
      <c r="AE441" s="18"/>
      <c r="AF441" s="18"/>
      <c r="AG441" s="18"/>
      <c r="AH441" s="18"/>
      <c r="AI441" s="18"/>
      <c r="AJ441" s="18">
        <v>33172</v>
      </c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>
        <v>33172</v>
      </c>
    </row>
    <row r="442" spans="15:72" x14ac:dyDescent="0.3">
      <c r="O442" t="s">
        <v>475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>
        <v>312.5</v>
      </c>
      <c r="AD442" s="18"/>
      <c r="AE442" s="18"/>
      <c r="AF442" s="18"/>
      <c r="AG442" s="18"/>
      <c r="AH442" s="18"/>
      <c r="AI442" s="18"/>
      <c r="AJ442" s="18">
        <v>312.5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>
        <v>312.5</v>
      </c>
    </row>
    <row r="443" spans="15:72" x14ac:dyDescent="0.3">
      <c r="O443" t="s">
        <v>501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v>12188.9</v>
      </c>
      <c r="AE443" s="18"/>
      <c r="AF443" s="18"/>
      <c r="AG443" s="18"/>
      <c r="AH443" s="18"/>
      <c r="AI443" s="18"/>
      <c r="AJ443" s="18">
        <v>12188.9</v>
      </c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>
        <v>12188.9</v>
      </c>
    </row>
    <row r="444" spans="15:72" x14ac:dyDescent="0.3">
      <c r="O444" t="s">
        <v>504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>
        <v>18684.5</v>
      </c>
      <c r="AE444" s="18"/>
      <c r="AF444" s="18"/>
      <c r="AG444" s="18"/>
      <c r="AH444" s="18"/>
      <c r="AI444" s="18"/>
      <c r="AJ444" s="18">
        <v>18684.5</v>
      </c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>
        <v>18684.5</v>
      </c>
    </row>
    <row r="445" spans="15:72" x14ac:dyDescent="0.3">
      <c r="O445" t="s">
        <v>511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v>7457.5</v>
      </c>
      <c r="AE445" s="18"/>
      <c r="AF445" s="18"/>
      <c r="AG445" s="18"/>
      <c r="AH445" s="18"/>
      <c r="AI445" s="18"/>
      <c r="AJ445" s="18">
        <v>7457.5</v>
      </c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>
        <v>7457.5</v>
      </c>
    </row>
    <row r="446" spans="15:72" x14ac:dyDescent="0.3">
      <c r="O446" t="s">
        <v>522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>
        <v>10565.5</v>
      </c>
      <c r="AE446" s="18"/>
      <c r="AF446" s="18"/>
      <c r="AG446" s="18"/>
      <c r="AH446" s="18"/>
      <c r="AI446" s="18"/>
      <c r="AJ446" s="18">
        <v>10565.5</v>
      </c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>
        <v>10565.5</v>
      </c>
    </row>
    <row r="447" spans="15:72" x14ac:dyDescent="0.3">
      <c r="O447" t="s">
        <v>529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v>777</v>
      </c>
      <c r="AE447" s="18"/>
      <c r="AF447" s="18"/>
      <c r="AG447" s="18"/>
      <c r="AH447" s="18"/>
      <c r="AI447" s="18"/>
      <c r="AJ447" s="18">
        <v>777</v>
      </c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>
        <v>777</v>
      </c>
    </row>
    <row r="448" spans="15:72" x14ac:dyDescent="0.3">
      <c r="O448" t="s">
        <v>530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>
        <v>1077</v>
      </c>
      <c r="AE448" s="18"/>
      <c r="AF448" s="18"/>
      <c r="AG448" s="18"/>
      <c r="AH448" s="18"/>
      <c r="AI448" s="18"/>
      <c r="AJ448" s="18">
        <v>1077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>
        <v>1077</v>
      </c>
    </row>
    <row r="449" spans="15:72" x14ac:dyDescent="0.3">
      <c r="O449" t="s">
        <v>532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>
        <v>19320.5</v>
      </c>
      <c r="AE449" s="18"/>
      <c r="AF449" s="18"/>
      <c r="AG449" s="18"/>
      <c r="AH449" s="18"/>
      <c r="AI449" s="18"/>
      <c r="AJ449" s="18">
        <v>19320.5</v>
      </c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>
        <v>19320.5</v>
      </c>
    </row>
    <row r="450" spans="15:72" x14ac:dyDescent="0.3">
      <c r="O450" t="s">
        <v>546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>
        <v>8273</v>
      </c>
      <c r="AS450" s="18"/>
      <c r="AT450" s="18"/>
      <c r="AU450" s="18"/>
      <c r="AV450" s="18"/>
      <c r="AW450" s="18">
        <v>8273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>
        <v>8273</v>
      </c>
    </row>
    <row r="451" spans="15:72" x14ac:dyDescent="0.3">
      <c r="O451" t="s">
        <v>548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>
        <v>1233</v>
      </c>
      <c r="AS451" s="18"/>
      <c r="AT451" s="18"/>
      <c r="AU451" s="18"/>
      <c r="AV451" s="18"/>
      <c r="AW451" s="18">
        <v>1233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>
        <v>1233</v>
      </c>
    </row>
    <row r="452" spans="15:72" x14ac:dyDescent="0.3">
      <c r="O452" t="s">
        <v>549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>
        <v>7377</v>
      </c>
      <c r="AS452" s="18"/>
      <c r="AT452" s="18"/>
      <c r="AU452" s="18"/>
      <c r="AV452" s="18"/>
      <c r="AW452" s="18">
        <v>7377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>
        <v>7377</v>
      </c>
    </row>
    <row r="453" spans="15:72" x14ac:dyDescent="0.3">
      <c r="O453" t="s">
        <v>558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>
        <v>28549</v>
      </c>
      <c r="AS453" s="18"/>
      <c r="AT453" s="18"/>
      <c r="AU453" s="18"/>
      <c r="AV453" s="18"/>
      <c r="AW453" s="18">
        <v>28549</v>
      </c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>
        <v>28549</v>
      </c>
    </row>
    <row r="454" spans="15:72" x14ac:dyDescent="0.3">
      <c r="O454" t="s">
        <v>564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>
        <v>11502</v>
      </c>
      <c r="AS454" s="18"/>
      <c r="AT454" s="18"/>
      <c r="AU454" s="18"/>
      <c r="AV454" s="18"/>
      <c r="AW454" s="18">
        <v>11502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>
        <v>11502</v>
      </c>
    </row>
    <row r="455" spans="15:72" x14ac:dyDescent="0.3">
      <c r="O455" t="s">
        <v>609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>
        <v>7961</v>
      </c>
      <c r="AT455" s="18"/>
      <c r="AU455" s="18"/>
      <c r="AV455" s="18"/>
      <c r="AW455" s="18">
        <v>7961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>
        <v>7961</v>
      </c>
    </row>
    <row r="456" spans="15:72" x14ac:dyDescent="0.3">
      <c r="O456" t="s">
        <v>610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>
        <v>2678</v>
      </c>
      <c r="AT456" s="18"/>
      <c r="AU456" s="18"/>
      <c r="AV456" s="18"/>
      <c r="AW456" s="18">
        <v>2678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>
        <v>2678</v>
      </c>
    </row>
    <row r="457" spans="15:72" x14ac:dyDescent="0.3">
      <c r="O457" t="s">
        <v>646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>
        <v>3029</v>
      </c>
      <c r="AU457" s="18"/>
      <c r="AV457" s="18"/>
      <c r="AW457" s="18">
        <v>3029</v>
      </c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>
        <v>3029</v>
      </c>
    </row>
    <row r="458" spans="15:72" x14ac:dyDescent="0.3">
      <c r="O458" t="s">
        <v>648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>
        <v>11425</v>
      </c>
      <c r="AU458" s="18"/>
      <c r="AV458" s="18"/>
      <c r="AW458" s="18">
        <v>11425</v>
      </c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>
        <v>11425</v>
      </c>
    </row>
    <row r="459" spans="15:72" x14ac:dyDescent="0.3">
      <c r="O459" t="s">
        <v>650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>
        <v>9888</v>
      </c>
      <c r="AU459" s="18"/>
      <c r="AV459" s="18"/>
      <c r="AW459" s="18">
        <v>9888</v>
      </c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>
        <v>9888</v>
      </c>
    </row>
    <row r="460" spans="15:72" x14ac:dyDescent="0.3">
      <c r="O460" t="s">
        <v>653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>
        <v>8819</v>
      </c>
      <c r="AU460" s="18"/>
      <c r="AV460" s="18"/>
      <c r="AW460" s="18">
        <v>8819</v>
      </c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>
        <v>8819</v>
      </c>
    </row>
    <row r="461" spans="15:72" x14ac:dyDescent="0.3">
      <c r="O461" t="s">
        <v>660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>
        <v>14422</v>
      </c>
      <c r="AU461" s="18"/>
      <c r="AV461" s="18"/>
      <c r="AW461" s="18">
        <v>14422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>
        <v>14422</v>
      </c>
    </row>
    <row r="462" spans="15:72" x14ac:dyDescent="0.3">
      <c r="O462" t="s">
        <v>662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>
        <v>7593</v>
      </c>
      <c r="AU462" s="18"/>
      <c r="AV462" s="18"/>
      <c r="AW462" s="18">
        <v>7593</v>
      </c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>
        <v>7593</v>
      </c>
    </row>
    <row r="463" spans="15:72" x14ac:dyDescent="0.3">
      <c r="O463" t="s">
        <v>683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>
        <v>9157.5</v>
      </c>
      <c r="AV463" s="18"/>
      <c r="AW463" s="18">
        <v>9157.5</v>
      </c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>
        <v>9157.5</v>
      </c>
    </row>
    <row r="464" spans="15:72" x14ac:dyDescent="0.3">
      <c r="O464" t="s">
        <v>685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>
        <v>10497.5</v>
      </c>
      <c r="AV464" s="18"/>
      <c r="AW464" s="18">
        <v>10497.5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>
        <v>10497.5</v>
      </c>
    </row>
    <row r="465" spans="15:72" x14ac:dyDescent="0.3">
      <c r="O465" t="s">
        <v>689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>
        <v>8569.5</v>
      </c>
      <c r="AV465" s="18"/>
      <c r="AW465" s="18">
        <v>8569.5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>
        <v>8569.5</v>
      </c>
    </row>
    <row r="466" spans="15:72" x14ac:dyDescent="0.3">
      <c r="O466" t="s">
        <v>693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>
        <v>10975.5</v>
      </c>
      <c r="AV466" s="18"/>
      <c r="AW466" s="18">
        <v>10975.5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>
        <v>10975.5</v>
      </c>
    </row>
    <row r="467" spans="15:72" x14ac:dyDescent="0.3">
      <c r="O467" t="s">
        <v>696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>
        <v>10103.5</v>
      </c>
      <c r="AV467" s="18"/>
      <c r="AW467" s="18">
        <v>10103.5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>
        <v>10103.5</v>
      </c>
    </row>
    <row r="468" spans="15:72" x14ac:dyDescent="0.3">
      <c r="O468" t="s">
        <v>698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>
        <v>3076</v>
      </c>
      <c r="AV468" s="18"/>
      <c r="AW468" s="18">
        <v>3076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>
        <v>3076</v>
      </c>
    </row>
    <row r="469" spans="15:72" x14ac:dyDescent="0.3">
      <c r="O469" t="s">
        <v>718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>
        <v>11151</v>
      </c>
      <c r="AV469" s="18"/>
      <c r="AW469" s="18">
        <v>11151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>
        <v>11151</v>
      </c>
    </row>
    <row r="470" spans="15:72" x14ac:dyDescent="0.3">
      <c r="O470" t="s">
        <v>725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>
        <v>11858.5</v>
      </c>
      <c r="AV470" s="18"/>
      <c r="AW470" s="18">
        <v>11858.5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>
        <v>11858.5</v>
      </c>
    </row>
    <row r="471" spans="15:72" x14ac:dyDescent="0.3">
      <c r="O471" t="s">
        <v>729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>
        <v>15244</v>
      </c>
      <c r="AV471" s="18"/>
      <c r="AW471" s="18">
        <v>15244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>
        <v>15244</v>
      </c>
    </row>
    <row r="472" spans="15:72" x14ac:dyDescent="0.3">
      <c r="O472" t="s">
        <v>762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>
        <v>11530</v>
      </c>
      <c r="AW472" s="18">
        <v>11530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>
        <v>11530</v>
      </c>
    </row>
    <row r="473" spans="15:72" x14ac:dyDescent="0.3">
      <c r="O473" t="s">
        <v>764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>
        <v>16245</v>
      </c>
      <c r="AW473" s="18">
        <v>16245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>
        <v>16245</v>
      </c>
    </row>
    <row r="474" spans="15:72" x14ac:dyDescent="0.3">
      <c r="O474" t="s">
        <v>777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>
        <v>10369.5</v>
      </c>
      <c r="AW474" s="18">
        <v>10369.5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>
        <v>10369.5</v>
      </c>
    </row>
    <row r="475" spans="15:72" x14ac:dyDescent="0.3">
      <c r="O475" t="s">
        <v>780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>
        <v>8417</v>
      </c>
      <c r="AW475" s="18">
        <v>8417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>
        <v>8417</v>
      </c>
    </row>
    <row r="476" spans="15:72" x14ac:dyDescent="0.3">
      <c r="O476" t="s">
        <v>783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>
        <v>13110</v>
      </c>
      <c r="AW476" s="18">
        <v>13110</v>
      </c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>
        <v>13110</v>
      </c>
    </row>
    <row r="477" spans="15:72" x14ac:dyDescent="0.3">
      <c r="O477" t="s">
        <v>789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>
        <v>13110</v>
      </c>
      <c r="AW477" s="18">
        <v>13110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>
        <v>13110</v>
      </c>
    </row>
    <row r="478" spans="15:72" x14ac:dyDescent="0.3">
      <c r="O478" t="s">
        <v>793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>
        <v>6750</v>
      </c>
      <c r="AW478" s="18">
        <v>6750</v>
      </c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>
        <v>6750</v>
      </c>
    </row>
    <row r="479" spans="15:72" x14ac:dyDescent="0.3">
      <c r="O479" t="s">
        <v>796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>
        <v>14068</v>
      </c>
      <c r="AW479" s="18">
        <v>14068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>
        <v>14068</v>
      </c>
    </row>
    <row r="480" spans="15:72" x14ac:dyDescent="0.3">
      <c r="O480" t="s">
        <v>826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>
        <v>12427</v>
      </c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>
        <v>12427</v>
      </c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>
        <v>12427</v>
      </c>
    </row>
    <row r="481" spans="15:72" x14ac:dyDescent="0.3">
      <c r="O481" t="s">
        <v>828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>
        <v>9000</v>
      </c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>
        <v>9000</v>
      </c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>
        <v>9000</v>
      </c>
    </row>
    <row r="482" spans="15:72" x14ac:dyDescent="0.3">
      <c r="O482" t="s">
        <v>834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>
        <v>4950</v>
      </c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>
        <v>4950</v>
      </c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>
        <v>4950</v>
      </c>
    </row>
    <row r="483" spans="15:72" x14ac:dyDescent="0.3">
      <c r="O483" t="s">
        <v>842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>
        <v>4431.5</v>
      </c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>
        <v>4431.5</v>
      </c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>
        <v>4431.5</v>
      </c>
    </row>
    <row r="484" spans="15:72" x14ac:dyDescent="0.3">
      <c r="O484" t="s">
        <v>845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5889</v>
      </c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>
        <v>5889</v>
      </c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>
        <v>5889</v>
      </c>
    </row>
    <row r="485" spans="15:72" x14ac:dyDescent="0.3">
      <c r="O485" t="s">
        <v>858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>
        <v>12855.5</v>
      </c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>
        <v>12855.5</v>
      </c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>
        <v>12855.5</v>
      </c>
    </row>
    <row r="486" spans="15:72" x14ac:dyDescent="0.3">
      <c r="O486" t="s">
        <v>866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>
        <v>9153</v>
      </c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>
        <v>9153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>
        <v>9153</v>
      </c>
    </row>
    <row r="487" spans="15:72" x14ac:dyDescent="0.3">
      <c r="O487" t="s">
        <v>867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v>925.5</v>
      </c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>
        <v>925.5</v>
      </c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>
        <v>925.5</v>
      </c>
    </row>
    <row r="488" spans="15:72" x14ac:dyDescent="0.3">
      <c r="O488" t="s">
        <v>868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v>6625</v>
      </c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>
        <v>6625</v>
      </c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>
        <v>6625</v>
      </c>
    </row>
    <row r="489" spans="15:72" x14ac:dyDescent="0.3">
      <c r="O489" t="s">
        <v>895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>
        <v>5268.6</v>
      </c>
      <c r="AN489" s="18"/>
      <c r="AO489" s="18"/>
      <c r="AP489" s="18"/>
      <c r="AQ489" s="18"/>
      <c r="AR489" s="18"/>
      <c r="AS489" s="18"/>
      <c r="AT489" s="18"/>
      <c r="AU489" s="18"/>
      <c r="AV489" s="18"/>
      <c r="AW489" s="18">
        <v>5268.6</v>
      </c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>
        <v>5268.6</v>
      </c>
    </row>
    <row r="490" spans="15:72" x14ac:dyDescent="0.3">
      <c r="O490" t="s">
        <v>899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>
        <v>4312.5</v>
      </c>
      <c r="AN490" s="18"/>
      <c r="AO490" s="18"/>
      <c r="AP490" s="18"/>
      <c r="AQ490" s="18"/>
      <c r="AR490" s="18"/>
      <c r="AS490" s="18"/>
      <c r="AT490" s="18"/>
      <c r="AU490" s="18"/>
      <c r="AV490" s="18"/>
      <c r="AW490" s="18">
        <v>4312.5</v>
      </c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>
        <v>4312.5</v>
      </c>
    </row>
    <row r="491" spans="15:72" x14ac:dyDescent="0.3">
      <c r="O491" t="s">
        <v>910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>
        <v>6838.5</v>
      </c>
      <c r="AN491" s="18"/>
      <c r="AO491" s="18"/>
      <c r="AP491" s="18"/>
      <c r="AQ491" s="18"/>
      <c r="AR491" s="18"/>
      <c r="AS491" s="18"/>
      <c r="AT491" s="18"/>
      <c r="AU491" s="18"/>
      <c r="AV491" s="18"/>
      <c r="AW491" s="18">
        <v>6838.5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>
        <v>6838.5</v>
      </c>
    </row>
    <row r="492" spans="15:72" x14ac:dyDescent="0.3">
      <c r="O492" t="s">
        <v>924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>
        <v>9343.9</v>
      </c>
      <c r="AO492" s="18"/>
      <c r="AP492" s="18"/>
      <c r="AQ492" s="18"/>
      <c r="AR492" s="18"/>
      <c r="AS492" s="18"/>
      <c r="AT492" s="18"/>
      <c r="AU492" s="18"/>
      <c r="AV492" s="18"/>
      <c r="AW492" s="18">
        <v>9343.9</v>
      </c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>
        <v>9343.9</v>
      </c>
    </row>
    <row r="493" spans="15:72" x14ac:dyDescent="0.3">
      <c r="O493" t="s">
        <v>927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>
        <v>11453.6</v>
      </c>
      <c r="AO493" s="18"/>
      <c r="AP493" s="18"/>
      <c r="AQ493" s="18"/>
      <c r="AR493" s="18"/>
      <c r="AS493" s="18"/>
      <c r="AT493" s="18"/>
      <c r="AU493" s="18"/>
      <c r="AV493" s="18"/>
      <c r="AW493" s="18">
        <v>11453.6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>
        <v>11453.6</v>
      </c>
    </row>
    <row r="494" spans="15:72" x14ac:dyDescent="0.3">
      <c r="O494" t="s">
        <v>931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>
        <v>1914</v>
      </c>
      <c r="AO494" s="18"/>
      <c r="AP494" s="18"/>
      <c r="AQ494" s="18"/>
      <c r="AR494" s="18"/>
      <c r="AS494" s="18"/>
      <c r="AT494" s="18"/>
      <c r="AU494" s="18"/>
      <c r="AV494" s="18"/>
      <c r="AW494" s="18">
        <v>1914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>
        <v>1914</v>
      </c>
    </row>
    <row r="495" spans="15:72" x14ac:dyDescent="0.3">
      <c r="O495" t="s">
        <v>933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>
        <v>13163</v>
      </c>
      <c r="AO495" s="18"/>
      <c r="AP495" s="18"/>
      <c r="AQ495" s="18"/>
      <c r="AR495" s="18"/>
      <c r="AS495" s="18"/>
      <c r="AT495" s="18"/>
      <c r="AU495" s="18"/>
      <c r="AV495" s="18"/>
      <c r="AW495" s="18">
        <v>13163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>
        <v>13163</v>
      </c>
    </row>
    <row r="496" spans="15:72" x14ac:dyDescent="0.3">
      <c r="O496" t="s">
        <v>934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>
        <v>11823</v>
      </c>
      <c r="AO496" s="18"/>
      <c r="AP496" s="18"/>
      <c r="AQ496" s="18"/>
      <c r="AR496" s="18"/>
      <c r="AS496" s="18"/>
      <c r="AT496" s="18"/>
      <c r="AU496" s="18"/>
      <c r="AV496" s="18"/>
      <c r="AW496" s="18">
        <v>11823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>
        <v>11823</v>
      </c>
    </row>
    <row r="497" spans="15:72" x14ac:dyDescent="0.3">
      <c r="O497" t="s">
        <v>987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>
        <v>48172.5</v>
      </c>
      <c r="AP497" s="18"/>
      <c r="AQ497" s="18"/>
      <c r="AR497" s="18"/>
      <c r="AS497" s="18"/>
      <c r="AT497" s="18"/>
      <c r="AU497" s="18"/>
      <c r="AV497" s="18"/>
      <c r="AW497" s="18">
        <v>48172.5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>
        <v>48172.5</v>
      </c>
    </row>
    <row r="498" spans="15:72" x14ac:dyDescent="0.3">
      <c r="O498" t="s">
        <v>999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>
        <v>10166.299999999999</v>
      </c>
      <c r="AP498" s="18"/>
      <c r="AQ498" s="18"/>
      <c r="AR498" s="18"/>
      <c r="AS498" s="18"/>
      <c r="AT498" s="18"/>
      <c r="AU498" s="18"/>
      <c r="AV498" s="18"/>
      <c r="AW498" s="18">
        <v>10166.299999999999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>
        <v>10166.299999999999</v>
      </c>
    </row>
    <row r="499" spans="15:72" x14ac:dyDescent="0.3">
      <c r="O499" t="s">
        <v>1010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>
        <v>7590.5</v>
      </c>
      <c r="AP499" s="18"/>
      <c r="AQ499" s="18"/>
      <c r="AR499" s="18"/>
      <c r="AS499" s="18"/>
      <c r="AT499" s="18"/>
      <c r="AU499" s="18"/>
      <c r="AV499" s="18"/>
      <c r="AW499" s="18">
        <v>7590.5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>
        <v>7590.5</v>
      </c>
    </row>
    <row r="500" spans="15:72" x14ac:dyDescent="0.3">
      <c r="O500" t="s">
        <v>1012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>
        <v>250</v>
      </c>
      <c r="AP500" s="18"/>
      <c r="AQ500" s="18"/>
      <c r="AR500" s="18"/>
      <c r="AS500" s="18"/>
      <c r="AT500" s="18"/>
      <c r="AU500" s="18"/>
      <c r="AV500" s="18"/>
      <c r="AW500" s="18">
        <v>250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>
        <v>250</v>
      </c>
    </row>
    <row r="501" spans="15:72" x14ac:dyDescent="0.3">
      <c r="O501" t="s">
        <v>1014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>
        <v>47685</v>
      </c>
      <c r="AP501" s="18"/>
      <c r="AQ501" s="18"/>
      <c r="AR501" s="18"/>
      <c r="AS501" s="18"/>
      <c r="AT501" s="18"/>
      <c r="AU501" s="18"/>
      <c r="AV501" s="18"/>
      <c r="AW501" s="18">
        <v>47685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>
        <v>47685</v>
      </c>
    </row>
    <row r="502" spans="15:72" x14ac:dyDescent="0.3">
      <c r="O502" t="s">
        <v>1050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>
        <v>403.8</v>
      </c>
      <c r="AQ502" s="18"/>
      <c r="AR502" s="18"/>
      <c r="AS502" s="18"/>
      <c r="AT502" s="18"/>
      <c r="AU502" s="18"/>
      <c r="AV502" s="18"/>
      <c r="AW502" s="18">
        <v>403.8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>
        <v>403.8</v>
      </c>
    </row>
    <row r="503" spans="15:72" x14ac:dyDescent="0.3">
      <c r="O503" t="s">
        <v>1064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>
        <v>14886.5</v>
      </c>
      <c r="AQ503" s="18"/>
      <c r="AR503" s="18"/>
      <c r="AS503" s="18"/>
      <c r="AT503" s="18"/>
      <c r="AU503" s="18"/>
      <c r="AV503" s="18"/>
      <c r="AW503" s="18">
        <v>14886.5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>
        <v>14886.5</v>
      </c>
    </row>
    <row r="504" spans="15:72" x14ac:dyDescent="0.3">
      <c r="O504" t="s">
        <v>1075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>
        <v>17236.599999999999</v>
      </c>
      <c r="AQ504" s="18"/>
      <c r="AR504" s="18"/>
      <c r="AS504" s="18"/>
      <c r="AT504" s="18"/>
      <c r="AU504" s="18"/>
      <c r="AV504" s="18"/>
      <c r="AW504" s="18">
        <v>17236.599999999999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>
        <v>17236.599999999999</v>
      </c>
    </row>
    <row r="505" spans="15:72" x14ac:dyDescent="0.3">
      <c r="O505" t="s">
        <v>1109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v>4489</v>
      </c>
      <c r="AR505" s="18"/>
      <c r="AS505" s="18"/>
      <c r="AT505" s="18"/>
      <c r="AU505" s="18"/>
      <c r="AV505" s="18"/>
      <c r="AW505" s="18">
        <v>4489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>
        <v>4489</v>
      </c>
    </row>
    <row r="506" spans="15:72" x14ac:dyDescent="0.3">
      <c r="O506" t="s">
        <v>1111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v>3915</v>
      </c>
      <c r="AR506" s="18"/>
      <c r="AS506" s="18"/>
      <c r="AT506" s="18"/>
      <c r="AU506" s="18"/>
      <c r="AV506" s="18"/>
      <c r="AW506" s="18">
        <v>3915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>
        <v>3915</v>
      </c>
    </row>
    <row r="507" spans="15:72" x14ac:dyDescent="0.3">
      <c r="O507" t="s">
        <v>1115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v>7395.5</v>
      </c>
      <c r="AR507" s="18"/>
      <c r="AS507" s="18"/>
      <c r="AT507" s="18"/>
      <c r="AU507" s="18"/>
      <c r="AV507" s="18"/>
      <c r="AW507" s="18">
        <v>7395.5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>
        <v>7395.5</v>
      </c>
    </row>
    <row r="508" spans="15:72" x14ac:dyDescent="0.3">
      <c r="O508" t="s">
        <v>1122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v>49088.1</v>
      </c>
      <c r="AR508" s="18"/>
      <c r="AS508" s="18"/>
      <c r="AT508" s="18"/>
      <c r="AU508" s="18"/>
      <c r="AV508" s="18"/>
      <c r="AW508" s="18">
        <v>49088.1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>
        <v>49088.1</v>
      </c>
    </row>
    <row r="509" spans="15:72" x14ac:dyDescent="0.3">
      <c r="O509" t="s">
        <v>1127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v>47686.5</v>
      </c>
      <c r="AR509" s="18"/>
      <c r="AS509" s="18"/>
      <c r="AT509" s="18"/>
      <c r="AU509" s="18"/>
      <c r="AV509" s="18"/>
      <c r="AW509" s="18">
        <v>47686.5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>
        <v>47686.5</v>
      </c>
    </row>
    <row r="510" spans="15:72" x14ac:dyDescent="0.3">
      <c r="O510" t="s">
        <v>1138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v>1008</v>
      </c>
      <c r="AR510" s="18"/>
      <c r="AS510" s="18"/>
      <c r="AT510" s="18"/>
      <c r="AU510" s="18"/>
      <c r="AV510" s="18"/>
      <c r="AW510" s="18">
        <v>1008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>
        <v>1008</v>
      </c>
    </row>
    <row r="511" spans="15:72" x14ac:dyDescent="0.3">
      <c r="O511" t="s">
        <v>1139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v>21740.5</v>
      </c>
      <c r="AR511" s="18"/>
      <c r="AS511" s="18"/>
      <c r="AT511" s="18"/>
      <c r="AU511" s="18"/>
      <c r="AV511" s="18"/>
      <c r="AW511" s="18">
        <v>21740.5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>
        <v>21740.5</v>
      </c>
    </row>
    <row r="512" spans="15:72" x14ac:dyDescent="0.3">
      <c r="O512" t="s">
        <v>1167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>
        <v>31500</v>
      </c>
      <c r="BF512" s="18"/>
      <c r="BG512" s="18"/>
      <c r="BH512" s="18"/>
      <c r="BI512" s="18"/>
      <c r="BJ512" s="18">
        <v>31500</v>
      </c>
      <c r="BK512" s="18"/>
      <c r="BL512" s="18"/>
      <c r="BM512" s="18"/>
      <c r="BN512" s="18"/>
      <c r="BO512" s="18"/>
      <c r="BP512" s="18"/>
      <c r="BQ512" s="18"/>
      <c r="BR512" s="18"/>
      <c r="BS512" s="18"/>
      <c r="BT512" s="18">
        <v>31500</v>
      </c>
    </row>
    <row r="513" spans="15:72" x14ac:dyDescent="0.3">
      <c r="O513" t="s">
        <v>1171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>
        <v>9213.5</v>
      </c>
      <c r="BF513" s="18"/>
      <c r="BG513" s="18"/>
      <c r="BH513" s="18"/>
      <c r="BI513" s="18"/>
      <c r="BJ513" s="18">
        <v>9213.5</v>
      </c>
      <c r="BK513" s="18"/>
      <c r="BL513" s="18"/>
      <c r="BM513" s="18"/>
      <c r="BN513" s="18"/>
      <c r="BO513" s="18"/>
      <c r="BP513" s="18"/>
      <c r="BQ513" s="18"/>
      <c r="BR513" s="18"/>
      <c r="BS513" s="18"/>
      <c r="BT513" s="18">
        <v>9213.5</v>
      </c>
    </row>
    <row r="514" spans="15:72" x14ac:dyDescent="0.3">
      <c r="O514" t="s">
        <v>1174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>
        <v>800</v>
      </c>
      <c r="BF514" s="18"/>
      <c r="BG514" s="18"/>
      <c r="BH514" s="18"/>
      <c r="BI514" s="18"/>
      <c r="BJ514" s="18">
        <v>800</v>
      </c>
      <c r="BK514" s="18"/>
      <c r="BL514" s="18"/>
      <c r="BM514" s="18"/>
      <c r="BN514" s="18"/>
      <c r="BO514" s="18"/>
      <c r="BP514" s="18"/>
      <c r="BQ514" s="18"/>
      <c r="BR514" s="18"/>
      <c r="BS514" s="18"/>
      <c r="BT514" s="18">
        <v>800</v>
      </c>
    </row>
    <row r="515" spans="15:72" x14ac:dyDescent="0.3">
      <c r="O515" t="s">
        <v>1181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>
        <v>15570.5</v>
      </c>
      <c r="BF515" s="18"/>
      <c r="BG515" s="18"/>
      <c r="BH515" s="18"/>
      <c r="BI515" s="18"/>
      <c r="BJ515" s="18">
        <v>15570.5</v>
      </c>
      <c r="BK515" s="18"/>
      <c r="BL515" s="18"/>
      <c r="BM515" s="18"/>
      <c r="BN515" s="18"/>
      <c r="BO515" s="18"/>
      <c r="BP515" s="18"/>
      <c r="BQ515" s="18"/>
      <c r="BR515" s="18"/>
      <c r="BS515" s="18"/>
      <c r="BT515" s="18">
        <v>15570.5</v>
      </c>
    </row>
    <row r="516" spans="15:72" x14ac:dyDescent="0.3">
      <c r="O516" t="s">
        <v>1189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14150.5</v>
      </c>
      <c r="BF516" s="18"/>
      <c r="BG516" s="18"/>
      <c r="BH516" s="18"/>
      <c r="BI516" s="18"/>
      <c r="BJ516" s="18">
        <v>14150.5</v>
      </c>
      <c r="BK516" s="18"/>
      <c r="BL516" s="18"/>
      <c r="BM516" s="18"/>
      <c r="BN516" s="18"/>
      <c r="BO516" s="18"/>
      <c r="BP516" s="18"/>
      <c r="BQ516" s="18"/>
      <c r="BR516" s="18"/>
      <c r="BS516" s="18"/>
      <c r="BT516" s="18">
        <v>14150.5</v>
      </c>
    </row>
    <row r="517" spans="15:72" x14ac:dyDescent="0.3">
      <c r="O517" t="s">
        <v>1193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>
        <v>14565</v>
      </c>
      <c r="BF517" s="18"/>
      <c r="BG517" s="18"/>
      <c r="BH517" s="18"/>
      <c r="BI517" s="18"/>
      <c r="BJ517" s="18">
        <v>14565</v>
      </c>
      <c r="BK517" s="18"/>
      <c r="BL517" s="18"/>
      <c r="BM517" s="18"/>
      <c r="BN517" s="18"/>
      <c r="BO517" s="18"/>
      <c r="BP517" s="18"/>
      <c r="BQ517" s="18"/>
      <c r="BR517" s="18"/>
      <c r="BS517" s="18"/>
      <c r="BT517" s="18">
        <v>14565</v>
      </c>
    </row>
    <row r="518" spans="15:72" x14ac:dyDescent="0.3">
      <c r="O518" t="s">
        <v>1204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>
        <v>14617.8</v>
      </c>
      <c r="BF518" s="18"/>
      <c r="BG518" s="18"/>
      <c r="BH518" s="18"/>
      <c r="BI518" s="18"/>
      <c r="BJ518" s="18">
        <v>14617.8</v>
      </c>
      <c r="BK518" s="18"/>
      <c r="BL518" s="18"/>
      <c r="BM518" s="18"/>
      <c r="BN518" s="18"/>
      <c r="BO518" s="18"/>
      <c r="BP518" s="18"/>
      <c r="BQ518" s="18"/>
      <c r="BR518" s="18"/>
      <c r="BS518" s="18"/>
      <c r="BT518" s="18">
        <v>14617.8</v>
      </c>
    </row>
    <row r="519" spans="15:72" x14ac:dyDescent="0.3">
      <c r="O519" t="s">
        <v>1237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>
        <v>7081.8</v>
      </c>
      <c r="BG519" s="18"/>
      <c r="BH519" s="18"/>
      <c r="BI519" s="18"/>
      <c r="BJ519" s="18">
        <v>7081.8</v>
      </c>
      <c r="BK519" s="18"/>
      <c r="BL519" s="18"/>
      <c r="BM519" s="18"/>
      <c r="BN519" s="18"/>
      <c r="BO519" s="18"/>
      <c r="BP519" s="18"/>
      <c r="BQ519" s="18"/>
      <c r="BR519" s="18"/>
      <c r="BS519" s="18"/>
      <c r="BT519" s="18">
        <v>7081.8</v>
      </c>
    </row>
    <row r="520" spans="15:72" x14ac:dyDescent="0.3">
      <c r="O520" t="s">
        <v>1245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>
        <v>13868.8</v>
      </c>
      <c r="BG520" s="18"/>
      <c r="BH520" s="18"/>
      <c r="BI520" s="18"/>
      <c r="BJ520" s="18">
        <v>13868.8</v>
      </c>
      <c r="BK520" s="18"/>
      <c r="BL520" s="18"/>
      <c r="BM520" s="18"/>
      <c r="BN520" s="18"/>
      <c r="BO520" s="18"/>
      <c r="BP520" s="18"/>
      <c r="BQ520" s="18"/>
      <c r="BR520" s="18"/>
      <c r="BS520" s="18"/>
      <c r="BT520" s="18">
        <v>13868.8</v>
      </c>
    </row>
    <row r="521" spans="15:72" x14ac:dyDescent="0.3">
      <c r="O521" t="s">
        <v>1247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>
        <v>250</v>
      </c>
      <c r="BG521" s="18"/>
      <c r="BH521" s="18"/>
      <c r="BI521" s="18"/>
      <c r="BJ521" s="18">
        <v>250</v>
      </c>
      <c r="BK521" s="18"/>
      <c r="BL521" s="18"/>
      <c r="BM521" s="18"/>
      <c r="BN521" s="18"/>
      <c r="BO521" s="18"/>
      <c r="BP521" s="18"/>
      <c r="BQ521" s="18"/>
      <c r="BR521" s="18"/>
      <c r="BS521" s="18"/>
      <c r="BT521" s="18">
        <v>250</v>
      </c>
    </row>
    <row r="522" spans="15:72" x14ac:dyDescent="0.3">
      <c r="O522" t="s">
        <v>1254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>
        <v>15226.8</v>
      </c>
      <c r="BG522" s="18"/>
      <c r="BH522" s="18"/>
      <c r="BI522" s="18"/>
      <c r="BJ522" s="18">
        <v>15226.8</v>
      </c>
      <c r="BK522" s="18"/>
      <c r="BL522" s="18"/>
      <c r="BM522" s="18"/>
      <c r="BN522" s="18"/>
      <c r="BO522" s="18"/>
      <c r="BP522" s="18"/>
      <c r="BQ522" s="18"/>
      <c r="BR522" s="18"/>
      <c r="BS522" s="18"/>
      <c r="BT522" s="18">
        <v>15226.8</v>
      </c>
    </row>
    <row r="523" spans="15:72" x14ac:dyDescent="0.3">
      <c r="O523" t="s">
        <v>1255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>
        <v>312.5</v>
      </c>
      <c r="BG523" s="18"/>
      <c r="BH523" s="18"/>
      <c r="BI523" s="18"/>
      <c r="BJ523" s="18">
        <v>312.5</v>
      </c>
      <c r="BK523" s="18"/>
      <c r="BL523" s="18"/>
      <c r="BM523" s="18"/>
      <c r="BN523" s="18"/>
      <c r="BO523" s="18"/>
      <c r="BP523" s="18"/>
      <c r="BQ523" s="18"/>
      <c r="BR523" s="18"/>
      <c r="BS523" s="18"/>
      <c r="BT523" s="18">
        <v>312.5</v>
      </c>
    </row>
    <row r="524" spans="15:72" x14ac:dyDescent="0.3">
      <c r="O524" t="s">
        <v>1263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>
        <v>13369.6</v>
      </c>
      <c r="BG524" s="18"/>
      <c r="BH524" s="18"/>
      <c r="BI524" s="18"/>
      <c r="BJ524" s="18">
        <v>13369.6</v>
      </c>
      <c r="BK524" s="18"/>
      <c r="BL524" s="18"/>
      <c r="BM524" s="18"/>
      <c r="BN524" s="18"/>
      <c r="BO524" s="18"/>
      <c r="BP524" s="18"/>
      <c r="BQ524" s="18"/>
      <c r="BR524" s="18"/>
      <c r="BS524" s="18"/>
      <c r="BT524" s="18">
        <v>13369.6</v>
      </c>
    </row>
    <row r="525" spans="15:72" x14ac:dyDescent="0.3">
      <c r="O525" t="s">
        <v>1266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>
        <v>437.5</v>
      </c>
      <c r="BG525" s="18"/>
      <c r="BH525" s="18"/>
      <c r="BI525" s="18"/>
      <c r="BJ525" s="18">
        <v>437.5</v>
      </c>
      <c r="BK525" s="18"/>
      <c r="BL525" s="18"/>
      <c r="BM525" s="18"/>
      <c r="BN525" s="18"/>
      <c r="BO525" s="18"/>
      <c r="BP525" s="18"/>
      <c r="BQ525" s="18"/>
      <c r="BR525" s="18"/>
      <c r="BS525" s="18"/>
      <c r="BT525" s="18">
        <v>437.5</v>
      </c>
    </row>
    <row r="526" spans="15:72" x14ac:dyDescent="0.3">
      <c r="O526" t="s">
        <v>1267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>
        <v>7304</v>
      </c>
      <c r="BG526" s="18"/>
      <c r="BH526" s="18"/>
      <c r="BI526" s="18"/>
      <c r="BJ526" s="18">
        <v>7304</v>
      </c>
      <c r="BK526" s="18"/>
      <c r="BL526" s="18"/>
      <c r="BM526" s="18"/>
      <c r="BN526" s="18"/>
      <c r="BO526" s="18"/>
      <c r="BP526" s="18"/>
      <c r="BQ526" s="18"/>
      <c r="BR526" s="18"/>
      <c r="BS526" s="18"/>
      <c r="BT526" s="18">
        <v>7304</v>
      </c>
    </row>
    <row r="527" spans="15:72" x14ac:dyDescent="0.3">
      <c r="O527" t="s">
        <v>1274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>
        <v>750</v>
      </c>
      <c r="BG527" s="18"/>
      <c r="BH527" s="18"/>
      <c r="BI527" s="18"/>
      <c r="BJ527" s="18">
        <v>750</v>
      </c>
      <c r="BK527" s="18"/>
      <c r="BL527" s="18"/>
      <c r="BM527" s="18"/>
      <c r="BN527" s="18"/>
      <c r="BO527" s="18"/>
      <c r="BP527" s="18"/>
      <c r="BQ527" s="18"/>
      <c r="BR527" s="18"/>
      <c r="BS527" s="18"/>
      <c r="BT527" s="18">
        <v>750</v>
      </c>
    </row>
    <row r="528" spans="15:72" x14ac:dyDescent="0.3">
      <c r="O528" t="s">
        <v>1275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>
        <v>43750</v>
      </c>
      <c r="BG528" s="18"/>
      <c r="BH528" s="18"/>
      <c r="BI528" s="18"/>
      <c r="BJ528" s="18">
        <v>43750</v>
      </c>
      <c r="BK528" s="18"/>
      <c r="BL528" s="18"/>
      <c r="BM528" s="18"/>
      <c r="BN528" s="18"/>
      <c r="BO528" s="18"/>
      <c r="BP528" s="18"/>
      <c r="BQ528" s="18"/>
      <c r="BR528" s="18"/>
      <c r="BS528" s="18"/>
      <c r="BT528" s="18">
        <v>43750</v>
      </c>
    </row>
    <row r="529" spans="15:72" x14ac:dyDescent="0.3">
      <c r="O529" t="s">
        <v>1277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>
        <v>1567.5</v>
      </c>
      <c r="BG529" s="18"/>
      <c r="BH529" s="18"/>
      <c r="BI529" s="18"/>
      <c r="BJ529" s="18">
        <v>1567.5</v>
      </c>
      <c r="BK529" s="18"/>
      <c r="BL529" s="18"/>
      <c r="BM529" s="18"/>
      <c r="BN529" s="18"/>
      <c r="BO529" s="18"/>
      <c r="BP529" s="18"/>
      <c r="BQ529" s="18"/>
      <c r="BR529" s="18"/>
      <c r="BS529" s="18"/>
      <c r="BT529" s="18">
        <v>1567.5</v>
      </c>
    </row>
    <row r="530" spans="15:72" x14ac:dyDescent="0.3">
      <c r="O530" t="s">
        <v>1307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>
        <v>937.5</v>
      </c>
      <c r="BH530" s="18"/>
      <c r="BI530" s="18"/>
      <c r="BJ530" s="18">
        <v>937.5</v>
      </c>
      <c r="BK530" s="18"/>
      <c r="BL530" s="18"/>
      <c r="BM530" s="18"/>
      <c r="BN530" s="18"/>
      <c r="BO530" s="18"/>
      <c r="BP530" s="18"/>
      <c r="BQ530" s="18"/>
      <c r="BR530" s="18"/>
      <c r="BS530" s="18"/>
      <c r="BT530" s="18">
        <v>937.5</v>
      </c>
    </row>
    <row r="531" spans="15:72" x14ac:dyDescent="0.3">
      <c r="O531" t="s">
        <v>1311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>
        <v>42610</v>
      </c>
      <c r="BH531" s="18"/>
      <c r="BI531" s="18"/>
      <c r="BJ531" s="18">
        <v>42610</v>
      </c>
      <c r="BK531" s="18"/>
      <c r="BL531" s="18"/>
      <c r="BM531" s="18"/>
      <c r="BN531" s="18"/>
      <c r="BO531" s="18"/>
      <c r="BP531" s="18"/>
      <c r="BQ531" s="18"/>
      <c r="BR531" s="18"/>
      <c r="BS531" s="18"/>
      <c r="BT531" s="18">
        <v>42610</v>
      </c>
    </row>
    <row r="532" spans="15:72" x14ac:dyDescent="0.3">
      <c r="O532" t="s">
        <v>1331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>
        <v>200</v>
      </c>
      <c r="BH532" s="18"/>
      <c r="BI532" s="18"/>
      <c r="BJ532" s="18">
        <v>200</v>
      </c>
      <c r="BK532" s="18"/>
      <c r="BL532" s="18"/>
      <c r="BM532" s="18"/>
      <c r="BN532" s="18"/>
      <c r="BO532" s="18"/>
      <c r="BP532" s="18"/>
      <c r="BQ532" s="18"/>
      <c r="BR532" s="18"/>
      <c r="BS532" s="18"/>
      <c r="BT532" s="18">
        <v>200</v>
      </c>
    </row>
    <row r="533" spans="15:72" x14ac:dyDescent="0.3">
      <c r="O533" t="s">
        <v>1335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>
        <v>625</v>
      </c>
      <c r="BH533" s="18"/>
      <c r="BI533" s="18"/>
      <c r="BJ533" s="18">
        <v>625</v>
      </c>
      <c r="BK533" s="18"/>
      <c r="BL533" s="18"/>
      <c r="BM533" s="18"/>
      <c r="BN533" s="18"/>
      <c r="BO533" s="18"/>
      <c r="BP533" s="18"/>
      <c r="BQ533" s="18"/>
      <c r="BR533" s="18"/>
      <c r="BS533" s="18"/>
      <c r="BT533" s="18">
        <v>625</v>
      </c>
    </row>
    <row r="534" spans="15:72" x14ac:dyDescent="0.3">
      <c r="O534" t="s">
        <v>1336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>
        <v>29168</v>
      </c>
      <c r="BH534" s="18"/>
      <c r="BI534" s="18"/>
      <c r="BJ534" s="18">
        <v>29168</v>
      </c>
      <c r="BK534" s="18"/>
      <c r="BL534" s="18"/>
      <c r="BM534" s="18"/>
      <c r="BN534" s="18"/>
      <c r="BO534" s="18"/>
      <c r="BP534" s="18"/>
      <c r="BQ534" s="18"/>
      <c r="BR534" s="18"/>
      <c r="BS534" s="18"/>
      <c r="BT534" s="18">
        <v>29168</v>
      </c>
    </row>
    <row r="535" spans="15:72" x14ac:dyDescent="0.3">
      <c r="O535" t="s">
        <v>1346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>
        <v>312.5</v>
      </c>
      <c r="BH535" s="18"/>
      <c r="BI535" s="18"/>
      <c r="BJ535" s="18">
        <v>312.5</v>
      </c>
      <c r="BK535" s="18"/>
      <c r="BL535" s="18"/>
      <c r="BM535" s="18"/>
      <c r="BN535" s="18"/>
      <c r="BO535" s="18"/>
      <c r="BP535" s="18"/>
      <c r="BQ535" s="18"/>
      <c r="BR535" s="18"/>
      <c r="BS535" s="18"/>
      <c r="BT535" s="18">
        <v>312.5</v>
      </c>
    </row>
    <row r="536" spans="15:72" x14ac:dyDescent="0.3">
      <c r="O536" t="s">
        <v>1347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>
        <v>15506</v>
      </c>
      <c r="BH536" s="18"/>
      <c r="BI536" s="18"/>
      <c r="BJ536" s="18">
        <v>15506</v>
      </c>
      <c r="BK536" s="18"/>
      <c r="BL536" s="18"/>
      <c r="BM536" s="18"/>
      <c r="BN536" s="18"/>
      <c r="BO536" s="18"/>
      <c r="BP536" s="18"/>
      <c r="BQ536" s="18"/>
      <c r="BR536" s="18"/>
      <c r="BS536" s="18"/>
      <c r="BT536" s="18">
        <v>15506</v>
      </c>
    </row>
    <row r="537" spans="15:72" x14ac:dyDescent="0.3">
      <c r="O537" t="s">
        <v>1365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>
        <v>312.5</v>
      </c>
      <c r="BH537" s="18"/>
      <c r="BI537" s="18"/>
      <c r="BJ537" s="18">
        <v>312.5</v>
      </c>
      <c r="BK537" s="18"/>
      <c r="BL537" s="18"/>
      <c r="BM537" s="18"/>
      <c r="BN537" s="18"/>
      <c r="BO537" s="18"/>
      <c r="BP537" s="18"/>
      <c r="BQ537" s="18"/>
      <c r="BR537" s="18"/>
      <c r="BS537" s="18"/>
      <c r="BT537" s="18">
        <v>312.5</v>
      </c>
    </row>
    <row r="538" spans="15:72" x14ac:dyDescent="0.3">
      <c r="O538" t="s">
        <v>1366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>
        <v>12610</v>
      </c>
      <c r="BH538" s="18"/>
      <c r="BI538" s="18"/>
      <c r="BJ538" s="18">
        <v>12610</v>
      </c>
      <c r="BK538" s="18"/>
      <c r="BL538" s="18"/>
      <c r="BM538" s="18"/>
      <c r="BN538" s="18"/>
      <c r="BO538" s="18"/>
      <c r="BP538" s="18"/>
      <c r="BQ538" s="18"/>
      <c r="BR538" s="18"/>
      <c r="BS538" s="18"/>
      <c r="BT538" s="18">
        <v>12610</v>
      </c>
    </row>
    <row r="539" spans="15:72" x14ac:dyDescent="0.3">
      <c r="O539" t="s">
        <v>1407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>
        <v>30445</v>
      </c>
      <c r="BI539" s="18"/>
      <c r="BJ539" s="18">
        <v>30445</v>
      </c>
      <c r="BK539" s="18"/>
      <c r="BL539" s="18"/>
      <c r="BM539" s="18"/>
      <c r="BN539" s="18"/>
      <c r="BO539" s="18"/>
      <c r="BP539" s="18"/>
      <c r="BQ539" s="18"/>
      <c r="BR539" s="18"/>
      <c r="BS539" s="18"/>
      <c r="BT539" s="18">
        <v>30445</v>
      </c>
    </row>
    <row r="540" spans="15:72" x14ac:dyDescent="0.3">
      <c r="O540" t="s">
        <v>1418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>
        <v>1000</v>
      </c>
      <c r="BI540" s="18"/>
      <c r="BJ540" s="18">
        <v>1000</v>
      </c>
      <c r="BK540" s="18"/>
      <c r="BL540" s="18"/>
      <c r="BM540" s="18"/>
      <c r="BN540" s="18"/>
      <c r="BO540" s="18"/>
      <c r="BP540" s="18"/>
      <c r="BQ540" s="18"/>
      <c r="BR540" s="18"/>
      <c r="BS540" s="18"/>
      <c r="BT540" s="18">
        <v>1000</v>
      </c>
    </row>
    <row r="541" spans="15:72" x14ac:dyDescent="0.3">
      <c r="O541" t="s">
        <v>1433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>
        <v>312.5</v>
      </c>
      <c r="BI541" s="18"/>
      <c r="BJ541" s="18">
        <v>312.5</v>
      </c>
      <c r="BK541" s="18"/>
      <c r="BL541" s="18"/>
      <c r="BM541" s="18"/>
      <c r="BN541" s="18"/>
      <c r="BO541" s="18"/>
      <c r="BP541" s="18"/>
      <c r="BQ541" s="18"/>
      <c r="BR541" s="18"/>
      <c r="BS541" s="18"/>
      <c r="BT541" s="18">
        <v>312.5</v>
      </c>
    </row>
    <row r="542" spans="15:72" x14ac:dyDescent="0.3">
      <c r="O542" t="s">
        <v>1434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>
        <v>15182.2</v>
      </c>
      <c r="BI542" s="18"/>
      <c r="BJ542" s="18">
        <v>15182.2</v>
      </c>
      <c r="BK542" s="18"/>
      <c r="BL542" s="18"/>
      <c r="BM542" s="18"/>
      <c r="BN542" s="18"/>
      <c r="BO542" s="18"/>
      <c r="BP542" s="18"/>
      <c r="BQ542" s="18"/>
      <c r="BR542" s="18"/>
      <c r="BS542" s="18"/>
      <c r="BT542" s="18">
        <v>15182.2</v>
      </c>
    </row>
    <row r="543" spans="15:72" x14ac:dyDescent="0.3">
      <c r="O543" t="s">
        <v>1463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>
        <v>2466</v>
      </c>
      <c r="BI543" s="18"/>
      <c r="BJ543" s="18">
        <v>2466</v>
      </c>
      <c r="BK543" s="18"/>
      <c r="BL543" s="18"/>
      <c r="BM543" s="18"/>
      <c r="BN543" s="18"/>
      <c r="BO543" s="18"/>
      <c r="BP543" s="18"/>
      <c r="BQ543" s="18"/>
      <c r="BR543" s="18"/>
      <c r="BS543" s="18"/>
      <c r="BT543" s="18">
        <v>2466</v>
      </c>
    </row>
    <row r="544" spans="15:72" x14ac:dyDescent="0.3">
      <c r="O544" t="s">
        <v>1531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>
        <v>187.5</v>
      </c>
      <c r="BJ544" s="18">
        <v>187.5</v>
      </c>
      <c r="BK544" s="18"/>
      <c r="BL544" s="18"/>
      <c r="BM544" s="18"/>
      <c r="BN544" s="18"/>
      <c r="BO544" s="18"/>
      <c r="BP544" s="18"/>
      <c r="BQ544" s="18"/>
      <c r="BR544" s="18"/>
      <c r="BS544" s="18"/>
      <c r="BT544" s="18">
        <v>187.5</v>
      </c>
    </row>
    <row r="545" spans="15:72" x14ac:dyDescent="0.3">
      <c r="O545" t="s">
        <v>1532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>
        <v>10079.6</v>
      </c>
      <c r="BJ545" s="18">
        <v>10079.6</v>
      </c>
      <c r="BK545" s="18"/>
      <c r="BL545" s="18"/>
      <c r="BM545" s="18"/>
      <c r="BN545" s="18"/>
      <c r="BO545" s="18"/>
      <c r="BP545" s="18"/>
      <c r="BQ545" s="18"/>
      <c r="BR545" s="18"/>
      <c r="BS545" s="18"/>
      <c r="BT545" s="18">
        <v>10079.6</v>
      </c>
    </row>
    <row r="546" spans="15:72" x14ac:dyDescent="0.3">
      <c r="O546" t="s">
        <v>1538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>
        <v>937.5</v>
      </c>
      <c r="BJ546" s="18">
        <v>937.5</v>
      </c>
      <c r="BK546" s="18"/>
      <c r="BL546" s="18"/>
      <c r="BM546" s="18"/>
      <c r="BN546" s="18"/>
      <c r="BO546" s="18"/>
      <c r="BP546" s="18"/>
      <c r="BQ546" s="18"/>
      <c r="BR546" s="18"/>
      <c r="BS546" s="18"/>
      <c r="BT546" s="18">
        <v>937.5</v>
      </c>
    </row>
    <row r="547" spans="15:72" x14ac:dyDescent="0.3">
      <c r="O547" t="s">
        <v>1539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>
        <v>45901.2</v>
      </c>
      <c r="BJ547" s="18">
        <v>45901.2</v>
      </c>
      <c r="BK547" s="18"/>
      <c r="BL547" s="18"/>
      <c r="BM547" s="18"/>
      <c r="BN547" s="18"/>
      <c r="BO547" s="18"/>
      <c r="BP547" s="18"/>
      <c r="BQ547" s="18"/>
      <c r="BR547" s="18"/>
      <c r="BS547" s="18"/>
      <c r="BT547" s="18">
        <v>45901.2</v>
      </c>
    </row>
    <row r="548" spans="15:72" x14ac:dyDescent="0.3">
      <c r="O548" t="s">
        <v>1555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>
        <v>187.5</v>
      </c>
      <c r="BJ548" s="18">
        <v>187.5</v>
      </c>
      <c r="BK548" s="18"/>
      <c r="BL548" s="18"/>
      <c r="BM548" s="18"/>
      <c r="BN548" s="18"/>
      <c r="BO548" s="18"/>
      <c r="BP548" s="18"/>
      <c r="BQ548" s="18"/>
      <c r="BR548" s="18"/>
      <c r="BS548" s="18"/>
      <c r="BT548" s="18">
        <v>187.5</v>
      </c>
    </row>
    <row r="549" spans="15:72" x14ac:dyDescent="0.3">
      <c r="O549" t="s">
        <v>1556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>
        <v>10713.8</v>
      </c>
      <c r="BJ549" s="18">
        <v>10713.8</v>
      </c>
      <c r="BK549" s="18"/>
      <c r="BL549" s="18"/>
      <c r="BM549" s="18"/>
      <c r="BN549" s="18"/>
      <c r="BO549" s="18"/>
      <c r="BP549" s="18"/>
      <c r="BQ549" s="18"/>
      <c r="BR549" s="18"/>
      <c r="BS549" s="18"/>
      <c r="BT549" s="18">
        <v>10713.8</v>
      </c>
    </row>
    <row r="550" spans="15:72" x14ac:dyDescent="0.3">
      <c r="O550" t="s">
        <v>1559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>
        <v>2815.1</v>
      </c>
      <c r="BJ550" s="18">
        <v>2815.1</v>
      </c>
      <c r="BK550" s="18"/>
      <c r="BL550" s="18"/>
      <c r="BM550" s="18"/>
      <c r="BN550" s="18"/>
      <c r="BO550" s="18"/>
      <c r="BP550" s="18"/>
      <c r="BQ550" s="18"/>
      <c r="BR550" s="18"/>
      <c r="BS550" s="18"/>
      <c r="BT550" s="18">
        <v>2815.1</v>
      </c>
    </row>
    <row r="551" spans="15:72" x14ac:dyDescent="0.3">
      <c r="O551" t="s">
        <v>1633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>
        <v>375</v>
      </c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>
        <v>375</v>
      </c>
      <c r="BK551" s="18"/>
      <c r="BL551" s="18"/>
      <c r="BM551" s="18"/>
      <c r="BN551" s="18"/>
      <c r="BO551" s="18"/>
      <c r="BP551" s="18"/>
      <c r="BQ551" s="18"/>
      <c r="BR551" s="18"/>
      <c r="BS551" s="18"/>
      <c r="BT551" s="18">
        <v>375</v>
      </c>
    </row>
    <row r="552" spans="15:72" x14ac:dyDescent="0.3">
      <c r="O552" t="s">
        <v>1634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>
        <v>16367</v>
      </c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>
        <v>16367</v>
      </c>
      <c r="BK552" s="18"/>
      <c r="BL552" s="18"/>
      <c r="BM552" s="18"/>
      <c r="BN552" s="18"/>
      <c r="BO552" s="18"/>
      <c r="BP552" s="18"/>
      <c r="BQ552" s="18"/>
      <c r="BR552" s="18"/>
      <c r="BS552" s="18"/>
      <c r="BT552" s="18">
        <v>16367</v>
      </c>
    </row>
    <row r="553" spans="15:72" x14ac:dyDescent="0.3">
      <c r="O553" t="s">
        <v>1706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>
        <v>112.9</v>
      </c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>
        <v>112.9</v>
      </c>
      <c r="BK553" s="18"/>
      <c r="BL553" s="18"/>
      <c r="BM553" s="18"/>
      <c r="BN553" s="18"/>
      <c r="BO553" s="18"/>
      <c r="BP553" s="18"/>
      <c r="BQ553" s="18"/>
      <c r="BR553" s="18"/>
      <c r="BS553" s="18"/>
      <c r="BT553" s="18">
        <v>112.9</v>
      </c>
    </row>
    <row r="554" spans="15:72" x14ac:dyDescent="0.3">
      <c r="O554" t="s">
        <v>1725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>
        <v>62.5</v>
      </c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>
        <v>62.5</v>
      </c>
      <c r="BK554" s="18"/>
      <c r="BL554" s="18"/>
      <c r="BM554" s="18"/>
      <c r="BN554" s="18"/>
      <c r="BO554" s="18"/>
      <c r="BP554" s="18"/>
      <c r="BQ554" s="18"/>
      <c r="BR554" s="18"/>
      <c r="BS554" s="18"/>
      <c r="BT554" s="18">
        <v>62.5</v>
      </c>
    </row>
    <row r="555" spans="15:72" x14ac:dyDescent="0.3">
      <c r="O555" t="s">
        <v>1731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>
        <v>6194</v>
      </c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>
        <v>6194</v>
      </c>
      <c r="BK555" s="18"/>
      <c r="BL555" s="18"/>
      <c r="BM555" s="18"/>
      <c r="BN555" s="18"/>
      <c r="BO555" s="18"/>
      <c r="BP555" s="18"/>
      <c r="BQ555" s="18"/>
      <c r="BR555" s="18"/>
      <c r="BS555" s="18"/>
      <c r="BT555" s="18">
        <v>6194</v>
      </c>
    </row>
    <row r="556" spans="15:72" x14ac:dyDescent="0.3">
      <c r="O556" t="s">
        <v>1735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>
        <v>187.5</v>
      </c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>
        <v>187.5</v>
      </c>
      <c r="BK556" s="18"/>
      <c r="BL556" s="18"/>
      <c r="BM556" s="18"/>
      <c r="BN556" s="18"/>
      <c r="BO556" s="18"/>
      <c r="BP556" s="18"/>
      <c r="BQ556" s="18"/>
      <c r="BR556" s="18"/>
      <c r="BS556" s="18"/>
      <c r="BT556" s="18">
        <v>187.5</v>
      </c>
    </row>
    <row r="557" spans="15:72" x14ac:dyDescent="0.3">
      <c r="O557" t="s">
        <v>1736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>
        <v>7121</v>
      </c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>
        <v>7121</v>
      </c>
      <c r="BK557" s="18"/>
      <c r="BL557" s="18"/>
      <c r="BM557" s="18"/>
      <c r="BN557" s="18"/>
      <c r="BO557" s="18"/>
      <c r="BP557" s="18"/>
      <c r="BQ557" s="18"/>
      <c r="BR557" s="18"/>
      <c r="BS557" s="18"/>
      <c r="BT557" s="18">
        <v>7121</v>
      </c>
    </row>
    <row r="558" spans="15:72" x14ac:dyDescent="0.3">
      <c r="O558" t="s">
        <v>1799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>
        <v>5858</v>
      </c>
      <c r="BA558" s="18"/>
      <c r="BB558" s="18"/>
      <c r="BC558" s="18"/>
      <c r="BD558" s="18"/>
      <c r="BE558" s="18"/>
      <c r="BF558" s="18"/>
      <c r="BG558" s="18"/>
      <c r="BH558" s="18"/>
      <c r="BI558" s="18"/>
      <c r="BJ558" s="18">
        <v>5858</v>
      </c>
      <c r="BK558" s="18"/>
      <c r="BL558" s="18"/>
      <c r="BM558" s="18"/>
      <c r="BN558" s="18"/>
      <c r="BO558" s="18"/>
      <c r="BP558" s="18"/>
      <c r="BQ558" s="18"/>
      <c r="BR558" s="18"/>
      <c r="BS558" s="18"/>
      <c r="BT558" s="18">
        <v>5858</v>
      </c>
    </row>
    <row r="559" spans="15:72" x14ac:dyDescent="0.3">
      <c r="O559" t="s">
        <v>1805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>
        <v>250</v>
      </c>
      <c r="BA559" s="18"/>
      <c r="BB559" s="18"/>
      <c r="BC559" s="18"/>
      <c r="BD559" s="18"/>
      <c r="BE559" s="18"/>
      <c r="BF559" s="18"/>
      <c r="BG559" s="18"/>
      <c r="BH559" s="18"/>
      <c r="BI559" s="18"/>
      <c r="BJ559" s="18">
        <v>250</v>
      </c>
      <c r="BK559" s="18"/>
      <c r="BL559" s="18"/>
      <c r="BM559" s="18"/>
      <c r="BN559" s="18"/>
      <c r="BO559" s="18"/>
      <c r="BP559" s="18"/>
      <c r="BQ559" s="18"/>
      <c r="BR559" s="18"/>
      <c r="BS559" s="18"/>
      <c r="BT559" s="18">
        <v>250</v>
      </c>
    </row>
    <row r="560" spans="15:72" x14ac:dyDescent="0.3">
      <c r="O560" t="s">
        <v>1806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>
        <v>5858</v>
      </c>
      <c r="BA560" s="18"/>
      <c r="BB560" s="18"/>
      <c r="BC560" s="18"/>
      <c r="BD560" s="18"/>
      <c r="BE560" s="18"/>
      <c r="BF560" s="18"/>
      <c r="BG560" s="18"/>
      <c r="BH560" s="18"/>
      <c r="BI560" s="18"/>
      <c r="BJ560" s="18">
        <v>5858</v>
      </c>
      <c r="BK560" s="18"/>
      <c r="BL560" s="18"/>
      <c r="BM560" s="18"/>
      <c r="BN560" s="18"/>
      <c r="BO560" s="18"/>
      <c r="BP560" s="18"/>
      <c r="BQ560" s="18"/>
      <c r="BR560" s="18"/>
      <c r="BS560" s="18"/>
      <c r="BT560" s="18">
        <v>5858</v>
      </c>
    </row>
    <row r="561" spans="15:72" x14ac:dyDescent="0.3">
      <c r="O561" t="s">
        <v>1813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>
        <v>125</v>
      </c>
      <c r="BA561" s="18"/>
      <c r="BB561" s="18"/>
      <c r="BC561" s="18"/>
      <c r="BD561" s="18"/>
      <c r="BE561" s="18"/>
      <c r="BF561" s="18"/>
      <c r="BG561" s="18"/>
      <c r="BH561" s="18"/>
      <c r="BI561" s="18"/>
      <c r="BJ561" s="18">
        <v>125</v>
      </c>
      <c r="BK561" s="18"/>
      <c r="BL561" s="18"/>
      <c r="BM561" s="18"/>
      <c r="BN561" s="18"/>
      <c r="BO561" s="18"/>
      <c r="BP561" s="18"/>
      <c r="BQ561" s="18"/>
      <c r="BR561" s="18"/>
      <c r="BS561" s="18"/>
      <c r="BT561" s="18">
        <v>125</v>
      </c>
    </row>
    <row r="562" spans="15:72" x14ac:dyDescent="0.3">
      <c r="O562" t="s">
        <v>1814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>
        <v>5427</v>
      </c>
      <c r="BA562" s="18"/>
      <c r="BB562" s="18"/>
      <c r="BC562" s="18"/>
      <c r="BD562" s="18"/>
      <c r="BE562" s="18"/>
      <c r="BF562" s="18"/>
      <c r="BG562" s="18"/>
      <c r="BH562" s="18"/>
      <c r="BI562" s="18"/>
      <c r="BJ562" s="18">
        <v>5427</v>
      </c>
      <c r="BK562" s="18"/>
      <c r="BL562" s="18"/>
      <c r="BM562" s="18"/>
      <c r="BN562" s="18"/>
      <c r="BO562" s="18"/>
      <c r="BP562" s="18"/>
      <c r="BQ562" s="18"/>
      <c r="BR562" s="18"/>
      <c r="BS562" s="18"/>
      <c r="BT562" s="18">
        <v>5427</v>
      </c>
    </row>
    <row r="563" spans="15:72" x14ac:dyDescent="0.3">
      <c r="O563" t="s">
        <v>1824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>
        <v>187.5</v>
      </c>
      <c r="BA563" s="18"/>
      <c r="BB563" s="18"/>
      <c r="BC563" s="18"/>
      <c r="BD563" s="18"/>
      <c r="BE563" s="18"/>
      <c r="BF563" s="18"/>
      <c r="BG563" s="18"/>
      <c r="BH563" s="18"/>
      <c r="BI563" s="18"/>
      <c r="BJ563" s="18">
        <v>187.5</v>
      </c>
      <c r="BK563" s="18"/>
      <c r="BL563" s="18"/>
      <c r="BM563" s="18"/>
      <c r="BN563" s="18"/>
      <c r="BO563" s="18"/>
      <c r="BP563" s="18"/>
      <c r="BQ563" s="18"/>
      <c r="BR563" s="18"/>
      <c r="BS563" s="18"/>
      <c r="BT563" s="18">
        <v>187.5</v>
      </c>
    </row>
    <row r="564" spans="15:72" x14ac:dyDescent="0.3">
      <c r="O564" t="s">
        <v>1825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>
        <v>6587</v>
      </c>
      <c r="BA564" s="18"/>
      <c r="BB564" s="18"/>
      <c r="BC564" s="18"/>
      <c r="BD564" s="18"/>
      <c r="BE564" s="18"/>
      <c r="BF564" s="18"/>
      <c r="BG564" s="18"/>
      <c r="BH564" s="18"/>
      <c r="BI564" s="18"/>
      <c r="BJ564" s="18">
        <v>6587</v>
      </c>
      <c r="BK564" s="18"/>
      <c r="BL564" s="18"/>
      <c r="BM564" s="18"/>
      <c r="BN564" s="18"/>
      <c r="BO564" s="18"/>
      <c r="BP564" s="18"/>
      <c r="BQ564" s="18"/>
      <c r="BR564" s="18"/>
      <c r="BS564" s="18"/>
      <c r="BT564" s="18">
        <v>6587</v>
      </c>
    </row>
    <row r="565" spans="15:72" x14ac:dyDescent="0.3">
      <c r="O565" t="s">
        <v>1833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>
        <v>125</v>
      </c>
      <c r="BA565" s="18"/>
      <c r="BB565" s="18"/>
      <c r="BC565" s="18"/>
      <c r="BD565" s="18"/>
      <c r="BE565" s="18"/>
      <c r="BF565" s="18"/>
      <c r="BG565" s="18"/>
      <c r="BH565" s="18"/>
      <c r="BI565" s="18"/>
      <c r="BJ565" s="18">
        <v>125</v>
      </c>
      <c r="BK565" s="18"/>
      <c r="BL565" s="18"/>
      <c r="BM565" s="18"/>
      <c r="BN565" s="18"/>
      <c r="BO565" s="18"/>
      <c r="BP565" s="18"/>
      <c r="BQ565" s="18"/>
      <c r="BR565" s="18"/>
      <c r="BS565" s="18"/>
      <c r="BT565" s="18">
        <v>125</v>
      </c>
    </row>
    <row r="566" spans="15:72" x14ac:dyDescent="0.3">
      <c r="O566" t="s">
        <v>1834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>
        <v>5858</v>
      </c>
      <c r="BA566" s="18"/>
      <c r="BB566" s="18"/>
      <c r="BC566" s="18"/>
      <c r="BD566" s="18"/>
      <c r="BE566" s="18"/>
      <c r="BF566" s="18"/>
      <c r="BG566" s="18"/>
      <c r="BH566" s="18"/>
      <c r="BI566" s="18"/>
      <c r="BJ566" s="18">
        <v>5858</v>
      </c>
      <c r="BK566" s="18"/>
      <c r="BL566" s="18"/>
      <c r="BM566" s="18"/>
      <c r="BN566" s="18"/>
      <c r="BO566" s="18"/>
      <c r="BP566" s="18"/>
      <c r="BQ566" s="18"/>
      <c r="BR566" s="18"/>
      <c r="BS566" s="18"/>
      <c r="BT566" s="18">
        <v>5858</v>
      </c>
    </row>
    <row r="567" spans="15:72" x14ac:dyDescent="0.3">
      <c r="O567" t="s">
        <v>1876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>
        <v>125</v>
      </c>
      <c r="BB567" s="18"/>
      <c r="BC567" s="18"/>
      <c r="BD567" s="18"/>
      <c r="BE567" s="18"/>
      <c r="BF567" s="18"/>
      <c r="BG567" s="18"/>
      <c r="BH567" s="18"/>
      <c r="BI567" s="18"/>
      <c r="BJ567" s="18">
        <v>125</v>
      </c>
      <c r="BK567" s="18"/>
      <c r="BL567" s="18"/>
      <c r="BM567" s="18"/>
      <c r="BN567" s="18"/>
      <c r="BO567" s="18"/>
      <c r="BP567" s="18"/>
      <c r="BQ567" s="18"/>
      <c r="BR567" s="18"/>
      <c r="BS567" s="18"/>
      <c r="BT567" s="18">
        <v>125</v>
      </c>
    </row>
    <row r="568" spans="15:72" x14ac:dyDescent="0.3">
      <c r="O568" t="s">
        <v>1877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>
        <v>4858</v>
      </c>
      <c r="BB568" s="18"/>
      <c r="BC568" s="18"/>
      <c r="BD568" s="18"/>
      <c r="BE568" s="18"/>
      <c r="BF568" s="18"/>
      <c r="BG568" s="18"/>
      <c r="BH568" s="18"/>
      <c r="BI568" s="18"/>
      <c r="BJ568" s="18">
        <v>4858</v>
      </c>
      <c r="BK568" s="18"/>
      <c r="BL568" s="18"/>
      <c r="BM568" s="18"/>
      <c r="BN568" s="18"/>
      <c r="BO568" s="18"/>
      <c r="BP568" s="18"/>
      <c r="BQ568" s="18"/>
      <c r="BR568" s="18"/>
      <c r="BS568" s="18"/>
      <c r="BT568" s="18">
        <v>4858</v>
      </c>
    </row>
    <row r="569" spans="15:72" x14ac:dyDescent="0.3">
      <c r="O569" t="s">
        <v>1881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>
        <v>125</v>
      </c>
      <c r="BB569" s="18"/>
      <c r="BC569" s="18"/>
      <c r="BD569" s="18"/>
      <c r="BE569" s="18"/>
      <c r="BF569" s="18"/>
      <c r="BG569" s="18"/>
      <c r="BH569" s="18"/>
      <c r="BI569" s="18"/>
      <c r="BJ569" s="18">
        <v>125</v>
      </c>
      <c r="BK569" s="18"/>
      <c r="BL569" s="18"/>
      <c r="BM569" s="18"/>
      <c r="BN569" s="18"/>
      <c r="BO569" s="18"/>
      <c r="BP569" s="18"/>
      <c r="BQ569" s="18"/>
      <c r="BR569" s="18"/>
      <c r="BS569" s="18"/>
      <c r="BT569" s="18">
        <v>125</v>
      </c>
    </row>
    <row r="570" spans="15:72" x14ac:dyDescent="0.3">
      <c r="O570" t="s">
        <v>1882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v>5946</v>
      </c>
      <c r="BB570" s="18"/>
      <c r="BC570" s="18"/>
      <c r="BD570" s="18"/>
      <c r="BE570" s="18"/>
      <c r="BF570" s="18"/>
      <c r="BG570" s="18"/>
      <c r="BH570" s="18"/>
      <c r="BI570" s="18"/>
      <c r="BJ570" s="18">
        <v>5946</v>
      </c>
      <c r="BK570" s="18"/>
      <c r="BL570" s="18"/>
      <c r="BM570" s="18"/>
      <c r="BN570" s="18"/>
      <c r="BO570" s="18"/>
      <c r="BP570" s="18"/>
      <c r="BQ570" s="18"/>
      <c r="BR570" s="18"/>
      <c r="BS570" s="18"/>
      <c r="BT570" s="18">
        <v>5946</v>
      </c>
    </row>
    <row r="571" spans="15:72" x14ac:dyDescent="0.3">
      <c r="O571" t="s">
        <v>1891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v>125</v>
      </c>
      <c r="BB571" s="18"/>
      <c r="BC571" s="18"/>
      <c r="BD571" s="18"/>
      <c r="BE571" s="18"/>
      <c r="BF571" s="18"/>
      <c r="BG571" s="18"/>
      <c r="BH571" s="18"/>
      <c r="BI571" s="18"/>
      <c r="BJ571" s="18">
        <v>125</v>
      </c>
      <c r="BK571" s="18"/>
      <c r="BL571" s="18"/>
      <c r="BM571" s="18"/>
      <c r="BN571" s="18"/>
      <c r="BO571" s="18"/>
      <c r="BP571" s="18"/>
      <c r="BQ571" s="18"/>
      <c r="BR571" s="18"/>
      <c r="BS571" s="18"/>
      <c r="BT571" s="18">
        <v>125</v>
      </c>
    </row>
    <row r="572" spans="15:72" x14ac:dyDescent="0.3">
      <c r="O572" t="s">
        <v>1892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>
        <v>5746</v>
      </c>
      <c r="BB572" s="18"/>
      <c r="BC572" s="18"/>
      <c r="BD572" s="18"/>
      <c r="BE572" s="18"/>
      <c r="BF572" s="18"/>
      <c r="BG572" s="18"/>
      <c r="BH572" s="18"/>
      <c r="BI572" s="18"/>
      <c r="BJ572" s="18">
        <v>5746</v>
      </c>
      <c r="BK572" s="18"/>
      <c r="BL572" s="18"/>
      <c r="BM572" s="18"/>
      <c r="BN572" s="18"/>
      <c r="BO572" s="18"/>
      <c r="BP572" s="18"/>
      <c r="BQ572" s="18"/>
      <c r="BR572" s="18"/>
      <c r="BS572" s="18"/>
      <c r="BT572" s="18">
        <v>5746</v>
      </c>
    </row>
    <row r="573" spans="15:72" x14ac:dyDescent="0.3">
      <c r="O573" t="s">
        <v>1900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v>125</v>
      </c>
      <c r="BB573" s="18"/>
      <c r="BC573" s="18"/>
      <c r="BD573" s="18"/>
      <c r="BE573" s="18"/>
      <c r="BF573" s="18"/>
      <c r="BG573" s="18"/>
      <c r="BH573" s="18"/>
      <c r="BI573" s="18"/>
      <c r="BJ573" s="18">
        <v>125</v>
      </c>
      <c r="BK573" s="18"/>
      <c r="BL573" s="18"/>
      <c r="BM573" s="18"/>
      <c r="BN573" s="18"/>
      <c r="BO573" s="18"/>
      <c r="BP573" s="18"/>
      <c r="BQ573" s="18"/>
      <c r="BR573" s="18"/>
      <c r="BS573" s="18"/>
      <c r="BT573" s="18">
        <v>125</v>
      </c>
    </row>
    <row r="574" spans="15:72" x14ac:dyDescent="0.3">
      <c r="O574" t="s">
        <v>1901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>
        <v>5326</v>
      </c>
      <c r="BB574" s="18"/>
      <c r="BC574" s="18"/>
      <c r="BD574" s="18"/>
      <c r="BE574" s="18"/>
      <c r="BF574" s="18"/>
      <c r="BG574" s="18"/>
      <c r="BH574" s="18"/>
      <c r="BI574" s="18"/>
      <c r="BJ574" s="18">
        <v>5326</v>
      </c>
      <c r="BK574" s="18"/>
      <c r="BL574" s="18"/>
      <c r="BM574" s="18"/>
      <c r="BN574" s="18"/>
      <c r="BO574" s="18"/>
      <c r="BP574" s="18"/>
      <c r="BQ574" s="18"/>
      <c r="BR574" s="18"/>
      <c r="BS574" s="18"/>
      <c r="BT574" s="18">
        <v>5326</v>
      </c>
    </row>
    <row r="575" spans="15:72" x14ac:dyDescent="0.3">
      <c r="O575" t="s">
        <v>1903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v>125</v>
      </c>
      <c r="BB575" s="18"/>
      <c r="BC575" s="18"/>
      <c r="BD575" s="18"/>
      <c r="BE575" s="18"/>
      <c r="BF575" s="18"/>
      <c r="BG575" s="18"/>
      <c r="BH575" s="18"/>
      <c r="BI575" s="18"/>
      <c r="BJ575" s="18">
        <v>125</v>
      </c>
      <c r="BK575" s="18"/>
      <c r="BL575" s="18"/>
      <c r="BM575" s="18"/>
      <c r="BN575" s="18"/>
      <c r="BO575" s="18"/>
      <c r="BP575" s="18"/>
      <c r="BQ575" s="18"/>
      <c r="BR575" s="18"/>
      <c r="BS575" s="18"/>
      <c r="BT575" s="18">
        <v>125</v>
      </c>
    </row>
    <row r="576" spans="15:72" x14ac:dyDescent="0.3">
      <c r="O576" t="s">
        <v>1904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>
        <v>5502</v>
      </c>
      <c r="BB576" s="18"/>
      <c r="BC576" s="18"/>
      <c r="BD576" s="18"/>
      <c r="BE576" s="18"/>
      <c r="BF576" s="18"/>
      <c r="BG576" s="18"/>
      <c r="BH576" s="18"/>
      <c r="BI576" s="18"/>
      <c r="BJ576" s="18">
        <v>5502</v>
      </c>
      <c r="BK576" s="18"/>
      <c r="BL576" s="18"/>
      <c r="BM576" s="18"/>
      <c r="BN576" s="18"/>
      <c r="BO576" s="18"/>
      <c r="BP576" s="18"/>
      <c r="BQ576" s="18"/>
      <c r="BR576" s="18"/>
      <c r="BS576" s="18"/>
      <c r="BT576" s="18">
        <v>5502</v>
      </c>
    </row>
    <row r="577" spans="14:72" x14ac:dyDescent="0.3">
      <c r="O577" t="s">
        <v>1910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>
        <v>125</v>
      </c>
      <c r="BB577" s="18"/>
      <c r="BC577" s="18"/>
      <c r="BD577" s="18"/>
      <c r="BE577" s="18"/>
      <c r="BF577" s="18"/>
      <c r="BG577" s="18"/>
      <c r="BH577" s="18"/>
      <c r="BI577" s="18"/>
      <c r="BJ577" s="18">
        <v>125</v>
      </c>
      <c r="BK577" s="18"/>
      <c r="BL577" s="18"/>
      <c r="BM577" s="18"/>
      <c r="BN577" s="18"/>
      <c r="BO577" s="18"/>
      <c r="BP577" s="18"/>
      <c r="BQ577" s="18"/>
      <c r="BR577" s="18"/>
      <c r="BS577" s="18"/>
      <c r="BT577" s="18">
        <v>125</v>
      </c>
    </row>
    <row r="578" spans="14:72" x14ac:dyDescent="0.3">
      <c r="O578" t="s">
        <v>1911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>
        <v>6326</v>
      </c>
      <c r="BB578" s="18"/>
      <c r="BC578" s="18"/>
      <c r="BD578" s="18"/>
      <c r="BE578" s="18"/>
      <c r="BF578" s="18"/>
      <c r="BG578" s="18"/>
      <c r="BH578" s="18"/>
      <c r="BI578" s="18"/>
      <c r="BJ578" s="18">
        <v>6326</v>
      </c>
      <c r="BK578" s="18"/>
      <c r="BL578" s="18"/>
      <c r="BM578" s="18"/>
      <c r="BN578" s="18"/>
      <c r="BO578" s="18"/>
      <c r="BP578" s="18"/>
      <c r="BQ578" s="18"/>
      <c r="BR578" s="18"/>
      <c r="BS578" s="18"/>
      <c r="BT578" s="18">
        <v>6326</v>
      </c>
    </row>
    <row r="579" spans="14:72" x14ac:dyDescent="0.3">
      <c r="O579" t="s">
        <v>1921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>
        <v>500</v>
      </c>
      <c r="BB579" s="18"/>
      <c r="BC579" s="18"/>
      <c r="BD579" s="18"/>
      <c r="BE579" s="18"/>
      <c r="BF579" s="18"/>
      <c r="BG579" s="18"/>
      <c r="BH579" s="18"/>
      <c r="BI579" s="18"/>
      <c r="BJ579" s="18">
        <v>500</v>
      </c>
      <c r="BK579" s="18"/>
      <c r="BL579" s="18"/>
      <c r="BM579" s="18"/>
      <c r="BN579" s="18"/>
      <c r="BO579" s="18"/>
      <c r="BP579" s="18"/>
      <c r="BQ579" s="18"/>
      <c r="BR579" s="18"/>
      <c r="BS579" s="18"/>
      <c r="BT579" s="18">
        <v>500</v>
      </c>
    </row>
    <row r="580" spans="14:72" x14ac:dyDescent="0.3">
      <c r="O580" t="s">
        <v>1923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>
        <v>21572</v>
      </c>
      <c r="BB580" s="18"/>
      <c r="BC580" s="18"/>
      <c r="BD580" s="18"/>
      <c r="BE580" s="18"/>
      <c r="BF580" s="18"/>
      <c r="BG580" s="18"/>
      <c r="BH580" s="18"/>
      <c r="BI580" s="18"/>
      <c r="BJ580" s="18">
        <v>21572</v>
      </c>
      <c r="BK580" s="18"/>
      <c r="BL580" s="18"/>
      <c r="BM580" s="18"/>
      <c r="BN580" s="18"/>
      <c r="BO580" s="18"/>
      <c r="BP580" s="18"/>
      <c r="BQ580" s="18"/>
      <c r="BR580" s="18"/>
      <c r="BS580" s="18"/>
      <c r="BT580" s="18">
        <v>21572</v>
      </c>
    </row>
    <row r="581" spans="14:72" x14ac:dyDescent="0.3">
      <c r="O581" t="s">
        <v>1925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>
        <v>312.5</v>
      </c>
      <c r="BB581" s="18"/>
      <c r="BC581" s="18"/>
      <c r="BD581" s="18"/>
      <c r="BE581" s="18"/>
      <c r="BF581" s="18"/>
      <c r="BG581" s="18"/>
      <c r="BH581" s="18"/>
      <c r="BI581" s="18"/>
      <c r="BJ581" s="18">
        <v>312.5</v>
      </c>
      <c r="BK581" s="18"/>
      <c r="BL581" s="18"/>
      <c r="BM581" s="18"/>
      <c r="BN581" s="18"/>
      <c r="BO581" s="18"/>
      <c r="BP581" s="18"/>
      <c r="BQ581" s="18"/>
      <c r="BR581" s="18"/>
      <c r="BS581" s="18"/>
      <c r="BT581" s="18">
        <v>312.5</v>
      </c>
    </row>
    <row r="582" spans="14:72" x14ac:dyDescent="0.3">
      <c r="O582" t="s">
        <v>1926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>
        <v>14117</v>
      </c>
      <c r="BB582" s="18"/>
      <c r="BC582" s="18"/>
      <c r="BD582" s="18"/>
      <c r="BE582" s="18"/>
      <c r="BF582" s="18"/>
      <c r="BG582" s="18"/>
      <c r="BH582" s="18"/>
      <c r="BI582" s="18"/>
      <c r="BJ582" s="18">
        <v>14117</v>
      </c>
      <c r="BK582" s="18"/>
      <c r="BL582" s="18"/>
      <c r="BM582" s="18"/>
      <c r="BN582" s="18"/>
      <c r="BO582" s="18"/>
      <c r="BP582" s="18"/>
      <c r="BQ582" s="18"/>
      <c r="BR582" s="18"/>
      <c r="BS582" s="18"/>
      <c r="BT582" s="18">
        <v>14117</v>
      </c>
    </row>
    <row r="583" spans="14:72" x14ac:dyDescent="0.3">
      <c r="O583" t="s">
        <v>1993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>
        <v>125</v>
      </c>
      <c r="BC583" s="18"/>
      <c r="BD583" s="18"/>
      <c r="BE583" s="18"/>
      <c r="BF583" s="18"/>
      <c r="BG583" s="18"/>
      <c r="BH583" s="18"/>
      <c r="BI583" s="18"/>
      <c r="BJ583" s="18">
        <v>125</v>
      </c>
      <c r="BK583" s="18"/>
      <c r="BL583" s="18"/>
      <c r="BM583" s="18"/>
      <c r="BN583" s="18"/>
      <c r="BO583" s="18"/>
      <c r="BP583" s="18"/>
      <c r="BQ583" s="18"/>
      <c r="BR583" s="18"/>
      <c r="BS583" s="18"/>
      <c r="BT583" s="18">
        <v>125</v>
      </c>
    </row>
    <row r="584" spans="14:72" x14ac:dyDescent="0.3">
      <c r="O584" t="s">
        <v>1994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>
        <v>6038</v>
      </c>
      <c r="BC584" s="18"/>
      <c r="BD584" s="18"/>
      <c r="BE584" s="18"/>
      <c r="BF584" s="18"/>
      <c r="BG584" s="18"/>
      <c r="BH584" s="18"/>
      <c r="BI584" s="18"/>
      <c r="BJ584" s="18">
        <v>6038</v>
      </c>
      <c r="BK584" s="18"/>
      <c r="BL584" s="18"/>
      <c r="BM584" s="18"/>
      <c r="BN584" s="18"/>
      <c r="BO584" s="18"/>
      <c r="BP584" s="18"/>
      <c r="BQ584" s="18"/>
      <c r="BR584" s="18"/>
      <c r="BS584" s="18"/>
      <c r="BT584" s="18">
        <v>6038</v>
      </c>
    </row>
    <row r="585" spans="14:72" x14ac:dyDescent="0.3">
      <c r="O585" t="s">
        <v>1999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>
        <v>610</v>
      </c>
      <c r="BC585" s="18"/>
      <c r="BD585" s="18"/>
      <c r="BE585" s="18"/>
      <c r="BF585" s="18"/>
      <c r="BG585" s="18"/>
      <c r="BH585" s="18"/>
      <c r="BI585" s="18"/>
      <c r="BJ585" s="18">
        <v>610</v>
      </c>
      <c r="BK585" s="18"/>
      <c r="BL585" s="18"/>
      <c r="BM585" s="18"/>
      <c r="BN585" s="18"/>
      <c r="BO585" s="18"/>
      <c r="BP585" s="18"/>
      <c r="BQ585" s="18"/>
      <c r="BR585" s="18"/>
      <c r="BS585" s="18"/>
      <c r="BT585" s="18">
        <v>610</v>
      </c>
    </row>
    <row r="586" spans="14:72" x14ac:dyDescent="0.3">
      <c r="O586" t="s">
        <v>2001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>
        <v>1025</v>
      </c>
      <c r="BC586" s="18"/>
      <c r="BD586" s="18"/>
      <c r="BE586" s="18"/>
      <c r="BF586" s="18"/>
      <c r="BG586" s="18"/>
      <c r="BH586" s="18"/>
      <c r="BI586" s="18"/>
      <c r="BJ586" s="18">
        <v>1025</v>
      </c>
      <c r="BK586" s="18"/>
      <c r="BL586" s="18"/>
      <c r="BM586" s="18"/>
      <c r="BN586" s="18"/>
      <c r="BO586" s="18"/>
      <c r="BP586" s="18"/>
      <c r="BQ586" s="18"/>
      <c r="BR586" s="18"/>
      <c r="BS586" s="18"/>
      <c r="BT586" s="18">
        <v>1025</v>
      </c>
    </row>
    <row r="587" spans="14:72" x14ac:dyDescent="0.3">
      <c r="N587" s="17" t="s">
        <v>422</v>
      </c>
      <c r="O587" s="17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>
        <v>62331.199999999997</v>
      </c>
      <c r="AC587" s="19">
        <v>71817.5</v>
      </c>
      <c r="AD587" s="19">
        <v>70070.899999999994</v>
      </c>
      <c r="AE587" s="19"/>
      <c r="AF587" s="19"/>
      <c r="AG587" s="19"/>
      <c r="AH587" s="19"/>
      <c r="AI587" s="19"/>
      <c r="AJ587" s="19">
        <v>204219.6</v>
      </c>
      <c r="AK587" s="19">
        <v>36697.5</v>
      </c>
      <c r="AL587" s="19">
        <v>29559</v>
      </c>
      <c r="AM587" s="19">
        <v>16419.599999999999</v>
      </c>
      <c r="AN587" s="19">
        <v>47697.5</v>
      </c>
      <c r="AO587" s="19">
        <v>113864.3</v>
      </c>
      <c r="AP587" s="19">
        <v>32526.899999999998</v>
      </c>
      <c r="AQ587" s="19">
        <v>135322.6</v>
      </c>
      <c r="AR587" s="19">
        <v>56934</v>
      </c>
      <c r="AS587" s="19">
        <v>10639</v>
      </c>
      <c r="AT587" s="19">
        <v>55176</v>
      </c>
      <c r="AU587" s="19">
        <v>90633</v>
      </c>
      <c r="AV587" s="19">
        <v>93599.5</v>
      </c>
      <c r="AW587" s="19">
        <v>719068.89999999991</v>
      </c>
      <c r="AX587" s="19">
        <v>16742</v>
      </c>
      <c r="AY587" s="19">
        <v>13677.9</v>
      </c>
      <c r="AZ587" s="19">
        <v>30275.5</v>
      </c>
      <c r="BA587" s="19">
        <v>70955.5</v>
      </c>
      <c r="BB587" s="19">
        <v>7798</v>
      </c>
      <c r="BC587" s="19"/>
      <c r="BD587" s="19"/>
      <c r="BE587" s="19">
        <v>100417.3</v>
      </c>
      <c r="BF587" s="19">
        <v>103918.5</v>
      </c>
      <c r="BG587" s="19">
        <v>102281.5</v>
      </c>
      <c r="BH587" s="19">
        <v>49405.7</v>
      </c>
      <c r="BI587" s="19">
        <v>70822.2</v>
      </c>
      <c r="BJ587" s="19">
        <v>566294.10000000009</v>
      </c>
      <c r="BK587" s="19"/>
      <c r="BL587" s="19"/>
      <c r="BM587" s="19"/>
      <c r="BN587" s="19"/>
      <c r="BO587" s="19"/>
      <c r="BP587" s="19"/>
      <c r="BQ587" s="19"/>
      <c r="BR587" s="19"/>
      <c r="BS587" s="19"/>
      <c r="BT587" s="19">
        <v>1489582.6000000003</v>
      </c>
    </row>
    <row r="588" spans="14:72" x14ac:dyDescent="0.3">
      <c r="N588" t="s">
        <v>469</v>
      </c>
      <c r="O588" t="s">
        <v>470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>
        <v>240</v>
      </c>
      <c r="AD588" s="18"/>
      <c r="AE588" s="18"/>
      <c r="AF588" s="18"/>
      <c r="AG588" s="18"/>
      <c r="AH588" s="18"/>
      <c r="AI588" s="18"/>
      <c r="AJ588" s="18">
        <v>240</v>
      </c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>
        <v>240</v>
      </c>
    </row>
    <row r="589" spans="14:72" x14ac:dyDescent="0.3">
      <c r="N589" s="17" t="s">
        <v>483</v>
      </c>
      <c r="O589" s="17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>
        <v>240</v>
      </c>
      <c r="AD589" s="19"/>
      <c r="AE589" s="19"/>
      <c r="AF589" s="19"/>
      <c r="AG589" s="19"/>
      <c r="AH589" s="19"/>
      <c r="AI589" s="19"/>
      <c r="AJ589" s="19">
        <v>240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>
        <v>240</v>
      </c>
    </row>
    <row r="590" spans="14:72" x14ac:dyDescent="0.3">
      <c r="N590" t="s">
        <v>491</v>
      </c>
      <c r="O590" t="s">
        <v>472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>
        <v>2024</v>
      </c>
      <c r="AD590" s="18"/>
      <c r="AE590" s="18"/>
      <c r="AF590" s="18"/>
      <c r="AG590" s="18"/>
      <c r="AH590" s="18"/>
      <c r="AI590" s="18"/>
      <c r="AJ590" s="18">
        <v>2024</v>
      </c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>
        <v>2024</v>
      </c>
    </row>
    <row r="591" spans="14:72" x14ac:dyDescent="0.3">
      <c r="O591" t="s">
        <v>606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>
        <v>5822</v>
      </c>
      <c r="AT591" s="18"/>
      <c r="AU591" s="18"/>
      <c r="AV591" s="18"/>
      <c r="AW591" s="18">
        <v>5822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>
        <v>5822</v>
      </c>
    </row>
    <row r="592" spans="14:72" x14ac:dyDescent="0.3">
      <c r="O592" t="s">
        <v>633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>
        <v>6301</v>
      </c>
      <c r="AU592" s="18"/>
      <c r="AV592" s="18"/>
      <c r="AW592" s="18">
        <v>6301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>
        <v>6301</v>
      </c>
    </row>
    <row r="593" spans="15:72" x14ac:dyDescent="0.3">
      <c r="O593" t="s">
        <v>651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8127.5</v>
      </c>
      <c r="AU593" s="18"/>
      <c r="AV593" s="18"/>
      <c r="AW593" s="18">
        <v>8127.5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>
        <v>8127.5</v>
      </c>
    </row>
    <row r="594" spans="15:72" x14ac:dyDescent="0.3">
      <c r="O594" t="s">
        <v>680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>
        <v>6083.5</v>
      </c>
      <c r="AV594" s="18"/>
      <c r="AW594" s="18">
        <v>6083.5</v>
      </c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>
        <v>6083.5</v>
      </c>
    </row>
    <row r="595" spans="15:72" x14ac:dyDescent="0.3">
      <c r="O595" t="s">
        <v>694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>
        <v>5746</v>
      </c>
      <c r="AV595" s="18"/>
      <c r="AW595" s="18">
        <v>5746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>
        <v>5746</v>
      </c>
    </row>
    <row r="596" spans="15:72" x14ac:dyDescent="0.3">
      <c r="O596" t="s">
        <v>724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>
        <v>5458</v>
      </c>
      <c r="AV596" s="18"/>
      <c r="AW596" s="18">
        <v>5458</v>
      </c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>
        <v>5458</v>
      </c>
    </row>
    <row r="597" spans="15:72" x14ac:dyDescent="0.3">
      <c r="O597" t="s">
        <v>781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>
        <v>3484</v>
      </c>
      <c r="AW597" s="18">
        <v>3484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>
        <v>3484</v>
      </c>
    </row>
    <row r="598" spans="15:72" x14ac:dyDescent="0.3">
      <c r="O598" t="s">
        <v>797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>
        <v>3241</v>
      </c>
      <c r="AW598" s="18">
        <v>3241</v>
      </c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>
        <v>3241</v>
      </c>
    </row>
    <row r="599" spans="15:72" x14ac:dyDescent="0.3">
      <c r="O599" t="s">
        <v>833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>
        <v>2746</v>
      </c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>
        <v>2746</v>
      </c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>
        <v>2746</v>
      </c>
    </row>
    <row r="600" spans="15:72" x14ac:dyDescent="0.3">
      <c r="O600" t="s">
        <v>844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>
        <v>3374.5</v>
      </c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>
        <v>3374.5</v>
      </c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>
        <v>3374.5</v>
      </c>
    </row>
    <row r="601" spans="15:72" x14ac:dyDescent="0.3">
      <c r="O601" t="s">
        <v>871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>
        <v>2180</v>
      </c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>
        <v>2180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>
        <v>2180</v>
      </c>
    </row>
    <row r="602" spans="15:72" x14ac:dyDescent="0.3">
      <c r="O602" t="s">
        <v>907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>
        <v>3459</v>
      </c>
      <c r="AN602" s="18"/>
      <c r="AO602" s="18"/>
      <c r="AP602" s="18"/>
      <c r="AQ602" s="18"/>
      <c r="AR602" s="18"/>
      <c r="AS602" s="18"/>
      <c r="AT602" s="18"/>
      <c r="AU602" s="18"/>
      <c r="AV602" s="18"/>
      <c r="AW602" s="18">
        <v>3459</v>
      </c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>
        <v>3459</v>
      </c>
    </row>
    <row r="603" spans="15:72" x14ac:dyDescent="0.3">
      <c r="O603" t="s">
        <v>932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>
        <v>2251</v>
      </c>
      <c r="AO603" s="18"/>
      <c r="AP603" s="18"/>
      <c r="AQ603" s="18"/>
      <c r="AR603" s="18"/>
      <c r="AS603" s="18"/>
      <c r="AT603" s="18"/>
      <c r="AU603" s="18"/>
      <c r="AV603" s="18"/>
      <c r="AW603" s="18">
        <v>2251</v>
      </c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>
        <v>2251</v>
      </c>
    </row>
    <row r="604" spans="15:72" x14ac:dyDescent="0.3">
      <c r="O604" t="s">
        <v>937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>
        <v>3655.7</v>
      </c>
      <c r="AO604" s="18"/>
      <c r="AP604" s="18"/>
      <c r="AQ604" s="18"/>
      <c r="AR604" s="18"/>
      <c r="AS604" s="18"/>
      <c r="AT604" s="18"/>
      <c r="AU604" s="18"/>
      <c r="AV604" s="18"/>
      <c r="AW604" s="18">
        <v>3655.7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>
        <v>3655.7</v>
      </c>
    </row>
    <row r="605" spans="15:72" x14ac:dyDescent="0.3">
      <c r="O605" t="s">
        <v>950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>
        <v>3595.6</v>
      </c>
      <c r="AO605" s="18"/>
      <c r="AP605" s="18"/>
      <c r="AQ605" s="18"/>
      <c r="AR605" s="18"/>
      <c r="AS605" s="18"/>
      <c r="AT605" s="18"/>
      <c r="AU605" s="18"/>
      <c r="AV605" s="18"/>
      <c r="AW605" s="18">
        <v>3595.6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>
        <v>3595.6</v>
      </c>
    </row>
    <row r="606" spans="15:72" x14ac:dyDescent="0.3">
      <c r="O606" t="s">
        <v>993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>
        <v>2636.5</v>
      </c>
      <c r="AP606" s="18"/>
      <c r="AQ606" s="18"/>
      <c r="AR606" s="18"/>
      <c r="AS606" s="18"/>
      <c r="AT606" s="18"/>
      <c r="AU606" s="18"/>
      <c r="AV606" s="18"/>
      <c r="AW606" s="18">
        <v>2636.5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>
        <v>2636.5</v>
      </c>
    </row>
    <row r="607" spans="15:72" x14ac:dyDescent="0.3">
      <c r="O607" t="s">
        <v>1000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>
        <v>2570</v>
      </c>
      <c r="AP607" s="18"/>
      <c r="AQ607" s="18"/>
      <c r="AR607" s="18"/>
      <c r="AS607" s="18"/>
      <c r="AT607" s="18"/>
      <c r="AU607" s="18"/>
      <c r="AV607" s="18"/>
      <c r="AW607" s="18">
        <v>2570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>
        <v>2570</v>
      </c>
    </row>
    <row r="608" spans="15:72" x14ac:dyDescent="0.3">
      <c r="O608" t="s">
        <v>1011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>
        <v>2837</v>
      </c>
      <c r="AP608" s="18"/>
      <c r="AQ608" s="18"/>
      <c r="AR608" s="18"/>
      <c r="AS608" s="18"/>
      <c r="AT608" s="18"/>
      <c r="AU608" s="18"/>
      <c r="AV608" s="18"/>
      <c r="AW608" s="18">
        <v>2837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>
        <v>2837</v>
      </c>
    </row>
    <row r="609" spans="15:72" x14ac:dyDescent="0.3">
      <c r="O609" t="s">
        <v>1015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>
        <v>3095</v>
      </c>
      <c r="AP609" s="18"/>
      <c r="AQ609" s="18"/>
      <c r="AR609" s="18"/>
      <c r="AS609" s="18"/>
      <c r="AT609" s="18"/>
      <c r="AU609" s="18"/>
      <c r="AV609" s="18"/>
      <c r="AW609" s="18">
        <v>3095</v>
      </c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>
        <v>3095</v>
      </c>
    </row>
    <row r="610" spans="15:72" x14ac:dyDescent="0.3">
      <c r="O610" t="s">
        <v>1063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>
        <v>3094</v>
      </c>
      <c r="AQ610" s="18"/>
      <c r="AR610" s="18"/>
      <c r="AS610" s="18"/>
      <c r="AT610" s="18"/>
      <c r="AU610" s="18"/>
      <c r="AV610" s="18"/>
      <c r="AW610" s="18">
        <v>3094</v>
      </c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>
        <v>3094</v>
      </c>
    </row>
    <row r="611" spans="15:72" x14ac:dyDescent="0.3">
      <c r="O611" t="s">
        <v>1119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>
        <v>3067</v>
      </c>
      <c r="AR611" s="18"/>
      <c r="AS611" s="18"/>
      <c r="AT611" s="18"/>
      <c r="AU611" s="18"/>
      <c r="AV611" s="18"/>
      <c r="AW611" s="18">
        <v>3067</v>
      </c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>
        <v>3067</v>
      </c>
    </row>
    <row r="612" spans="15:72" x14ac:dyDescent="0.3">
      <c r="O612" t="s">
        <v>1123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>
        <v>2842</v>
      </c>
      <c r="AR612" s="18"/>
      <c r="AS612" s="18"/>
      <c r="AT612" s="18"/>
      <c r="AU612" s="18"/>
      <c r="AV612" s="18"/>
      <c r="AW612" s="18">
        <v>2842</v>
      </c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>
        <v>2842</v>
      </c>
    </row>
    <row r="613" spans="15:72" x14ac:dyDescent="0.3">
      <c r="O613" t="s">
        <v>1135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v>2842</v>
      </c>
      <c r="AR613" s="18"/>
      <c r="AS613" s="18"/>
      <c r="AT613" s="18"/>
      <c r="AU613" s="18"/>
      <c r="AV613" s="18"/>
      <c r="AW613" s="18">
        <v>2842</v>
      </c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>
        <v>2842</v>
      </c>
    </row>
    <row r="614" spans="15:72" x14ac:dyDescent="0.3">
      <c r="O614" t="s">
        <v>1172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>
        <v>3373.5</v>
      </c>
      <c r="BF614" s="18"/>
      <c r="BG614" s="18"/>
      <c r="BH614" s="18"/>
      <c r="BI614" s="18"/>
      <c r="BJ614" s="18">
        <v>3373.5</v>
      </c>
      <c r="BK614" s="18"/>
      <c r="BL614" s="18"/>
      <c r="BM614" s="18"/>
      <c r="BN614" s="18"/>
      <c r="BO614" s="18"/>
      <c r="BP614" s="18"/>
      <c r="BQ614" s="18"/>
      <c r="BR614" s="18"/>
      <c r="BS614" s="18"/>
      <c r="BT614" s="18">
        <v>3373.5</v>
      </c>
    </row>
    <row r="615" spans="15:72" x14ac:dyDescent="0.3">
      <c r="O615" t="s">
        <v>1190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>
        <v>2832</v>
      </c>
      <c r="BF615" s="18"/>
      <c r="BG615" s="18"/>
      <c r="BH615" s="18"/>
      <c r="BI615" s="18"/>
      <c r="BJ615" s="18">
        <v>2832</v>
      </c>
      <c r="BK615" s="18"/>
      <c r="BL615" s="18"/>
      <c r="BM615" s="18"/>
      <c r="BN615" s="18"/>
      <c r="BO615" s="18"/>
      <c r="BP615" s="18"/>
      <c r="BQ615" s="18"/>
      <c r="BR615" s="18"/>
      <c r="BS615" s="18"/>
      <c r="BT615" s="18">
        <v>2832</v>
      </c>
    </row>
    <row r="616" spans="15:72" x14ac:dyDescent="0.3">
      <c r="O616" t="s">
        <v>1236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2475</v>
      </c>
      <c r="BG616" s="18"/>
      <c r="BH616" s="18"/>
      <c r="BI616" s="18"/>
      <c r="BJ616" s="18">
        <v>2475</v>
      </c>
      <c r="BK616" s="18"/>
      <c r="BL616" s="18"/>
      <c r="BM616" s="18"/>
      <c r="BN616" s="18"/>
      <c r="BO616" s="18"/>
      <c r="BP616" s="18"/>
      <c r="BQ616" s="18"/>
      <c r="BR616" s="18"/>
      <c r="BS616" s="18"/>
      <c r="BT616" s="18">
        <v>2475</v>
      </c>
    </row>
    <row r="617" spans="15:72" x14ac:dyDescent="0.3">
      <c r="O617" t="s">
        <v>1249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>
        <v>2730</v>
      </c>
      <c r="BG617" s="18"/>
      <c r="BH617" s="18"/>
      <c r="BI617" s="18"/>
      <c r="BJ617" s="18">
        <v>2730</v>
      </c>
      <c r="BK617" s="18"/>
      <c r="BL617" s="18"/>
      <c r="BM617" s="18"/>
      <c r="BN617" s="18"/>
      <c r="BO617" s="18"/>
      <c r="BP617" s="18"/>
      <c r="BQ617" s="18"/>
      <c r="BR617" s="18"/>
      <c r="BS617" s="18"/>
      <c r="BT617" s="18">
        <v>2730</v>
      </c>
    </row>
    <row r="618" spans="15:72" x14ac:dyDescent="0.3">
      <c r="O618" t="s">
        <v>1271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>
        <v>2475</v>
      </c>
      <c r="BG618" s="18"/>
      <c r="BH618" s="18"/>
      <c r="BI618" s="18"/>
      <c r="BJ618" s="18">
        <v>2475</v>
      </c>
      <c r="BK618" s="18"/>
      <c r="BL618" s="18"/>
      <c r="BM618" s="18"/>
      <c r="BN618" s="18"/>
      <c r="BO618" s="18"/>
      <c r="BP618" s="18"/>
      <c r="BQ618" s="18"/>
      <c r="BR618" s="18"/>
      <c r="BS618" s="18"/>
      <c r="BT618" s="18">
        <v>2475</v>
      </c>
    </row>
    <row r="619" spans="15:72" x14ac:dyDescent="0.3">
      <c r="O619" t="s">
        <v>1318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>
        <v>2475</v>
      </c>
      <c r="BH619" s="18"/>
      <c r="BI619" s="18"/>
      <c r="BJ619" s="18">
        <v>2475</v>
      </c>
      <c r="BK619" s="18"/>
      <c r="BL619" s="18"/>
      <c r="BM619" s="18"/>
      <c r="BN619" s="18"/>
      <c r="BO619" s="18"/>
      <c r="BP619" s="18"/>
      <c r="BQ619" s="18"/>
      <c r="BR619" s="18"/>
      <c r="BS619" s="18"/>
      <c r="BT619" s="18">
        <v>2475</v>
      </c>
    </row>
    <row r="620" spans="15:72" x14ac:dyDescent="0.3">
      <c r="O620" t="s">
        <v>1339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>
        <v>2475</v>
      </c>
      <c r="BH620" s="18"/>
      <c r="BI620" s="18"/>
      <c r="BJ620" s="18">
        <v>2475</v>
      </c>
      <c r="BK620" s="18"/>
      <c r="BL620" s="18"/>
      <c r="BM620" s="18"/>
      <c r="BN620" s="18"/>
      <c r="BO620" s="18"/>
      <c r="BP620" s="18"/>
      <c r="BQ620" s="18"/>
      <c r="BR620" s="18"/>
      <c r="BS620" s="18"/>
      <c r="BT620" s="18">
        <v>2475</v>
      </c>
    </row>
    <row r="621" spans="15:72" x14ac:dyDescent="0.3">
      <c r="O621" t="s">
        <v>1349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>
        <v>3240</v>
      </c>
      <c r="BH621" s="18"/>
      <c r="BI621" s="18"/>
      <c r="BJ621" s="18">
        <v>3240</v>
      </c>
      <c r="BK621" s="18"/>
      <c r="BL621" s="18"/>
      <c r="BM621" s="18"/>
      <c r="BN621" s="18"/>
      <c r="BO621" s="18"/>
      <c r="BP621" s="18"/>
      <c r="BQ621" s="18"/>
      <c r="BR621" s="18"/>
      <c r="BS621" s="18"/>
      <c r="BT621" s="18">
        <v>3240</v>
      </c>
    </row>
    <row r="622" spans="15:72" x14ac:dyDescent="0.3">
      <c r="O622" t="s">
        <v>1406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>
        <v>3078.5</v>
      </c>
      <c r="BI622" s="18"/>
      <c r="BJ622" s="18">
        <v>3078.5</v>
      </c>
      <c r="BK622" s="18"/>
      <c r="BL622" s="18"/>
      <c r="BM622" s="18"/>
      <c r="BN622" s="18"/>
      <c r="BO622" s="18"/>
      <c r="BP622" s="18"/>
      <c r="BQ622" s="18"/>
      <c r="BR622" s="18"/>
      <c r="BS622" s="18"/>
      <c r="BT622" s="18">
        <v>3078.5</v>
      </c>
    </row>
    <row r="623" spans="15:72" x14ac:dyDescent="0.3">
      <c r="O623" t="s">
        <v>1427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>
        <v>2947.5</v>
      </c>
      <c r="BI623" s="18"/>
      <c r="BJ623" s="18">
        <v>2947.5</v>
      </c>
      <c r="BK623" s="18"/>
      <c r="BL623" s="18"/>
      <c r="BM623" s="18"/>
      <c r="BN623" s="18"/>
      <c r="BO623" s="18"/>
      <c r="BP623" s="18"/>
      <c r="BQ623" s="18"/>
      <c r="BR623" s="18"/>
      <c r="BS623" s="18"/>
      <c r="BT623" s="18">
        <v>2947.5</v>
      </c>
    </row>
    <row r="624" spans="15:72" x14ac:dyDescent="0.3">
      <c r="O624" t="s">
        <v>1438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>
        <v>3137.5</v>
      </c>
      <c r="BI624" s="18"/>
      <c r="BJ624" s="18">
        <v>3137.5</v>
      </c>
      <c r="BK624" s="18"/>
      <c r="BL624" s="18"/>
      <c r="BM624" s="18"/>
      <c r="BN624" s="18"/>
      <c r="BO624" s="18"/>
      <c r="BP624" s="18"/>
      <c r="BQ624" s="18"/>
      <c r="BR624" s="18"/>
      <c r="BS624" s="18"/>
      <c r="BT624" s="18">
        <v>3137.5</v>
      </c>
    </row>
    <row r="625" spans="15:72" x14ac:dyDescent="0.3">
      <c r="O625" t="s">
        <v>1465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>
        <v>1965</v>
      </c>
      <c r="BI625" s="18"/>
      <c r="BJ625" s="18">
        <v>1965</v>
      </c>
      <c r="BK625" s="18"/>
      <c r="BL625" s="18"/>
      <c r="BM625" s="18"/>
      <c r="BN625" s="18"/>
      <c r="BO625" s="18"/>
      <c r="BP625" s="18"/>
      <c r="BQ625" s="18"/>
      <c r="BR625" s="18"/>
      <c r="BS625" s="18"/>
      <c r="BT625" s="18">
        <v>1965</v>
      </c>
    </row>
    <row r="626" spans="15:72" x14ac:dyDescent="0.3">
      <c r="O626" t="s">
        <v>1550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>
        <v>2475</v>
      </c>
      <c r="BJ626" s="18">
        <v>2475</v>
      </c>
      <c r="BK626" s="18"/>
      <c r="BL626" s="18"/>
      <c r="BM626" s="18"/>
      <c r="BN626" s="18"/>
      <c r="BO626" s="18"/>
      <c r="BP626" s="18"/>
      <c r="BQ626" s="18"/>
      <c r="BR626" s="18"/>
      <c r="BS626" s="18"/>
      <c r="BT626" s="18">
        <v>2475</v>
      </c>
    </row>
    <row r="627" spans="15:72" x14ac:dyDescent="0.3">
      <c r="O627" t="s">
        <v>1648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>
        <v>2475</v>
      </c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>
        <v>2475</v>
      </c>
      <c r="BK627" s="18"/>
      <c r="BL627" s="18"/>
      <c r="BM627" s="18"/>
      <c r="BN627" s="18"/>
      <c r="BO627" s="18"/>
      <c r="BP627" s="18"/>
      <c r="BQ627" s="18"/>
      <c r="BR627" s="18"/>
      <c r="BS627" s="18"/>
      <c r="BT627" s="18">
        <v>2475</v>
      </c>
    </row>
    <row r="628" spans="15:72" x14ac:dyDescent="0.3">
      <c r="O628" t="s">
        <v>1664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>
        <v>2475</v>
      </c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>
        <v>2475</v>
      </c>
      <c r="BK628" s="18"/>
      <c r="BL628" s="18"/>
      <c r="BM628" s="18"/>
      <c r="BN628" s="18"/>
      <c r="BO628" s="18"/>
      <c r="BP628" s="18"/>
      <c r="BQ628" s="18"/>
      <c r="BR628" s="18"/>
      <c r="BS628" s="18"/>
      <c r="BT628" s="18">
        <v>2475</v>
      </c>
    </row>
    <row r="629" spans="15:72" x14ac:dyDescent="0.3">
      <c r="O629" t="s">
        <v>1718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>
        <v>2668</v>
      </c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>
        <v>2668</v>
      </c>
      <c r="BK629" s="18"/>
      <c r="BL629" s="18"/>
      <c r="BM629" s="18"/>
      <c r="BN629" s="18"/>
      <c r="BO629" s="18"/>
      <c r="BP629" s="18"/>
      <c r="BQ629" s="18"/>
      <c r="BR629" s="18"/>
      <c r="BS629" s="18"/>
      <c r="BT629" s="18">
        <v>2668</v>
      </c>
    </row>
    <row r="630" spans="15:72" x14ac:dyDescent="0.3">
      <c r="O630" t="s">
        <v>1722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>
        <v>2731.5</v>
      </c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>
        <v>2731.5</v>
      </c>
      <c r="BK630" s="18"/>
      <c r="BL630" s="18"/>
      <c r="BM630" s="18"/>
      <c r="BN630" s="18"/>
      <c r="BO630" s="18"/>
      <c r="BP630" s="18"/>
      <c r="BQ630" s="18"/>
      <c r="BR630" s="18"/>
      <c r="BS630" s="18"/>
      <c r="BT630" s="18">
        <v>2731.5</v>
      </c>
    </row>
    <row r="631" spans="15:72" x14ac:dyDescent="0.3">
      <c r="O631" t="s">
        <v>1734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>
        <v>2644</v>
      </c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>
        <v>2644</v>
      </c>
      <c r="BK631" s="18"/>
      <c r="BL631" s="18"/>
      <c r="BM631" s="18"/>
      <c r="BN631" s="18"/>
      <c r="BO631" s="18"/>
      <c r="BP631" s="18"/>
      <c r="BQ631" s="18"/>
      <c r="BR631" s="18"/>
      <c r="BS631" s="18"/>
      <c r="BT631" s="18">
        <v>2644</v>
      </c>
    </row>
    <row r="632" spans="15:72" x14ac:dyDescent="0.3">
      <c r="O632" t="s">
        <v>1829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>
        <v>2847.5</v>
      </c>
      <c r="BA632" s="18"/>
      <c r="BB632" s="18"/>
      <c r="BC632" s="18"/>
      <c r="BD632" s="18"/>
      <c r="BE632" s="18"/>
      <c r="BF632" s="18"/>
      <c r="BG632" s="18"/>
      <c r="BH632" s="18"/>
      <c r="BI632" s="18"/>
      <c r="BJ632" s="18">
        <v>2847.5</v>
      </c>
      <c r="BK632" s="18"/>
      <c r="BL632" s="18"/>
      <c r="BM632" s="18"/>
      <c r="BN632" s="18"/>
      <c r="BO632" s="18"/>
      <c r="BP632" s="18"/>
      <c r="BQ632" s="18"/>
      <c r="BR632" s="18"/>
      <c r="BS632" s="18"/>
      <c r="BT632" s="18">
        <v>2847.5</v>
      </c>
    </row>
    <row r="633" spans="15:72" x14ac:dyDescent="0.3">
      <c r="O633" t="s">
        <v>1888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>
        <v>2613.5</v>
      </c>
      <c r="BB633" s="18"/>
      <c r="BC633" s="18"/>
      <c r="BD633" s="18"/>
      <c r="BE633" s="18"/>
      <c r="BF633" s="18"/>
      <c r="BG633" s="18"/>
      <c r="BH633" s="18"/>
      <c r="BI633" s="18"/>
      <c r="BJ633" s="18">
        <v>2613.5</v>
      </c>
      <c r="BK633" s="18"/>
      <c r="BL633" s="18"/>
      <c r="BM633" s="18"/>
      <c r="BN633" s="18"/>
      <c r="BO633" s="18"/>
      <c r="BP633" s="18"/>
      <c r="BQ633" s="18"/>
      <c r="BR633" s="18"/>
      <c r="BS633" s="18"/>
      <c r="BT633" s="18">
        <v>2613.5</v>
      </c>
    </row>
    <row r="634" spans="15:72" x14ac:dyDescent="0.3">
      <c r="O634" t="s">
        <v>1992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>
        <v>2535</v>
      </c>
      <c r="BC634" s="18"/>
      <c r="BD634" s="18"/>
      <c r="BE634" s="18"/>
      <c r="BF634" s="18"/>
      <c r="BG634" s="18"/>
      <c r="BH634" s="18"/>
      <c r="BI634" s="18"/>
      <c r="BJ634" s="18">
        <v>2535</v>
      </c>
      <c r="BK634" s="18"/>
      <c r="BL634" s="18"/>
      <c r="BM634" s="18"/>
      <c r="BN634" s="18"/>
      <c r="BO634" s="18"/>
      <c r="BP634" s="18"/>
      <c r="BQ634" s="18"/>
      <c r="BR634" s="18"/>
      <c r="BS634" s="18"/>
      <c r="BT634" s="18">
        <v>2535</v>
      </c>
    </row>
    <row r="635" spans="15:72" x14ac:dyDescent="0.3">
      <c r="O635" t="s">
        <v>2028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>
        <v>2561</v>
      </c>
      <c r="BC635" s="18"/>
      <c r="BD635" s="18"/>
      <c r="BE635" s="18"/>
      <c r="BF635" s="18"/>
      <c r="BG635" s="18"/>
      <c r="BH635" s="18"/>
      <c r="BI635" s="18"/>
      <c r="BJ635" s="18">
        <v>2561</v>
      </c>
      <c r="BK635" s="18"/>
      <c r="BL635" s="18"/>
      <c r="BM635" s="18"/>
      <c r="BN635" s="18"/>
      <c r="BO635" s="18"/>
      <c r="BP635" s="18"/>
      <c r="BQ635" s="18"/>
      <c r="BR635" s="18"/>
      <c r="BS635" s="18"/>
      <c r="BT635" s="18">
        <v>2561</v>
      </c>
    </row>
    <row r="636" spans="15:72" x14ac:dyDescent="0.3">
      <c r="O636" t="s">
        <v>2153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>
        <v>2818.5</v>
      </c>
      <c r="BD636" s="18"/>
      <c r="BE636" s="18"/>
      <c r="BF636" s="18"/>
      <c r="BG636" s="18"/>
      <c r="BH636" s="18"/>
      <c r="BI636" s="18"/>
      <c r="BJ636" s="18">
        <v>2818.5</v>
      </c>
      <c r="BK636" s="18"/>
      <c r="BL636" s="18"/>
      <c r="BM636" s="18"/>
      <c r="BN636" s="18"/>
      <c r="BO636" s="18"/>
      <c r="BP636" s="18"/>
      <c r="BQ636" s="18"/>
      <c r="BR636" s="18"/>
      <c r="BS636" s="18"/>
      <c r="BT636" s="18">
        <v>2818.5</v>
      </c>
    </row>
    <row r="637" spans="15:72" x14ac:dyDescent="0.3">
      <c r="O637" t="s">
        <v>2170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>
        <v>2508</v>
      </c>
      <c r="BD637" s="18"/>
      <c r="BE637" s="18"/>
      <c r="BF637" s="18"/>
      <c r="BG637" s="18"/>
      <c r="BH637" s="18"/>
      <c r="BI637" s="18"/>
      <c r="BJ637" s="18">
        <v>2508</v>
      </c>
      <c r="BK637" s="18"/>
      <c r="BL637" s="18"/>
      <c r="BM637" s="18"/>
      <c r="BN637" s="18"/>
      <c r="BO637" s="18"/>
      <c r="BP637" s="18"/>
      <c r="BQ637" s="18"/>
      <c r="BR637" s="18"/>
      <c r="BS637" s="18"/>
      <c r="BT637" s="18">
        <v>2508</v>
      </c>
    </row>
    <row r="638" spans="15:72" x14ac:dyDescent="0.3">
      <c r="O638" t="s">
        <v>2180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>
        <v>3449</v>
      </c>
      <c r="BE638" s="18"/>
      <c r="BF638" s="18"/>
      <c r="BG638" s="18"/>
      <c r="BH638" s="18"/>
      <c r="BI638" s="18"/>
      <c r="BJ638" s="18">
        <v>3449</v>
      </c>
      <c r="BK638" s="18"/>
      <c r="BL638" s="18"/>
      <c r="BM638" s="18"/>
      <c r="BN638" s="18"/>
      <c r="BO638" s="18"/>
      <c r="BP638" s="18"/>
      <c r="BQ638" s="18"/>
      <c r="BR638" s="18"/>
      <c r="BS638" s="18"/>
      <c r="BT638" s="18">
        <v>3449</v>
      </c>
    </row>
    <row r="639" spans="15:72" x14ac:dyDescent="0.3">
      <c r="O639" t="s">
        <v>2183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>
        <v>2700.5</v>
      </c>
      <c r="BE639" s="18"/>
      <c r="BF639" s="18"/>
      <c r="BG639" s="18"/>
      <c r="BH639" s="18"/>
      <c r="BI639" s="18"/>
      <c r="BJ639" s="18">
        <v>2700.5</v>
      </c>
      <c r="BK639" s="18"/>
      <c r="BL639" s="18"/>
      <c r="BM639" s="18"/>
      <c r="BN639" s="18"/>
      <c r="BO639" s="18"/>
      <c r="BP639" s="18"/>
      <c r="BQ639" s="18"/>
      <c r="BR639" s="18"/>
      <c r="BS639" s="18"/>
      <c r="BT639" s="18">
        <v>2700.5</v>
      </c>
    </row>
    <row r="640" spans="15:72" x14ac:dyDescent="0.3">
      <c r="O640" t="s">
        <v>2192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>
        <v>2665.5</v>
      </c>
      <c r="BE640" s="18"/>
      <c r="BF640" s="18"/>
      <c r="BG640" s="18"/>
      <c r="BH640" s="18"/>
      <c r="BI640" s="18"/>
      <c r="BJ640" s="18">
        <v>2665.5</v>
      </c>
      <c r="BK640" s="18"/>
      <c r="BL640" s="18"/>
      <c r="BM640" s="18"/>
      <c r="BN640" s="18"/>
      <c r="BO640" s="18"/>
      <c r="BP640" s="18"/>
      <c r="BQ640" s="18"/>
      <c r="BR640" s="18"/>
      <c r="BS640" s="18"/>
      <c r="BT640" s="18">
        <v>2665.5</v>
      </c>
    </row>
    <row r="641" spans="14:72" x14ac:dyDescent="0.3">
      <c r="O641" t="s">
        <v>2198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>
        <v>2978</v>
      </c>
      <c r="BE641" s="18"/>
      <c r="BF641" s="18"/>
      <c r="BG641" s="18"/>
      <c r="BH641" s="18"/>
      <c r="BI641" s="18"/>
      <c r="BJ641" s="18">
        <v>2978</v>
      </c>
      <c r="BK641" s="18"/>
      <c r="BL641" s="18"/>
      <c r="BM641" s="18"/>
      <c r="BN641" s="18"/>
      <c r="BO641" s="18"/>
      <c r="BP641" s="18"/>
      <c r="BQ641" s="18"/>
      <c r="BR641" s="18"/>
      <c r="BS641" s="18"/>
      <c r="BT641" s="18">
        <v>2978</v>
      </c>
    </row>
    <row r="642" spans="14:72" x14ac:dyDescent="0.3">
      <c r="O642" t="s">
        <v>2208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>
        <v>2145.5</v>
      </c>
      <c r="BE642" s="18"/>
      <c r="BF642" s="18"/>
      <c r="BG642" s="18"/>
      <c r="BH642" s="18"/>
      <c r="BI642" s="18"/>
      <c r="BJ642" s="18">
        <v>2145.5</v>
      </c>
      <c r="BK642" s="18"/>
      <c r="BL642" s="18"/>
      <c r="BM642" s="18"/>
      <c r="BN642" s="18"/>
      <c r="BO642" s="18"/>
      <c r="BP642" s="18"/>
      <c r="BQ642" s="18"/>
      <c r="BR642" s="18"/>
      <c r="BS642" s="18"/>
      <c r="BT642" s="18">
        <v>2145.5</v>
      </c>
    </row>
    <row r="643" spans="14:72" x14ac:dyDescent="0.3">
      <c r="O643" t="s">
        <v>2213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>
        <v>2423</v>
      </c>
      <c r="BE643" s="18"/>
      <c r="BF643" s="18"/>
      <c r="BG643" s="18"/>
      <c r="BH643" s="18"/>
      <c r="BI643" s="18"/>
      <c r="BJ643" s="18">
        <v>2423</v>
      </c>
      <c r="BK643" s="18"/>
      <c r="BL643" s="18"/>
      <c r="BM643" s="18"/>
      <c r="BN643" s="18"/>
      <c r="BO643" s="18"/>
      <c r="BP643" s="18"/>
      <c r="BQ643" s="18"/>
      <c r="BR643" s="18"/>
      <c r="BS643" s="18"/>
      <c r="BT643" s="18">
        <v>2423</v>
      </c>
    </row>
    <row r="644" spans="14:72" x14ac:dyDescent="0.3">
      <c r="O644" t="s">
        <v>2272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>
        <v>2388</v>
      </c>
      <c r="BO644" s="18"/>
      <c r="BP644" s="18"/>
      <c r="BQ644" s="18"/>
      <c r="BR644" s="18"/>
      <c r="BS644" s="18">
        <v>2388</v>
      </c>
      <c r="BT644" s="18">
        <v>2388</v>
      </c>
    </row>
    <row r="645" spans="14:72" x14ac:dyDescent="0.3">
      <c r="O645" t="s">
        <v>2281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>
        <v>2700.5</v>
      </c>
      <c r="BO645" s="18"/>
      <c r="BP645" s="18"/>
      <c r="BQ645" s="18"/>
      <c r="BR645" s="18"/>
      <c r="BS645" s="18">
        <v>2700.5</v>
      </c>
      <c r="BT645" s="18">
        <v>2700.5</v>
      </c>
    </row>
    <row r="646" spans="14:72" x14ac:dyDescent="0.3">
      <c r="O646" t="s">
        <v>2356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>
        <v>2405.1</v>
      </c>
      <c r="BP646" s="18"/>
      <c r="BQ646" s="18"/>
      <c r="BR646" s="18"/>
      <c r="BS646" s="18">
        <v>2405.1</v>
      </c>
      <c r="BT646" s="18">
        <v>2405.1</v>
      </c>
    </row>
    <row r="647" spans="14:72" x14ac:dyDescent="0.3">
      <c r="O647" t="s">
        <v>2423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>
        <v>2613</v>
      </c>
      <c r="BQ647" s="18"/>
      <c r="BR647" s="18"/>
      <c r="BS647" s="18">
        <v>2613</v>
      </c>
      <c r="BT647" s="18">
        <v>2613</v>
      </c>
    </row>
    <row r="648" spans="14:72" x14ac:dyDescent="0.3">
      <c r="O648" t="s">
        <v>2455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>
        <v>2665.5</v>
      </c>
      <c r="BQ648" s="18"/>
      <c r="BR648" s="18"/>
      <c r="BS648" s="18">
        <v>2665.5</v>
      </c>
      <c r="BT648" s="18">
        <v>2665.5</v>
      </c>
    </row>
    <row r="649" spans="14:72" x14ac:dyDescent="0.3">
      <c r="O649" t="s">
        <v>2510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>
        <v>2665.5</v>
      </c>
      <c r="BR649" s="18"/>
      <c r="BS649" s="18">
        <v>2665.5</v>
      </c>
      <c r="BT649" s="18">
        <v>2665.5</v>
      </c>
    </row>
    <row r="650" spans="14:72" x14ac:dyDescent="0.3">
      <c r="O650" t="s">
        <v>2518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>
        <v>3180.5</v>
      </c>
      <c r="BR650" s="18"/>
      <c r="BS650" s="18">
        <v>3180.5</v>
      </c>
      <c r="BT650" s="18">
        <v>3180.5</v>
      </c>
    </row>
    <row r="651" spans="14:72" x14ac:dyDescent="0.3">
      <c r="O651" t="s">
        <v>2566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>
        <v>2722.5</v>
      </c>
      <c r="BS651" s="18">
        <v>2722.5</v>
      </c>
      <c r="BT651" s="18">
        <v>2722.5</v>
      </c>
    </row>
    <row r="652" spans="14:72" x14ac:dyDescent="0.3">
      <c r="O652" t="s">
        <v>2567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>
        <v>2410</v>
      </c>
      <c r="BS652" s="18">
        <v>2410</v>
      </c>
      <c r="BT652" s="18">
        <v>2410</v>
      </c>
    </row>
    <row r="653" spans="14:72" x14ac:dyDescent="0.3">
      <c r="O653" t="s">
        <v>2636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>
        <v>2410</v>
      </c>
      <c r="BL653" s="18"/>
      <c r="BM653" s="18"/>
      <c r="BN653" s="18"/>
      <c r="BO653" s="18"/>
      <c r="BP653" s="18"/>
      <c r="BQ653" s="18"/>
      <c r="BR653" s="18"/>
      <c r="BS653" s="18">
        <v>2410</v>
      </c>
      <c r="BT653" s="18">
        <v>2410</v>
      </c>
    </row>
    <row r="654" spans="14:72" x14ac:dyDescent="0.3">
      <c r="N654" s="17" t="s">
        <v>500</v>
      </c>
      <c r="O654" s="17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>
        <v>2024</v>
      </c>
      <c r="AD654" s="19"/>
      <c r="AE654" s="19"/>
      <c r="AF654" s="19"/>
      <c r="AG654" s="19"/>
      <c r="AH654" s="19"/>
      <c r="AI654" s="19"/>
      <c r="AJ654" s="19">
        <v>2024</v>
      </c>
      <c r="AK654" s="19">
        <v>6120.5</v>
      </c>
      <c r="AL654" s="19">
        <v>2180</v>
      </c>
      <c r="AM654" s="19">
        <v>3459</v>
      </c>
      <c r="AN654" s="19">
        <v>9502.2999999999993</v>
      </c>
      <c r="AO654" s="19">
        <v>11138.5</v>
      </c>
      <c r="AP654" s="19">
        <v>3094</v>
      </c>
      <c r="AQ654" s="19">
        <v>8751</v>
      </c>
      <c r="AR654" s="19"/>
      <c r="AS654" s="19">
        <v>5822</v>
      </c>
      <c r="AT654" s="19">
        <v>14428.5</v>
      </c>
      <c r="AU654" s="19">
        <v>17287.5</v>
      </c>
      <c r="AV654" s="19">
        <v>6725</v>
      </c>
      <c r="AW654" s="19">
        <v>88508.299999999988</v>
      </c>
      <c r="AX654" s="19">
        <v>4950</v>
      </c>
      <c r="AY654" s="19">
        <v>8043.5</v>
      </c>
      <c r="AZ654" s="19">
        <v>2847.5</v>
      </c>
      <c r="BA654" s="19">
        <v>2613.5</v>
      </c>
      <c r="BB654" s="19">
        <v>5096</v>
      </c>
      <c r="BC654" s="19">
        <v>5326.5</v>
      </c>
      <c r="BD654" s="19">
        <v>16361.5</v>
      </c>
      <c r="BE654" s="19">
        <v>6205.5</v>
      </c>
      <c r="BF654" s="19">
        <v>7680</v>
      </c>
      <c r="BG654" s="19">
        <v>8190</v>
      </c>
      <c r="BH654" s="19">
        <v>11128.5</v>
      </c>
      <c r="BI654" s="19">
        <v>2475</v>
      </c>
      <c r="BJ654" s="19">
        <v>80917.5</v>
      </c>
      <c r="BK654" s="19">
        <v>2410</v>
      </c>
      <c r="BL654" s="19"/>
      <c r="BM654" s="19"/>
      <c r="BN654" s="19">
        <v>5088.5</v>
      </c>
      <c r="BO654" s="19">
        <v>2405.1</v>
      </c>
      <c r="BP654" s="19">
        <v>5278.5</v>
      </c>
      <c r="BQ654" s="19">
        <v>5846</v>
      </c>
      <c r="BR654" s="19">
        <v>5132.5</v>
      </c>
      <c r="BS654" s="19">
        <v>26160.6</v>
      </c>
      <c r="BT654" s="19">
        <v>197610.4</v>
      </c>
    </row>
    <row r="655" spans="14:72" x14ac:dyDescent="0.3">
      <c r="N655" t="s">
        <v>637</v>
      </c>
      <c r="O655" t="s">
        <v>634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>
        <v>4873</v>
      </c>
      <c r="AU655" s="18"/>
      <c r="AV655" s="18"/>
      <c r="AW655" s="18">
        <v>4873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>
        <v>4873</v>
      </c>
    </row>
    <row r="656" spans="14:72" x14ac:dyDescent="0.3">
      <c r="O656" t="s">
        <v>642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>
        <v>65</v>
      </c>
      <c r="AU656" s="18"/>
      <c r="AV656" s="18"/>
      <c r="AW656" s="18">
        <v>65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>
        <v>65</v>
      </c>
    </row>
    <row r="657" spans="15:72" x14ac:dyDescent="0.3">
      <c r="O657" t="s">
        <v>644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>
        <v>390</v>
      </c>
      <c r="AU657" s="18"/>
      <c r="AV657" s="18"/>
      <c r="AW657" s="18">
        <v>390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>
        <v>390</v>
      </c>
    </row>
    <row r="658" spans="15:72" x14ac:dyDescent="0.3">
      <c r="O658" t="s">
        <v>684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>
        <v>3480</v>
      </c>
      <c r="AV658" s="18"/>
      <c r="AW658" s="18">
        <v>3480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>
        <v>3480</v>
      </c>
    </row>
    <row r="659" spans="15:72" x14ac:dyDescent="0.3">
      <c r="O659" t="s">
        <v>691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>
        <v>590</v>
      </c>
      <c r="AV659" s="18"/>
      <c r="AW659" s="18">
        <v>590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>
        <v>590</v>
      </c>
    </row>
    <row r="660" spans="15:72" x14ac:dyDescent="0.3">
      <c r="O660" t="s">
        <v>769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>
        <v>4317.8999999999996</v>
      </c>
      <c r="AW660" s="18">
        <v>4317.8999999999996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>
        <v>4317.8999999999996</v>
      </c>
    </row>
    <row r="661" spans="15:72" x14ac:dyDescent="0.3">
      <c r="O661" t="s">
        <v>827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>
        <v>2112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>
        <v>2112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>
        <v>2112</v>
      </c>
    </row>
    <row r="662" spans="15:72" x14ac:dyDescent="0.3">
      <c r="O662" t="s">
        <v>832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>
        <v>2112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>
        <v>2112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>
        <v>2112</v>
      </c>
    </row>
    <row r="663" spans="15:72" x14ac:dyDescent="0.3">
      <c r="O663" t="s">
        <v>952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>
        <v>2968.8</v>
      </c>
      <c r="AO663" s="18"/>
      <c r="AP663" s="18"/>
      <c r="AQ663" s="18"/>
      <c r="AR663" s="18"/>
      <c r="AS663" s="18"/>
      <c r="AT663" s="18"/>
      <c r="AU663" s="18"/>
      <c r="AV663" s="18"/>
      <c r="AW663" s="18">
        <v>2968.8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>
        <v>2968.8</v>
      </c>
    </row>
    <row r="664" spans="15:72" x14ac:dyDescent="0.3">
      <c r="O664" t="s">
        <v>953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>
        <v>840</v>
      </c>
      <c r="AO664" s="18"/>
      <c r="AP664" s="18"/>
      <c r="AQ664" s="18"/>
      <c r="AR664" s="18"/>
      <c r="AS664" s="18"/>
      <c r="AT664" s="18"/>
      <c r="AU664" s="18"/>
      <c r="AV664" s="18"/>
      <c r="AW664" s="18">
        <v>840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>
        <v>840</v>
      </c>
    </row>
    <row r="665" spans="15:72" x14ac:dyDescent="0.3">
      <c r="O665" t="s">
        <v>1055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>
        <v>1316</v>
      </c>
      <c r="AQ665" s="18"/>
      <c r="AR665" s="18"/>
      <c r="AS665" s="18"/>
      <c r="AT665" s="18"/>
      <c r="AU665" s="18"/>
      <c r="AV665" s="18"/>
      <c r="AW665" s="18">
        <v>1316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>
        <v>1316</v>
      </c>
    </row>
    <row r="666" spans="15:72" x14ac:dyDescent="0.3">
      <c r="O666" t="s">
        <v>1108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855</v>
      </c>
      <c r="AR666" s="18"/>
      <c r="AS666" s="18"/>
      <c r="AT666" s="18"/>
      <c r="AU666" s="18"/>
      <c r="AV666" s="18"/>
      <c r="AW666" s="18">
        <v>855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>
        <v>855</v>
      </c>
    </row>
    <row r="667" spans="15:72" x14ac:dyDescent="0.3">
      <c r="O667" t="s">
        <v>1116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v>93</v>
      </c>
      <c r="AR667" s="18"/>
      <c r="AS667" s="18"/>
      <c r="AT667" s="18"/>
      <c r="AU667" s="18"/>
      <c r="AV667" s="18"/>
      <c r="AW667" s="18">
        <v>93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>
        <v>93</v>
      </c>
    </row>
    <row r="668" spans="15:72" x14ac:dyDescent="0.3">
      <c r="O668" t="s">
        <v>1120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>
        <v>2024</v>
      </c>
      <c r="AR668" s="18"/>
      <c r="AS668" s="18"/>
      <c r="AT668" s="18"/>
      <c r="AU668" s="18"/>
      <c r="AV668" s="18"/>
      <c r="AW668" s="18">
        <v>2024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>
        <v>2024</v>
      </c>
    </row>
    <row r="669" spans="15:72" x14ac:dyDescent="0.3">
      <c r="O669" t="s">
        <v>1130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v>50</v>
      </c>
      <c r="AR669" s="18"/>
      <c r="AS669" s="18"/>
      <c r="AT669" s="18"/>
      <c r="AU669" s="18"/>
      <c r="AV669" s="18"/>
      <c r="AW669" s="18">
        <v>50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>
        <v>50</v>
      </c>
    </row>
    <row r="670" spans="15:72" x14ac:dyDescent="0.3">
      <c r="O670" t="s">
        <v>1182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>
        <v>256</v>
      </c>
      <c r="BF670" s="18"/>
      <c r="BG670" s="18"/>
      <c r="BH670" s="18"/>
      <c r="BI670" s="18"/>
      <c r="BJ670" s="18">
        <v>256</v>
      </c>
      <c r="BK670" s="18"/>
      <c r="BL670" s="18"/>
      <c r="BM670" s="18"/>
      <c r="BN670" s="18"/>
      <c r="BO670" s="18"/>
      <c r="BP670" s="18"/>
      <c r="BQ670" s="18"/>
      <c r="BR670" s="18"/>
      <c r="BS670" s="18"/>
      <c r="BT670" s="18">
        <v>256</v>
      </c>
    </row>
    <row r="671" spans="15:72" x14ac:dyDescent="0.3">
      <c r="O671" t="s">
        <v>1191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>
        <v>1936</v>
      </c>
      <c r="BF671" s="18"/>
      <c r="BG671" s="18"/>
      <c r="BH671" s="18"/>
      <c r="BI671" s="18"/>
      <c r="BJ671" s="18">
        <v>1936</v>
      </c>
      <c r="BK671" s="18"/>
      <c r="BL671" s="18"/>
      <c r="BM671" s="18"/>
      <c r="BN671" s="18"/>
      <c r="BO671" s="18"/>
      <c r="BP671" s="18"/>
      <c r="BQ671" s="18"/>
      <c r="BR671" s="18"/>
      <c r="BS671" s="18"/>
      <c r="BT671" s="18">
        <v>1936</v>
      </c>
    </row>
    <row r="672" spans="15:72" x14ac:dyDescent="0.3">
      <c r="O672" t="s">
        <v>1205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>
        <v>570</v>
      </c>
      <c r="BF672" s="18"/>
      <c r="BG672" s="18"/>
      <c r="BH672" s="18"/>
      <c r="BI672" s="18"/>
      <c r="BJ672" s="18">
        <v>570</v>
      </c>
      <c r="BK672" s="18"/>
      <c r="BL672" s="18"/>
      <c r="BM672" s="18"/>
      <c r="BN672" s="18"/>
      <c r="BO672" s="18"/>
      <c r="BP672" s="18"/>
      <c r="BQ672" s="18"/>
      <c r="BR672" s="18"/>
      <c r="BS672" s="18"/>
      <c r="BT672" s="18">
        <v>570</v>
      </c>
    </row>
    <row r="673" spans="15:72" x14ac:dyDescent="0.3">
      <c r="O673" t="s">
        <v>1239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>
        <v>2956</v>
      </c>
      <c r="BG673" s="18"/>
      <c r="BH673" s="18"/>
      <c r="BI673" s="18"/>
      <c r="BJ673" s="18">
        <v>2956</v>
      </c>
      <c r="BK673" s="18"/>
      <c r="BL673" s="18"/>
      <c r="BM673" s="18"/>
      <c r="BN673" s="18"/>
      <c r="BO673" s="18"/>
      <c r="BP673" s="18"/>
      <c r="BQ673" s="18"/>
      <c r="BR673" s="18"/>
      <c r="BS673" s="18"/>
      <c r="BT673" s="18">
        <v>2956</v>
      </c>
    </row>
    <row r="674" spans="15:72" x14ac:dyDescent="0.3">
      <c r="O674" t="s">
        <v>1248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>
        <v>110</v>
      </c>
      <c r="BG674" s="18"/>
      <c r="BH674" s="18"/>
      <c r="BI674" s="18"/>
      <c r="BJ674" s="18">
        <v>110</v>
      </c>
      <c r="BK674" s="18"/>
      <c r="BL674" s="18"/>
      <c r="BM674" s="18"/>
      <c r="BN674" s="18"/>
      <c r="BO674" s="18"/>
      <c r="BP674" s="18"/>
      <c r="BQ674" s="18"/>
      <c r="BR674" s="18"/>
      <c r="BS674" s="18"/>
      <c r="BT674" s="18">
        <v>110</v>
      </c>
    </row>
    <row r="675" spans="15:72" x14ac:dyDescent="0.3">
      <c r="O675" t="s">
        <v>1268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>
        <v>202</v>
      </c>
      <c r="BG675" s="18"/>
      <c r="BH675" s="18"/>
      <c r="BI675" s="18"/>
      <c r="BJ675" s="18">
        <v>202</v>
      </c>
      <c r="BK675" s="18"/>
      <c r="BL675" s="18"/>
      <c r="BM675" s="18"/>
      <c r="BN675" s="18"/>
      <c r="BO675" s="18"/>
      <c r="BP675" s="18"/>
      <c r="BQ675" s="18"/>
      <c r="BR675" s="18"/>
      <c r="BS675" s="18"/>
      <c r="BT675" s="18">
        <v>202</v>
      </c>
    </row>
    <row r="676" spans="15:72" x14ac:dyDescent="0.3">
      <c r="O676" t="s">
        <v>1282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>
        <v>1936</v>
      </c>
      <c r="BH676" s="18"/>
      <c r="BI676" s="18"/>
      <c r="BJ676" s="18">
        <v>1936</v>
      </c>
      <c r="BK676" s="18"/>
      <c r="BL676" s="18"/>
      <c r="BM676" s="18"/>
      <c r="BN676" s="18"/>
      <c r="BO676" s="18"/>
      <c r="BP676" s="18"/>
      <c r="BQ676" s="18"/>
      <c r="BR676" s="18"/>
      <c r="BS676" s="18"/>
      <c r="BT676" s="18">
        <v>1936</v>
      </c>
    </row>
    <row r="677" spans="15:72" x14ac:dyDescent="0.3">
      <c r="O677" t="s">
        <v>1391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>
        <v>475.2</v>
      </c>
      <c r="BI677" s="18"/>
      <c r="BJ677" s="18">
        <v>475.2</v>
      </c>
      <c r="BK677" s="18"/>
      <c r="BL677" s="18"/>
      <c r="BM677" s="18"/>
      <c r="BN677" s="18"/>
      <c r="BO677" s="18"/>
      <c r="BP677" s="18"/>
      <c r="BQ677" s="18"/>
      <c r="BR677" s="18"/>
      <c r="BS677" s="18"/>
      <c r="BT677" s="18">
        <v>475.2</v>
      </c>
    </row>
    <row r="678" spans="15:72" x14ac:dyDescent="0.3">
      <c r="O678" t="s">
        <v>1413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>
        <v>1892</v>
      </c>
      <c r="BI678" s="18"/>
      <c r="BJ678" s="18">
        <v>1892</v>
      </c>
      <c r="BK678" s="18"/>
      <c r="BL678" s="18"/>
      <c r="BM678" s="18"/>
      <c r="BN678" s="18"/>
      <c r="BO678" s="18"/>
      <c r="BP678" s="18"/>
      <c r="BQ678" s="18"/>
      <c r="BR678" s="18"/>
      <c r="BS678" s="18"/>
      <c r="BT678" s="18">
        <v>1892</v>
      </c>
    </row>
    <row r="679" spans="15:72" x14ac:dyDescent="0.3">
      <c r="O679" t="s">
        <v>1432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>
        <v>2260</v>
      </c>
      <c r="BI679" s="18"/>
      <c r="BJ679" s="18">
        <v>2260</v>
      </c>
      <c r="BK679" s="18"/>
      <c r="BL679" s="18"/>
      <c r="BM679" s="18"/>
      <c r="BN679" s="18"/>
      <c r="BO679" s="18"/>
      <c r="BP679" s="18"/>
      <c r="BQ679" s="18"/>
      <c r="BR679" s="18"/>
      <c r="BS679" s="18"/>
      <c r="BT679" s="18">
        <v>2260</v>
      </c>
    </row>
    <row r="680" spans="15:72" x14ac:dyDescent="0.3">
      <c r="O680" t="s">
        <v>1710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>
        <v>100</v>
      </c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>
        <v>100</v>
      </c>
      <c r="BK680" s="18"/>
      <c r="BL680" s="18"/>
      <c r="BM680" s="18"/>
      <c r="BN680" s="18"/>
      <c r="BO680" s="18"/>
      <c r="BP680" s="18"/>
      <c r="BQ680" s="18"/>
      <c r="BR680" s="18"/>
      <c r="BS680" s="18"/>
      <c r="BT680" s="18">
        <v>100</v>
      </c>
    </row>
    <row r="681" spans="15:72" x14ac:dyDescent="0.3">
      <c r="O681" t="s">
        <v>1905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>
        <v>6699</v>
      </c>
      <c r="BB681" s="18"/>
      <c r="BC681" s="18"/>
      <c r="BD681" s="18"/>
      <c r="BE681" s="18"/>
      <c r="BF681" s="18"/>
      <c r="BG681" s="18"/>
      <c r="BH681" s="18"/>
      <c r="BI681" s="18"/>
      <c r="BJ681" s="18">
        <v>6699</v>
      </c>
      <c r="BK681" s="18"/>
      <c r="BL681" s="18"/>
      <c r="BM681" s="18"/>
      <c r="BN681" s="18"/>
      <c r="BO681" s="18"/>
      <c r="BP681" s="18"/>
      <c r="BQ681" s="18"/>
      <c r="BR681" s="18"/>
      <c r="BS681" s="18"/>
      <c r="BT681" s="18">
        <v>6699</v>
      </c>
    </row>
    <row r="682" spans="15:72" x14ac:dyDescent="0.3">
      <c r="O682" t="s">
        <v>1996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>
        <v>4068</v>
      </c>
      <c r="BC682" s="18"/>
      <c r="BD682" s="18"/>
      <c r="BE682" s="18"/>
      <c r="BF682" s="18"/>
      <c r="BG682" s="18"/>
      <c r="BH682" s="18"/>
      <c r="BI682" s="18"/>
      <c r="BJ682" s="18">
        <v>4068</v>
      </c>
      <c r="BK682" s="18"/>
      <c r="BL682" s="18"/>
      <c r="BM682" s="18"/>
      <c r="BN682" s="18"/>
      <c r="BO682" s="18"/>
      <c r="BP682" s="18"/>
      <c r="BQ682" s="18"/>
      <c r="BR682" s="18"/>
      <c r="BS682" s="18"/>
      <c r="BT682" s="18">
        <v>4068</v>
      </c>
    </row>
    <row r="683" spans="15:72" x14ac:dyDescent="0.3">
      <c r="O683" t="s">
        <v>2003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>
        <v>344</v>
      </c>
      <c r="BC683" s="18"/>
      <c r="BD683" s="18"/>
      <c r="BE683" s="18"/>
      <c r="BF683" s="18"/>
      <c r="BG683" s="18"/>
      <c r="BH683" s="18"/>
      <c r="BI683" s="18"/>
      <c r="BJ683" s="18">
        <v>344</v>
      </c>
      <c r="BK683" s="18"/>
      <c r="BL683" s="18"/>
      <c r="BM683" s="18"/>
      <c r="BN683" s="18"/>
      <c r="BO683" s="18"/>
      <c r="BP683" s="18"/>
      <c r="BQ683" s="18"/>
      <c r="BR683" s="18"/>
      <c r="BS683" s="18"/>
      <c r="BT683" s="18">
        <v>344</v>
      </c>
    </row>
    <row r="684" spans="15:72" x14ac:dyDescent="0.3">
      <c r="O684" t="s">
        <v>2011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>
        <v>1738</v>
      </c>
      <c r="BC684" s="18"/>
      <c r="BD684" s="18"/>
      <c r="BE684" s="18"/>
      <c r="BF684" s="18"/>
      <c r="BG684" s="18"/>
      <c r="BH684" s="18"/>
      <c r="BI684" s="18"/>
      <c r="BJ684" s="18">
        <v>1738</v>
      </c>
      <c r="BK684" s="18"/>
      <c r="BL684" s="18"/>
      <c r="BM684" s="18"/>
      <c r="BN684" s="18"/>
      <c r="BO684" s="18"/>
      <c r="BP684" s="18"/>
      <c r="BQ684" s="18"/>
      <c r="BR684" s="18"/>
      <c r="BS684" s="18"/>
      <c r="BT684" s="18">
        <v>1738</v>
      </c>
    </row>
    <row r="685" spans="15:72" x14ac:dyDescent="0.3">
      <c r="O685" t="s">
        <v>2184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>
        <v>250</v>
      </c>
      <c r="BE685" s="18"/>
      <c r="BF685" s="18"/>
      <c r="BG685" s="18"/>
      <c r="BH685" s="18"/>
      <c r="BI685" s="18"/>
      <c r="BJ685" s="18">
        <v>250</v>
      </c>
      <c r="BK685" s="18"/>
      <c r="BL685" s="18"/>
      <c r="BM685" s="18"/>
      <c r="BN685" s="18"/>
      <c r="BO685" s="18"/>
      <c r="BP685" s="18"/>
      <c r="BQ685" s="18"/>
      <c r="BR685" s="18"/>
      <c r="BS685" s="18"/>
      <c r="BT685" s="18">
        <v>250</v>
      </c>
    </row>
    <row r="686" spans="15:72" x14ac:dyDescent="0.3">
      <c r="O686" t="s">
        <v>2185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>
        <v>4068</v>
      </c>
      <c r="BE686" s="18"/>
      <c r="BF686" s="18"/>
      <c r="BG686" s="18"/>
      <c r="BH686" s="18"/>
      <c r="BI686" s="18"/>
      <c r="BJ686" s="18">
        <v>4068</v>
      </c>
      <c r="BK686" s="18"/>
      <c r="BL686" s="18"/>
      <c r="BM686" s="18"/>
      <c r="BN686" s="18"/>
      <c r="BO686" s="18"/>
      <c r="BP686" s="18"/>
      <c r="BQ686" s="18"/>
      <c r="BR686" s="18"/>
      <c r="BS686" s="18"/>
      <c r="BT686" s="18">
        <v>4068</v>
      </c>
    </row>
    <row r="687" spans="15:72" x14ac:dyDescent="0.3">
      <c r="O687" t="s">
        <v>2201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>
        <v>4700</v>
      </c>
      <c r="BE687" s="18"/>
      <c r="BF687" s="18"/>
      <c r="BG687" s="18"/>
      <c r="BH687" s="18"/>
      <c r="BI687" s="18"/>
      <c r="BJ687" s="18">
        <v>4700</v>
      </c>
      <c r="BK687" s="18"/>
      <c r="BL687" s="18"/>
      <c r="BM687" s="18"/>
      <c r="BN687" s="18"/>
      <c r="BO687" s="18"/>
      <c r="BP687" s="18"/>
      <c r="BQ687" s="18"/>
      <c r="BR687" s="18"/>
      <c r="BS687" s="18"/>
      <c r="BT687" s="18">
        <v>4700</v>
      </c>
    </row>
    <row r="688" spans="15:72" x14ac:dyDescent="0.3">
      <c r="O688" t="s">
        <v>2265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>
        <v>-866</v>
      </c>
      <c r="BE688" s="18"/>
      <c r="BF688" s="18"/>
      <c r="BG688" s="18"/>
      <c r="BH688" s="18"/>
      <c r="BI688" s="18"/>
      <c r="BJ688" s="18">
        <v>-866</v>
      </c>
      <c r="BK688" s="18"/>
      <c r="BL688" s="18"/>
      <c r="BM688" s="18"/>
      <c r="BN688" s="18"/>
      <c r="BO688" s="18"/>
      <c r="BP688" s="18"/>
      <c r="BQ688" s="18"/>
      <c r="BR688" s="18"/>
      <c r="BS688" s="18"/>
      <c r="BT688" s="18">
        <v>-866</v>
      </c>
    </row>
    <row r="689" spans="14:72" x14ac:dyDescent="0.3">
      <c r="N689" s="17" t="s">
        <v>641</v>
      </c>
      <c r="O689" s="17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>
        <v>4224</v>
      </c>
      <c r="AL689" s="19"/>
      <c r="AM689" s="19"/>
      <c r="AN689" s="19">
        <v>3808.8</v>
      </c>
      <c r="AO689" s="19"/>
      <c r="AP689" s="19">
        <v>1316</v>
      </c>
      <c r="AQ689" s="19">
        <v>3022</v>
      </c>
      <c r="AR689" s="19"/>
      <c r="AS689" s="19"/>
      <c r="AT689" s="19">
        <v>5328</v>
      </c>
      <c r="AU689" s="19">
        <v>4070</v>
      </c>
      <c r="AV689" s="19">
        <v>4317.8999999999996</v>
      </c>
      <c r="AW689" s="19">
        <v>26086.7</v>
      </c>
      <c r="AX689" s="19"/>
      <c r="AY689" s="19">
        <v>100</v>
      </c>
      <c r="AZ689" s="19"/>
      <c r="BA689" s="19">
        <v>6699</v>
      </c>
      <c r="BB689" s="19">
        <v>6150</v>
      </c>
      <c r="BC689" s="19"/>
      <c r="BD689" s="19">
        <v>8152</v>
      </c>
      <c r="BE689" s="19">
        <v>2762</v>
      </c>
      <c r="BF689" s="19">
        <v>3268</v>
      </c>
      <c r="BG689" s="19">
        <v>1936</v>
      </c>
      <c r="BH689" s="19">
        <v>4627.2</v>
      </c>
      <c r="BI689" s="19"/>
      <c r="BJ689" s="19">
        <v>33694.199999999997</v>
      </c>
      <c r="BK689" s="19"/>
      <c r="BL689" s="19"/>
      <c r="BM689" s="19"/>
      <c r="BN689" s="19"/>
      <c r="BO689" s="19"/>
      <c r="BP689" s="19"/>
      <c r="BQ689" s="19"/>
      <c r="BR689" s="19"/>
      <c r="BS689" s="19"/>
      <c r="BT689" s="19">
        <v>59780.899999999994</v>
      </c>
    </row>
    <row r="690" spans="14:72" x14ac:dyDescent="0.3">
      <c r="N690" t="s">
        <v>665</v>
      </c>
      <c r="O690" t="s">
        <v>663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>
        <v>3555</v>
      </c>
      <c r="AU690" s="18"/>
      <c r="AV690" s="18"/>
      <c r="AW690" s="18">
        <v>3555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>
        <v>3555</v>
      </c>
    </row>
    <row r="691" spans="14:72" x14ac:dyDescent="0.3">
      <c r="O691" t="s">
        <v>697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>
        <v>14088.5</v>
      </c>
      <c r="AV691" s="18"/>
      <c r="AW691" s="18">
        <v>14088.5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>
        <v>14088.5</v>
      </c>
    </row>
    <row r="692" spans="14:72" x14ac:dyDescent="0.3">
      <c r="O692" t="s">
        <v>720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>
        <v>3799</v>
      </c>
      <c r="AV692" s="18"/>
      <c r="AW692" s="18">
        <v>3799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>
        <v>3799</v>
      </c>
    </row>
    <row r="693" spans="14:72" x14ac:dyDescent="0.3">
      <c r="O693" t="s">
        <v>728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>
        <v>1350</v>
      </c>
      <c r="AV693" s="18"/>
      <c r="AW693" s="18">
        <v>1350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>
        <v>1350</v>
      </c>
    </row>
    <row r="694" spans="14:72" x14ac:dyDescent="0.3">
      <c r="O694" t="s">
        <v>763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>
        <v>1350</v>
      </c>
      <c r="AW694" s="18">
        <v>1350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>
        <v>1350</v>
      </c>
    </row>
    <row r="695" spans="14:72" x14ac:dyDescent="0.3">
      <c r="O695" t="s">
        <v>835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>
        <v>2158</v>
      </c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>
        <v>2158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>
        <v>2158</v>
      </c>
    </row>
    <row r="696" spans="14:72" x14ac:dyDescent="0.3">
      <c r="O696" t="s">
        <v>1170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>
        <v>6380.5</v>
      </c>
      <c r="BF696" s="18"/>
      <c r="BG696" s="18"/>
      <c r="BH696" s="18"/>
      <c r="BI696" s="18"/>
      <c r="BJ696" s="18">
        <v>6380.5</v>
      </c>
      <c r="BK696" s="18"/>
      <c r="BL696" s="18"/>
      <c r="BM696" s="18"/>
      <c r="BN696" s="18"/>
      <c r="BO696" s="18"/>
      <c r="BP696" s="18"/>
      <c r="BQ696" s="18"/>
      <c r="BR696" s="18"/>
      <c r="BS696" s="18"/>
      <c r="BT696" s="18">
        <v>6380.5</v>
      </c>
    </row>
    <row r="697" spans="14:72" x14ac:dyDescent="0.3">
      <c r="O697" t="s">
        <v>1173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>
        <v>2936.5</v>
      </c>
      <c r="BF697" s="18"/>
      <c r="BG697" s="18"/>
      <c r="BH697" s="18"/>
      <c r="BI697" s="18"/>
      <c r="BJ697" s="18">
        <v>2936.5</v>
      </c>
      <c r="BK697" s="18"/>
      <c r="BL697" s="18"/>
      <c r="BM697" s="18"/>
      <c r="BN697" s="18"/>
      <c r="BO697" s="18"/>
      <c r="BP697" s="18"/>
      <c r="BQ697" s="18"/>
      <c r="BR697" s="18"/>
      <c r="BS697" s="18"/>
      <c r="BT697" s="18">
        <v>2936.5</v>
      </c>
    </row>
    <row r="698" spans="14:72" x14ac:dyDescent="0.3">
      <c r="O698" t="s">
        <v>1179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>
        <v>2440</v>
      </c>
      <c r="BF698" s="18"/>
      <c r="BG698" s="18"/>
      <c r="BH698" s="18"/>
      <c r="BI698" s="18"/>
      <c r="BJ698" s="18">
        <v>2440</v>
      </c>
      <c r="BK698" s="18"/>
      <c r="BL698" s="18"/>
      <c r="BM698" s="18"/>
      <c r="BN698" s="18"/>
      <c r="BO698" s="18"/>
      <c r="BP698" s="18"/>
      <c r="BQ698" s="18"/>
      <c r="BR698" s="18"/>
      <c r="BS698" s="18"/>
      <c r="BT698" s="18">
        <v>2440</v>
      </c>
    </row>
    <row r="699" spans="14:72" x14ac:dyDescent="0.3">
      <c r="O699" t="s">
        <v>1183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>
        <v>1800.5</v>
      </c>
      <c r="BF699" s="18"/>
      <c r="BG699" s="18"/>
      <c r="BH699" s="18"/>
      <c r="BI699" s="18"/>
      <c r="BJ699" s="18">
        <v>1800.5</v>
      </c>
      <c r="BK699" s="18"/>
      <c r="BL699" s="18"/>
      <c r="BM699" s="18"/>
      <c r="BN699" s="18"/>
      <c r="BO699" s="18"/>
      <c r="BP699" s="18"/>
      <c r="BQ699" s="18"/>
      <c r="BR699" s="18"/>
      <c r="BS699" s="18"/>
      <c r="BT699" s="18">
        <v>1800.5</v>
      </c>
    </row>
    <row r="700" spans="14:72" x14ac:dyDescent="0.3">
      <c r="O700" t="s">
        <v>1613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>
        <v>3826.5</v>
      </c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>
        <v>3826.5</v>
      </c>
      <c r="BK700" s="18"/>
      <c r="BL700" s="18"/>
      <c r="BM700" s="18"/>
      <c r="BN700" s="18"/>
      <c r="BO700" s="18"/>
      <c r="BP700" s="18"/>
      <c r="BQ700" s="18"/>
      <c r="BR700" s="18"/>
      <c r="BS700" s="18"/>
      <c r="BT700" s="18">
        <v>3826.5</v>
      </c>
    </row>
    <row r="701" spans="14:72" x14ac:dyDescent="0.3">
      <c r="N701" s="17" t="s">
        <v>679</v>
      </c>
      <c r="O701" s="17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>
        <v>2158</v>
      </c>
      <c r="AL701" s="19"/>
      <c r="AM701" s="19"/>
      <c r="AN701" s="19"/>
      <c r="AO701" s="19"/>
      <c r="AP701" s="19"/>
      <c r="AQ701" s="19"/>
      <c r="AR701" s="19"/>
      <c r="AS701" s="19"/>
      <c r="AT701" s="19">
        <v>3555</v>
      </c>
      <c r="AU701" s="19">
        <v>19237.5</v>
      </c>
      <c r="AV701" s="19">
        <v>1350</v>
      </c>
      <c r="AW701" s="19">
        <v>26300.5</v>
      </c>
      <c r="AX701" s="19">
        <v>3826.5</v>
      </c>
      <c r="AY701" s="19"/>
      <c r="AZ701" s="19"/>
      <c r="BA701" s="19"/>
      <c r="BB701" s="19"/>
      <c r="BC701" s="19"/>
      <c r="BD701" s="19"/>
      <c r="BE701" s="19">
        <v>13557.5</v>
      </c>
      <c r="BF701" s="19"/>
      <c r="BG701" s="19"/>
      <c r="BH701" s="19"/>
      <c r="BI701" s="19"/>
      <c r="BJ701" s="19">
        <v>17384</v>
      </c>
      <c r="BK701" s="19"/>
      <c r="BL701" s="19"/>
      <c r="BM701" s="19"/>
      <c r="BN701" s="19"/>
      <c r="BO701" s="19"/>
      <c r="BP701" s="19"/>
      <c r="BQ701" s="19"/>
      <c r="BR701" s="19"/>
      <c r="BS701" s="19"/>
      <c r="BT701" s="19">
        <v>43684.5</v>
      </c>
    </row>
    <row r="702" spans="14:72" x14ac:dyDescent="0.3">
      <c r="N702" t="s">
        <v>709</v>
      </c>
      <c r="O702" t="s">
        <v>699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>
        <v>1170</v>
      </c>
      <c r="AV702" s="18"/>
      <c r="AW702" s="18">
        <v>1170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>
        <v>1170</v>
      </c>
    </row>
    <row r="703" spans="14:72" x14ac:dyDescent="0.3">
      <c r="O703" t="s">
        <v>701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>
        <v>68</v>
      </c>
      <c r="AV703" s="18"/>
      <c r="AW703" s="18">
        <v>68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>
        <v>68</v>
      </c>
    </row>
    <row r="704" spans="14:72" x14ac:dyDescent="0.3">
      <c r="N704" s="17" t="s">
        <v>754</v>
      </c>
      <c r="O704" s="17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>
        <v>1238</v>
      </c>
      <c r="AV704" s="19"/>
      <c r="AW704" s="19">
        <v>1238</v>
      </c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>
        <v>1238</v>
      </c>
    </row>
    <row r="705" spans="14:72" x14ac:dyDescent="0.3">
      <c r="N705" t="s">
        <v>773</v>
      </c>
      <c r="O705" t="s">
        <v>690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>
        <v>3881.5</v>
      </c>
      <c r="AV705" s="18"/>
      <c r="AW705" s="18">
        <v>3881.5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>
        <v>3881.5</v>
      </c>
    </row>
    <row r="706" spans="14:72" x14ac:dyDescent="0.3">
      <c r="O706" t="s">
        <v>692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>
        <v>588</v>
      </c>
      <c r="AV706" s="18"/>
      <c r="AW706" s="18">
        <v>588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>
        <v>588</v>
      </c>
    </row>
    <row r="707" spans="14:72" x14ac:dyDescent="0.3">
      <c r="O707" t="s">
        <v>695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>
        <v>2175</v>
      </c>
      <c r="AV707" s="18"/>
      <c r="AW707" s="18">
        <v>2175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>
        <v>2175</v>
      </c>
    </row>
    <row r="708" spans="14:72" x14ac:dyDescent="0.3">
      <c r="O708" t="s">
        <v>774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>
        <v>8524.5</v>
      </c>
      <c r="AW708" s="18">
        <v>8524.5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>
        <v>8524.5</v>
      </c>
    </row>
    <row r="709" spans="14:72" x14ac:dyDescent="0.3">
      <c r="N709" s="17" t="s">
        <v>798</v>
      </c>
      <c r="O709" s="17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>
        <v>6644.5</v>
      </c>
      <c r="AV709" s="19">
        <v>8524.5</v>
      </c>
      <c r="AW709" s="19">
        <v>15169</v>
      </c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>
        <v>15169</v>
      </c>
    </row>
    <row r="710" spans="14:72" x14ac:dyDescent="0.3">
      <c r="N710" t="s">
        <v>784</v>
      </c>
      <c r="O710" t="s">
        <v>788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>
        <v>1239.5999999999999</v>
      </c>
      <c r="AW710" s="18">
        <v>1239.5999999999999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>
        <v>1239.5999999999999</v>
      </c>
    </row>
    <row r="711" spans="14:72" x14ac:dyDescent="0.3">
      <c r="O711" t="s">
        <v>898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>
        <v>2068</v>
      </c>
      <c r="AN711" s="18"/>
      <c r="AO711" s="18"/>
      <c r="AP711" s="18"/>
      <c r="AQ711" s="18"/>
      <c r="AR711" s="18"/>
      <c r="AS711" s="18"/>
      <c r="AT711" s="18"/>
      <c r="AU711" s="18"/>
      <c r="AV711" s="18"/>
      <c r="AW711" s="18">
        <v>2068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>
        <v>2068</v>
      </c>
    </row>
    <row r="712" spans="14:72" x14ac:dyDescent="0.3">
      <c r="O712" t="s">
        <v>1004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>
        <v>3600</v>
      </c>
      <c r="AP712" s="18"/>
      <c r="AQ712" s="18"/>
      <c r="AR712" s="18"/>
      <c r="AS712" s="18"/>
      <c r="AT712" s="18"/>
      <c r="AU712" s="18"/>
      <c r="AV712" s="18"/>
      <c r="AW712" s="18">
        <v>3600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>
        <v>3600</v>
      </c>
    </row>
    <row r="713" spans="14:72" x14ac:dyDescent="0.3">
      <c r="O713" t="s">
        <v>1125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>
        <v>2063</v>
      </c>
      <c r="AR713" s="18"/>
      <c r="AS713" s="18"/>
      <c r="AT713" s="18"/>
      <c r="AU713" s="18"/>
      <c r="AV713" s="18"/>
      <c r="AW713" s="18">
        <v>2063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>
        <v>2063</v>
      </c>
    </row>
    <row r="714" spans="14:72" x14ac:dyDescent="0.3">
      <c r="O714" t="s">
        <v>1358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>
        <v>3026.2</v>
      </c>
      <c r="BH714" s="18"/>
      <c r="BI714" s="18"/>
      <c r="BJ714" s="18">
        <v>3026.2</v>
      </c>
      <c r="BK714" s="18"/>
      <c r="BL714" s="18"/>
      <c r="BM714" s="18"/>
      <c r="BN714" s="18"/>
      <c r="BO714" s="18"/>
      <c r="BP714" s="18"/>
      <c r="BQ714" s="18"/>
      <c r="BR714" s="18"/>
      <c r="BS714" s="18"/>
      <c r="BT714" s="18">
        <v>3026.2</v>
      </c>
    </row>
    <row r="715" spans="14:72" x14ac:dyDescent="0.3">
      <c r="O715" t="s">
        <v>2205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>
        <v>771.3</v>
      </c>
      <c r="BE715" s="18"/>
      <c r="BF715" s="18"/>
      <c r="BG715" s="18"/>
      <c r="BH715" s="18"/>
      <c r="BI715" s="18"/>
      <c r="BJ715" s="18">
        <v>771.3</v>
      </c>
      <c r="BK715" s="18"/>
      <c r="BL715" s="18"/>
      <c r="BM715" s="18"/>
      <c r="BN715" s="18"/>
      <c r="BO715" s="18"/>
      <c r="BP715" s="18"/>
      <c r="BQ715" s="18"/>
      <c r="BR715" s="18"/>
      <c r="BS715" s="18"/>
      <c r="BT715" s="18">
        <v>771.3</v>
      </c>
    </row>
    <row r="716" spans="14:72" x14ac:dyDescent="0.3">
      <c r="O716" t="s">
        <v>2207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>
        <v>175</v>
      </c>
      <c r="BE716" s="18"/>
      <c r="BF716" s="18"/>
      <c r="BG716" s="18"/>
      <c r="BH716" s="18"/>
      <c r="BI716" s="18"/>
      <c r="BJ716" s="18">
        <v>175</v>
      </c>
      <c r="BK716" s="18"/>
      <c r="BL716" s="18"/>
      <c r="BM716" s="18"/>
      <c r="BN716" s="18"/>
      <c r="BO716" s="18"/>
      <c r="BP716" s="18"/>
      <c r="BQ716" s="18"/>
      <c r="BR716" s="18"/>
      <c r="BS716" s="18"/>
      <c r="BT716" s="18">
        <v>175</v>
      </c>
    </row>
    <row r="717" spans="14:72" x14ac:dyDescent="0.3">
      <c r="O717" t="s">
        <v>2351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>
        <v>2607</v>
      </c>
      <c r="BP717" s="18"/>
      <c r="BQ717" s="18"/>
      <c r="BR717" s="18"/>
      <c r="BS717" s="18">
        <v>2607</v>
      </c>
      <c r="BT717" s="18">
        <v>2607</v>
      </c>
    </row>
    <row r="718" spans="14:72" x14ac:dyDescent="0.3">
      <c r="O718" t="s">
        <v>2359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>
        <v>400</v>
      </c>
      <c r="BP718" s="18"/>
      <c r="BQ718" s="18"/>
      <c r="BR718" s="18"/>
      <c r="BS718" s="18">
        <v>400</v>
      </c>
      <c r="BT718" s="18">
        <v>400</v>
      </c>
    </row>
    <row r="719" spans="14:72" x14ac:dyDescent="0.3">
      <c r="O719" t="s">
        <v>2371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>
        <v>567.6</v>
      </c>
      <c r="BP719" s="18"/>
      <c r="BQ719" s="18"/>
      <c r="BR719" s="18"/>
      <c r="BS719" s="18">
        <v>567.6</v>
      </c>
      <c r="BT719" s="18">
        <v>567.6</v>
      </c>
    </row>
    <row r="720" spans="14:72" x14ac:dyDescent="0.3">
      <c r="O720" t="s">
        <v>2431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>
        <v>1973</v>
      </c>
      <c r="BQ720" s="18"/>
      <c r="BR720" s="18"/>
      <c r="BS720" s="18">
        <v>1973</v>
      </c>
      <c r="BT720" s="18">
        <v>1973</v>
      </c>
    </row>
    <row r="721" spans="14:72" x14ac:dyDescent="0.3">
      <c r="O721" t="s">
        <v>2553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>
        <v>4843.8</v>
      </c>
      <c r="BS721" s="18">
        <v>4843.8</v>
      </c>
      <c r="BT721" s="18">
        <v>4843.8</v>
      </c>
    </row>
    <row r="722" spans="14:72" x14ac:dyDescent="0.3">
      <c r="O722" t="s">
        <v>2853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>
        <v>2143</v>
      </c>
      <c r="BN722" s="18"/>
      <c r="BO722" s="18"/>
      <c r="BP722" s="18"/>
      <c r="BQ722" s="18"/>
      <c r="BR722" s="18"/>
      <c r="BS722" s="18">
        <v>2143</v>
      </c>
      <c r="BT722" s="18">
        <v>2143</v>
      </c>
    </row>
    <row r="723" spans="14:72" x14ac:dyDescent="0.3">
      <c r="N723" s="17" t="s">
        <v>799</v>
      </c>
      <c r="O723" s="17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2068</v>
      </c>
      <c r="AN723" s="19"/>
      <c r="AO723" s="19">
        <v>3600</v>
      </c>
      <c r="AP723" s="19"/>
      <c r="AQ723" s="19">
        <v>2063</v>
      </c>
      <c r="AR723" s="19"/>
      <c r="AS723" s="19"/>
      <c r="AT723" s="19"/>
      <c r="AU723" s="19"/>
      <c r="AV723" s="19">
        <v>1239.5999999999999</v>
      </c>
      <c r="AW723" s="19">
        <v>8970.6</v>
      </c>
      <c r="AX723" s="19"/>
      <c r="AY723" s="19"/>
      <c r="AZ723" s="19"/>
      <c r="BA723" s="19"/>
      <c r="BB723" s="19"/>
      <c r="BC723" s="19"/>
      <c r="BD723" s="19">
        <v>946.3</v>
      </c>
      <c r="BE723" s="19"/>
      <c r="BF723" s="19"/>
      <c r="BG723" s="19">
        <v>3026.2</v>
      </c>
      <c r="BH723" s="19"/>
      <c r="BI723" s="19"/>
      <c r="BJ723" s="19">
        <v>3972.5</v>
      </c>
      <c r="BK723" s="19"/>
      <c r="BL723" s="19"/>
      <c r="BM723" s="19">
        <v>2143</v>
      </c>
      <c r="BN723" s="19"/>
      <c r="BO723" s="19">
        <v>3574.6</v>
      </c>
      <c r="BP723" s="19">
        <v>1973</v>
      </c>
      <c r="BQ723" s="19"/>
      <c r="BR723" s="19">
        <v>4843.8</v>
      </c>
      <c r="BS723" s="19">
        <v>12534.400000000001</v>
      </c>
      <c r="BT723" s="19">
        <v>25477.499999999996</v>
      </c>
    </row>
    <row r="724" spans="14:72" x14ac:dyDescent="0.3">
      <c r="N724" t="s">
        <v>859</v>
      </c>
      <c r="O724" t="s">
        <v>861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v>8568.2000000000007</v>
      </c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>
        <v>8568.2000000000007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>
        <v>8568.2000000000007</v>
      </c>
    </row>
    <row r="725" spans="14:72" x14ac:dyDescent="0.3">
      <c r="O725" t="s">
        <v>891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>
        <v>12643.2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>
        <v>12643.2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>
        <v>12643.2</v>
      </c>
    </row>
    <row r="726" spans="14:72" x14ac:dyDescent="0.3">
      <c r="O726" t="s">
        <v>909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>
        <v>5840</v>
      </c>
      <c r="AN726" s="18"/>
      <c r="AO726" s="18"/>
      <c r="AP726" s="18"/>
      <c r="AQ726" s="18"/>
      <c r="AR726" s="18"/>
      <c r="AS726" s="18"/>
      <c r="AT726" s="18"/>
      <c r="AU726" s="18"/>
      <c r="AV726" s="18"/>
      <c r="AW726" s="18">
        <v>5840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>
        <v>5840</v>
      </c>
    </row>
    <row r="727" spans="14:72" x14ac:dyDescent="0.3">
      <c r="O727" t="s">
        <v>914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>
        <v>6006</v>
      </c>
      <c r="AN727" s="18"/>
      <c r="AO727" s="18"/>
      <c r="AP727" s="18"/>
      <c r="AQ727" s="18"/>
      <c r="AR727" s="18"/>
      <c r="AS727" s="18"/>
      <c r="AT727" s="18"/>
      <c r="AU727" s="18"/>
      <c r="AV727" s="18"/>
      <c r="AW727" s="18">
        <v>6006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>
        <v>6006</v>
      </c>
    </row>
    <row r="728" spans="14:72" x14ac:dyDescent="0.3">
      <c r="O728" t="s">
        <v>955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>
        <v>11266.800000000001</v>
      </c>
      <c r="AO728" s="18"/>
      <c r="AP728" s="18"/>
      <c r="AQ728" s="18"/>
      <c r="AR728" s="18"/>
      <c r="AS728" s="18"/>
      <c r="AT728" s="18"/>
      <c r="AU728" s="18"/>
      <c r="AV728" s="18"/>
      <c r="AW728" s="18">
        <v>11266.800000000001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>
        <v>11266.800000000001</v>
      </c>
    </row>
    <row r="729" spans="14:72" x14ac:dyDescent="0.3">
      <c r="O729" t="s">
        <v>1065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>
        <v>14564.6</v>
      </c>
      <c r="AQ729" s="18"/>
      <c r="AR729" s="18"/>
      <c r="AS729" s="18"/>
      <c r="AT729" s="18"/>
      <c r="AU729" s="18"/>
      <c r="AV729" s="18"/>
      <c r="AW729" s="18">
        <v>14564.6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>
        <v>14564.6</v>
      </c>
    </row>
    <row r="730" spans="14:72" x14ac:dyDescent="0.3">
      <c r="O730" t="s">
        <v>1276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>
        <v>1059.5</v>
      </c>
      <c r="BG730" s="18"/>
      <c r="BH730" s="18"/>
      <c r="BI730" s="18"/>
      <c r="BJ730" s="18">
        <v>1059.5</v>
      </c>
      <c r="BK730" s="18"/>
      <c r="BL730" s="18"/>
      <c r="BM730" s="18"/>
      <c r="BN730" s="18"/>
      <c r="BO730" s="18"/>
      <c r="BP730" s="18"/>
      <c r="BQ730" s="18"/>
      <c r="BR730" s="18"/>
      <c r="BS730" s="18"/>
      <c r="BT730" s="18">
        <v>1059.5</v>
      </c>
    </row>
    <row r="731" spans="14:72" x14ac:dyDescent="0.3">
      <c r="O731" t="s">
        <v>1400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>
        <v>14999.1</v>
      </c>
      <c r="BI731" s="18"/>
      <c r="BJ731" s="18">
        <v>14999.1</v>
      </c>
      <c r="BK731" s="18"/>
      <c r="BL731" s="18"/>
      <c r="BM731" s="18"/>
      <c r="BN731" s="18"/>
      <c r="BO731" s="18"/>
      <c r="BP731" s="18"/>
      <c r="BQ731" s="18"/>
      <c r="BR731" s="18"/>
      <c r="BS731" s="18"/>
      <c r="BT731" s="18">
        <v>14999.1</v>
      </c>
    </row>
    <row r="732" spans="14:72" x14ac:dyDescent="0.3">
      <c r="O732" t="s">
        <v>1534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>
        <v>3784</v>
      </c>
      <c r="BJ732" s="18">
        <v>3784</v>
      </c>
      <c r="BK732" s="18"/>
      <c r="BL732" s="18"/>
      <c r="BM732" s="18"/>
      <c r="BN732" s="18"/>
      <c r="BO732" s="18"/>
      <c r="BP732" s="18"/>
      <c r="BQ732" s="18"/>
      <c r="BR732" s="18"/>
      <c r="BS732" s="18"/>
      <c r="BT732" s="18">
        <v>3784</v>
      </c>
    </row>
    <row r="733" spans="14:72" x14ac:dyDescent="0.3">
      <c r="O733" t="s">
        <v>1711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>
        <v>2516</v>
      </c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>
        <v>2516</v>
      </c>
      <c r="BK733" s="18"/>
      <c r="BL733" s="18"/>
      <c r="BM733" s="18"/>
      <c r="BN733" s="18"/>
      <c r="BO733" s="18"/>
      <c r="BP733" s="18"/>
      <c r="BQ733" s="18"/>
      <c r="BR733" s="18"/>
      <c r="BS733" s="18"/>
      <c r="BT733" s="18">
        <v>2516</v>
      </c>
    </row>
    <row r="734" spans="14:72" x14ac:dyDescent="0.3">
      <c r="O734" t="s">
        <v>2171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>
        <v>4987.1000000000004</v>
      </c>
      <c r="BD734" s="18"/>
      <c r="BE734" s="18"/>
      <c r="BF734" s="18"/>
      <c r="BG734" s="18"/>
      <c r="BH734" s="18"/>
      <c r="BI734" s="18"/>
      <c r="BJ734" s="18">
        <v>4987.1000000000004</v>
      </c>
      <c r="BK734" s="18"/>
      <c r="BL734" s="18"/>
      <c r="BM734" s="18"/>
      <c r="BN734" s="18"/>
      <c r="BO734" s="18"/>
      <c r="BP734" s="18"/>
      <c r="BQ734" s="18"/>
      <c r="BR734" s="18"/>
      <c r="BS734" s="18"/>
      <c r="BT734" s="18">
        <v>4987.1000000000004</v>
      </c>
    </row>
    <row r="735" spans="14:72" x14ac:dyDescent="0.3">
      <c r="O735" t="s">
        <v>2644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>
        <v>7143.2</v>
      </c>
      <c r="BL735" s="18"/>
      <c r="BM735" s="18"/>
      <c r="BN735" s="18"/>
      <c r="BO735" s="18"/>
      <c r="BP735" s="18"/>
      <c r="BQ735" s="18"/>
      <c r="BR735" s="18"/>
      <c r="BS735" s="18">
        <v>7143.2</v>
      </c>
      <c r="BT735" s="18">
        <v>7143.2</v>
      </c>
    </row>
    <row r="736" spans="14:72" x14ac:dyDescent="0.3">
      <c r="O736" t="s">
        <v>2750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>
        <v>11266.4</v>
      </c>
      <c r="BM736" s="18"/>
      <c r="BN736" s="18"/>
      <c r="BO736" s="18"/>
      <c r="BP736" s="18"/>
      <c r="BQ736" s="18"/>
      <c r="BR736" s="18"/>
      <c r="BS736" s="18">
        <v>11266.4</v>
      </c>
      <c r="BT736" s="18">
        <v>11266.4</v>
      </c>
    </row>
    <row r="737" spans="14:72" x14ac:dyDescent="0.3">
      <c r="O737" t="s">
        <v>2771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>
        <v>10268</v>
      </c>
      <c r="BM737" s="18"/>
      <c r="BN737" s="18"/>
      <c r="BO737" s="18"/>
      <c r="BP737" s="18"/>
      <c r="BQ737" s="18"/>
      <c r="BR737" s="18"/>
      <c r="BS737" s="18">
        <v>10268</v>
      </c>
      <c r="BT737" s="18">
        <v>10268</v>
      </c>
    </row>
    <row r="738" spans="14:72" x14ac:dyDescent="0.3">
      <c r="O738" t="s">
        <v>2867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>
        <v>8026.4</v>
      </c>
      <c r="BN738" s="18"/>
      <c r="BO738" s="18"/>
      <c r="BP738" s="18"/>
      <c r="BQ738" s="18"/>
      <c r="BR738" s="18"/>
      <c r="BS738" s="18">
        <v>8026.4</v>
      </c>
      <c r="BT738" s="18">
        <v>8026.4</v>
      </c>
    </row>
    <row r="739" spans="14:72" x14ac:dyDescent="0.3">
      <c r="N739" s="17" t="s">
        <v>874</v>
      </c>
      <c r="O739" s="17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v>8568.2000000000007</v>
      </c>
      <c r="AM739" s="19">
        <v>24489.200000000001</v>
      </c>
      <c r="AN739" s="19">
        <v>11266.800000000001</v>
      </c>
      <c r="AO739" s="19"/>
      <c r="AP739" s="19">
        <v>14564.6</v>
      </c>
      <c r="AQ739" s="19"/>
      <c r="AR739" s="19"/>
      <c r="AS739" s="19"/>
      <c r="AT739" s="19"/>
      <c r="AU739" s="19"/>
      <c r="AV739" s="19"/>
      <c r="AW739" s="19">
        <v>58888.800000000003</v>
      </c>
      <c r="AX739" s="19"/>
      <c r="AY739" s="19">
        <v>2516</v>
      </c>
      <c r="AZ739" s="19"/>
      <c r="BA739" s="19"/>
      <c r="BB739" s="19"/>
      <c r="BC739" s="19">
        <v>4987.1000000000004</v>
      </c>
      <c r="BD739" s="19"/>
      <c r="BE739" s="19"/>
      <c r="BF739" s="19">
        <v>1059.5</v>
      </c>
      <c r="BG739" s="19"/>
      <c r="BH739" s="19">
        <v>14999.1</v>
      </c>
      <c r="BI739" s="19">
        <v>3784</v>
      </c>
      <c r="BJ739" s="19">
        <v>27345.699999999997</v>
      </c>
      <c r="BK739" s="19">
        <v>7143.2</v>
      </c>
      <c r="BL739" s="19">
        <v>21534.400000000001</v>
      </c>
      <c r="BM739" s="19">
        <v>8026.4</v>
      </c>
      <c r="BN739" s="19"/>
      <c r="BO739" s="19"/>
      <c r="BP739" s="19"/>
      <c r="BQ739" s="19"/>
      <c r="BR739" s="19"/>
      <c r="BS739" s="19">
        <v>36704</v>
      </c>
      <c r="BT739" s="19">
        <v>122938.5</v>
      </c>
    </row>
    <row r="740" spans="14:72" x14ac:dyDescent="0.3">
      <c r="N740" t="s">
        <v>958</v>
      </c>
      <c r="O740" t="s">
        <v>930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>
        <v>2452</v>
      </c>
      <c r="AO740" s="18"/>
      <c r="AP740" s="18"/>
      <c r="AQ740" s="18"/>
      <c r="AR740" s="18"/>
      <c r="AS740" s="18"/>
      <c r="AT740" s="18"/>
      <c r="AU740" s="18"/>
      <c r="AV740" s="18"/>
      <c r="AW740" s="18">
        <v>2452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>
        <v>2452</v>
      </c>
    </row>
    <row r="741" spans="14:72" x14ac:dyDescent="0.3">
      <c r="O741" t="s">
        <v>956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>
        <v>1995.5</v>
      </c>
      <c r="AO741" s="18"/>
      <c r="AP741" s="18"/>
      <c r="AQ741" s="18"/>
      <c r="AR741" s="18"/>
      <c r="AS741" s="18"/>
      <c r="AT741" s="18"/>
      <c r="AU741" s="18"/>
      <c r="AV741" s="18"/>
      <c r="AW741" s="18">
        <v>1995.5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>
        <v>1995.5</v>
      </c>
    </row>
    <row r="742" spans="14:72" x14ac:dyDescent="0.3">
      <c r="O742" t="s">
        <v>1188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>
        <v>250</v>
      </c>
      <c r="BF742" s="18"/>
      <c r="BG742" s="18"/>
      <c r="BH742" s="18"/>
      <c r="BI742" s="18"/>
      <c r="BJ742" s="18">
        <v>250</v>
      </c>
      <c r="BK742" s="18"/>
      <c r="BL742" s="18"/>
      <c r="BM742" s="18"/>
      <c r="BN742" s="18"/>
      <c r="BO742" s="18"/>
      <c r="BP742" s="18"/>
      <c r="BQ742" s="18"/>
      <c r="BR742" s="18"/>
      <c r="BS742" s="18"/>
      <c r="BT742" s="18">
        <v>250</v>
      </c>
    </row>
    <row r="743" spans="14:72" x14ac:dyDescent="0.3">
      <c r="N743" s="17" t="s">
        <v>985</v>
      </c>
      <c r="O743" s="17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>
        <v>4447.5</v>
      </c>
      <c r="AO743" s="19"/>
      <c r="AP743" s="19"/>
      <c r="AQ743" s="19"/>
      <c r="AR743" s="19"/>
      <c r="AS743" s="19"/>
      <c r="AT743" s="19"/>
      <c r="AU743" s="19"/>
      <c r="AV743" s="19"/>
      <c r="AW743" s="19">
        <v>4447.5</v>
      </c>
      <c r="AX743" s="19"/>
      <c r="AY743" s="19"/>
      <c r="AZ743" s="19"/>
      <c r="BA743" s="19"/>
      <c r="BB743" s="19"/>
      <c r="BC743" s="19"/>
      <c r="BD743" s="19"/>
      <c r="BE743" s="19">
        <v>250</v>
      </c>
      <c r="BF743" s="19"/>
      <c r="BG743" s="19"/>
      <c r="BH743" s="19"/>
      <c r="BI743" s="19"/>
      <c r="BJ743" s="19">
        <v>250</v>
      </c>
      <c r="BK743" s="19"/>
      <c r="BL743" s="19"/>
      <c r="BM743" s="19"/>
      <c r="BN743" s="19"/>
      <c r="BO743" s="19"/>
      <c r="BP743" s="19"/>
      <c r="BQ743" s="19"/>
      <c r="BR743" s="19"/>
      <c r="BS743" s="19"/>
      <c r="BT743" s="19">
        <v>4697.5</v>
      </c>
    </row>
    <row r="744" spans="14:72" x14ac:dyDescent="0.3">
      <c r="N744" t="s">
        <v>1044</v>
      </c>
      <c r="O744" t="s">
        <v>900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>
        <v>0</v>
      </c>
      <c r="AN744" s="18"/>
      <c r="AO744" s="18"/>
      <c r="AP744" s="18"/>
      <c r="AQ744" s="18"/>
      <c r="AR744" s="18"/>
      <c r="AS744" s="18"/>
      <c r="AT744" s="18"/>
      <c r="AU744" s="18"/>
      <c r="AV744" s="18"/>
      <c r="AW744" s="18">
        <v>0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>
        <v>0</v>
      </c>
    </row>
    <row r="745" spans="14:72" x14ac:dyDescent="0.3">
      <c r="O745" t="s">
        <v>2019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>
        <v>0</v>
      </c>
      <c r="BC745" s="18"/>
      <c r="BD745" s="18"/>
      <c r="BE745" s="18"/>
      <c r="BF745" s="18"/>
      <c r="BG745" s="18"/>
      <c r="BH745" s="18"/>
      <c r="BI745" s="18"/>
      <c r="BJ745" s="18">
        <v>0</v>
      </c>
      <c r="BK745" s="18"/>
      <c r="BL745" s="18"/>
      <c r="BM745" s="18"/>
      <c r="BN745" s="18"/>
      <c r="BO745" s="18"/>
      <c r="BP745" s="18"/>
      <c r="BQ745" s="18"/>
      <c r="BR745" s="18"/>
      <c r="BS745" s="18"/>
      <c r="BT745" s="18">
        <v>0</v>
      </c>
    </row>
    <row r="746" spans="14:72" x14ac:dyDescent="0.3">
      <c r="N746" s="17" t="s">
        <v>1045</v>
      </c>
      <c r="O746" s="17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0</v>
      </c>
      <c r="AN746" s="19"/>
      <c r="AO746" s="19"/>
      <c r="AP746" s="19"/>
      <c r="AQ746" s="19"/>
      <c r="AR746" s="19"/>
      <c r="AS746" s="19"/>
      <c r="AT746" s="19"/>
      <c r="AU746" s="19"/>
      <c r="AV746" s="19"/>
      <c r="AW746" s="19">
        <v>0</v>
      </c>
      <c r="AX746" s="19"/>
      <c r="AY746" s="19"/>
      <c r="AZ746" s="19"/>
      <c r="BA746" s="19"/>
      <c r="BB746" s="19">
        <v>0</v>
      </c>
      <c r="BC746" s="19"/>
      <c r="BD746" s="19"/>
      <c r="BE746" s="19"/>
      <c r="BF746" s="19"/>
      <c r="BG746" s="19"/>
      <c r="BH746" s="19"/>
      <c r="BI746" s="19"/>
      <c r="BJ746" s="19">
        <v>0</v>
      </c>
      <c r="BK746" s="19"/>
      <c r="BL746" s="19"/>
      <c r="BM746" s="19"/>
      <c r="BN746" s="19"/>
      <c r="BO746" s="19"/>
      <c r="BP746" s="19"/>
      <c r="BQ746" s="19"/>
      <c r="BR746" s="19"/>
      <c r="BS746" s="19"/>
      <c r="BT746" s="19">
        <v>0</v>
      </c>
    </row>
    <row r="747" spans="14:72" x14ac:dyDescent="0.3">
      <c r="N747" t="s">
        <v>1051</v>
      </c>
      <c r="O747" t="s">
        <v>1053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>
        <v>892.6</v>
      </c>
      <c r="AQ747" s="18"/>
      <c r="AR747" s="18"/>
      <c r="AS747" s="18"/>
      <c r="AT747" s="18"/>
      <c r="AU747" s="18"/>
      <c r="AV747" s="18"/>
      <c r="AW747" s="18">
        <v>892.6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>
        <v>892.6</v>
      </c>
    </row>
    <row r="748" spans="14:72" x14ac:dyDescent="0.3">
      <c r="O748" t="s">
        <v>1071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>
        <v>780</v>
      </c>
      <c r="AQ748" s="18"/>
      <c r="AR748" s="18"/>
      <c r="AS748" s="18"/>
      <c r="AT748" s="18"/>
      <c r="AU748" s="18"/>
      <c r="AV748" s="18"/>
      <c r="AW748" s="18">
        <v>780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>
        <v>780</v>
      </c>
    </row>
    <row r="749" spans="14:72" x14ac:dyDescent="0.3">
      <c r="O749" t="s">
        <v>1106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>
        <v>60</v>
      </c>
      <c r="AR749" s="18"/>
      <c r="AS749" s="18"/>
      <c r="AT749" s="18"/>
      <c r="AU749" s="18"/>
      <c r="AV749" s="18"/>
      <c r="AW749" s="18">
        <v>60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>
        <v>60</v>
      </c>
    </row>
    <row r="750" spans="14:72" x14ac:dyDescent="0.3">
      <c r="N750" s="17" t="s">
        <v>1088</v>
      </c>
      <c r="O750" s="17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>
        <v>1672.6</v>
      </c>
      <c r="AQ750" s="19">
        <v>60</v>
      </c>
      <c r="AR750" s="19"/>
      <c r="AS750" s="19"/>
      <c r="AT750" s="19"/>
      <c r="AU750" s="19"/>
      <c r="AV750" s="19"/>
      <c r="AW750" s="19">
        <v>1732.6</v>
      </c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>
        <v>1732.6</v>
      </c>
    </row>
    <row r="751" spans="14:72" x14ac:dyDescent="0.3">
      <c r="N751" t="s">
        <v>1057</v>
      </c>
      <c r="O751" t="s">
        <v>1062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>
        <v>4373</v>
      </c>
      <c r="AQ751" s="18"/>
      <c r="AR751" s="18"/>
      <c r="AS751" s="18"/>
      <c r="AT751" s="18"/>
      <c r="AU751" s="18"/>
      <c r="AV751" s="18"/>
      <c r="AW751" s="18">
        <v>4373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>
        <v>4373</v>
      </c>
    </row>
    <row r="752" spans="14:72" x14ac:dyDescent="0.3">
      <c r="N752" s="17" t="s">
        <v>1089</v>
      </c>
      <c r="O752" s="17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>
        <v>4373</v>
      </c>
      <c r="AQ752" s="19"/>
      <c r="AR752" s="19"/>
      <c r="AS752" s="19"/>
      <c r="AT752" s="19"/>
      <c r="AU752" s="19"/>
      <c r="AV752" s="19"/>
      <c r="AW752" s="19">
        <v>4373</v>
      </c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>
        <v>4373</v>
      </c>
    </row>
    <row r="753" spans="14:72" x14ac:dyDescent="0.3">
      <c r="N753" t="s">
        <v>1101</v>
      </c>
      <c r="O753" t="s">
        <v>1096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>
        <v>260</v>
      </c>
      <c r="AQ753" s="18"/>
      <c r="AR753" s="18"/>
      <c r="AS753" s="18"/>
      <c r="AT753" s="18"/>
      <c r="AU753" s="18"/>
      <c r="AV753" s="18"/>
      <c r="AW753" s="18">
        <v>260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>
        <v>260</v>
      </c>
    </row>
    <row r="754" spans="14:72" x14ac:dyDescent="0.3">
      <c r="N754" s="17" t="s">
        <v>1104</v>
      </c>
      <c r="O754" s="17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>
        <v>260</v>
      </c>
      <c r="AQ754" s="19"/>
      <c r="AR754" s="19"/>
      <c r="AS754" s="19"/>
      <c r="AT754" s="19"/>
      <c r="AU754" s="19"/>
      <c r="AV754" s="19"/>
      <c r="AW754" s="19">
        <v>260</v>
      </c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>
        <v>260</v>
      </c>
    </row>
    <row r="755" spans="14:72" x14ac:dyDescent="0.3">
      <c r="N755" t="s">
        <v>1100</v>
      </c>
      <c r="O755" t="s">
        <v>1097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>
        <v>375</v>
      </c>
      <c r="AQ755" s="18"/>
      <c r="AR755" s="18"/>
      <c r="AS755" s="18"/>
      <c r="AT755" s="18"/>
      <c r="AU755" s="18"/>
      <c r="AV755" s="18"/>
      <c r="AW755" s="18">
        <v>375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>
        <v>375</v>
      </c>
    </row>
    <row r="756" spans="14:72" x14ac:dyDescent="0.3">
      <c r="N756" s="17" t="s">
        <v>1105</v>
      </c>
      <c r="O756" s="17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>
        <v>375</v>
      </c>
      <c r="AQ756" s="19"/>
      <c r="AR756" s="19"/>
      <c r="AS756" s="19"/>
      <c r="AT756" s="19"/>
      <c r="AU756" s="19"/>
      <c r="AV756" s="19"/>
      <c r="AW756" s="19">
        <v>375</v>
      </c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>
        <v>375</v>
      </c>
    </row>
    <row r="757" spans="14:72" x14ac:dyDescent="0.3">
      <c r="N757" t="s">
        <v>1196</v>
      </c>
      <c r="O757" t="s">
        <v>1203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>
        <v>2917.8</v>
      </c>
      <c r="BF757" s="18"/>
      <c r="BG757" s="18"/>
      <c r="BH757" s="18"/>
      <c r="BI757" s="18"/>
      <c r="BJ757" s="18">
        <v>2917.8</v>
      </c>
      <c r="BK757" s="18"/>
      <c r="BL757" s="18"/>
      <c r="BM757" s="18"/>
      <c r="BN757" s="18"/>
      <c r="BO757" s="18"/>
      <c r="BP757" s="18"/>
      <c r="BQ757" s="18"/>
      <c r="BR757" s="18"/>
      <c r="BS757" s="18"/>
      <c r="BT757" s="18">
        <v>2917.8</v>
      </c>
    </row>
    <row r="758" spans="14:72" x14ac:dyDescent="0.3">
      <c r="O758" t="s">
        <v>1234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>
        <v>3555</v>
      </c>
      <c r="BG758" s="18"/>
      <c r="BH758" s="18"/>
      <c r="BI758" s="18"/>
      <c r="BJ758" s="18">
        <v>3555</v>
      </c>
      <c r="BK758" s="18"/>
      <c r="BL758" s="18"/>
      <c r="BM758" s="18"/>
      <c r="BN758" s="18"/>
      <c r="BO758" s="18"/>
      <c r="BP758" s="18"/>
      <c r="BQ758" s="18"/>
      <c r="BR758" s="18"/>
      <c r="BS758" s="18"/>
      <c r="BT758" s="18">
        <v>3555</v>
      </c>
    </row>
    <row r="759" spans="14:72" x14ac:dyDescent="0.3">
      <c r="O759" t="s">
        <v>1244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>
        <v>6947</v>
      </c>
      <c r="BG759" s="18"/>
      <c r="BH759" s="18"/>
      <c r="BI759" s="18"/>
      <c r="BJ759" s="18">
        <v>6947</v>
      </c>
      <c r="BK759" s="18"/>
      <c r="BL759" s="18"/>
      <c r="BM759" s="18"/>
      <c r="BN759" s="18"/>
      <c r="BO759" s="18"/>
      <c r="BP759" s="18"/>
      <c r="BQ759" s="18"/>
      <c r="BR759" s="18"/>
      <c r="BS759" s="18"/>
      <c r="BT759" s="18">
        <v>6947</v>
      </c>
    </row>
    <row r="760" spans="14:72" x14ac:dyDescent="0.3">
      <c r="O760" t="s">
        <v>1353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>
        <v>1575</v>
      </c>
      <c r="BH760" s="18"/>
      <c r="BI760" s="18"/>
      <c r="BJ760" s="18">
        <v>1575</v>
      </c>
      <c r="BK760" s="18"/>
      <c r="BL760" s="18"/>
      <c r="BM760" s="18"/>
      <c r="BN760" s="18"/>
      <c r="BO760" s="18"/>
      <c r="BP760" s="18"/>
      <c r="BQ760" s="18"/>
      <c r="BR760" s="18"/>
      <c r="BS760" s="18"/>
      <c r="BT760" s="18">
        <v>1575</v>
      </c>
    </row>
    <row r="761" spans="14:72" x14ac:dyDescent="0.3">
      <c r="O761" t="s">
        <v>1354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>
        <v>4530</v>
      </c>
      <c r="BH761" s="18"/>
      <c r="BI761" s="18"/>
      <c r="BJ761" s="18">
        <v>4530</v>
      </c>
      <c r="BK761" s="18"/>
      <c r="BL761" s="18"/>
      <c r="BM761" s="18"/>
      <c r="BN761" s="18"/>
      <c r="BO761" s="18"/>
      <c r="BP761" s="18"/>
      <c r="BQ761" s="18"/>
      <c r="BR761" s="18"/>
      <c r="BS761" s="18"/>
      <c r="BT761" s="18">
        <v>4530</v>
      </c>
    </row>
    <row r="762" spans="14:72" x14ac:dyDescent="0.3">
      <c r="O762" t="s">
        <v>1363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>
        <v>300</v>
      </c>
      <c r="BH762" s="18"/>
      <c r="BI762" s="18"/>
      <c r="BJ762" s="18">
        <v>300</v>
      </c>
      <c r="BK762" s="18"/>
      <c r="BL762" s="18"/>
      <c r="BM762" s="18"/>
      <c r="BN762" s="18"/>
      <c r="BO762" s="18"/>
      <c r="BP762" s="18"/>
      <c r="BQ762" s="18"/>
      <c r="BR762" s="18"/>
      <c r="BS762" s="18"/>
      <c r="BT762" s="18">
        <v>300</v>
      </c>
    </row>
    <row r="763" spans="14:72" x14ac:dyDescent="0.3">
      <c r="O763" t="s">
        <v>1364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>
        <v>187.5</v>
      </c>
      <c r="BH763" s="18"/>
      <c r="BI763" s="18"/>
      <c r="BJ763" s="18">
        <v>187.5</v>
      </c>
      <c r="BK763" s="18"/>
      <c r="BL763" s="18"/>
      <c r="BM763" s="18"/>
      <c r="BN763" s="18"/>
      <c r="BO763" s="18"/>
      <c r="BP763" s="18"/>
      <c r="BQ763" s="18"/>
      <c r="BR763" s="18"/>
      <c r="BS763" s="18"/>
      <c r="BT763" s="18">
        <v>187.5</v>
      </c>
    </row>
    <row r="764" spans="14:72" x14ac:dyDescent="0.3">
      <c r="O764" t="s">
        <v>1394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>
        <v>4440</v>
      </c>
      <c r="BI764" s="18"/>
      <c r="BJ764" s="18">
        <v>4440</v>
      </c>
      <c r="BK764" s="18"/>
      <c r="BL764" s="18"/>
      <c r="BM764" s="18"/>
      <c r="BN764" s="18"/>
      <c r="BO764" s="18"/>
      <c r="BP764" s="18"/>
      <c r="BQ764" s="18"/>
      <c r="BR764" s="18"/>
      <c r="BS764" s="18"/>
      <c r="BT764" s="18">
        <v>4440</v>
      </c>
    </row>
    <row r="765" spans="14:72" x14ac:dyDescent="0.3">
      <c r="O765" t="s">
        <v>1416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>
        <v>5801</v>
      </c>
      <c r="BI765" s="18"/>
      <c r="BJ765" s="18">
        <v>5801</v>
      </c>
      <c r="BK765" s="18"/>
      <c r="BL765" s="18"/>
      <c r="BM765" s="18"/>
      <c r="BN765" s="18"/>
      <c r="BO765" s="18"/>
      <c r="BP765" s="18"/>
      <c r="BQ765" s="18"/>
      <c r="BR765" s="18"/>
      <c r="BS765" s="18"/>
      <c r="BT765" s="18">
        <v>5801</v>
      </c>
    </row>
    <row r="766" spans="14:72" x14ac:dyDescent="0.3">
      <c r="O766" t="s">
        <v>1530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>
        <v>7908.5</v>
      </c>
      <c r="BJ766" s="18">
        <v>7908.5</v>
      </c>
      <c r="BK766" s="18"/>
      <c r="BL766" s="18"/>
      <c r="BM766" s="18"/>
      <c r="BN766" s="18"/>
      <c r="BO766" s="18"/>
      <c r="BP766" s="18"/>
      <c r="BQ766" s="18"/>
      <c r="BR766" s="18"/>
      <c r="BS766" s="18"/>
      <c r="BT766" s="18">
        <v>7908.5</v>
      </c>
    </row>
    <row r="767" spans="14:72" x14ac:dyDescent="0.3">
      <c r="O767" t="s">
        <v>1535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>
        <v>2902.5</v>
      </c>
      <c r="BJ767" s="18">
        <v>2902.5</v>
      </c>
      <c r="BK767" s="18"/>
      <c r="BL767" s="18"/>
      <c r="BM767" s="18"/>
      <c r="BN767" s="18"/>
      <c r="BO767" s="18"/>
      <c r="BP767" s="18"/>
      <c r="BQ767" s="18"/>
      <c r="BR767" s="18"/>
      <c r="BS767" s="18"/>
      <c r="BT767" s="18">
        <v>2902.5</v>
      </c>
    </row>
    <row r="768" spans="14:72" x14ac:dyDescent="0.3">
      <c r="O768" t="s">
        <v>1553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>
        <v>1174.5</v>
      </c>
      <c r="BJ768" s="18">
        <v>1174.5</v>
      </c>
      <c r="BK768" s="18"/>
      <c r="BL768" s="18"/>
      <c r="BM768" s="18"/>
      <c r="BN768" s="18"/>
      <c r="BO768" s="18"/>
      <c r="BP768" s="18"/>
      <c r="BQ768" s="18"/>
      <c r="BR768" s="18"/>
      <c r="BS768" s="18"/>
      <c r="BT768" s="18">
        <v>1174.5</v>
      </c>
    </row>
    <row r="769" spans="15:72" x14ac:dyDescent="0.3">
      <c r="O769" t="s">
        <v>1554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>
        <v>1912.5</v>
      </c>
      <c r="BJ769" s="18">
        <v>1912.5</v>
      </c>
      <c r="BK769" s="18"/>
      <c r="BL769" s="18"/>
      <c r="BM769" s="18"/>
      <c r="BN769" s="18"/>
      <c r="BO769" s="18"/>
      <c r="BP769" s="18"/>
      <c r="BQ769" s="18"/>
      <c r="BR769" s="18"/>
      <c r="BS769" s="18"/>
      <c r="BT769" s="18">
        <v>1912.5</v>
      </c>
    </row>
    <row r="770" spans="15:72" x14ac:dyDescent="0.3">
      <c r="O770" t="s">
        <v>1562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>
        <v>2195</v>
      </c>
      <c r="BJ770" s="18">
        <v>2195</v>
      </c>
      <c r="BK770" s="18"/>
      <c r="BL770" s="18"/>
      <c r="BM770" s="18"/>
      <c r="BN770" s="18"/>
      <c r="BO770" s="18"/>
      <c r="BP770" s="18"/>
      <c r="BQ770" s="18"/>
      <c r="BR770" s="18"/>
      <c r="BS770" s="18"/>
      <c r="BT770" s="18">
        <v>2195</v>
      </c>
    </row>
    <row r="771" spans="15:72" x14ac:dyDescent="0.3">
      <c r="O771" t="s">
        <v>1609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>
        <v>4745</v>
      </c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>
        <v>4745</v>
      </c>
      <c r="BK771" s="18"/>
      <c r="BL771" s="18"/>
      <c r="BM771" s="18"/>
      <c r="BN771" s="18"/>
      <c r="BO771" s="18"/>
      <c r="BP771" s="18"/>
      <c r="BQ771" s="18"/>
      <c r="BR771" s="18"/>
      <c r="BS771" s="18"/>
      <c r="BT771" s="18">
        <v>4745</v>
      </c>
    </row>
    <row r="772" spans="15:72" x14ac:dyDescent="0.3">
      <c r="O772" t="s">
        <v>1622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>
        <v>2792.8</v>
      </c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>
        <v>2792.8</v>
      </c>
      <c r="BK772" s="18"/>
      <c r="BL772" s="18"/>
      <c r="BM772" s="18"/>
      <c r="BN772" s="18"/>
      <c r="BO772" s="18"/>
      <c r="BP772" s="18"/>
      <c r="BQ772" s="18"/>
      <c r="BR772" s="18"/>
      <c r="BS772" s="18"/>
      <c r="BT772" s="18">
        <v>2792.8</v>
      </c>
    </row>
    <row r="773" spans="15:72" x14ac:dyDescent="0.3">
      <c r="O773" t="s">
        <v>1623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>
        <v>4453.5</v>
      </c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>
        <v>4453.5</v>
      </c>
      <c r="BK773" s="18"/>
      <c r="BL773" s="18"/>
      <c r="BM773" s="18"/>
      <c r="BN773" s="18"/>
      <c r="BO773" s="18"/>
      <c r="BP773" s="18"/>
      <c r="BQ773" s="18"/>
      <c r="BR773" s="18"/>
      <c r="BS773" s="18"/>
      <c r="BT773" s="18">
        <v>4453.5</v>
      </c>
    </row>
    <row r="774" spans="15:72" x14ac:dyDescent="0.3">
      <c r="O774" t="s">
        <v>1632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>
        <v>4133.5</v>
      </c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>
        <v>4133.5</v>
      </c>
      <c r="BK774" s="18"/>
      <c r="BL774" s="18"/>
      <c r="BM774" s="18"/>
      <c r="BN774" s="18"/>
      <c r="BO774" s="18"/>
      <c r="BP774" s="18"/>
      <c r="BQ774" s="18"/>
      <c r="BR774" s="18"/>
      <c r="BS774" s="18"/>
      <c r="BT774" s="18">
        <v>4133.5</v>
      </c>
    </row>
    <row r="775" spans="15:72" x14ac:dyDescent="0.3">
      <c r="O775" t="s">
        <v>1646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>
        <v>3740</v>
      </c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>
        <v>3740</v>
      </c>
      <c r="BK775" s="18"/>
      <c r="BL775" s="18"/>
      <c r="BM775" s="18"/>
      <c r="BN775" s="18"/>
      <c r="BO775" s="18"/>
      <c r="BP775" s="18"/>
      <c r="BQ775" s="18"/>
      <c r="BR775" s="18"/>
      <c r="BS775" s="18"/>
      <c r="BT775" s="18">
        <v>3740</v>
      </c>
    </row>
    <row r="776" spans="15:72" x14ac:dyDescent="0.3">
      <c r="O776" t="s">
        <v>1644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>
        <v>485</v>
      </c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>
        <v>485</v>
      </c>
      <c r="BK776" s="18"/>
      <c r="BL776" s="18"/>
      <c r="BM776" s="18"/>
      <c r="BN776" s="18"/>
      <c r="BO776" s="18"/>
      <c r="BP776" s="18"/>
      <c r="BQ776" s="18"/>
      <c r="BR776" s="18"/>
      <c r="BS776" s="18"/>
      <c r="BT776" s="18">
        <v>485</v>
      </c>
    </row>
    <row r="777" spans="15:72" x14ac:dyDescent="0.3">
      <c r="O777" t="s">
        <v>1649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>
        <v>795</v>
      </c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>
        <v>795</v>
      </c>
      <c r="BK777" s="18"/>
      <c r="BL777" s="18"/>
      <c r="BM777" s="18"/>
      <c r="BN777" s="18"/>
      <c r="BO777" s="18"/>
      <c r="BP777" s="18"/>
      <c r="BQ777" s="18"/>
      <c r="BR777" s="18"/>
      <c r="BS777" s="18"/>
      <c r="BT777" s="18">
        <v>795</v>
      </c>
    </row>
    <row r="778" spans="15:72" x14ac:dyDescent="0.3">
      <c r="O778" t="s">
        <v>1662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>
        <v>5133.5</v>
      </c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>
        <v>5133.5</v>
      </c>
      <c r="BK778" s="18"/>
      <c r="BL778" s="18"/>
      <c r="BM778" s="18"/>
      <c r="BN778" s="18"/>
      <c r="BO778" s="18"/>
      <c r="BP778" s="18"/>
      <c r="BQ778" s="18"/>
      <c r="BR778" s="18"/>
      <c r="BS778" s="18"/>
      <c r="BT778" s="18">
        <v>5133.5</v>
      </c>
    </row>
    <row r="779" spans="15:72" x14ac:dyDescent="0.3">
      <c r="O779" t="s">
        <v>1707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>
        <v>4783</v>
      </c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>
        <v>4783</v>
      </c>
      <c r="BK779" s="18"/>
      <c r="BL779" s="18"/>
      <c r="BM779" s="18"/>
      <c r="BN779" s="18"/>
      <c r="BO779" s="18"/>
      <c r="BP779" s="18"/>
      <c r="BQ779" s="18"/>
      <c r="BR779" s="18"/>
      <c r="BS779" s="18"/>
      <c r="BT779" s="18">
        <v>4783</v>
      </c>
    </row>
    <row r="780" spans="15:72" x14ac:dyDescent="0.3">
      <c r="O780" t="s">
        <v>1709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>
        <v>100</v>
      </c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>
        <v>100</v>
      </c>
      <c r="BK780" s="18"/>
      <c r="BL780" s="18"/>
      <c r="BM780" s="18"/>
      <c r="BN780" s="18"/>
      <c r="BO780" s="18"/>
      <c r="BP780" s="18"/>
      <c r="BQ780" s="18"/>
      <c r="BR780" s="18"/>
      <c r="BS780" s="18"/>
      <c r="BT780" s="18">
        <v>100</v>
      </c>
    </row>
    <row r="781" spans="15:72" x14ac:dyDescent="0.3">
      <c r="O781" t="s">
        <v>1717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>
        <v>1390</v>
      </c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>
        <v>1390</v>
      </c>
      <c r="BK781" s="18"/>
      <c r="BL781" s="18"/>
      <c r="BM781" s="18"/>
      <c r="BN781" s="18"/>
      <c r="BO781" s="18"/>
      <c r="BP781" s="18"/>
      <c r="BQ781" s="18"/>
      <c r="BR781" s="18"/>
      <c r="BS781" s="18"/>
      <c r="BT781" s="18">
        <v>1390</v>
      </c>
    </row>
    <row r="782" spans="15:72" x14ac:dyDescent="0.3">
      <c r="O782" t="s">
        <v>1720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>
        <v>5573</v>
      </c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>
        <v>5573</v>
      </c>
      <c r="BK782" s="18"/>
      <c r="BL782" s="18"/>
      <c r="BM782" s="18"/>
      <c r="BN782" s="18"/>
      <c r="BO782" s="18"/>
      <c r="BP782" s="18"/>
      <c r="BQ782" s="18"/>
      <c r="BR782" s="18"/>
      <c r="BS782" s="18"/>
      <c r="BT782" s="18">
        <v>5573</v>
      </c>
    </row>
    <row r="783" spans="15:72" x14ac:dyDescent="0.3">
      <c r="O783" t="s">
        <v>1729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4940.5</v>
      </c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>
        <v>4940.5</v>
      </c>
      <c r="BK783" s="18"/>
      <c r="BL783" s="18"/>
      <c r="BM783" s="18"/>
      <c r="BN783" s="18"/>
      <c r="BO783" s="18"/>
      <c r="BP783" s="18"/>
      <c r="BQ783" s="18"/>
      <c r="BR783" s="18"/>
      <c r="BS783" s="18"/>
      <c r="BT783" s="18">
        <v>4940.5</v>
      </c>
    </row>
    <row r="784" spans="15:72" x14ac:dyDescent="0.3">
      <c r="O784" t="s">
        <v>1791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>
        <v>805</v>
      </c>
      <c r="BA784" s="18"/>
      <c r="BB784" s="18"/>
      <c r="BC784" s="18"/>
      <c r="BD784" s="18"/>
      <c r="BE784" s="18"/>
      <c r="BF784" s="18"/>
      <c r="BG784" s="18"/>
      <c r="BH784" s="18"/>
      <c r="BI784" s="18"/>
      <c r="BJ784" s="18">
        <v>805</v>
      </c>
      <c r="BK784" s="18"/>
      <c r="BL784" s="18"/>
      <c r="BM784" s="18"/>
      <c r="BN784" s="18"/>
      <c r="BO784" s="18"/>
      <c r="BP784" s="18"/>
      <c r="BQ784" s="18"/>
      <c r="BR784" s="18"/>
      <c r="BS784" s="18"/>
      <c r="BT784" s="18">
        <v>805</v>
      </c>
    </row>
    <row r="785" spans="14:72" x14ac:dyDescent="0.3">
      <c r="O785" t="s">
        <v>1807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>
        <v>920</v>
      </c>
      <c r="BA785" s="18"/>
      <c r="BB785" s="18"/>
      <c r="BC785" s="18"/>
      <c r="BD785" s="18"/>
      <c r="BE785" s="18"/>
      <c r="BF785" s="18"/>
      <c r="BG785" s="18"/>
      <c r="BH785" s="18"/>
      <c r="BI785" s="18"/>
      <c r="BJ785" s="18">
        <v>920</v>
      </c>
      <c r="BK785" s="18"/>
      <c r="BL785" s="18"/>
      <c r="BM785" s="18"/>
      <c r="BN785" s="18"/>
      <c r="BO785" s="18"/>
      <c r="BP785" s="18"/>
      <c r="BQ785" s="18"/>
      <c r="BR785" s="18"/>
      <c r="BS785" s="18"/>
      <c r="BT785" s="18">
        <v>920</v>
      </c>
    </row>
    <row r="786" spans="14:72" x14ac:dyDescent="0.3">
      <c r="O786" t="s">
        <v>1810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>
        <v>984</v>
      </c>
      <c r="BA786" s="18"/>
      <c r="BB786" s="18"/>
      <c r="BC786" s="18"/>
      <c r="BD786" s="18"/>
      <c r="BE786" s="18"/>
      <c r="BF786" s="18"/>
      <c r="BG786" s="18"/>
      <c r="BH786" s="18"/>
      <c r="BI786" s="18"/>
      <c r="BJ786" s="18">
        <v>984</v>
      </c>
      <c r="BK786" s="18"/>
      <c r="BL786" s="18"/>
      <c r="BM786" s="18"/>
      <c r="BN786" s="18"/>
      <c r="BO786" s="18"/>
      <c r="BP786" s="18"/>
      <c r="BQ786" s="18"/>
      <c r="BR786" s="18"/>
      <c r="BS786" s="18"/>
      <c r="BT786" s="18">
        <v>984</v>
      </c>
    </row>
    <row r="787" spans="14:72" x14ac:dyDescent="0.3">
      <c r="O787" t="s">
        <v>1816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>
        <v>7052.5</v>
      </c>
      <c r="BA787" s="18"/>
      <c r="BB787" s="18"/>
      <c r="BC787" s="18"/>
      <c r="BD787" s="18"/>
      <c r="BE787" s="18"/>
      <c r="BF787" s="18"/>
      <c r="BG787" s="18"/>
      <c r="BH787" s="18"/>
      <c r="BI787" s="18"/>
      <c r="BJ787" s="18">
        <v>7052.5</v>
      </c>
      <c r="BK787" s="18"/>
      <c r="BL787" s="18"/>
      <c r="BM787" s="18"/>
      <c r="BN787" s="18"/>
      <c r="BO787" s="18"/>
      <c r="BP787" s="18"/>
      <c r="BQ787" s="18"/>
      <c r="BR787" s="18"/>
      <c r="BS787" s="18"/>
      <c r="BT787" s="18">
        <v>7052.5</v>
      </c>
    </row>
    <row r="788" spans="14:72" x14ac:dyDescent="0.3">
      <c r="O788" t="s">
        <v>1827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>
        <v>1738</v>
      </c>
      <c r="BA788" s="18"/>
      <c r="BB788" s="18"/>
      <c r="BC788" s="18"/>
      <c r="BD788" s="18"/>
      <c r="BE788" s="18"/>
      <c r="BF788" s="18"/>
      <c r="BG788" s="18"/>
      <c r="BH788" s="18"/>
      <c r="BI788" s="18"/>
      <c r="BJ788" s="18">
        <v>1738</v>
      </c>
      <c r="BK788" s="18"/>
      <c r="BL788" s="18"/>
      <c r="BM788" s="18"/>
      <c r="BN788" s="18"/>
      <c r="BO788" s="18"/>
      <c r="BP788" s="18"/>
      <c r="BQ788" s="18"/>
      <c r="BR788" s="18"/>
      <c r="BS788" s="18"/>
      <c r="BT788" s="18">
        <v>1738</v>
      </c>
    </row>
    <row r="789" spans="14:72" x14ac:dyDescent="0.3">
      <c r="O789" t="s">
        <v>1828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>
        <v>2210</v>
      </c>
      <c r="BA789" s="18"/>
      <c r="BB789" s="18"/>
      <c r="BC789" s="18"/>
      <c r="BD789" s="18"/>
      <c r="BE789" s="18"/>
      <c r="BF789" s="18"/>
      <c r="BG789" s="18"/>
      <c r="BH789" s="18"/>
      <c r="BI789" s="18"/>
      <c r="BJ789" s="18">
        <v>2210</v>
      </c>
      <c r="BK789" s="18"/>
      <c r="BL789" s="18"/>
      <c r="BM789" s="18"/>
      <c r="BN789" s="18"/>
      <c r="BO789" s="18"/>
      <c r="BP789" s="18"/>
      <c r="BQ789" s="18"/>
      <c r="BR789" s="18"/>
      <c r="BS789" s="18"/>
      <c r="BT789" s="18">
        <v>2210</v>
      </c>
    </row>
    <row r="790" spans="14:72" x14ac:dyDescent="0.3">
      <c r="O790" t="s">
        <v>1832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>
        <v>7605</v>
      </c>
      <c r="BA790" s="18"/>
      <c r="BB790" s="18"/>
      <c r="BC790" s="18"/>
      <c r="BD790" s="18"/>
      <c r="BE790" s="18"/>
      <c r="BF790" s="18"/>
      <c r="BG790" s="18"/>
      <c r="BH790" s="18"/>
      <c r="BI790" s="18"/>
      <c r="BJ790" s="18">
        <v>7605</v>
      </c>
      <c r="BK790" s="18"/>
      <c r="BL790" s="18"/>
      <c r="BM790" s="18"/>
      <c r="BN790" s="18"/>
      <c r="BO790" s="18"/>
      <c r="BP790" s="18"/>
      <c r="BQ790" s="18"/>
      <c r="BR790" s="18"/>
      <c r="BS790" s="18"/>
      <c r="BT790" s="18">
        <v>7605</v>
      </c>
    </row>
    <row r="791" spans="14:72" x14ac:dyDescent="0.3">
      <c r="O791" t="s">
        <v>1879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v>1800.5</v>
      </c>
      <c r="BB791" s="18"/>
      <c r="BC791" s="18"/>
      <c r="BD791" s="18"/>
      <c r="BE791" s="18"/>
      <c r="BF791" s="18"/>
      <c r="BG791" s="18"/>
      <c r="BH791" s="18"/>
      <c r="BI791" s="18"/>
      <c r="BJ791" s="18">
        <v>1800.5</v>
      </c>
      <c r="BK791" s="18"/>
      <c r="BL791" s="18"/>
      <c r="BM791" s="18"/>
      <c r="BN791" s="18"/>
      <c r="BO791" s="18"/>
      <c r="BP791" s="18"/>
      <c r="BQ791" s="18"/>
      <c r="BR791" s="18"/>
      <c r="BS791" s="18"/>
      <c r="BT791" s="18">
        <v>1800.5</v>
      </c>
    </row>
    <row r="792" spans="14:72" x14ac:dyDescent="0.3">
      <c r="O792" t="s">
        <v>1884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>
        <v>1738</v>
      </c>
      <c r="BB792" s="18"/>
      <c r="BC792" s="18"/>
      <c r="BD792" s="18"/>
      <c r="BE792" s="18"/>
      <c r="BF792" s="18"/>
      <c r="BG792" s="18"/>
      <c r="BH792" s="18"/>
      <c r="BI792" s="18"/>
      <c r="BJ792" s="18">
        <v>1738</v>
      </c>
      <c r="BK792" s="18"/>
      <c r="BL792" s="18"/>
      <c r="BM792" s="18"/>
      <c r="BN792" s="18"/>
      <c r="BO792" s="18"/>
      <c r="BP792" s="18"/>
      <c r="BQ792" s="18"/>
      <c r="BR792" s="18"/>
      <c r="BS792" s="18"/>
      <c r="BT792" s="18">
        <v>1738</v>
      </c>
    </row>
    <row r="793" spans="14:72" x14ac:dyDescent="0.3">
      <c r="O793" t="s">
        <v>1897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>
        <v>3780</v>
      </c>
      <c r="BB793" s="18"/>
      <c r="BC793" s="18"/>
      <c r="BD793" s="18"/>
      <c r="BE793" s="18"/>
      <c r="BF793" s="18"/>
      <c r="BG793" s="18"/>
      <c r="BH793" s="18"/>
      <c r="BI793" s="18"/>
      <c r="BJ793" s="18">
        <v>3780</v>
      </c>
      <c r="BK793" s="18"/>
      <c r="BL793" s="18"/>
      <c r="BM793" s="18"/>
      <c r="BN793" s="18"/>
      <c r="BO793" s="18"/>
      <c r="BP793" s="18"/>
      <c r="BQ793" s="18"/>
      <c r="BR793" s="18"/>
      <c r="BS793" s="18"/>
      <c r="BT793" s="18">
        <v>3780</v>
      </c>
    </row>
    <row r="794" spans="14:72" x14ac:dyDescent="0.3">
      <c r="O794" t="s">
        <v>1919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>
        <v>1235</v>
      </c>
      <c r="BB794" s="18"/>
      <c r="BC794" s="18"/>
      <c r="BD794" s="18"/>
      <c r="BE794" s="18"/>
      <c r="BF794" s="18"/>
      <c r="BG794" s="18"/>
      <c r="BH794" s="18"/>
      <c r="BI794" s="18"/>
      <c r="BJ794" s="18">
        <v>1235</v>
      </c>
      <c r="BK794" s="18"/>
      <c r="BL794" s="18"/>
      <c r="BM794" s="18"/>
      <c r="BN794" s="18"/>
      <c r="BO794" s="18"/>
      <c r="BP794" s="18"/>
      <c r="BQ794" s="18"/>
      <c r="BR794" s="18"/>
      <c r="BS794" s="18"/>
      <c r="BT794" s="18">
        <v>1235</v>
      </c>
    </row>
    <row r="795" spans="14:72" x14ac:dyDescent="0.3">
      <c r="O795" t="s">
        <v>1924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>
        <v>250</v>
      </c>
      <c r="BB795" s="18"/>
      <c r="BC795" s="18"/>
      <c r="BD795" s="18"/>
      <c r="BE795" s="18"/>
      <c r="BF795" s="18"/>
      <c r="BG795" s="18"/>
      <c r="BH795" s="18"/>
      <c r="BI795" s="18"/>
      <c r="BJ795" s="18">
        <v>250</v>
      </c>
      <c r="BK795" s="18"/>
      <c r="BL795" s="18"/>
      <c r="BM795" s="18"/>
      <c r="BN795" s="18"/>
      <c r="BO795" s="18"/>
      <c r="BP795" s="18"/>
      <c r="BQ795" s="18"/>
      <c r="BR795" s="18"/>
      <c r="BS795" s="18"/>
      <c r="BT795" s="18">
        <v>250</v>
      </c>
    </row>
    <row r="796" spans="14:72" x14ac:dyDescent="0.3">
      <c r="O796" t="s">
        <v>2007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>
        <v>2045</v>
      </c>
      <c r="BC796" s="18"/>
      <c r="BD796" s="18"/>
      <c r="BE796" s="18"/>
      <c r="BF796" s="18"/>
      <c r="BG796" s="18"/>
      <c r="BH796" s="18"/>
      <c r="BI796" s="18"/>
      <c r="BJ796" s="18">
        <v>2045</v>
      </c>
      <c r="BK796" s="18"/>
      <c r="BL796" s="18"/>
      <c r="BM796" s="18"/>
      <c r="BN796" s="18"/>
      <c r="BO796" s="18"/>
      <c r="BP796" s="18"/>
      <c r="BQ796" s="18"/>
      <c r="BR796" s="18"/>
      <c r="BS796" s="18"/>
      <c r="BT796" s="18">
        <v>2045</v>
      </c>
    </row>
    <row r="797" spans="14:72" x14ac:dyDescent="0.3">
      <c r="O797" t="s">
        <v>2033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>
        <v>695</v>
      </c>
      <c r="BC797" s="18"/>
      <c r="BD797" s="18"/>
      <c r="BE797" s="18"/>
      <c r="BF797" s="18"/>
      <c r="BG797" s="18"/>
      <c r="BH797" s="18"/>
      <c r="BI797" s="18"/>
      <c r="BJ797" s="18">
        <v>695</v>
      </c>
      <c r="BK797" s="18"/>
      <c r="BL797" s="18"/>
      <c r="BM797" s="18"/>
      <c r="BN797" s="18"/>
      <c r="BO797" s="18"/>
      <c r="BP797" s="18"/>
      <c r="BQ797" s="18"/>
      <c r="BR797" s="18"/>
      <c r="BS797" s="18"/>
      <c r="BT797" s="18">
        <v>695</v>
      </c>
    </row>
    <row r="798" spans="14:72" x14ac:dyDescent="0.3">
      <c r="O798" t="s">
        <v>2150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>
        <v>3078</v>
      </c>
      <c r="BD798" s="18"/>
      <c r="BE798" s="18"/>
      <c r="BF798" s="18"/>
      <c r="BG798" s="18"/>
      <c r="BH798" s="18"/>
      <c r="BI798" s="18"/>
      <c r="BJ798" s="18">
        <v>3078</v>
      </c>
      <c r="BK798" s="18"/>
      <c r="BL798" s="18"/>
      <c r="BM798" s="18"/>
      <c r="BN798" s="18"/>
      <c r="BO798" s="18"/>
      <c r="BP798" s="18"/>
      <c r="BQ798" s="18"/>
      <c r="BR798" s="18"/>
      <c r="BS798" s="18"/>
      <c r="BT798" s="18">
        <v>3078</v>
      </c>
    </row>
    <row r="799" spans="14:72" x14ac:dyDescent="0.3">
      <c r="N799" s="17" t="s">
        <v>1232</v>
      </c>
      <c r="O799" s="17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>
        <v>26278.3</v>
      </c>
      <c r="AY799" s="19">
        <v>16786.5</v>
      </c>
      <c r="AZ799" s="19">
        <v>21314.5</v>
      </c>
      <c r="BA799" s="19">
        <v>8803.5</v>
      </c>
      <c r="BB799" s="19">
        <v>2740</v>
      </c>
      <c r="BC799" s="19">
        <v>3078</v>
      </c>
      <c r="BD799" s="19"/>
      <c r="BE799" s="19">
        <v>2917.8</v>
      </c>
      <c r="BF799" s="19">
        <v>10502</v>
      </c>
      <c r="BG799" s="19">
        <v>6592.5</v>
      </c>
      <c r="BH799" s="19">
        <v>10241</v>
      </c>
      <c r="BI799" s="19">
        <v>16093</v>
      </c>
      <c r="BJ799" s="19">
        <v>125347.1</v>
      </c>
      <c r="BK799" s="19"/>
      <c r="BL799" s="19"/>
      <c r="BM799" s="19"/>
      <c r="BN799" s="19"/>
      <c r="BO799" s="19"/>
      <c r="BP799" s="19"/>
      <c r="BQ799" s="19"/>
      <c r="BR799" s="19"/>
      <c r="BS799" s="19"/>
      <c r="BT799" s="19">
        <v>125347.1</v>
      </c>
    </row>
    <row r="800" spans="14:72" x14ac:dyDescent="0.3">
      <c r="N800" t="s">
        <v>1453</v>
      </c>
      <c r="O800" t="s">
        <v>226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>
        <v>10399</v>
      </c>
      <c r="AF800" s="18"/>
      <c r="AG800" s="18"/>
      <c r="AH800" s="18"/>
      <c r="AI800" s="18"/>
      <c r="AJ800" s="18">
        <v>10399</v>
      </c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>
        <v>10399</v>
      </c>
    </row>
    <row r="801" spans="14:72" x14ac:dyDescent="0.3">
      <c r="O801" t="s">
        <v>242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>
        <v>49</v>
      </c>
      <c r="AF801" s="18"/>
      <c r="AG801" s="18"/>
      <c r="AH801" s="18"/>
      <c r="AI801" s="18"/>
      <c r="AJ801" s="18">
        <v>49</v>
      </c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>
        <v>49</v>
      </c>
    </row>
    <row r="802" spans="14:72" x14ac:dyDescent="0.3">
      <c r="O802" t="s">
        <v>246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>
        <v>3408</v>
      </c>
      <c r="AF802" s="18"/>
      <c r="AG802" s="18"/>
      <c r="AH802" s="18"/>
      <c r="AI802" s="18"/>
      <c r="AJ802" s="18">
        <v>3408</v>
      </c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>
        <v>3408</v>
      </c>
    </row>
    <row r="803" spans="14:72" x14ac:dyDescent="0.3">
      <c r="O803" t="s">
        <v>265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>
        <v>3198</v>
      </c>
      <c r="AG803" s="18"/>
      <c r="AH803" s="18"/>
      <c r="AI803" s="18"/>
      <c r="AJ803" s="18">
        <v>3198</v>
      </c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>
        <v>3198</v>
      </c>
    </row>
    <row r="804" spans="14:72" x14ac:dyDescent="0.3">
      <c r="O804" t="s">
        <v>317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>
        <v>3959</v>
      </c>
      <c r="AJ804" s="18">
        <v>3959</v>
      </c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>
        <v>3959</v>
      </c>
    </row>
    <row r="805" spans="14:72" x14ac:dyDescent="0.3">
      <c r="O805" t="s">
        <v>410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>
        <v>205</v>
      </c>
      <c r="AC805" s="18"/>
      <c r="AD805" s="18"/>
      <c r="AE805" s="18"/>
      <c r="AF805" s="18"/>
      <c r="AG805" s="18"/>
      <c r="AH805" s="18"/>
      <c r="AI805" s="18"/>
      <c r="AJ805" s="18">
        <v>205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>
        <v>205</v>
      </c>
    </row>
    <row r="806" spans="14:72" x14ac:dyDescent="0.3">
      <c r="O806" t="s">
        <v>502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>
        <v>5175.3999999999996</v>
      </c>
      <c r="AE806" s="18"/>
      <c r="AF806" s="18"/>
      <c r="AG806" s="18"/>
      <c r="AH806" s="18"/>
      <c r="AI806" s="18"/>
      <c r="AJ806" s="18">
        <v>5175.3999999999996</v>
      </c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>
        <v>5175.3999999999996</v>
      </c>
    </row>
    <row r="807" spans="14:72" x14ac:dyDescent="0.3">
      <c r="O807" t="s">
        <v>1454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>
        <v>14279.599999999999</v>
      </c>
      <c r="BI807" s="18"/>
      <c r="BJ807" s="18">
        <v>14279.599999999999</v>
      </c>
      <c r="BK807" s="18"/>
      <c r="BL807" s="18"/>
      <c r="BM807" s="18"/>
      <c r="BN807" s="18"/>
      <c r="BO807" s="18"/>
      <c r="BP807" s="18"/>
      <c r="BQ807" s="18"/>
      <c r="BR807" s="18"/>
      <c r="BS807" s="18"/>
      <c r="BT807" s="18">
        <v>14279.599999999999</v>
      </c>
    </row>
    <row r="808" spans="14:72" x14ac:dyDescent="0.3">
      <c r="O808" t="s">
        <v>1551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>
        <v>15706.8</v>
      </c>
      <c r="BJ808" s="18">
        <v>15706.8</v>
      </c>
      <c r="BK808" s="18"/>
      <c r="BL808" s="18"/>
      <c r="BM808" s="18"/>
      <c r="BN808" s="18"/>
      <c r="BO808" s="18"/>
      <c r="BP808" s="18"/>
      <c r="BQ808" s="18"/>
      <c r="BR808" s="18"/>
      <c r="BS808" s="18"/>
      <c r="BT808" s="18">
        <v>15706.8</v>
      </c>
    </row>
    <row r="809" spans="14:72" x14ac:dyDescent="0.3">
      <c r="O809" t="s">
        <v>1635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>
        <v>35991.4</v>
      </c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>
        <v>35991.4</v>
      </c>
      <c r="BK809" s="18"/>
      <c r="BL809" s="18"/>
      <c r="BM809" s="18"/>
      <c r="BN809" s="18"/>
      <c r="BO809" s="18"/>
      <c r="BP809" s="18"/>
      <c r="BQ809" s="18"/>
      <c r="BR809" s="18"/>
      <c r="BS809" s="18"/>
      <c r="BT809" s="18">
        <v>35991.4</v>
      </c>
    </row>
    <row r="810" spans="14:72" x14ac:dyDescent="0.3">
      <c r="O810" t="s">
        <v>1652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>
        <v>2820.5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>
        <v>2820.5</v>
      </c>
      <c r="BK810" s="18"/>
      <c r="BL810" s="18"/>
      <c r="BM810" s="18"/>
      <c r="BN810" s="18"/>
      <c r="BO810" s="18"/>
      <c r="BP810" s="18"/>
      <c r="BQ810" s="18"/>
      <c r="BR810" s="18"/>
      <c r="BS810" s="18"/>
      <c r="BT810" s="18">
        <v>2820.5</v>
      </c>
    </row>
    <row r="811" spans="14:72" x14ac:dyDescent="0.3">
      <c r="O811" t="s">
        <v>1747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>
        <v>20583.400000000001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>
        <v>20583.400000000001</v>
      </c>
      <c r="BK811" s="18"/>
      <c r="BL811" s="18"/>
      <c r="BM811" s="18"/>
      <c r="BN811" s="18"/>
      <c r="BO811" s="18"/>
      <c r="BP811" s="18"/>
      <c r="BQ811" s="18"/>
      <c r="BR811" s="18"/>
      <c r="BS811" s="18"/>
      <c r="BT811" s="18">
        <v>20583.400000000001</v>
      </c>
    </row>
    <row r="812" spans="14:72" x14ac:dyDescent="0.3">
      <c r="O812" t="s">
        <v>1880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>
        <v>15781.400000000001</v>
      </c>
      <c r="BB812" s="18"/>
      <c r="BC812" s="18"/>
      <c r="BD812" s="18"/>
      <c r="BE812" s="18"/>
      <c r="BF812" s="18"/>
      <c r="BG812" s="18"/>
      <c r="BH812" s="18"/>
      <c r="BI812" s="18"/>
      <c r="BJ812" s="18">
        <v>15781.400000000001</v>
      </c>
      <c r="BK812" s="18"/>
      <c r="BL812" s="18"/>
      <c r="BM812" s="18"/>
      <c r="BN812" s="18"/>
      <c r="BO812" s="18"/>
      <c r="BP812" s="18"/>
      <c r="BQ812" s="18"/>
      <c r="BR812" s="18"/>
      <c r="BS812" s="18"/>
      <c r="BT812" s="18">
        <v>15781.400000000001</v>
      </c>
    </row>
    <row r="813" spans="14:72" x14ac:dyDescent="0.3">
      <c r="O813" t="s">
        <v>1909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>
        <v>560</v>
      </c>
      <c r="BB813" s="18"/>
      <c r="BC813" s="18"/>
      <c r="BD813" s="18"/>
      <c r="BE813" s="18"/>
      <c r="BF813" s="18"/>
      <c r="BG813" s="18"/>
      <c r="BH813" s="18"/>
      <c r="BI813" s="18"/>
      <c r="BJ813" s="18">
        <v>560</v>
      </c>
      <c r="BK813" s="18"/>
      <c r="BL813" s="18"/>
      <c r="BM813" s="18"/>
      <c r="BN813" s="18"/>
      <c r="BO813" s="18"/>
      <c r="BP813" s="18"/>
      <c r="BQ813" s="18"/>
      <c r="BR813" s="18"/>
      <c r="BS813" s="18"/>
      <c r="BT813" s="18">
        <v>560</v>
      </c>
    </row>
    <row r="814" spans="14:72" x14ac:dyDescent="0.3">
      <c r="O814" t="s">
        <v>1990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>
        <v>1612</v>
      </c>
      <c r="BC814" s="18"/>
      <c r="BD814" s="18"/>
      <c r="BE814" s="18"/>
      <c r="BF814" s="18"/>
      <c r="BG814" s="18"/>
      <c r="BH814" s="18"/>
      <c r="BI814" s="18"/>
      <c r="BJ814" s="18">
        <v>1612</v>
      </c>
      <c r="BK814" s="18"/>
      <c r="BL814" s="18"/>
      <c r="BM814" s="18"/>
      <c r="BN814" s="18"/>
      <c r="BO814" s="18"/>
      <c r="BP814" s="18"/>
      <c r="BQ814" s="18"/>
      <c r="BR814" s="18"/>
      <c r="BS814" s="18"/>
      <c r="BT814" s="18">
        <v>1612</v>
      </c>
    </row>
    <row r="815" spans="14:72" x14ac:dyDescent="0.3">
      <c r="O815" t="s">
        <v>2091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>
        <v>3731.7999999999997</v>
      </c>
      <c r="BD815" s="18"/>
      <c r="BE815" s="18"/>
      <c r="BF815" s="18"/>
      <c r="BG815" s="18"/>
      <c r="BH815" s="18"/>
      <c r="BI815" s="18"/>
      <c r="BJ815" s="18">
        <v>3731.7999999999997</v>
      </c>
      <c r="BK815" s="18"/>
      <c r="BL815" s="18"/>
      <c r="BM815" s="18"/>
      <c r="BN815" s="18"/>
      <c r="BO815" s="18"/>
      <c r="BP815" s="18"/>
      <c r="BQ815" s="18"/>
      <c r="BR815" s="18"/>
      <c r="BS815" s="18"/>
      <c r="BT815" s="18">
        <v>3731.7999999999997</v>
      </c>
    </row>
    <row r="816" spans="14:72" x14ac:dyDescent="0.3">
      <c r="N816" s="17" t="s">
        <v>1528</v>
      </c>
      <c r="O816" s="17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>
        <v>205</v>
      </c>
      <c r="AC816" s="19"/>
      <c r="AD816" s="19">
        <v>5175.3999999999996</v>
      </c>
      <c r="AE816" s="19">
        <v>13856</v>
      </c>
      <c r="AF816" s="19">
        <v>3198</v>
      </c>
      <c r="AG816" s="19"/>
      <c r="AH816" s="19"/>
      <c r="AI816" s="19">
        <v>3959</v>
      </c>
      <c r="AJ816" s="19">
        <v>26393.4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38811.9</v>
      </c>
      <c r="AY816" s="19">
        <v>20583.400000000001</v>
      </c>
      <c r="AZ816" s="19"/>
      <c r="BA816" s="19">
        <v>16341.400000000001</v>
      </c>
      <c r="BB816" s="19">
        <v>1612</v>
      </c>
      <c r="BC816" s="19">
        <v>3731.7999999999997</v>
      </c>
      <c r="BD816" s="19"/>
      <c r="BE816" s="19"/>
      <c r="BF816" s="19"/>
      <c r="BG816" s="19"/>
      <c r="BH816" s="19">
        <v>14279.599999999999</v>
      </c>
      <c r="BI816" s="19">
        <v>15706.8</v>
      </c>
      <c r="BJ816" s="19">
        <v>111066.90000000001</v>
      </c>
      <c r="BK816" s="19"/>
      <c r="BL816" s="19"/>
      <c r="BM816" s="19"/>
      <c r="BN816" s="19"/>
      <c r="BO816" s="19"/>
      <c r="BP816" s="19"/>
      <c r="BQ816" s="19"/>
      <c r="BR816" s="19"/>
      <c r="BS816" s="19"/>
      <c r="BT816" s="19">
        <v>137460.29999999999</v>
      </c>
    </row>
    <row r="817" spans="14:72" x14ac:dyDescent="0.3">
      <c r="N817" t="s">
        <v>1697</v>
      </c>
      <c r="O817" t="s">
        <v>363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>
        <v>855</v>
      </c>
      <c r="AB817" s="18"/>
      <c r="AC817" s="18"/>
      <c r="AD817" s="18"/>
      <c r="AE817" s="18"/>
      <c r="AF817" s="18"/>
      <c r="AG817" s="18"/>
      <c r="AH817" s="18"/>
      <c r="AI817" s="18"/>
      <c r="AJ817" s="18">
        <v>855</v>
      </c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>
        <v>855</v>
      </c>
    </row>
    <row r="818" spans="14:72" x14ac:dyDescent="0.3">
      <c r="N818" s="17" t="s">
        <v>1789</v>
      </c>
      <c r="O818" s="17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>
        <v>855</v>
      </c>
      <c r="AB818" s="19"/>
      <c r="AC818" s="19"/>
      <c r="AD818" s="19"/>
      <c r="AE818" s="19"/>
      <c r="AF818" s="19"/>
      <c r="AG818" s="19"/>
      <c r="AH818" s="19"/>
      <c r="AI818" s="19"/>
      <c r="AJ818" s="19">
        <v>855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>
        <v>855</v>
      </c>
    </row>
    <row r="819" spans="14:72" x14ac:dyDescent="0.3">
      <c r="N819" t="s">
        <v>1257</v>
      </c>
      <c r="O819" t="s">
        <v>1262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>
        <v>861</v>
      </c>
      <c r="BG819" s="18"/>
      <c r="BH819" s="18"/>
      <c r="BI819" s="18"/>
      <c r="BJ819" s="18">
        <v>861</v>
      </c>
      <c r="BK819" s="18"/>
      <c r="BL819" s="18"/>
      <c r="BM819" s="18"/>
      <c r="BN819" s="18"/>
      <c r="BO819" s="18"/>
      <c r="BP819" s="18"/>
      <c r="BQ819" s="18"/>
      <c r="BR819" s="18"/>
      <c r="BS819" s="18"/>
      <c r="BT819" s="18">
        <v>861</v>
      </c>
    </row>
    <row r="820" spans="14:72" x14ac:dyDescent="0.3">
      <c r="O820" t="s">
        <v>1395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>
        <v>452</v>
      </c>
      <c r="BI820" s="18"/>
      <c r="BJ820" s="18">
        <v>452</v>
      </c>
      <c r="BK820" s="18"/>
      <c r="BL820" s="18"/>
      <c r="BM820" s="18"/>
      <c r="BN820" s="18"/>
      <c r="BO820" s="18"/>
      <c r="BP820" s="18"/>
      <c r="BQ820" s="18"/>
      <c r="BR820" s="18"/>
      <c r="BS820" s="18"/>
      <c r="BT820" s="18">
        <v>452</v>
      </c>
    </row>
    <row r="821" spans="14:72" x14ac:dyDescent="0.3">
      <c r="N821" s="17" t="s">
        <v>1387</v>
      </c>
      <c r="O821" s="17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>
        <v>861</v>
      </c>
      <c r="BG821" s="19"/>
      <c r="BH821" s="19">
        <v>452</v>
      </c>
      <c r="BI821" s="19"/>
      <c r="BJ821" s="19">
        <v>1313</v>
      </c>
      <c r="BK821" s="19"/>
      <c r="BL821" s="19"/>
      <c r="BM821" s="19"/>
      <c r="BN821" s="19"/>
      <c r="BO821" s="19"/>
      <c r="BP821" s="19"/>
      <c r="BQ821" s="19"/>
      <c r="BR821" s="19"/>
      <c r="BS821" s="19"/>
      <c r="BT821" s="19">
        <v>1313</v>
      </c>
    </row>
    <row r="822" spans="14:72" x14ac:dyDescent="0.3">
      <c r="N822" t="s">
        <v>1304</v>
      </c>
      <c r="O822" t="s">
        <v>1306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>
        <v>366</v>
      </c>
      <c r="BH822" s="18"/>
      <c r="BI822" s="18"/>
      <c r="BJ822" s="18">
        <v>366</v>
      </c>
      <c r="BK822" s="18"/>
      <c r="BL822" s="18"/>
      <c r="BM822" s="18"/>
      <c r="BN822" s="18"/>
      <c r="BO822" s="18"/>
      <c r="BP822" s="18"/>
      <c r="BQ822" s="18"/>
      <c r="BR822" s="18"/>
      <c r="BS822" s="18"/>
      <c r="BT822" s="18">
        <v>366</v>
      </c>
    </row>
    <row r="823" spans="14:72" x14ac:dyDescent="0.3">
      <c r="O823" t="s">
        <v>1313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>
        <v>1425</v>
      </c>
      <c r="BH823" s="18"/>
      <c r="BI823" s="18"/>
      <c r="BJ823" s="18">
        <v>1425</v>
      </c>
      <c r="BK823" s="18"/>
      <c r="BL823" s="18"/>
      <c r="BM823" s="18"/>
      <c r="BN823" s="18"/>
      <c r="BO823" s="18"/>
      <c r="BP823" s="18"/>
      <c r="BQ823" s="18"/>
      <c r="BR823" s="18"/>
      <c r="BS823" s="18"/>
      <c r="BT823" s="18">
        <v>1425</v>
      </c>
    </row>
    <row r="824" spans="14:72" x14ac:dyDescent="0.3">
      <c r="N824" s="17" t="s">
        <v>1388</v>
      </c>
      <c r="O824" s="17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1791</v>
      </c>
      <c r="BH824" s="19"/>
      <c r="BI824" s="19"/>
      <c r="BJ824" s="19">
        <v>1791</v>
      </c>
      <c r="BK824" s="19"/>
      <c r="BL824" s="19"/>
      <c r="BM824" s="19"/>
      <c r="BN824" s="19"/>
      <c r="BO824" s="19"/>
      <c r="BP824" s="19"/>
      <c r="BQ824" s="19"/>
      <c r="BR824" s="19"/>
      <c r="BS824" s="19"/>
      <c r="BT824" s="19">
        <v>1791</v>
      </c>
    </row>
    <row r="825" spans="14:72" x14ac:dyDescent="0.3">
      <c r="N825" t="s">
        <v>1309</v>
      </c>
      <c r="O825" t="s">
        <v>1312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>
        <v>4784.3999999999996</v>
      </c>
      <c r="BH825" s="18"/>
      <c r="BI825" s="18"/>
      <c r="BJ825" s="18">
        <v>4784.3999999999996</v>
      </c>
      <c r="BK825" s="18"/>
      <c r="BL825" s="18"/>
      <c r="BM825" s="18"/>
      <c r="BN825" s="18"/>
      <c r="BO825" s="18"/>
      <c r="BP825" s="18"/>
      <c r="BQ825" s="18"/>
      <c r="BR825" s="18"/>
      <c r="BS825" s="18"/>
      <c r="BT825" s="18">
        <v>4784.3999999999996</v>
      </c>
    </row>
    <row r="826" spans="14:72" x14ac:dyDescent="0.3">
      <c r="O826" t="s">
        <v>1344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>
        <v>4450.3999999999996</v>
      </c>
      <c r="BH826" s="18"/>
      <c r="BI826" s="18"/>
      <c r="BJ826" s="18">
        <v>4450.3999999999996</v>
      </c>
      <c r="BK826" s="18"/>
      <c r="BL826" s="18"/>
      <c r="BM826" s="18"/>
      <c r="BN826" s="18"/>
      <c r="BO826" s="18"/>
      <c r="BP826" s="18"/>
      <c r="BQ826" s="18"/>
      <c r="BR826" s="18"/>
      <c r="BS826" s="18"/>
      <c r="BT826" s="18">
        <v>4450.3999999999996</v>
      </c>
    </row>
    <row r="827" spans="14:72" x14ac:dyDescent="0.3">
      <c r="O827" t="s">
        <v>1361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>
        <v>6644.1</v>
      </c>
      <c r="BH827" s="18"/>
      <c r="BI827" s="18"/>
      <c r="BJ827" s="18">
        <v>6644.1</v>
      </c>
      <c r="BK827" s="18"/>
      <c r="BL827" s="18"/>
      <c r="BM827" s="18"/>
      <c r="BN827" s="18"/>
      <c r="BO827" s="18"/>
      <c r="BP827" s="18"/>
      <c r="BQ827" s="18"/>
      <c r="BR827" s="18"/>
      <c r="BS827" s="18"/>
      <c r="BT827" s="18">
        <v>6644.1</v>
      </c>
    </row>
    <row r="828" spans="14:72" x14ac:dyDescent="0.3">
      <c r="O828" t="s">
        <v>1429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>
        <v>4959.6000000000004</v>
      </c>
      <c r="BI828" s="18"/>
      <c r="BJ828" s="18">
        <v>4959.6000000000004</v>
      </c>
      <c r="BK828" s="18"/>
      <c r="BL828" s="18"/>
      <c r="BM828" s="18"/>
      <c r="BN828" s="18"/>
      <c r="BO828" s="18"/>
      <c r="BP828" s="18"/>
      <c r="BQ828" s="18"/>
      <c r="BR828" s="18"/>
      <c r="BS828" s="18"/>
      <c r="BT828" s="18">
        <v>4959.6000000000004</v>
      </c>
    </row>
    <row r="829" spans="14:72" x14ac:dyDescent="0.3">
      <c r="O829" t="s">
        <v>1529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>
        <v>2856.4</v>
      </c>
      <c r="BJ829" s="18">
        <v>2856.4</v>
      </c>
      <c r="BK829" s="18"/>
      <c r="BL829" s="18"/>
      <c r="BM829" s="18"/>
      <c r="BN829" s="18"/>
      <c r="BO829" s="18"/>
      <c r="BP829" s="18"/>
      <c r="BQ829" s="18"/>
      <c r="BR829" s="18"/>
      <c r="BS829" s="18"/>
      <c r="BT829" s="18">
        <v>2856.4</v>
      </c>
    </row>
    <row r="830" spans="14:72" x14ac:dyDescent="0.3">
      <c r="O830" t="s">
        <v>1544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>
        <v>13214.5</v>
      </c>
      <c r="BJ830" s="18">
        <v>13214.5</v>
      </c>
      <c r="BK830" s="18"/>
      <c r="BL830" s="18"/>
      <c r="BM830" s="18"/>
      <c r="BN830" s="18"/>
      <c r="BO830" s="18"/>
      <c r="BP830" s="18"/>
      <c r="BQ830" s="18"/>
      <c r="BR830" s="18"/>
      <c r="BS830" s="18"/>
      <c r="BT830" s="18">
        <v>13214.5</v>
      </c>
    </row>
    <row r="831" spans="14:72" x14ac:dyDescent="0.3">
      <c r="O831" t="s">
        <v>1641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>
        <v>11760.300000000001</v>
      </c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>
        <v>11760.300000000001</v>
      </c>
      <c r="BK831" s="18"/>
      <c r="BL831" s="18"/>
      <c r="BM831" s="18"/>
      <c r="BN831" s="18"/>
      <c r="BO831" s="18"/>
      <c r="BP831" s="18"/>
      <c r="BQ831" s="18"/>
      <c r="BR831" s="18"/>
      <c r="BS831" s="18"/>
      <c r="BT831" s="18">
        <v>11760.300000000001</v>
      </c>
    </row>
    <row r="832" spans="14:72" x14ac:dyDescent="0.3">
      <c r="O832" t="s">
        <v>1647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>
        <v>390</v>
      </c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>
        <v>390</v>
      </c>
      <c r="BK832" s="18"/>
      <c r="BL832" s="18"/>
      <c r="BM832" s="18"/>
      <c r="BN832" s="18"/>
      <c r="BO832" s="18"/>
      <c r="BP832" s="18"/>
      <c r="BQ832" s="18"/>
      <c r="BR832" s="18"/>
      <c r="BS832" s="18"/>
      <c r="BT832" s="18">
        <v>390</v>
      </c>
    </row>
    <row r="833" spans="14:72" x14ac:dyDescent="0.3">
      <c r="O833" t="s">
        <v>1719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>
        <v>144</v>
      </c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>
        <v>144</v>
      </c>
      <c r="BK833" s="18"/>
      <c r="BL833" s="18"/>
      <c r="BM833" s="18"/>
      <c r="BN833" s="18"/>
      <c r="BO833" s="18"/>
      <c r="BP833" s="18"/>
      <c r="BQ833" s="18"/>
      <c r="BR833" s="18"/>
      <c r="BS833" s="18"/>
      <c r="BT833" s="18">
        <v>144</v>
      </c>
    </row>
    <row r="834" spans="14:72" x14ac:dyDescent="0.3">
      <c r="O834" t="s">
        <v>1728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>
        <v>11342.5</v>
      </c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>
        <v>11342.5</v>
      </c>
      <c r="BK834" s="18"/>
      <c r="BL834" s="18"/>
      <c r="BM834" s="18"/>
      <c r="BN834" s="18"/>
      <c r="BO834" s="18"/>
      <c r="BP834" s="18"/>
      <c r="BQ834" s="18"/>
      <c r="BR834" s="18"/>
      <c r="BS834" s="18"/>
      <c r="BT834" s="18">
        <v>11342.5</v>
      </c>
    </row>
    <row r="835" spans="14:72" x14ac:dyDescent="0.3">
      <c r="O835" t="s">
        <v>1808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>
        <v>565.20000000000005</v>
      </c>
      <c r="BA835" s="18"/>
      <c r="BB835" s="18"/>
      <c r="BC835" s="18"/>
      <c r="BD835" s="18"/>
      <c r="BE835" s="18"/>
      <c r="BF835" s="18"/>
      <c r="BG835" s="18"/>
      <c r="BH835" s="18"/>
      <c r="BI835" s="18"/>
      <c r="BJ835" s="18">
        <v>565.20000000000005</v>
      </c>
      <c r="BK835" s="18"/>
      <c r="BL835" s="18"/>
      <c r="BM835" s="18"/>
      <c r="BN835" s="18"/>
      <c r="BO835" s="18"/>
      <c r="BP835" s="18"/>
      <c r="BQ835" s="18"/>
      <c r="BR835" s="18"/>
      <c r="BS835" s="18"/>
      <c r="BT835" s="18">
        <v>565.20000000000005</v>
      </c>
    </row>
    <row r="836" spans="14:72" x14ac:dyDescent="0.3">
      <c r="O836" t="s">
        <v>1823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>
        <v>10969.5</v>
      </c>
      <c r="BA836" s="18"/>
      <c r="BB836" s="18"/>
      <c r="BC836" s="18"/>
      <c r="BD836" s="18"/>
      <c r="BE836" s="18"/>
      <c r="BF836" s="18"/>
      <c r="BG836" s="18"/>
      <c r="BH836" s="18"/>
      <c r="BI836" s="18"/>
      <c r="BJ836" s="18">
        <v>10969.5</v>
      </c>
      <c r="BK836" s="18"/>
      <c r="BL836" s="18"/>
      <c r="BM836" s="18"/>
      <c r="BN836" s="18"/>
      <c r="BO836" s="18"/>
      <c r="BP836" s="18"/>
      <c r="BQ836" s="18"/>
      <c r="BR836" s="18"/>
      <c r="BS836" s="18"/>
      <c r="BT836" s="18">
        <v>10969.5</v>
      </c>
    </row>
    <row r="837" spans="14:72" x14ac:dyDescent="0.3">
      <c r="O837" t="s">
        <v>1913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>
        <v>15616.9</v>
      </c>
      <c r="BB837" s="18"/>
      <c r="BC837" s="18"/>
      <c r="BD837" s="18"/>
      <c r="BE837" s="18"/>
      <c r="BF837" s="18"/>
      <c r="BG837" s="18"/>
      <c r="BH837" s="18"/>
      <c r="BI837" s="18"/>
      <c r="BJ837" s="18">
        <v>15616.9</v>
      </c>
      <c r="BK837" s="18"/>
      <c r="BL837" s="18"/>
      <c r="BM837" s="18"/>
      <c r="BN837" s="18"/>
      <c r="BO837" s="18"/>
      <c r="BP837" s="18"/>
      <c r="BQ837" s="18"/>
      <c r="BR837" s="18"/>
      <c r="BS837" s="18"/>
      <c r="BT837" s="18">
        <v>15616.9</v>
      </c>
    </row>
    <row r="838" spans="14:72" x14ac:dyDescent="0.3">
      <c r="O838" t="s">
        <v>2036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15463.4</v>
      </c>
      <c r="BC838" s="18"/>
      <c r="BD838" s="18"/>
      <c r="BE838" s="18"/>
      <c r="BF838" s="18"/>
      <c r="BG838" s="18"/>
      <c r="BH838" s="18"/>
      <c r="BI838" s="18"/>
      <c r="BJ838" s="18">
        <v>15463.4</v>
      </c>
      <c r="BK838" s="18"/>
      <c r="BL838" s="18"/>
      <c r="BM838" s="18"/>
      <c r="BN838" s="18"/>
      <c r="BO838" s="18"/>
      <c r="BP838" s="18"/>
      <c r="BQ838" s="18"/>
      <c r="BR838" s="18"/>
      <c r="BS838" s="18"/>
      <c r="BT838" s="18">
        <v>15463.4</v>
      </c>
    </row>
    <row r="839" spans="14:72" x14ac:dyDescent="0.3">
      <c r="O839" t="s">
        <v>2202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>
        <v>11904.5</v>
      </c>
      <c r="BE839" s="18"/>
      <c r="BF839" s="18"/>
      <c r="BG839" s="18"/>
      <c r="BH839" s="18"/>
      <c r="BI839" s="18"/>
      <c r="BJ839" s="18">
        <v>11904.5</v>
      </c>
      <c r="BK839" s="18"/>
      <c r="BL839" s="18"/>
      <c r="BM839" s="18"/>
      <c r="BN839" s="18"/>
      <c r="BO839" s="18"/>
      <c r="BP839" s="18"/>
      <c r="BQ839" s="18"/>
      <c r="BR839" s="18"/>
      <c r="BS839" s="18"/>
      <c r="BT839" s="18">
        <v>11904.5</v>
      </c>
    </row>
    <row r="840" spans="14:72" x14ac:dyDescent="0.3">
      <c r="O840" t="s">
        <v>2343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>
        <v>8348.5</v>
      </c>
      <c r="BP840" s="18"/>
      <c r="BQ840" s="18"/>
      <c r="BR840" s="18"/>
      <c r="BS840" s="18">
        <v>8348.5</v>
      </c>
      <c r="BT840" s="18">
        <v>8348.5</v>
      </c>
    </row>
    <row r="841" spans="14:72" x14ac:dyDescent="0.3">
      <c r="O841" t="s">
        <v>2447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>
        <v>7479.6</v>
      </c>
      <c r="BQ841" s="18"/>
      <c r="BR841" s="18"/>
      <c r="BS841" s="18">
        <v>7479.6</v>
      </c>
      <c r="BT841" s="18">
        <v>7479.6</v>
      </c>
    </row>
    <row r="842" spans="14:72" x14ac:dyDescent="0.3">
      <c r="O842" t="s">
        <v>2554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>
        <v>6674.9</v>
      </c>
      <c r="BS842" s="18">
        <v>6674.9</v>
      </c>
      <c r="BT842" s="18">
        <v>6674.9</v>
      </c>
    </row>
    <row r="843" spans="14:72" x14ac:dyDescent="0.3">
      <c r="O843" t="s">
        <v>2643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>
        <v>7259.6</v>
      </c>
      <c r="BL843" s="18"/>
      <c r="BM843" s="18"/>
      <c r="BN843" s="18"/>
      <c r="BO843" s="18"/>
      <c r="BP843" s="18"/>
      <c r="BQ843" s="18"/>
      <c r="BR843" s="18"/>
      <c r="BS843" s="18">
        <v>7259.6</v>
      </c>
      <c r="BT843" s="18">
        <v>7259.6</v>
      </c>
    </row>
    <row r="844" spans="14:72" x14ac:dyDescent="0.3">
      <c r="O844" t="s">
        <v>2840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>
        <v>8732.2999999999993</v>
      </c>
      <c r="BN844" s="18"/>
      <c r="BO844" s="18"/>
      <c r="BP844" s="18"/>
      <c r="BQ844" s="18"/>
      <c r="BR844" s="18"/>
      <c r="BS844" s="18">
        <v>8732.2999999999993</v>
      </c>
      <c r="BT844" s="18">
        <v>8732.2999999999993</v>
      </c>
    </row>
    <row r="845" spans="14:72" x14ac:dyDescent="0.3">
      <c r="N845" s="17" t="s">
        <v>1389</v>
      </c>
      <c r="O845" s="17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>
        <v>12150.300000000001</v>
      </c>
      <c r="AY845" s="19">
        <v>11486.5</v>
      </c>
      <c r="AZ845" s="19">
        <v>11534.7</v>
      </c>
      <c r="BA845" s="19">
        <v>15616.9</v>
      </c>
      <c r="BB845" s="19">
        <v>15463.4</v>
      </c>
      <c r="BC845" s="19"/>
      <c r="BD845" s="19">
        <v>11904.5</v>
      </c>
      <c r="BE845" s="19"/>
      <c r="BF845" s="19"/>
      <c r="BG845" s="19">
        <v>15878.9</v>
      </c>
      <c r="BH845" s="19">
        <v>4959.6000000000004</v>
      </c>
      <c r="BI845" s="19">
        <v>16070.9</v>
      </c>
      <c r="BJ845" s="19">
        <v>115065.69999999998</v>
      </c>
      <c r="BK845" s="19">
        <v>7259.6</v>
      </c>
      <c r="BL845" s="19"/>
      <c r="BM845" s="19">
        <v>8732.2999999999993</v>
      </c>
      <c r="BN845" s="19"/>
      <c r="BO845" s="19">
        <v>8348.5</v>
      </c>
      <c r="BP845" s="19">
        <v>7479.6</v>
      </c>
      <c r="BQ845" s="19"/>
      <c r="BR845" s="19">
        <v>6674.9</v>
      </c>
      <c r="BS845" s="19">
        <v>38494.899999999994</v>
      </c>
      <c r="BT845" s="19">
        <v>153560.59999999998</v>
      </c>
    </row>
    <row r="846" spans="14:72" x14ac:dyDescent="0.3">
      <c r="N846" t="s">
        <v>1420</v>
      </c>
      <c r="O846" t="s">
        <v>1422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>
        <v>670</v>
      </c>
      <c r="BI846" s="18"/>
      <c r="BJ846" s="18">
        <v>670</v>
      </c>
      <c r="BK846" s="18"/>
      <c r="BL846" s="18"/>
      <c r="BM846" s="18"/>
      <c r="BN846" s="18"/>
      <c r="BO846" s="18"/>
      <c r="BP846" s="18"/>
      <c r="BQ846" s="18"/>
      <c r="BR846" s="18"/>
      <c r="BS846" s="18"/>
      <c r="BT846" s="18">
        <v>670</v>
      </c>
    </row>
    <row r="847" spans="14:72" x14ac:dyDescent="0.3">
      <c r="O847" t="s">
        <v>1548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>
        <v>698</v>
      </c>
      <c r="BJ847" s="18">
        <v>698</v>
      </c>
      <c r="BK847" s="18"/>
      <c r="BL847" s="18"/>
      <c r="BM847" s="18"/>
      <c r="BN847" s="18"/>
      <c r="BO847" s="18"/>
      <c r="BP847" s="18"/>
      <c r="BQ847" s="18"/>
      <c r="BR847" s="18"/>
      <c r="BS847" s="18"/>
      <c r="BT847" s="18">
        <v>698</v>
      </c>
    </row>
    <row r="848" spans="14:72" x14ac:dyDescent="0.3">
      <c r="O848" t="s">
        <v>1558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>
        <v>350</v>
      </c>
      <c r="BJ848" s="18">
        <v>350</v>
      </c>
      <c r="BK848" s="18"/>
      <c r="BL848" s="18"/>
      <c r="BM848" s="18"/>
      <c r="BN848" s="18"/>
      <c r="BO848" s="18"/>
      <c r="BP848" s="18"/>
      <c r="BQ848" s="18"/>
      <c r="BR848" s="18"/>
      <c r="BS848" s="18"/>
      <c r="BT848" s="18">
        <v>350</v>
      </c>
    </row>
    <row r="849" spans="14:72" x14ac:dyDescent="0.3">
      <c r="O849" t="s">
        <v>1606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>
        <v>350</v>
      </c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>
        <v>350</v>
      </c>
      <c r="BK849" s="18"/>
      <c r="BL849" s="18"/>
      <c r="BM849" s="18"/>
      <c r="BN849" s="18"/>
      <c r="BO849" s="18"/>
      <c r="BP849" s="18"/>
      <c r="BQ849" s="18"/>
      <c r="BR849" s="18"/>
      <c r="BS849" s="18"/>
      <c r="BT849" s="18">
        <v>350</v>
      </c>
    </row>
    <row r="850" spans="14:72" x14ac:dyDescent="0.3">
      <c r="O850" t="s">
        <v>1629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>
        <v>590</v>
      </c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>
        <v>590</v>
      </c>
      <c r="BK850" s="18"/>
      <c r="BL850" s="18"/>
      <c r="BM850" s="18"/>
      <c r="BN850" s="18"/>
      <c r="BO850" s="18"/>
      <c r="BP850" s="18"/>
      <c r="BQ850" s="18"/>
      <c r="BR850" s="18"/>
      <c r="BS850" s="18"/>
      <c r="BT850" s="18">
        <v>590</v>
      </c>
    </row>
    <row r="851" spans="14:72" x14ac:dyDescent="0.3">
      <c r="O851" t="s">
        <v>1730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>
        <v>405</v>
      </c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>
        <v>405</v>
      </c>
      <c r="BK851" s="18"/>
      <c r="BL851" s="18"/>
      <c r="BM851" s="18"/>
      <c r="BN851" s="18"/>
      <c r="BO851" s="18"/>
      <c r="BP851" s="18"/>
      <c r="BQ851" s="18"/>
      <c r="BR851" s="18"/>
      <c r="BS851" s="18"/>
      <c r="BT851" s="18">
        <v>405</v>
      </c>
    </row>
    <row r="852" spans="14:72" x14ac:dyDescent="0.3">
      <c r="N852" s="17" t="s">
        <v>1436</v>
      </c>
      <c r="O852" s="17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>
        <v>940</v>
      </c>
      <c r="AY852" s="19">
        <v>405</v>
      </c>
      <c r="AZ852" s="19"/>
      <c r="BA852" s="19"/>
      <c r="BB852" s="19"/>
      <c r="BC852" s="19"/>
      <c r="BD852" s="19"/>
      <c r="BE852" s="19"/>
      <c r="BF852" s="19"/>
      <c r="BG852" s="19"/>
      <c r="BH852" s="19">
        <v>670</v>
      </c>
      <c r="BI852" s="19">
        <v>1048</v>
      </c>
      <c r="BJ852" s="19">
        <v>3063</v>
      </c>
      <c r="BK852" s="19"/>
      <c r="BL852" s="19"/>
      <c r="BM852" s="19"/>
      <c r="BN852" s="19"/>
      <c r="BO852" s="19"/>
      <c r="BP852" s="19"/>
      <c r="BQ852" s="19"/>
      <c r="BR852" s="19"/>
      <c r="BS852" s="19"/>
      <c r="BT852" s="19">
        <v>3063</v>
      </c>
    </row>
    <row r="853" spans="14:72" x14ac:dyDescent="0.3">
      <c r="N853" t="s">
        <v>1620</v>
      </c>
      <c r="O853" t="s">
        <v>1618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>
        <v>2968.5</v>
      </c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>
        <v>2968.5</v>
      </c>
      <c r="BK853" s="18"/>
      <c r="BL853" s="18"/>
      <c r="BM853" s="18"/>
      <c r="BN853" s="18"/>
      <c r="BO853" s="18"/>
      <c r="BP853" s="18"/>
      <c r="BQ853" s="18"/>
      <c r="BR853" s="18"/>
      <c r="BS853" s="18"/>
      <c r="BT853" s="18">
        <v>2968.5</v>
      </c>
    </row>
    <row r="854" spans="14:72" x14ac:dyDescent="0.3">
      <c r="O854" t="s">
        <v>1811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>
        <v>2382.5</v>
      </c>
      <c r="BA854" s="18"/>
      <c r="BB854" s="18"/>
      <c r="BC854" s="18"/>
      <c r="BD854" s="18"/>
      <c r="BE854" s="18"/>
      <c r="BF854" s="18"/>
      <c r="BG854" s="18"/>
      <c r="BH854" s="18"/>
      <c r="BI854" s="18"/>
      <c r="BJ854" s="18">
        <v>2382.5</v>
      </c>
      <c r="BK854" s="18"/>
      <c r="BL854" s="18"/>
      <c r="BM854" s="18"/>
      <c r="BN854" s="18"/>
      <c r="BO854" s="18"/>
      <c r="BP854" s="18"/>
      <c r="BQ854" s="18"/>
      <c r="BR854" s="18"/>
      <c r="BS854" s="18"/>
      <c r="BT854" s="18">
        <v>2382.5</v>
      </c>
    </row>
    <row r="855" spans="14:72" x14ac:dyDescent="0.3">
      <c r="N855" s="17" t="s">
        <v>1790</v>
      </c>
      <c r="O855" s="17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>
        <v>2968.5</v>
      </c>
      <c r="AY855" s="19"/>
      <c r="AZ855" s="19">
        <v>2382.5</v>
      </c>
      <c r="BA855" s="19"/>
      <c r="BB855" s="19"/>
      <c r="BC855" s="19"/>
      <c r="BD855" s="19"/>
      <c r="BE855" s="19"/>
      <c r="BF855" s="19"/>
      <c r="BG855" s="19"/>
      <c r="BH855" s="19"/>
      <c r="BI855" s="19"/>
      <c r="BJ855" s="19">
        <v>5351</v>
      </c>
      <c r="BK855" s="19"/>
      <c r="BL855" s="19"/>
      <c r="BM855" s="19"/>
      <c r="BN855" s="19"/>
      <c r="BO855" s="19"/>
      <c r="BP855" s="19"/>
      <c r="BQ855" s="19"/>
      <c r="BR855" s="19"/>
      <c r="BS855" s="19"/>
      <c r="BT855" s="19">
        <v>5351</v>
      </c>
    </row>
    <row r="856" spans="14:72" x14ac:dyDescent="0.3">
      <c r="N856" t="s">
        <v>1702</v>
      </c>
      <c r="O856" t="s">
        <v>1893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>
        <v>48</v>
      </c>
      <c r="BB856" s="18"/>
      <c r="BC856" s="18"/>
      <c r="BD856" s="18"/>
      <c r="BE856" s="18"/>
      <c r="BF856" s="18"/>
      <c r="BG856" s="18"/>
      <c r="BH856" s="18"/>
      <c r="BI856" s="18"/>
      <c r="BJ856" s="18">
        <v>48</v>
      </c>
      <c r="BK856" s="18"/>
      <c r="BL856" s="18"/>
      <c r="BM856" s="18"/>
      <c r="BN856" s="18"/>
      <c r="BO856" s="18"/>
      <c r="BP856" s="18"/>
      <c r="BQ856" s="18"/>
      <c r="BR856" s="18"/>
      <c r="BS856" s="18"/>
      <c r="BT856" s="18">
        <v>48</v>
      </c>
    </row>
    <row r="857" spans="14:72" x14ac:dyDescent="0.3">
      <c r="N857" s="17" t="s">
        <v>1986</v>
      </c>
      <c r="O857" s="17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v>48</v>
      </c>
      <c r="BB857" s="19"/>
      <c r="BC857" s="19"/>
      <c r="BD857" s="19"/>
      <c r="BE857" s="19"/>
      <c r="BF857" s="19"/>
      <c r="BG857" s="19"/>
      <c r="BH857" s="19"/>
      <c r="BI857" s="19"/>
      <c r="BJ857" s="19">
        <v>48</v>
      </c>
      <c r="BK857" s="19"/>
      <c r="BL857" s="19"/>
      <c r="BM857" s="19"/>
      <c r="BN857" s="19"/>
      <c r="BO857" s="19"/>
      <c r="BP857" s="19"/>
      <c r="BQ857" s="19"/>
      <c r="BR857" s="19"/>
      <c r="BS857" s="19"/>
      <c r="BT857" s="19">
        <v>48</v>
      </c>
    </row>
    <row r="858" spans="14:72" x14ac:dyDescent="0.3">
      <c r="N858" t="s">
        <v>1704</v>
      </c>
      <c r="O858" t="s">
        <v>1896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>
        <v>2126</v>
      </c>
      <c r="BB858" s="18"/>
      <c r="BC858" s="18"/>
      <c r="BD858" s="18"/>
      <c r="BE858" s="18"/>
      <c r="BF858" s="18"/>
      <c r="BG858" s="18"/>
      <c r="BH858" s="18"/>
      <c r="BI858" s="18"/>
      <c r="BJ858" s="18">
        <v>2126</v>
      </c>
      <c r="BK858" s="18"/>
      <c r="BL858" s="18"/>
      <c r="BM858" s="18"/>
      <c r="BN858" s="18"/>
      <c r="BO858" s="18"/>
      <c r="BP858" s="18"/>
      <c r="BQ858" s="18"/>
      <c r="BR858" s="18"/>
      <c r="BS858" s="18"/>
      <c r="BT858" s="18">
        <v>2126</v>
      </c>
    </row>
    <row r="859" spans="14:72" x14ac:dyDescent="0.3">
      <c r="O859" t="s">
        <v>2178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>
        <v>237</v>
      </c>
      <c r="BE859" s="18"/>
      <c r="BF859" s="18"/>
      <c r="BG859" s="18"/>
      <c r="BH859" s="18"/>
      <c r="BI859" s="18"/>
      <c r="BJ859" s="18">
        <v>237</v>
      </c>
      <c r="BK859" s="18"/>
      <c r="BL859" s="18"/>
      <c r="BM859" s="18"/>
      <c r="BN859" s="18"/>
      <c r="BO859" s="18"/>
      <c r="BP859" s="18"/>
      <c r="BQ859" s="18"/>
      <c r="BR859" s="18"/>
      <c r="BS859" s="18"/>
      <c r="BT859" s="18">
        <v>237</v>
      </c>
    </row>
    <row r="860" spans="14:72" x14ac:dyDescent="0.3">
      <c r="O860" t="s">
        <v>2522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>
        <v>659</v>
      </c>
      <c r="BR860" s="18"/>
      <c r="BS860" s="18">
        <v>659</v>
      </c>
      <c r="BT860" s="18">
        <v>659</v>
      </c>
    </row>
    <row r="861" spans="14:72" x14ac:dyDescent="0.3">
      <c r="N861" s="17" t="s">
        <v>1987</v>
      </c>
      <c r="O861" s="17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v>2126</v>
      </c>
      <c r="BB861" s="19"/>
      <c r="BC861" s="19"/>
      <c r="BD861" s="19">
        <v>237</v>
      </c>
      <c r="BE861" s="19"/>
      <c r="BF861" s="19"/>
      <c r="BG861" s="19"/>
      <c r="BH861" s="19"/>
      <c r="BI861" s="19"/>
      <c r="BJ861" s="19">
        <v>2363</v>
      </c>
      <c r="BK861" s="19"/>
      <c r="BL861" s="19"/>
      <c r="BM861" s="19"/>
      <c r="BN861" s="19"/>
      <c r="BO861" s="19"/>
      <c r="BP861" s="19"/>
      <c r="BQ861" s="19">
        <v>659</v>
      </c>
      <c r="BR861" s="19"/>
      <c r="BS861" s="19">
        <v>659</v>
      </c>
      <c r="BT861" s="19">
        <v>3022</v>
      </c>
    </row>
    <row r="862" spans="14:72" x14ac:dyDescent="0.3">
      <c r="N862" t="s">
        <v>2012</v>
      </c>
      <c r="O862" t="s">
        <v>2013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>
        <v>312.5</v>
      </c>
      <c r="BC862" s="18"/>
      <c r="BD862" s="18"/>
      <c r="BE862" s="18"/>
      <c r="BF862" s="18"/>
      <c r="BG862" s="18"/>
      <c r="BH862" s="18"/>
      <c r="BI862" s="18"/>
      <c r="BJ862" s="18">
        <v>312.5</v>
      </c>
      <c r="BK862" s="18"/>
      <c r="BL862" s="18"/>
      <c r="BM862" s="18"/>
      <c r="BN862" s="18"/>
      <c r="BO862" s="18"/>
      <c r="BP862" s="18"/>
      <c r="BQ862" s="18"/>
      <c r="BR862" s="18"/>
      <c r="BS862" s="18"/>
      <c r="BT862" s="18">
        <v>312.5</v>
      </c>
    </row>
    <row r="863" spans="14:72" x14ac:dyDescent="0.3">
      <c r="O863" t="s">
        <v>2014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>
        <v>14658</v>
      </c>
      <c r="BC863" s="18"/>
      <c r="BD863" s="18"/>
      <c r="BE863" s="18"/>
      <c r="BF863" s="18"/>
      <c r="BG863" s="18"/>
      <c r="BH863" s="18"/>
      <c r="BI863" s="18"/>
      <c r="BJ863" s="18">
        <v>14658</v>
      </c>
      <c r="BK863" s="18"/>
      <c r="BL863" s="18"/>
      <c r="BM863" s="18"/>
      <c r="BN863" s="18"/>
      <c r="BO863" s="18"/>
      <c r="BP863" s="18"/>
      <c r="BQ863" s="18"/>
      <c r="BR863" s="18"/>
      <c r="BS863" s="18"/>
      <c r="BT863" s="18">
        <v>14658</v>
      </c>
    </row>
    <row r="864" spans="14:72" x14ac:dyDescent="0.3">
      <c r="O864" t="s">
        <v>2017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>
        <v>2700</v>
      </c>
      <c r="BC864" s="18"/>
      <c r="BD864" s="18"/>
      <c r="BE864" s="18"/>
      <c r="BF864" s="18"/>
      <c r="BG864" s="18"/>
      <c r="BH864" s="18"/>
      <c r="BI864" s="18"/>
      <c r="BJ864" s="18">
        <v>2700</v>
      </c>
      <c r="BK864" s="18"/>
      <c r="BL864" s="18"/>
      <c r="BM864" s="18"/>
      <c r="BN864" s="18"/>
      <c r="BO864" s="18"/>
      <c r="BP864" s="18"/>
      <c r="BQ864" s="18"/>
      <c r="BR864" s="18"/>
      <c r="BS864" s="18"/>
      <c r="BT864" s="18">
        <v>2700</v>
      </c>
    </row>
    <row r="865" spans="15:72" x14ac:dyDescent="0.3">
      <c r="O865" t="s">
        <v>2020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>
        <v>250</v>
      </c>
      <c r="BC865" s="18"/>
      <c r="BD865" s="18"/>
      <c r="BE865" s="18"/>
      <c r="BF865" s="18"/>
      <c r="BG865" s="18"/>
      <c r="BH865" s="18"/>
      <c r="BI865" s="18"/>
      <c r="BJ865" s="18">
        <v>250</v>
      </c>
      <c r="BK865" s="18"/>
      <c r="BL865" s="18"/>
      <c r="BM865" s="18"/>
      <c r="BN865" s="18"/>
      <c r="BO865" s="18"/>
      <c r="BP865" s="18"/>
      <c r="BQ865" s="18"/>
      <c r="BR865" s="18"/>
      <c r="BS865" s="18"/>
      <c r="BT865" s="18">
        <v>250</v>
      </c>
    </row>
    <row r="866" spans="15:72" x14ac:dyDescent="0.3">
      <c r="O866" t="s">
        <v>2021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>
        <v>7916</v>
      </c>
      <c r="BC866" s="18"/>
      <c r="BD866" s="18"/>
      <c r="BE866" s="18"/>
      <c r="BF866" s="18"/>
      <c r="BG866" s="18"/>
      <c r="BH866" s="18"/>
      <c r="BI866" s="18"/>
      <c r="BJ866" s="18">
        <v>7916</v>
      </c>
      <c r="BK866" s="18"/>
      <c r="BL866" s="18"/>
      <c r="BM866" s="18"/>
      <c r="BN866" s="18"/>
      <c r="BO866" s="18"/>
      <c r="BP866" s="18"/>
      <c r="BQ866" s="18"/>
      <c r="BR866" s="18"/>
      <c r="BS866" s="18"/>
      <c r="BT866" s="18">
        <v>7916</v>
      </c>
    </row>
    <row r="867" spans="15:72" x14ac:dyDescent="0.3">
      <c r="O867" t="s">
        <v>2031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>
        <v>1000</v>
      </c>
      <c r="BC867" s="18"/>
      <c r="BD867" s="18"/>
      <c r="BE867" s="18"/>
      <c r="BF867" s="18"/>
      <c r="BG867" s="18"/>
      <c r="BH867" s="18"/>
      <c r="BI867" s="18"/>
      <c r="BJ867" s="18">
        <v>1000</v>
      </c>
      <c r="BK867" s="18"/>
      <c r="BL867" s="18"/>
      <c r="BM867" s="18"/>
      <c r="BN867" s="18"/>
      <c r="BO867" s="18"/>
      <c r="BP867" s="18"/>
      <c r="BQ867" s="18"/>
      <c r="BR867" s="18"/>
      <c r="BS867" s="18"/>
      <c r="BT867" s="18">
        <v>1000</v>
      </c>
    </row>
    <row r="868" spans="15:72" x14ac:dyDescent="0.3">
      <c r="O868" t="s">
        <v>2034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>
        <v>187.5</v>
      </c>
      <c r="BC868" s="18"/>
      <c r="BD868" s="18"/>
      <c r="BE868" s="18"/>
      <c r="BF868" s="18"/>
      <c r="BG868" s="18"/>
      <c r="BH868" s="18"/>
      <c r="BI868" s="18"/>
      <c r="BJ868" s="18">
        <v>187.5</v>
      </c>
      <c r="BK868" s="18"/>
      <c r="BL868" s="18"/>
      <c r="BM868" s="18"/>
      <c r="BN868" s="18"/>
      <c r="BO868" s="18"/>
      <c r="BP868" s="18"/>
      <c r="BQ868" s="18"/>
      <c r="BR868" s="18"/>
      <c r="BS868" s="18"/>
      <c r="BT868" s="18">
        <v>187.5</v>
      </c>
    </row>
    <row r="869" spans="15:72" x14ac:dyDescent="0.3">
      <c r="O869" t="s">
        <v>2035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>
        <v>7440</v>
      </c>
      <c r="BC869" s="18"/>
      <c r="BD869" s="18"/>
      <c r="BE869" s="18"/>
      <c r="BF869" s="18"/>
      <c r="BG869" s="18"/>
      <c r="BH869" s="18"/>
      <c r="BI869" s="18"/>
      <c r="BJ869" s="18">
        <v>7440</v>
      </c>
      <c r="BK869" s="18"/>
      <c r="BL869" s="18"/>
      <c r="BM869" s="18"/>
      <c r="BN869" s="18"/>
      <c r="BO869" s="18"/>
      <c r="BP869" s="18"/>
      <c r="BQ869" s="18"/>
      <c r="BR869" s="18"/>
      <c r="BS869" s="18"/>
      <c r="BT869" s="18">
        <v>7440</v>
      </c>
    </row>
    <row r="870" spans="15:72" x14ac:dyDescent="0.3">
      <c r="O870" t="s">
        <v>2090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>
        <v>1000</v>
      </c>
      <c r="BC870" s="18"/>
      <c r="BD870" s="18"/>
      <c r="BE870" s="18"/>
      <c r="BF870" s="18"/>
      <c r="BG870" s="18"/>
      <c r="BH870" s="18"/>
      <c r="BI870" s="18"/>
      <c r="BJ870" s="18">
        <v>1000</v>
      </c>
      <c r="BK870" s="18"/>
      <c r="BL870" s="18"/>
      <c r="BM870" s="18"/>
      <c r="BN870" s="18"/>
      <c r="BO870" s="18"/>
      <c r="BP870" s="18"/>
      <c r="BQ870" s="18"/>
      <c r="BR870" s="18"/>
      <c r="BS870" s="18"/>
      <c r="BT870" s="18">
        <v>1000</v>
      </c>
    </row>
    <row r="871" spans="15:72" x14ac:dyDescent="0.3">
      <c r="O871" t="s">
        <v>2151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>
        <v>437.5</v>
      </c>
      <c r="BD871" s="18"/>
      <c r="BE871" s="18"/>
      <c r="BF871" s="18"/>
      <c r="BG871" s="18"/>
      <c r="BH871" s="18"/>
      <c r="BI871" s="18"/>
      <c r="BJ871" s="18">
        <v>437.5</v>
      </c>
      <c r="BK871" s="18"/>
      <c r="BL871" s="18"/>
      <c r="BM871" s="18"/>
      <c r="BN871" s="18"/>
      <c r="BO871" s="18"/>
      <c r="BP871" s="18"/>
      <c r="BQ871" s="18"/>
      <c r="BR871" s="18"/>
      <c r="BS871" s="18"/>
      <c r="BT871" s="18">
        <v>437.5</v>
      </c>
    </row>
    <row r="872" spans="15:72" x14ac:dyDescent="0.3">
      <c r="O872" t="s">
        <v>2152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>
        <v>19024</v>
      </c>
      <c r="BD872" s="18"/>
      <c r="BE872" s="18"/>
      <c r="BF872" s="18"/>
      <c r="BG872" s="18"/>
      <c r="BH872" s="18"/>
      <c r="BI872" s="18"/>
      <c r="BJ872" s="18">
        <v>19024</v>
      </c>
      <c r="BK872" s="18"/>
      <c r="BL872" s="18"/>
      <c r="BM872" s="18"/>
      <c r="BN872" s="18"/>
      <c r="BO872" s="18"/>
      <c r="BP872" s="18"/>
      <c r="BQ872" s="18"/>
      <c r="BR872" s="18"/>
      <c r="BS872" s="18"/>
      <c r="BT872" s="18">
        <v>19024</v>
      </c>
    </row>
    <row r="873" spans="15:72" x14ac:dyDescent="0.3">
      <c r="O873" t="s">
        <v>2155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>
        <v>1000</v>
      </c>
      <c r="BD873" s="18"/>
      <c r="BE873" s="18"/>
      <c r="BF873" s="18"/>
      <c r="BG873" s="18"/>
      <c r="BH873" s="18"/>
      <c r="BI873" s="18"/>
      <c r="BJ873" s="18">
        <v>1000</v>
      </c>
      <c r="BK873" s="18"/>
      <c r="BL873" s="18"/>
      <c r="BM873" s="18"/>
      <c r="BN873" s="18"/>
      <c r="BO873" s="18"/>
      <c r="BP873" s="18"/>
      <c r="BQ873" s="18"/>
      <c r="BR873" s="18"/>
      <c r="BS873" s="18"/>
      <c r="BT873" s="18">
        <v>1000</v>
      </c>
    </row>
    <row r="874" spans="15:72" x14ac:dyDescent="0.3">
      <c r="O874" t="s">
        <v>2156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>
        <v>125</v>
      </c>
      <c r="BD874" s="18"/>
      <c r="BE874" s="18"/>
      <c r="BF874" s="18"/>
      <c r="BG874" s="18"/>
      <c r="BH874" s="18"/>
      <c r="BI874" s="18"/>
      <c r="BJ874" s="18">
        <v>125</v>
      </c>
      <c r="BK874" s="18"/>
      <c r="BL874" s="18"/>
      <c r="BM874" s="18"/>
      <c r="BN874" s="18"/>
      <c r="BO874" s="18"/>
      <c r="BP874" s="18"/>
      <c r="BQ874" s="18"/>
      <c r="BR874" s="18"/>
      <c r="BS874" s="18"/>
      <c r="BT874" s="18">
        <v>125</v>
      </c>
    </row>
    <row r="875" spans="15:72" x14ac:dyDescent="0.3">
      <c r="O875" t="s">
        <v>2157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>
        <v>6201.6</v>
      </c>
      <c r="BD875" s="18"/>
      <c r="BE875" s="18"/>
      <c r="BF875" s="18"/>
      <c r="BG875" s="18"/>
      <c r="BH875" s="18"/>
      <c r="BI875" s="18"/>
      <c r="BJ875" s="18">
        <v>6201.6</v>
      </c>
      <c r="BK875" s="18"/>
      <c r="BL875" s="18"/>
      <c r="BM875" s="18"/>
      <c r="BN875" s="18"/>
      <c r="BO875" s="18"/>
      <c r="BP875" s="18"/>
      <c r="BQ875" s="18"/>
      <c r="BR875" s="18"/>
      <c r="BS875" s="18"/>
      <c r="BT875" s="18">
        <v>6201.6</v>
      </c>
    </row>
    <row r="876" spans="15:72" x14ac:dyDescent="0.3">
      <c r="O876" t="s">
        <v>2162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>
        <v>62.5</v>
      </c>
      <c r="BD876" s="18"/>
      <c r="BE876" s="18"/>
      <c r="BF876" s="18"/>
      <c r="BG876" s="18"/>
      <c r="BH876" s="18"/>
      <c r="BI876" s="18"/>
      <c r="BJ876" s="18">
        <v>62.5</v>
      </c>
      <c r="BK876" s="18"/>
      <c r="BL876" s="18"/>
      <c r="BM876" s="18"/>
      <c r="BN876" s="18"/>
      <c r="BO876" s="18"/>
      <c r="BP876" s="18"/>
      <c r="BQ876" s="18"/>
      <c r="BR876" s="18"/>
      <c r="BS876" s="18"/>
      <c r="BT876" s="18">
        <v>62.5</v>
      </c>
    </row>
    <row r="877" spans="15:72" x14ac:dyDescent="0.3">
      <c r="O877" t="s">
        <v>2163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>
        <v>2717.8</v>
      </c>
      <c r="BD877" s="18"/>
      <c r="BE877" s="18"/>
      <c r="BF877" s="18"/>
      <c r="BG877" s="18"/>
      <c r="BH877" s="18"/>
      <c r="BI877" s="18"/>
      <c r="BJ877" s="18">
        <v>2717.8</v>
      </c>
      <c r="BK877" s="18"/>
      <c r="BL877" s="18"/>
      <c r="BM877" s="18"/>
      <c r="BN877" s="18"/>
      <c r="BO877" s="18"/>
      <c r="BP877" s="18"/>
      <c r="BQ877" s="18"/>
      <c r="BR877" s="18"/>
      <c r="BS877" s="18"/>
      <c r="BT877" s="18">
        <v>2717.8</v>
      </c>
    </row>
    <row r="878" spans="15:72" x14ac:dyDescent="0.3">
      <c r="O878" t="s">
        <v>2165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>
        <v>125</v>
      </c>
      <c r="BD878" s="18"/>
      <c r="BE878" s="18"/>
      <c r="BF878" s="18"/>
      <c r="BG878" s="18"/>
      <c r="BH878" s="18"/>
      <c r="BI878" s="18"/>
      <c r="BJ878" s="18">
        <v>125</v>
      </c>
      <c r="BK878" s="18"/>
      <c r="BL878" s="18"/>
      <c r="BM878" s="18"/>
      <c r="BN878" s="18"/>
      <c r="BO878" s="18"/>
      <c r="BP878" s="18"/>
      <c r="BQ878" s="18"/>
      <c r="BR878" s="18"/>
      <c r="BS878" s="18"/>
      <c r="BT878" s="18">
        <v>125</v>
      </c>
    </row>
    <row r="879" spans="15:72" x14ac:dyDescent="0.3">
      <c r="O879" t="s">
        <v>2166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>
        <v>3212</v>
      </c>
      <c r="BD879" s="18"/>
      <c r="BE879" s="18"/>
      <c r="BF879" s="18"/>
      <c r="BG879" s="18"/>
      <c r="BH879" s="18"/>
      <c r="BI879" s="18"/>
      <c r="BJ879" s="18">
        <v>3212</v>
      </c>
      <c r="BK879" s="18"/>
      <c r="BL879" s="18"/>
      <c r="BM879" s="18"/>
      <c r="BN879" s="18"/>
      <c r="BO879" s="18"/>
      <c r="BP879" s="18"/>
      <c r="BQ879" s="18"/>
      <c r="BR879" s="18"/>
      <c r="BS879" s="18"/>
      <c r="BT879" s="18">
        <v>3212</v>
      </c>
    </row>
    <row r="880" spans="15:72" x14ac:dyDescent="0.3">
      <c r="O880" t="s">
        <v>2168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>
        <v>187.5</v>
      </c>
      <c r="BD880" s="18"/>
      <c r="BE880" s="18"/>
      <c r="BF880" s="18"/>
      <c r="BG880" s="18"/>
      <c r="BH880" s="18"/>
      <c r="BI880" s="18"/>
      <c r="BJ880" s="18">
        <v>187.5</v>
      </c>
      <c r="BK880" s="18"/>
      <c r="BL880" s="18"/>
      <c r="BM880" s="18"/>
      <c r="BN880" s="18"/>
      <c r="BO880" s="18"/>
      <c r="BP880" s="18"/>
      <c r="BQ880" s="18"/>
      <c r="BR880" s="18"/>
      <c r="BS880" s="18"/>
      <c r="BT880" s="18">
        <v>187.5</v>
      </c>
    </row>
    <row r="881" spans="15:72" x14ac:dyDescent="0.3">
      <c r="O881" t="s">
        <v>2169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>
        <v>8685.4</v>
      </c>
      <c r="BD881" s="18"/>
      <c r="BE881" s="18"/>
      <c r="BF881" s="18"/>
      <c r="BG881" s="18"/>
      <c r="BH881" s="18"/>
      <c r="BI881" s="18"/>
      <c r="BJ881" s="18">
        <v>8685.4</v>
      </c>
      <c r="BK881" s="18"/>
      <c r="BL881" s="18"/>
      <c r="BM881" s="18"/>
      <c r="BN881" s="18"/>
      <c r="BO881" s="18"/>
      <c r="BP881" s="18"/>
      <c r="BQ881" s="18"/>
      <c r="BR881" s="18"/>
      <c r="BS881" s="18"/>
      <c r="BT881" s="18">
        <v>8685.4</v>
      </c>
    </row>
    <row r="882" spans="15:72" x14ac:dyDescent="0.3">
      <c r="O882" t="s">
        <v>2172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>
        <v>187.5</v>
      </c>
      <c r="BD882" s="18"/>
      <c r="BE882" s="18"/>
      <c r="BF882" s="18"/>
      <c r="BG882" s="18"/>
      <c r="BH882" s="18"/>
      <c r="BI882" s="18"/>
      <c r="BJ882" s="18">
        <v>187.5</v>
      </c>
      <c r="BK882" s="18"/>
      <c r="BL882" s="18"/>
      <c r="BM882" s="18"/>
      <c r="BN882" s="18"/>
      <c r="BO882" s="18"/>
      <c r="BP882" s="18"/>
      <c r="BQ882" s="18"/>
      <c r="BR882" s="18"/>
      <c r="BS882" s="18"/>
      <c r="BT882" s="18">
        <v>187.5</v>
      </c>
    </row>
    <row r="883" spans="15:72" x14ac:dyDescent="0.3">
      <c r="O883" t="s">
        <v>2173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>
        <v>8065.4</v>
      </c>
      <c r="BD883" s="18"/>
      <c r="BE883" s="18"/>
      <c r="BF883" s="18"/>
      <c r="BG883" s="18"/>
      <c r="BH883" s="18"/>
      <c r="BI883" s="18"/>
      <c r="BJ883" s="18">
        <v>8065.4</v>
      </c>
      <c r="BK883" s="18"/>
      <c r="BL883" s="18"/>
      <c r="BM883" s="18"/>
      <c r="BN883" s="18"/>
      <c r="BO883" s="18"/>
      <c r="BP883" s="18"/>
      <c r="BQ883" s="18"/>
      <c r="BR883" s="18"/>
      <c r="BS883" s="18"/>
      <c r="BT883" s="18">
        <v>8065.4</v>
      </c>
    </row>
    <row r="884" spans="15:72" x14ac:dyDescent="0.3">
      <c r="O884" t="s">
        <v>2176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>
        <v>125</v>
      </c>
      <c r="BE884" s="18"/>
      <c r="BF884" s="18"/>
      <c r="BG884" s="18"/>
      <c r="BH884" s="18"/>
      <c r="BI884" s="18"/>
      <c r="BJ884" s="18">
        <v>125</v>
      </c>
      <c r="BK884" s="18"/>
      <c r="BL884" s="18"/>
      <c r="BM884" s="18"/>
      <c r="BN884" s="18"/>
      <c r="BO884" s="18"/>
      <c r="BP884" s="18"/>
      <c r="BQ884" s="18"/>
      <c r="BR884" s="18"/>
      <c r="BS884" s="18"/>
      <c r="BT884" s="18">
        <v>125</v>
      </c>
    </row>
    <row r="885" spans="15:72" x14ac:dyDescent="0.3">
      <c r="O885" t="s">
        <v>2177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>
        <v>4784</v>
      </c>
      <c r="BE885" s="18"/>
      <c r="BF885" s="18"/>
      <c r="BG885" s="18"/>
      <c r="BH885" s="18"/>
      <c r="BI885" s="18"/>
      <c r="BJ885" s="18">
        <v>4784</v>
      </c>
      <c r="BK885" s="18"/>
      <c r="BL885" s="18"/>
      <c r="BM885" s="18"/>
      <c r="BN885" s="18"/>
      <c r="BO885" s="18"/>
      <c r="BP885" s="18"/>
      <c r="BQ885" s="18"/>
      <c r="BR885" s="18"/>
      <c r="BS885" s="18"/>
      <c r="BT885" s="18">
        <v>4784</v>
      </c>
    </row>
    <row r="886" spans="15:72" x14ac:dyDescent="0.3">
      <c r="O886" t="s">
        <v>2181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>
        <v>250</v>
      </c>
      <c r="BE886" s="18"/>
      <c r="BF886" s="18"/>
      <c r="BG886" s="18"/>
      <c r="BH886" s="18"/>
      <c r="BI886" s="18"/>
      <c r="BJ886" s="18">
        <v>250</v>
      </c>
      <c r="BK886" s="18"/>
      <c r="BL886" s="18"/>
      <c r="BM886" s="18"/>
      <c r="BN886" s="18"/>
      <c r="BO886" s="18"/>
      <c r="BP886" s="18"/>
      <c r="BQ886" s="18"/>
      <c r="BR886" s="18"/>
      <c r="BS886" s="18"/>
      <c r="BT886" s="18">
        <v>250</v>
      </c>
    </row>
    <row r="887" spans="15:72" x14ac:dyDescent="0.3">
      <c r="O887" t="s">
        <v>2182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>
        <v>9682</v>
      </c>
      <c r="BE887" s="18"/>
      <c r="BF887" s="18"/>
      <c r="BG887" s="18"/>
      <c r="BH887" s="18"/>
      <c r="BI887" s="18"/>
      <c r="BJ887" s="18">
        <v>9682</v>
      </c>
      <c r="BK887" s="18"/>
      <c r="BL887" s="18"/>
      <c r="BM887" s="18"/>
      <c r="BN887" s="18"/>
      <c r="BO887" s="18"/>
      <c r="BP887" s="18"/>
      <c r="BQ887" s="18"/>
      <c r="BR887" s="18"/>
      <c r="BS887" s="18"/>
      <c r="BT887" s="18">
        <v>9682</v>
      </c>
    </row>
    <row r="888" spans="15:72" x14ac:dyDescent="0.3">
      <c r="O888" t="s">
        <v>2187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>
        <v>250</v>
      </c>
      <c r="BE888" s="18"/>
      <c r="BF888" s="18"/>
      <c r="BG888" s="18"/>
      <c r="BH888" s="18"/>
      <c r="BI888" s="18"/>
      <c r="BJ888" s="18">
        <v>250</v>
      </c>
      <c r="BK888" s="18"/>
      <c r="BL888" s="18"/>
      <c r="BM888" s="18"/>
      <c r="BN888" s="18"/>
      <c r="BO888" s="18"/>
      <c r="BP888" s="18"/>
      <c r="BQ888" s="18"/>
      <c r="BR888" s="18"/>
      <c r="BS888" s="18"/>
      <c r="BT888" s="18">
        <v>250</v>
      </c>
    </row>
    <row r="889" spans="15:72" x14ac:dyDescent="0.3">
      <c r="O889" t="s">
        <v>2188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>
        <v>10725</v>
      </c>
      <c r="BE889" s="18"/>
      <c r="BF889" s="18"/>
      <c r="BG889" s="18"/>
      <c r="BH889" s="18"/>
      <c r="BI889" s="18"/>
      <c r="BJ889" s="18">
        <v>10725</v>
      </c>
      <c r="BK889" s="18"/>
      <c r="BL889" s="18"/>
      <c r="BM889" s="18"/>
      <c r="BN889" s="18"/>
      <c r="BO889" s="18"/>
      <c r="BP889" s="18"/>
      <c r="BQ889" s="18"/>
      <c r="BR889" s="18"/>
      <c r="BS889" s="18"/>
      <c r="BT889" s="18">
        <v>10725</v>
      </c>
    </row>
    <row r="890" spans="15:72" x14ac:dyDescent="0.3">
      <c r="O890" t="s">
        <v>2190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>
        <v>125</v>
      </c>
      <c r="BE890" s="18"/>
      <c r="BF890" s="18"/>
      <c r="BG890" s="18"/>
      <c r="BH890" s="18"/>
      <c r="BI890" s="18"/>
      <c r="BJ890" s="18">
        <v>125</v>
      </c>
      <c r="BK890" s="18"/>
      <c r="BL890" s="18"/>
      <c r="BM890" s="18"/>
      <c r="BN890" s="18"/>
      <c r="BO890" s="18"/>
      <c r="BP890" s="18"/>
      <c r="BQ890" s="18"/>
      <c r="BR890" s="18"/>
      <c r="BS890" s="18"/>
      <c r="BT890" s="18">
        <v>125</v>
      </c>
    </row>
    <row r="891" spans="15:72" x14ac:dyDescent="0.3">
      <c r="O891" t="s">
        <v>2191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>
        <v>6650.2</v>
      </c>
      <c r="BE891" s="18"/>
      <c r="BF891" s="18"/>
      <c r="BG891" s="18"/>
      <c r="BH891" s="18"/>
      <c r="BI891" s="18"/>
      <c r="BJ891" s="18">
        <v>6650.2</v>
      </c>
      <c r="BK891" s="18"/>
      <c r="BL891" s="18"/>
      <c r="BM891" s="18"/>
      <c r="BN891" s="18"/>
      <c r="BO891" s="18"/>
      <c r="BP891" s="18"/>
      <c r="BQ891" s="18"/>
      <c r="BR891" s="18"/>
      <c r="BS891" s="18"/>
      <c r="BT891" s="18">
        <v>6650.2</v>
      </c>
    </row>
    <row r="892" spans="15:72" x14ac:dyDescent="0.3">
      <c r="O892" t="s">
        <v>2196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>
        <v>250</v>
      </c>
      <c r="BE892" s="18"/>
      <c r="BF892" s="18"/>
      <c r="BG892" s="18"/>
      <c r="BH892" s="18"/>
      <c r="BI892" s="18"/>
      <c r="BJ892" s="18">
        <v>250</v>
      </c>
      <c r="BK892" s="18"/>
      <c r="BL892" s="18"/>
      <c r="BM892" s="18"/>
      <c r="BN892" s="18"/>
      <c r="BO892" s="18"/>
      <c r="BP892" s="18"/>
      <c r="BQ892" s="18"/>
      <c r="BR892" s="18"/>
      <c r="BS892" s="18"/>
      <c r="BT892" s="18">
        <v>250</v>
      </c>
    </row>
    <row r="893" spans="15:72" x14ac:dyDescent="0.3">
      <c r="O893" t="s">
        <v>2197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>
        <v>10539.6</v>
      </c>
      <c r="BE893" s="18"/>
      <c r="BF893" s="18"/>
      <c r="BG893" s="18"/>
      <c r="BH893" s="18"/>
      <c r="BI893" s="18"/>
      <c r="BJ893" s="18">
        <v>10539.6</v>
      </c>
      <c r="BK893" s="18"/>
      <c r="BL893" s="18"/>
      <c r="BM893" s="18"/>
      <c r="BN893" s="18"/>
      <c r="BO893" s="18"/>
      <c r="BP893" s="18"/>
      <c r="BQ893" s="18"/>
      <c r="BR893" s="18"/>
      <c r="BS893" s="18"/>
      <c r="BT893" s="18">
        <v>10539.6</v>
      </c>
    </row>
    <row r="894" spans="15:72" x14ac:dyDescent="0.3">
      <c r="O894" t="s">
        <v>2203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>
        <v>250</v>
      </c>
      <c r="BE894" s="18"/>
      <c r="BF894" s="18"/>
      <c r="BG894" s="18"/>
      <c r="BH894" s="18"/>
      <c r="BI894" s="18"/>
      <c r="BJ894" s="18">
        <v>250</v>
      </c>
      <c r="BK894" s="18"/>
      <c r="BL894" s="18"/>
      <c r="BM894" s="18"/>
      <c r="BN894" s="18"/>
      <c r="BO894" s="18"/>
      <c r="BP894" s="18"/>
      <c r="BQ894" s="18"/>
      <c r="BR894" s="18"/>
      <c r="BS894" s="18"/>
      <c r="BT894" s="18">
        <v>250</v>
      </c>
    </row>
    <row r="895" spans="15:72" x14ac:dyDescent="0.3">
      <c r="O895" t="s">
        <v>2204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>
        <v>11783.2</v>
      </c>
      <c r="BE895" s="18"/>
      <c r="BF895" s="18"/>
      <c r="BG895" s="18"/>
      <c r="BH895" s="18"/>
      <c r="BI895" s="18"/>
      <c r="BJ895" s="18">
        <v>11783.2</v>
      </c>
      <c r="BK895" s="18"/>
      <c r="BL895" s="18"/>
      <c r="BM895" s="18"/>
      <c r="BN895" s="18"/>
      <c r="BO895" s="18"/>
      <c r="BP895" s="18"/>
      <c r="BQ895" s="18"/>
      <c r="BR895" s="18"/>
      <c r="BS895" s="18"/>
      <c r="BT895" s="18">
        <v>11783.2</v>
      </c>
    </row>
    <row r="896" spans="15:72" x14ac:dyDescent="0.3">
      <c r="O896" t="s">
        <v>2209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>
        <v>312.5</v>
      </c>
      <c r="BE896" s="18"/>
      <c r="BF896" s="18"/>
      <c r="BG896" s="18"/>
      <c r="BH896" s="18"/>
      <c r="BI896" s="18"/>
      <c r="BJ896" s="18">
        <v>312.5</v>
      </c>
      <c r="BK896" s="18"/>
      <c r="BL896" s="18"/>
      <c r="BM896" s="18"/>
      <c r="BN896" s="18"/>
      <c r="BO896" s="18"/>
      <c r="BP896" s="18"/>
      <c r="BQ896" s="18"/>
      <c r="BR896" s="18"/>
      <c r="BS896" s="18"/>
      <c r="BT896" s="18">
        <v>312.5</v>
      </c>
    </row>
    <row r="897" spans="15:72" x14ac:dyDescent="0.3">
      <c r="O897" t="s">
        <v>2210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>
        <v>12348</v>
      </c>
      <c r="BE897" s="18"/>
      <c r="BF897" s="18"/>
      <c r="BG897" s="18"/>
      <c r="BH897" s="18"/>
      <c r="BI897" s="18"/>
      <c r="BJ897" s="18">
        <v>12348</v>
      </c>
      <c r="BK897" s="18"/>
      <c r="BL897" s="18"/>
      <c r="BM897" s="18"/>
      <c r="BN897" s="18"/>
      <c r="BO897" s="18"/>
      <c r="BP897" s="18"/>
      <c r="BQ897" s="18"/>
      <c r="BR897" s="18"/>
      <c r="BS897" s="18"/>
      <c r="BT897" s="18">
        <v>12348</v>
      </c>
    </row>
    <row r="898" spans="15:72" x14ac:dyDescent="0.3">
      <c r="O898" t="s">
        <v>2211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>
        <v>625</v>
      </c>
      <c r="BE898" s="18"/>
      <c r="BF898" s="18"/>
      <c r="BG898" s="18"/>
      <c r="BH898" s="18"/>
      <c r="BI898" s="18"/>
      <c r="BJ898" s="18">
        <v>625</v>
      </c>
      <c r="BK898" s="18"/>
      <c r="BL898" s="18"/>
      <c r="BM898" s="18"/>
      <c r="BN898" s="18"/>
      <c r="BO898" s="18"/>
      <c r="BP898" s="18"/>
      <c r="BQ898" s="18"/>
      <c r="BR898" s="18"/>
      <c r="BS898" s="18"/>
      <c r="BT898" s="18">
        <v>625</v>
      </c>
    </row>
    <row r="899" spans="15:72" x14ac:dyDescent="0.3">
      <c r="O899" t="s">
        <v>2212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>
        <v>14334</v>
      </c>
      <c r="BE899" s="18"/>
      <c r="BF899" s="18"/>
      <c r="BG899" s="18"/>
      <c r="BH899" s="18"/>
      <c r="BI899" s="18"/>
      <c r="BJ899" s="18">
        <v>14334</v>
      </c>
      <c r="BK899" s="18"/>
      <c r="BL899" s="18"/>
      <c r="BM899" s="18"/>
      <c r="BN899" s="18"/>
      <c r="BO899" s="18"/>
      <c r="BP899" s="18"/>
      <c r="BQ899" s="18"/>
      <c r="BR899" s="18"/>
      <c r="BS899" s="18"/>
      <c r="BT899" s="18">
        <v>14334</v>
      </c>
    </row>
    <row r="900" spans="15:72" x14ac:dyDescent="0.3">
      <c r="O900" t="s">
        <v>2277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>
        <v>187.5</v>
      </c>
      <c r="BO900" s="18"/>
      <c r="BP900" s="18"/>
      <c r="BQ900" s="18"/>
      <c r="BR900" s="18"/>
      <c r="BS900" s="18">
        <v>187.5</v>
      </c>
      <c r="BT900" s="18">
        <v>187.5</v>
      </c>
    </row>
    <row r="901" spans="15:72" x14ac:dyDescent="0.3">
      <c r="O901" t="s">
        <v>2278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>
        <v>15087</v>
      </c>
      <c r="BO901" s="18"/>
      <c r="BP901" s="18"/>
      <c r="BQ901" s="18"/>
      <c r="BR901" s="18"/>
      <c r="BS901" s="18">
        <v>15087</v>
      </c>
      <c r="BT901" s="18">
        <v>15087</v>
      </c>
    </row>
    <row r="902" spans="15:72" x14ac:dyDescent="0.3">
      <c r="O902" t="s">
        <v>2287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>
        <v>375</v>
      </c>
      <c r="BO902" s="18"/>
      <c r="BP902" s="18"/>
      <c r="BQ902" s="18"/>
      <c r="BR902" s="18"/>
      <c r="BS902" s="18">
        <v>375</v>
      </c>
      <c r="BT902" s="18">
        <v>375</v>
      </c>
    </row>
    <row r="903" spans="15:72" x14ac:dyDescent="0.3">
      <c r="O903" t="s">
        <v>2288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>
        <v>15020</v>
      </c>
      <c r="BO903" s="18"/>
      <c r="BP903" s="18"/>
      <c r="BQ903" s="18"/>
      <c r="BR903" s="18"/>
      <c r="BS903" s="18">
        <v>15020</v>
      </c>
      <c r="BT903" s="18">
        <v>15020</v>
      </c>
    </row>
    <row r="904" spans="15:72" x14ac:dyDescent="0.3">
      <c r="O904" t="s">
        <v>2298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>
        <v>187.5</v>
      </c>
      <c r="BO904" s="18"/>
      <c r="BP904" s="18"/>
      <c r="BQ904" s="18"/>
      <c r="BR904" s="18"/>
      <c r="BS904" s="18">
        <v>187.5</v>
      </c>
      <c r="BT904" s="18">
        <v>187.5</v>
      </c>
    </row>
    <row r="905" spans="15:72" x14ac:dyDescent="0.3">
      <c r="O905" t="s">
        <v>2299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>
        <v>6564</v>
      </c>
      <c r="BO905" s="18"/>
      <c r="BP905" s="18"/>
      <c r="BQ905" s="18"/>
      <c r="BR905" s="18"/>
      <c r="BS905" s="18">
        <v>6564</v>
      </c>
      <c r="BT905" s="18">
        <v>6564</v>
      </c>
    </row>
    <row r="906" spans="15:72" x14ac:dyDescent="0.3">
      <c r="O906" t="s">
        <v>2300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>
        <v>375</v>
      </c>
      <c r="BO906" s="18"/>
      <c r="BP906" s="18"/>
      <c r="BQ906" s="18"/>
      <c r="BR906" s="18"/>
      <c r="BS906" s="18">
        <v>375</v>
      </c>
      <c r="BT906" s="18">
        <v>375</v>
      </c>
    </row>
    <row r="907" spans="15:72" x14ac:dyDescent="0.3">
      <c r="O907" t="s">
        <v>2301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>
        <v>16146.8</v>
      </c>
      <c r="BO907" s="18"/>
      <c r="BP907" s="18"/>
      <c r="BQ907" s="18"/>
      <c r="BR907" s="18"/>
      <c r="BS907" s="18">
        <v>16146.8</v>
      </c>
      <c r="BT907" s="18">
        <v>16146.8</v>
      </c>
    </row>
    <row r="908" spans="15:72" x14ac:dyDescent="0.3">
      <c r="O908" t="s">
        <v>2345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>
        <v>187.5</v>
      </c>
      <c r="BP908" s="18"/>
      <c r="BQ908" s="18"/>
      <c r="BR908" s="18"/>
      <c r="BS908" s="18">
        <v>187.5</v>
      </c>
      <c r="BT908" s="18">
        <v>187.5</v>
      </c>
    </row>
    <row r="909" spans="15:72" x14ac:dyDescent="0.3">
      <c r="O909" t="s">
        <v>2346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>
        <v>9928.7999999999993</v>
      </c>
      <c r="BP909" s="18"/>
      <c r="BQ909" s="18"/>
      <c r="BR909" s="18"/>
      <c r="BS909" s="18">
        <v>9928.7999999999993</v>
      </c>
      <c r="BT909" s="18">
        <v>9928.7999999999993</v>
      </c>
    </row>
    <row r="910" spans="15:72" x14ac:dyDescent="0.3">
      <c r="O910" t="s">
        <v>2347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>
        <v>1000</v>
      </c>
      <c r="BP910" s="18"/>
      <c r="BQ910" s="18"/>
      <c r="BR910" s="18"/>
      <c r="BS910" s="18">
        <v>1000</v>
      </c>
      <c r="BT910" s="18">
        <v>1000</v>
      </c>
    </row>
    <row r="911" spans="15:72" x14ac:dyDescent="0.3">
      <c r="O911" t="s">
        <v>2349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>
        <v>812.5</v>
      </c>
      <c r="BP911" s="18"/>
      <c r="BQ911" s="18"/>
      <c r="BR911" s="18"/>
      <c r="BS911" s="18">
        <v>812.5</v>
      </c>
      <c r="BT911" s="18">
        <v>812.5</v>
      </c>
    </row>
    <row r="912" spans="15:72" x14ac:dyDescent="0.3">
      <c r="O912" t="s">
        <v>2350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>
        <v>30308</v>
      </c>
      <c r="BP912" s="18"/>
      <c r="BQ912" s="18"/>
      <c r="BR912" s="18"/>
      <c r="BS912" s="18">
        <v>30308</v>
      </c>
      <c r="BT912" s="18">
        <v>30308</v>
      </c>
    </row>
    <row r="913" spans="15:72" x14ac:dyDescent="0.3">
      <c r="O913" t="s">
        <v>2357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>
        <v>125</v>
      </c>
      <c r="BP913" s="18"/>
      <c r="BQ913" s="18"/>
      <c r="BR913" s="18"/>
      <c r="BS913" s="18">
        <v>125</v>
      </c>
      <c r="BT913" s="18">
        <v>125</v>
      </c>
    </row>
    <row r="914" spans="15:72" x14ac:dyDescent="0.3">
      <c r="O914" t="s">
        <v>2358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>
        <v>7680</v>
      </c>
      <c r="BP914" s="18"/>
      <c r="BQ914" s="18"/>
      <c r="BR914" s="18"/>
      <c r="BS914" s="18">
        <v>7680</v>
      </c>
      <c r="BT914" s="18">
        <v>7680</v>
      </c>
    </row>
    <row r="915" spans="15:72" x14ac:dyDescent="0.3">
      <c r="O915" t="s">
        <v>2368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>
        <v>437.5</v>
      </c>
      <c r="BP915" s="18"/>
      <c r="BQ915" s="18"/>
      <c r="BR915" s="18"/>
      <c r="BS915" s="18">
        <v>437.5</v>
      </c>
      <c r="BT915" s="18">
        <v>437.5</v>
      </c>
    </row>
    <row r="916" spans="15:72" x14ac:dyDescent="0.3">
      <c r="O916" t="s">
        <v>2369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>
        <v>18818.400000000001</v>
      </c>
      <c r="BP916" s="18"/>
      <c r="BQ916" s="18"/>
      <c r="BR916" s="18"/>
      <c r="BS916" s="18">
        <v>18818.400000000001</v>
      </c>
      <c r="BT916" s="18">
        <v>18818.400000000001</v>
      </c>
    </row>
    <row r="917" spans="15:72" x14ac:dyDescent="0.3">
      <c r="O917" t="s">
        <v>2372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>
        <v>1000</v>
      </c>
      <c r="BP917" s="18"/>
      <c r="BQ917" s="18"/>
      <c r="BR917" s="18"/>
      <c r="BS917" s="18">
        <v>1000</v>
      </c>
      <c r="BT917" s="18">
        <v>1000</v>
      </c>
    </row>
    <row r="918" spans="15:72" x14ac:dyDescent="0.3">
      <c r="O918" t="s">
        <v>2426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>
        <v>625</v>
      </c>
      <c r="BQ918" s="18"/>
      <c r="BR918" s="18"/>
      <c r="BS918" s="18">
        <v>625</v>
      </c>
      <c r="BT918" s="18">
        <v>625</v>
      </c>
    </row>
    <row r="919" spans="15:72" x14ac:dyDescent="0.3">
      <c r="O919" t="s">
        <v>2427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>
        <v>25576</v>
      </c>
      <c r="BQ919" s="18"/>
      <c r="BR919" s="18"/>
      <c r="BS919" s="18">
        <v>25576</v>
      </c>
      <c r="BT919" s="18">
        <v>25576</v>
      </c>
    </row>
    <row r="920" spans="15:72" x14ac:dyDescent="0.3">
      <c r="O920" t="s">
        <v>2435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>
        <v>625</v>
      </c>
      <c r="BQ920" s="18"/>
      <c r="BR920" s="18"/>
      <c r="BS920" s="18">
        <v>625</v>
      </c>
      <c r="BT920" s="18">
        <v>625</v>
      </c>
    </row>
    <row r="921" spans="15:72" x14ac:dyDescent="0.3">
      <c r="O921" t="s">
        <v>2436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>
        <v>26530</v>
      </c>
      <c r="BQ921" s="18"/>
      <c r="BR921" s="18"/>
      <c r="BS921" s="18">
        <v>26530</v>
      </c>
      <c r="BT921" s="18">
        <v>26530</v>
      </c>
    </row>
    <row r="922" spans="15:72" x14ac:dyDescent="0.3">
      <c r="O922" t="s">
        <v>2443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>
        <v>187.5</v>
      </c>
      <c r="BQ922" s="18"/>
      <c r="BR922" s="18"/>
      <c r="BS922" s="18">
        <v>187.5</v>
      </c>
      <c r="BT922" s="18">
        <v>187.5</v>
      </c>
    </row>
    <row r="923" spans="15:72" x14ac:dyDescent="0.3">
      <c r="O923" t="s">
        <v>2444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>
        <v>9299.4</v>
      </c>
      <c r="BQ923" s="18"/>
      <c r="BR923" s="18"/>
      <c r="BS923" s="18">
        <v>9299.4</v>
      </c>
      <c r="BT923" s="18">
        <v>9299.4</v>
      </c>
    </row>
    <row r="924" spans="15:72" x14ac:dyDescent="0.3">
      <c r="O924" t="s">
        <v>2445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>
        <v>125</v>
      </c>
      <c r="BQ924" s="18"/>
      <c r="BR924" s="18"/>
      <c r="BS924" s="18">
        <v>125</v>
      </c>
      <c r="BT924" s="18">
        <v>125</v>
      </c>
    </row>
    <row r="925" spans="15:72" x14ac:dyDescent="0.3">
      <c r="O925" t="s">
        <v>2446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>
        <v>5987</v>
      </c>
      <c r="BQ925" s="18"/>
      <c r="BR925" s="18"/>
      <c r="BS925" s="18">
        <v>5987</v>
      </c>
      <c r="BT925" s="18">
        <v>5987</v>
      </c>
    </row>
    <row r="926" spans="15:72" x14ac:dyDescent="0.3">
      <c r="O926" t="s">
        <v>2453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>
        <v>250</v>
      </c>
      <c r="BQ926" s="18"/>
      <c r="BR926" s="18"/>
      <c r="BS926" s="18">
        <v>250</v>
      </c>
      <c r="BT926" s="18">
        <v>250</v>
      </c>
    </row>
    <row r="927" spans="15:72" x14ac:dyDescent="0.3">
      <c r="O927" t="s">
        <v>2454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>
        <v>10296</v>
      </c>
      <c r="BQ927" s="18"/>
      <c r="BR927" s="18"/>
      <c r="BS927" s="18">
        <v>10296</v>
      </c>
      <c r="BT927" s="18">
        <v>10296</v>
      </c>
    </row>
    <row r="928" spans="15:72" x14ac:dyDescent="0.3">
      <c r="O928" t="s">
        <v>2511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>
        <v>1000</v>
      </c>
      <c r="BR928" s="18"/>
      <c r="BS928" s="18">
        <v>1000</v>
      </c>
      <c r="BT928" s="18">
        <v>1000</v>
      </c>
    </row>
    <row r="929" spans="15:72" x14ac:dyDescent="0.3">
      <c r="O929" t="s">
        <v>2513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>
        <v>375</v>
      </c>
      <c r="BR929" s="18"/>
      <c r="BS929" s="18">
        <v>375</v>
      </c>
      <c r="BT929" s="18">
        <v>375</v>
      </c>
    </row>
    <row r="930" spans="15:72" x14ac:dyDescent="0.3">
      <c r="O930" t="s">
        <v>2514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>
        <v>16968</v>
      </c>
      <c r="BR930" s="18"/>
      <c r="BS930" s="18">
        <v>16968</v>
      </c>
      <c r="BT930" s="18">
        <v>16968</v>
      </c>
    </row>
    <row r="931" spans="15:72" x14ac:dyDescent="0.3">
      <c r="O931" t="s">
        <v>2526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>
        <v>437.5</v>
      </c>
      <c r="BR931" s="18"/>
      <c r="BS931" s="18">
        <v>437.5</v>
      </c>
      <c r="BT931" s="18">
        <v>437.5</v>
      </c>
    </row>
    <row r="932" spans="15:72" x14ac:dyDescent="0.3">
      <c r="O932" t="s">
        <v>2528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>
        <v>17922</v>
      </c>
      <c r="BR932" s="18"/>
      <c r="BS932" s="18">
        <v>17922</v>
      </c>
      <c r="BT932" s="18">
        <v>17922</v>
      </c>
    </row>
    <row r="933" spans="15:72" x14ac:dyDescent="0.3">
      <c r="O933" t="s">
        <v>2550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>
        <v>500</v>
      </c>
      <c r="BS933" s="18">
        <v>500</v>
      </c>
      <c r="BT933" s="18">
        <v>500</v>
      </c>
    </row>
    <row r="934" spans="15:72" x14ac:dyDescent="0.3">
      <c r="O934" t="s">
        <v>2551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>
        <v>21040</v>
      </c>
      <c r="BS934" s="18">
        <v>21040</v>
      </c>
      <c r="BT934" s="18">
        <v>21040</v>
      </c>
    </row>
    <row r="935" spans="15:72" x14ac:dyDescent="0.3">
      <c r="O935" t="s">
        <v>2559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>
        <v>437.5</v>
      </c>
      <c r="BS935" s="18">
        <v>437.5</v>
      </c>
      <c r="BT935" s="18">
        <v>437.5</v>
      </c>
    </row>
    <row r="936" spans="15:72" x14ac:dyDescent="0.3">
      <c r="O936" t="s">
        <v>2560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>
        <v>18068</v>
      </c>
      <c r="BS936" s="18">
        <v>18068</v>
      </c>
      <c r="BT936" s="18">
        <v>18068</v>
      </c>
    </row>
    <row r="937" spans="15:72" x14ac:dyDescent="0.3">
      <c r="O937" t="s">
        <v>2563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>
        <v>2544</v>
      </c>
      <c r="BS937" s="18">
        <v>2544</v>
      </c>
      <c r="BT937" s="18">
        <v>2544</v>
      </c>
    </row>
    <row r="938" spans="15:72" x14ac:dyDescent="0.3">
      <c r="O938" t="s">
        <v>2564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>
        <v>312.5</v>
      </c>
      <c r="BS938" s="18">
        <v>312.5</v>
      </c>
      <c r="BT938" s="18">
        <v>312.5</v>
      </c>
    </row>
    <row r="939" spans="15:72" x14ac:dyDescent="0.3">
      <c r="O939" t="s">
        <v>2565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>
        <v>13622</v>
      </c>
      <c r="BS939" s="18">
        <v>13622</v>
      </c>
      <c r="BT939" s="18">
        <v>13622</v>
      </c>
    </row>
    <row r="940" spans="15:72" x14ac:dyDescent="0.3">
      <c r="O940" t="s">
        <v>2576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>
        <v>437.5</v>
      </c>
      <c r="BS940" s="18">
        <v>437.5</v>
      </c>
      <c r="BT940" s="18">
        <v>437.5</v>
      </c>
    </row>
    <row r="941" spans="15:72" x14ac:dyDescent="0.3">
      <c r="O941" t="s">
        <v>2577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>
        <v>19216</v>
      </c>
      <c r="BS941" s="18">
        <v>19216</v>
      </c>
      <c r="BT941" s="18">
        <v>19216</v>
      </c>
    </row>
    <row r="942" spans="15:72" x14ac:dyDescent="0.3">
      <c r="O942" t="s">
        <v>2640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>
        <v>625</v>
      </c>
      <c r="BL942" s="18"/>
      <c r="BM942" s="18"/>
      <c r="BN942" s="18"/>
      <c r="BO942" s="18"/>
      <c r="BP942" s="18"/>
      <c r="BQ942" s="18"/>
      <c r="BR942" s="18"/>
      <c r="BS942" s="18">
        <v>625</v>
      </c>
      <c r="BT942" s="18">
        <v>625</v>
      </c>
    </row>
    <row r="943" spans="15:72" x14ac:dyDescent="0.3">
      <c r="O943" t="s">
        <v>2641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>
        <v>25800</v>
      </c>
      <c r="BL943" s="18"/>
      <c r="BM943" s="18"/>
      <c r="BN943" s="18"/>
      <c r="BO943" s="18"/>
      <c r="BP943" s="18"/>
      <c r="BQ943" s="18"/>
      <c r="BR943" s="18"/>
      <c r="BS943" s="18">
        <v>25800</v>
      </c>
      <c r="BT943" s="18">
        <v>25800</v>
      </c>
    </row>
    <row r="944" spans="15:72" x14ac:dyDescent="0.3">
      <c r="O944" t="s">
        <v>2645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>
        <v>125</v>
      </c>
      <c r="BL944" s="18"/>
      <c r="BM944" s="18"/>
      <c r="BN944" s="18"/>
      <c r="BO944" s="18"/>
      <c r="BP944" s="18"/>
      <c r="BQ944" s="18"/>
      <c r="BR944" s="18"/>
      <c r="BS944" s="18">
        <v>125</v>
      </c>
      <c r="BT944" s="18">
        <v>125</v>
      </c>
    </row>
    <row r="945" spans="15:72" x14ac:dyDescent="0.3">
      <c r="O945" t="s">
        <v>2647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>
        <v>6176</v>
      </c>
      <c r="BL945" s="18"/>
      <c r="BM945" s="18"/>
      <c r="BN945" s="18"/>
      <c r="BO945" s="18"/>
      <c r="BP945" s="18"/>
      <c r="BQ945" s="18"/>
      <c r="BR945" s="18"/>
      <c r="BS945" s="18">
        <v>6176</v>
      </c>
      <c r="BT945" s="18">
        <v>6176</v>
      </c>
    </row>
    <row r="946" spans="15:72" x14ac:dyDescent="0.3">
      <c r="O946" t="s">
        <v>2648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>
        <v>937.5</v>
      </c>
      <c r="BL946" s="18"/>
      <c r="BM946" s="18"/>
      <c r="BN946" s="18"/>
      <c r="BO946" s="18"/>
      <c r="BP946" s="18"/>
      <c r="BQ946" s="18"/>
      <c r="BR946" s="18"/>
      <c r="BS946" s="18">
        <v>937.5</v>
      </c>
      <c r="BT946" s="18">
        <v>937.5</v>
      </c>
    </row>
    <row r="947" spans="15:72" x14ac:dyDescent="0.3">
      <c r="O947" t="s">
        <v>2649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>
        <v>40690</v>
      </c>
      <c r="BL947" s="18"/>
      <c r="BM947" s="18"/>
      <c r="BN947" s="18"/>
      <c r="BO947" s="18"/>
      <c r="BP947" s="18"/>
      <c r="BQ947" s="18"/>
      <c r="BR947" s="18"/>
      <c r="BS947" s="18">
        <v>40690</v>
      </c>
      <c r="BT947" s="18">
        <v>40690</v>
      </c>
    </row>
    <row r="948" spans="15:72" x14ac:dyDescent="0.3">
      <c r="O948" t="s">
        <v>2664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>
        <v>937.5</v>
      </c>
      <c r="BL948" s="18"/>
      <c r="BM948" s="18"/>
      <c r="BN948" s="18"/>
      <c r="BO948" s="18"/>
      <c r="BP948" s="18"/>
      <c r="BQ948" s="18"/>
      <c r="BR948" s="18"/>
      <c r="BS948" s="18">
        <v>937.5</v>
      </c>
      <c r="BT948" s="18">
        <v>937.5</v>
      </c>
    </row>
    <row r="949" spans="15:72" x14ac:dyDescent="0.3">
      <c r="O949" t="s">
        <v>2665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>
        <v>41778.5</v>
      </c>
      <c r="BL949" s="18"/>
      <c r="BM949" s="18"/>
      <c r="BN949" s="18"/>
      <c r="BO949" s="18"/>
      <c r="BP949" s="18"/>
      <c r="BQ949" s="18"/>
      <c r="BR949" s="18"/>
      <c r="BS949" s="18">
        <v>41778.5</v>
      </c>
      <c r="BT949" s="18">
        <v>41778.5</v>
      </c>
    </row>
    <row r="950" spans="15:72" x14ac:dyDescent="0.3">
      <c r="O950" t="s">
        <v>2757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>
        <v>937.5</v>
      </c>
      <c r="BM950" s="18"/>
      <c r="BN950" s="18"/>
      <c r="BO950" s="18"/>
      <c r="BP950" s="18"/>
      <c r="BQ950" s="18"/>
      <c r="BR950" s="18"/>
      <c r="BS950" s="18">
        <v>937.5</v>
      </c>
      <c r="BT950" s="18">
        <v>937.5</v>
      </c>
    </row>
    <row r="951" spans="15:72" x14ac:dyDescent="0.3">
      <c r="O951" t="s">
        <v>2758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>
        <v>41068</v>
      </c>
      <c r="BM951" s="18"/>
      <c r="BN951" s="18"/>
      <c r="BO951" s="18"/>
      <c r="BP951" s="18"/>
      <c r="BQ951" s="18"/>
      <c r="BR951" s="18"/>
      <c r="BS951" s="18">
        <v>41068</v>
      </c>
      <c r="BT951" s="18">
        <v>41068</v>
      </c>
    </row>
    <row r="952" spans="15:72" x14ac:dyDescent="0.3">
      <c r="O952" t="s">
        <v>2768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>
        <v>937.5</v>
      </c>
      <c r="BM952" s="18"/>
      <c r="BN952" s="18"/>
      <c r="BO952" s="18"/>
      <c r="BP952" s="18"/>
      <c r="BQ952" s="18"/>
      <c r="BR952" s="18"/>
      <c r="BS952" s="18">
        <v>937.5</v>
      </c>
      <c r="BT952" s="18">
        <v>937.5</v>
      </c>
    </row>
    <row r="953" spans="15:72" x14ac:dyDescent="0.3">
      <c r="O953" t="s">
        <v>2769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>
        <v>38895</v>
      </c>
      <c r="BM953" s="18"/>
      <c r="BN953" s="18"/>
      <c r="BO953" s="18"/>
      <c r="BP953" s="18"/>
      <c r="BQ953" s="18"/>
      <c r="BR953" s="18"/>
      <c r="BS953" s="18">
        <v>38895</v>
      </c>
      <c r="BT953" s="18">
        <v>38895</v>
      </c>
    </row>
    <row r="954" spans="15:72" x14ac:dyDescent="0.3">
      <c r="O954" t="s">
        <v>2772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>
        <v>1000</v>
      </c>
      <c r="BM954" s="18"/>
      <c r="BN954" s="18"/>
      <c r="BO954" s="18"/>
      <c r="BP954" s="18"/>
      <c r="BQ954" s="18"/>
      <c r="BR954" s="18"/>
      <c r="BS954" s="18">
        <v>1000</v>
      </c>
      <c r="BT954" s="18">
        <v>1000</v>
      </c>
    </row>
    <row r="955" spans="15:72" x14ac:dyDescent="0.3">
      <c r="O955" t="s">
        <v>2841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>
        <v>410</v>
      </c>
      <c r="BN955" s="18"/>
      <c r="BO955" s="18"/>
      <c r="BP955" s="18"/>
      <c r="BQ955" s="18"/>
      <c r="BR955" s="18"/>
      <c r="BS955" s="18">
        <v>410</v>
      </c>
      <c r="BT955" s="18">
        <v>410</v>
      </c>
    </row>
    <row r="956" spans="15:72" x14ac:dyDescent="0.3">
      <c r="O956" t="s">
        <v>2851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>
        <v>625</v>
      </c>
      <c r="BN956" s="18"/>
      <c r="BO956" s="18"/>
      <c r="BP956" s="18"/>
      <c r="BQ956" s="18"/>
      <c r="BR956" s="18"/>
      <c r="BS956" s="18">
        <v>625</v>
      </c>
      <c r="BT956" s="18">
        <v>625</v>
      </c>
    </row>
    <row r="957" spans="15:72" x14ac:dyDescent="0.3">
      <c r="O957" t="s">
        <v>2852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>
        <v>26725</v>
      </c>
      <c r="BN957" s="18"/>
      <c r="BO957" s="18"/>
      <c r="BP957" s="18"/>
      <c r="BQ957" s="18"/>
      <c r="BR957" s="18"/>
      <c r="BS957" s="18">
        <v>26725</v>
      </c>
      <c r="BT957" s="18">
        <v>26725</v>
      </c>
    </row>
    <row r="958" spans="15:72" x14ac:dyDescent="0.3">
      <c r="O958" t="s">
        <v>2857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>
        <v>1000</v>
      </c>
      <c r="BN958" s="18"/>
      <c r="BO958" s="18"/>
      <c r="BP958" s="18"/>
      <c r="BQ958" s="18"/>
      <c r="BR958" s="18"/>
      <c r="BS958" s="18">
        <v>1000</v>
      </c>
      <c r="BT958" s="18">
        <v>1000</v>
      </c>
    </row>
    <row r="959" spans="15:72" x14ac:dyDescent="0.3">
      <c r="O959" t="s">
        <v>2862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>
        <v>125</v>
      </c>
      <c r="BN959" s="18"/>
      <c r="BO959" s="18"/>
      <c r="BP959" s="18"/>
      <c r="BQ959" s="18"/>
      <c r="BR959" s="18"/>
      <c r="BS959" s="18">
        <v>125</v>
      </c>
      <c r="BT959" s="18">
        <v>125</v>
      </c>
    </row>
    <row r="960" spans="15:72" x14ac:dyDescent="0.3">
      <c r="O960" t="s">
        <v>2863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>
        <v>4734</v>
      </c>
      <c r="BN960" s="18"/>
      <c r="BO960" s="18"/>
      <c r="BP960" s="18"/>
      <c r="BQ960" s="18"/>
      <c r="BR960" s="18"/>
      <c r="BS960" s="18">
        <v>4734</v>
      </c>
      <c r="BT960" s="18">
        <v>4734</v>
      </c>
    </row>
    <row r="961" spans="14:72" x14ac:dyDescent="0.3">
      <c r="O961" t="s">
        <v>2865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>
        <v>187.5</v>
      </c>
      <c r="BN961" s="18"/>
      <c r="BO961" s="18"/>
      <c r="BP961" s="18"/>
      <c r="BQ961" s="18"/>
      <c r="BR961" s="18"/>
      <c r="BS961" s="18">
        <v>187.5</v>
      </c>
      <c r="BT961" s="18">
        <v>187.5</v>
      </c>
    </row>
    <row r="962" spans="14:72" x14ac:dyDescent="0.3">
      <c r="O962" t="s">
        <v>2866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>
        <v>9269</v>
      </c>
      <c r="BN962" s="18"/>
      <c r="BO962" s="18"/>
      <c r="BP962" s="18"/>
      <c r="BQ962" s="18"/>
      <c r="BR962" s="18"/>
      <c r="BS962" s="18">
        <v>9269</v>
      </c>
      <c r="BT962" s="18">
        <v>9269</v>
      </c>
    </row>
    <row r="963" spans="14:72" x14ac:dyDescent="0.3">
      <c r="O963" t="s">
        <v>2873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>
        <v>250</v>
      </c>
      <c r="BN963" s="18"/>
      <c r="BO963" s="18"/>
      <c r="BP963" s="18"/>
      <c r="BQ963" s="18"/>
      <c r="BR963" s="18"/>
      <c r="BS963" s="18">
        <v>250</v>
      </c>
      <c r="BT963" s="18">
        <v>250</v>
      </c>
    </row>
    <row r="964" spans="14:72" x14ac:dyDescent="0.3">
      <c r="O964" t="s">
        <v>2874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>
        <v>9908</v>
      </c>
      <c r="BN964" s="18"/>
      <c r="BO964" s="18"/>
      <c r="BP964" s="18"/>
      <c r="BQ964" s="18"/>
      <c r="BR964" s="18"/>
      <c r="BS964" s="18">
        <v>9908</v>
      </c>
      <c r="BT964" s="18">
        <v>9908</v>
      </c>
    </row>
    <row r="965" spans="14:72" x14ac:dyDescent="0.3">
      <c r="N965" s="17" t="s">
        <v>2037</v>
      </c>
      <c r="O965" s="17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>
        <v>35464</v>
      </c>
      <c r="BC965" s="19">
        <v>50031.199999999997</v>
      </c>
      <c r="BD965" s="19">
        <v>83033.5</v>
      </c>
      <c r="BE965" s="19"/>
      <c r="BF965" s="19"/>
      <c r="BG965" s="19"/>
      <c r="BH965" s="19"/>
      <c r="BI965" s="19"/>
      <c r="BJ965" s="19">
        <v>168528.69999999998</v>
      </c>
      <c r="BK965" s="19">
        <v>117069.5</v>
      </c>
      <c r="BL965" s="19">
        <v>82838</v>
      </c>
      <c r="BM965" s="19">
        <v>53233.5</v>
      </c>
      <c r="BN965" s="19">
        <v>53942.8</v>
      </c>
      <c r="BO965" s="19">
        <v>70297.700000000012</v>
      </c>
      <c r="BP965" s="19">
        <v>79500.899999999994</v>
      </c>
      <c r="BQ965" s="19">
        <v>36702.5</v>
      </c>
      <c r="BR965" s="19">
        <v>76177.5</v>
      </c>
      <c r="BS965" s="19">
        <v>569762.4</v>
      </c>
      <c r="BT965" s="19">
        <v>738291.1</v>
      </c>
    </row>
    <row r="966" spans="14:72" x14ac:dyDescent="0.3">
      <c r="N966" t="s">
        <v>2134</v>
      </c>
      <c r="O966" t="s">
        <v>2193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>
        <v>5450.8</v>
      </c>
      <c r="BE966" s="18"/>
      <c r="BF966" s="18"/>
      <c r="BG966" s="18"/>
      <c r="BH966" s="18"/>
      <c r="BI966" s="18"/>
      <c r="BJ966" s="18">
        <v>5450.8</v>
      </c>
      <c r="BK966" s="18"/>
      <c r="BL966" s="18"/>
      <c r="BM966" s="18"/>
      <c r="BN966" s="18"/>
      <c r="BO966" s="18"/>
      <c r="BP966" s="18"/>
      <c r="BQ966" s="18"/>
      <c r="BR966" s="18"/>
      <c r="BS966" s="18"/>
      <c r="BT966" s="18">
        <v>5450.8</v>
      </c>
    </row>
    <row r="967" spans="14:72" x14ac:dyDescent="0.3">
      <c r="O967" t="s">
        <v>2263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>
        <v>-525</v>
      </c>
      <c r="BE967" s="18"/>
      <c r="BF967" s="18"/>
      <c r="BG967" s="18"/>
      <c r="BH967" s="18"/>
      <c r="BI967" s="18"/>
      <c r="BJ967" s="18">
        <v>-525</v>
      </c>
      <c r="BK967" s="18"/>
      <c r="BL967" s="18"/>
      <c r="BM967" s="18"/>
      <c r="BN967" s="18"/>
      <c r="BO967" s="18"/>
      <c r="BP967" s="18"/>
      <c r="BQ967" s="18"/>
      <c r="BR967" s="18"/>
      <c r="BS967" s="18"/>
      <c r="BT967" s="18">
        <v>-525</v>
      </c>
    </row>
    <row r="968" spans="14:72" x14ac:dyDescent="0.3">
      <c r="O968" t="s">
        <v>2206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>
        <v>4728</v>
      </c>
      <c r="BE968" s="18"/>
      <c r="BF968" s="18"/>
      <c r="BG968" s="18"/>
      <c r="BH968" s="18"/>
      <c r="BI968" s="18"/>
      <c r="BJ968" s="18">
        <v>4728</v>
      </c>
      <c r="BK968" s="18"/>
      <c r="BL968" s="18"/>
      <c r="BM968" s="18"/>
      <c r="BN968" s="18"/>
      <c r="BO968" s="18"/>
      <c r="BP968" s="18"/>
      <c r="BQ968" s="18"/>
      <c r="BR968" s="18"/>
      <c r="BS968" s="18"/>
      <c r="BT968" s="18">
        <v>4728</v>
      </c>
    </row>
    <row r="969" spans="14:72" x14ac:dyDescent="0.3">
      <c r="O969" t="s">
        <v>2273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>
        <v>6441.8</v>
      </c>
      <c r="BO969" s="18"/>
      <c r="BP969" s="18"/>
      <c r="BQ969" s="18"/>
      <c r="BR969" s="18"/>
      <c r="BS969" s="18">
        <v>6441.8</v>
      </c>
      <c r="BT969" s="18">
        <v>6441.8</v>
      </c>
    </row>
    <row r="970" spans="14:72" x14ac:dyDescent="0.3">
      <c r="O970" t="s">
        <v>2425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>
        <v>1279.8</v>
      </c>
      <c r="BQ970" s="18"/>
      <c r="BR970" s="18"/>
      <c r="BS970" s="18">
        <v>1279.8</v>
      </c>
      <c r="BT970" s="18">
        <v>1279.8</v>
      </c>
    </row>
    <row r="971" spans="14:72" x14ac:dyDescent="0.3">
      <c r="N971" s="17" t="s">
        <v>2148</v>
      </c>
      <c r="O971" s="17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>
        <v>9653.7999999999993</v>
      </c>
      <c r="BE971" s="19"/>
      <c r="BF971" s="19"/>
      <c r="BG971" s="19"/>
      <c r="BH971" s="19"/>
      <c r="BI971" s="19"/>
      <c r="BJ971" s="19">
        <v>9653.7999999999993</v>
      </c>
      <c r="BK971" s="19"/>
      <c r="BL971" s="19"/>
      <c r="BM971" s="19"/>
      <c r="BN971" s="19">
        <v>6441.8</v>
      </c>
      <c r="BO971" s="19"/>
      <c r="BP971" s="19">
        <v>1279.8</v>
      </c>
      <c r="BQ971" s="19"/>
      <c r="BR971" s="19"/>
      <c r="BS971" s="19">
        <v>7721.6</v>
      </c>
      <c r="BT971" s="19">
        <v>17375.399999999998</v>
      </c>
    </row>
    <row r="972" spans="14:72" x14ac:dyDescent="0.3">
      <c r="N972" t="s">
        <v>2928</v>
      </c>
      <c r="O972" t="s">
        <v>2027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>
        <v>3535.2</v>
      </c>
      <c r="BC972" s="18"/>
      <c r="BD972" s="18"/>
      <c r="BE972" s="18"/>
      <c r="BF972" s="18"/>
      <c r="BG972" s="18"/>
      <c r="BH972" s="18"/>
      <c r="BI972" s="18"/>
      <c r="BJ972" s="18">
        <v>3535.2</v>
      </c>
      <c r="BK972" s="18"/>
      <c r="BL972" s="18"/>
      <c r="BM972" s="18"/>
      <c r="BN972" s="18"/>
      <c r="BO972" s="18"/>
      <c r="BP972" s="18"/>
      <c r="BQ972" s="18"/>
      <c r="BR972" s="18"/>
      <c r="BS972" s="18"/>
      <c r="BT972" s="18">
        <v>3535.2</v>
      </c>
    </row>
    <row r="973" spans="14:72" x14ac:dyDescent="0.3">
      <c r="O973" t="s">
        <v>2092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>
        <v>1174</v>
      </c>
      <c r="BD973" s="18"/>
      <c r="BE973" s="18"/>
      <c r="BF973" s="18"/>
      <c r="BG973" s="18"/>
      <c r="BH973" s="18"/>
      <c r="BI973" s="18"/>
      <c r="BJ973" s="18">
        <v>1174</v>
      </c>
      <c r="BK973" s="18"/>
      <c r="BL973" s="18"/>
      <c r="BM973" s="18"/>
      <c r="BN973" s="18"/>
      <c r="BO973" s="18"/>
      <c r="BP973" s="18"/>
      <c r="BQ973" s="18"/>
      <c r="BR973" s="18"/>
      <c r="BS973" s="18"/>
      <c r="BT973" s="18">
        <v>1174</v>
      </c>
    </row>
    <row r="974" spans="14:72" x14ac:dyDescent="0.3">
      <c r="O974" t="s">
        <v>2848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>
        <v>1185</v>
      </c>
      <c r="BN974" s="18"/>
      <c r="BO974" s="18"/>
      <c r="BP974" s="18"/>
      <c r="BQ974" s="18"/>
      <c r="BR974" s="18"/>
      <c r="BS974" s="18">
        <v>1185</v>
      </c>
      <c r="BT974" s="18">
        <v>1185</v>
      </c>
    </row>
    <row r="975" spans="14:72" x14ac:dyDescent="0.3">
      <c r="N975" s="17" t="s">
        <v>2930</v>
      </c>
      <c r="O975" s="17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>
        <v>3535.2</v>
      </c>
      <c r="BC975" s="19">
        <v>1174</v>
      </c>
      <c r="BD975" s="19"/>
      <c r="BE975" s="19"/>
      <c r="BF975" s="19"/>
      <c r="BG975" s="19"/>
      <c r="BH975" s="19"/>
      <c r="BI975" s="19"/>
      <c r="BJ975" s="19">
        <v>4709.2</v>
      </c>
      <c r="BK975" s="19"/>
      <c r="BL975" s="19"/>
      <c r="BM975" s="19">
        <v>1185</v>
      </c>
      <c r="BN975" s="19"/>
      <c r="BO975" s="19"/>
      <c r="BP975" s="19"/>
      <c r="BQ975" s="19"/>
      <c r="BR975" s="19"/>
      <c r="BS975" s="19">
        <v>1185</v>
      </c>
      <c r="BT975" s="19">
        <v>5894.2</v>
      </c>
    </row>
    <row r="976" spans="14:72" x14ac:dyDescent="0.3">
      <c r="N976" t="s">
        <v>2929</v>
      </c>
      <c r="O976" t="s">
        <v>2195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>
        <v>2131</v>
      </c>
      <c r="BE976" s="18"/>
      <c r="BF976" s="18"/>
      <c r="BG976" s="18"/>
      <c r="BH976" s="18"/>
      <c r="BI976" s="18"/>
      <c r="BJ976" s="18">
        <v>2131</v>
      </c>
      <c r="BK976" s="18"/>
      <c r="BL976" s="18"/>
      <c r="BM976" s="18"/>
      <c r="BN976" s="18"/>
      <c r="BO976" s="18"/>
      <c r="BP976" s="18"/>
      <c r="BQ976" s="18"/>
      <c r="BR976" s="18"/>
      <c r="BS976" s="18"/>
      <c r="BT976" s="18">
        <v>2131</v>
      </c>
    </row>
    <row r="977" spans="14:72" x14ac:dyDescent="0.3">
      <c r="O977" t="s">
        <v>2275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>
        <v>2236</v>
      </c>
      <c r="BO977" s="18"/>
      <c r="BP977" s="18"/>
      <c r="BQ977" s="18"/>
      <c r="BR977" s="18"/>
      <c r="BS977" s="18">
        <v>2236</v>
      </c>
      <c r="BT977" s="18">
        <v>2236</v>
      </c>
    </row>
    <row r="978" spans="14:72" x14ac:dyDescent="0.3">
      <c r="O978" t="s">
        <v>2290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>
        <v>3752.3</v>
      </c>
      <c r="BO978" s="18"/>
      <c r="BP978" s="18"/>
      <c r="BQ978" s="18"/>
      <c r="BR978" s="18"/>
      <c r="BS978" s="18">
        <v>3752.3</v>
      </c>
      <c r="BT978" s="18">
        <v>3752.3</v>
      </c>
    </row>
    <row r="979" spans="14:72" x14ac:dyDescent="0.3">
      <c r="O979" t="s">
        <v>2364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>
        <v>2236</v>
      </c>
      <c r="BP979" s="18"/>
      <c r="BQ979" s="18"/>
      <c r="BR979" s="18"/>
      <c r="BS979" s="18">
        <v>2236</v>
      </c>
      <c r="BT979" s="18">
        <v>2236</v>
      </c>
    </row>
    <row r="980" spans="14:72" x14ac:dyDescent="0.3">
      <c r="O980" t="s">
        <v>2429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>
        <v>2258</v>
      </c>
      <c r="BQ980" s="18"/>
      <c r="BR980" s="18"/>
      <c r="BS980" s="18">
        <v>2258</v>
      </c>
      <c r="BT980" s="18">
        <v>2258</v>
      </c>
    </row>
    <row r="981" spans="14:72" x14ac:dyDescent="0.3">
      <c r="O981" t="s">
        <v>2451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>
        <v>2438</v>
      </c>
      <c r="BQ981" s="18"/>
      <c r="BR981" s="18"/>
      <c r="BS981" s="18">
        <v>2438</v>
      </c>
      <c r="BT981" s="18">
        <v>2438</v>
      </c>
    </row>
    <row r="982" spans="14:72" x14ac:dyDescent="0.3">
      <c r="O982" t="s">
        <v>2506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>
        <v>2070</v>
      </c>
      <c r="BR982" s="18"/>
      <c r="BS982" s="18">
        <v>2070</v>
      </c>
      <c r="BT982" s="18">
        <v>2070</v>
      </c>
    </row>
    <row r="983" spans="14:72" x14ac:dyDescent="0.3">
      <c r="O983" t="s">
        <v>2520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>
        <v>2130</v>
      </c>
      <c r="BR983" s="18"/>
      <c r="BS983" s="18">
        <v>2130</v>
      </c>
      <c r="BT983" s="18">
        <v>2130</v>
      </c>
    </row>
    <row r="984" spans="14:72" x14ac:dyDescent="0.3">
      <c r="O984" t="s">
        <v>2575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>
        <v>2412</v>
      </c>
      <c r="BS984" s="18">
        <v>2412</v>
      </c>
      <c r="BT984" s="18">
        <v>2412</v>
      </c>
    </row>
    <row r="985" spans="14:72" x14ac:dyDescent="0.3">
      <c r="O985" t="s">
        <v>2749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>
        <v>1086</v>
      </c>
      <c r="BM985" s="18"/>
      <c r="BN985" s="18"/>
      <c r="BO985" s="18"/>
      <c r="BP985" s="18"/>
      <c r="BQ985" s="18"/>
      <c r="BR985" s="18"/>
      <c r="BS985" s="18">
        <v>1086</v>
      </c>
      <c r="BT985" s="18">
        <v>1086</v>
      </c>
    </row>
    <row r="986" spans="14:72" x14ac:dyDescent="0.3">
      <c r="O986" t="s">
        <v>2755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>
        <v>2132</v>
      </c>
      <c r="BM986" s="18"/>
      <c r="BN986" s="18"/>
      <c r="BO986" s="18"/>
      <c r="BP986" s="18"/>
      <c r="BQ986" s="18"/>
      <c r="BR986" s="18"/>
      <c r="BS986" s="18">
        <v>2132</v>
      </c>
      <c r="BT986" s="18">
        <v>2132</v>
      </c>
    </row>
    <row r="987" spans="14:72" x14ac:dyDescent="0.3">
      <c r="O987" t="s">
        <v>2844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>
        <v>2878</v>
      </c>
      <c r="BN987" s="18"/>
      <c r="BO987" s="18"/>
      <c r="BP987" s="18"/>
      <c r="BQ987" s="18"/>
      <c r="BR987" s="18"/>
      <c r="BS987" s="18">
        <v>2878</v>
      </c>
      <c r="BT987" s="18">
        <v>2878</v>
      </c>
    </row>
    <row r="988" spans="14:72" x14ac:dyDescent="0.3">
      <c r="N988" s="17" t="s">
        <v>2931</v>
      </c>
      <c r="O988" s="17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>
        <v>2131</v>
      </c>
      <c r="BE988" s="19"/>
      <c r="BF988" s="19"/>
      <c r="BG988" s="19"/>
      <c r="BH988" s="19"/>
      <c r="BI988" s="19"/>
      <c r="BJ988" s="19">
        <v>2131</v>
      </c>
      <c r="BK988" s="19"/>
      <c r="BL988" s="19">
        <v>3218</v>
      </c>
      <c r="BM988" s="19">
        <v>2878</v>
      </c>
      <c r="BN988" s="19">
        <v>5988.3</v>
      </c>
      <c r="BO988" s="19">
        <v>2236</v>
      </c>
      <c r="BP988" s="19">
        <v>4696</v>
      </c>
      <c r="BQ988" s="19">
        <v>4200</v>
      </c>
      <c r="BR988" s="19">
        <v>2412</v>
      </c>
      <c r="BS988" s="19">
        <v>25628.3</v>
      </c>
      <c r="BT988" s="19">
        <v>27759.3</v>
      </c>
    </row>
    <row r="989" spans="14:72" x14ac:dyDescent="0.3">
      <c r="N989" t="s">
        <v>2271</v>
      </c>
      <c r="O989" t="s">
        <v>2270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>
        <v>2826</v>
      </c>
      <c r="BO989" s="18"/>
      <c r="BP989" s="18"/>
      <c r="BQ989" s="18"/>
      <c r="BR989" s="18"/>
      <c r="BS989" s="18">
        <v>2826</v>
      </c>
      <c r="BT989" s="18">
        <v>2826</v>
      </c>
    </row>
    <row r="990" spans="14:72" x14ac:dyDescent="0.3">
      <c r="N990" s="17" t="s">
        <v>2340</v>
      </c>
      <c r="O990" s="17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>
        <v>2826</v>
      </c>
      <c r="BO990" s="19"/>
      <c r="BP990" s="19"/>
      <c r="BQ990" s="19"/>
      <c r="BR990" s="19"/>
      <c r="BS990" s="19">
        <v>2826</v>
      </c>
      <c r="BT990" s="19">
        <v>2826</v>
      </c>
    </row>
    <row r="991" spans="14:72" x14ac:dyDescent="0.3">
      <c r="N991" t="s">
        <v>2284</v>
      </c>
      <c r="O991" t="s">
        <v>2283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>
        <v>3323</v>
      </c>
      <c r="BO991" s="18"/>
      <c r="BP991" s="18"/>
      <c r="BQ991" s="18"/>
      <c r="BR991" s="18"/>
      <c r="BS991" s="18">
        <v>3323</v>
      </c>
      <c r="BT991" s="18">
        <v>3323</v>
      </c>
    </row>
    <row r="992" spans="14:72" x14ac:dyDescent="0.3">
      <c r="O992" t="s">
        <v>2289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>
        <v>180</v>
      </c>
      <c r="BO992" s="18"/>
      <c r="BP992" s="18"/>
      <c r="BQ992" s="18"/>
      <c r="BR992" s="18"/>
      <c r="BS992" s="18">
        <v>180</v>
      </c>
      <c r="BT992" s="18">
        <v>180</v>
      </c>
    </row>
    <row r="993" spans="14:72" x14ac:dyDescent="0.3">
      <c r="O993" t="s">
        <v>2297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>
        <v>2424</v>
      </c>
      <c r="BO993" s="18"/>
      <c r="BP993" s="18"/>
      <c r="BQ993" s="18"/>
      <c r="BR993" s="18"/>
      <c r="BS993" s="18">
        <v>2424</v>
      </c>
      <c r="BT993" s="18">
        <v>2424</v>
      </c>
    </row>
    <row r="994" spans="14:72" x14ac:dyDescent="0.3">
      <c r="O994" t="s">
        <v>2344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>
        <v>555</v>
      </c>
      <c r="BP994" s="18"/>
      <c r="BQ994" s="18"/>
      <c r="BR994" s="18"/>
      <c r="BS994" s="18">
        <v>555</v>
      </c>
      <c r="BT994" s="18">
        <v>555</v>
      </c>
    </row>
    <row r="995" spans="14:72" x14ac:dyDescent="0.3">
      <c r="O995" t="s">
        <v>2352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>
        <v>1694</v>
      </c>
      <c r="BP995" s="18"/>
      <c r="BQ995" s="18"/>
      <c r="BR995" s="18"/>
      <c r="BS995" s="18">
        <v>1694</v>
      </c>
      <c r="BT995" s="18">
        <v>1694</v>
      </c>
    </row>
    <row r="996" spans="14:72" x14ac:dyDescent="0.3">
      <c r="O996" t="s">
        <v>2572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>
        <v>723</v>
      </c>
      <c r="BS996" s="18">
        <v>723</v>
      </c>
      <c r="BT996" s="18">
        <v>723</v>
      </c>
    </row>
    <row r="997" spans="14:72" x14ac:dyDescent="0.3">
      <c r="O997" t="s">
        <v>2639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>
        <v>283.8</v>
      </c>
      <c r="BL997" s="18"/>
      <c r="BM997" s="18"/>
      <c r="BN997" s="18"/>
      <c r="BO997" s="18"/>
      <c r="BP997" s="18"/>
      <c r="BQ997" s="18"/>
      <c r="BR997" s="18"/>
      <c r="BS997" s="18">
        <v>283.8</v>
      </c>
      <c r="BT997" s="18">
        <v>283.8</v>
      </c>
    </row>
    <row r="998" spans="14:72" x14ac:dyDescent="0.3">
      <c r="N998" s="17" t="s">
        <v>2341</v>
      </c>
      <c r="O998" s="17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>
        <v>283.8</v>
      </c>
      <c r="BL998" s="19"/>
      <c r="BM998" s="19"/>
      <c r="BN998" s="19">
        <v>5927</v>
      </c>
      <c r="BO998" s="19">
        <v>2249</v>
      </c>
      <c r="BP998" s="19"/>
      <c r="BQ998" s="19"/>
      <c r="BR998" s="19">
        <v>723</v>
      </c>
      <c r="BS998" s="19">
        <v>9182.7999999999993</v>
      </c>
      <c r="BT998" s="19">
        <v>9182.7999999999993</v>
      </c>
    </row>
    <row r="999" spans="14:72" x14ac:dyDescent="0.3">
      <c r="N999" t="s">
        <v>2362</v>
      </c>
      <c r="O999" t="s">
        <v>2360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>
        <v>623</v>
      </c>
      <c r="BP999" s="18"/>
      <c r="BQ999" s="18"/>
      <c r="BR999" s="18"/>
      <c r="BS999" s="18">
        <v>623</v>
      </c>
      <c r="BT999" s="18">
        <v>623</v>
      </c>
    </row>
    <row r="1000" spans="14:72" x14ac:dyDescent="0.3">
      <c r="N1000" s="17" t="s">
        <v>2504</v>
      </c>
      <c r="O1000" s="17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>
        <v>623</v>
      </c>
      <c r="BP1000" s="19"/>
      <c r="BQ1000" s="19"/>
      <c r="BR1000" s="19"/>
      <c r="BS1000" s="19">
        <v>623</v>
      </c>
      <c r="BT1000" s="19">
        <v>623</v>
      </c>
    </row>
    <row r="1001" spans="14:72" x14ac:dyDescent="0.3">
      <c r="N1001" t="s">
        <v>2440</v>
      </c>
      <c r="O1001" t="s">
        <v>2439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>
        <v>200</v>
      </c>
      <c r="BQ1001" s="18"/>
      <c r="BR1001" s="18"/>
      <c r="BS1001" s="18">
        <v>200</v>
      </c>
      <c r="BT1001" s="18">
        <v>200</v>
      </c>
    </row>
    <row r="1002" spans="14:72" x14ac:dyDescent="0.3">
      <c r="N1002" s="17" t="s">
        <v>2505</v>
      </c>
      <c r="O1002" s="17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>
        <v>200</v>
      </c>
      <c r="BQ1002" s="19"/>
      <c r="BR1002" s="19"/>
      <c r="BS1002" s="19">
        <v>200</v>
      </c>
      <c r="BT1002" s="19">
        <v>200</v>
      </c>
    </row>
    <row r="1003" spans="14:72" x14ac:dyDescent="0.3">
      <c r="N1003" t="s">
        <v>2728</v>
      </c>
      <c r="O1003" t="s">
        <v>2650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>
        <v>12896</v>
      </c>
      <c r="BL1003" s="18"/>
      <c r="BM1003" s="18"/>
      <c r="BN1003" s="18"/>
      <c r="BO1003" s="18"/>
      <c r="BP1003" s="18"/>
      <c r="BQ1003" s="18"/>
      <c r="BR1003" s="18"/>
      <c r="BS1003" s="18">
        <v>12896</v>
      </c>
      <c r="BT1003" s="18">
        <v>12896</v>
      </c>
    </row>
    <row r="1004" spans="14:72" x14ac:dyDescent="0.3">
      <c r="O1004" t="s">
        <v>2752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>
        <v>375</v>
      </c>
      <c r="BM1004" s="18"/>
      <c r="BN1004" s="18"/>
      <c r="BO1004" s="18"/>
      <c r="BP1004" s="18"/>
      <c r="BQ1004" s="18"/>
      <c r="BR1004" s="18"/>
      <c r="BS1004" s="18">
        <v>375</v>
      </c>
      <c r="BT1004" s="18">
        <v>375</v>
      </c>
    </row>
    <row r="1005" spans="14:72" x14ac:dyDescent="0.3">
      <c r="O1005" t="s">
        <v>2756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>
        <v>1760</v>
      </c>
      <c r="BM1005" s="18"/>
      <c r="BN1005" s="18"/>
      <c r="BO1005" s="18"/>
      <c r="BP1005" s="18"/>
      <c r="BQ1005" s="18"/>
      <c r="BR1005" s="18"/>
      <c r="BS1005" s="18">
        <v>1760</v>
      </c>
      <c r="BT1005" s="18">
        <v>1760</v>
      </c>
    </row>
    <row r="1006" spans="14:72" x14ac:dyDescent="0.3">
      <c r="O1006" t="s">
        <v>2770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>
        <v>4745</v>
      </c>
      <c r="BM1006" s="18"/>
      <c r="BN1006" s="18"/>
      <c r="BO1006" s="18"/>
      <c r="BP1006" s="18"/>
      <c r="BQ1006" s="18"/>
      <c r="BR1006" s="18"/>
      <c r="BS1006" s="18">
        <v>4745</v>
      </c>
      <c r="BT1006" s="18">
        <v>4745</v>
      </c>
    </row>
    <row r="1007" spans="14:72" x14ac:dyDescent="0.3">
      <c r="O1007" t="s">
        <v>2773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>
        <v>225</v>
      </c>
      <c r="BM1007" s="18"/>
      <c r="BN1007" s="18"/>
      <c r="BO1007" s="18"/>
      <c r="BP1007" s="18"/>
      <c r="BQ1007" s="18"/>
      <c r="BR1007" s="18"/>
      <c r="BS1007" s="18">
        <v>225</v>
      </c>
      <c r="BT1007" s="18">
        <v>225</v>
      </c>
    </row>
    <row r="1008" spans="14:72" x14ac:dyDescent="0.3">
      <c r="O1008" t="s">
        <v>2850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>
        <v>6210</v>
      </c>
      <c r="BN1008" s="18"/>
      <c r="BO1008" s="18"/>
      <c r="BP1008" s="18"/>
      <c r="BQ1008" s="18"/>
      <c r="BR1008" s="18"/>
      <c r="BS1008" s="18">
        <v>6210</v>
      </c>
      <c r="BT1008" s="18">
        <v>6210</v>
      </c>
    </row>
    <row r="1009" spans="14:72" x14ac:dyDescent="0.3">
      <c r="O1009" t="s">
        <v>2855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>
        <v>4195</v>
      </c>
      <c r="BN1009" s="18"/>
      <c r="BO1009" s="18"/>
      <c r="BP1009" s="18"/>
      <c r="BQ1009" s="18"/>
      <c r="BR1009" s="18"/>
      <c r="BS1009" s="18">
        <v>4195</v>
      </c>
      <c r="BT1009" s="18">
        <v>4195</v>
      </c>
    </row>
    <row r="1010" spans="14:72" x14ac:dyDescent="0.3">
      <c r="O1010" t="s">
        <v>2856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>
        <v>110</v>
      </c>
      <c r="BN1010" s="18"/>
      <c r="BO1010" s="18"/>
      <c r="BP1010" s="18"/>
      <c r="BQ1010" s="18"/>
      <c r="BR1010" s="18"/>
      <c r="BS1010" s="18">
        <v>110</v>
      </c>
      <c r="BT1010" s="18">
        <v>110</v>
      </c>
    </row>
    <row r="1011" spans="14:72" x14ac:dyDescent="0.3">
      <c r="O1011" t="s">
        <v>2858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>
        <v>250</v>
      </c>
      <c r="BN1011" s="18"/>
      <c r="BO1011" s="18"/>
      <c r="BP1011" s="18"/>
      <c r="BQ1011" s="18"/>
      <c r="BR1011" s="18"/>
      <c r="BS1011" s="18">
        <v>250</v>
      </c>
      <c r="BT1011" s="18">
        <v>250</v>
      </c>
    </row>
    <row r="1012" spans="14:72" x14ac:dyDescent="0.3">
      <c r="O1012" t="s">
        <v>2861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>
        <v>180</v>
      </c>
      <c r="BN1012" s="18"/>
      <c r="BO1012" s="18"/>
      <c r="BP1012" s="18"/>
      <c r="BQ1012" s="18"/>
      <c r="BR1012" s="18"/>
      <c r="BS1012" s="18">
        <v>180</v>
      </c>
      <c r="BT1012" s="18">
        <v>180</v>
      </c>
    </row>
    <row r="1013" spans="14:72" x14ac:dyDescent="0.3">
      <c r="O1013" t="s">
        <v>2864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>
        <v>175</v>
      </c>
      <c r="BN1013" s="18"/>
      <c r="BO1013" s="18"/>
      <c r="BP1013" s="18"/>
      <c r="BQ1013" s="18"/>
      <c r="BR1013" s="18"/>
      <c r="BS1013" s="18">
        <v>175</v>
      </c>
      <c r="BT1013" s="18">
        <v>175</v>
      </c>
    </row>
    <row r="1014" spans="14:72" x14ac:dyDescent="0.3">
      <c r="N1014" s="17" t="s">
        <v>2733</v>
      </c>
      <c r="O1014" s="17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>
        <v>12896</v>
      </c>
      <c r="BL1014" s="19">
        <v>7105</v>
      </c>
      <c r="BM1014" s="19">
        <v>11120</v>
      </c>
      <c r="BN1014" s="19"/>
      <c r="BO1014" s="19"/>
      <c r="BP1014" s="19"/>
      <c r="BQ1014" s="19"/>
      <c r="BR1014" s="19"/>
      <c r="BS1014" s="19">
        <v>31121</v>
      </c>
      <c r="BT1014" s="19">
        <v>31121</v>
      </c>
    </row>
    <row r="1015" spans="14:72" x14ac:dyDescent="0.3">
      <c r="N1015" t="s">
        <v>2656</v>
      </c>
      <c r="O1015" t="s">
        <v>2654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>
        <v>2392.5</v>
      </c>
      <c r="BL1015" s="18"/>
      <c r="BM1015" s="18"/>
      <c r="BN1015" s="18"/>
      <c r="BO1015" s="18"/>
      <c r="BP1015" s="18"/>
      <c r="BQ1015" s="18"/>
      <c r="BR1015" s="18"/>
      <c r="BS1015" s="18">
        <v>2392.5</v>
      </c>
      <c r="BT1015" s="18">
        <v>2392.5</v>
      </c>
    </row>
    <row r="1016" spans="14:72" x14ac:dyDescent="0.3">
      <c r="O1016" t="s">
        <v>2760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>
        <v>2722.5</v>
      </c>
      <c r="BM1016" s="18"/>
      <c r="BN1016" s="18"/>
      <c r="BO1016" s="18"/>
      <c r="BP1016" s="18"/>
      <c r="BQ1016" s="18"/>
      <c r="BR1016" s="18"/>
      <c r="BS1016" s="18">
        <v>2722.5</v>
      </c>
      <c r="BT1016" s="18">
        <v>2722.5</v>
      </c>
    </row>
    <row r="1017" spans="14:72" x14ac:dyDescent="0.3">
      <c r="O1017" t="s">
        <v>2765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>
        <v>2985</v>
      </c>
      <c r="BM1017" s="18"/>
      <c r="BN1017" s="18"/>
      <c r="BO1017" s="18"/>
      <c r="BP1017" s="18"/>
      <c r="BQ1017" s="18"/>
      <c r="BR1017" s="18"/>
      <c r="BS1017" s="18">
        <v>2985</v>
      </c>
      <c r="BT1017" s="18">
        <v>2985</v>
      </c>
    </row>
    <row r="1018" spans="14:72" x14ac:dyDescent="0.3">
      <c r="O1018" t="s">
        <v>2774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>
        <v>2722.5</v>
      </c>
      <c r="BM1018" s="18"/>
      <c r="BN1018" s="18"/>
      <c r="BO1018" s="18"/>
      <c r="BP1018" s="18"/>
      <c r="BQ1018" s="18"/>
      <c r="BR1018" s="18"/>
      <c r="BS1018" s="18">
        <v>2722.5</v>
      </c>
      <c r="BT1018" s="18">
        <v>2722.5</v>
      </c>
    </row>
    <row r="1019" spans="14:72" x14ac:dyDescent="0.3">
      <c r="O1019" t="s">
        <v>2845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>
        <v>2687.5</v>
      </c>
      <c r="BN1019" s="18"/>
      <c r="BO1019" s="18"/>
      <c r="BP1019" s="18"/>
      <c r="BQ1019" s="18"/>
      <c r="BR1019" s="18"/>
      <c r="BS1019" s="18">
        <v>2687.5</v>
      </c>
      <c r="BT1019" s="18">
        <v>2687.5</v>
      </c>
    </row>
    <row r="1020" spans="14:72" x14ac:dyDescent="0.3">
      <c r="N1020" s="17" t="s">
        <v>2667</v>
      </c>
      <c r="O1020" s="17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>
        <v>2392.5</v>
      </c>
      <c r="BL1020" s="19">
        <v>8430</v>
      </c>
      <c r="BM1020" s="19">
        <v>2687.5</v>
      </c>
      <c r="BN1020" s="19"/>
      <c r="BO1020" s="19"/>
      <c r="BP1020" s="19"/>
      <c r="BQ1020" s="19"/>
      <c r="BR1020" s="19"/>
      <c r="BS1020" s="19">
        <v>13510</v>
      </c>
      <c r="BT1020" s="19">
        <v>13510</v>
      </c>
    </row>
    <row r="1021" spans="14:72" x14ac:dyDescent="0.3">
      <c r="N1021" t="s">
        <v>2734</v>
      </c>
      <c r="O1021" t="s">
        <v>2746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>
        <v>1131.5</v>
      </c>
      <c r="BM1021" s="18"/>
      <c r="BN1021" s="18"/>
      <c r="BO1021" s="18"/>
      <c r="BP1021" s="18"/>
      <c r="BQ1021" s="18"/>
      <c r="BR1021" s="18"/>
      <c r="BS1021" s="18">
        <v>1131.5</v>
      </c>
      <c r="BT1021" s="18">
        <v>1131.5</v>
      </c>
    </row>
    <row r="1022" spans="14:72" x14ac:dyDescent="0.3">
      <c r="N1022" s="17" t="s">
        <v>2838</v>
      </c>
      <c r="O1022" s="17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>
        <v>1131.5</v>
      </c>
      <c r="BM1022" s="19"/>
      <c r="BN1022" s="19"/>
      <c r="BO1022" s="19"/>
      <c r="BP1022" s="19"/>
      <c r="BQ1022" s="19"/>
      <c r="BR1022" s="19"/>
      <c r="BS1022" s="19">
        <v>1131.5</v>
      </c>
      <c r="BT1022" s="19">
        <v>1131.5</v>
      </c>
    </row>
    <row r="1023" spans="14:72" x14ac:dyDescent="0.3">
      <c r="N1023" t="s">
        <v>2740</v>
      </c>
      <c r="O1023" t="s">
        <v>2761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>
        <v>625</v>
      </c>
      <c r="BM1023" s="18"/>
      <c r="BN1023" s="18"/>
      <c r="BO1023" s="18"/>
      <c r="BP1023" s="18"/>
      <c r="BQ1023" s="18"/>
      <c r="BR1023" s="18"/>
      <c r="BS1023" s="18">
        <v>625</v>
      </c>
      <c r="BT1023" s="18">
        <v>625</v>
      </c>
    </row>
    <row r="1024" spans="14:72" x14ac:dyDescent="0.3">
      <c r="N1024" s="17" t="s">
        <v>2839</v>
      </c>
      <c r="O1024" s="17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>
        <v>625</v>
      </c>
      <c r="BM1024" s="19"/>
      <c r="BN1024" s="19"/>
      <c r="BO1024" s="19"/>
      <c r="BP1024" s="19"/>
      <c r="BQ1024" s="19"/>
      <c r="BR1024" s="19"/>
      <c r="BS1024" s="19">
        <v>625</v>
      </c>
      <c r="BT1024" s="19">
        <v>625</v>
      </c>
    </row>
    <row r="1025" spans="14:72" x14ac:dyDescent="0.3">
      <c r="N1025" t="s">
        <v>3061</v>
      </c>
      <c r="O1025" t="s">
        <v>2662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>
        <v>755</v>
      </c>
      <c r="BL1025" s="18"/>
      <c r="BM1025" s="18"/>
      <c r="BN1025" s="18"/>
      <c r="BO1025" s="18"/>
      <c r="BP1025" s="18"/>
      <c r="BQ1025" s="18"/>
      <c r="BR1025" s="18"/>
      <c r="BS1025" s="18">
        <v>755</v>
      </c>
      <c r="BT1025" s="18">
        <v>755</v>
      </c>
    </row>
    <row r="1026" spans="14:72" x14ac:dyDescent="0.3">
      <c r="N1026" s="17" t="s">
        <v>3097</v>
      </c>
      <c r="O1026" s="17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>
        <v>755</v>
      </c>
      <c r="BL1026" s="19"/>
      <c r="BM1026" s="19"/>
      <c r="BN1026" s="19"/>
      <c r="BO1026" s="19"/>
      <c r="BP1026" s="19"/>
      <c r="BQ1026" s="19"/>
      <c r="BR1026" s="19"/>
      <c r="BS1026" s="19">
        <v>755</v>
      </c>
      <c r="BT1026" s="19">
        <v>755</v>
      </c>
    </row>
    <row r="1027" spans="14:72" x14ac:dyDescent="0.3">
      <c r="N1027" t="s">
        <v>131</v>
      </c>
      <c r="P1027" s="18">
        <v>2973</v>
      </c>
      <c r="Q1027" s="18">
        <v>2973</v>
      </c>
      <c r="R1027" s="18">
        <v>6809.5</v>
      </c>
      <c r="S1027" s="18">
        <v>5134</v>
      </c>
      <c r="T1027" s="18">
        <v>33380.199999999997</v>
      </c>
      <c r="U1027" s="18">
        <v>43516.800000000003</v>
      </c>
      <c r="V1027" s="18">
        <v>52514.8</v>
      </c>
      <c r="W1027" s="18">
        <v>37692</v>
      </c>
      <c r="X1027" s="18">
        <v>22115.200000000001</v>
      </c>
      <c r="Y1027" s="18">
        <v>201162.5</v>
      </c>
      <c r="Z1027" s="18">
        <v>12397</v>
      </c>
      <c r="AA1027" s="18">
        <v>59043.4</v>
      </c>
      <c r="AB1027" s="18">
        <v>133782.79999999999</v>
      </c>
      <c r="AC1027" s="18">
        <v>116851</v>
      </c>
      <c r="AD1027" s="18">
        <v>124011.9</v>
      </c>
      <c r="AE1027" s="18">
        <v>33259</v>
      </c>
      <c r="AF1027" s="18">
        <v>24686.2</v>
      </c>
      <c r="AG1027" s="18">
        <v>57798.65</v>
      </c>
      <c r="AH1027" s="18">
        <v>40624.6</v>
      </c>
      <c r="AI1027" s="18">
        <v>31091.8</v>
      </c>
      <c r="AJ1027" s="18">
        <v>633546.35000000009</v>
      </c>
      <c r="AK1027" s="18">
        <v>98244.6</v>
      </c>
      <c r="AL1027" s="18">
        <v>69163.3</v>
      </c>
      <c r="AM1027" s="18">
        <v>93927.3</v>
      </c>
      <c r="AN1027" s="18">
        <v>97650.500000000015</v>
      </c>
      <c r="AO1027" s="18">
        <v>186455.5</v>
      </c>
      <c r="AP1027" s="18">
        <v>110702.6</v>
      </c>
      <c r="AQ1027" s="18">
        <v>177546.5</v>
      </c>
      <c r="AR1027" s="18">
        <v>135957.90000000002</v>
      </c>
      <c r="AS1027" s="18">
        <v>58446.700000000004</v>
      </c>
      <c r="AT1027" s="18">
        <v>120284.9</v>
      </c>
      <c r="AU1027" s="18">
        <v>192796.7</v>
      </c>
      <c r="AV1027" s="18">
        <v>161862.6</v>
      </c>
      <c r="AW1027" s="18">
        <v>1503039.1000000003</v>
      </c>
      <c r="AX1027" s="18">
        <v>143241.1</v>
      </c>
      <c r="AY1027" s="18">
        <v>116038.20000000001</v>
      </c>
      <c r="AZ1027" s="18">
        <v>108877.7</v>
      </c>
      <c r="BA1027" s="18">
        <v>164083.59999999998</v>
      </c>
      <c r="BB1027" s="18">
        <v>116845</v>
      </c>
      <c r="BC1027" s="18">
        <v>105889.90000000001</v>
      </c>
      <c r="BD1027" s="18">
        <v>171582.6</v>
      </c>
      <c r="BE1027" s="18">
        <v>173211.69999999998</v>
      </c>
      <c r="BF1027" s="18">
        <v>141278.9</v>
      </c>
      <c r="BG1027" s="18">
        <v>175188.80000000002</v>
      </c>
      <c r="BH1027" s="18">
        <v>152064.40000000002</v>
      </c>
      <c r="BI1027" s="18">
        <v>172492.29999999996</v>
      </c>
      <c r="BJ1027" s="18">
        <v>1740794.2000000002</v>
      </c>
      <c r="BK1027" s="18">
        <v>199902.59999999998</v>
      </c>
      <c r="BL1027" s="18">
        <v>160378</v>
      </c>
      <c r="BM1027" s="18">
        <v>132943.29999999999</v>
      </c>
      <c r="BN1027" s="18">
        <v>109326.00000000001</v>
      </c>
      <c r="BO1027" s="18">
        <v>134351.29999999999</v>
      </c>
      <c r="BP1027" s="18">
        <v>166161.19999999998</v>
      </c>
      <c r="BQ1027" s="18">
        <v>84346.1</v>
      </c>
      <c r="BR1027" s="18">
        <v>126660.1</v>
      </c>
      <c r="BS1027" s="18">
        <v>1114068.6000000001</v>
      </c>
      <c r="BT1027" s="18">
        <v>5195583.7499999991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2"/>
  <sheetViews>
    <sheetView workbookViewId="0">
      <selection activeCell="F58" sqref="F58"/>
    </sheetView>
  </sheetViews>
  <sheetFormatPr defaultRowHeight="14.4" x14ac:dyDescent="0.3"/>
  <cols>
    <col min="1" max="1" width="38.88671875" bestFit="1" customWidth="1"/>
    <col min="2" max="2" width="7.109375" bestFit="1" customWidth="1"/>
    <col min="3" max="3" width="5.109375" bestFit="1" customWidth="1"/>
    <col min="4" max="4" width="10.77734375" bestFit="1" customWidth="1"/>
    <col min="5" max="7" width="14.44140625" bestFit="1" customWidth="1"/>
    <col min="8" max="8" width="9.5546875" bestFit="1" customWidth="1"/>
    <col min="9" max="9" width="10.77734375" bestFit="1" customWidth="1"/>
    <col min="10" max="11" width="14.44140625" bestFit="1" customWidth="1"/>
    <col min="12" max="12" width="9.5546875" bestFit="1" customWidth="1"/>
    <col min="13" max="13" width="6" bestFit="1" customWidth="1"/>
    <col min="14" max="19" width="6.77734375" bestFit="1" customWidth="1"/>
    <col min="20" max="20" width="9.5546875" bestFit="1" customWidth="1"/>
    <col min="21" max="21" width="6" bestFit="1" customWidth="1"/>
  </cols>
  <sheetData>
    <row r="1" spans="1:2" x14ac:dyDescent="0.3">
      <c r="A1" s="14" t="s">
        <v>225</v>
      </c>
      <c r="B1" s="92">
        <v>2024</v>
      </c>
    </row>
    <row r="2" spans="1:2" x14ac:dyDescent="0.3">
      <c r="A2" s="26" t="s">
        <v>162</v>
      </c>
      <c r="B2" s="92">
        <v>9</v>
      </c>
    </row>
    <row r="4" spans="1:2" x14ac:dyDescent="0.3">
      <c r="A4" s="14" t="s">
        <v>169</v>
      </c>
    </row>
    <row r="5" spans="1:2" x14ac:dyDescent="0.3">
      <c r="A5" s="14" t="s">
        <v>8</v>
      </c>
      <c r="B5" s="25" t="s">
        <v>309</v>
      </c>
    </row>
    <row r="6" spans="1:2" x14ac:dyDescent="0.3">
      <c r="A6" t="s">
        <v>17</v>
      </c>
      <c r="B6">
        <v>11</v>
      </c>
    </row>
    <row r="7" spans="1:2" x14ac:dyDescent="0.3">
      <c r="A7" t="s">
        <v>95</v>
      </c>
      <c r="B7">
        <v>2</v>
      </c>
    </row>
    <row r="8" spans="1:2" x14ac:dyDescent="0.3">
      <c r="A8" t="s">
        <v>292</v>
      </c>
      <c r="B8">
        <v>1</v>
      </c>
    </row>
    <row r="9" spans="1:2" x14ac:dyDescent="0.3">
      <c r="A9" t="s">
        <v>332</v>
      </c>
      <c r="B9">
        <v>1</v>
      </c>
    </row>
    <row r="10" spans="1:2" x14ac:dyDescent="0.3">
      <c r="A10" t="s">
        <v>716</v>
      </c>
      <c r="B10">
        <v>2</v>
      </c>
    </row>
    <row r="11" spans="1:2" x14ac:dyDescent="0.3">
      <c r="A11" t="s">
        <v>894</v>
      </c>
      <c r="B11">
        <v>1</v>
      </c>
    </row>
    <row r="12" spans="1:2" x14ac:dyDescent="0.3">
      <c r="A12" t="s">
        <v>946</v>
      </c>
      <c r="B12">
        <v>8</v>
      </c>
    </row>
    <row r="13" spans="1:2" x14ac:dyDescent="0.3">
      <c r="A13" t="s">
        <v>990</v>
      </c>
      <c r="B13">
        <v>5</v>
      </c>
    </row>
    <row r="14" spans="1:2" x14ac:dyDescent="0.3">
      <c r="A14" t="s">
        <v>1061</v>
      </c>
      <c r="B14">
        <v>13</v>
      </c>
    </row>
    <row r="15" spans="1:2" x14ac:dyDescent="0.3">
      <c r="A15" t="s">
        <v>1178</v>
      </c>
      <c r="B15">
        <v>12</v>
      </c>
    </row>
    <row r="16" spans="1:2" x14ac:dyDescent="0.3">
      <c r="A16" t="s">
        <v>1402</v>
      </c>
      <c r="B16">
        <v>1</v>
      </c>
    </row>
    <row r="17" spans="1:2" x14ac:dyDescent="0.3">
      <c r="A17" t="s">
        <v>1411</v>
      </c>
      <c r="B17">
        <v>2</v>
      </c>
    </row>
    <row r="18" spans="1:2" x14ac:dyDescent="0.3">
      <c r="A18" t="s">
        <v>1469</v>
      </c>
      <c r="B18">
        <v>1</v>
      </c>
    </row>
    <row r="19" spans="1:2" x14ac:dyDescent="0.3">
      <c r="A19" t="s">
        <v>1543</v>
      </c>
      <c r="B19">
        <v>126</v>
      </c>
    </row>
    <row r="20" spans="1:2" x14ac:dyDescent="0.3">
      <c r="A20" t="s">
        <v>1630</v>
      </c>
      <c r="B20">
        <v>1</v>
      </c>
    </row>
    <row r="21" spans="1:2" x14ac:dyDescent="0.3">
      <c r="A21" t="s">
        <v>1654</v>
      </c>
      <c r="B21">
        <v>5</v>
      </c>
    </row>
    <row r="22" spans="1:2" x14ac:dyDescent="0.3">
      <c r="A22" t="s">
        <v>1661</v>
      </c>
      <c r="B22">
        <v>1</v>
      </c>
    </row>
    <row r="23" spans="1:2" x14ac:dyDescent="0.3">
      <c r="A23" t="s">
        <v>1922</v>
      </c>
      <c r="B23">
        <v>53</v>
      </c>
    </row>
    <row r="24" spans="1:2" x14ac:dyDescent="0.3">
      <c r="A24" t="s">
        <v>2098</v>
      </c>
      <c r="B24">
        <v>1</v>
      </c>
    </row>
    <row r="25" spans="1:2" x14ac:dyDescent="0.3">
      <c r="A25" t="s">
        <v>2129</v>
      </c>
      <c r="B25">
        <v>2</v>
      </c>
    </row>
    <row r="26" spans="1:2" x14ac:dyDescent="0.3">
      <c r="A26" t="s">
        <v>2552</v>
      </c>
      <c r="B26">
        <v>38</v>
      </c>
    </row>
    <row r="27" spans="1:2" x14ac:dyDescent="0.3">
      <c r="A27" t="s">
        <v>2570</v>
      </c>
      <c r="B27">
        <v>7</v>
      </c>
    </row>
    <row r="28" spans="1:2" x14ac:dyDescent="0.3">
      <c r="A28" t="s">
        <v>2635</v>
      </c>
      <c r="B28">
        <v>56</v>
      </c>
    </row>
    <row r="29" spans="1:2" x14ac:dyDescent="0.3">
      <c r="A29" t="s">
        <v>2744</v>
      </c>
      <c r="B29">
        <v>1</v>
      </c>
    </row>
    <row r="30" spans="1:2" x14ac:dyDescent="0.3">
      <c r="A30" t="s">
        <v>2869</v>
      </c>
      <c r="B30">
        <v>1</v>
      </c>
    </row>
    <row r="31" spans="1:2" x14ac:dyDescent="0.3">
      <c r="A31" t="s">
        <v>2951</v>
      </c>
      <c r="B31">
        <v>1</v>
      </c>
    </row>
    <row r="32" spans="1:2" x14ac:dyDescent="0.3">
      <c r="A32" t="s">
        <v>131</v>
      </c>
      <c r="B32">
        <v>353</v>
      </c>
    </row>
  </sheetData>
  <pageMargins left="0.39370078740157483" right="0" top="0.39370078740157483" bottom="0" header="0.31496062992125984" footer="0.31496062992125984"/>
  <pageSetup orientation="portrait" r:id="rId2"/>
  <headerFooter>
    <oddFooter>&amp;R&amp;F&amp;A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G38"/>
  <sheetViews>
    <sheetView topLeftCell="A10" workbookViewId="0">
      <selection activeCell="H14" sqref="H14"/>
    </sheetView>
  </sheetViews>
  <sheetFormatPr defaultRowHeight="14.4" x14ac:dyDescent="0.3"/>
  <cols>
    <col min="1" max="1" width="14.44140625" customWidth="1"/>
    <col min="2" max="2" width="19" customWidth="1"/>
    <col min="3" max="3" width="37.88671875" bestFit="1" customWidth="1"/>
    <col min="4" max="4" width="31.44140625" bestFit="1" customWidth="1"/>
    <col min="5" max="5" width="19.77734375" bestFit="1" customWidth="1"/>
    <col min="6" max="6" width="15.44140625" bestFit="1" customWidth="1"/>
    <col min="7" max="7" width="17.6640625" bestFit="1" customWidth="1"/>
  </cols>
  <sheetData>
    <row r="3" spans="1:7" x14ac:dyDescent="0.3">
      <c r="E3" s="14" t="s">
        <v>205</v>
      </c>
    </row>
    <row r="4" spans="1:7" x14ac:dyDescent="0.3">
      <c r="A4" s="14" t="s">
        <v>225</v>
      </c>
      <c r="B4" s="14" t="s">
        <v>162</v>
      </c>
      <c r="C4" s="14" t="s">
        <v>2</v>
      </c>
      <c r="D4" s="14" t="s">
        <v>1</v>
      </c>
      <c r="E4" t="s">
        <v>208</v>
      </c>
      <c r="F4" t="s">
        <v>207</v>
      </c>
      <c r="G4" t="s">
        <v>199</v>
      </c>
    </row>
    <row r="5" spans="1:7" x14ac:dyDescent="0.3">
      <c r="A5">
        <v>2024</v>
      </c>
      <c r="B5">
        <v>8</v>
      </c>
      <c r="C5" t="s">
        <v>2840</v>
      </c>
      <c r="D5" t="s">
        <v>1309</v>
      </c>
      <c r="E5" s="18">
        <v>8732.2999999999993</v>
      </c>
      <c r="F5" s="38">
        <v>-8732.2999999999993</v>
      </c>
      <c r="G5" s="18">
        <v>0</v>
      </c>
    </row>
    <row r="6" spans="1:7" x14ac:dyDescent="0.3">
      <c r="C6" t="s">
        <v>2841</v>
      </c>
      <c r="D6" t="s">
        <v>2012</v>
      </c>
      <c r="E6" s="18">
        <v>410</v>
      </c>
      <c r="F6" s="38">
        <v>-410</v>
      </c>
      <c r="G6" s="18">
        <v>0</v>
      </c>
    </row>
    <row r="7" spans="1:7" x14ac:dyDescent="0.3">
      <c r="C7" t="s">
        <v>2842</v>
      </c>
      <c r="D7" t="s">
        <v>43</v>
      </c>
      <c r="E7" s="18">
        <v>12250</v>
      </c>
      <c r="F7" s="38">
        <v>-12250</v>
      </c>
      <c r="G7" s="18">
        <v>0</v>
      </c>
    </row>
    <row r="8" spans="1:7" x14ac:dyDescent="0.3">
      <c r="C8" t="s">
        <v>2844</v>
      </c>
      <c r="D8" t="s">
        <v>2929</v>
      </c>
      <c r="E8" s="18">
        <v>2878</v>
      </c>
      <c r="F8" s="38">
        <v>-2878</v>
      </c>
      <c r="G8" s="18">
        <v>0</v>
      </c>
    </row>
    <row r="9" spans="1:7" x14ac:dyDescent="0.3">
      <c r="C9" t="s">
        <v>2845</v>
      </c>
      <c r="D9" t="s">
        <v>2656</v>
      </c>
      <c r="E9" s="18">
        <v>2687.5</v>
      </c>
      <c r="F9" s="38">
        <v>-2687.5</v>
      </c>
      <c r="G9" s="18">
        <v>0</v>
      </c>
    </row>
    <row r="10" spans="1:7" x14ac:dyDescent="0.3">
      <c r="C10" t="s">
        <v>2846</v>
      </c>
      <c r="D10" t="s">
        <v>62</v>
      </c>
      <c r="E10" s="18">
        <v>17177.599999999999</v>
      </c>
      <c r="F10" s="38">
        <v>-17177.599999999999</v>
      </c>
      <c r="G10" s="18">
        <v>0</v>
      </c>
    </row>
    <row r="11" spans="1:7" x14ac:dyDescent="0.3">
      <c r="C11" t="s">
        <v>2847</v>
      </c>
      <c r="D11" t="s">
        <v>400</v>
      </c>
      <c r="E11" s="18">
        <v>2997.5</v>
      </c>
      <c r="F11" s="38"/>
      <c r="G11" s="18">
        <v>2997.5</v>
      </c>
    </row>
    <row r="12" spans="1:7" x14ac:dyDescent="0.3">
      <c r="C12" t="s">
        <v>2848</v>
      </c>
      <c r="D12" t="s">
        <v>2928</v>
      </c>
      <c r="E12" s="18">
        <v>1185</v>
      </c>
      <c r="F12" s="38">
        <v>-1185</v>
      </c>
      <c r="G12" s="18">
        <v>0</v>
      </c>
    </row>
    <row r="13" spans="1:7" x14ac:dyDescent="0.3">
      <c r="C13" t="s">
        <v>2850</v>
      </c>
      <c r="D13" t="s">
        <v>2728</v>
      </c>
      <c r="E13" s="18">
        <v>6210</v>
      </c>
      <c r="F13" s="38"/>
      <c r="G13" s="18">
        <v>6210</v>
      </c>
    </row>
    <row r="14" spans="1:7" x14ac:dyDescent="0.3">
      <c r="C14" t="s">
        <v>2851</v>
      </c>
      <c r="D14" t="s">
        <v>2012</v>
      </c>
      <c r="E14" s="18">
        <v>625</v>
      </c>
      <c r="F14" s="38">
        <v>-625</v>
      </c>
      <c r="G14" s="18">
        <v>0</v>
      </c>
    </row>
    <row r="15" spans="1:7" x14ac:dyDescent="0.3">
      <c r="C15" t="s">
        <v>2852</v>
      </c>
      <c r="D15" t="s">
        <v>2012</v>
      </c>
      <c r="E15" s="18">
        <v>26725</v>
      </c>
      <c r="F15" s="38">
        <v>-26725</v>
      </c>
      <c r="G15" s="18">
        <v>0</v>
      </c>
    </row>
    <row r="16" spans="1:7" x14ac:dyDescent="0.3">
      <c r="C16" t="s">
        <v>2853</v>
      </c>
      <c r="D16" t="s">
        <v>784</v>
      </c>
      <c r="E16" s="18">
        <v>2143</v>
      </c>
      <c r="F16" s="38">
        <v>-2143</v>
      </c>
      <c r="G16" s="18">
        <v>0</v>
      </c>
    </row>
    <row r="17" spans="3:7" x14ac:dyDescent="0.3">
      <c r="C17" t="s">
        <v>2854</v>
      </c>
      <c r="D17" t="s">
        <v>20</v>
      </c>
      <c r="E17" s="18">
        <v>2322</v>
      </c>
      <c r="F17" s="38">
        <v>-2322</v>
      </c>
      <c r="G17" s="18">
        <v>0</v>
      </c>
    </row>
    <row r="18" spans="3:7" x14ac:dyDescent="0.3">
      <c r="C18" t="s">
        <v>2855</v>
      </c>
      <c r="D18" t="s">
        <v>2728</v>
      </c>
      <c r="E18" s="18">
        <v>4195</v>
      </c>
      <c r="F18" s="38"/>
      <c r="G18" s="18">
        <v>4195</v>
      </c>
    </row>
    <row r="19" spans="3:7" x14ac:dyDescent="0.3">
      <c r="C19" t="s">
        <v>2856</v>
      </c>
      <c r="D19" t="s">
        <v>2728</v>
      </c>
      <c r="E19" s="18">
        <v>110</v>
      </c>
      <c r="F19" s="38"/>
      <c r="G19" s="18">
        <v>110</v>
      </c>
    </row>
    <row r="20" spans="3:7" x14ac:dyDescent="0.3">
      <c r="C20" t="s">
        <v>2857</v>
      </c>
      <c r="D20" t="s">
        <v>2012</v>
      </c>
      <c r="E20" s="18">
        <v>1000</v>
      </c>
      <c r="F20" s="38">
        <v>-1000</v>
      </c>
      <c r="G20" s="18">
        <v>0</v>
      </c>
    </row>
    <row r="21" spans="3:7" x14ac:dyDescent="0.3">
      <c r="C21" t="s">
        <v>2858</v>
      </c>
      <c r="D21" t="s">
        <v>2728</v>
      </c>
      <c r="E21" s="18">
        <v>250</v>
      </c>
      <c r="F21" s="38"/>
      <c r="G21" s="18">
        <v>250</v>
      </c>
    </row>
    <row r="22" spans="3:7" x14ac:dyDescent="0.3">
      <c r="C22" t="s">
        <v>2860</v>
      </c>
      <c r="D22" t="s">
        <v>400</v>
      </c>
      <c r="E22" s="18">
        <v>1880</v>
      </c>
      <c r="F22" s="38"/>
      <c r="G22" s="18">
        <v>1880</v>
      </c>
    </row>
    <row r="23" spans="3:7" x14ac:dyDescent="0.3">
      <c r="C23" t="s">
        <v>2861</v>
      </c>
      <c r="D23" t="s">
        <v>2728</v>
      </c>
      <c r="E23" s="18">
        <v>180</v>
      </c>
      <c r="F23" s="38"/>
      <c r="G23" s="18">
        <v>180</v>
      </c>
    </row>
    <row r="24" spans="3:7" x14ac:dyDescent="0.3">
      <c r="C24" t="s">
        <v>2862</v>
      </c>
      <c r="D24" t="s">
        <v>2012</v>
      </c>
      <c r="E24" s="18">
        <v>125</v>
      </c>
      <c r="F24" s="38">
        <v>-125</v>
      </c>
      <c r="G24" s="18">
        <v>0</v>
      </c>
    </row>
    <row r="25" spans="3:7" x14ac:dyDescent="0.3">
      <c r="C25" t="s">
        <v>2863</v>
      </c>
      <c r="D25" t="s">
        <v>2012</v>
      </c>
      <c r="E25" s="18">
        <v>4734</v>
      </c>
      <c r="F25" s="38">
        <v>-4734</v>
      </c>
      <c r="G25" s="18">
        <v>0</v>
      </c>
    </row>
    <row r="26" spans="3:7" x14ac:dyDescent="0.3">
      <c r="C26" t="s">
        <v>2864</v>
      </c>
      <c r="D26" t="s">
        <v>2728</v>
      </c>
      <c r="E26" s="18">
        <v>175</v>
      </c>
      <c r="F26" s="38"/>
      <c r="G26" s="18">
        <v>175</v>
      </c>
    </row>
    <row r="27" spans="3:7" x14ac:dyDescent="0.3">
      <c r="C27" t="s">
        <v>2865</v>
      </c>
      <c r="D27" t="s">
        <v>2012</v>
      </c>
      <c r="E27" s="18">
        <v>187.5</v>
      </c>
      <c r="F27" s="38">
        <v>-187.5</v>
      </c>
      <c r="G27" s="18">
        <v>0</v>
      </c>
    </row>
    <row r="28" spans="3:7" x14ac:dyDescent="0.3">
      <c r="C28" t="s">
        <v>2866</v>
      </c>
      <c r="D28" t="s">
        <v>2012</v>
      </c>
      <c r="E28" s="18">
        <v>9269</v>
      </c>
      <c r="F28" s="38">
        <v>-9269</v>
      </c>
      <c r="G28" s="18">
        <v>0</v>
      </c>
    </row>
    <row r="29" spans="3:7" x14ac:dyDescent="0.3">
      <c r="C29" t="s">
        <v>2867</v>
      </c>
      <c r="D29" t="s">
        <v>859</v>
      </c>
      <c r="E29" s="18">
        <v>8026.4</v>
      </c>
      <c r="F29" s="38"/>
      <c r="G29" s="18">
        <v>8026.4</v>
      </c>
    </row>
    <row r="30" spans="3:7" x14ac:dyDescent="0.3">
      <c r="C30" t="s">
        <v>2868</v>
      </c>
      <c r="D30" t="s">
        <v>62</v>
      </c>
      <c r="E30" s="18">
        <v>881</v>
      </c>
      <c r="F30" s="38">
        <v>-881</v>
      </c>
      <c r="G30" s="18">
        <v>0</v>
      </c>
    </row>
    <row r="31" spans="3:7" x14ac:dyDescent="0.3">
      <c r="C31" t="s">
        <v>2870</v>
      </c>
      <c r="D31" t="s">
        <v>262</v>
      </c>
      <c r="E31" s="18">
        <v>207</v>
      </c>
      <c r="F31" s="38">
        <v>-207</v>
      </c>
      <c r="G31" s="18">
        <v>0</v>
      </c>
    </row>
    <row r="32" spans="3:7" x14ac:dyDescent="0.3">
      <c r="C32" t="s">
        <v>2872</v>
      </c>
      <c r="D32" t="s">
        <v>400</v>
      </c>
      <c r="E32" s="18">
        <v>2772.5</v>
      </c>
      <c r="F32" s="38"/>
      <c r="G32" s="18">
        <v>2772.5</v>
      </c>
    </row>
    <row r="33" spans="1:7" x14ac:dyDescent="0.3">
      <c r="C33" t="s">
        <v>2873</v>
      </c>
      <c r="D33" t="s">
        <v>2012</v>
      </c>
      <c r="E33" s="18">
        <v>250</v>
      </c>
      <c r="F33" s="38">
        <v>-250</v>
      </c>
      <c r="G33" s="18">
        <v>0</v>
      </c>
    </row>
    <row r="34" spans="1:7" x14ac:dyDescent="0.3">
      <c r="C34" t="s">
        <v>2874</v>
      </c>
      <c r="D34" t="s">
        <v>2012</v>
      </c>
      <c r="E34" s="18">
        <v>9908</v>
      </c>
      <c r="F34" s="38">
        <v>-9908</v>
      </c>
      <c r="G34" s="18">
        <v>0</v>
      </c>
    </row>
    <row r="35" spans="1:7" x14ac:dyDescent="0.3">
      <c r="C35" t="s">
        <v>2875</v>
      </c>
      <c r="D35" t="s">
        <v>62</v>
      </c>
      <c r="E35" s="18">
        <v>2450</v>
      </c>
      <c r="F35" s="38">
        <v>-2450</v>
      </c>
      <c r="G35" s="18">
        <v>0</v>
      </c>
    </row>
    <row r="36" spans="1:7" x14ac:dyDescent="0.3">
      <c r="B36" s="17" t="s">
        <v>143</v>
      </c>
      <c r="C36" s="17"/>
      <c r="D36" s="17"/>
      <c r="E36" s="19">
        <v>132943.29999999999</v>
      </c>
      <c r="F36" s="39">
        <v>-106146.9</v>
      </c>
      <c r="G36" s="19">
        <v>26796.400000000001</v>
      </c>
    </row>
    <row r="37" spans="1:7" x14ac:dyDescent="0.3">
      <c r="A37" s="81" t="s">
        <v>2932</v>
      </c>
      <c r="B37" s="81"/>
      <c r="C37" s="81"/>
      <c r="D37" s="81"/>
      <c r="E37" s="82">
        <v>132943.29999999999</v>
      </c>
      <c r="F37" s="83">
        <v>-106146.9</v>
      </c>
      <c r="G37" s="82">
        <v>26796.400000000001</v>
      </c>
    </row>
    <row r="38" spans="1:7" x14ac:dyDescent="0.3">
      <c r="A38" t="s">
        <v>131</v>
      </c>
      <c r="E38" s="18">
        <v>132943.29999999999</v>
      </c>
      <c r="F38" s="38">
        <v>-106146.9</v>
      </c>
      <c r="G38" s="18">
        <v>26796.400000000001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2"/>
  <headerFooter>
    <oddFooter>&amp;R&amp;F&amp;A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Sales_by Inv No &amp; by custom WSK</vt:lpstr>
      <vt:lpstr>Customer Aging</vt:lpstr>
      <vt:lpstr>Raw Sales</vt:lpstr>
      <vt:lpstr>Set up</vt:lpstr>
      <vt:lpstr>Customer Payment Term</vt:lpstr>
      <vt:lpstr>Transport_by month (estimate)</vt:lpstr>
      <vt:lpstr>Inv No with date</vt:lpstr>
      <vt:lpstr>Sales_by Inv No &amp; by customer</vt:lpstr>
      <vt:lpstr>Sales Qty_by product</vt:lpstr>
      <vt:lpstr>Sales_by Inv No</vt:lpstr>
      <vt:lpstr>'Customer Aging'!Print_Area</vt:lpstr>
      <vt:lpstr>'Customer Payment Term'!Print_Area</vt:lpstr>
      <vt:lpstr>'Raw Sales'!Print_Area</vt:lpstr>
      <vt:lpstr>'Sales Qty_by product'!Print_Area</vt:lpstr>
      <vt:lpstr>'Sales_by Inv No &amp; by custom WSK'!Print_Area</vt:lpstr>
      <vt:lpstr>'Sales_by Inv No &amp; by customer'!Print_Area</vt:lpstr>
      <vt:lpstr>'Transport_by month (estimate)'!Print_Area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audrinayoo</dc:creator>
  <cp:lastModifiedBy>User</cp:lastModifiedBy>
  <cp:lastPrinted>2025-07-22T09:08:09Z</cp:lastPrinted>
  <dcterms:created xsi:type="dcterms:W3CDTF">2020-07-09T14:04:13Z</dcterms:created>
  <dcterms:modified xsi:type="dcterms:W3CDTF">2026-07-15T12:18:08Z</dcterms:modified>
</cp:coreProperties>
</file>